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9.xml" ContentType="application/vnd.openxmlformats-officedocument.spreadsheetml.externalLink+xml"/>
  <Override PartName="/xl/externalLinks/_rels/externalLink13.xml.rels" ContentType="application/vnd.openxmlformats-package.relationships+xml"/>
  <Override PartName="/xl/externalLinks/_rels/externalLink12.xml.rels" ContentType="application/vnd.openxmlformats-package.relationships+xml"/>
  <Override PartName="/xl/externalLinks/_rels/externalLink9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15.xml.rels" ContentType="application/vnd.openxmlformats-package.relationships+xml"/>
  <Override PartName="/xl/externalLinks/_rels/externalLink14.xml.rels" ContentType="application/vnd.openxmlformats-package.relationships+xml"/>
  <Override PartName="/xl/externalLinks/_rels/externalLink1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10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11.xml.rels" ContentType="application/vnd.openxmlformats-package.relationships+xml"/>
  <Override PartName="/xl/externalLinks/_rels/externalLink7.xml.rels" ContentType="application/vnd.openxmlformats-package.relationships+xml"/>
  <Override PartName="/xl/externalLinks/externalLink8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3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EST." sheetId="1" state="visible" r:id="rId3"/>
    <sheet name="DEV." sheetId="2" state="visible" r:id="rId4"/>
    <sheet name="PRO." sheetId="3" state="visible" r:id="rId5"/>
    <sheet name="PAR." sheetId="4" state="visible" r:id="rId6"/>
    <sheet name="COM." sheetId="5" state="visible" r:id="rId7"/>
    <sheet name="PG" sheetId="6" state="visible" r:id="rId8"/>
    <sheet name="VEN" sheetId="7" state="visible" r:id="rId9"/>
    <sheet name="ANT." sheetId="8" state="visible" r:id="rId10"/>
    <sheet name="SAL.(3)" sheetId="9" state="visible" r:id="rId11"/>
    <sheet name="SAL. " sheetId="10" state="visible" r:id="rId12"/>
    <sheet name="BRU" sheetId="11" state="visible" r:id="rId13"/>
    <sheet name="P.B" sheetId="12" state="visible" r:id="rId14"/>
    <sheet name="LOT" sheetId="13" state="visible" r:id="rId15"/>
    <sheet name="P.L" sheetId="14" state="visible" r:id="rId16"/>
    <sheet name="RES" sheetId="15" state="visible" r:id="rId17"/>
    <sheet name="NC" sheetId="16" state="visible" r:id="rId18"/>
    <sheet name="HIST." sheetId="17" state="visible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function="false" hidden="true" localSheetId="7" name="_xlnm._FilterDatabase" vbProcedure="false">'ANT.'!$A$3:$R$36</definedName>
    <definedName function="false" hidden="true" localSheetId="10" name="_xlnm._FilterDatabase" vbProcedure="false">BRU!$A$2:$U$2517</definedName>
    <definedName function="false" hidden="true" localSheetId="4" name="_xlnm._FilterDatabase" vbProcedure="false">'COM.'!$A$31:$AA$157</definedName>
    <definedName function="false" hidden="true" localSheetId="1" name="_xlnm._FilterDatabase" vbProcedure="false">'DEV.'!$A$25:$N$76</definedName>
    <definedName function="false" hidden="true" localSheetId="0" name="_xlnm._FilterDatabase" vbProcedure="false">'EST.'!$A$28:$G$40</definedName>
    <definedName function="false" hidden="true" localSheetId="12" name="_xlnm._FilterDatabase" vbProcedure="false">LOT!$A$2:$R$3322</definedName>
    <definedName function="false" hidden="false" localSheetId="11" name="_xlnm.Print_Area" vbProcedure="false">'P.B'!$A$2:$Q$172</definedName>
    <definedName function="false" hidden="false" localSheetId="11" name="_xlnm.Print_Titles" vbProcedure="false">'P.B'!$2:$2</definedName>
    <definedName function="false" hidden="true" localSheetId="11" name="_xlnm._FilterDatabase" vbProcedure="false">'P.B'!$A$2:$Q$170</definedName>
    <definedName function="false" hidden="true" localSheetId="13" name="_xlnm._FilterDatabase" vbProcedure="false">'P.L'!$A$2:$O$65</definedName>
    <definedName function="false" hidden="true" localSheetId="3" name="_xlnm._FilterDatabase" vbProcedure="false">'PAR.'!$A$25:$AA$48</definedName>
    <definedName function="false" hidden="true" localSheetId="5" name="_xlnm._FilterDatabase" vbProcedure="false">PG!$A$3:$Z$1604</definedName>
    <definedName function="false" hidden="true" localSheetId="2" name="_xlnm._FilterDatabase" vbProcedure="false">'PRO.'!$A$19:$M$48</definedName>
    <definedName function="false" hidden="true" localSheetId="6" name="_xlnm._FilterDatabase" vbProcedure="false">VEN!$A$141:$AI$2039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<sst xmlns="http://schemas.openxmlformats.org/spreadsheetml/2006/main" count="37139" uniqueCount="3720">
  <si>
    <t xml:space="preserve">RESUMO GERAL DE ESTOQUE</t>
  </si>
  <si>
    <t xml:space="preserve">VARIEDADE</t>
  </si>
  <si>
    <t xml:space="preserve">PP NEGOCIADO</t>
  </si>
  <si>
    <t xml:space="preserve">VALOR NEGOCIADO</t>
  </si>
  <si>
    <t xml:space="preserve">R$ PP</t>
  </si>
  <si>
    <t xml:space="preserve">Marandú</t>
  </si>
  <si>
    <t xml:space="preserve">Piatã</t>
  </si>
  <si>
    <t xml:space="preserve">Decumbens</t>
  </si>
  <si>
    <t xml:space="preserve">Xaraés</t>
  </si>
  <si>
    <t xml:space="preserve">MG-4</t>
  </si>
  <si>
    <t xml:space="preserve">Ruziziensis</t>
  </si>
  <si>
    <t xml:space="preserve">Humidicola</t>
  </si>
  <si>
    <t xml:space="preserve">Llanero</t>
  </si>
  <si>
    <t xml:space="preserve">Mombaça</t>
  </si>
  <si>
    <t xml:space="preserve">Tanzania</t>
  </si>
  <si>
    <t xml:space="preserve">Massai</t>
  </si>
  <si>
    <t xml:space="preserve">Aruana</t>
  </si>
  <si>
    <t xml:space="preserve">Zuri</t>
  </si>
  <si>
    <t xml:space="preserve">Paiaguas</t>
  </si>
  <si>
    <t xml:space="preserve">Tamani</t>
  </si>
  <si>
    <t xml:space="preserve">Integra</t>
  </si>
  <si>
    <t xml:space="preserve">Milheto</t>
  </si>
  <si>
    <t xml:space="preserve">Quenia</t>
  </si>
  <si>
    <t xml:space="preserve">Estilosante</t>
  </si>
  <si>
    <t xml:space="preserve">Andropogon</t>
  </si>
  <si>
    <t xml:space="preserve">TOTAIS</t>
  </si>
  <si>
    <t xml:space="preserve">RELATÓRIO DE ESTOQUE</t>
  </si>
  <si>
    <t xml:space="preserve">Data</t>
  </si>
  <si>
    <t xml:space="preserve">Cultivar</t>
  </si>
  <si>
    <t xml:space="preserve">Fornecedor</t>
  </si>
  <si>
    <t xml:space="preserve">Referência</t>
  </si>
  <si>
    <t xml:space="preserve">PP</t>
  </si>
  <si>
    <t xml:space="preserve">R$/PP</t>
  </si>
  <si>
    <t xml:space="preserve">Total R$</t>
  </si>
  <si>
    <t xml:space="preserve">Bruta</t>
  </si>
  <si>
    <t xml:space="preserve">Lote</t>
  </si>
  <si>
    <t xml:space="preserve">Mg-4</t>
  </si>
  <si>
    <t xml:space="preserve">RESUMO GERAL DE DEVOLUÇÃO</t>
  </si>
  <si>
    <t xml:space="preserve">PP CHEGADA</t>
  </si>
  <si>
    <t xml:space="preserve">%</t>
  </si>
  <si>
    <t xml:space="preserve">TOT. FRETE</t>
  </si>
  <si>
    <t xml:space="preserve">DIF.COMP.PP</t>
  </si>
  <si>
    <t xml:space="preserve">Xaraes</t>
  </si>
  <si>
    <t xml:space="preserve">Pureza NF</t>
  </si>
  <si>
    <t xml:space="preserve">PP NFE</t>
  </si>
  <si>
    <t xml:space="preserve">R$/PP/NFE</t>
  </si>
  <si>
    <t xml:space="preserve">KG NFE</t>
  </si>
  <si>
    <t xml:space="preserve">PP Real</t>
  </si>
  <si>
    <t xml:space="preserve">Kg Real</t>
  </si>
  <si>
    <t xml:space="preserve">Pureza Real</t>
  </si>
  <si>
    <t xml:space="preserve">Dif.Com</t>
  </si>
  <si>
    <t xml:space="preserve">R$/PP/Real</t>
  </si>
  <si>
    <t xml:space="preserve">Marandu</t>
  </si>
  <si>
    <t xml:space="preserve">Tecidos e Armarinhos Miguel Bartolomeu</t>
  </si>
  <si>
    <t xml:space="preserve">Mercedes Abid Mercante</t>
  </si>
  <si>
    <t xml:space="preserve">Basso &amp; Pancotte Ltda</t>
  </si>
  <si>
    <t xml:space="preserve">Max Farming - Distribuição de Produtos</t>
  </si>
  <si>
    <t xml:space="preserve">Lageado Produtos Agropecuarios - Eireli</t>
  </si>
  <si>
    <t xml:space="preserve">Brascampo Produtos Agropecuarios Ltda</t>
  </si>
  <si>
    <t xml:space="preserve">Nativa Agricultura Sustentável Ltda</t>
  </si>
  <si>
    <t xml:space="preserve">Agro Directa Produtos Agricolas Ltda</t>
  </si>
  <si>
    <t xml:space="preserve">Ermilio Paludo</t>
  </si>
  <si>
    <t xml:space="preserve">Victor Hugo Schwabe Pereira</t>
  </si>
  <si>
    <t xml:space="preserve">M D dos Santos Araujo Eireli</t>
  </si>
  <si>
    <t xml:space="preserve">Agrotop Produtos Agropecuarios Ltda</t>
  </si>
  <si>
    <t xml:space="preserve">Alvorada Com.Prod.Agropecuarios</t>
  </si>
  <si>
    <t xml:space="preserve">A C S Beloli &amp; Cia Ltda</t>
  </si>
  <si>
    <t xml:space="preserve">Casa de Carnes Vitoria Comercio de Carnes</t>
  </si>
  <si>
    <t xml:space="preserve">A.Torres da Paz &amp; Cia Ltda - EPP</t>
  </si>
  <si>
    <t xml:space="preserve">RESUMO GERAL DE PRODUÇÃO</t>
  </si>
  <si>
    <t xml:space="preserve">PP CARGA</t>
  </si>
  <si>
    <t xml:space="preserve">PP/R$</t>
  </si>
  <si>
    <t xml:space="preserve">VALOR</t>
  </si>
  <si>
    <t xml:space="preserve">Sarandi</t>
  </si>
  <si>
    <t xml:space="preserve">Sudão</t>
  </si>
  <si>
    <t xml:space="preserve">Estilosantes</t>
  </si>
  <si>
    <t xml:space="preserve">PUREZA</t>
  </si>
  <si>
    <t xml:space="preserve">RELATÓRIO DE PRODUÇÃO</t>
  </si>
  <si>
    <t xml:space="preserve">Motorista</t>
  </si>
  <si>
    <t xml:space="preserve">Pureza</t>
  </si>
  <si>
    <t xml:space="preserve">Tz</t>
  </si>
  <si>
    <t xml:space="preserve">Carga</t>
  </si>
  <si>
    <t xml:space="preserve">PP Carga</t>
  </si>
  <si>
    <t xml:space="preserve">Peso Carga</t>
  </si>
  <si>
    <t xml:space="preserve">Valor</t>
  </si>
  <si>
    <t xml:space="preserve">NF</t>
  </si>
  <si>
    <t xml:space="preserve">Beneficiamento</t>
  </si>
  <si>
    <t xml:space="preserve">PP Beneficiamento</t>
  </si>
  <si>
    <t xml:space="preserve">Salto Belo</t>
  </si>
  <si>
    <t xml:space="preserve">Aparecido</t>
  </si>
  <si>
    <t xml:space="preserve">014/24</t>
  </si>
  <si>
    <t xml:space="preserve">Salvador</t>
  </si>
  <si>
    <t xml:space="preserve">015/24</t>
  </si>
  <si>
    <t xml:space="preserve">Barigajau</t>
  </si>
  <si>
    <t xml:space="preserve">016/24</t>
  </si>
  <si>
    <t xml:space="preserve">Shangrila</t>
  </si>
  <si>
    <t xml:space="preserve">020/24</t>
  </si>
  <si>
    <t xml:space="preserve">Serra Azul</t>
  </si>
  <si>
    <t xml:space="preserve">021/24</t>
  </si>
  <si>
    <t xml:space="preserve">Gustavo</t>
  </si>
  <si>
    <t xml:space="preserve">024/24</t>
  </si>
  <si>
    <t xml:space="preserve">029/24</t>
  </si>
  <si>
    <t xml:space="preserve">038/24</t>
  </si>
  <si>
    <t xml:space="preserve">039/24</t>
  </si>
  <si>
    <t xml:space="preserve">040/24</t>
  </si>
  <si>
    <t xml:space="preserve">041/24</t>
  </si>
  <si>
    <t xml:space="preserve">042/24</t>
  </si>
  <si>
    <t xml:space="preserve">043/24</t>
  </si>
  <si>
    <t xml:space="preserve">052/24</t>
  </si>
  <si>
    <t xml:space="preserve">053/24</t>
  </si>
  <si>
    <t xml:space="preserve">054/24</t>
  </si>
  <si>
    <t xml:space="preserve">060/24</t>
  </si>
  <si>
    <t xml:space="preserve">061/24</t>
  </si>
  <si>
    <t xml:space="preserve">062/24</t>
  </si>
  <si>
    <t xml:space="preserve">063/24</t>
  </si>
  <si>
    <t xml:space="preserve">064/24</t>
  </si>
  <si>
    <t xml:space="preserve">065/24</t>
  </si>
  <si>
    <t xml:space="preserve">Luciano</t>
  </si>
  <si>
    <t xml:space="preserve">107/24</t>
  </si>
  <si>
    <t xml:space="preserve">108/24</t>
  </si>
  <si>
    <t xml:space="preserve">Preto</t>
  </si>
  <si>
    <t xml:space="preserve">116/24</t>
  </si>
  <si>
    <t xml:space="preserve">127/24</t>
  </si>
  <si>
    <t xml:space="preserve">RESUMO GERAL DE PARCEIROS</t>
  </si>
  <si>
    <t xml:space="preserve">PP NOSSO</t>
  </si>
  <si>
    <t xml:space="preserve">TOT. COMIS</t>
  </si>
  <si>
    <t xml:space="preserve">TOT. ICMS</t>
  </si>
  <si>
    <t xml:space="preserve">TOT.DIF.COMP.</t>
  </si>
  <si>
    <t xml:space="preserve">QUEBRA</t>
  </si>
  <si>
    <t xml:space="preserve">% QUEBRA</t>
  </si>
  <si>
    <t xml:space="preserve">TOT.ESTETICA</t>
  </si>
  <si>
    <t xml:space="preserve">% EST.</t>
  </si>
  <si>
    <t xml:space="preserve">PP PRONTO</t>
  </si>
  <si>
    <t xml:space="preserve">VALOR PAGO</t>
  </si>
  <si>
    <t xml:space="preserve">R$ PP REAL</t>
  </si>
  <si>
    <t xml:space="preserve">PP RECEBIDO</t>
  </si>
  <si>
    <t xml:space="preserve">PP A RECEBER</t>
  </si>
  <si>
    <t xml:space="preserve">MG-5</t>
  </si>
  <si>
    <t xml:space="preserve">Tupi</t>
  </si>
  <si>
    <t xml:space="preserve">RELATÓRIO DE PARCEIROS</t>
  </si>
  <si>
    <t xml:space="preserve">Carga/Beneficiamento</t>
  </si>
  <si>
    <t xml:space="preserve">PP Negociado</t>
  </si>
  <si>
    <t xml:space="preserve">TZ</t>
  </si>
  <si>
    <t xml:space="preserve">TZ Total</t>
  </si>
  <si>
    <t xml:space="preserve">Peso Bruto</t>
  </si>
  <si>
    <t xml:space="preserve">PP Nosso</t>
  </si>
  <si>
    <t xml:space="preserve">V. Comiss R$</t>
  </si>
  <si>
    <t xml:space="preserve">Comis %</t>
  </si>
  <si>
    <t xml:space="preserve">V. Frete R$</t>
  </si>
  <si>
    <t xml:space="preserve">Frete %</t>
  </si>
  <si>
    <t xml:space="preserve">V. ICMS</t>
  </si>
  <si>
    <t xml:space="preserve">ICMS %</t>
  </si>
  <si>
    <t xml:space="preserve">Dif.Compra</t>
  </si>
  <si>
    <t xml:space="preserve">Quebra PP</t>
  </si>
  <si>
    <t xml:space="preserve">%Quebra PP</t>
  </si>
  <si>
    <t xml:space="preserve">Custo Estetica</t>
  </si>
  <si>
    <t xml:space="preserve">%C.Estet.</t>
  </si>
  <si>
    <t xml:space="preserve">PP Pronto</t>
  </si>
  <si>
    <t xml:space="preserve">CUSTO TOTAL</t>
  </si>
  <si>
    <t xml:space="preserve">R$/PP Total</t>
  </si>
  <si>
    <t xml:space="preserve">Recebido</t>
  </si>
  <si>
    <t xml:space="preserve">A Receber</t>
  </si>
  <si>
    <t xml:space="preserve">Sierentz</t>
  </si>
  <si>
    <t xml:space="preserve">CG 084/24</t>
  </si>
  <si>
    <t xml:space="preserve">CG 086/24</t>
  </si>
  <si>
    <t xml:space="preserve">CG 090/24</t>
  </si>
  <si>
    <t xml:space="preserve">José Valdson</t>
  </si>
  <si>
    <t xml:space="preserve">CG 096/24</t>
  </si>
  <si>
    <t xml:space="preserve">CG 099/24</t>
  </si>
  <si>
    <t xml:space="preserve">Henrique</t>
  </si>
  <si>
    <t xml:space="preserve">CG 101/24</t>
  </si>
  <si>
    <t xml:space="preserve">RESUMO GERAL DE COMPRAS</t>
  </si>
  <si>
    <t xml:space="preserve">Sorgo</t>
  </si>
  <si>
    <t xml:space="preserve">Crotalaria</t>
  </si>
  <si>
    <t xml:space="preserve">RELATÓRIO DE COMPRAS</t>
  </si>
  <si>
    <t xml:space="preserve">KG</t>
  </si>
  <si>
    <t xml:space="preserve">PP Chegada</t>
  </si>
  <si>
    <t xml:space="preserve">PP REAL</t>
  </si>
  <si>
    <t xml:space="preserve">Sementes SB</t>
  </si>
  <si>
    <t xml:space="preserve">CG 012-013/24</t>
  </si>
  <si>
    <t xml:space="preserve">Orlando Carlos Martins</t>
  </si>
  <si>
    <t xml:space="preserve">CG 010-011/24</t>
  </si>
  <si>
    <t xml:space="preserve">CG 007-008-009/24</t>
  </si>
  <si>
    <t xml:space="preserve">Sementes Agronagai</t>
  </si>
  <si>
    <t xml:space="preserve">CG 006/24</t>
  </si>
  <si>
    <t xml:space="preserve">Marcelo Medeiros</t>
  </si>
  <si>
    <t xml:space="preserve">CG 017/24</t>
  </si>
  <si>
    <t xml:space="preserve">CG 025/24</t>
  </si>
  <si>
    <t xml:space="preserve">CG 050/24</t>
  </si>
  <si>
    <t xml:space="preserve">CG 026/24</t>
  </si>
  <si>
    <t xml:space="preserve">Emilton Takato Guimarães</t>
  </si>
  <si>
    <t xml:space="preserve">CG 018/24</t>
  </si>
  <si>
    <t xml:space="preserve">Carlos Loeff</t>
  </si>
  <si>
    <t xml:space="preserve">CG 034/24</t>
  </si>
  <si>
    <t xml:space="preserve">CG 019/24</t>
  </si>
  <si>
    <t xml:space="preserve">Vaner Pelegrin</t>
  </si>
  <si>
    <t xml:space="preserve">CG 089/24</t>
  </si>
  <si>
    <t xml:space="preserve">Pedro Pereira</t>
  </si>
  <si>
    <t xml:space="preserve">CG 047/24</t>
  </si>
  <si>
    <t xml:space="preserve">CG 046/24</t>
  </si>
  <si>
    <t xml:space="preserve">CG 045/24</t>
  </si>
  <si>
    <t xml:space="preserve">Murilo da Silva de Paula</t>
  </si>
  <si>
    <t xml:space="preserve">CG 033/24</t>
  </si>
  <si>
    <t xml:space="preserve">Rolemberg Sabadini</t>
  </si>
  <si>
    <t xml:space="preserve">CG 022/24</t>
  </si>
  <si>
    <t xml:space="preserve">CG 023/24</t>
  </si>
  <si>
    <t xml:space="preserve">Osvaldo de Paula</t>
  </si>
  <si>
    <t xml:space="preserve">CG 028/24</t>
  </si>
  <si>
    <t xml:space="preserve">Osvaldo Rocha de Paula e Outra</t>
  </si>
  <si>
    <t xml:space="preserve">CG 032/24</t>
  </si>
  <si>
    <t xml:space="preserve">CG 027/24</t>
  </si>
  <si>
    <t xml:space="preserve">Sementes Cajuru</t>
  </si>
  <si>
    <t xml:space="preserve">CG 030-031/24</t>
  </si>
  <si>
    <t xml:space="preserve">Sementes Conquista</t>
  </si>
  <si>
    <t xml:space="preserve">CG 035/24</t>
  </si>
  <si>
    <t xml:space="preserve">Sementes Safrasul</t>
  </si>
  <si>
    <t xml:space="preserve">CG 036/24</t>
  </si>
  <si>
    <t xml:space="preserve">CG 037/24</t>
  </si>
  <si>
    <t xml:space="preserve">Cooapi</t>
  </si>
  <si>
    <t xml:space="preserve">CG 051/24</t>
  </si>
  <si>
    <t xml:space="preserve">Sementes Franciosi</t>
  </si>
  <si>
    <t xml:space="preserve">CG 059/24</t>
  </si>
  <si>
    <t xml:space="preserve">CG 057/24</t>
  </si>
  <si>
    <t xml:space="preserve">CG 055/24</t>
  </si>
  <si>
    <t xml:space="preserve">CG 056/24</t>
  </si>
  <si>
    <t xml:space="preserve">CG 058/24</t>
  </si>
  <si>
    <t xml:space="preserve">CG 044/24</t>
  </si>
  <si>
    <t xml:space="preserve">CG 049/24</t>
  </si>
  <si>
    <t xml:space="preserve">Aparecido Ferlette</t>
  </si>
  <si>
    <t xml:space="preserve">CG 048/24</t>
  </si>
  <si>
    <t xml:space="preserve">CG 067/24</t>
  </si>
  <si>
    <t xml:space="preserve">CG 066/24</t>
  </si>
  <si>
    <t xml:space="preserve">CG 068/24</t>
  </si>
  <si>
    <t xml:space="preserve">CG 069/24</t>
  </si>
  <si>
    <t xml:space="preserve">CG 070/24</t>
  </si>
  <si>
    <t xml:space="preserve">Paulo Sergio Aime</t>
  </si>
  <si>
    <t xml:space="preserve">CG 087/24</t>
  </si>
  <si>
    <t xml:space="preserve">Renato Caiado Barbosa</t>
  </si>
  <si>
    <t xml:space="preserve">CG 085/24</t>
  </si>
  <si>
    <t xml:space="preserve">Germisul</t>
  </si>
  <si>
    <t xml:space="preserve">CG 073-076-078-080/24</t>
  </si>
  <si>
    <t xml:space="preserve">CG 071-072-077/24</t>
  </si>
  <si>
    <t xml:space="preserve">CG 074-075-079/24</t>
  </si>
  <si>
    <t xml:space="preserve">Semensil</t>
  </si>
  <si>
    <t xml:space="preserve">CG 081-082-083/24</t>
  </si>
  <si>
    <t xml:space="preserve">CG 095/24</t>
  </si>
  <si>
    <t xml:space="preserve">Sementes Nova Alvorada</t>
  </si>
  <si>
    <t xml:space="preserve">CG 097-098/24</t>
  </si>
  <si>
    <t xml:space="preserve">CG 117/24</t>
  </si>
  <si>
    <t xml:space="preserve">CG 118/24</t>
  </si>
  <si>
    <t xml:space="preserve">CG 119/24</t>
  </si>
  <si>
    <t xml:space="preserve">CG 120/24</t>
  </si>
  <si>
    <t xml:space="preserve">CG 121/24</t>
  </si>
  <si>
    <t xml:space="preserve">CG 122/24</t>
  </si>
  <si>
    <t xml:space="preserve">CG 131/24</t>
  </si>
  <si>
    <t xml:space="preserve">Facholi Ltda</t>
  </si>
  <si>
    <t xml:space="preserve">CG 102/24</t>
  </si>
  <si>
    <t xml:space="preserve">Sementes Vigor</t>
  </si>
  <si>
    <t xml:space="preserve">CG 103/24</t>
  </si>
  <si>
    <t xml:space="preserve">CG 104/24</t>
  </si>
  <si>
    <t xml:space="preserve">CG 105/24</t>
  </si>
  <si>
    <t xml:space="preserve">CG 113/24</t>
  </si>
  <si>
    <t xml:space="preserve">CG 114/24</t>
  </si>
  <si>
    <t xml:space="preserve">CG 115/24</t>
  </si>
  <si>
    <t xml:space="preserve">CG 106/24</t>
  </si>
  <si>
    <t xml:space="preserve">CG 110/24</t>
  </si>
  <si>
    <t xml:space="preserve">CG 112/24</t>
  </si>
  <si>
    <t xml:space="preserve">Sementes Alvorada</t>
  </si>
  <si>
    <t xml:space="preserve">CG 123/24</t>
  </si>
  <si>
    <t xml:space="preserve">Ronaldo</t>
  </si>
  <si>
    <t xml:space="preserve">CG 125/24</t>
  </si>
  <si>
    <t xml:space="preserve">CG 128/24</t>
  </si>
  <si>
    <t xml:space="preserve">CG 129/24</t>
  </si>
  <si>
    <t xml:space="preserve">CG 130/24</t>
  </si>
  <si>
    <t xml:space="preserve">CG 126/24</t>
  </si>
  <si>
    <t xml:space="preserve">CG 132/24</t>
  </si>
  <si>
    <t xml:space="preserve">CG 133/24</t>
  </si>
  <si>
    <t xml:space="preserve">CG 134/24</t>
  </si>
  <si>
    <t xml:space="preserve">CG 135/24</t>
  </si>
  <si>
    <t xml:space="preserve">CG 136/24</t>
  </si>
  <si>
    <t xml:space="preserve">CG 137/24</t>
  </si>
  <si>
    <t xml:space="preserve">CG 138/24</t>
  </si>
  <si>
    <t xml:space="preserve">CG 139/24</t>
  </si>
  <si>
    <t xml:space="preserve">CG 140/24</t>
  </si>
  <si>
    <t xml:space="preserve">CG 141/24</t>
  </si>
  <si>
    <t xml:space="preserve">CG 142/24</t>
  </si>
  <si>
    <t xml:space="preserve">CG 143/24</t>
  </si>
  <si>
    <t xml:space="preserve">CG 144/24</t>
  </si>
  <si>
    <t xml:space="preserve">CG 148/24</t>
  </si>
  <si>
    <t xml:space="preserve">CG 150/24</t>
  </si>
  <si>
    <t xml:space="preserve">CG 151/24</t>
  </si>
  <si>
    <t xml:space="preserve">Sementes Sertão</t>
  </si>
  <si>
    <t xml:space="preserve">CG 152/24</t>
  </si>
  <si>
    <t xml:space="preserve">José Ruiz Sansão</t>
  </si>
  <si>
    <t xml:space="preserve">CG 153/24</t>
  </si>
  <si>
    <t xml:space="preserve">CG 154/24</t>
  </si>
  <si>
    <t xml:space="preserve">CG 155/24</t>
  </si>
  <si>
    <t xml:space="preserve">CG 156/24</t>
  </si>
  <si>
    <t xml:space="preserve">CG 157/24</t>
  </si>
  <si>
    <t xml:space="preserve">CG 158/24</t>
  </si>
  <si>
    <t xml:space="preserve">Alexandre Palombo</t>
  </si>
  <si>
    <t xml:space="preserve">CG 159/24</t>
  </si>
  <si>
    <t xml:space="preserve">CG 160/24</t>
  </si>
  <si>
    <t xml:space="preserve">CG 161/24</t>
  </si>
  <si>
    <t xml:space="preserve">CG 162/24</t>
  </si>
  <si>
    <t xml:space="preserve">CG 163/24</t>
  </si>
  <si>
    <t xml:space="preserve">CG 164/24</t>
  </si>
  <si>
    <t xml:space="preserve">CG 165/24</t>
  </si>
  <si>
    <t xml:space="preserve">CG 166/24</t>
  </si>
  <si>
    <t xml:space="preserve">CG 167/24</t>
  </si>
  <si>
    <t xml:space="preserve">CG 168/24</t>
  </si>
  <si>
    <t xml:space="preserve">CG 169/24</t>
  </si>
  <si>
    <t xml:space="preserve">CG 170/24</t>
  </si>
  <si>
    <t xml:space="preserve">CG 171/24</t>
  </si>
  <si>
    <t xml:space="preserve">CG 172/24</t>
  </si>
  <si>
    <t xml:space="preserve">CG 174/24</t>
  </si>
  <si>
    <t xml:space="preserve">CG 175/24</t>
  </si>
  <si>
    <t xml:space="preserve">CG 176/24</t>
  </si>
  <si>
    <t xml:space="preserve">CG 177/24</t>
  </si>
  <si>
    <t xml:space="preserve">CG 178/24</t>
  </si>
  <si>
    <t xml:space="preserve">CG 179/24</t>
  </si>
  <si>
    <t xml:space="preserve">Pastoforma</t>
  </si>
  <si>
    <t xml:space="preserve">CG 180/24</t>
  </si>
  <si>
    <t xml:space="preserve">CG 181/24</t>
  </si>
  <si>
    <t xml:space="preserve">CG 182/24</t>
  </si>
  <si>
    <t xml:space="preserve">Alfredo Cesario</t>
  </si>
  <si>
    <t xml:space="preserve">CG 183/24</t>
  </si>
  <si>
    <t xml:space="preserve">CG 184/24</t>
  </si>
  <si>
    <t xml:space="preserve">CG 185/24</t>
  </si>
  <si>
    <t xml:space="preserve">CG 186/24</t>
  </si>
  <si>
    <t xml:space="preserve">CG 187/24</t>
  </si>
  <si>
    <t xml:space="preserve">CG 188/24</t>
  </si>
  <si>
    <t xml:space="preserve">CG 189/24</t>
  </si>
  <si>
    <t xml:space="preserve">Sementes Boi Gordo</t>
  </si>
  <si>
    <t xml:space="preserve">CG 190/24</t>
  </si>
  <si>
    <t xml:space="preserve">Germipasto</t>
  </si>
  <si>
    <t xml:space="preserve">CG 191/24</t>
  </si>
  <si>
    <t xml:space="preserve">CG 192/24</t>
  </si>
  <si>
    <t xml:space="preserve">PERDAS E GANHOS</t>
  </si>
  <si>
    <t xml:space="preserve">PROCESSO</t>
  </si>
  <si>
    <t xml:space="preserve">rotalaria</t>
  </si>
  <si>
    <t xml:space="preserve">Geral</t>
  </si>
  <si>
    <t xml:space="preserve">PERDA %</t>
  </si>
  <si>
    <t xml:space="preserve">OC 86936</t>
  </si>
  <si>
    <t xml:space="preserve">OC 86929</t>
  </si>
  <si>
    <t xml:space="preserve">OC 86935</t>
  </si>
  <si>
    <t xml:space="preserve">OC 86886</t>
  </si>
  <si>
    <t xml:space="preserve">OC 86933</t>
  </si>
  <si>
    <t xml:space="preserve">OC 86943</t>
  </si>
  <si>
    <t xml:space="preserve">OC 86944</t>
  </si>
  <si>
    <t xml:space="preserve">OC 86946</t>
  </si>
  <si>
    <t xml:space="preserve">OC 86947</t>
  </si>
  <si>
    <t xml:space="preserve">OC 86948</t>
  </si>
  <si>
    <t xml:space="preserve">OC 86949</t>
  </si>
  <si>
    <t xml:space="preserve">Embrapa</t>
  </si>
  <si>
    <t xml:space="preserve">OC 86952</t>
  </si>
  <si>
    <t xml:space="preserve">OC 86953</t>
  </si>
  <si>
    <t xml:space="preserve">OC 86954</t>
  </si>
  <si>
    <t xml:space="preserve">OC 86957</t>
  </si>
  <si>
    <t xml:space="preserve">OC 86958</t>
  </si>
  <si>
    <t xml:space="preserve">OC 86959</t>
  </si>
  <si>
    <t xml:space="preserve">OC 86960</t>
  </si>
  <si>
    <t xml:space="preserve">PED 11</t>
  </si>
  <si>
    <t xml:space="preserve">PED 23</t>
  </si>
  <si>
    <t xml:space="preserve">PED 13698</t>
  </si>
  <si>
    <t xml:space="preserve">PED 96</t>
  </si>
  <si>
    <t xml:space="preserve">PED 93</t>
  </si>
  <si>
    <t xml:space="preserve">PED 13722</t>
  </si>
  <si>
    <t xml:space="preserve">PED 13749</t>
  </si>
  <si>
    <t xml:space="preserve">PED 7</t>
  </si>
  <si>
    <t xml:space="preserve">PED 9</t>
  </si>
  <si>
    <t xml:space="preserve">PED 6</t>
  </si>
  <si>
    <t xml:space="preserve">PED 10</t>
  </si>
  <si>
    <t xml:space="preserve">PED 13</t>
  </si>
  <si>
    <t xml:space="preserve">PED 109</t>
  </si>
  <si>
    <t xml:space="preserve">PED 118</t>
  </si>
  <si>
    <t xml:space="preserve">PED 63</t>
  </si>
  <si>
    <t xml:space="preserve">PED 94</t>
  </si>
  <si>
    <t xml:space="preserve">PED 101</t>
  </si>
  <si>
    <t xml:space="preserve">PED 106</t>
  </si>
  <si>
    <t xml:space="preserve">PED 107</t>
  </si>
  <si>
    <t xml:space="preserve">PED 128</t>
  </si>
  <si>
    <t xml:space="preserve">PED 13679</t>
  </si>
  <si>
    <t xml:space="preserve">PED 142/8889/9923</t>
  </si>
  <si>
    <t xml:space="preserve">PED 151</t>
  </si>
  <si>
    <t xml:space="preserve">PED 13659</t>
  </si>
  <si>
    <t xml:space="preserve">PED 143</t>
  </si>
  <si>
    <t xml:space="preserve">PED 13810</t>
  </si>
  <si>
    <t xml:space="preserve">PED 136</t>
  </si>
  <si>
    <t xml:space="preserve">PED 74/84</t>
  </si>
  <si>
    <t xml:space="preserve">PED 160</t>
  </si>
  <si>
    <t xml:space="preserve">PED 169/7060/9923</t>
  </si>
  <si>
    <t xml:space="preserve">PED 9923</t>
  </si>
  <si>
    <t xml:space="preserve">PED 66</t>
  </si>
  <si>
    <t xml:space="preserve">PED 171</t>
  </si>
  <si>
    <t xml:space="preserve">PED 127</t>
  </si>
  <si>
    <t xml:space="preserve">PED 100</t>
  </si>
  <si>
    <t xml:space="preserve">PED 146</t>
  </si>
  <si>
    <t xml:space="preserve">PED 65</t>
  </si>
  <si>
    <t xml:space="preserve">PED 67</t>
  </si>
  <si>
    <t xml:space="preserve">PED 68</t>
  </si>
  <si>
    <t xml:space="preserve">PED 177</t>
  </si>
  <si>
    <t xml:space="preserve">PED 172</t>
  </si>
  <si>
    <t xml:space="preserve">PED 13696</t>
  </si>
  <si>
    <t xml:space="preserve">PED 13723</t>
  </si>
  <si>
    <t xml:space="preserve">PED 13812</t>
  </si>
  <si>
    <t xml:space="preserve">PED 19</t>
  </si>
  <si>
    <t xml:space="preserve">AGROMINAS ARAGUAINA</t>
  </si>
  <si>
    <t xml:space="preserve">AGROMINAS SÃO GERALDO</t>
  </si>
  <si>
    <t xml:space="preserve">PED 20</t>
  </si>
  <si>
    <t xml:space="preserve">AGROMINAS COLINAS</t>
  </si>
  <si>
    <t xml:space="preserve">AGROMINAS XINGUARA</t>
  </si>
  <si>
    <t xml:space="preserve">PED 13733</t>
  </si>
  <si>
    <t xml:space="preserve">PED 114</t>
  </si>
  <si>
    <t xml:space="preserve">PED 111</t>
  </si>
  <si>
    <t xml:space="preserve">PED 13786</t>
  </si>
  <si>
    <t xml:space="preserve">PED 135</t>
  </si>
  <si>
    <t xml:space="preserve">PED 21</t>
  </si>
  <si>
    <t xml:space="preserve">PED 179</t>
  </si>
  <si>
    <t xml:space="preserve">AGROTOP</t>
  </si>
  <si>
    <t xml:space="preserve">CRISTIANO</t>
  </si>
  <si>
    <t xml:space="preserve">PED 13680</t>
  </si>
  <si>
    <t xml:space="preserve">PED 195</t>
  </si>
  <si>
    <t xml:space="preserve">PED JEA</t>
  </si>
  <si>
    <t xml:space="preserve">PED 259</t>
  </si>
  <si>
    <t xml:space="preserve">PED 116</t>
  </si>
  <si>
    <t xml:space="preserve">PED 252</t>
  </si>
  <si>
    <t xml:space="preserve">PED 198</t>
  </si>
  <si>
    <t xml:space="preserve">PED MD</t>
  </si>
  <si>
    <t xml:space="preserve">PED 241</t>
  </si>
  <si>
    <t xml:space="preserve">PED RONALDO</t>
  </si>
  <si>
    <t xml:space="preserve">PED 112</t>
  </si>
  <si>
    <t xml:space="preserve">PED TECIDOS</t>
  </si>
  <si>
    <t xml:space="preserve">PED 13817</t>
  </si>
  <si>
    <t xml:space="preserve">PED 194</t>
  </si>
  <si>
    <t xml:space="preserve">PED 181</t>
  </si>
  <si>
    <t xml:space="preserve">PED 201</t>
  </si>
  <si>
    <t xml:space="preserve">PED 209</t>
  </si>
  <si>
    <t xml:space="preserve">PED 130-8237</t>
  </si>
  <si>
    <t xml:space="preserve">PED 248</t>
  </si>
  <si>
    <t xml:space="preserve">PED 249</t>
  </si>
  <si>
    <t xml:space="preserve">PED 117</t>
  </si>
  <si>
    <t xml:space="preserve">PED 22</t>
  </si>
  <si>
    <t xml:space="preserve">PED 9923-13811</t>
  </si>
  <si>
    <t xml:space="preserve">PED 13816</t>
  </si>
  <si>
    <t xml:space="preserve">PED 13814</t>
  </si>
  <si>
    <t xml:space="preserve">PED 9923-13814</t>
  </si>
  <si>
    <t xml:space="preserve">PED 13829</t>
  </si>
  <si>
    <t xml:space="preserve">PED 104</t>
  </si>
  <si>
    <t xml:space="preserve">PED 262</t>
  </si>
  <si>
    <t xml:space="preserve">PED 261</t>
  </si>
  <si>
    <t xml:space="preserve">PED 183</t>
  </si>
  <si>
    <t xml:space="preserve">PED 13850</t>
  </si>
  <si>
    <t xml:space="preserve">PED 2446-9923</t>
  </si>
  <si>
    <t xml:space="preserve">PED 13819</t>
  </si>
  <si>
    <t xml:space="preserve">PED 204-242-2446-9923-13811-13814</t>
  </si>
  <si>
    <t xml:space="preserve">PED 13820</t>
  </si>
  <si>
    <t xml:space="preserve">PED 210</t>
  </si>
  <si>
    <t xml:space="preserve">PED 211</t>
  </si>
  <si>
    <t xml:space="preserve">PED 208</t>
  </si>
  <si>
    <t xml:space="preserve">PED 205</t>
  </si>
  <si>
    <t xml:space="preserve">PED 182</t>
  </si>
  <si>
    <t xml:space="preserve">PED 108</t>
  </si>
  <si>
    <t xml:space="preserve">PED 129</t>
  </si>
  <si>
    <t xml:space="preserve">PED 250</t>
  </si>
  <si>
    <t xml:space="preserve">PED 13833</t>
  </si>
  <si>
    <t xml:space="preserve">PED 190</t>
  </si>
  <si>
    <t xml:space="preserve">PED 13822</t>
  </si>
  <si>
    <t xml:space="preserve">PED 166</t>
  </si>
  <si>
    <t xml:space="preserve">PED 13773</t>
  </si>
  <si>
    <t xml:space="preserve">PED 13693</t>
  </si>
  <si>
    <t xml:space="preserve">PED 13821</t>
  </si>
  <si>
    <t xml:space="preserve">PED 178</t>
  </si>
  <si>
    <t xml:space="preserve">PED 13815</t>
  </si>
  <si>
    <t xml:space="preserve">PED 152</t>
  </si>
  <si>
    <t xml:space="preserve">PED 253</t>
  </si>
  <si>
    <t xml:space="preserve">PED 13818</t>
  </si>
  <si>
    <t xml:space="preserve">PED 137</t>
  </si>
  <si>
    <t xml:space="preserve">PED 13813</t>
  </si>
  <si>
    <t xml:space="preserve">PED 13830</t>
  </si>
  <si>
    <t xml:space="preserve">PED 148</t>
  </si>
  <si>
    <t xml:space="preserve">PED 147</t>
  </si>
  <si>
    <t xml:space="preserve">PED 13872</t>
  </si>
  <si>
    <t xml:space="preserve">PED 150</t>
  </si>
  <si>
    <t xml:space="preserve">PED 13888</t>
  </si>
  <si>
    <t xml:space="preserve">PED 2446</t>
  </si>
  <si>
    <t xml:space="preserve">PED 13881</t>
  </si>
  <si>
    <t xml:space="preserve">PED 13893</t>
  </si>
  <si>
    <t xml:space="preserve">PED 202</t>
  </si>
  <si>
    <t xml:space="preserve">PED 13853</t>
  </si>
  <si>
    <t xml:space="preserve">PED 200</t>
  </si>
  <si>
    <t xml:space="preserve">PED 13772</t>
  </si>
  <si>
    <t xml:space="preserve">PED 13848</t>
  </si>
  <si>
    <t xml:space="preserve">PED 13851</t>
  </si>
  <si>
    <t xml:space="preserve">PED 13844</t>
  </si>
  <si>
    <t xml:space="preserve">PED 13729</t>
  </si>
  <si>
    <t xml:space="preserve">PED 13894</t>
  </si>
  <si>
    <t xml:space="preserve">PED 13899</t>
  </si>
  <si>
    <t xml:space="preserve">PED 13918</t>
  </si>
  <si>
    <t xml:space="preserve">PED 245</t>
  </si>
  <si>
    <t xml:space="preserve">PED 19-200-13913</t>
  </si>
  <si>
    <t xml:space="preserve">PED 11491-11606</t>
  </si>
  <si>
    <t xml:space="preserve">PED 21-13914</t>
  </si>
  <si>
    <t xml:space="preserve">PED 13928</t>
  </si>
  <si>
    <t xml:space="preserve">PED 13847</t>
  </si>
  <si>
    <t xml:space="preserve">PED 13927</t>
  </si>
  <si>
    <t xml:space="preserve">PED 2446-9923-13814</t>
  </si>
  <si>
    <t xml:space="preserve">PED 125</t>
  </si>
  <si>
    <t xml:space="preserve">PED 13773-13786</t>
  </si>
  <si>
    <t xml:space="preserve">PED 13837-13868</t>
  </si>
  <si>
    <t xml:space="preserve">PED 131</t>
  </si>
  <si>
    <t xml:space="preserve">PED 13841-13898</t>
  </si>
  <si>
    <t xml:space="preserve">PED 13678</t>
  </si>
  <si>
    <t xml:space="preserve">PED 13869</t>
  </si>
  <si>
    <t xml:space="preserve">PED 10864</t>
  </si>
  <si>
    <t xml:space="preserve">PED 153</t>
  </si>
  <si>
    <t xml:space="preserve">PED 13857-13858</t>
  </si>
  <si>
    <t xml:space="preserve">PED 7060-9923</t>
  </si>
  <si>
    <t xml:space="preserve">PED 13880</t>
  </si>
  <si>
    <t xml:space="preserve">PED 13842</t>
  </si>
  <si>
    <t xml:space="preserve">PED 13878</t>
  </si>
  <si>
    <t xml:space="preserve">PED 197</t>
  </si>
  <si>
    <t xml:space="preserve">PED 13845</t>
  </si>
  <si>
    <t xml:space="preserve">PED 13917</t>
  </si>
  <si>
    <t xml:space="preserve">PED 114-13920</t>
  </si>
  <si>
    <t xml:space="preserve">PED 13910-13919</t>
  </si>
  <si>
    <t xml:space="preserve">PED 13723-13886</t>
  </si>
  <si>
    <t xml:space="preserve">PED 13897</t>
  </si>
  <si>
    <t xml:space="preserve">PED 13912</t>
  </si>
  <si>
    <t xml:space="preserve">PED 13913-13923</t>
  </si>
  <si>
    <t xml:space="preserve">PED 13879</t>
  </si>
  <si>
    <t xml:space="preserve">PED 170</t>
  </si>
  <si>
    <t xml:space="preserve">PED 13946</t>
  </si>
  <si>
    <t xml:space="preserve">PED 13925</t>
  </si>
  <si>
    <t xml:space="preserve">PED 13908</t>
  </si>
  <si>
    <t xml:space="preserve">PED 13957</t>
  </si>
  <si>
    <t xml:space="preserve">PED 13833-13876-13877</t>
  </si>
  <si>
    <t xml:space="preserve">PED 13862</t>
  </si>
  <si>
    <t xml:space="preserve">PED 13889</t>
  </si>
  <si>
    <t xml:space="preserve">PED 13836</t>
  </si>
  <si>
    <t xml:space="preserve">PED 13834</t>
  </si>
  <si>
    <t xml:space="preserve">PED 13864</t>
  </si>
  <si>
    <t xml:space="preserve">PED 13861-13866-206</t>
  </si>
  <si>
    <t xml:space="preserve">PED 13863-184</t>
  </si>
  <si>
    <t xml:space="preserve">PED 13932</t>
  </si>
  <si>
    <t xml:space="preserve">PED 2446-7060-9923-13959</t>
  </si>
  <si>
    <t xml:space="preserve">PED 13896</t>
  </si>
  <si>
    <t xml:space="preserve">PED 13892</t>
  </si>
  <si>
    <t xml:space="preserve">PED 13958</t>
  </si>
  <si>
    <t xml:space="preserve">PED 13942</t>
  </si>
  <si>
    <t xml:space="preserve">PED 13915</t>
  </si>
  <si>
    <t xml:space="preserve">PED 13838</t>
  </si>
  <si>
    <t xml:space="preserve">PED 13949</t>
  </si>
  <si>
    <t xml:space="preserve">PED 13960</t>
  </si>
  <si>
    <t xml:space="preserve">PED 13945</t>
  </si>
  <si>
    <t xml:space="preserve">PED 13870</t>
  </si>
  <si>
    <t xml:space="preserve">PED 13863</t>
  </si>
  <si>
    <t xml:space="preserve">PED 13826</t>
  </si>
  <si>
    <t xml:space="preserve">PED 13865</t>
  </si>
  <si>
    <t xml:space="preserve">PED 13852</t>
  </si>
  <si>
    <t xml:space="preserve">PED 13962</t>
  </si>
  <si>
    <t xml:space="preserve">PED 13931</t>
  </si>
  <si>
    <t xml:space="preserve">PED 9923-11606</t>
  </si>
  <si>
    <t xml:space="preserve">PED 13971</t>
  </si>
  <si>
    <t xml:space="preserve">PED 13882</t>
  </si>
  <si>
    <t xml:space="preserve">PED 13950</t>
  </si>
  <si>
    <t xml:space="preserve">PED 13884</t>
  </si>
  <si>
    <t xml:space="preserve">PED 64</t>
  </si>
  <si>
    <t xml:space="preserve">PED 251</t>
  </si>
  <si>
    <t xml:space="preserve">PED 13979</t>
  </si>
  <si>
    <t xml:space="preserve">PED 13961</t>
  </si>
  <si>
    <t xml:space="preserve">PED 13974</t>
  </si>
  <si>
    <t xml:space="preserve">PED 13943</t>
  </si>
  <si>
    <t xml:space="preserve">PED 13871</t>
  </si>
  <si>
    <t xml:space="preserve">PED 13825</t>
  </si>
  <si>
    <t xml:space="preserve">PED 13777-13922</t>
  </si>
  <si>
    <t xml:space="preserve">PED 13985</t>
  </si>
  <si>
    <t xml:space="preserve">PED 13955</t>
  </si>
  <si>
    <t xml:space="preserve">PED 13978</t>
  </si>
  <si>
    <t xml:space="preserve">PED 13982</t>
  </si>
  <si>
    <t xml:space="preserve">PED 13984</t>
  </si>
  <si>
    <t xml:space="preserve">PED 13986</t>
  </si>
  <si>
    <t xml:space="preserve">PED 100-13966</t>
  </si>
  <si>
    <t xml:space="preserve">PED 13897-13976</t>
  </si>
  <si>
    <t xml:space="preserve">PED 13914</t>
  </si>
  <si>
    <t xml:space="preserve">PED 13913</t>
  </si>
  <si>
    <t xml:space="preserve">PED 13996</t>
  </si>
  <si>
    <t xml:space="preserve">PED 13997</t>
  </si>
  <si>
    <t xml:space="preserve">PED 13824</t>
  </si>
  <si>
    <t xml:space="preserve">PED 13934</t>
  </si>
  <si>
    <t xml:space="preserve">PED 14007</t>
  </si>
  <si>
    <t xml:space="preserve">PED 13998</t>
  </si>
  <si>
    <t xml:space="preserve">PED 13828</t>
  </si>
  <si>
    <t xml:space="preserve">PED 13972</t>
  </si>
  <si>
    <t xml:space="preserve">PED 14017</t>
  </si>
  <si>
    <t xml:space="preserve">PED 13910</t>
  </si>
  <si>
    <t xml:space="preserve">PED 14011</t>
  </si>
  <si>
    <t xml:space="preserve">PED 14009</t>
  </si>
  <si>
    <t xml:space="preserve">PED 14012</t>
  </si>
  <si>
    <t xml:space="preserve">PED 145</t>
  </si>
  <si>
    <t xml:space="preserve">PED 13885</t>
  </si>
  <si>
    <t xml:space="preserve">PED 13930</t>
  </si>
  <si>
    <t xml:space="preserve">PED 13967</t>
  </si>
  <si>
    <t xml:space="preserve">PED 14014</t>
  </si>
  <si>
    <t xml:space="preserve">PED 14010</t>
  </si>
  <si>
    <t xml:space="preserve">PED 13831</t>
  </si>
  <si>
    <t xml:space="preserve">PED 14031</t>
  </si>
  <si>
    <t xml:space="preserve">PED 14029</t>
  </si>
  <si>
    <t xml:space="preserve">PED 14044</t>
  </si>
  <si>
    <t xml:space="preserve">V A FIRMO Todos</t>
  </si>
  <si>
    <t xml:space="preserve">PED 14032</t>
  </si>
  <si>
    <t xml:space="preserve">PED 13970</t>
  </si>
  <si>
    <t xml:space="preserve">PED 13827</t>
  </si>
  <si>
    <t xml:space="preserve">PED 14033</t>
  </si>
  <si>
    <t xml:space="preserve">PED 14034</t>
  </si>
  <si>
    <t xml:space="preserve">PED 14068</t>
  </si>
  <si>
    <t xml:space="preserve">PED 14053</t>
  </si>
  <si>
    <t xml:space="preserve">PED 78</t>
  </si>
  <si>
    <t xml:space="preserve">PED 14051</t>
  </si>
  <si>
    <t xml:space="preserve">PED 13923</t>
  </si>
  <si>
    <t xml:space="preserve">PED 13993</t>
  </si>
  <si>
    <t xml:space="preserve">PED 14055</t>
  </si>
  <si>
    <t xml:space="preserve">PED 14000</t>
  </si>
  <si>
    <t xml:space="preserve">PED 14005</t>
  </si>
  <si>
    <t xml:space="preserve">PED 14035</t>
  </si>
  <si>
    <t xml:space="preserve">PED 14018</t>
  </si>
  <si>
    <t xml:space="preserve">PED 14030</t>
  </si>
  <si>
    <t xml:space="preserve">PED 13994</t>
  </si>
  <si>
    <t xml:space="preserve">PED 13916</t>
  </si>
  <si>
    <t xml:space="preserve">PED 14076</t>
  </si>
  <si>
    <t xml:space="preserve">PED 14075</t>
  </si>
  <si>
    <t xml:space="preserve">PED 13883</t>
  </si>
  <si>
    <t xml:space="preserve">PED 123</t>
  </si>
  <si>
    <t xml:space="preserve">PED 149</t>
  </si>
  <si>
    <t xml:space="preserve">PED 13257</t>
  </si>
  <si>
    <t xml:space="preserve">PED 13943-14006</t>
  </si>
  <si>
    <t xml:space="preserve">PED 13710</t>
  </si>
  <si>
    <t xml:space="preserve">PED 14057</t>
  </si>
  <si>
    <t xml:space="preserve">PED 14080</t>
  </si>
  <si>
    <t xml:space="preserve">PED 14058</t>
  </si>
  <si>
    <t xml:space="preserve">PED 207</t>
  </si>
  <si>
    <t xml:space="preserve">PED 13940</t>
  </si>
  <si>
    <t xml:space="preserve">PED 9923-14093</t>
  </si>
  <si>
    <t xml:space="preserve">PED 14098</t>
  </si>
  <si>
    <t xml:space="preserve">PED 120</t>
  </si>
  <si>
    <t xml:space="preserve">PED 14097</t>
  </si>
  <si>
    <t xml:space="preserve">PED 14094</t>
  </si>
  <si>
    <t xml:space="preserve">PED 14062</t>
  </si>
  <si>
    <t xml:space="preserve">PED 14103</t>
  </si>
  <si>
    <t xml:space="preserve">PED 14091</t>
  </si>
  <si>
    <t xml:space="preserve">PED 14078</t>
  </si>
  <si>
    <t xml:space="preserve">PED 14108</t>
  </si>
  <si>
    <t xml:space="preserve">PED 14027</t>
  </si>
  <si>
    <t xml:space="preserve">PED 14148</t>
  </si>
  <si>
    <t xml:space="preserve">PED 14105</t>
  </si>
  <si>
    <t xml:space="preserve">PED 14113</t>
  </si>
  <si>
    <t xml:space="preserve">PED 14123</t>
  </si>
  <si>
    <t xml:space="preserve">PED 14090</t>
  </si>
  <si>
    <t xml:space="preserve">PED 13982-13999-14059</t>
  </si>
  <si>
    <t xml:space="preserve">PED 13950-13986</t>
  </si>
  <si>
    <t xml:space="preserve">PED 14124</t>
  </si>
  <si>
    <t xml:space="preserve">PED 14126</t>
  </si>
  <si>
    <t xml:space="preserve">PED 13989</t>
  </si>
  <si>
    <t xml:space="preserve">PED 13990</t>
  </si>
  <si>
    <t xml:space="preserve">PED 13991</t>
  </si>
  <si>
    <t xml:space="preserve">PED 14063</t>
  </si>
  <si>
    <t xml:space="preserve">PED 14066</t>
  </si>
  <si>
    <t xml:space="preserve">PED 14102</t>
  </si>
  <si>
    <t xml:space="preserve">PED 13839</t>
  </si>
  <si>
    <t xml:space="preserve">PED 13992</t>
  </si>
  <si>
    <t xml:space="preserve">PED 14115</t>
  </si>
  <si>
    <t xml:space="preserve">PED 14052-14116</t>
  </si>
  <si>
    <t xml:space="preserve">PED 14067</t>
  </si>
  <si>
    <t xml:space="preserve">PED 13941</t>
  </si>
  <si>
    <t xml:space="preserve">PED 14120</t>
  </si>
  <si>
    <t xml:space="preserve">PED 14059</t>
  </si>
  <si>
    <t xml:space="preserve">PED 14001</t>
  </si>
  <si>
    <t xml:space="preserve">PED 13786-13773</t>
  </si>
  <si>
    <t xml:space="preserve">PED 13772-13922</t>
  </si>
  <si>
    <t xml:space="preserve">PED 14135-113</t>
  </si>
  <si>
    <t xml:space="preserve">PED 14056-13932</t>
  </si>
  <si>
    <t xml:space="preserve">PED 14127</t>
  </si>
  <si>
    <t xml:space="preserve">PED 14054</t>
  </si>
  <si>
    <t xml:space="preserve">PED 13875</t>
  </si>
  <si>
    <t xml:space="preserve">PED 14141</t>
  </si>
  <si>
    <t xml:space="preserve">PED 14095</t>
  </si>
  <si>
    <t xml:space="preserve">PED 13981-14081</t>
  </si>
  <si>
    <t xml:space="preserve">PED 14096</t>
  </si>
  <si>
    <t xml:space="preserve">PED 14139</t>
  </si>
  <si>
    <t xml:space="preserve">PED 14082</t>
  </si>
  <si>
    <t xml:space="preserve">PED 14138</t>
  </si>
  <si>
    <t xml:space="preserve">PED 13965</t>
  </si>
  <si>
    <t xml:space="preserve">PED 14153</t>
  </si>
  <si>
    <t xml:space="preserve">PED 14106</t>
  </si>
  <si>
    <t xml:space="preserve">PED 14026</t>
  </si>
  <si>
    <t xml:space="preserve">PED 13900</t>
  </si>
  <si>
    <t xml:space="preserve">PED 113</t>
  </si>
  <si>
    <t xml:space="preserve">LIMEIRA</t>
  </si>
  <si>
    <t xml:space="preserve">PED 13934-13968-14101</t>
  </si>
  <si>
    <t xml:space="preserve">PED 14155</t>
  </si>
  <si>
    <t xml:space="preserve">PED 14147</t>
  </si>
  <si>
    <t xml:space="preserve">PED 14100</t>
  </si>
  <si>
    <t xml:space="preserve">PED 14125</t>
  </si>
  <si>
    <t xml:space="preserve">PED 14144</t>
  </si>
  <si>
    <t xml:space="preserve">PED 14157</t>
  </si>
  <si>
    <t xml:space="preserve">PED 14013</t>
  </si>
  <si>
    <t xml:space="preserve">PED 14140</t>
  </si>
  <si>
    <t xml:space="preserve">PED 14116</t>
  </si>
  <si>
    <t xml:space="preserve">PED 14051-14115</t>
  </si>
  <si>
    <t xml:space="preserve">PED 14150</t>
  </si>
  <si>
    <t xml:space="preserve">PED 14122</t>
  </si>
  <si>
    <t xml:space="preserve">PED 13909</t>
  </si>
  <si>
    <t xml:space="preserve">PED 256</t>
  </si>
  <si>
    <t xml:space="preserve">PED 14114</t>
  </si>
  <si>
    <t xml:space="preserve">PED 14132</t>
  </si>
  <si>
    <t xml:space="preserve">PED 14164</t>
  </si>
  <si>
    <t xml:space="preserve">PED 14133</t>
  </si>
  <si>
    <t xml:space="preserve">PED 14180</t>
  </si>
  <si>
    <t xml:space="preserve">PED 14151</t>
  </si>
  <si>
    <t xml:space="preserve">PED 13983</t>
  </si>
  <si>
    <t xml:space="preserve">PED 14168</t>
  </si>
  <si>
    <t xml:space="preserve">PED 14166</t>
  </si>
  <si>
    <t xml:space="preserve">PED 14170-14181</t>
  </si>
  <si>
    <t xml:space="preserve">PED 14145-14183-14184</t>
  </si>
  <si>
    <t xml:space="preserve">PED 14186</t>
  </si>
  <si>
    <t xml:space="preserve">PED 14185</t>
  </si>
  <si>
    <t xml:space="preserve">PED 14173</t>
  </si>
  <si>
    <t xml:space="preserve">PED 14171</t>
  </si>
  <si>
    <t xml:space="preserve">PED 14172</t>
  </si>
  <si>
    <t xml:space="preserve">PED 14174</t>
  </si>
  <si>
    <t xml:space="preserve">PED 255</t>
  </si>
  <si>
    <t xml:space="preserve">PED 14182</t>
  </si>
  <si>
    <t xml:space="preserve">PED 13814-14187</t>
  </si>
  <si>
    <t xml:space="preserve">PED 7060-9923-13814-14187</t>
  </si>
  <si>
    <t xml:space="preserve">PED 14200</t>
  </si>
  <si>
    <t xml:space="preserve">PED 14087</t>
  </si>
  <si>
    <t xml:space="preserve">PED 13760</t>
  </si>
  <si>
    <t xml:space="preserve">PED 13977-14036</t>
  </si>
  <si>
    <t xml:space="preserve">PED 14204</t>
  </si>
  <si>
    <t xml:space="preserve">PED 14083</t>
  </si>
  <si>
    <t xml:space="preserve">PED 14060</t>
  </si>
  <si>
    <t xml:space="preserve">PED 14037-14041-14043-14045-14046</t>
  </si>
  <si>
    <t xml:space="preserve">PED 14189</t>
  </si>
  <si>
    <t xml:space="preserve">PED 14179</t>
  </si>
  <si>
    <t xml:space="preserve">PED 14119</t>
  </si>
  <si>
    <t xml:space="preserve">PED 14205</t>
  </si>
  <si>
    <t xml:space="preserve">PED 14208</t>
  </si>
  <si>
    <t xml:space="preserve">PED 14203</t>
  </si>
  <si>
    <t xml:space="preserve">PED 14154</t>
  </si>
  <si>
    <t xml:space="preserve">PED 9923-14187</t>
  </si>
  <si>
    <t xml:space="preserve">PED 14217</t>
  </si>
  <si>
    <t xml:space="preserve">PED 14213</t>
  </si>
  <si>
    <t xml:space="preserve">PED 14221</t>
  </si>
  <si>
    <t xml:space="preserve">PED 14211</t>
  </si>
  <si>
    <t xml:space="preserve">PED 14222</t>
  </si>
  <si>
    <t xml:space="preserve">PED 14069</t>
  </si>
  <si>
    <t xml:space="preserve">PED 14228</t>
  </si>
  <si>
    <t xml:space="preserve">PED 14197</t>
  </si>
  <si>
    <t xml:space="preserve">PED 14206</t>
  </si>
  <si>
    <t xml:space="preserve">PED 14225</t>
  </si>
  <si>
    <t xml:space="preserve">PED 14223</t>
  </si>
  <si>
    <t xml:space="preserve">PED 14238</t>
  </si>
  <si>
    <t xml:space="preserve">PED 14187</t>
  </si>
  <si>
    <t xml:space="preserve">PED 14121</t>
  </si>
  <si>
    <t xml:space="preserve">PED 14248</t>
  </si>
  <si>
    <t xml:space="preserve">PED 14245</t>
  </si>
  <si>
    <t xml:space="preserve">PED 14244</t>
  </si>
  <si>
    <t xml:space="preserve">PED 14229</t>
  </si>
  <si>
    <t xml:space="preserve">PED 14251</t>
  </si>
  <si>
    <t xml:space="preserve">PED 242</t>
  </si>
  <si>
    <t xml:space="preserve">PED 14246</t>
  </si>
  <si>
    <t xml:space="preserve">PED 14240</t>
  </si>
  <si>
    <t xml:space="preserve">PED 14250</t>
  </si>
  <si>
    <t xml:space="preserve">PED 14255</t>
  </si>
  <si>
    <t xml:space="preserve">PED 13936</t>
  </si>
  <si>
    <t xml:space="preserve">PED 14202</t>
  </si>
  <si>
    <t xml:space="preserve">PED 13832</t>
  </si>
  <si>
    <t xml:space="preserve">PED 13837</t>
  </si>
  <si>
    <t xml:space="preserve">PED 13906</t>
  </si>
  <si>
    <t xml:space="preserve">PED 13921</t>
  </si>
  <si>
    <t xml:space="preserve">PED 13939</t>
  </si>
  <si>
    <t xml:space="preserve">PED 13947</t>
  </si>
  <si>
    <t xml:space="preserve">PED 14016</t>
  </si>
  <si>
    <t xml:space="preserve">PED 14061</t>
  </si>
  <si>
    <t xml:space="preserve">PED 14049</t>
  </si>
  <si>
    <t xml:space="preserve">PED 14176</t>
  </si>
  <si>
    <t xml:space="preserve">PED 14177</t>
  </si>
  <si>
    <t xml:space="preserve">PED 14196</t>
  </si>
  <si>
    <t xml:space="preserve">PED 14201</t>
  </si>
  <si>
    <t xml:space="preserve">PED 14219</t>
  </si>
  <si>
    <t xml:space="preserve">PED 14220</t>
  </si>
  <si>
    <t xml:space="preserve">PED 14232</t>
  </si>
  <si>
    <t xml:space="preserve">PED 14241</t>
  </si>
  <si>
    <t xml:space="preserve">PED 14243</t>
  </si>
  <si>
    <t xml:space="preserve">PED 14249</t>
  </si>
  <si>
    <t xml:space="preserve">PED 14264</t>
  </si>
  <si>
    <t xml:space="preserve">PED 14273</t>
  </si>
  <si>
    <t xml:space="preserve">PED 14274</t>
  </si>
  <si>
    <t xml:space="preserve">PED 14278</t>
  </si>
  <si>
    <t xml:space="preserve">PED 14292</t>
  </si>
  <si>
    <t xml:space="preserve">PED 14306</t>
  </si>
  <si>
    <t xml:space="preserve">PED 14262</t>
  </si>
  <si>
    <t xml:space="preserve">PED 14256</t>
  </si>
  <si>
    <t xml:space="preserve">PED 13938</t>
  </si>
  <si>
    <t xml:space="preserve">PED 140</t>
  </si>
  <si>
    <t xml:space="preserve">PED 9923-13814-14187</t>
  </si>
  <si>
    <t xml:space="preserve">PED 14265</t>
  </si>
  <si>
    <t xml:space="preserve">PED 14266</t>
  </si>
  <si>
    <t xml:space="preserve">PED 14275</t>
  </si>
  <si>
    <t xml:space="preserve">PED 14277</t>
  </si>
  <si>
    <t xml:space="preserve">PED 14276</t>
  </si>
  <si>
    <t xml:space="preserve">PED 14287</t>
  </si>
  <si>
    <t xml:space="preserve">PED 14267</t>
  </si>
  <si>
    <t xml:space="preserve">PED 14048</t>
  </si>
  <si>
    <t xml:space="preserve">PED 11377</t>
  </si>
  <si>
    <t xml:space="preserve">PED 14295</t>
  </si>
  <si>
    <t xml:space="preserve">PED 13963</t>
  </si>
  <si>
    <t xml:space="preserve">PED 14099-14107-14216</t>
  </si>
  <si>
    <t xml:space="preserve">PED 155</t>
  </si>
  <si>
    <t xml:space="preserve">PED 14302</t>
  </si>
  <si>
    <t xml:space="preserve">PED 121</t>
  </si>
  <si>
    <t xml:space="preserve">PED 242-9923</t>
  </si>
  <si>
    <t xml:space="preserve">PED 14079</t>
  </si>
  <si>
    <t xml:space="preserve">PED 14293-14294</t>
  </si>
  <si>
    <t xml:space="preserve">PED 13989-13990-13991</t>
  </si>
  <si>
    <t xml:space="preserve">PED 14002</t>
  </si>
  <si>
    <t xml:space="preserve">PED 14004</t>
  </si>
  <si>
    <t xml:space="preserve">PED 14130</t>
  </si>
  <si>
    <t xml:space="preserve">PED 13907</t>
  </si>
  <si>
    <t xml:space="preserve">PED 14301</t>
  </si>
  <si>
    <t xml:space="preserve">PED 14297</t>
  </si>
  <si>
    <t xml:space="preserve">PED 14307</t>
  </si>
  <si>
    <t xml:space="preserve">PED 14308</t>
  </si>
  <si>
    <t xml:space="preserve">PED 14310</t>
  </si>
  <si>
    <t xml:space="preserve">PED 14312</t>
  </si>
  <si>
    <t xml:space="preserve">PED 14146-14224-14162</t>
  </si>
  <si>
    <t xml:space="preserve">PED 14073-14074</t>
  </si>
  <si>
    <t xml:space="preserve">PED 14037</t>
  </si>
  <si>
    <t xml:space="preserve">PED 14043</t>
  </si>
  <si>
    <t xml:space="preserve">PED 14190</t>
  </si>
  <si>
    <t xml:space="preserve">PED 14041</t>
  </si>
  <si>
    <t xml:space="preserve">PED 14046-14045-14092</t>
  </si>
  <si>
    <t xml:space="preserve">PED 14296-14247--14165</t>
  </si>
  <si>
    <t xml:space="preserve">PED 14257-14052</t>
  </si>
  <si>
    <t xml:space="preserve">PED 14261</t>
  </si>
  <si>
    <t xml:space="preserve">PED 14260</t>
  </si>
  <si>
    <t xml:space="preserve">PED 14179-14071</t>
  </si>
  <si>
    <t xml:space="preserve">PED 14258</t>
  </si>
  <si>
    <t xml:space="preserve">PED 14207</t>
  </si>
  <si>
    <t xml:space="preserve">PED 14314</t>
  </si>
  <si>
    <t xml:space="preserve">PED 13995</t>
  </si>
  <si>
    <t xml:space="preserve">PED 14252-14254-14271</t>
  </si>
  <si>
    <t xml:space="preserve">PED 13934-14318--14270</t>
  </si>
  <si>
    <t xml:space="preserve">PED 14322</t>
  </si>
  <si>
    <t xml:space="preserve">PED 14283</t>
  </si>
  <si>
    <t xml:space="preserve">PED 14279</t>
  </si>
  <si>
    <t xml:space="preserve">PED 14281</t>
  </si>
  <si>
    <t xml:space="preserve">PED 14280</t>
  </si>
  <si>
    <t xml:space="preserve">PED 14289</t>
  </si>
  <si>
    <t xml:space="preserve">PED 14282</t>
  </si>
  <si>
    <t xml:space="preserve">PED 14290</t>
  </si>
  <si>
    <t xml:space="preserve">PED 13937</t>
  </si>
  <si>
    <t xml:space="preserve">PED 14008</t>
  </si>
  <si>
    <t xml:space="preserve">PED 14316-14317-14315</t>
  </si>
  <si>
    <t xml:space="preserve">PED 14300</t>
  </si>
  <si>
    <t xml:space="preserve">PED 14072</t>
  </si>
  <si>
    <t xml:space="preserve">PED 14111</t>
  </si>
  <si>
    <t xml:space="preserve">PED 14263</t>
  </si>
  <si>
    <t xml:space="preserve">PED 14334</t>
  </si>
  <si>
    <t xml:space="preserve">PED 14320</t>
  </si>
  <si>
    <t xml:space="preserve">PED 14099</t>
  </si>
  <si>
    <t xml:space="preserve">PED 14137</t>
  </si>
  <si>
    <t xml:space="preserve">PED 154</t>
  </si>
  <si>
    <t xml:space="preserve">PED 14329</t>
  </si>
  <si>
    <t xml:space="preserve">PED 14187-9923</t>
  </si>
  <si>
    <t xml:space="preserve">PED 204-9923</t>
  </si>
  <si>
    <t xml:space="preserve">PED 14335</t>
  </si>
  <si>
    <t xml:space="preserve">PED 14304</t>
  </si>
  <si>
    <t xml:space="preserve">PED 14333</t>
  </si>
  <si>
    <t xml:space="preserve">PED 13969</t>
  </si>
  <si>
    <t xml:space="preserve">PED 14327</t>
  </si>
  <si>
    <t xml:space="preserve">PED 14341</t>
  </si>
  <si>
    <t xml:space="preserve">PED 14342</t>
  </si>
  <si>
    <t xml:space="preserve">PED 14253</t>
  </si>
  <si>
    <t xml:space="preserve">PED 14338</t>
  </si>
  <si>
    <t xml:space="preserve">PED 14346</t>
  </si>
  <si>
    <t xml:space="preserve">PED 14350</t>
  </si>
  <si>
    <t xml:space="preserve">PED 14353</t>
  </si>
  <si>
    <t xml:space="preserve">PED 14354</t>
  </si>
  <si>
    <t xml:space="preserve">PED 14269</t>
  </si>
  <si>
    <t xml:space="preserve">PED 14359</t>
  </si>
  <si>
    <t xml:space="preserve">PED 14303</t>
  </si>
  <si>
    <t xml:space="preserve">PED 14367</t>
  </si>
  <si>
    <t xml:space="preserve">PED 14366</t>
  </si>
  <si>
    <t xml:space="preserve">PED 14357</t>
  </si>
  <si>
    <t xml:space="preserve">PED 14358</t>
  </si>
  <si>
    <t xml:space="preserve">PED 14317-14315</t>
  </si>
  <si>
    <t xml:space="preserve">PED 14370</t>
  </si>
  <si>
    <t xml:space="preserve">PED 14188</t>
  </si>
  <si>
    <t xml:space="preserve">PED 13377</t>
  </si>
  <si>
    <t xml:space="preserve">PED 14258-14051-14115</t>
  </si>
  <si>
    <t xml:space="preserve">PED 14116-14257</t>
  </si>
  <si>
    <t xml:space="preserve">PED 14117-14055</t>
  </si>
  <si>
    <t xml:space="preserve">PED 14118-14054</t>
  </si>
  <si>
    <t xml:space="preserve">PED 14381</t>
  </si>
  <si>
    <t xml:space="preserve">PED 14385</t>
  </si>
  <si>
    <t xml:space="preserve">PED 14261-14260-14051-14174-14382-14258</t>
  </si>
  <si>
    <t xml:space="preserve">PED 14380</t>
  </si>
  <si>
    <t xml:space="preserve">PED 14387</t>
  </si>
  <si>
    <t xml:space="preserve">PED 9923-14187-204</t>
  </si>
  <si>
    <t xml:space="preserve">PED 162-156</t>
  </si>
  <si>
    <t xml:space="preserve">PED 14383</t>
  </si>
  <si>
    <t xml:space="preserve">PED 14396</t>
  </si>
  <si>
    <t xml:space="preserve">PED 14395</t>
  </si>
  <si>
    <t xml:space="preserve">PED 14400</t>
  </si>
  <si>
    <t xml:space="preserve">PED 14198</t>
  </si>
  <si>
    <t xml:space="preserve">PED 14389-14316</t>
  </si>
  <si>
    <t xml:space="preserve">PED 14409</t>
  </si>
  <si>
    <t xml:space="preserve">PED 14421</t>
  </si>
  <si>
    <t xml:space="preserve">PED 14257</t>
  </si>
  <si>
    <t xml:space="preserve">PED 14309</t>
  </si>
  <si>
    <t xml:space="preserve">PED 14355</t>
  </si>
  <si>
    <t xml:space="preserve">PED 14429</t>
  </si>
  <si>
    <t xml:space="preserve">PED 14348</t>
  </si>
  <si>
    <t xml:space="preserve">PED 14425</t>
  </si>
  <si>
    <t xml:space="preserve">PED 14173-14260</t>
  </si>
  <si>
    <t xml:space="preserve">PED 14172-14261</t>
  </si>
  <si>
    <t xml:space="preserve">PED 13377-14187</t>
  </si>
  <si>
    <t xml:space="preserve">PED 14218</t>
  </si>
  <si>
    <t xml:space="preserve">PED 14360-14432-14433-14439</t>
  </si>
  <si>
    <t xml:space="preserve">PED 14435</t>
  </si>
  <si>
    <t xml:space="preserve">PED 14440</t>
  </si>
  <si>
    <t xml:space="preserve">PED 14319</t>
  </si>
  <si>
    <t xml:space="preserve">PED 14444</t>
  </si>
  <si>
    <t xml:space="preserve">PED 14323</t>
  </si>
  <si>
    <t xml:space="preserve">PED 13708</t>
  </si>
  <si>
    <t xml:space="preserve">PED 14239</t>
  </si>
  <si>
    <t xml:space="preserve">PED 14271</t>
  </si>
  <si>
    <t xml:space="preserve">PED 14365</t>
  </si>
  <si>
    <t xml:space="preserve">PED 14366-14445</t>
  </si>
  <si>
    <t xml:space="preserve">PED 14340</t>
  </si>
  <si>
    <t xml:space="preserve">PED 14448</t>
  </si>
  <si>
    <t xml:space="preserve">PED 14411-14412</t>
  </si>
  <si>
    <t xml:space="preserve">PED 14410</t>
  </si>
  <si>
    <t xml:space="preserve">PED 14406</t>
  </si>
  <si>
    <t xml:space="preserve">PED 14404</t>
  </si>
  <si>
    <t xml:space="preserve">PED 14408</t>
  </si>
  <si>
    <t xml:space="preserve">PED 13709</t>
  </si>
  <si>
    <t xml:space="preserve">PED 14286</t>
  </si>
  <si>
    <t xml:space="preserve">PED 14257-14052-14116</t>
  </si>
  <si>
    <t xml:space="preserve">PED 14258-14115</t>
  </si>
  <si>
    <t xml:space="preserve">PED 14268</t>
  </si>
  <si>
    <t xml:space="preserve">PED 14401-14165</t>
  </si>
  <si>
    <t xml:space="preserve">PED 14403</t>
  </si>
  <si>
    <t xml:space="preserve">PED 13707-708-709-710-14326-14393</t>
  </si>
  <si>
    <t xml:space="preserve">PED 14456</t>
  </si>
  <si>
    <t xml:space="preserve">PED 14363</t>
  </si>
  <si>
    <t xml:space="preserve">PED 14391</t>
  </si>
  <si>
    <t xml:space="preserve">PED 14194</t>
  </si>
  <si>
    <t xml:space="preserve">PED 14463</t>
  </si>
  <si>
    <t xml:space="preserve">PED 14434</t>
  </si>
  <si>
    <t xml:space="preserve">PED 14447</t>
  </si>
  <si>
    <t xml:space="preserve">PED 14298-14331</t>
  </si>
  <si>
    <t xml:space="preserve">PED 14472</t>
  </si>
  <si>
    <t xml:space="preserve">PED 14473</t>
  </si>
  <si>
    <t xml:space="preserve">PED 14477</t>
  </si>
  <si>
    <t xml:space="preserve">PED 14462</t>
  </si>
  <si>
    <t xml:space="preserve">PED 14475</t>
  </si>
  <si>
    <t xml:space="preserve">PED 14476</t>
  </si>
  <si>
    <t xml:space="preserve">PED 14481</t>
  </si>
  <si>
    <t xml:space="preserve">PED 14369</t>
  </si>
  <si>
    <t xml:space="preserve">PED 14384</t>
  </si>
  <si>
    <t xml:space="preserve">PED 14458</t>
  </si>
  <si>
    <t xml:space="preserve">PED 14470</t>
  </si>
  <si>
    <t xml:space="preserve">PED 14084</t>
  </si>
  <si>
    <t xml:space="preserve">PED 14085</t>
  </si>
  <si>
    <t xml:space="preserve">PED 14482</t>
  </si>
  <si>
    <t xml:space="preserve">PED 13976</t>
  </si>
  <si>
    <t xml:space="preserve">PED 14336</t>
  </si>
  <si>
    <t xml:space="preserve">PED 14259-14115--14258</t>
  </si>
  <si>
    <t xml:space="preserve">PED 14487-14456</t>
  </si>
  <si>
    <t xml:space="preserve">PED 14451-14406</t>
  </si>
  <si>
    <t xml:space="preserve">PED 14454</t>
  </si>
  <si>
    <t xml:space="preserve">PED 14453</t>
  </si>
  <si>
    <t xml:space="preserve">PED 14455</t>
  </si>
  <si>
    <t xml:space="preserve">PED 14452</t>
  </si>
  <si>
    <t xml:space="preserve">PED 28-29</t>
  </si>
  <si>
    <t xml:space="preserve">PED 26-27</t>
  </si>
  <si>
    <t xml:space="preserve">PED 14473-14472</t>
  </si>
  <si>
    <t xml:space="preserve">PED 14480</t>
  </si>
  <si>
    <t xml:space="preserve">PED 14332-14305</t>
  </si>
  <si>
    <t xml:space="preserve">PED 14493</t>
  </si>
  <si>
    <t xml:space="preserve">PED 14492</t>
  </si>
  <si>
    <t xml:space="preserve">PED 14488-14485-14489</t>
  </si>
  <si>
    <t xml:space="preserve">PED 11491-14007</t>
  </si>
  <si>
    <t xml:space="preserve">GERMISUL</t>
  </si>
  <si>
    <t xml:space="preserve">PED 14459</t>
  </si>
  <si>
    <t xml:space="preserve">PED 14445</t>
  </si>
  <si>
    <t xml:space="preserve">PED 13402</t>
  </si>
  <si>
    <t xml:space="preserve">PED 11491-13377-13402</t>
  </si>
  <si>
    <t xml:space="preserve">PED 14495-14051-14115-14258</t>
  </si>
  <si>
    <t xml:space="preserve">PED 14509</t>
  </si>
  <si>
    <t xml:space="preserve">PED 13716</t>
  </si>
  <si>
    <t xml:space="preserve">PED 13767</t>
  </si>
  <si>
    <t xml:space="preserve">PED 13768</t>
  </si>
  <si>
    <t xml:space="preserve">PED 14330</t>
  </si>
  <si>
    <t xml:space="preserve">PED 14261-14118</t>
  </si>
  <si>
    <t xml:space="preserve">PED 14491</t>
  </si>
  <si>
    <t xml:space="preserve">PED 14507</t>
  </si>
  <si>
    <t xml:space="preserve">PED 14461-14443-14460</t>
  </si>
  <si>
    <t xml:space="preserve">PED 14511</t>
  </si>
  <si>
    <t xml:space="preserve">PED 14503</t>
  </si>
  <si>
    <t xml:space="preserve">PED 14505</t>
  </si>
  <si>
    <t xml:space="preserve">PED 14465</t>
  </si>
  <si>
    <t xml:space="preserve">PED 14430</t>
  </si>
  <si>
    <t xml:space="preserve">PED 14510</t>
  </si>
  <si>
    <t xml:space="preserve">PED 14191</t>
  </si>
  <si>
    <t xml:space="preserve">PED 14214</t>
  </si>
  <si>
    <t xml:space="preserve">PED 9923-14187-13814</t>
  </si>
  <si>
    <t xml:space="preserve">PED 14431</t>
  </si>
  <si>
    <t xml:space="preserve">PED 14506</t>
  </si>
  <si>
    <t xml:space="preserve">PED 14258-14259</t>
  </si>
  <si>
    <t xml:space="preserve">PED 14512</t>
  </si>
  <si>
    <t xml:space="preserve">PED 14455-14408</t>
  </si>
  <si>
    <t xml:space="preserve">PED 14406-14451</t>
  </si>
  <si>
    <t xml:space="preserve">PED 14504</t>
  </si>
  <si>
    <t xml:space="preserve">PED 14536</t>
  </si>
  <si>
    <t xml:space="preserve">PED 239</t>
  </si>
  <si>
    <t xml:space="preserve">PED 14535</t>
  </si>
  <si>
    <t xml:space="preserve">PED 13856</t>
  </si>
  <si>
    <t xml:space="preserve">PED 14404-14453</t>
  </si>
  <si>
    <t xml:space="preserve">PED 14410-14454</t>
  </si>
  <si>
    <t xml:space="preserve">PED 14156</t>
  </si>
  <si>
    <t xml:space="preserve">PED 14542</t>
  </si>
  <si>
    <t xml:space="preserve">PED 14498</t>
  </si>
  <si>
    <t xml:space="preserve">PED 14544-240</t>
  </si>
  <si>
    <t xml:space="preserve">PED 14538</t>
  </si>
  <si>
    <t xml:space="preserve">PED 14483</t>
  </si>
  <si>
    <t xml:space="preserve">PED 14547</t>
  </si>
  <si>
    <t xml:space="preserve">PED 14546</t>
  </si>
  <si>
    <t xml:space="preserve">PED 14548</t>
  </si>
  <si>
    <t xml:space="preserve">PED 9923-204-14187</t>
  </si>
  <si>
    <t xml:space="preserve">PED 14545</t>
  </si>
  <si>
    <t xml:space="preserve">PED 14138-14210</t>
  </si>
  <si>
    <t xml:space="preserve">PED 14558</t>
  </si>
  <si>
    <t xml:space="preserve">PED 164</t>
  </si>
  <si>
    <t xml:space="preserve">PED 14187-14559</t>
  </si>
  <si>
    <t xml:space="preserve">PED 139-140-14560</t>
  </si>
  <si>
    <t xml:space="preserve">PED 14561</t>
  </si>
  <si>
    <t xml:space="preserve">PED 14399-14397-14398</t>
  </si>
  <si>
    <t xml:space="preserve">PED 24</t>
  </si>
  <si>
    <t xml:space="preserve">PED 26</t>
  </si>
  <si>
    <t xml:space="preserve">PED 28</t>
  </si>
  <si>
    <t xml:space="preserve">PED 14534</t>
  </si>
  <si>
    <t xml:space="preserve">PED 204-14187</t>
  </si>
  <si>
    <t xml:space="preserve">PED 14565</t>
  </si>
  <si>
    <t xml:space="preserve">PED 14526-14562-14495</t>
  </si>
  <si>
    <t xml:space="preserve">PED 14563</t>
  </si>
  <si>
    <t xml:space="preserve">PED 110</t>
  </si>
  <si>
    <t xml:space="preserve">PED 14554</t>
  </si>
  <si>
    <t xml:space="preserve">PED 14587-14187</t>
  </si>
  <si>
    <t xml:space="preserve">PED 14351</t>
  </si>
  <si>
    <t xml:space="preserve">PED 13797</t>
  </si>
  <si>
    <t xml:space="preserve">PED 14586</t>
  </si>
  <si>
    <t xml:space="preserve">PED 13803-13795</t>
  </si>
  <si>
    <t xml:space="preserve">PED 13402-14518</t>
  </si>
  <si>
    <t xml:space="preserve">PED 14593</t>
  </si>
  <si>
    <t xml:space="preserve">PED 14589</t>
  </si>
  <si>
    <t xml:space="preserve">PED 14285</t>
  </si>
  <si>
    <t xml:space="preserve">PED 14594</t>
  </si>
  <si>
    <t xml:space="preserve">PED 14595</t>
  </si>
  <si>
    <t xml:space="preserve">PED 14424</t>
  </si>
  <si>
    <t xml:space="preserve">PED 196-246-257-</t>
  </si>
  <si>
    <t xml:space="preserve">PED 29</t>
  </si>
  <si>
    <t xml:space="preserve">PED 14349</t>
  </si>
  <si>
    <t xml:space="preserve">PED 14600</t>
  </si>
  <si>
    <t xml:space="preserve">PED 14514</t>
  </si>
  <si>
    <t xml:space="preserve">PED 14603</t>
  </si>
  <si>
    <t xml:space="preserve">PED 14523</t>
  </si>
  <si>
    <t xml:space="preserve">PED 14522</t>
  </si>
  <si>
    <t xml:space="preserve">PED 95</t>
  </si>
  <si>
    <t xml:space="preserve">PED 14607</t>
  </si>
  <si>
    <t xml:space="preserve">PED 14378-14379</t>
  </si>
  <si>
    <t xml:space="preserve">PED 76</t>
  </si>
  <si>
    <t xml:space="preserve">PED 77</t>
  </si>
  <si>
    <t xml:space="preserve">PED 3-13904</t>
  </si>
  <si>
    <t xml:space="preserve">PED 14609</t>
  </si>
  <si>
    <t xml:space="preserve">PED 14572</t>
  </si>
  <si>
    <t xml:space="preserve">PED 14569</t>
  </si>
  <si>
    <t xml:space="preserve">PED 14571</t>
  </si>
  <si>
    <t xml:space="preserve">PED 14568</t>
  </si>
  <si>
    <t xml:space="preserve">PED 14567</t>
  </si>
  <si>
    <t xml:space="preserve">PED 14530</t>
  </si>
  <si>
    <t xml:space="preserve">PED 173</t>
  </si>
  <si>
    <t xml:space="preserve">PED 13843</t>
  </si>
  <si>
    <t xml:space="preserve">PED 13843-14565</t>
  </si>
  <si>
    <t xml:space="preserve">PED 14582</t>
  </si>
  <si>
    <t xml:space="preserve">PED 14620-14581</t>
  </si>
  <si>
    <t xml:space="preserve">PED 13902</t>
  </si>
  <si>
    <t xml:space="preserve">PED 14436</t>
  </si>
  <si>
    <t xml:space="preserve">PED 13943-14170-14616</t>
  </si>
  <si>
    <t xml:space="preserve">PED 115</t>
  </si>
  <si>
    <t xml:space="preserve">PED 138</t>
  </si>
  <si>
    <t xml:space="preserve">PED 14597</t>
  </si>
  <si>
    <t xml:space="preserve">PED 13935</t>
  </si>
  <si>
    <t xml:space="preserve">PED 14418</t>
  </si>
  <si>
    <t xml:space="preserve">PED 14420</t>
  </si>
  <si>
    <t xml:space="preserve">PED 14621</t>
  </si>
  <si>
    <t xml:space="preserve">PED 14521</t>
  </si>
  <si>
    <t xml:space="preserve">PED 28-134</t>
  </si>
  <si>
    <t xml:space="preserve">PED 14632</t>
  </si>
  <si>
    <t xml:space="preserve">PED 14496</t>
  </si>
  <si>
    <t xml:space="preserve">PED 14169</t>
  </si>
  <si>
    <t xml:space="preserve">PED 14640</t>
  </si>
  <si>
    <t xml:space="preserve">PED 14630</t>
  </si>
  <si>
    <t xml:space="preserve">PED 14571-14045</t>
  </si>
  <si>
    <t xml:space="preserve">PED 14520</t>
  </si>
  <si>
    <t xml:space="preserve">PED 14519-14520</t>
  </si>
  <si>
    <t xml:space="preserve">PED 14633</t>
  </si>
  <si>
    <t xml:space="preserve">PED 14642</t>
  </si>
  <si>
    <t xml:space="preserve">PED 14636</t>
  </si>
  <si>
    <t xml:space="preserve">PED 14622</t>
  </si>
  <si>
    <t xml:space="preserve">PED 14557</t>
  </si>
  <si>
    <t xml:space="preserve">PED 13873</t>
  </si>
  <si>
    <t xml:space="preserve">PED 14583</t>
  </si>
  <si>
    <t xml:space="preserve">PED 13846</t>
  </si>
  <si>
    <t xml:space="preserve">PED 14564</t>
  </si>
  <si>
    <t xml:space="preserve">PED 13901</t>
  </si>
  <si>
    <t xml:space="preserve">PED 14611</t>
  </si>
  <si>
    <t xml:space="preserve">PED 14645</t>
  </si>
  <si>
    <t xml:space="preserve">PED 14644</t>
  </si>
  <si>
    <t xml:space="preserve">PED 14413</t>
  </si>
  <si>
    <t xml:space="preserve">PED 14639-14660</t>
  </si>
  <si>
    <t xml:space="preserve">PED 14584-14650</t>
  </si>
  <si>
    <t xml:space="preserve">PED 14592</t>
  </si>
  <si>
    <t xml:space="preserve">PED 14579-14653</t>
  </si>
  <si>
    <t xml:space="preserve">PED 14576-14655</t>
  </si>
  <si>
    <t xml:space="preserve">PED 14578-14654</t>
  </si>
  <si>
    <t xml:space="preserve">PED 14575-14656</t>
  </si>
  <si>
    <t xml:space="preserve">PED 14661-13927</t>
  </si>
  <si>
    <t xml:space="preserve">PED 14658-14577</t>
  </si>
  <si>
    <t xml:space="preserve">PED 14155-14498</t>
  </si>
  <si>
    <t xml:space="preserve">PED 14668</t>
  </si>
  <si>
    <t xml:space="preserve">PED 14657-14580</t>
  </si>
  <si>
    <t xml:space="preserve">PED 14468</t>
  </si>
  <si>
    <t xml:space="preserve">PED 14553</t>
  </si>
  <si>
    <t xml:space="preserve">PED 14551</t>
  </si>
  <si>
    <t xml:space="preserve">PED 14666</t>
  </si>
  <si>
    <t xml:space="preserve">PED 14617</t>
  </si>
  <si>
    <t xml:space="preserve">PED 14566</t>
  </si>
  <si>
    <t xml:space="preserve">PED 14585</t>
  </si>
  <si>
    <t xml:space="preserve">PED 14501</t>
  </si>
  <si>
    <t xml:space="preserve">PED 14673</t>
  </si>
  <si>
    <t xml:space="preserve">PED 14469</t>
  </si>
  <si>
    <t xml:space="preserve">PED 14652</t>
  </si>
  <si>
    <t xml:space="preserve">PED 14667</t>
  </si>
  <si>
    <t xml:space="preserve">PED 14375</t>
  </si>
  <si>
    <t xml:space="preserve">PED 14374</t>
  </si>
  <si>
    <t xml:space="preserve">PED 14601</t>
  </si>
  <si>
    <t xml:space="preserve">PED 14680</t>
  </si>
  <si>
    <t xml:space="preserve">PED 14497</t>
  </si>
  <si>
    <t xml:space="preserve">PED 14686</t>
  </si>
  <si>
    <t xml:space="preserve">PED 14515</t>
  </si>
  <si>
    <t xml:space="preserve">PED 14690</t>
  </si>
  <si>
    <t xml:space="preserve">PED 14638</t>
  </si>
  <si>
    <t xml:space="preserve">PED 14516</t>
  </si>
  <si>
    <t xml:space="preserve">PED 14427</t>
  </si>
  <si>
    <t xml:space="preserve">PED 14513</t>
  </si>
  <si>
    <t xml:space="preserve">PED 14543</t>
  </si>
  <si>
    <t xml:space="preserve">PED 14596</t>
  </si>
  <si>
    <t xml:space="preserve">PED 14602</t>
  </si>
  <si>
    <t xml:space="preserve">PED 14517</t>
  </si>
  <si>
    <t xml:space="preserve">PED 27</t>
  </si>
  <si>
    <t xml:space="preserve">PED 14356</t>
  </si>
  <si>
    <t xml:space="preserve">PED 14405</t>
  </si>
  <si>
    <t xml:space="preserve">PED 14313</t>
  </si>
  <si>
    <t xml:space="preserve">PED 14321</t>
  </si>
  <si>
    <t xml:space="preserve">PED 14193</t>
  </si>
  <si>
    <t xml:space="preserve">PED 14386</t>
  </si>
  <si>
    <t xml:space="preserve">PED 14390</t>
  </si>
  <si>
    <t xml:space="preserve">PED 14419</t>
  </si>
  <si>
    <t xml:space="preserve">PED 14417</t>
  </si>
  <si>
    <t xml:space="preserve">PED 14438</t>
  </si>
  <si>
    <t xml:space="preserve">PED 14479</t>
  </si>
  <si>
    <t xml:space="preserve">PED 14494</t>
  </si>
  <si>
    <t xml:space="preserve">PED 14531</t>
  </si>
  <si>
    <t xml:space="preserve">PED 14555</t>
  </si>
  <si>
    <t xml:space="preserve">PED 14550</t>
  </si>
  <si>
    <t xml:space="preserve">PED 14676</t>
  </si>
  <si>
    <t xml:space="preserve">PED 14667-14689</t>
  </si>
  <si>
    <t xml:space="preserve">PED 14699</t>
  </si>
  <si>
    <t xml:space="preserve">PED 14678</t>
  </si>
  <si>
    <t xml:space="preserve">PED 14706</t>
  </si>
  <si>
    <t xml:space="preserve">PED 14526-14551-14685</t>
  </si>
  <si>
    <t xml:space="preserve">PED 14683</t>
  </si>
  <si>
    <t xml:space="preserve">PED 14700</t>
  </si>
  <si>
    <t xml:space="preserve">PED 14401-14606</t>
  </si>
  <si>
    <t xml:space="preserve">PED 14552</t>
  </si>
  <si>
    <t xml:space="preserve">PED 14707</t>
  </si>
  <si>
    <t xml:space="preserve">PED 14708</t>
  </si>
  <si>
    <t xml:space="preserve">PED 14645-13767</t>
  </si>
  <si>
    <t xml:space="preserve">PED 14565-13768</t>
  </si>
  <si>
    <t xml:space="preserve">PED 14684</t>
  </si>
  <si>
    <t xml:space="preserve">PED 14703</t>
  </si>
  <si>
    <t xml:space="preserve">PED 14634</t>
  </si>
  <si>
    <t xml:space="preserve">PED 14626-14610</t>
  </si>
  <si>
    <t xml:space="preserve">PED 14626-14566</t>
  </si>
  <si>
    <t xml:space="preserve">PED 14178</t>
  </si>
  <si>
    <t xml:space="preserve">PED 14352</t>
  </si>
  <si>
    <t xml:space="preserve">PED 14364-14362</t>
  </si>
  <si>
    <t xml:space="preserve">PED 14437</t>
  </si>
  <si>
    <t xml:space="preserve">PED 14449</t>
  </si>
  <si>
    <t xml:space="preserve">PED 14478</t>
  </si>
  <si>
    <t xml:space="preserve">PED 14490</t>
  </si>
  <si>
    <t xml:space="preserve">PED 257-14697-13717</t>
  </si>
  <si>
    <t xml:space="preserve">PED 14710</t>
  </si>
  <si>
    <t xml:space="preserve">PED 14272</t>
  </si>
  <si>
    <t xml:space="preserve">PED 14599</t>
  </si>
  <si>
    <t xml:space="preserve">PED 14606</t>
  </si>
  <si>
    <t xml:space="preserve">PED 14696</t>
  </si>
  <si>
    <t xml:space="preserve">PED 14549</t>
  </si>
  <si>
    <t xml:space="preserve">PED 14614-14615</t>
  </si>
  <si>
    <t xml:space="preserve">PED 14484</t>
  </si>
  <si>
    <t xml:space="preserve">PED 14631</t>
  </si>
  <si>
    <t xml:space="preserve">PED 14701</t>
  </si>
  <si>
    <t xml:space="preserve">PED 14714</t>
  </si>
  <si>
    <t xml:space="preserve">PED 14695-14667</t>
  </si>
  <si>
    <t xml:space="preserve">PED 14716</t>
  </si>
  <si>
    <t xml:space="preserve">PED 14649</t>
  </si>
  <si>
    <t xml:space="preserve">PED 14646</t>
  </si>
  <si>
    <t xml:space="preserve">PED 14647</t>
  </si>
  <si>
    <t xml:space="preserve">PED 14637</t>
  </si>
  <si>
    <t xml:space="preserve">PED 14160</t>
  </si>
  <si>
    <t xml:space="preserve">PED 14450</t>
  </si>
  <si>
    <t xml:space="preserve">PED 14670</t>
  </si>
  <si>
    <t xml:space="preserve">PED 14665</t>
  </si>
  <si>
    <t xml:space="preserve">PED 14713</t>
  </si>
  <si>
    <t xml:space="preserve">PED 14705</t>
  </si>
  <si>
    <t xml:space="preserve">PED 14721</t>
  </si>
  <si>
    <t xml:space="preserve">PED 14669</t>
  </si>
  <si>
    <t xml:space="preserve">PED 14679</t>
  </si>
  <si>
    <t xml:space="preserve">PED 14590</t>
  </si>
  <si>
    <t xml:space="preserve">PED 14702</t>
  </si>
  <si>
    <t xml:space="preserve">PED 14671</t>
  </si>
  <si>
    <t xml:space="preserve">PED 14675</t>
  </si>
  <si>
    <t xml:space="preserve">PED 14648</t>
  </si>
  <si>
    <t xml:space="preserve">PED 14717</t>
  </si>
  <si>
    <t xml:space="preserve">PED 14591</t>
  </si>
  <si>
    <t xml:space="preserve">PED 13768-13715</t>
  </si>
  <si>
    <t xml:space="preserve">PED 14674</t>
  </si>
  <si>
    <t xml:space="preserve">PED 14682</t>
  </si>
  <si>
    <t xml:space="preserve">PED 14681</t>
  </si>
  <si>
    <t xml:space="preserve">PED 14688</t>
  </si>
  <si>
    <t xml:space="preserve">PED 14718</t>
  </si>
  <si>
    <t xml:space="preserve">PED 14723</t>
  </si>
  <si>
    <t xml:space="preserve">PED 14725</t>
  </si>
  <si>
    <t xml:space="preserve">PED 14691</t>
  </si>
  <si>
    <t xml:space="preserve">PED 139</t>
  </si>
  <si>
    <t xml:space="preserve">PED 14727</t>
  </si>
  <si>
    <t xml:space="preserve">PED 14499</t>
  </si>
  <si>
    <t xml:space="preserve">PED 14612</t>
  </si>
  <si>
    <t xml:space="preserve">PED 14625</t>
  </si>
  <si>
    <t xml:space="preserve">PED 14659</t>
  </si>
  <si>
    <t xml:space="preserve">PED 14712</t>
  </si>
  <si>
    <t xml:space="preserve">PED 14664</t>
  </si>
  <si>
    <t xml:space="preserve">PED 14704</t>
  </si>
  <si>
    <t xml:space="preserve">PED 14709</t>
  </si>
  <si>
    <t xml:space="preserve">PED 14728</t>
  </si>
  <si>
    <t xml:space="preserve">PED 14730</t>
  </si>
  <si>
    <t xml:space="preserve">PED 14734</t>
  </si>
  <si>
    <t xml:space="preserve">PED 14676-14557-14731</t>
  </si>
  <si>
    <t xml:space="preserve">PED 14540-64</t>
  </si>
  <si>
    <t xml:space="preserve">PED 14446</t>
  </si>
  <si>
    <t xml:space="preserve">PED 14735</t>
  </si>
  <si>
    <t xml:space="preserve">PED 14720</t>
  </si>
  <si>
    <t xml:space="preserve">PED 14311</t>
  </si>
  <si>
    <t xml:space="preserve">PED 14288</t>
  </si>
  <si>
    <t xml:space="preserve">PED 14215</t>
  </si>
  <si>
    <t xml:space="preserve">PED 14433</t>
  </si>
  <si>
    <t xml:space="preserve">PED 14143</t>
  </si>
  <si>
    <t xml:space="preserve">PED 14724</t>
  </si>
  <si>
    <t xml:space="preserve">PED 14729</t>
  </si>
  <si>
    <t xml:space="preserve">PED 14733</t>
  </si>
  <si>
    <t xml:space="preserve">PED 14739</t>
  </si>
  <si>
    <t xml:space="preserve">PED 14736</t>
  </si>
  <si>
    <t xml:space="preserve">PED 14744</t>
  </si>
  <si>
    <t xml:space="preserve">PED 13795-13803-13801</t>
  </si>
  <si>
    <t xml:space="preserve">PED 14745</t>
  </si>
  <si>
    <t xml:space="preserve">PED 13987</t>
  </si>
  <si>
    <t xml:space="preserve">PED 14742</t>
  </si>
  <si>
    <t xml:space="preserve">PED 14747-14748</t>
  </si>
  <si>
    <t xml:space="preserve">PED 13964</t>
  </si>
  <si>
    <t xml:space="preserve">PED 119</t>
  </si>
  <si>
    <t xml:space="preserve">PED 13840</t>
  </si>
  <si>
    <t xml:space="preserve">PED 14325</t>
  </si>
  <si>
    <t xml:space="preserve">PED 14737-14749</t>
  </si>
  <si>
    <t xml:space="preserve">PED 14751</t>
  </si>
  <si>
    <t xml:space="preserve">PED 14738</t>
  </si>
  <si>
    <t xml:space="preserve">PED 14457</t>
  </si>
  <si>
    <t xml:space="preserve">PED 14557-14753</t>
  </si>
  <si>
    <t xml:space="preserve">PED 14752</t>
  </si>
  <si>
    <t xml:space="preserve">PED 139-14750</t>
  </si>
  <si>
    <t xml:space="preserve">PED 14754</t>
  </si>
  <si>
    <t xml:space="preserve">PED 14759</t>
  </si>
  <si>
    <t xml:space="preserve">PED 14741-14740</t>
  </si>
  <si>
    <t xml:space="preserve">PED 164-14566</t>
  </si>
  <si>
    <t xml:space="preserve">PED 14760</t>
  </si>
  <si>
    <t xml:space="preserve">PED 24-25</t>
  </si>
  <si>
    <t xml:space="preserve">PED 14769</t>
  </si>
  <si>
    <t xml:space="preserve">PED 14771</t>
  </si>
  <si>
    <t xml:space="preserve">PED 14767</t>
  </si>
  <si>
    <t xml:space="preserve">PED 14773</t>
  </si>
  <si>
    <t xml:space="preserve">PED 14768</t>
  </si>
  <si>
    <t xml:space="preserve">PED 14693</t>
  </si>
  <si>
    <t xml:space="preserve">PED 14770</t>
  </si>
  <si>
    <t xml:space="preserve">PED 14775</t>
  </si>
  <si>
    <t xml:space="preserve">PED 14774</t>
  </si>
  <si>
    <t xml:space="preserve">PED 14777</t>
  </si>
  <si>
    <t xml:space="preserve">PED 14779</t>
  </si>
  <si>
    <t xml:space="preserve">PED 14781</t>
  </si>
  <si>
    <t xml:space="preserve">PED 14780</t>
  </si>
  <si>
    <t xml:space="preserve">PED 14762</t>
  </si>
  <si>
    <t xml:space="preserve">PED 14782</t>
  </si>
  <si>
    <t xml:space="preserve">PED 14748</t>
  </si>
  <si>
    <t xml:space="preserve">PED 14747</t>
  </si>
  <si>
    <t xml:space="preserve"> </t>
  </si>
  <si>
    <t xml:space="preserve">PED 14786</t>
  </si>
  <si>
    <t xml:space="preserve">PED 14784-14785</t>
  </si>
  <si>
    <t xml:space="preserve">PED 14788</t>
  </si>
  <si>
    <t xml:space="preserve">PED 14787</t>
  </si>
  <si>
    <t xml:space="preserve">PED 14791</t>
  </si>
  <si>
    <t xml:space="preserve">PED 14758</t>
  </si>
  <si>
    <t xml:space="preserve">PED 14794</t>
  </si>
  <si>
    <t xml:space="preserve">PED 14795</t>
  </si>
  <si>
    <t xml:space="preserve">PED 14797</t>
  </si>
  <si>
    <t xml:space="preserve">PED 14793</t>
  </si>
  <si>
    <t xml:space="preserve">PED 14792</t>
  </si>
  <si>
    <t xml:space="preserve">PED 14801</t>
  </si>
  <si>
    <t xml:space="preserve">PED 14802</t>
  </si>
  <si>
    <t xml:space="preserve">PED 82</t>
  </si>
  <si>
    <t xml:space="preserve">PED 14805</t>
  </si>
  <si>
    <t xml:space="preserve">PED 14722</t>
  </si>
  <si>
    <t xml:space="preserve">PED 14756</t>
  </si>
  <si>
    <t xml:space="preserve">PED 14757</t>
  </si>
  <si>
    <t xml:space="preserve">PED 14761</t>
  </si>
  <si>
    <t xml:space="preserve">PED 14764</t>
  </si>
  <si>
    <t xml:space="preserve">PED 14778</t>
  </si>
  <si>
    <t xml:space="preserve">PED 14776</t>
  </si>
  <si>
    <t xml:space="preserve">PED 14789</t>
  </si>
  <si>
    <t xml:space="preserve">PED 14790</t>
  </si>
  <si>
    <t xml:space="preserve">PED 14796</t>
  </si>
  <si>
    <t xml:space="preserve">PED 14803</t>
  </si>
  <si>
    <t xml:space="preserve">PED 14763</t>
  </si>
  <si>
    <t xml:space="preserve">PED 14808</t>
  </si>
  <si>
    <t xml:space="preserve">PED 14809</t>
  </si>
  <si>
    <t xml:space="preserve">PED 14806</t>
  </si>
  <si>
    <t xml:space="preserve">PED 14799</t>
  </si>
  <si>
    <t xml:space="preserve">PED 14818</t>
  </si>
  <si>
    <t xml:space="preserve">PED 14820</t>
  </si>
  <si>
    <t xml:space="preserve">PED 14821</t>
  </si>
  <si>
    <t xml:space="preserve">PED 14819</t>
  </si>
  <si>
    <t xml:space="preserve">PED 14822</t>
  </si>
  <si>
    <t xml:space="preserve">PED 14823</t>
  </si>
  <si>
    <t xml:space="preserve">PED 14824</t>
  </si>
  <si>
    <t xml:space="preserve">PED 14825</t>
  </si>
  <si>
    <t xml:space="preserve">PED 14826</t>
  </si>
  <si>
    <t xml:space="preserve">PED 14827</t>
  </si>
  <si>
    <t xml:space="preserve">PED 14829</t>
  </si>
  <si>
    <t xml:space="preserve">PED 14828</t>
  </si>
  <si>
    <t xml:space="preserve">PED 14830</t>
  </si>
  <si>
    <t xml:space="preserve">LT 090/24</t>
  </si>
  <si>
    <t xml:space="preserve">LT 114/24</t>
  </si>
  <si>
    <t xml:space="preserve">LT 071/24</t>
  </si>
  <si>
    <t xml:space="preserve">LT 577/23</t>
  </si>
  <si>
    <t xml:space="preserve">LT 176/25</t>
  </si>
  <si>
    <t xml:space="preserve">BALANÇO 24/25</t>
  </si>
  <si>
    <t xml:space="preserve">SP 013/24</t>
  </si>
  <si>
    <t xml:space="preserve">Peneirada</t>
  </si>
  <si>
    <t xml:space="preserve">SP 012/24</t>
  </si>
  <si>
    <t xml:space="preserve">SP 228/23</t>
  </si>
  <si>
    <t xml:space="preserve">SP 014/24</t>
  </si>
  <si>
    <t xml:space="preserve">SP 017/24</t>
  </si>
  <si>
    <t xml:space="preserve">SP 020/24</t>
  </si>
  <si>
    <t xml:space="preserve">SP 021/24</t>
  </si>
  <si>
    <t xml:space="preserve">SP 022/24</t>
  </si>
  <si>
    <t xml:space="preserve">SP 023/24</t>
  </si>
  <si>
    <t xml:space="preserve">SP 024/24</t>
  </si>
  <si>
    <t xml:space="preserve">SP 025/24</t>
  </si>
  <si>
    <t xml:space="preserve">SP 026/24</t>
  </si>
  <si>
    <t xml:space="preserve">SP 027/24</t>
  </si>
  <si>
    <t xml:space="preserve">SP 028/24</t>
  </si>
  <si>
    <t xml:space="preserve">SP 029/24</t>
  </si>
  <si>
    <t xml:space="preserve">SP 030/24</t>
  </si>
  <si>
    <t xml:space="preserve">SP 031/24</t>
  </si>
  <si>
    <t xml:space="preserve">SP 032/24</t>
  </si>
  <si>
    <t xml:space="preserve">SP 033/24</t>
  </si>
  <si>
    <t xml:space="preserve">SP 034/24</t>
  </si>
  <si>
    <t xml:space="preserve">SP 035/24</t>
  </si>
  <si>
    <t xml:space="preserve">SP 036/24</t>
  </si>
  <si>
    <t xml:space="preserve">SP 037/24</t>
  </si>
  <si>
    <t xml:space="preserve">SP 038/24</t>
  </si>
  <si>
    <t xml:space="preserve">SP 039/24</t>
  </si>
  <si>
    <t xml:space="preserve">SP 040/24</t>
  </si>
  <si>
    <t xml:space="preserve">SP 041/24</t>
  </si>
  <si>
    <t xml:space="preserve">SP 042/24</t>
  </si>
  <si>
    <t xml:space="preserve">SP 043/24</t>
  </si>
  <si>
    <t xml:space="preserve">SP 044/24</t>
  </si>
  <si>
    <t xml:space="preserve">SP 045/24</t>
  </si>
  <si>
    <t xml:space="preserve">SP 046/24</t>
  </si>
  <si>
    <t xml:space="preserve">SP 047/24</t>
  </si>
  <si>
    <t xml:space="preserve">SP 048/24</t>
  </si>
  <si>
    <t xml:space="preserve">SP 049/24</t>
  </si>
  <si>
    <t xml:space="preserve">SP 050/24</t>
  </si>
  <si>
    <t xml:space="preserve">SP 051/24</t>
  </si>
  <si>
    <t xml:space="preserve">SP 052/24</t>
  </si>
  <si>
    <t xml:space="preserve">SP 053/24</t>
  </si>
  <si>
    <t xml:space="preserve">SP 054/24</t>
  </si>
  <si>
    <t xml:space="preserve">SP 055/24</t>
  </si>
  <si>
    <t xml:space="preserve">SP 056/24</t>
  </si>
  <si>
    <t xml:space="preserve">SP 057/24</t>
  </si>
  <si>
    <t xml:space="preserve">SP 058/24</t>
  </si>
  <si>
    <t xml:space="preserve">SP 059/24</t>
  </si>
  <si>
    <t xml:space="preserve">SP 060/24</t>
  </si>
  <si>
    <t xml:space="preserve">SP 061/24</t>
  </si>
  <si>
    <t xml:space="preserve">SP 062/24</t>
  </si>
  <si>
    <t xml:space="preserve">SP 063/24</t>
  </si>
  <si>
    <t xml:space="preserve">SP 064/24</t>
  </si>
  <si>
    <t xml:space="preserve">SP 065/24</t>
  </si>
  <si>
    <t xml:space="preserve">SP 066/24</t>
  </si>
  <si>
    <t xml:space="preserve">SP 067/24</t>
  </si>
  <si>
    <t xml:space="preserve">SP 068/24</t>
  </si>
  <si>
    <t xml:space="preserve">SP 069/24</t>
  </si>
  <si>
    <t xml:space="preserve">SP 070/24</t>
  </si>
  <si>
    <t xml:space="preserve">SP 071/24</t>
  </si>
  <si>
    <t xml:space="preserve">SP 072/24</t>
  </si>
  <si>
    <t xml:space="preserve">SP 073/24</t>
  </si>
  <si>
    <t xml:space="preserve">SP 074/24</t>
  </si>
  <si>
    <t xml:space="preserve">SP 075/24</t>
  </si>
  <si>
    <t xml:space="preserve">SP 076/24</t>
  </si>
  <si>
    <t xml:space="preserve">SP 077/24</t>
  </si>
  <si>
    <t xml:space="preserve">SP 078/24</t>
  </si>
  <si>
    <t xml:space="preserve">SP 079/24</t>
  </si>
  <si>
    <t xml:space="preserve">SP 080/24</t>
  </si>
  <si>
    <t xml:space="preserve">SP 081/24</t>
  </si>
  <si>
    <t xml:space="preserve">SP 082/24</t>
  </si>
  <si>
    <t xml:space="preserve">SP 083/24</t>
  </si>
  <si>
    <t xml:space="preserve">SP 084/24</t>
  </si>
  <si>
    <t xml:space="preserve">SP 085/24</t>
  </si>
  <si>
    <t xml:space="preserve">SP 086/24</t>
  </si>
  <si>
    <t xml:space="preserve">SP 087/24</t>
  </si>
  <si>
    <t xml:space="preserve">SP 088/24</t>
  </si>
  <si>
    <t xml:space="preserve">SP 089/24</t>
  </si>
  <si>
    <t xml:space="preserve">SP 090/24</t>
  </si>
  <si>
    <t xml:space="preserve">SP 091/24</t>
  </si>
  <si>
    <t xml:space="preserve">SP 092/24</t>
  </si>
  <si>
    <t xml:space="preserve">SP 093/24</t>
  </si>
  <si>
    <t xml:space="preserve">SP 094/24</t>
  </si>
  <si>
    <t xml:space="preserve">SP 095/24</t>
  </si>
  <si>
    <t xml:space="preserve">SP 096/24</t>
  </si>
  <si>
    <t xml:space="preserve">SP 097/24</t>
  </si>
  <si>
    <t xml:space="preserve">SP 098/24</t>
  </si>
  <si>
    <t xml:space="preserve">SP 099/24</t>
  </si>
  <si>
    <t xml:space="preserve">SP 100/24</t>
  </si>
  <si>
    <t xml:space="preserve">SP 101/24</t>
  </si>
  <si>
    <t xml:space="preserve">SP 102/24</t>
  </si>
  <si>
    <t xml:space="preserve">SP 103/24</t>
  </si>
  <si>
    <t xml:space="preserve">SP 104/24</t>
  </si>
  <si>
    <t xml:space="preserve">SP 105/24</t>
  </si>
  <si>
    <t xml:space="preserve">SP 106/24</t>
  </si>
  <si>
    <t xml:space="preserve">SP 107/24</t>
  </si>
  <si>
    <t xml:space="preserve">SP 108/24</t>
  </si>
  <si>
    <t xml:space="preserve">SP 109/24</t>
  </si>
  <si>
    <t xml:space="preserve">SP 110/24</t>
  </si>
  <si>
    <t xml:space="preserve">SP 111/24</t>
  </si>
  <si>
    <t xml:space="preserve">SP 112/24</t>
  </si>
  <si>
    <t xml:space="preserve">SP 113/24</t>
  </si>
  <si>
    <t xml:space="preserve">SP 114/24</t>
  </si>
  <si>
    <t xml:space="preserve">SP 115/24</t>
  </si>
  <si>
    <t xml:space="preserve">SP 116/24</t>
  </si>
  <si>
    <t xml:space="preserve">SP 117/24</t>
  </si>
  <si>
    <t xml:space="preserve">SP 118/24</t>
  </si>
  <si>
    <t xml:space="preserve">SP 119/24</t>
  </si>
  <si>
    <t xml:space="preserve">SP 120/24</t>
  </si>
  <si>
    <t xml:space="preserve">SP 121/24</t>
  </si>
  <si>
    <t xml:space="preserve">SP 122/24</t>
  </si>
  <si>
    <t xml:space="preserve">SP 123/24</t>
  </si>
  <si>
    <t xml:space="preserve">SP 124/24</t>
  </si>
  <si>
    <t xml:space="preserve">SP 125/24</t>
  </si>
  <si>
    <t xml:space="preserve">SP 126/24</t>
  </si>
  <si>
    <t xml:space="preserve">SP 127/24</t>
  </si>
  <si>
    <t xml:space="preserve">SP 128/24</t>
  </si>
  <si>
    <t xml:space="preserve">SP 129/24</t>
  </si>
  <si>
    <t xml:space="preserve">SP 130/24</t>
  </si>
  <si>
    <t xml:space="preserve">SP 131/24</t>
  </si>
  <si>
    <t xml:space="preserve">SP 132/24</t>
  </si>
  <si>
    <t xml:space="preserve">SP 134/24</t>
  </si>
  <si>
    <t xml:space="preserve">SP 135/24</t>
  </si>
  <si>
    <t xml:space="preserve">SP 136/24</t>
  </si>
  <si>
    <t xml:space="preserve">SP 137/24</t>
  </si>
  <si>
    <t xml:space="preserve">SP 138/24</t>
  </si>
  <si>
    <t xml:space="preserve">SP 139/24</t>
  </si>
  <si>
    <t xml:space="preserve">SP 140/24</t>
  </si>
  <si>
    <t xml:space="preserve">SP 141/24</t>
  </si>
  <si>
    <t xml:space="preserve">SP 142/24</t>
  </si>
  <si>
    <t xml:space="preserve">SP 143/24</t>
  </si>
  <si>
    <t xml:space="preserve">SP 144/24</t>
  </si>
  <si>
    <t xml:space="preserve">SP 145/24</t>
  </si>
  <si>
    <t xml:space="preserve">SP 146/24</t>
  </si>
  <si>
    <t xml:space="preserve">SP 147/24</t>
  </si>
  <si>
    <t xml:space="preserve">SP 148/24</t>
  </si>
  <si>
    <t xml:space="preserve">SP 150/24</t>
  </si>
  <si>
    <t xml:space="preserve">SP 151/24</t>
  </si>
  <si>
    <t xml:space="preserve">SP 152/24</t>
  </si>
  <si>
    <t xml:space="preserve">SP 153/24</t>
  </si>
  <si>
    <t xml:space="preserve">SP 154/24</t>
  </si>
  <si>
    <t xml:space="preserve">SP 155/24</t>
  </si>
  <si>
    <t xml:space="preserve">RV 001/24</t>
  </si>
  <si>
    <t xml:space="preserve">RV 004/24</t>
  </si>
  <si>
    <t xml:space="preserve">RV 006/24</t>
  </si>
  <si>
    <t xml:space="preserve">RV 007/24</t>
  </si>
  <si>
    <t xml:space="preserve">RV 008/24</t>
  </si>
  <si>
    <t xml:space="preserve">RV 009/24</t>
  </si>
  <si>
    <t xml:space="preserve">RV 010/24</t>
  </si>
  <si>
    <t xml:space="preserve">RV 011/24</t>
  </si>
  <si>
    <t xml:space="preserve">RV 012/24</t>
  </si>
  <si>
    <t xml:space="preserve">RV 013/24</t>
  </si>
  <si>
    <t xml:space="preserve">RV 014/24</t>
  </si>
  <si>
    <t xml:space="preserve">RV 015/24</t>
  </si>
  <si>
    <t xml:space="preserve">RV 016/24</t>
  </si>
  <si>
    <t xml:space="preserve">RV 017/24</t>
  </si>
  <si>
    <t xml:space="preserve">RV 018/24</t>
  </si>
  <si>
    <t xml:space="preserve">RV 020/24</t>
  </si>
  <si>
    <t xml:space="preserve">RV 021/24</t>
  </si>
  <si>
    <t xml:space="preserve">RV 022/24</t>
  </si>
  <si>
    <t xml:space="preserve">RV 023/24</t>
  </si>
  <si>
    <t xml:space="preserve">RV 024/24</t>
  </si>
  <si>
    <t xml:space="preserve">RV 025/24</t>
  </si>
  <si>
    <t xml:space="preserve">RV 026/24</t>
  </si>
  <si>
    <t xml:space="preserve">RV 027/24</t>
  </si>
  <si>
    <t xml:space="preserve">RV 028/24</t>
  </si>
  <si>
    <t xml:space="preserve">RV 029/24</t>
  </si>
  <si>
    <t xml:space="preserve">RV 030/24</t>
  </si>
  <si>
    <t xml:space="preserve">RV 031/24</t>
  </si>
  <si>
    <t xml:space="preserve">RV 033/24</t>
  </si>
  <si>
    <t xml:space="preserve">RV 034/24</t>
  </si>
  <si>
    <t xml:space="preserve">RV 035/24</t>
  </si>
  <si>
    <t xml:space="preserve">RV 037/24</t>
  </si>
  <si>
    <t xml:space="preserve">RV 039/24</t>
  </si>
  <si>
    <t xml:space="preserve">RV 041/24</t>
  </si>
  <si>
    <t xml:space="preserve">RV 043/24</t>
  </si>
  <si>
    <t xml:space="preserve">RV 051/24</t>
  </si>
  <si>
    <t xml:space="preserve">RV 052/24</t>
  </si>
  <si>
    <t xml:space="preserve">RV 053/24</t>
  </si>
  <si>
    <t xml:space="preserve">RV 054/24</t>
  </si>
  <si>
    <t xml:space="preserve">RV 055/24</t>
  </si>
  <si>
    <t xml:space="preserve">RV 059/24</t>
  </si>
  <si>
    <t xml:space="preserve">RV 060/24</t>
  </si>
  <si>
    <t xml:space="preserve">RV 061/24</t>
  </si>
  <si>
    <t xml:space="preserve">RV 063/24</t>
  </si>
  <si>
    <t xml:space="preserve">RV 066/24</t>
  </si>
  <si>
    <t xml:space="preserve">RV 067/24</t>
  </si>
  <si>
    <t xml:space="preserve">RV 068/24</t>
  </si>
  <si>
    <t xml:space="preserve">RV 071/24</t>
  </si>
  <si>
    <t xml:space="preserve">RV 072/24</t>
  </si>
  <si>
    <t xml:space="preserve">RV 073/24</t>
  </si>
  <si>
    <t xml:space="preserve">RV 074/24</t>
  </si>
  <si>
    <t xml:space="preserve">RV 075/24</t>
  </si>
  <si>
    <t xml:space="preserve">RV 078/24</t>
  </si>
  <si>
    <t xml:space="preserve">RV 079/24</t>
  </si>
  <si>
    <t xml:space="preserve">RV 080/24</t>
  </si>
  <si>
    <t xml:space="preserve">RV 083/24</t>
  </si>
  <si>
    <t xml:space="preserve">RV 084/24</t>
  </si>
  <si>
    <t xml:space="preserve">RV 087/24</t>
  </si>
  <si>
    <t xml:space="preserve">RV 115/24</t>
  </si>
  <si>
    <t xml:space="preserve">RV 002/24</t>
  </si>
  <si>
    <t xml:space="preserve">RV 003/24</t>
  </si>
  <si>
    <t xml:space="preserve">LT 292/24</t>
  </si>
  <si>
    <t xml:space="preserve">LT 295/24</t>
  </si>
  <si>
    <t xml:space="preserve">LT 297/24</t>
  </si>
  <si>
    <t xml:space="preserve">LT 299/24</t>
  </si>
  <si>
    <t xml:space="preserve">LT 300/24</t>
  </si>
  <si>
    <t xml:space="preserve">LT 301/24</t>
  </si>
  <si>
    <t xml:space="preserve">LT 306/24</t>
  </si>
  <si>
    <t xml:space="preserve">LT 320/24</t>
  </si>
  <si>
    <t xml:space="preserve">LT 323/24</t>
  </si>
  <si>
    <t xml:space="preserve">LT 324/24</t>
  </si>
  <si>
    <t xml:space="preserve">LT 403/24</t>
  </si>
  <si>
    <t xml:space="preserve">LT 469/24</t>
  </si>
  <si>
    <t xml:space="preserve">LT 485/24</t>
  </si>
  <si>
    <t xml:space="preserve">LT 585/24</t>
  </si>
  <si>
    <t xml:space="preserve">LT 590/24</t>
  </si>
  <si>
    <t xml:space="preserve">LT 165/24</t>
  </si>
  <si>
    <t xml:space="preserve">LT 204/25</t>
  </si>
  <si>
    <t xml:space="preserve">Acerto Estoque Final Safra Lotes</t>
  </si>
  <si>
    <t xml:space="preserve">Acerto Estoque Final Safra Bruta</t>
  </si>
  <si>
    <t xml:space="preserve">Transferencia para Diluição</t>
  </si>
  <si>
    <t xml:space="preserve">Transferencia para S-1/Básica</t>
  </si>
  <si>
    <t xml:space="preserve">Volta para Estoque Semente Boa</t>
  </si>
  <si>
    <t xml:space="preserve">Reensaque</t>
  </si>
  <si>
    <t xml:space="preserve">Perda Ensaque RV 115/24</t>
  </si>
  <si>
    <t xml:space="preserve">PD 007/24</t>
  </si>
  <si>
    <t xml:space="preserve">PD 009/24</t>
  </si>
  <si>
    <t xml:space="preserve">PD 010/24</t>
  </si>
  <si>
    <t xml:space="preserve">PD 011/24</t>
  </si>
  <si>
    <t xml:space="preserve">PD 012/24</t>
  </si>
  <si>
    <t xml:space="preserve">PD 013/24</t>
  </si>
  <si>
    <t xml:space="preserve">PD 014/24</t>
  </si>
  <si>
    <t xml:space="preserve">PD 015/24</t>
  </si>
  <si>
    <t xml:space="preserve">PD 016/24</t>
  </si>
  <si>
    <t xml:space="preserve">PD 017/24</t>
  </si>
  <si>
    <t xml:space="preserve">PD 018/24</t>
  </si>
  <si>
    <t xml:space="preserve">PD 019/24</t>
  </si>
  <si>
    <t xml:space="preserve">PD 020/24</t>
  </si>
  <si>
    <t xml:space="preserve">PD 021/24</t>
  </si>
  <si>
    <t xml:space="preserve">PD 024/24</t>
  </si>
  <si>
    <t xml:space="preserve">PD 025/24</t>
  </si>
  <si>
    <t xml:space="preserve">PD 027/24</t>
  </si>
  <si>
    <t xml:space="preserve">PD 029/24</t>
  </si>
  <si>
    <t xml:space="preserve">PD 030/24</t>
  </si>
  <si>
    <t xml:space="preserve">PD 031/24</t>
  </si>
  <si>
    <t xml:space="preserve">PD 037/24</t>
  </si>
  <si>
    <t xml:space="preserve">PD 038/24</t>
  </si>
  <si>
    <t xml:space="preserve">PD 039/24</t>
  </si>
  <si>
    <t xml:space="preserve">PD 041/24</t>
  </si>
  <si>
    <t xml:space="preserve">PD 042/24</t>
  </si>
  <si>
    <t xml:space="preserve">PD 043/24</t>
  </si>
  <si>
    <t xml:space="preserve">PD 053/24</t>
  </si>
  <si>
    <t xml:space="preserve">PD 058/24</t>
  </si>
  <si>
    <t xml:space="preserve">PD 075/24</t>
  </si>
  <si>
    <t xml:space="preserve">PD 076/24</t>
  </si>
  <si>
    <t xml:space="preserve">PD 079/24</t>
  </si>
  <si>
    <t xml:space="preserve">PD 081/24</t>
  </si>
  <si>
    <t xml:space="preserve">PD 082/24</t>
  </si>
  <si>
    <t xml:space="preserve">ACERTO AUDITORIA 29/10/2024</t>
  </si>
  <si>
    <t xml:space="preserve">ACERTO 25022025</t>
  </si>
  <si>
    <t xml:space="preserve">TOTAL GERAL</t>
  </si>
  <si>
    <t xml:space="preserve">LEGENDA</t>
  </si>
  <si>
    <t xml:space="preserve">PG ORDEM DE CARREGAMENTO</t>
  </si>
  <si>
    <t xml:space="preserve">PG DEVOLUÇÃO</t>
  </si>
  <si>
    <t xml:space="preserve">PG BENEFICIAMENTO</t>
  </si>
  <si>
    <t xml:space="preserve">PG REVESTIMENTO</t>
  </si>
  <si>
    <t xml:space="preserve">PG ENSAQUE</t>
  </si>
  <si>
    <t xml:space="preserve">PG OUTROS</t>
  </si>
  <si>
    <t xml:space="preserve">RESUMO GERAL DE VENDAS</t>
  </si>
  <si>
    <t xml:space="preserve">VENDA FISCALIZADA (KG)</t>
  </si>
  <si>
    <t xml:space="preserve">VENDA NO PONTO (PP)</t>
  </si>
  <si>
    <t xml:space="preserve">VENDAS TOTAL</t>
  </si>
  <si>
    <t xml:space="preserve">TOTAL PP</t>
  </si>
  <si>
    <t xml:space="preserve">TOTAL R$</t>
  </si>
  <si>
    <t xml:space="preserve">Comum 50</t>
  </si>
  <si>
    <t xml:space="preserve">Pura</t>
  </si>
  <si>
    <t xml:space="preserve">Golden</t>
  </si>
  <si>
    <t xml:space="preserve">Podium</t>
  </si>
  <si>
    <t xml:space="preserve">Comum</t>
  </si>
  <si>
    <t xml:space="preserve">Comum 35</t>
  </si>
  <si>
    <t xml:space="preserve">Comum 90</t>
  </si>
  <si>
    <t xml:space="preserve">TOTAL COMUM 35</t>
  </si>
  <si>
    <t xml:space="preserve">TOTAL COMUM 50</t>
  </si>
  <si>
    <t xml:space="preserve">TOTAL PURA</t>
  </si>
  <si>
    <t xml:space="preserve">TOTAL GOLDEN</t>
  </si>
  <si>
    <t xml:space="preserve">TOTAL PODIUM</t>
  </si>
  <si>
    <t xml:space="preserve">SOUBHIA</t>
  </si>
  <si>
    <t xml:space="preserve">VENDAS DO COMERCIAL</t>
  </si>
  <si>
    <t xml:space="preserve">PADRÕES PARA LANÇAMENTO DAS SEMENTES</t>
  </si>
  <si>
    <t xml:space="preserve">CLASSIFICAÇÃO DE SEMENTES</t>
  </si>
  <si>
    <t xml:space="preserve">PODIUM</t>
  </si>
  <si>
    <t xml:space="preserve">GOLDEN</t>
  </si>
  <si>
    <t xml:space="preserve">COMUM</t>
  </si>
  <si>
    <t xml:space="preserve">Piatã/Xaraes</t>
  </si>
  <si>
    <t xml:space="preserve">Ipypora</t>
  </si>
  <si>
    <t xml:space="preserve">Decumbens/MG-4</t>
  </si>
  <si>
    <t xml:space="preserve">Mombaça/Zuri/Tamani/Massai/Quenia/Tanzania</t>
  </si>
  <si>
    <t xml:space="preserve">Sorgo/1463/Estilosantes/Sarandi/Milheto/Susão/Crotalaria</t>
  </si>
  <si>
    <t xml:space="preserve">PERCENTUAL SOBRE TOTAL - R$</t>
  </si>
  <si>
    <t xml:space="preserve">PURA</t>
  </si>
  <si>
    <t xml:space="preserve">TOTAL</t>
  </si>
  <si>
    <t xml:space="preserve">Grafitada</t>
  </si>
  <si>
    <t xml:space="preserve">Revestida</t>
  </si>
  <si>
    <t xml:space="preserve">Estilozante</t>
  </si>
  <si>
    <t xml:space="preserve">PERCENTUAL SOBRE TOTAL - PP</t>
  </si>
  <si>
    <t xml:space="preserve">TOTAL COM.35</t>
  </si>
  <si>
    <t xml:space="preserve">TOTAL COM.50</t>
  </si>
  <si>
    <t xml:space="preserve">RELATÓRIO DE VENDAS</t>
  </si>
  <si>
    <t xml:space="preserve">CLIENTE</t>
  </si>
  <si>
    <t xml:space="preserve">DATA</t>
  </si>
  <si>
    <t xml:space="preserve">PEDIDO</t>
  </si>
  <si>
    <t xml:space="preserve">VENDA</t>
  </si>
  <si>
    <t xml:space="preserve">PESO KG</t>
  </si>
  <si>
    <t xml:space="preserve">CLASSIF</t>
  </si>
  <si>
    <t xml:space="preserve">PP TOTAL</t>
  </si>
  <si>
    <t xml:space="preserve">PREÇO KG</t>
  </si>
  <si>
    <t xml:space="preserve">ENTREGUE</t>
  </si>
  <si>
    <t xml:space="preserve">A ENTREGAR KG</t>
  </si>
  <si>
    <t xml:space="preserve">A ENTREGAR PP</t>
  </si>
  <si>
    <t xml:space="preserve">PREV.ENTREGA</t>
  </si>
  <si>
    <t xml:space="preserve">FORMA</t>
  </si>
  <si>
    <t xml:space="preserve">COMERCIAL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</si>
  <si>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</si>
  <si>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</si>
  <si>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</si>
  <si>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</si>
  <si>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</si>
  <si>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</si>
  <si>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</si>
  <si>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</si>
  <si>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JANEIRO</t>
  </si>
  <si>
    <t xml:space="preserve">FEVEREIRO</t>
  </si>
  <si>
    <t xml:space="preserve">MARÇO</t>
  </si>
  <si>
    <t xml:space="preserve">ABRIL</t>
  </si>
  <si>
    <t xml:space="preserve">BONIFICAÇÃO</t>
  </si>
  <si>
    <t xml:space="preserve">Melo´s Comercio de Ferragens e Ferramentas</t>
  </si>
  <si>
    <t xml:space="preserve">Venda</t>
  </si>
  <si>
    <t xml:space="preserve">Dionizio F. de Melo Ltda</t>
  </si>
  <si>
    <t xml:space="preserve">José Emilio Smanioto</t>
  </si>
  <si>
    <t xml:space="preserve">E F A Rodrigues</t>
  </si>
  <si>
    <t xml:space="preserve">Tecidos e Armarinhos Miguel Bartolomeu S/A</t>
  </si>
  <si>
    <t xml:space="preserve">Agro Mais Comercio e Representações</t>
  </si>
  <si>
    <t xml:space="preserve">Plante Bem Agropecuaria Ltda</t>
  </si>
  <si>
    <t xml:space="preserve">Agricola Panorama Com.e Representações Ltda</t>
  </si>
  <si>
    <t xml:space="preserve">Amaury Bernardes Filho</t>
  </si>
  <si>
    <t xml:space="preserve">Ernando Negrelli</t>
  </si>
  <si>
    <t xml:space="preserve">Crop Mac Soluções Agricolas</t>
  </si>
  <si>
    <t xml:space="preserve">Antonio Carlos Silveira Beloli e outro</t>
  </si>
  <si>
    <t xml:space="preserve">V &amp; M Produtos Agropecuarios Ltda</t>
  </si>
  <si>
    <t xml:space="preserve">Apoio Rural Agropecuaria Ltda</t>
  </si>
  <si>
    <t xml:space="preserve">Sierentz Agro Brasil Ltda - 1</t>
  </si>
  <si>
    <t xml:space="preserve">Sierentz Agro Brasil Ltda - 2</t>
  </si>
  <si>
    <t xml:space="preserve">Sierentz Agro Brasil Ltda - 3</t>
  </si>
  <si>
    <t xml:space="preserve">Sierentz Agro Brasil Ltda - 4</t>
  </si>
  <si>
    <t xml:space="preserve">Lamarta Agronegocio Ltda</t>
  </si>
  <si>
    <t xml:space="preserve">N S P Rodrigues de Paula ME</t>
  </si>
  <si>
    <t xml:space="preserve">PPA 50</t>
  </si>
  <si>
    <t xml:space="preserve">Flavio Fernandes Figueredo</t>
  </si>
  <si>
    <t xml:space="preserve">W Franca Almeida Ltda</t>
  </si>
  <si>
    <t xml:space="preserve">PPA 35</t>
  </si>
  <si>
    <t xml:space="preserve">Agropecuaria Nemitz Ltda</t>
  </si>
  <si>
    <t xml:space="preserve">Evandro Reis da Silva Filho</t>
  </si>
  <si>
    <t xml:space="preserve">Gmaq Ferramentas Ltda</t>
  </si>
  <si>
    <t xml:space="preserve">Antonius Cornelius Leonardus Philipsen</t>
  </si>
  <si>
    <t xml:space="preserve">AEJ Agronegocios Ltda</t>
  </si>
  <si>
    <t xml:space="preserve">J E A Agronegocios ME</t>
  </si>
  <si>
    <t xml:space="preserve">Empresa Brasileira de Pesquisa Agropecuaria - Embrapa</t>
  </si>
  <si>
    <t xml:space="preserve">Bruno Rubin Stefanello</t>
  </si>
  <si>
    <t xml:space="preserve">Adriana da Silva Rubin</t>
  </si>
  <si>
    <t xml:space="preserve">Carlos Stefanello</t>
  </si>
  <si>
    <t xml:space="preserve">Eujácio Antonio de Britto</t>
  </si>
  <si>
    <t xml:space="preserve">Jairo Everton Bernadon</t>
  </si>
  <si>
    <t xml:space="preserve">Antonio Francisco da Silveira Neto</t>
  </si>
  <si>
    <t xml:space="preserve">Agronorte Comercio e Representações Ltda</t>
  </si>
  <si>
    <t xml:space="preserve">Edson Gomes Batista</t>
  </si>
  <si>
    <t xml:space="preserve">Rozilene Ferreira da Silva Silveira</t>
  </si>
  <si>
    <t xml:space="preserve">Max Simões</t>
  </si>
  <si>
    <t xml:space="preserve">José da Silva Costa</t>
  </si>
  <si>
    <t xml:space="preserve">Agrominas Produtos Agropecuarios Ltda</t>
  </si>
  <si>
    <t xml:space="preserve">Edson Bellodi e Outra</t>
  </si>
  <si>
    <t xml:space="preserve">Cultivar Comercio e Representações Ltda</t>
  </si>
  <si>
    <t xml:space="preserve">Breno Rubin Stefanello</t>
  </si>
  <si>
    <t xml:space="preserve">Antonio Raimundo de Araujo Mota</t>
  </si>
  <si>
    <t xml:space="preserve">Basso &amp; Pancotte - Cambé</t>
  </si>
  <si>
    <t xml:space="preserve">Basso &amp; Pancotte - Hidrolandia</t>
  </si>
  <si>
    <t xml:space="preserve">Basso &amp; Pancotte - Vespasiano</t>
  </si>
  <si>
    <t xml:space="preserve">Basso &amp; Pancotte - Matriz</t>
  </si>
  <si>
    <t xml:space="preserve">Francisco Pugliesi Neto</t>
  </si>
  <si>
    <t xml:space="preserve">Roberto Hugo Jank Junior</t>
  </si>
  <si>
    <t xml:space="preserve">Guilherme Guimarães Farias</t>
  </si>
  <si>
    <t xml:space="preserve">O Amigão do Produtor Imp.Exp. Ltda - ME</t>
  </si>
  <si>
    <t xml:space="preserve">Rodrigo Resende Sabino de Castro</t>
  </si>
  <si>
    <t xml:space="preserve">Fernando Pereira Garcia</t>
  </si>
  <si>
    <t xml:space="preserve">Pablo de Brito</t>
  </si>
  <si>
    <t xml:space="preserve">Veterquimica Boliviana SRL</t>
  </si>
  <si>
    <t xml:space="preserve">Patricia Gama de Almeida Santos</t>
  </si>
  <si>
    <t xml:space="preserve">J Brandão Duarte Ltda</t>
  </si>
  <si>
    <t xml:space="preserve">Manuel Severino Pessoa da Silva</t>
  </si>
  <si>
    <t xml:space="preserve">Rodrigo Jacinto Guimarães</t>
  </si>
  <si>
    <t xml:space="preserve">Claudia Varella C. Permonian</t>
  </si>
  <si>
    <t xml:space="preserve">Sidney Humberto Cordeiro de Abreu</t>
  </si>
  <si>
    <t xml:space="preserve">Associação dos Criadores de Zebu do Planalto ACZP</t>
  </si>
  <si>
    <t xml:space="preserve">Agropecuaria Castelo Branco Ltda</t>
  </si>
  <si>
    <t xml:space="preserve">Dilma Resende Souza Silva</t>
  </si>
  <si>
    <t xml:space="preserve">José Savio Costa</t>
  </si>
  <si>
    <t xml:space="preserve">Itevaldo Roberto de Oliveira</t>
  </si>
  <si>
    <t xml:space="preserve">Guapo Sementes e Nutrição Ltda</t>
  </si>
  <si>
    <t xml:space="preserve">Bayad Althalj Alnasee Company</t>
  </si>
  <si>
    <t xml:space="preserve">Jamil João Samara</t>
  </si>
  <si>
    <t xml:space="preserve">Reinaldo Massi Junior</t>
  </si>
  <si>
    <t xml:space="preserve">Cristiano Afonso Correa</t>
  </si>
  <si>
    <t xml:space="preserve">Paulo Mocellin</t>
  </si>
  <si>
    <t xml:space="preserve">Laurindo Aloisio Antes</t>
  </si>
  <si>
    <t xml:space="preserve">Glaucio Vieira da Silva</t>
  </si>
  <si>
    <t xml:space="preserve">Marcos Duarte Artuso e Outros</t>
  </si>
  <si>
    <t xml:space="preserve">PPA 76</t>
  </si>
  <si>
    <t xml:space="preserve">Hathor Agropecuaria Ltda</t>
  </si>
  <si>
    <t xml:space="preserve">Valmir Ferreira de Oliveira</t>
  </si>
  <si>
    <t xml:space="preserve">Mantiqueira Alimentos Ltda</t>
  </si>
  <si>
    <t xml:space="preserve">Celio José de Rezende</t>
  </si>
  <si>
    <t xml:space="preserve">Livio José Andrighetti e Outro</t>
  </si>
  <si>
    <t xml:space="preserve">Alvorada Comercio de Produtos Agropecuarios</t>
  </si>
  <si>
    <t xml:space="preserve">Revenda</t>
  </si>
  <si>
    <t xml:space="preserve">A Torres da Paz &amp; Cia Ltda - EPP</t>
  </si>
  <si>
    <t xml:space="preserve">Guibe Incorporação de Imóveis Próprios</t>
  </si>
  <si>
    <t xml:space="preserve">Webster Matiusso</t>
  </si>
  <si>
    <t xml:space="preserve">Gabriel Garcia Nascimento</t>
  </si>
  <si>
    <t xml:space="preserve">Cooperativa Agricola Mista de Adamantina - Camda</t>
  </si>
  <si>
    <t xml:space="preserve">Lavoragro Insumos Ltda</t>
  </si>
  <si>
    <t xml:space="preserve">Pantanal Agricola Ltda</t>
  </si>
  <si>
    <t xml:space="preserve">Ronaldo dos Santos Batista</t>
  </si>
  <si>
    <t xml:space="preserve">Agropecuaria Irmãos Greghi Ltda</t>
  </si>
  <si>
    <t xml:space="preserve">Silvio Macedo de Carvalho</t>
  </si>
  <si>
    <t xml:space="preserve">Comercial Souza Oliveira Ltda</t>
  </si>
  <si>
    <t xml:space="preserve">Henrique Gunzel</t>
  </si>
  <si>
    <t xml:space="preserve">Biocid Representações Agricolas Ltda</t>
  </si>
  <si>
    <t xml:space="preserve">Bruno Luiz Gilioli</t>
  </si>
  <si>
    <t xml:space="preserve">Luciano Augusto Lopes dos Santos - Adubo</t>
  </si>
  <si>
    <t xml:space="preserve">Raça Agropecuaria Ind.Com.Serviços Ltda</t>
  </si>
  <si>
    <t xml:space="preserve">Com.Exp. De Sementes Germisul Ltda</t>
  </si>
  <si>
    <t xml:space="preserve">Pasto Brasil Comercio de Insumos Agropecuarios</t>
  </si>
  <si>
    <t xml:space="preserve">WFS Agronegocios Ltda</t>
  </si>
  <si>
    <t xml:space="preserve">Luciane Reia Galetti de Souza</t>
  </si>
  <si>
    <t xml:space="preserve">Veridiana de Paula Martins de Carvalho &amp; Cia Ltda</t>
  </si>
  <si>
    <t xml:space="preserve">Basso &amp; Pancotte - matriz</t>
  </si>
  <si>
    <t xml:space="preserve">Agropecuaria Aliar S/A</t>
  </si>
  <si>
    <t xml:space="preserve">Agropastoril Jotabasso Ltda</t>
  </si>
  <si>
    <t xml:space="preserve">Ozias Augusto Lopes Gonçalz</t>
  </si>
  <si>
    <t xml:space="preserve">Renato Martines Debieux Rosa</t>
  </si>
  <si>
    <t xml:space="preserve">Lageado Produtos Agropecuarios Ltda</t>
  </si>
  <si>
    <t xml:space="preserve">João Antonio de Deus</t>
  </si>
  <si>
    <t xml:space="preserve">Neusa Maria Vilas Boas Favero</t>
  </si>
  <si>
    <t xml:space="preserve">Waldemar Antonio Schmitz</t>
  </si>
  <si>
    <t xml:space="preserve">Renato Antonio de Deus Oliveira</t>
  </si>
  <si>
    <t xml:space="preserve">JF Comercio de Insumos Ltda</t>
  </si>
  <si>
    <t xml:space="preserve">Geraldo Ribeiro de Mendonça Junior</t>
  </si>
  <si>
    <t xml:space="preserve">Adilson Purcotes Polli &amp; Cia Ltda</t>
  </si>
  <si>
    <t xml:space="preserve">Daniel de Lima Tesser</t>
  </si>
  <si>
    <t xml:space="preserve">Rosana Miranda Correa</t>
  </si>
  <si>
    <t xml:space="preserve">Fernando Sergio Piva</t>
  </si>
  <si>
    <t xml:space="preserve">Agrocon Store Produtos Agropecuarios Eireli</t>
  </si>
  <si>
    <t xml:space="preserve">Ouro Agro Produtos Agropecuarios Ltda</t>
  </si>
  <si>
    <t xml:space="preserve">Sementes Germano Ltda</t>
  </si>
  <si>
    <t xml:space="preserve">Frisia Cooperativa Agroindustrial</t>
  </si>
  <si>
    <t xml:space="preserve">Murilo da Silveira Coelho</t>
  </si>
  <si>
    <t xml:space="preserve">Lindomar José Neves</t>
  </si>
  <si>
    <t xml:space="preserve">Pedro Paulo de Freitas Cunha</t>
  </si>
  <si>
    <t xml:space="preserve">Nasri Muhamad Ibrahim</t>
  </si>
  <si>
    <t xml:space="preserve">Edilson Raulino da Silva</t>
  </si>
  <si>
    <t xml:space="preserve">Shopping Rural Ltda</t>
  </si>
  <si>
    <t xml:space="preserve">Agropecuaria Garatini Ltda</t>
  </si>
  <si>
    <t xml:space="preserve">Cooperativa Agropecuaria de Patrocinio Ltda</t>
  </si>
  <si>
    <t xml:space="preserve">R.L.C Comercio de Produtos Agropecuarios Ltda</t>
  </si>
  <si>
    <t xml:space="preserve">Andrea de Paiva Rodrigues</t>
  </si>
  <si>
    <t xml:space="preserve">Elder Gonçalves Araujo</t>
  </si>
  <si>
    <t xml:space="preserve">A.C.S Beloli &amp; Cia Ltda</t>
  </si>
  <si>
    <t xml:space="preserve">Marim Paulo Alves Guimaraes Junior</t>
  </si>
  <si>
    <t xml:space="preserve">Eliane Aparecida Rodrigues &amp; Cia Ltda</t>
  </si>
  <si>
    <t xml:space="preserve">Comercial Agricola Cambe Ltda</t>
  </si>
  <si>
    <t xml:space="preserve">Ronis de Souza Silva</t>
  </si>
  <si>
    <t xml:space="preserve">Rural Distribuidora de Defensivos Agricolas Ltda</t>
  </si>
  <si>
    <t xml:space="preserve">Pedro Ottoni de Camargo Junior</t>
  </si>
  <si>
    <t xml:space="preserve">Valdir José Rossato</t>
  </si>
  <si>
    <t xml:space="preserve">Lucimar Machado Tiecher</t>
  </si>
  <si>
    <t xml:space="preserve">Agroponto Produtos Agropecuarios Ltda</t>
  </si>
  <si>
    <t xml:space="preserve">Agrobastos Comercial de Equipamentos</t>
  </si>
  <si>
    <t xml:space="preserve">Jarbas Cerezer Mallmann</t>
  </si>
  <si>
    <t xml:space="preserve">Associação das Familias Para a Unificação</t>
  </si>
  <si>
    <t xml:space="preserve">Bruno Pastori Tomadão</t>
  </si>
  <si>
    <t xml:space="preserve">Wanderson Wilham Barbosa</t>
  </si>
  <si>
    <t xml:space="preserve">Andre Dal Moro</t>
  </si>
  <si>
    <t xml:space="preserve">Thiago Malage</t>
  </si>
  <si>
    <t xml:space="preserve">Juliano Caetano ME</t>
  </si>
  <si>
    <t xml:space="preserve">Agrovale Comercial de Rações Ltda</t>
  </si>
  <si>
    <t xml:space="preserve">Americo Delano Mendonça</t>
  </si>
  <si>
    <t xml:space="preserve">Maria Cecilia Andreucci Pereira Gomes</t>
  </si>
  <si>
    <t xml:space="preserve">Max Farming - Distribuidora de Produtos</t>
  </si>
  <si>
    <t xml:space="preserve">João Roberto Barbosa</t>
  </si>
  <si>
    <t xml:space="preserve">Dirceu Artur Trentini</t>
  </si>
  <si>
    <t xml:space="preserve">Nelci Walker/Lucidio A Walker</t>
  </si>
  <si>
    <t xml:space="preserve">Elaine Cristina Geraldino Mckernan</t>
  </si>
  <si>
    <t xml:space="preserve">Jorge Barakat</t>
  </si>
  <si>
    <t xml:space="preserve">Adilson Alers</t>
  </si>
  <si>
    <t xml:space="preserve">Anidelces Tambelini Varella Netto</t>
  </si>
  <si>
    <t xml:space="preserve">Giovane Gomes</t>
  </si>
  <si>
    <t xml:space="preserve">Ari Ghiggi</t>
  </si>
  <si>
    <t xml:space="preserve">Elton Pereira França</t>
  </si>
  <si>
    <t xml:space="preserve">Rafael Uzeika</t>
  </si>
  <si>
    <t xml:space="preserve">Instituto Federal de Educação, Ciencia e Tecnologia</t>
  </si>
  <si>
    <t xml:space="preserve">Maria Izabela Lima Barbosa</t>
  </si>
  <si>
    <t xml:space="preserve">Manoel Leonardo de Lima</t>
  </si>
  <si>
    <t xml:space="preserve">Cristovão Gomes Peixoto</t>
  </si>
  <si>
    <t xml:space="preserve">Renato Andre Sena Souza e Outro</t>
  </si>
  <si>
    <t xml:space="preserve">Projeto de Assentamento Federal PA Tamarineiro II</t>
  </si>
  <si>
    <t xml:space="preserve">Alexandre José Soares Neto</t>
  </si>
  <si>
    <t xml:space="preserve">Sandra Alves de Lima</t>
  </si>
  <si>
    <t xml:space="preserve">Diogo Rutzen Turra</t>
  </si>
  <si>
    <t xml:space="preserve">Companhia Agropecuaria do Arame</t>
  </si>
  <si>
    <t xml:space="preserve">Agropecuaria Mesquita Ltda</t>
  </si>
  <si>
    <t xml:space="preserve">Isau da Costa Paiva</t>
  </si>
  <si>
    <t xml:space="preserve">Rodrigo Chucarro</t>
  </si>
  <si>
    <t xml:space="preserve">Celso Griesang e Outro</t>
  </si>
  <si>
    <t xml:space="preserve">Marcos Antonio Gomes e Outra</t>
  </si>
  <si>
    <t xml:space="preserve">Luis Antonio Gomes e Outra</t>
  </si>
  <si>
    <t xml:space="preserve">Darce Ramalho dos Santos</t>
  </si>
  <si>
    <t xml:space="preserve">José Izidoro Corso e Outro</t>
  </si>
  <si>
    <t xml:space="preserve">Douglas Galhardo Passatuto</t>
  </si>
  <si>
    <t xml:space="preserve">Leandro José Alflen</t>
  </si>
  <si>
    <t xml:space="preserve">Midas Trading Exportadora Ltda</t>
  </si>
  <si>
    <t xml:space="preserve">Cesar Giovani Conte</t>
  </si>
  <si>
    <t xml:space="preserve">V A Firmo</t>
  </si>
  <si>
    <t xml:space="preserve">Hugo Francisco Durigan</t>
  </si>
  <si>
    <t xml:space="preserve">MV Moveis &amp; Magazine</t>
  </si>
  <si>
    <t xml:space="preserve">Dorian Lessa Pinheiro do Vale</t>
  </si>
  <si>
    <t xml:space="preserve">Dayane Ximenes Cruz - ME</t>
  </si>
  <si>
    <t xml:space="preserve">Kyoei Agronegocio Ltda</t>
  </si>
  <si>
    <t xml:space="preserve">Koiti Hojo</t>
  </si>
  <si>
    <t xml:space="preserve">Agro Parana Importação e Exportação Ltda</t>
  </si>
  <si>
    <t xml:space="preserve">Limeira &amp; Limeira Ltda</t>
  </si>
  <si>
    <t xml:space="preserve">Joselen Mondini</t>
  </si>
  <si>
    <t xml:space="preserve">Juliana Amorim Martins</t>
  </si>
  <si>
    <t xml:space="preserve">Angela Regina Sansão Rodrigues</t>
  </si>
  <si>
    <t xml:space="preserve">J.Brandão Duarte Ltda</t>
  </si>
  <si>
    <t xml:space="preserve">Sidney Gomes de Oliveira</t>
  </si>
  <si>
    <t xml:space="preserve">Ricardo Romero Pires e Outros</t>
  </si>
  <si>
    <t xml:space="preserve">Guilherme Porto Corral</t>
  </si>
  <si>
    <t xml:space="preserve">Valzumiro Ceolim</t>
  </si>
  <si>
    <t xml:space="preserve">Cajuru Agronegocio e Empreendimentos Ltda</t>
  </si>
  <si>
    <t xml:space="preserve">Celio Batista Caixeta</t>
  </si>
  <si>
    <t xml:space="preserve">Valter Mikio Morinaga</t>
  </si>
  <si>
    <t xml:space="preserve">Fernando Fuchs filho</t>
  </si>
  <si>
    <t xml:space="preserve">Natanael Ribeiro Cintra/Cleia Ambrosio Ribeiro</t>
  </si>
  <si>
    <t xml:space="preserve">Cecilia M. Sampaio Monteiro Ltda - ME</t>
  </si>
  <si>
    <t xml:space="preserve">D.C. dos Santos Importação e Exportação Ltda</t>
  </si>
  <si>
    <t xml:space="preserve">Ozias Augusto Lopes Gonçalez</t>
  </si>
  <si>
    <t xml:space="preserve">Stefano Facchin</t>
  </si>
  <si>
    <t xml:space="preserve">Teresa Cristina Ribeiro Ralston Botelho Bracher</t>
  </si>
  <si>
    <t xml:space="preserve">Richardo Infiesta Zulim</t>
  </si>
  <si>
    <t xml:space="preserve">Berigo e Dias Comercio de Produtos Agropecuarios</t>
  </si>
  <si>
    <t xml:space="preserve">Alexandre Coccapieller Ferreira</t>
  </si>
  <si>
    <t xml:space="preserve">Agropecuaria Itaquere do Araguaia Ltda</t>
  </si>
  <si>
    <t xml:space="preserve">Pedro Luiz Candia Leoni</t>
  </si>
  <si>
    <t xml:space="preserve">Condominio Agropecuario 4A - Marcos Artuso</t>
  </si>
  <si>
    <t xml:space="preserve">Raimundo Viana Pacifico</t>
  </si>
  <si>
    <t xml:space="preserve">Romilton Brito da Paixão</t>
  </si>
  <si>
    <t xml:space="preserve">Soila Rodrigues Ferreira Domingues</t>
  </si>
  <si>
    <t xml:space="preserve">Celeiro Rural Nutrição Ltda</t>
  </si>
  <si>
    <t xml:space="preserve">Sierentz Agro Brasil Ltda</t>
  </si>
  <si>
    <t xml:space="preserve">Joelice Ramos Santos</t>
  </si>
  <si>
    <t xml:space="preserve">Edmundo Rocha Vilela</t>
  </si>
  <si>
    <t xml:space="preserve">Igor Ficagna</t>
  </si>
  <si>
    <t xml:space="preserve">Associação para o Fomento a Pesquisa</t>
  </si>
  <si>
    <t xml:space="preserve">Produtecnica Nordeste Comercio de Insumos Agricola</t>
  </si>
  <si>
    <t xml:space="preserve">Adelson Gomes</t>
  </si>
  <si>
    <t xml:space="preserve">De Valerios Industria e Comercio de Erva Mate Ltda</t>
  </si>
  <si>
    <t xml:space="preserve">M.de F.Lopes C.dos Reis</t>
  </si>
  <si>
    <t xml:space="preserve">Osvaldo Evaristo Vilela</t>
  </si>
  <si>
    <t xml:space="preserve">Basf S/A</t>
  </si>
  <si>
    <t xml:space="preserve">Fabio Augusto Rossato</t>
  </si>
  <si>
    <t xml:space="preserve">Adonil Barbosa dos Santos</t>
  </si>
  <si>
    <t xml:space="preserve">L R Agronegocios Ltda</t>
  </si>
  <si>
    <t xml:space="preserve">Agrodinamica Comercio e Representações Ltda</t>
  </si>
  <si>
    <t xml:space="preserve">Alessandro Schiavinato</t>
  </si>
  <si>
    <t xml:space="preserve">Diogo Antonio Baggio de Souza</t>
  </si>
  <si>
    <t xml:space="preserve">Sergio Pereira Assis</t>
  </si>
  <si>
    <t xml:space="preserve">Geraldo de Lorenzi Cancellier</t>
  </si>
  <si>
    <t xml:space="preserve">Antonio B. de Jesus</t>
  </si>
  <si>
    <t xml:space="preserve">Nardel José Goulart</t>
  </si>
  <si>
    <t xml:space="preserve">Agropecuaria Parana Ltda - ME</t>
  </si>
  <si>
    <t xml:space="preserve">Maria Alice Chicarelli Trevisi e Filhos</t>
  </si>
  <si>
    <t xml:space="preserve">Ivan Duarte Santiago</t>
  </si>
  <si>
    <t xml:space="preserve">Eder Lucio Celestino da Silva</t>
  </si>
  <si>
    <t xml:space="preserve">Multicampo Produtos Agropecuarios Ltda</t>
  </si>
  <si>
    <t xml:space="preserve">Terra Pesquisa e Treinamento Agricola</t>
  </si>
  <si>
    <t xml:space="preserve">Andre Teixeira de Freitas Silveira</t>
  </si>
  <si>
    <t xml:space="preserve">Celso Pess</t>
  </si>
  <si>
    <t xml:space="preserve">Agroterenas S/A Cana</t>
  </si>
  <si>
    <t xml:space="preserve">Emerson José Meneguetti</t>
  </si>
  <si>
    <t xml:space="preserve">Odair Rossetto</t>
  </si>
  <si>
    <t xml:space="preserve">Paulo Roberto Tomassoni</t>
  </si>
  <si>
    <t xml:space="preserve">João Ednilson Favoreto</t>
  </si>
  <si>
    <t xml:space="preserve">Marcio Alves Roberto</t>
  </si>
  <si>
    <t xml:space="preserve">Zelindo Cattoni</t>
  </si>
  <si>
    <t xml:space="preserve">FF Francisco Participações Ltda</t>
  </si>
  <si>
    <t xml:space="preserve">João Paulo Borges de Moraes</t>
  </si>
  <si>
    <t xml:space="preserve">Veridiano Braga da Silva</t>
  </si>
  <si>
    <t xml:space="preserve">Silvio S.Ferreira</t>
  </si>
  <si>
    <t xml:space="preserve">Miguel Teotonio dos Santos Neto</t>
  </si>
  <si>
    <t xml:space="preserve">Ampliar Produtos Agropecuarios Ltda</t>
  </si>
  <si>
    <t xml:space="preserve">Ouro Verde Insumos Agricolas Ltda</t>
  </si>
  <si>
    <t xml:space="preserve">Soma Produtos Agropecuarios Ltda</t>
  </si>
  <si>
    <t xml:space="preserve">Nelson Teodoro Siede</t>
  </si>
  <si>
    <t xml:space="preserve">Antonio Edinaldo da Silva Souza</t>
  </si>
  <si>
    <t xml:space="preserve">Casa do Produtor SJA Ltda</t>
  </si>
  <si>
    <t xml:space="preserve">L Tadeu S.de Araujo Filho &amp; Cia Ltda</t>
  </si>
  <si>
    <t xml:space="preserve">Pablo de Lima Barbosa</t>
  </si>
  <si>
    <t xml:space="preserve">Sergio Bazzan</t>
  </si>
  <si>
    <t xml:space="preserve">Agro Ceolin Ltda</t>
  </si>
  <si>
    <t xml:space="preserve">Organics MS Fertilizantes Ltda</t>
  </si>
  <si>
    <t xml:space="preserve">Espólio de Niro Gonçalves Campos</t>
  </si>
  <si>
    <t xml:space="preserve">Wenceslau Tadeu de  Queiroz</t>
  </si>
  <si>
    <t xml:space="preserve">Douglas Zotarelli de Oliveira</t>
  </si>
  <si>
    <t xml:space="preserve">Cleverton Messias Miotto Corazza</t>
  </si>
  <si>
    <t xml:space="preserve">MFG Agropecuaria Ltda</t>
  </si>
  <si>
    <t xml:space="preserve">Elizangelo Bezerra Lemos</t>
  </si>
  <si>
    <t xml:space="preserve">Ideal Agro S/A</t>
  </si>
  <si>
    <t xml:space="preserve">Fernando Henrique Soares</t>
  </si>
  <si>
    <t xml:space="preserve">Prime Produtos Agropecuarios e Representações</t>
  </si>
  <si>
    <t xml:space="preserve">Ciarama Insumos Ltda</t>
  </si>
  <si>
    <t xml:space="preserve">Aristoteles Lins Peixoto</t>
  </si>
  <si>
    <t xml:space="preserve">Equiville Reprodução Equina Ltda</t>
  </si>
  <si>
    <t xml:space="preserve">Agroverdes Comercio e Rpresentações Agricola Ltda</t>
  </si>
  <si>
    <t xml:space="preserve">Carlos Arlei Sfreddo e Outro</t>
  </si>
  <si>
    <t xml:space="preserve">Coopsema - Cooperativa Agricola Mista Serra de Maracaju</t>
  </si>
  <si>
    <t xml:space="preserve">Marcelo Fancheli Fernandes</t>
  </si>
  <si>
    <t xml:space="preserve">Cleicimar Nogueira Rodrigues</t>
  </si>
  <si>
    <t xml:space="preserve">Marcelo Souza Duarte</t>
  </si>
  <si>
    <t xml:space="preserve">Agropecuaria Angelita Ltda</t>
  </si>
  <si>
    <t xml:space="preserve">Eduardo Scannavino de Queiroz</t>
  </si>
  <si>
    <t xml:space="preserve">Fazenda São Marcelo Ltda</t>
  </si>
  <si>
    <t xml:space="preserve">Sape Agropastoril Ltda</t>
  </si>
  <si>
    <t xml:space="preserve">Tiago Pandolfo</t>
  </si>
  <si>
    <t xml:space="preserve">Jacson Carlos Garcia</t>
  </si>
  <si>
    <t xml:space="preserve">Romario Possamai</t>
  </si>
  <si>
    <t xml:space="preserve">Tiburcio Silveira Neto</t>
  </si>
  <si>
    <t xml:space="preserve">Fabricio Duarte Borges</t>
  </si>
  <si>
    <t xml:space="preserve">V.M. de Souza</t>
  </si>
  <si>
    <t xml:space="preserve">Cooperativa Agro Industrial Holambra</t>
  </si>
  <si>
    <t xml:space="preserve">Instituto de Pesquisa e Inovação na Agricultura</t>
  </si>
  <si>
    <t xml:space="preserve">Hildefonso de Abreu Araújo</t>
  </si>
  <si>
    <t xml:space="preserve">Thiago Stefanello Facco</t>
  </si>
  <si>
    <t xml:space="preserve">Getulio Aires Manfroi</t>
  </si>
  <si>
    <t xml:space="preserve">Sergio José Joaquim Fenelon</t>
  </si>
  <si>
    <t xml:space="preserve">Gonçalo Domingos da Silva</t>
  </si>
  <si>
    <t xml:space="preserve">Gilberto Nardi</t>
  </si>
  <si>
    <t xml:space="preserve">Cecilio Comercio de Sementes Ltda</t>
  </si>
  <si>
    <t xml:space="preserve">Maria Angelica Maia Cintra</t>
  </si>
  <si>
    <t xml:space="preserve">Heder Simões da Silva</t>
  </si>
  <si>
    <t xml:space="preserve">Vetboi Agronegocios Ltda</t>
  </si>
  <si>
    <t xml:space="preserve">Egidio José Roman</t>
  </si>
  <si>
    <t xml:space="preserve">Matheus Furia Buzetti</t>
  </si>
  <si>
    <t xml:space="preserve">Carlos Jacob Wallauer</t>
  </si>
  <si>
    <t xml:space="preserve">Br Par Sementes Ltda</t>
  </si>
  <si>
    <t xml:space="preserve">José Izidoro Corso</t>
  </si>
  <si>
    <t xml:space="preserve">Ricardo Carvalho Cruvinel</t>
  </si>
  <si>
    <t xml:space="preserve">Eduardo Vieira Sarmento</t>
  </si>
  <si>
    <t xml:space="preserve">José Moreyra de Andrade Filho</t>
  </si>
  <si>
    <t xml:space="preserve">Ocelio Nobre da Silva</t>
  </si>
  <si>
    <t xml:space="preserve">Flavio Debieux Rosa</t>
  </si>
  <si>
    <t xml:space="preserve">Rodrigo Pess</t>
  </si>
  <si>
    <t xml:space="preserve">Renato de Faria Oliveira Souza</t>
  </si>
  <si>
    <t xml:space="preserve">S/PEDIDO</t>
  </si>
  <si>
    <t xml:space="preserve">Agropecuaria Jem Ltda</t>
  </si>
  <si>
    <t xml:space="preserve">Neri Luiz Lunkes</t>
  </si>
  <si>
    <t xml:space="preserve">Reginaldo Malfatti</t>
  </si>
  <si>
    <t xml:space="preserve">Anderson Carlos de Paula Prado</t>
  </si>
  <si>
    <t xml:space="preserve">Inácio Antonio Thomé</t>
  </si>
  <si>
    <t xml:space="preserve">Irondi Rosa de Bastos</t>
  </si>
  <si>
    <t xml:space="preserve">Marcelo Manoel Zuffo</t>
  </si>
  <si>
    <t xml:space="preserve">Osvaldo Pereira Lopes</t>
  </si>
  <si>
    <t xml:space="preserve">Osvaldo Simões Junior</t>
  </si>
  <si>
    <t xml:space="preserve">Phelipe Goetten Quoos</t>
  </si>
  <si>
    <t xml:space="preserve">Pedro Henrique Bobato Rabito</t>
  </si>
  <si>
    <t xml:space="preserve">Lucas Ragagnin Osmari</t>
  </si>
  <si>
    <t xml:space="preserve">Tendencia Agronegocios Ltda</t>
  </si>
  <si>
    <t xml:space="preserve">Elson Aparecido Esteves</t>
  </si>
  <si>
    <t xml:space="preserve">Ivo Bortolasse Gomes</t>
  </si>
  <si>
    <t xml:space="preserve">Moacir Boldrini e Outra</t>
  </si>
  <si>
    <t xml:space="preserve">José Roberto Siqueira Trovo</t>
  </si>
  <si>
    <t xml:space="preserve">Emerson Zancanaro e Outros</t>
  </si>
  <si>
    <t xml:space="preserve">Fernando Ruas Machado Filho</t>
  </si>
  <si>
    <t xml:space="preserve">Luiz Fernando Gonçalves</t>
  </si>
  <si>
    <t xml:space="preserve">José Willian Bahdur</t>
  </si>
  <si>
    <t xml:space="preserve">Tiago Malage</t>
  </si>
  <si>
    <t xml:space="preserve">Palmeiras Agropastoril Ltda</t>
  </si>
  <si>
    <t xml:space="preserve">Neuler Guimarães Oliveira</t>
  </si>
  <si>
    <t xml:space="preserve">Shanv Agrociencia Comercio de Produtos</t>
  </si>
  <si>
    <t xml:space="preserve">Sementes de Pastagem Sertão Ltda</t>
  </si>
  <si>
    <t xml:space="preserve">Storm Transportes Ltda</t>
  </si>
  <si>
    <t xml:space="preserve">Eraldo Laerte Drago</t>
  </si>
  <si>
    <t xml:space="preserve">Weis Agricola Ltda</t>
  </si>
  <si>
    <t xml:space="preserve">Fernando Vesohoski</t>
  </si>
  <si>
    <t xml:space="preserve">João Paulo Rodas Pereira de Moraes e Outro</t>
  </si>
  <si>
    <t xml:space="preserve">14696-14711</t>
  </si>
  <si>
    <t xml:space="preserve">Aleomar de Oliveira Rezende</t>
  </si>
  <si>
    <t xml:space="preserve">Marisa Garcia Barros Liebana</t>
  </si>
  <si>
    <t xml:space="preserve">Irae Agropecuaria Comercio e Serviços Ltda</t>
  </si>
  <si>
    <t xml:space="preserve">Rafael da Costa Leite</t>
  </si>
  <si>
    <t xml:space="preserve">Bem Industrias de Sementes Ltda</t>
  </si>
  <si>
    <t xml:space="preserve">Ricardo Andrade de Faria</t>
  </si>
  <si>
    <t xml:space="preserve">Lygia Marcia Miranda Fernandes Ferrari</t>
  </si>
  <si>
    <t xml:space="preserve">Agropecuaria Passatempo Ltda</t>
  </si>
  <si>
    <t xml:space="preserve">Paulo Henrique Lima Martos</t>
  </si>
  <si>
    <t xml:space="preserve">Antonio Pereira Braz Filho/Dalva Torrezan Pereira</t>
  </si>
  <si>
    <t xml:space="preserve">Jeronimo Machado</t>
  </si>
  <si>
    <t xml:space="preserve">João Lucio Nunes Machado Junior</t>
  </si>
  <si>
    <t xml:space="preserve">João Manoel Bissoli</t>
  </si>
  <si>
    <t xml:space="preserve">A.E.J Agronegocios Ltda</t>
  </si>
  <si>
    <t xml:space="preserve">Gilson Leal dos Santos</t>
  </si>
  <si>
    <t xml:space="preserve">Cleyton Billig Ceolin</t>
  </si>
  <si>
    <t xml:space="preserve">Luiz Otavio Fontes Junqueira</t>
  </si>
  <si>
    <t xml:space="preserve">Clovis Hayrton Raffi</t>
  </si>
  <si>
    <t xml:space="preserve">Dalcio Gilberto Guiareschi</t>
  </si>
  <si>
    <t xml:space="preserve">Omixon Carvalho Rezende</t>
  </si>
  <si>
    <t xml:space="preserve">André Carlos Adams</t>
  </si>
  <si>
    <t xml:space="preserve">Elizabete Lopes Gonçalez</t>
  </si>
  <si>
    <t xml:space="preserve">Dilce Tereza Flimian Braga e Outros</t>
  </si>
  <si>
    <t xml:space="preserve">Sergio Jacinto Costa</t>
  </si>
  <si>
    <t xml:space="preserve">Agro Produtiva Ltda</t>
  </si>
  <si>
    <t xml:space="preserve">Comercial Agricola Cambé Ltda</t>
  </si>
  <si>
    <t xml:space="preserve">Logo HM Ltda</t>
  </si>
  <si>
    <t xml:space="preserve">Jefferson Carlos Inacio da Silva</t>
  </si>
  <si>
    <t xml:space="preserve">Comercial Agrocampo Ltda</t>
  </si>
  <si>
    <t xml:space="preserve">Celso Pess Junior</t>
  </si>
  <si>
    <t xml:space="preserve">HISTORICO MÉDIA VENDA</t>
  </si>
  <si>
    <t xml:space="preserve">DIFERENÇA</t>
  </si>
  <si>
    <t xml:space="preserve">PROJEÇÃO VENDA SAFRA &gt;&gt;&gt;&gt;&gt;&gt;&gt;&gt;&gt;&gt;&gt;&gt;</t>
  </si>
  <si>
    <t xml:space="preserve">SEMENTES A ENTREGAR - COMUM - KG</t>
  </si>
  <si>
    <t xml:space="preserve">VARIEDADES</t>
  </si>
  <si>
    <t xml:space="preserve">35 VC - 40 PP</t>
  </si>
  <si>
    <t xml:space="preserve">50 VC - 60 PP BRACHIARIAS/55 PP PANICUS</t>
  </si>
  <si>
    <t xml:space="preserve">80 VC - 90 PP</t>
  </si>
  <si>
    <t xml:space="preserve">A ENTREGAR</t>
  </si>
  <si>
    <t xml:space="preserve">ESTOQUE </t>
  </si>
  <si>
    <t xml:space="preserve">CD</t>
  </si>
  <si>
    <t xml:space="preserve">SALDO</t>
  </si>
  <si>
    <t xml:space="preserve">ESTOQUE</t>
  </si>
  <si>
    <t xml:space="preserve">SEMENTES A ENTREGAR - GOLDEN/PODIUM - KG</t>
  </si>
  <si>
    <t xml:space="preserve">Paiaguás</t>
  </si>
  <si>
    <t xml:space="preserve">A ENTREGAR SAFRAS ANTERIORES</t>
  </si>
  <si>
    <t xml:space="preserve">ENTREGUE KG</t>
  </si>
  <si>
    <t xml:space="preserve">Alvorada Comércio de Produtos Agropecuários</t>
  </si>
  <si>
    <t xml:space="preserve">Osvaldo Firmino de Souza/Rosamin Lenin de Souza</t>
  </si>
  <si>
    <t xml:space="preserve">Belkiss Gomes Nunes Gratão</t>
  </si>
  <si>
    <t xml:space="preserve">RESUMO GERAL DE SEMENTES </t>
  </si>
  <si>
    <t xml:space="preserve">35 VC</t>
  </si>
  <si>
    <t xml:space="preserve">50 VC</t>
  </si>
  <si>
    <t xml:space="preserve">55 PP</t>
  </si>
  <si>
    <t xml:space="preserve">80 VC</t>
  </si>
  <si>
    <t xml:space="preserve">TOTAL A ENTREGAR</t>
  </si>
  <si>
    <t xml:space="preserve">PREVISÃO PRODUÇÃO</t>
  </si>
  <si>
    <t xml:space="preserve">PREVISÃO PARCERIA</t>
  </si>
  <si>
    <t xml:space="preserve">A RECEBER COMPRA</t>
  </si>
  <si>
    <t xml:space="preserve">SALDO DE SEMENTES P/VENDA</t>
  </si>
  <si>
    <t xml:space="preserve">MÉDIA PREÇO VENDA PP 24/25</t>
  </si>
  <si>
    <t xml:space="preserve">SALDO SEMENTES R$ VENDA</t>
  </si>
  <si>
    <t xml:space="preserve">SALDO DE SEMENTES CONTABIL</t>
  </si>
  <si>
    <t xml:space="preserve">SALDO SEMENTES R$ CONTABIL</t>
  </si>
  <si>
    <t xml:space="preserve">R$</t>
  </si>
  <si>
    <t xml:space="preserve">Grof 1463</t>
  </si>
  <si>
    <t xml:space="preserve">A Entregar</t>
  </si>
  <si>
    <t xml:space="preserve">Estoque</t>
  </si>
  <si>
    <t xml:space="preserve">Novo Calculo PP</t>
  </si>
  <si>
    <t xml:space="preserve">RESUMO GERAL DE PONTOS DE PUREZA</t>
  </si>
  <si>
    <t xml:space="preserve">DEVOLUÇÕES</t>
  </si>
  <si>
    <t xml:space="preserve"> PRODUÇÃO</t>
  </si>
  <si>
    <t xml:space="preserve">PARCEIROS</t>
  </si>
  <si>
    <t xml:space="preserve">COMPRA</t>
  </si>
  <si>
    <t xml:space="preserve">PERDA/ GANHOS PP VENDA/INDUSTRIA</t>
  </si>
  <si>
    <t xml:space="preserve">TOTAL DE SEMENTES NEGOCIADAS</t>
  </si>
  <si>
    <t xml:space="preserve">SALDO A ENTREGAR SAFRAS ANTERIORES</t>
  </si>
  <si>
    <t xml:space="preserve">TOTAL DE VENDAS</t>
  </si>
  <si>
    <t xml:space="preserve">ESTOQUE ATUAL DE SEMENTES PP REAL</t>
  </si>
  <si>
    <t xml:space="preserve">ESTOQUE ATUAL DE SEMENTES PP COMERCIAL</t>
  </si>
  <si>
    <t xml:space="preserve">CONFERENCIA</t>
  </si>
  <si>
    <t xml:space="preserve">INTER/TORRÃO</t>
  </si>
  <si>
    <t xml:space="preserve">SEMENTES</t>
  </si>
  <si>
    <t xml:space="preserve">.</t>
  </si>
  <si>
    <t xml:space="preserve">RESUMO GERAL DE PONTOS EM R$</t>
  </si>
  <si>
    <t xml:space="preserve">TOTAL DE SEMENTES COMPRADAS</t>
  </si>
  <si>
    <t xml:space="preserve">TOTAL GERAL ENTRADA DE SEMENTES</t>
  </si>
  <si>
    <t xml:space="preserve">ESTOQUE ATUAL DE SEMENTES</t>
  </si>
  <si>
    <t xml:space="preserve">VENDAS + ESTOQUE</t>
  </si>
  <si>
    <t xml:space="preserve">LUCRO BRUTO</t>
  </si>
  <si>
    <t xml:space="preserve">PREÇO DE PONTOS</t>
  </si>
  <si>
    <t xml:space="preserve">PREÇO MÉDIO COMPRA</t>
  </si>
  <si>
    <t xml:space="preserve">COMPRA MERCADO</t>
  </si>
  <si>
    <t xml:space="preserve">PREÇO MÉDIO DEVOLUÇÃO</t>
  </si>
  <si>
    <t xml:space="preserve">PREÇO MÉDIO VENDA</t>
  </si>
  <si>
    <t xml:space="preserve">PREÇO MÉDIO PRODUÇÃO</t>
  </si>
  <si>
    <t xml:space="preserve">ESTOQUE SEMENTES BRUTA</t>
  </si>
  <si>
    <t xml:space="preserve">Nº</t>
  </si>
  <si>
    <t xml:space="preserve">PRO</t>
  </si>
  <si>
    <t xml:space="preserve">ANO</t>
  </si>
  <si>
    <t xml:space="preserve">TIPO</t>
  </si>
  <si>
    <t xml:space="preserve">ESTADO</t>
  </si>
  <si>
    <t xml:space="preserve">RUA</t>
  </si>
  <si>
    <t xml:space="preserve">GER</t>
  </si>
  <si>
    <t xml:space="preserve">VC</t>
  </si>
  <si>
    <t xml:space="preserve">QT.SC.</t>
  </si>
  <si>
    <t xml:space="preserve">P.SC.</t>
  </si>
  <si>
    <t xml:space="preserve">KG TOT.</t>
  </si>
  <si>
    <t xml:space="preserve">TOT.PP SAI</t>
  </si>
  <si>
    <t xml:space="preserve">SAIDA  KG</t>
  </si>
  <si>
    <t xml:space="preserve">SALDO PP</t>
  </si>
  <si>
    <t xml:space="preserve">SALDO KG</t>
  </si>
  <si>
    <t xml:space="preserve">Devolução</t>
  </si>
  <si>
    <t xml:space="preserve">Semente</t>
  </si>
  <si>
    <t xml:space="preserve">RV</t>
  </si>
  <si>
    <t xml:space="preserve">024/24-A</t>
  </si>
  <si>
    <t xml:space="preserve">AC</t>
  </si>
  <si>
    <t xml:space="preserve">DL 004/25</t>
  </si>
  <si>
    <t xml:space="preserve">LT</t>
  </si>
  <si>
    <t xml:space="preserve">229/24</t>
  </si>
  <si>
    <t xml:space="preserve">Limpa</t>
  </si>
  <si>
    <t xml:space="preserve">SP</t>
  </si>
  <si>
    <t xml:space="preserve">170/24</t>
  </si>
  <si>
    <t xml:space="preserve">088/24</t>
  </si>
  <si>
    <t xml:space="preserve">Palha</t>
  </si>
  <si>
    <t xml:space="preserve">DE</t>
  </si>
  <si>
    <t xml:space="preserve">Residuo</t>
  </si>
  <si>
    <t xml:space="preserve">03092024</t>
  </si>
  <si>
    <t xml:space="preserve">Revestimento</t>
  </si>
  <si>
    <t xml:space="preserve">24-A</t>
  </si>
  <si>
    <t xml:space="preserve">239/24</t>
  </si>
  <si>
    <t xml:space="preserve">111/24</t>
  </si>
  <si>
    <t xml:space="preserve">186/24</t>
  </si>
  <si>
    <t xml:space="preserve">227/24</t>
  </si>
  <si>
    <t xml:space="preserve">211/24</t>
  </si>
  <si>
    <t xml:space="preserve">172/24</t>
  </si>
  <si>
    <t xml:space="preserve">121/24</t>
  </si>
  <si>
    <t xml:space="preserve">473/24</t>
  </si>
  <si>
    <t xml:space="preserve">542/24</t>
  </si>
  <si>
    <t xml:space="preserve">543/24</t>
  </si>
  <si>
    <t xml:space="preserve">588/24</t>
  </si>
  <si>
    <t xml:space="preserve">589/24</t>
  </si>
  <si>
    <t xml:space="preserve">042/25</t>
  </si>
  <si>
    <t xml:space="preserve">043/25</t>
  </si>
  <si>
    <t xml:space="preserve">049/25</t>
  </si>
  <si>
    <t xml:space="preserve">069/25</t>
  </si>
  <si>
    <t xml:space="preserve">072/25</t>
  </si>
  <si>
    <t xml:space="preserve">161/25</t>
  </si>
  <si>
    <t xml:space="preserve">205/25</t>
  </si>
  <si>
    <t xml:space="preserve">SI</t>
  </si>
  <si>
    <t xml:space="preserve">533/24</t>
  </si>
  <si>
    <t xml:space="preserve">Padronização</t>
  </si>
  <si>
    <t xml:space="preserve">066/24-A</t>
  </si>
  <si>
    <t xml:space="preserve">PD</t>
  </si>
  <si>
    <t xml:space="preserve">JAIRUS 2</t>
  </si>
  <si>
    <t xml:space="preserve">006/24-A</t>
  </si>
  <si>
    <t xml:space="preserve">027/24-A</t>
  </si>
  <si>
    <t xml:space="preserve">017/24-A</t>
  </si>
  <si>
    <t xml:space="preserve">SP </t>
  </si>
  <si>
    <t xml:space="preserve">056/23</t>
  </si>
  <si>
    <t xml:space="preserve">006/24</t>
  </si>
  <si>
    <t xml:space="preserve">BALANÇO</t>
  </si>
  <si>
    <t xml:space="preserve">Torrão</t>
  </si>
  <si>
    <t xml:space="preserve">Intermediaria</t>
  </si>
  <si>
    <t xml:space="preserve">010/24</t>
  </si>
  <si>
    <t xml:space="preserve">019/23</t>
  </si>
  <si>
    <t xml:space="preserve">149/23</t>
  </si>
  <si>
    <t xml:space="preserve">002/24</t>
  </si>
  <si>
    <t xml:space="preserve">285/23</t>
  </si>
  <si>
    <t xml:space="preserve">170/23</t>
  </si>
  <si>
    <t xml:space="preserve">191/23</t>
  </si>
  <si>
    <t xml:space="preserve">017/24</t>
  </si>
  <si>
    <t xml:space="preserve">027/24</t>
  </si>
  <si>
    <t xml:space="preserve">253/23</t>
  </si>
  <si>
    <t xml:space="preserve">304/24</t>
  </si>
  <si>
    <t xml:space="preserve">066/24</t>
  </si>
  <si>
    <t xml:space="preserve">TR</t>
  </si>
  <si>
    <t xml:space="preserve">028/24</t>
  </si>
  <si>
    <t xml:space="preserve">049/24</t>
  </si>
  <si>
    <t xml:space="preserve">300/24</t>
  </si>
  <si>
    <t xml:space="preserve">028/24-A</t>
  </si>
  <si>
    <t xml:space="preserve">175/24</t>
  </si>
  <si>
    <t xml:space="preserve">PG</t>
  </si>
  <si>
    <t xml:space="preserve">6-A</t>
  </si>
  <si>
    <t xml:space="preserve">184/24</t>
  </si>
  <si>
    <t xml:space="preserve">187/24</t>
  </si>
  <si>
    <t xml:space="preserve">216/24</t>
  </si>
  <si>
    <t xml:space="preserve">217/24</t>
  </si>
  <si>
    <t xml:space="preserve">185/24</t>
  </si>
  <si>
    <t xml:space="preserve">17-A</t>
  </si>
  <si>
    <t xml:space="preserve">218/24</t>
  </si>
  <si>
    <t xml:space="preserve">27-A</t>
  </si>
  <si>
    <t xml:space="preserve">247/24</t>
  </si>
  <si>
    <t xml:space="preserve">249/24</t>
  </si>
  <si>
    <t xml:space="preserve">248/24</t>
  </si>
  <si>
    <t xml:space="preserve">28-A</t>
  </si>
  <si>
    <t xml:space="preserve">250/24</t>
  </si>
  <si>
    <t xml:space="preserve">251/24</t>
  </si>
  <si>
    <t xml:space="preserve">252/24</t>
  </si>
  <si>
    <t xml:space="preserve">Tratamento</t>
  </si>
  <si>
    <t xml:space="preserve">66-A</t>
  </si>
  <si>
    <t xml:space="preserve">377/24</t>
  </si>
  <si>
    <t xml:space="preserve">379/24</t>
  </si>
  <si>
    <t xml:space="preserve">378/24</t>
  </si>
  <si>
    <t xml:space="preserve">Padronizaçãp</t>
  </si>
  <si>
    <t xml:space="preserve">354/24</t>
  </si>
  <si>
    <t xml:space="preserve">451/24</t>
  </si>
  <si>
    <t xml:space="preserve">452/24</t>
  </si>
  <si>
    <t xml:space="preserve">091/24</t>
  </si>
  <si>
    <t xml:space="preserve">092/24</t>
  </si>
  <si>
    <t xml:space="preserve">479/24</t>
  </si>
  <si>
    <t xml:space="preserve">480/24</t>
  </si>
  <si>
    <t xml:space="preserve">481/24</t>
  </si>
  <si>
    <t xml:space="preserve">482/24</t>
  </si>
  <si>
    <t xml:space="preserve">113/24</t>
  </si>
  <si>
    <t xml:space="preserve">114/24</t>
  </si>
  <si>
    <t xml:space="preserve">593/24</t>
  </si>
  <si>
    <t xml:space="preserve">561/24</t>
  </si>
  <si>
    <t xml:space="preserve">562/24</t>
  </si>
  <si>
    <t xml:space="preserve">563/24</t>
  </si>
  <si>
    <t xml:space="preserve">094/24</t>
  </si>
  <si>
    <t xml:space="preserve">134/24</t>
  </si>
  <si>
    <t xml:space="preserve">183/25</t>
  </si>
  <si>
    <t xml:space="preserve">628/24</t>
  </si>
  <si>
    <t xml:space="preserve">629/24</t>
  </si>
  <si>
    <t xml:space="preserve">630/24</t>
  </si>
  <si>
    <t xml:space="preserve">160/174</t>
  </si>
  <si>
    <t xml:space="preserve">Munha</t>
  </si>
  <si>
    <t xml:space="preserve">161/175</t>
  </si>
  <si>
    <t xml:space="preserve">20082024</t>
  </si>
  <si>
    <t xml:space="preserve">524/24</t>
  </si>
  <si>
    <t xml:space="preserve">526/24</t>
  </si>
  <si>
    <t xml:space="preserve">050/24</t>
  </si>
  <si>
    <t xml:space="preserve">356/24</t>
  </si>
  <si>
    <t xml:space="preserve">510/24</t>
  </si>
  <si>
    <t xml:space="preserve">525/24</t>
  </si>
  <si>
    <t xml:space="preserve">590/24</t>
  </si>
  <si>
    <t xml:space="preserve">386/24</t>
  </si>
  <si>
    <t xml:space="preserve">357/24</t>
  </si>
  <si>
    <t xml:space="preserve">560/24</t>
  </si>
  <si>
    <t xml:space="preserve">566/24</t>
  </si>
  <si>
    <t xml:space="preserve">PERDA ENSAQUE</t>
  </si>
  <si>
    <t xml:space="preserve">DL 008/25</t>
  </si>
  <si>
    <t xml:space="preserve">025/24-A</t>
  </si>
  <si>
    <t xml:space="preserve">018/24-A</t>
  </si>
  <si>
    <t xml:space="preserve">043/24-A</t>
  </si>
  <si>
    <t xml:space="preserve">010/24-A</t>
  </si>
  <si>
    <t xml:space="preserve">034/24-A</t>
  </si>
  <si>
    <t xml:space="preserve">010/23</t>
  </si>
  <si>
    <t xml:space="preserve">051/23</t>
  </si>
  <si>
    <t xml:space="preserve">487/23</t>
  </si>
  <si>
    <t xml:space="preserve">DL 007/25</t>
  </si>
  <si>
    <t xml:space="preserve">135/24</t>
  </si>
  <si>
    <t xml:space="preserve">324/24</t>
  </si>
  <si>
    <t xml:space="preserve">292/24</t>
  </si>
  <si>
    <t xml:space="preserve">003/24</t>
  </si>
  <si>
    <t xml:space="preserve">025/24</t>
  </si>
  <si>
    <t xml:space="preserve">018/24</t>
  </si>
  <si>
    <t xml:space="preserve">176/24</t>
  </si>
  <si>
    <t xml:space="preserve">177/24</t>
  </si>
  <si>
    <t xml:space="preserve">10-A</t>
  </si>
  <si>
    <t xml:space="preserve">194/24</t>
  </si>
  <si>
    <t xml:space="preserve">195/24</t>
  </si>
  <si>
    <t xml:space="preserve">197/24</t>
  </si>
  <si>
    <t xml:space="preserve">202/24</t>
  </si>
  <si>
    <t xml:space="preserve">196/24</t>
  </si>
  <si>
    <t xml:space="preserve">193/24</t>
  </si>
  <si>
    <t xml:space="preserve">023/24</t>
  </si>
  <si>
    <t xml:space="preserve">102/24</t>
  </si>
  <si>
    <t xml:space="preserve">034/24</t>
  </si>
  <si>
    <t xml:space="preserve">18-A</t>
  </si>
  <si>
    <t xml:space="preserve">219/24</t>
  </si>
  <si>
    <t xml:space="preserve">220/24</t>
  </si>
  <si>
    <t xml:space="preserve">25-A</t>
  </si>
  <si>
    <t xml:space="preserve">240/24</t>
  </si>
  <si>
    <t xml:space="preserve">243/24</t>
  </si>
  <si>
    <t xml:space="preserve">241/24</t>
  </si>
  <si>
    <t xml:space="preserve">242/24</t>
  </si>
  <si>
    <t xml:space="preserve">34-A</t>
  </si>
  <si>
    <t xml:space="preserve">273/24</t>
  </si>
  <si>
    <t xml:space="preserve">319/24</t>
  </si>
  <si>
    <t xml:space="preserve">43-A</t>
  </si>
  <si>
    <t xml:space="preserve">291/24</t>
  </si>
  <si>
    <t xml:space="preserve">064/24-A</t>
  </si>
  <si>
    <t xml:space="preserve">64-A</t>
  </si>
  <si>
    <t xml:space="preserve">334/24</t>
  </si>
  <si>
    <t xml:space="preserve">335/24</t>
  </si>
  <si>
    <t xml:space="preserve">065/24-A</t>
  </si>
  <si>
    <t xml:space="preserve">65-A</t>
  </si>
  <si>
    <t xml:space="preserve">363/24</t>
  </si>
  <si>
    <t xml:space="preserve">364/24</t>
  </si>
  <si>
    <t xml:space="preserve">388/24</t>
  </si>
  <si>
    <t xml:space="preserve">365/24</t>
  </si>
  <si>
    <t xml:space="preserve">340/24</t>
  </si>
  <si>
    <t xml:space="preserve">449/24</t>
  </si>
  <si>
    <t xml:space="preserve">448/24</t>
  </si>
  <si>
    <t xml:space="preserve">450/24</t>
  </si>
  <si>
    <t xml:space="preserve">511/24</t>
  </si>
  <si>
    <t xml:space="preserve">071/24</t>
  </si>
  <si>
    <t xml:space="preserve">105/24</t>
  </si>
  <si>
    <t xml:space="preserve">549/24</t>
  </si>
  <si>
    <t xml:space="preserve">639/24</t>
  </si>
  <si>
    <t xml:space="preserve">644/24</t>
  </si>
  <si>
    <t xml:space="preserve">643/24</t>
  </si>
  <si>
    <t xml:space="preserve">25092024</t>
  </si>
  <si>
    <t xml:space="preserve">155/24</t>
  </si>
  <si>
    <t xml:space="preserve">068-069/24</t>
  </si>
  <si>
    <t xml:space="preserve">301/24</t>
  </si>
  <si>
    <t xml:space="preserve">067/24-A</t>
  </si>
  <si>
    <t xml:space="preserve">033/24</t>
  </si>
  <si>
    <t xml:space="preserve">067/24</t>
  </si>
  <si>
    <t xml:space="preserve">330/24</t>
  </si>
  <si>
    <t xml:space="preserve">037/24</t>
  </si>
  <si>
    <t xml:space="preserve">035/24</t>
  </si>
  <si>
    <t xml:space="preserve">046/24</t>
  </si>
  <si>
    <t xml:space="preserve">047/24</t>
  </si>
  <si>
    <t xml:space="preserve">048/24</t>
  </si>
  <si>
    <t xml:space="preserve">044/24</t>
  </si>
  <si>
    <t xml:space="preserve">518/24</t>
  </si>
  <si>
    <t xml:space="preserve">07102024</t>
  </si>
  <si>
    <t xml:space="preserve">057/24</t>
  </si>
  <si>
    <t xml:space="preserve">67-A</t>
  </si>
  <si>
    <t xml:space="preserve">352/24</t>
  </si>
  <si>
    <t xml:space="preserve">355/24</t>
  </si>
  <si>
    <t xml:space="preserve">353/24</t>
  </si>
  <si>
    <t xml:space="preserve">070/24</t>
  </si>
  <si>
    <t xml:space="preserve">548/24</t>
  </si>
  <si>
    <t xml:space="preserve">093/24</t>
  </si>
  <si>
    <t xml:space="preserve">045/24</t>
  </si>
  <si>
    <t xml:space="preserve">063/24-A</t>
  </si>
  <si>
    <t xml:space="preserve">039/24-A</t>
  </si>
  <si>
    <t xml:space="preserve">099/24</t>
  </si>
  <si>
    <t xml:space="preserve">018/23</t>
  </si>
  <si>
    <t xml:space="preserve">025/23</t>
  </si>
  <si>
    <t xml:space="preserve">013/24</t>
  </si>
  <si>
    <t xml:space="preserve">019/24</t>
  </si>
  <si>
    <t xml:space="preserve">038/24-A</t>
  </si>
  <si>
    <t xml:space="preserve">38-A</t>
  </si>
  <si>
    <t xml:space="preserve">318/24</t>
  </si>
  <si>
    <t xml:space="preserve">39-A</t>
  </si>
  <si>
    <t xml:space="preserve">284/24</t>
  </si>
  <si>
    <t xml:space="preserve">285/24</t>
  </si>
  <si>
    <t xml:space="preserve">375/24</t>
  </si>
  <si>
    <t xml:space="preserve">63-A</t>
  </si>
  <si>
    <t xml:space="preserve">332/24</t>
  </si>
  <si>
    <t xml:space="preserve">343/24</t>
  </si>
  <si>
    <t xml:space="preserve">333/24</t>
  </si>
  <si>
    <t xml:space="preserve">446/24</t>
  </si>
  <si>
    <t xml:space="preserve">447/24</t>
  </si>
  <si>
    <t xml:space="preserve">098/24</t>
  </si>
  <si>
    <t xml:space="preserve">136/24</t>
  </si>
  <si>
    <t xml:space="preserve">648/24</t>
  </si>
  <si>
    <t xml:space="preserve">649/24</t>
  </si>
  <si>
    <t xml:space="preserve">068/24-A</t>
  </si>
  <si>
    <t xml:space="preserve">012/24</t>
  </si>
  <si>
    <t xml:space="preserve">153/24</t>
  </si>
  <si>
    <t xml:space="preserve">032/24</t>
  </si>
  <si>
    <t xml:space="preserve">157/24</t>
  </si>
  <si>
    <t xml:space="preserve">005/24</t>
  </si>
  <si>
    <t xml:space="preserve">282/23</t>
  </si>
  <si>
    <t xml:space="preserve">001/24</t>
  </si>
  <si>
    <t xml:space="preserve">031/24</t>
  </si>
  <si>
    <t xml:space="preserve">576/24</t>
  </si>
  <si>
    <t xml:space="preserve">020/24-A</t>
  </si>
  <si>
    <t xml:space="preserve">173/24</t>
  </si>
  <si>
    <t xml:space="preserve">174/24</t>
  </si>
  <si>
    <t xml:space="preserve">031/24-A</t>
  </si>
  <si>
    <t xml:space="preserve">PED</t>
  </si>
  <si>
    <t xml:space="preserve">323/24</t>
  </si>
  <si>
    <t xml:space="preserve">037/24-A</t>
  </si>
  <si>
    <t xml:space="preserve">005/24-A</t>
  </si>
  <si>
    <t xml:space="preserve">5-A</t>
  </si>
  <si>
    <t xml:space="preserve">181/24</t>
  </si>
  <si>
    <t xml:space="preserve">182/24</t>
  </si>
  <si>
    <t xml:space="preserve">200/24</t>
  </si>
  <si>
    <t xml:space="preserve">223/24</t>
  </si>
  <si>
    <t xml:space="preserve">201/24</t>
  </si>
  <si>
    <t xml:space="preserve">203/24</t>
  </si>
  <si>
    <t xml:space="preserve">204/24</t>
  </si>
  <si>
    <t xml:space="preserve">019/24-A</t>
  </si>
  <si>
    <t xml:space="preserve">19-A</t>
  </si>
  <si>
    <t xml:space="preserve">221/24</t>
  </si>
  <si>
    <t xml:space="preserve">222/24</t>
  </si>
  <si>
    <t xml:space="preserve">036/24</t>
  </si>
  <si>
    <t xml:space="preserve">31-A</t>
  </si>
  <si>
    <t xml:space="preserve">258/24</t>
  </si>
  <si>
    <t xml:space="preserve">260/24</t>
  </si>
  <si>
    <t xml:space="preserve">259/24</t>
  </si>
  <si>
    <t xml:space="preserve">032/24-A</t>
  </si>
  <si>
    <t xml:space="preserve">32-A</t>
  </si>
  <si>
    <t xml:space="preserve">262/24</t>
  </si>
  <si>
    <t xml:space="preserve">261/24</t>
  </si>
  <si>
    <t xml:space="preserve">265/24</t>
  </si>
  <si>
    <t xml:space="preserve">266/24</t>
  </si>
  <si>
    <t xml:space="preserve">263/24</t>
  </si>
  <si>
    <t xml:space="preserve">264/24</t>
  </si>
  <si>
    <t xml:space="preserve">275/24</t>
  </si>
  <si>
    <t xml:space="preserve">058/24</t>
  </si>
  <si>
    <t xml:space="preserve">303/24</t>
  </si>
  <si>
    <t xml:space="preserve">37-A</t>
  </si>
  <si>
    <t xml:space="preserve">276/24</t>
  </si>
  <si>
    <t xml:space="preserve">277/24</t>
  </si>
  <si>
    <t xml:space="preserve">278/24</t>
  </si>
  <si>
    <t xml:space="preserve">279/24</t>
  </si>
  <si>
    <t xml:space="preserve">280/24</t>
  </si>
  <si>
    <t xml:space="preserve">281/24</t>
  </si>
  <si>
    <t xml:space="preserve">282/24</t>
  </si>
  <si>
    <t xml:space="preserve">317/24</t>
  </si>
  <si>
    <t xml:space="preserve">058/24-A</t>
  </si>
  <si>
    <t xml:space="preserve">58-A</t>
  </si>
  <si>
    <t xml:space="preserve">361/24</t>
  </si>
  <si>
    <t xml:space="preserve">362/24</t>
  </si>
  <si>
    <t xml:space="preserve">008/24</t>
  </si>
  <si>
    <t xml:space="preserve">068/24</t>
  </si>
  <si>
    <t xml:space="preserve">077/24</t>
  </si>
  <si>
    <t xml:space="preserve">076/24</t>
  </si>
  <si>
    <t xml:space="preserve">069/24</t>
  </si>
  <si>
    <t xml:space="preserve">22112024</t>
  </si>
  <si>
    <t xml:space="preserve">68-A</t>
  </si>
  <si>
    <t xml:space="preserve">358/24</t>
  </si>
  <si>
    <t xml:space="preserve">380/24</t>
  </si>
  <si>
    <t xml:space="preserve">381/24</t>
  </si>
  <si>
    <t xml:space="preserve">382/24</t>
  </si>
  <si>
    <t xml:space="preserve">383/24</t>
  </si>
  <si>
    <t xml:space="preserve">384/24</t>
  </si>
  <si>
    <t xml:space="preserve">350/24</t>
  </si>
  <si>
    <t xml:space="preserve">351/24</t>
  </si>
  <si>
    <t xml:space="preserve">387/24</t>
  </si>
  <si>
    <t xml:space="preserve">089/24</t>
  </si>
  <si>
    <t xml:space="preserve">428/24</t>
  </si>
  <si>
    <t xml:space="preserve">411/24</t>
  </si>
  <si>
    <t xml:space="preserve">413/24</t>
  </si>
  <si>
    <t xml:space="preserve">385/24</t>
  </si>
  <si>
    <t xml:space="preserve">417/24</t>
  </si>
  <si>
    <t xml:space="preserve">421/24</t>
  </si>
  <si>
    <t xml:space="preserve">418/24</t>
  </si>
  <si>
    <t xml:space="preserve">419/24</t>
  </si>
  <si>
    <t xml:space="preserve">420/24</t>
  </si>
  <si>
    <t xml:space="preserve">20-A</t>
  </si>
  <si>
    <t xml:space="preserve">414/24</t>
  </si>
  <si>
    <t xml:space="preserve">415/24</t>
  </si>
  <si>
    <t xml:space="preserve">474/24</t>
  </si>
  <si>
    <t xml:space="preserve">475/24</t>
  </si>
  <si>
    <t xml:space="preserve">476/24</t>
  </si>
  <si>
    <t xml:space="preserve">461/24</t>
  </si>
  <si>
    <t xml:space="preserve">462/24</t>
  </si>
  <si>
    <t xml:space="preserve">084/24</t>
  </si>
  <si>
    <t xml:space="preserve">085/24</t>
  </si>
  <si>
    <t xml:space="preserve">086/24</t>
  </si>
  <si>
    <t xml:space="preserve">087/24</t>
  </si>
  <si>
    <t xml:space="preserve">126/24</t>
  </si>
  <si>
    <t xml:space="preserve">602/24</t>
  </si>
  <si>
    <t xml:space="preserve">603/24</t>
  </si>
  <si>
    <t xml:space="preserve">601/24</t>
  </si>
  <si>
    <t xml:space="preserve">600/24</t>
  </si>
  <si>
    <t xml:space="preserve">604/24</t>
  </si>
  <si>
    <t xml:space="preserve">128/24</t>
  </si>
  <si>
    <t xml:space="preserve">611/24</t>
  </si>
  <si>
    <t xml:space="preserve">612/24</t>
  </si>
  <si>
    <t xml:space="preserve">596/24</t>
  </si>
  <si>
    <t xml:space="preserve">605/24</t>
  </si>
  <si>
    <t xml:space="preserve">606/24</t>
  </si>
  <si>
    <t xml:space="preserve">610/24</t>
  </si>
  <si>
    <t xml:space="preserve">613/24</t>
  </si>
  <si>
    <t xml:space="preserve">614/24</t>
  </si>
  <si>
    <t xml:space="preserve">129/24</t>
  </si>
  <si>
    <t xml:space="preserve">615/24</t>
  </si>
  <si>
    <t xml:space="preserve">131/24</t>
  </si>
  <si>
    <t xml:space="preserve">618/24</t>
  </si>
  <si>
    <t xml:space="preserve">621/24</t>
  </si>
  <si>
    <t xml:space="preserve">622/24</t>
  </si>
  <si>
    <t xml:space="preserve">623/24</t>
  </si>
  <si>
    <t xml:space="preserve">619/24</t>
  </si>
  <si>
    <t xml:space="preserve">620/24</t>
  </si>
  <si>
    <t xml:space="preserve">132/24</t>
  </si>
  <si>
    <t xml:space="preserve">624/24</t>
  </si>
  <si>
    <t xml:space="preserve">625/24</t>
  </si>
  <si>
    <t xml:space="preserve">626/24</t>
  </si>
  <si>
    <t xml:space="preserve">627/24</t>
  </si>
  <si>
    <t xml:space="preserve">103/24</t>
  </si>
  <si>
    <t xml:space="preserve">138/24</t>
  </si>
  <si>
    <t xml:space="preserve">144/24</t>
  </si>
  <si>
    <t xml:space="preserve">683/24</t>
  </si>
  <si>
    <t xml:space="preserve">143/24</t>
  </si>
  <si>
    <t xml:space="preserve">656/24</t>
  </si>
  <si>
    <t xml:space="preserve">139/24</t>
  </si>
  <si>
    <t xml:space="preserve">657/24</t>
  </si>
  <si>
    <t xml:space="preserve">658/24</t>
  </si>
  <si>
    <t xml:space="preserve">659/24</t>
  </si>
  <si>
    <t xml:space="preserve">660/24</t>
  </si>
  <si>
    <t xml:space="preserve">661/24</t>
  </si>
  <si>
    <t xml:space="preserve">662/24</t>
  </si>
  <si>
    <t xml:space="preserve">663/24</t>
  </si>
  <si>
    <t xml:space="preserve">664/24</t>
  </si>
  <si>
    <t xml:space="preserve">665/24</t>
  </si>
  <si>
    <t xml:space="preserve">667/24</t>
  </si>
  <si>
    <t xml:space="preserve">668/24</t>
  </si>
  <si>
    <t xml:space="preserve">671/24</t>
  </si>
  <si>
    <t xml:space="preserve">682/24</t>
  </si>
  <si>
    <t xml:space="preserve">672/24</t>
  </si>
  <si>
    <t xml:space="preserve">673/24</t>
  </si>
  <si>
    <t xml:space="preserve">704/24</t>
  </si>
  <si>
    <t xml:space="preserve">710/24</t>
  </si>
  <si>
    <t xml:space="preserve">711/24</t>
  </si>
  <si>
    <t xml:space="preserve">027/25</t>
  </si>
  <si>
    <t xml:space="preserve">032/25</t>
  </si>
  <si>
    <t xml:space="preserve">198/24</t>
  </si>
  <si>
    <t xml:space="preserve">124/25</t>
  </si>
  <si>
    <t xml:space="preserve">122/25</t>
  </si>
  <si>
    <t xml:space="preserve">130/25</t>
  </si>
  <si>
    <t xml:space="preserve">123/25</t>
  </si>
  <si>
    <t xml:space="preserve">206/24</t>
  </si>
  <si>
    <t xml:space="preserve">207/24</t>
  </si>
  <si>
    <t xml:space="preserve">111/25</t>
  </si>
  <si>
    <t xml:space="preserve">112/25</t>
  </si>
  <si>
    <t xml:space="preserve">128/25</t>
  </si>
  <si>
    <t xml:space="preserve">129/25</t>
  </si>
  <si>
    <t xml:space="preserve">135/25</t>
  </si>
  <si>
    <t xml:space="preserve">149/25</t>
  </si>
  <si>
    <t xml:space="preserve">136/25</t>
  </si>
  <si>
    <t xml:space="preserve">150/25</t>
  </si>
  <si>
    <t xml:space="preserve">151/25</t>
  </si>
  <si>
    <t xml:space="preserve">153/25</t>
  </si>
  <si>
    <t xml:space="preserve">156/25</t>
  </si>
  <si>
    <t xml:space="preserve">157/25</t>
  </si>
  <si>
    <t xml:space="preserve">152/25</t>
  </si>
  <si>
    <t xml:space="preserve">155/25</t>
  </si>
  <si>
    <t xml:space="preserve">306/24</t>
  </si>
  <si>
    <t xml:space="preserve">007/24</t>
  </si>
  <si>
    <t xml:space="preserve">071/24-A</t>
  </si>
  <si>
    <t xml:space="preserve">TESTE</t>
  </si>
  <si>
    <t xml:space="preserve">009/24</t>
  </si>
  <si>
    <t xml:space="preserve">015/23</t>
  </si>
  <si>
    <t xml:space="preserve">199/23</t>
  </si>
  <si>
    <t xml:space="preserve">051/24</t>
  </si>
  <si>
    <t xml:space="preserve">200/23</t>
  </si>
  <si>
    <t xml:space="preserve">235/23</t>
  </si>
  <si>
    <t xml:space="preserve">053/23</t>
  </si>
  <si>
    <t xml:space="preserve">234/23</t>
  </si>
  <si>
    <t xml:space="preserve">051/24-A</t>
  </si>
  <si>
    <t xml:space="preserve">76 VC</t>
  </si>
  <si>
    <t xml:space="preserve">DL 001/25</t>
  </si>
  <si>
    <t xml:space="preserve">007/24-A</t>
  </si>
  <si>
    <t xml:space="preserve">7-A</t>
  </si>
  <si>
    <t xml:space="preserve">189/24</t>
  </si>
  <si>
    <t xml:space="preserve">188/24</t>
  </si>
  <si>
    <t xml:space="preserve">51-A</t>
  </si>
  <si>
    <t xml:space="preserve">302/24</t>
  </si>
  <si>
    <t xml:space="preserve">502/24</t>
  </si>
  <si>
    <t xml:space="preserve">336/24</t>
  </si>
  <si>
    <t xml:space="preserve">349/24</t>
  </si>
  <si>
    <t xml:space="preserve">397/24</t>
  </si>
  <si>
    <t xml:space="preserve">71-A</t>
  </si>
  <si>
    <t xml:space="preserve">398/24</t>
  </si>
  <si>
    <t xml:space="preserve">399/24</t>
  </si>
  <si>
    <t xml:space="preserve">400/24</t>
  </si>
  <si>
    <t xml:space="preserve">401/24</t>
  </si>
  <si>
    <t xml:space="preserve">391/24</t>
  </si>
  <si>
    <t xml:space="preserve">392/24</t>
  </si>
  <si>
    <t xml:space="preserve">393/24</t>
  </si>
  <si>
    <t xml:space="preserve">456/24</t>
  </si>
  <si>
    <t xml:space="preserve">457/24</t>
  </si>
  <si>
    <t xml:space="preserve">458/24</t>
  </si>
  <si>
    <t xml:space="preserve">459/24</t>
  </si>
  <si>
    <t xml:space="preserve">106/24</t>
  </si>
  <si>
    <t xml:space="preserve">553/24</t>
  </si>
  <si>
    <t xml:space="preserve">520/24</t>
  </si>
  <si>
    <t xml:space="preserve">521/24</t>
  </si>
  <si>
    <t xml:space="preserve">522/24</t>
  </si>
  <si>
    <t xml:space="preserve">465/24</t>
  </si>
  <si>
    <t xml:space="preserve">101/24</t>
  </si>
  <si>
    <t xml:space="preserve">654/24</t>
  </si>
  <si>
    <t xml:space="preserve">141/24</t>
  </si>
  <si>
    <t xml:space="preserve">653/24</t>
  </si>
  <si>
    <t xml:space="preserve">676/24</t>
  </si>
  <si>
    <t xml:space="preserve">705/24</t>
  </si>
  <si>
    <t xml:space="preserve">677/24</t>
  </si>
  <si>
    <t xml:space="preserve">678/24</t>
  </si>
  <si>
    <t xml:space="preserve">158/24</t>
  </si>
  <si>
    <t xml:space="preserve">159/24</t>
  </si>
  <si>
    <t xml:space="preserve">024/25</t>
  </si>
  <si>
    <t xml:space="preserve">025/25</t>
  </si>
  <si>
    <t xml:space="preserve">026/25</t>
  </si>
  <si>
    <t xml:space="preserve">215/24</t>
  </si>
  <si>
    <t xml:space="preserve">171/25</t>
  </si>
  <si>
    <t xml:space="preserve">172/25</t>
  </si>
  <si>
    <t xml:space="preserve">176/25</t>
  </si>
  <si>
    <t xml:space="preserve">267/27</t>
  </si>
  <si>
    <t xml:space="preserve">267/24</t>
  </si>
  <si>
    <t xml:space="preserve">283/24</t>
  </si>
  <si>
    <t xml:space="preserve">403/24</t>
  </si>
  <si>
    <t xml:space="preserve">484/24</t>
  </si>
  <si>
    <t xml:space="preserve">485/24</t>
  </si>
  <si>
    <t xml:space="preserve">585/24</t>
  </si>
  <si>
    <t xml:space="preserve">684/24</t>
  </si>
  <si>
    <t xml:space="preserve">685/24</t>
  </si>
  <si>
    <t xml:space="preserve">054/23</t>
  </si>
  <si>
    <t xml:space="preserve">047/23</t>
  </si>
  <si>
    <t xml:space="preserve">008/23</t>
  </si>
  <si>
    <t xml:space="preserve">075/24</t>
  </si>
  <si>
    <t xml:space="preserve">156/24</t>
  </si>
  <si>
    <t xml:space="preserve">083/23</t>
  </si>
  <si>
    <t xml:space="preserve">053/24-A</t>
  </si>
  <si>
    <t xml:space="preserve">055/24-A</t>
  </si>
  <si>
    <t xml:space="preserve">075/24-A</t>
  </si>
  <si>
    <t xml:space="preserve">430/24</t>
  </si>
  <si>
    <t xml:space="preserve">023/24-A</t>
  </si>
  <si>
    <t xml:space="preserve">087/24-A</t>
  </si>
  <si>
    <t xml:space="preserve">214/24</t>
  </si>
  <si>
    <t xml:space="preserve">23-A</t>
  </si>
  <si>
    <t xml:space="preserve">231/24</t>
  </si>
  <si>
    <t xml:space="preserve">232/24</t>
  </si>
  <si>
    <t xml:space="preserve">235/24</t>
  </si>
  <si>
    <t xml:space="preserve">233/24</t>
  </si>
  <si>
    <t xml:space="preserve">055/24</t>
  </si>
  <si>
    <t xml:space="preserve">53-A</t>
  </si>
  <si>
    <t xml:space="preserve">310/24</t>
  </si>
  <si>
    <t xml:space="preserve">341/24</t>
  </si>
  <si>
    <t xml:space="preserve">344/24</t>
  </si>
  <si>
    <t xml:space="preserve">360/24</t>
  </si>
  <si>
    <t xml:space="preserve">359/24</t>
  </si>
  <si>
    <t xml:space="preserve">311/24</t>
  </si>
  <si>
    <t xml:space="preserve">312/24</t>
  </si>
  <si>
    <t xml:space="preserve">55-A</t>
  </si>
  <si>
    <t xml:space="preserve">314/24</t>
  </si>
  <si>
    <t xml:space="preserve">315/24</t>
  </si>
  <si>
    <t xml:space="preserve">316/24</t>
  </si>
  <si>
    <t xml:space="preserve">011/24</t>
  </si>
  <si>
    <t xml:space="preserve">056/24</t>
  </si>
  <si>
    <t xml:space="preserve">325/24</t>
  </si>
  <si>
    <t xml:space="preserve">326/24</t>
  </si>
  <si>
    <t xml:space="preserve">327/24</t>
  </si>
  <si>
    <t xml:space="preserve">320/24</t>
  </si>
  <si>
    <t xml:space="preserve">321/24</t>
  </si>
  <si>
    <t xml:space="preserve">322/24</t>
  </si>
  <si>
    <t xml:space="preserve">394/24</t>
  </si>
  <si>
    <t xml:space="preserve">395/24</t>
  </si>
  <si>
    <t xml:space="preserve">396/24</t>
  </si>
  <si>
    <t xml:space="preserve">081/24</t>
  </si>
  <si>
    <t xml:space="preserve">75-A</t>
  </si>
  <si>
    <t xml:space="preserve">408/24</t>
  </si>
  <si>
    <t xml:space="preserve">409/24</t>
  </si>
  <si>
    <t xml:space="preserve">410/24</t>
  </si>
  <si>
    <t xml:space="preserve">412/24</t>
  </si>
  <si>
    <t xml:space="preserve">440/24</t>
  </si>
  <si>
    <t xml:space="preserve">441/24</t>
  </si>
  <si>
    <t xml:space="preserve">442/24</t>
  </si>
  <si>
    <t xml:space="preserve">443/24</t>
  </si>
  <si>
    <t xml:space="preserve">87-A</t>
  </si>
  <si>
    <t xml:space="preserve">469/24</t>
  </si>
  <si>
    <t xml:space="preserve">470/24</t>
  </si>
  <si>
    <t xml:space="preserve">471/24</t>
  </si>
  <si>
    <t xml:space="preserve">472/24</t>
  </si>
  <si>
    <t xml:space="preserve">494/24</t>
  </si>
  <si>
    <t xml:space="preserve">501/24</t>
  </si>
  <si>
    <t xml:space="preserve">467/24</t>
  </si>
  <si>
    <t xml:space="preserve">495/24</t>
  </si>
  <si>
    <t xml:space="preserve">496/24</t>
  </si>
  <si>
    <t xml:space="preserve">466/24</t>
  </si>
  <si>
    <t xml:space="preserve">463/24</t>
  </si>
  <si>
    <t xml:space="preserve">079/24</t>
  </si>
  <si>
    <t xml:space="preserve">078/24</t>
  </si>
  <si>
    <t xml:space="preserve">577/24</t>
  </si>
  <si>
    <t xml:space="preserve">120/24</t>
  </si>
  <si>
    <t xml:space="preserve">082/24</t>
  </si>
  <si>
    <t xml:space="preserve">083/24</t>
  </si>
  <si>
    <t xml:space="preserve">090/24</t>
  </si>
  <si>
    <t xml:space="preserve">578/24</t>
  </si>
  <si>
    <t xml:space="preserve">579/24</t>
  </si>
  <si>
    <t xml:space="preserve">586/24</t>
  </si>
  <si>
    <t xml:space="preserve">587/24</t>
  </si>
  <si>
    <t xml:space="preserve">123/24</t>
  </si>
  <si>
    <t xml:space="preserve">124/24</t>
  </si>
  <si>
    <t xml:space="preserve">595/24</t>
  </si>
  <si>
    <t xml:space="preserve">597/24</t>
  </si>
  <si>
    <t xml:space="preserve">598/24</t>
  </si>
  <si>
    <t xml:space="preserve">599/24</t>
  </si>
  <si>
    <t xml:space="preserve">125/24</t>
  </si>
  <si>
    <t xml:space="preserve">133/24</t>
  </si>
  <si>
    <t xml:space="preserve">607/24</t>
  </si>
  <si>
    <t xml:space="preserve">608/24</t>
  </si>
  <si>
    <t xml:space="preserve">634/24</t>
  </si>
  <si>
    <t xml:space="preserve">100/24</t>
  </si>
  <si>
    <t xml:space="preserve">633/24</t>
  </si>
  <si>
    <t xml:space="preserve">140/24</t>
  </si>
  <si>
    <t xml:space="preserve">694/24</t>
  </si>
  <si>
    <t xml:space="preserve">695/24</t>
  </si>
  <si>
    <t xml:space="preserve">712/24</t>
  </si>
  <si>
    <t xml:space="preserve">706/24</t>
  </si>
  <si>
    <t xml:space="preserve">709/24</t>
  </si>
  <si>
    <t xml:space="preserve">118/24</t>
  </si>
  <si>
    <t xml:space="preserve">161/24</t>
  </si>
  <si>
    <t xml:space="preserve">162/24</t>
  </si>
  <si>
    <t xml:space="preserve">163/24</t>
  </si>
  <si>
    <t xml:space="preserve">030/25</t>
  </si>
  <si>
    <t xml:space="preserve">031/25</t>
  </si>
  <si>
    <t xml:space="preserve">018/25</t>
  </si>
  <si>
    <t xml:space="preserve">019/25</t>
  </si>
  <si>
    <t xml:space="preserve">003/25</t>
  </si>
  <si>
    <t xml:space="preserve">004/25</t>
  </si>
  <si>
    <t xml:space="preserve">130/24</t>
  </si>
  <si>
    <t xml:space="preserve">098/25</t>
  </si>
  <si>
    <t xml:space="preserve">099/25</t>
  </si>
  <si>
    <t xml:space="preserve">104/25</t>
  </si>
  <si>
    <t xml:space="preserve">110/25</t>
  </si>
  <si>
    <t xml:space="preserve">105/25</t>
  </si>
  <si>
    <t xml:space="preserve">106/25</t>
  </si>
  <si>
    <t xml:space="preserve">224/24</t>
  </si>
  <si>
    <t xml:space="preserve">225/24</t>
  </si>
  <si>
    <t xml:space="preserve">AP</t>
  </si>
  <si>
    <t xml:space="preserve">194/25</t>
  </si>
  <si>
    <t xml:space="preserve">195/25</t>
  </si>
  <si>
    <t xml:space="preserve">197/25</t>
  </si>
  <si>
    <t xml:space="preserve">198/25</t>
  </si>
  <si>
    <t xml:space="preserve">199/25</t>
  </si>
  <si>
    <t xml:space="preserve">196/25</t>
  </si>
  <si>
    <t xml:space="preserve">204/25</t>
  </si>
  <si>
    <t xml:space="preserve">091/23</t>
  </si>
  <si>
    <t xml:space="preserve">151/23</t>
  </si>
  <si>
    <t xml:space="preserve">272/23</t>
  </si>
  <si>
    <t xml:space="preserve">220/23</t>
  </si>
  <si>
    <t xml:space="preserve">095/23</t>
  </si>
  <si>
    <t xml:space="preserve">021/24-A</t>
  </si>
  <si>
    <t xml:space="preserve">041/24-A</t>
  </si>
  <si>
    <t xml:space="preserve">21-A</t>
  </si>
  <si>
    <t xml:space="preserve">286/24</t>
  </si>
  <si>
    <t xml:space="preserve">41-A</t>
  </si>
  <si>
    <t xml:space="preserve">287/24</t>
  </si>
  <si>
    <t xml:space="preserve">288/24</t>
  </si>
  <si>
    <t xml:space="preserve">289/24</t>
  </si>
  <si>
    <t xml:space="preserve">635/24</t>
  </si>
  <si>
    <t xml:space="preserve">186/25</t>
  </si>
  <si>
    <t xml:space="preserve">206/25</t>
  </si>
  <si>
    <t xml:space="preserve">167/24</t>
  </si>
  <si>
    <t xml:space="preserve">034/25</t>
  </si>
  <si>
    <t xml:space="preserve">JAIRUS 3</t>
  </si>
  <si>
    <t xml:space="preserve">029/24-A</t>
  </si>
  <si>
    <t xml:space="preserve">016/24-A</t>
  </si>
  <si>
    <t xml:space="preserve">030/24-A</t>
  </si>
  <si>
    <t xml:space="preserve">059/24-A</t>
  </si>
  <si>
    <t xml:space="preserve">299/24</t>
  </si>
  <si>
    <t xml:space="preserve">297/24</t>
  </si>
  <si>
    <t xml:space="preserve">007/23</t>
  </si>
  <si>
    <t xml:space="preserve">026/24</t>
  </si>
  <si>
    <t xml:space="preserve">079/24-A</t>
  </si>
  <si>
    <t xml:space="preserve">JAIRUS 4</t>
  </si>
  <si>
    <t xml:space="preserve">227/23</t>
  </si>
  <si>
    <t xml:space="preserve">149/24</t>
  </si>
  <si>
    <t xml:space="preserve">322/23</t>
  </si>
  <si>
    <t xml:space="preserve">187/23</t>
  </si>
  <si>
    <t xml:space="preserve">229/23</t>
  </si>
  <si>
    <t xml:space="preserve">364/23</t>
  </si>
  <si>
    <t xml:space="preserve">328/23</t>
  </si>
  <si>
    <t xml:space="preserve">280/23</t>
  </si>
  <si>
    <t xml:space="preserve">030/24</t>
  </si>
  <si>
    <t xml:space="preserve">284/23</t>
  </si>
  <si>
    <t xml:space="preserve">279/23</t>
  </si>
  <si>
    <t xml:space="preserve">166/24</t>
  </si>
  <si>
    <t xml:space="preserve">281/23</t>
  </si>
  <si>
    <t xml:space="preserve">273/23</t>
  </si>
  <si>
    <t xml:space="preserve">FINAL</t>
  </si>
  <si>
    <t xml:space="preserve">JAIRUS 1</t>
  </si>
  <si>
    <t xml:space="preserve">OC</t>
  </si>
  <si>
    <t xml:space="preserve">059/24</t>
  </si>
  <si>
    <t xml:space="preserve">31012025</t>
  </si>
  <si>
    <t xml:space="preserve">16-A</t>
  </si>
  <si>
    <t xml:space="preserve">208/24</t>
  </si>
  <si>
    <t xml:space="preserve">209/24</t>
  </si>
  <si>
    <t xml:space="preserve">29-A</t>
  </si>
  <si>
    <t xml:space="preserve">254/24</t>
  </si>
  <si>
    <t xml:space="preserve">253/24</t>
  </si>
  <si>
    <t xml:space="preserve">255/24</t>
  </si>
  <si>
    <t xml:space="preserve">30-A</t>
  </si>
  <si>
    <t xml:space="preserve">256/24</t>
  </si>
  <si>
    <t xml:space="preserve">257/24</t>
  </si>
  <si>
    <t xml:space="preserve">296/24</t>
  </si>
  <si>
    <t xml:space="preserve">298/24</t>
  </si>
  <si>
    <t xml:space="preserve">59-A</t>
  </si>
  <si>
    <t xml:space="preserve">331/24</t>
  </si>
  <si>
    <t xml:space="preserve">368/24</t>
  </si>
  <si>
    <t xml:space="preserve">367/24</t>
  </si>
  <si>
    <t xml:space="preserve">366/24</t>
  </si>
  <si>
    <t xml:space="preserve">245/24</t>
  </si>
  <si>
    <t xml:space="preserve">79-A</t>
  </si>
  <si>
    <t xml:space="preserve">431/24</t>
  </si>
  <si>
    <t xml:space="preserve">432/24</t>
  </si>
  <si>
    <t xml:space="preserve">433/24</t>
  </si>
  <si>
    <t xml:space="preserve">434/24</t>
  </si>
  <si>
    <t xml:space="preserve">477/24</t>
  </si>
  <si>
    <t xml:space="preserve">478/24</t>
  </si>
  <si>
    <t xml:space="preserve">453/24</t>
  </si>
  <si>
    <t xml:space="preserve">512/24</t>
  </si>
  <si>
    <t xml:space="preserve">513/24</t>
  </si>
  <si>
    <t xml:space="preserve">464/24</t>
  </si>
  <si>
    <t xml:space="preserve">119/24</t>
  </si>
  <si>
    <t xml:space="preserve">564/24</t>
  </si>
  <si>
    <t xml:space="preserve">565/24</t>
  </si>
  <si>
    <t xml:space="preserve">574/24</t>
  </si>
  <si>
    <t xml:space="preserve">575/24</t>
  </si>
  <si>
    <t xml:space="preserve">582/24</t>
  </si>
  <si>
    <t xml:space="preserve">583/24</t>
  </si>
  <si>
    <t xml:space="preserve">584/24</t>
  </si>
  <si>
    <t xml:space="preserve">591/24</t>
  </si>
  <si>
    <t xml:space="preserve">168/24</t>
  </si>
  <si>
    <t xml:space="preserve">617/24</t>
  </si>
  <si>
    <t xml:space="preserve">115/24</t>
  </si>
  <si>
    <t xml:space="preserve">152/24</t>
  </si>
  <si>
    <t xml:space="preserve">154/24</t>
  </si>
  <si>
    <t xml:space="preserve">JAIRUS 5</t>
  </si>
  <si>
    <t xml:space="preserve">160/24</t>
  </si>
  <si>
    <t xml:space="preserve">TESTE JEFERSON</t>
  </si>
  <si>
    <t xml:space="preserve">001/25</t>
  </si>
  <si>
    <t xml:space="preserve">002/25</t>
  </si>
  <si>
    <t xml:space="preserve">005/25</t>
  </si>
  <si>
    <t xml:space="preserve">012/25</t>
  </si>
  <si>
    <t xml:space="preserve">013/25</t>
  </si>
  <si>
    <t xml:space="preserve">014/25</t>
  </si>
  <si>
    <t xml:space="preserve">011/25</t>
  </si>
  <si>
    <t xml:space="preserve">010/25</t>
  </si>
  <si>
    <t xml:space="preserve">006/25</t>
  </si>
  <si>
    <t xml:space="preserve">007/25</t>
  </si>
  <si>
    <t xml:space="preserve">008/25</t>
  </si>
  <si>
    <t xml:space="preserve">009/25</t>
  </si>
  <si>
    <t xml:space="preserve">015/25</t>
  </si>
  <si>
    <t xml:space="preserve">016/25</t>
  </si>
  <si>
    <t xml:space="preserve">017/25</t>
  </si>
  <si>
    <t xml:space="preserve">041/25</t>
  </si>
  <si>
    <t xml:space="preserve">044/25</t>
  </si>
  <si>
    <t xml:space="preserve">100/25</t>
  </si>
  <si>
    <t xml:space="preserve">102/25</t>
  </si>
  <si>
    <t xml:space="preserve">107/25</t>
  </si>
  <si>
    <t xml:space="preserve">109/25</t>
  </si>
  <si>
    <t xml:space="preserve">108/25</t>
  </si>
  <si>
    <t xml:space="preserve">199/24</t>
  </si>
  <si>
    <t xml:space="preserve">210/24</t>
  </si>
  <si>
    <t xml:space="preserve">205/24</t>
  </si>
  <si>
    <t xml:space="preserve">117/24</t>
  </si>
  <si>
    <t xml:space="preserve">125/25</t>
  </si>
  <si>
    <t xml:space="preserve">126/25</t>
  </si>
  <si>
    <t xml:space="preserve">127/25</t>
  </si>
  <si>
    <t xml:space="preserve">148/25</t>
  </si>
  <si>
    <t xml:space="preserve">146/25</t>
  </si>
  <si>
    <t xml:space="preserve">147/25</t>
  </si>
  <si>
    <t xml:space="preserve">160/25</t>
  </si>
  <si>
    <t xml:space="preserve">158/25</t>
  </si>
  <si>
    <t xml:space="preserve">162/25</t>
  </si>
  <si>
    <t xml:space="preserve">154/25</t>
  </si>
  <si>
    <t xml:space="preserve">159/25</t>
  </si>
  <si>
    <t xml:space="preserve">148/24</t>
  </si>
  <si>
    <t xml:space="preserve">228/24</t>
  </si>
  <si>
    <t xml:space="preserve">207/25</t>
  </si>
  <si>
    <t xml:space="preserve">150/24</t>
  </si>
  <si>
    <t xml:space="preserve">151/24</t>
  </si>
  <si>
    <t xml:space="preserve">210-211/25</t>
  </si>
  <si>
    <t xml:space="preserve">636/24</t>
  </si>
  <si>
    <t xml:space="preserve">523/24</t>
  </si>
  <si>
    <t xml:space="preserve">095/24</t>
  </si>
  <si>
    <t xml:space="preserve">439/24</t>
  </si>
  <si>
    <t xml:space="preserve">506/24</t>
  </si>
  <si>
    <t xml:space="preserve">097/25</t>
  </si>
  <si>
    <t xml:space="preserve">283/23</t>
  </si>
  <si>
    <t xml:space="preserve">288/23</t>
  </si>
  <si>
    <t xml:space="preserve">190/24</t>
  </si>
  <si>
    <t xml:space="preserve">289/23</t>
  </si>
  <si>
    <t xml:space="preserve">287/23</t>
  </si>
  <si>
    <t xml:space="preserve">286/23</t>
  </si>
  <si>
    <t xml:space="preserve">035/24-A</t>
  </si>
  <si>
    <t xml:space="preserve">142/24</t>
  </si>
  <si>
    <t xml:space="preserve">268/24</t>
  </si>
  <si>
    <t xml:space="preserve">270/24</t>
  </si>
  <si>
    <t xml:space="preserve">271/24</t>
  </si>
  <si>
    <t xml:space="preserve">269/24</t>
  </si>
  <si>
    <t xml:space="preserve">35-A</t>
  </si>
  <si>
    <t xml:space="preserve">274/24</t>
  </si>
  <si>
    <t xml:space="preserve">337/24</t>
  </si>
  <si>
    <t xml:space="preserve">483/24</t>
  </si>
  <si>
    <t xml:space="preserve">072/24</t>
  </si>
  <si>
    <t xml:space="preserve">486/24</t>
  </si>
  <si>
    <t xml:space="preserve">487/24</t>
  </si>
  <si>
    <t xml:space="preserve">488/24</t>
  </si>
  <si>
    <t xml:space="preserve">489/24</t>
  </si>
  <si>
    <t xml:space="preserve">490/24</t>
  </si>
  <si>
    <t xml:space="preserve">491/24</t>
  </si>
  <si>
    <t xml:space="preserve">492/24</t>
  </si>
  <si>
    <t xml:space="preserve">504/24</t>
  </si>
  <si>
    <t xml:space="preserve">074/24</t>
  </si>
  <si>
    <t xml:space="preserve">109/24</t>
  </si>
  <si>
    <t xml:space="preserve">110/24</t>
  </si>
  <si>
    <t xml:space="preserve">500/24</t>
  </si>
  <si>
    <t xml:space="preserve">505/24</t>
  </si>
  <si>
    <t xml:space="preserve">080/24</t>
  </si>
  <si>
    <t xml:space="preserve">545/24</t>
  </si>
  <si>
    <t xml:space="preserve">539/24</t>
  </si>
  <si>
    <t xml:space="preserve">540/24</t>
  </si>
  <si>
    <t xml:space="preserve">541/24</t>
  </si>
  <si>
    <t xml:space="preserve">537/24</t>
  </si>
  <si>
    <t xml:space="preserve">538/24</t>
  </si>
  <si>
    <t xml:space="preserve">550/24</t>
  </si>
  <si>
    <t xml:space="preserve">551/24</t>
  </si>
  <si>
    <t xml:space="preserve">552/24</t>
  </si>
  <si>
    <t xml:space="preserve">546/24</t>
  </si>
  <si>
    <t xml:space="preserve">559/24</t>
  </si>
  <si>
    <t xml:space="preserve">122/24</t>
  </si>
  <si>
    <t xml:space="preserve">567/24</t>
  </si>
  <si>
    <t xml:space="preserve">569/24</t>
  </si>
  <si>
    <t xml:space="preserve">570/24</t>
  </si>
  <si>
    <t xml:space="preserve">571/24</t>
  </si>
  <si>
    <t xml:space="preserve">592/24</t>
  </si>
  <si>
    <t xml:space="preserve">096/24</t>
  </si>
  <si>
    <t xml:space="preserve">097/24</t>
  </si>
  <si>
    <t xml:space="preserve">137/24</t>
  </si>
  <si>
    <t xml:space="preserve">650/24</t>
  </si>
  <si>
    <t xml:space="preserve">651/24</t>
  </si>
  <si>
    <t xml:space="preserve">652/24</t>
  </si>
  <si>
    <t xml:space="preserve">104/24</t>
  </si>
  <si>
    <t xml:space="preserve">669/24</t>
  </si>
  <si>
    <t xml:space="preserve">670/24</t>
  </si>
  <si>
    <t xml:space="preserve">674/24</t>
  </si>
  <si>
    <t xml:space="preserve">675/24</t>
  </si>
  <si>
    <t xml:space="preserve">112/24</t>
  </si>
  <si>
    <t xml:space="preserve">679/24</t>
  </si>
  <si>
    <t xml:space="preserve">681/24</t>
  </si>
  <si>
    <t xml:space="preserve">696/24</t>
  </si>
  <si>
    <t xml:space="preserve">697/24</t>
  </si>
  <si>
    <t xml:space="preserve">698/24</t>
  </si>
  <si>
    <t xml:space="preserve">680/24</t>
  </si>
  <si>
    <t xml:space="preserve">688/24</t>
  </si>
  <si>
    <t xml:space="preserve">689/24</t>
  </si>
  <si>
    <t xml:space="preserve">690/24</t>
  </si>
  <si>
    <t xml:space="preserve">691/24</t>
  </si>
  <si>
    <t xml:space="preserve">692/24</t>
  </si>
  <si>
    <t xml:space="preserve">693/24</t>
  </si>
  <si>
    <t xml:space="preserve">707/24</t>
  </si>
  <si>
    <t xml:space="preserve">708/24</t>
  </si>
  <si>
    <t xml:space="preserve">beneficiamento</t>
  </si>
  <si>
    <t xml:space="preserve">718/24</t>
  </si>
  <si>
    <t xml:space="preserve">719/24</t>
  </si>
  <si>
    <t xml:space="preserve">720/24</t>
  </si>
  <si>
    <t xml:space="preserve">721/24</t>
  </si>
  <si>
    <t xml:space="preserve">722/24</t>
  </si>
  <si>
    <t xml:space="preserve">728/24</t>
  </si>
  <si>
    <t xml:space="preserve">729/24</t>
  </si>
  <si>
    <t xml:space="preserve">730/24</t>
  </si>
  <si>
    <t xml:space="preserve">731/24</t>
  </si>
  <si>
    <t xml:space="preserve">732/24</t>
  </si>
  <si>
    <t xml:space="preserve">734/24</t>
  </si>
  <si>
    <t xml:space="preserve">735/24</t>
  </si>
  <si>
    <t xml:space="preserve">073/24</t>
  </si>
  <si>
    <t xml:space="preserve">036/25</t>
  </si>
  <si>
    <t xml:space="preserve">037/25</t>
  </si>
  <si>
    <t xml:space="preserve">733/24</t>
  </si>
  <si>
    <t xml:space="preserve">046/25</t>
  </si>
  <si>
    <t xml:space="preserve">045/25</t>
  </si>
  <si>
    <t xml:space="preserve">050/25</t>
  </si>
  <si>
    <t xml:space="preserve">056/25</t>
  </si>
  <si>
    <t xml:space="preserve">180/24</t>
  </si>
  <si>
    <t xml:space="preserve">179/24</t>
  </si>
  <si>
    <t xml:space="preserve">178/24</t>
  </si>
  <si>
    <t xml:space="preserve">052/25</t>
  </si>
  <si>
    <t xml:space="preserve">053/25</t>
  </si>
  <si>
    <t xml:space="preserve">061/25</t>
  </si>
  <si>
    <t xml:space="preserve">062/25</t>
  </si>
  <si>
    <t xml:space="preserve">063/25</t>
  </si>
  <si>
    <t xml:space="preserve">059/25</t>
  </si>
  <si>
    <t xml:space="preserve">060/25</t>
  </si>
  <si>
    <t xml:space="preserve">054/25</t>
  </si>
  <si>
    <t xml:space="preserve">057/25</t>
  </si>
  <si>
    <t xml:space="preserve">055/25</t>
  </si>
  <si>
    <t xml:space="preserve">058/25</t>
  </si>
  <si>
    <t xml:space="preserve">064/25</t>
  </si>
  <si>
    <t xml:space="preserve">065/25</t>
  </si>
  <si>
    <t xml:space="preserve">067/25</t>
  </si>
  <si>
    <t xml:space="preserve">068/25</t>
  </si>
  <si>
    <t xml:space="preserve">066/25</t>
  </si>
  <si>
    <t xml:space="preserve">183/24</t>
  </si>
  <si>
    <t xml:space="preserve">091/25</t>
  </si>
  <si>
    <t xml:space="preserve">092/25</t>
  </si>
  <si>
    <t xml:space="preserve">191/24</t>
  </si>
  <si>
    <t xml:space="preserve">073/25</t>
  </si>
  <si>
    <t xml:space="preserve">074/25</t>
  </si>
  <si>
    <t xml:space="preserve">075/25</t>
  </si>
  <si>
    <t xml:space="preserve">090/25</t>
  </si>
  <si>
    <t xml:space="preserve">088/25</t>
  </si>
  <si>
    <t xml:space="preserve">141/25</t>
  </si>
  <si>
    <t xml:space="preserve">089/25</t>
  </si>
  <si>
    <t xml:space="preserve">113/25</t>
  </si>
  <si>
    <t xml:space="preserve">114/25</t>
  </si>
  <si>
    <t xml:space="preserve">68-69</t>
  </si>
  <si>
    <t xml:space="preserve">131/25</t>
  </si>
  <si>
    <t xml:space="preserve">133/25</t>
  </si>
  <si>
    <t xml:space="preserve">134/25</t>
  </si>
  <si>
    <t xml:space="preserve">132/25</t>
  </si>
  <si>
    <t xml:space="preserve">70-71</t>
  </si>
  <si>
    <t xml:space="preserve">139/25</t>
  </si>
  <si>
    <t xml:space="preserve">142/25</t>
  </si>
  <si>
    <t xml:space="preserve">140/25</t>
  </si>
  <si>
    <t xml:space="preserve">144/25</t>
  </si>
  <si>
    <t xml:space="preserve">145/25</t>
  </si>
  <si>
    <t xml:space="preserve">JAIRUS 6</t>
  </si>
  <si>
    <t xml:space="preserve">167/25</t>
  </si>
  <si>
    <t xml:space="preserve">168/25</t>
  </si>
  <si>
    <t xml:space="preserve">169/25</t>
  </si>
  <si>
    <t xml:space="preserve">178/25</t>
  </si>
  <si>
    <t xml:space="preserve">180/25</t>
  </si>
  <si>
    <t xml:space="preserve">181/25</t>
  </si>
  <si>
    <t xml:space="preserve">212/24</t>
  </si>
  <si>
    <t xml:space="preserve">213/24</t>
  </si>
  <si>
    <t xml:space="preserve">165/25</t>
  </si>
  <si>
    <t xml:space="preserve">166/25</t>
  </si>
  <si>
    <t xml:space="preserve">170/25</t>
  </si>
  <si>
    <t xml:space="preserve">173/25</t>
  </si>
  <si>
    <t xml:space="preserve">174/25</t>
  </si>
  <si>
    <t xml:space="preserve">175/25</t>
  </si>
  <si>
    <t xml:space="preserve">179/25</t>
  </si>
  <si>
    <t xml:space="preserve">177/25</t>
  </si>
  <si>
    <t xml:space="preserve">190/25</t>
  </si>
  <si>
    <t xml:space="preserve">184/25</t>
  </si>
  <si>
    <t xml:space="preserve">185/25</t>
  </si>
  <si>
    <t xml:space="preserve">187/25</t>
  </si>
  <si>
    <t xml:space="preserve">188/25</t>
  </si>
  <si>
    <t xml:space="preserve">189/25</t>
  </si>
  <si>
    <t xml:space="preserve">192/25</t>
  </si>
  <si>
    <t xml:space="preserve">193/25</t>
  </si>
  <si>
    <t xml:space="preserve">080/25</t>
  </si>
  <si>
    <t xml:space="preserve">083/25</t>
  </si>
  <si>
    <t xml:space="preserve">191/25</t>
  </si>
  <si>
    <t xml:space="preserve">226/24</t>
  </si>
  <si>
    <t xml:space="preserve">208/25</t>
  </si>
  <si>
    <t xml:space="preserve">201/25</t>
  </si>
  <si>
    <t xml:space="preserve">200/25</t>
  </si>
  <si>
    <t xml:space="preserve">202/25</t>
  </si>
  <si>
    <t xml:space="preserve">145/24</t>
  </si>
  <si>
    <t xml:space="preserve">146/24</t>
  </si>
  <si>
    <t xml:space="preserve">147/24</t>
  </si>
  <si>
    <t xml:space="preserve">216/25</t>
  </si>
  <si>
    <t xml:space="preserve">209/25</t>
  </si>
  <si>
    <t xml:space="preserve">217/25</t>
  </si>
  <si>
    <t xml:space="preserve">214/25</t>
  </si>
  <si>
    <t xml:space="preserve">215/25</t>
  </si>
  <si>
    <t xml:space="preserve">CG</t>
  </si>
  <si>
    <t xml:space="preserve">033/23</t>
  </si>
  <si>
    <t xml:space="preserve">594/24</t>
  </si>
  <si>
    <t xml:space="preserve">084/24-A</t>
  </si>
  <si>
    <t xml:space="preserve">DL 005/25</t>
  </si>
  <si>
    <t xml:space="preserve">083/24-A</t>
  </si>
  <si>
    <t xml:space="preserve">052/24-A</t>
  </si>
  <si>
    <t xml:space="preserve">009/24-A</t>
  </si>
  <si>
    <t xml:space="preserve">028/23</t>
  </si>
  <si>
    <t xml:space="preserve">072/24-A</t>
  </si>
  <si>
    <t xml:space="preserve">9-A</t>
  </si>
  <si>
    <t xml:space="preserve">290/24</t>
  </si>
  <si>
    <t xml:space="preserve">517/24</t>
  </si>
  <si>
    <t xml:space="preserve">647/24</t>
  </si>
  <si>
    <t xml:space="preserve">52-A</t>
  </si>
  <si>
    <t xml:space="preserve">307/24</t>
  </si>
  <si>
    <t xml:space="preserve">308/24</t>
  </si>
  <si>
    <t xml:space="preserve">309/24</t>
  </si>
  <si>
    <t xml:space="preserve">72-A</t>
  </si>
  <si>
    <t xml:space="preserve">404/24</t>
  </si>
  <si>
    <t xml:space="preserve">405/24</t>
  </si>
  <si>
    <t xml:space="preserve">84-A</t>
  </si>
  <si>
    <t xml:space="preserve">445/24</t>
  </si>
  <si>
    <t xml:space="preserve">454/24</t>
  </si>
  <si>
    <t xml:space="preserve">83-A</t>
  </si>
  <si>
    <t xml:space="preserve">455/24</t>
  </si>
  <si>
    <t xml:space="preserve">514/24</t>
  </si>
  <si>
    <t xml:space="preserve">515/24</t>
  </si>
  <si>
    <t xml:space="preserve">078/24-A</t>
  </si>
  <si>
    <t xml:space="preserve">061/24-A</t>
  </si>
  <si>
    <t xml:space="preserve">004/24</t>
  </si>
  <si>
    <t xml:space="preserve">039/23</t>
  </si>
  <si>
    <t xml:space="preserve">195/23</t>
  </si>
  <si>
    <t xml:space="preserve">035/23</t>
  </si>
  <si>
    <t xml:space="preserve">459/23</t>
  </si>
  <si>
    <t xml:space="preserve">026/24-A</t>
  </si>
  <si>
    <t xml:space="preserve">295/24</t>
  </si>
  <si>
    <t xml:space="preserve">239/23</t>
  </si>
  <si>
    <t xml:space="preserve">011/24-A</t>
  </si>
  <si>
    <t xml:space="preserve">015/24-A</t>
  </si>
  <si>
    <t xml:space="preserve">11-A</t>
  </si>
  <si>
    <t xml:space="preserve">15-A</t>
  </si>
  <si>
    <t xml:space="preserve">328/24</t>
  </si>
  <si>
    <t xml:space="preserve">329/24</t>
  </si>
  <si>
    <t xml:space="preserve">305/24</t>
  </si>
  <si>
    <t xml:space="preserve">26-A</t>
  </si>
  <si>
    <t xml:space="preserve">244/24</t>
  </si>
  <si>
    <t xml:space="preserve">246/24</t>
  </si>
  <si>
    <t xml:space="preserve">272/24</t>
  </si>
  <si>
    <t xml:space="preserve">293/24</t>
  </si>
  <si>
    <t xml:space="preserve">294/24</t>
  </si>
  <si>
    <t xml:space="preserve">61-A</t>
  </si>
  <si>
    <t xml:space="preserve">338/24</t>
  </si>
  <si>
    <t xml:space="preserve">371/24</t>
  </si>
  <si>
    <t xml:space="preserve">372/24</t>
  </si>
  <si>
    <t xml:space="preserve">373/24</t>
  </si>
  <si>
    <t xml:space="preserve">374/24</t>
  </si>
  <si>
    <t xml:space="preserve">339/24</t>
  </si>
  <si>
    <t xml:space="preserve">346/24</t>
  </si>
  <si>
    <t xml:space="preserve">78-A</t>
  </si>
  <si>
    <t xml:space="preserve">422/24</t>
  </si>
  <si>
    <t xml:space="preserve">425/24</t>
  </si>
  <si>
    <t xml:space="preserve">426/24</t>
  </si>
  <si>
    <t xml:space="preserve">427/24</t>
  </si>
  <si>
    <t xml:space="preserve">423/24</t>
  </si>
  <si>
    <t xml:space="preserve">424/24</t>
  </si>
  <si>
    <t xml:space="preserve">468/24</t>
  </si>
  <si>
    <t xml:space="preserve">507/24</t>
  </si>
  <si>
    <t xml:space="preserve">508/24</t>
  </si>
  <si>
    <t xml:space="preserve">509/24</t>
  </si>
  <si>
    <t xml:space="preserve">568/24</t>
  </si>
  <si>
    <t xml:space="preserve">527/24</t>
  </si>
  <si>
    <t xml:space="preserve">528/24</t>
  </si>
  <si>
    <t xml:space="preserve">529/24</t>
  </si>
  <si>
    <t xml:space="preserve">530/24</t>
  </si>
  <si>
    <t xml:space="preserve">581/24</t>
  </si>
  <si>
    <t xml:space="preserve">616/24</t>
  </si>
  <si>
    <t xml:space="preserve">687/24</t>
  </si>
  <si>
    <t xml:space="preserve">171/24</t>
  </si>
  <si>
    <t xml:space="preserve">699/24</t>
  </si>
  <si>
    <t xml:space="preserve">700/24</t>
  </si>
  <si>
    <t xml:space="preserve">715/24</t>
  </si>
  <si>
    <t xml:space="preserve">716/24</t>
  </si>
  <si>
    <t xml:space="preserve">717,/24</t>
  </si>
  <si>
    <t xml:space="preserve">724/24</t>
  </si>
  <si>
    <t xml:space="preserve">725/24</t>
  </si>
  <si>
    <t xml:space="preserve">726/24</t>
  </si>
  <si>
    <t xml:space="preserve">727/24</t>
  </si>
  <si>
    <t xml:space="preserve">047/25</t>
  </si>
  <si>
    <t xml:space="preserve">048/25</t>
  </si>
  <si>
    <t xml:space="preserve">035/25</t>
  </si>
  <si>
    <t xml:space="preserve">192/24</t>
  </si>
  <si>
    <t xml:space="preserve">093/25</t>
  </si>
  <si>
    <t xml:space="preserve">094/25</t>
  </si>
  <si>
    <t xml:space="preserve">095/25</t>
  </si>
  <si>
    <t xml:space="preserve">096/25</t>
  </si>
  <si>
    <t xml:space="preserve">078/25</t>
  </si>
  <si>
    <t xml:space="preserve">079/25</t>
  </si>
  <si>
    <t xml:space="preserve">081/25</t>
  </si>
  <si>
    <t xml:space="preserve">082/25</t>
  </si>
  <si>
    <t xml:space="preserve">101/25</t>
  </si>
  <si>
    <t xml:space="preserve">143/25</t>
  </si>
  <si>
    <t xml:space="preserve">230/24</t>
  </si>
  <si>
    <t xml:space="preserve">182/25</t>
  </si>
  <si>
    <t xml:space="preserve">203/25</t>
  </si>
  <si>
    <t xml:space="preserve">022/24-A</t>
  </si>
  <si>
    <t xml:space="preserve">008/24-A</t>
  </si>
  <si>
    <t xml:space="preserve">DL 003/25</t>
  </si>
  <si>
    <t xml:space="preserve">041/23</t>
  </si>
  <si>
    <t xml:space="preserve">274/23</t>
  </si>
  <si>
    <t xml:space="preserve">175/23</t>
  </si>
  <si>
    <t xml:space="preserve">176/23</t>
  </si>
  <si>
    <t xml:space="preserve">016/23</t>
  </si>
  <si>
    <t xml:space="preserve">048/23</t>
  </si>
  <si>
    <t xml:space="preserve">188/23</t>
  </si>
  <si>
    <t xml:space="preserve">189/23</t>
  </si>
  <si>
    <t xml:space="preserve">054/24-A</t>
  </si>
  <si>
    <t xml:space="preserve">080/24-A</t>
  </si>
  <si>
    <t xml:space="preserve">060/24-A</t>
  </si>
  <si>
    <t xml:space="preserve">073/24-A</t>
  </si>
  <si>
    <t xml:space="preserve">8-A</t>
  </si>
  <si>
    <t xml:space="preserve">022/24</t>
  </si>
  <si>
    <t xml:space="preserve">572/24</t>
  </si>
  <si>
    <t xml:space="preserve">637/24</t>
  </si>
  <si>
    <t xml:space="preserve">638/24</t>
  </si>
  <si>
    <t xml:space="preserve">22-A</t>
  </si>
  <si>
    <t xml:space="preserve">236/24</t>
  </si>
  <si>
    <t xml:space="preserve">237/24</t>
  </si>
  <si>
    <t xml:space="preserve">238/24</t>
  </si>
  <si>
    <t xml:space="preserve">54-A</t>
  </si>
  <si>
    <t xml:space="preserve">313/24</t>
  </si>
  <si>
    <t xml:space="preserve">60-A</t>
  </si>
  <si>
    <t xml:space="preserve">342/24</t>
  </si>
  <si>
    <t xml:space="preserve">369/24</t>
  </si>
  <si>
    <t xml:space="preserve">370/24</t>
  </si>
  <si>
    <t xml:space="preserve">347/24</t>
  </si>
  <si>
    <t xml:space="preserve">348/24</t>
  </si>
  <si>
    <t xml:space="preserve">73-A</t>
  </si>
  <si>
    <t xml:space="preserve">402/24</t>
  </si>
  <si>
    <t xml:space="preserve">074/24-A</t>
  </si>
  <si>
    <t xml:space="preserve">74-A</t>
  </si>
  <si>
    <t xml:space="preserve">406/24</t>
  </si>
  <si>
    <t xml:space="preserve">407/24</t>
  </si>
  <si>
    <t xml:space="preserve">389/24</t>
  </si>
  <si>
    <t xml:space="preserve">390/24</t>
  </si>
  <si>
    <t xml:space="preserve">416/24</t>
  </si>
  <si>
    <t xml:space="preserve">80-A</t>
  </si>
  <si>
    <t xml:space="preserve">435/24</t>
  </si>
  <si>
    <t xml:space="preserve">436/24</t>
  </si>
  <si>
    <t xml:space="preserve">437/24</t>
  </si>
  <si>
    <t xml:space="preserve">438/24</t>
  </si>
  <si>
    <t xml:space="preserve">460/24</t>
  </si>
  <si>
    <t xml:space="preserve">493/24</t>
  </si>
  <si>
    <t xml:space="preserve">497/24</t>
  </si>
  <si>
    <t xml:space="preserve">498/24</t>
  </si>
  <si>
    <t xml:space="preserve">499/24</t>
  </si>
  <si>
    <t xml:space="preserve">547/24</t>
  </si>
  <si>
    <t xml:space="preserve">554/24</t>
  </si>
  <si>
    <t xml:space="preserve">557/24</t>
  </si>
  <si>
    <t xml:space="preserve">558/24</t>
  </si>
  <si>
    <t xml:space="preserve">555/24</t>
  </si>
  <si>
    <t xml:space="preserve">556/24</t>
  </si>
  <si>
    <t xml:space="preserve">713/24</t>
  </si>
  <si>
    <t xml:space="preserve">714/24</t>
  </si>
  <si>
    <t xml:space="preserve">723/24</t>
  </si>
  <si>
    <t xml:space="preserve">164/24</t>
  </si>
  <si>
    <t xml:space="preserve">165/24</t>
  </si>
  <si>
    <t xml:space="preserve">020/25</t>
  </si>
  <si>
    <t xml:space="preserve">021/25</t>
  </si>
  <si>
    <t xml:space="preserve">022/25</t>
  </si>
  <si>
    <t xml:space="preserve">023/25</t>
  </si>
  <si>
    <t xml:space="preserve">029/25</t>
  </si>
  <si>
    <t xml:space="preserve">051/25</t>
  </si>
  <si>
    <t xml:space="preserve">071/25</t>
  </si>
  <si>
    <t xml:space="preserve">076/25</t>
  </si>
  <si>
    <t xml:space="preserve">077/25</t>
  </si>
  <si>
    <t xml:space="preserve"> RESUMO SEMENTES BRUTA</t>
  </si>
  <si>
    <t xml:space="preserve">DEVOL/DILUI</t>
  </si>
  <si>
    <t xml:space="preserve">SEMENTE PZ</t>
  </si>
  <si>
    <t xml:space="preserve">INTER</t>
  </si>
  <si>
    <t xml:space="preserve">TORRÃO</t>
  </si>
  <si>
    <t xml:space="preserve">PALHA</t>
  </si>
  <si>
    <t xml:space="preserve">RESIDUO</t>
  </si>
  <si>
    <t xml:space="preserve">ACERTO</t>
  </si>
  <si>
    <t xml:space="preserve">PLANTA ESTOQUE SEMENTES BRUTA</t>
  </si>
  <si>
    <t xml:space="preserve">C/P</t>
  </si>
  <si>
    <t xml:space="preserve">PREÇO PP</t>
  </si>
  <si>
    <t xml:space="preserve">PREÇO TOTAL</t>
  </si>
  <si>
    <t xml:space="preserve">LOCAL</t>
  </si>
  <si>
    <t xml:space="preserve">A-6</t>
  </si>
  <si>
    <t xml:space="preserve">A-4</t>
  </si>
  <si>
    <t xml:space="preserve">A-4/A-5</t>
  </si>
  <si>
    <t xml:space="preserve">A-9/A-10</t>
  </si>
  <si>
    <t xml:space="preserve">A-7/A-8</t>
  </si>
  <si>
    <t xml:space="preserve">A-7</t>
  </si>
  <si>
    <t xml:space="preserve">A-8</t>
  </si>
  <si>
    <t xml:space="preserve">A-1</t>
  </si>
  <si>
    <t xml:space="preserve">A-3/A-4</t>
  </si>
  <si>
    <t xml:space="preserve">A-5/A-6</t>
  </si>
  <si>
    <t xml:space="preserve">A-2</t>
  </si>
  <si>
    <t xml:space="preserve">A-10</t>
  </si>
  <si>
    <t xml:space="preserve">A-32</t>
  </si>
  <si>
    <t xml:space="preserve">160/174-Munha</t>
  </si>
  <si>
    <t xml:space="preserve">EXPEDIÇÃO</t>
  </si>
  <si>
    <t xml:space="preserve">REVESTIDORA</t>
  </si>
  <si>
    <t xml:space="preserve">12-13</t>
  </si>
  <si>
    <t xml:space="preserve">A7/A-8</t>
  </si>
  <si>
    <t xml:space="preserve">6</t>
  </si>
  <si>
    <t xml:space="preserve">60-61</t>
  </si>
  <si>
    <t xml:space="preserve">ANEXO</t>
  </si>
  <si>
    <t xml:space="preserve">66-67</t>
  </si>
  <si>
    <t xml:space="preserve">19 A 26</t>
  </si>
  <si>
    <t xml:space="preserve">8</t>
  </si>
  <si>
    <t xml:space="preserve">62-63</t>
  </si>
  <si>
    <t xml:space="preserve">56-57-58-59-65</t>
  </si>
  <si>
    <t xml:space="preserve">A-34/A-35</t>
  </si>
  <si>
    <t xml:space="preserve">A-33/A-34</t>
  </si>
  <si>
    <t xml:space="preserve">A-36</t>
  </si>
  <si>
    <t xml:space="preserve">A-35</t>
  </si>
  <si>
    <t xml:space="preserve">Piata</t>
  </si>
  <si>
    <t xml:space="preserve">42-43</t>
  </si>
  <si>
    <t xml:space="preserve">A-29/A-36</t>
  </si>
  <si>
    <t xml:space="preserve">A-28/A-29</t>
  </si>
  <si>
    <t xml:space="preserve">A-27</t>
  </si>
  <si>
    <t xml:space="preserve">A-26/A-27</t>
  </si>
  <si>
    <t xml:space="preserve">A-27/A-28</t>
  </si>
  <si>
    <t xml:space="preserve">A-26</t>
  </si>
  <si>
    <t xml:space="preserve">A-25/A-26</t>
  </si>
  <si>
    <t xml:space="preserve">A-22/A-23/A-24</t>
  </si>
  <si>
    <t xml:space="preserve">A-23</t>
  </si>
  <si>
    <t xml:space="preserve">A-23/A-24/A-25</t>
  </si>
  <si>
    <t xml:space="preserve">44-45-46</t>
  </si>
  <si>
    <t xml:space="preserve">DEVOLUÇÃO</t>
  </si>
  <si>
    <t xml:space="preserve">Paiagúas</t>
  </si>
  <si>
    <t xml:space="preserve">ESTOQUE SEMENTES FISCALIZADAS</t>
  </si>
  <si>
    <t xml:space="preserve">LOTE</t>
  </si>
  <si>
    <t xml:space="preserve">VCTO</t>
  </si>
  <si>
    <t xml:space="preserve">SC</t>
  </si>
  <si>
    <t xml:space="preserve">P.TOT.</t>
  </si>
  <si>
    <t xml:space="preserve">SAÍDAS PP</t>
  </si>
  <si>
    <t xml:space="preserve">SAÍDAS KG</t>
  </si>
  <si>
    <t xml:space="preserve">SA SC</t>
  </si>
  <si>
    <t xml:space="preserve">USO</t>
  </si>
  <si>
    <t xml:space="preserve">SAL PP</t>
  </si>
  <si>
    <t xml:space="preserve">SAL KG</t>
  </si>
  <si>
    <t xml:space="preserve">SAL SC</t>
  </si>
  <si>
    <t xml:space="preserve">Ponto Alto</t>
  </si>
  <si>
    <t xml:space="preserve">ACERTO FINAL</t>
  </si>
  <si>
    <t xml:space="preserve">LT 229/24</t>
  </si>
  <si>
    <t xml:space="preserve">Nova Safra</t>
  </si>
  <si>
    <t xml:space="preserve">PED 13858</t>
  </si>
  <si>
    <t xml:space="preserve">PED 13982-13999</t>
  </si>
  <si>
    <t xml:space="preserve">PED 14270</t>
  </si>
  <si>
    <t xml:space="preserve">BR Par</t>
  </si>
  <si>
    <t xml:space="preserve">PED 14689</t>
  </si>
  <si>
    <t xml:space="preserve">DILUIÇÃO</t>
  </si>
  <si>
    <t xml:space="preserve">Entre Rios</t>
  </si>
  <si>
    <t xml:space="preserve">Albor</t>
  </si>
  <si>
    <t xml:space="preserve">PED 142/8889</t>
  </si>
  <si>
    <t xml:space="preserve">AGROMINAS</t>
  </si>
  <si>
    <t xml:space="preserve">PED 19-200</t>
  </si>
  <si>
    <t xml:space="preserve">451-A</t>
  </si>
  <si>
    <t xml:space="preserve">LT 535/24</t>
  </si>
  <si>
    <t xml:space="preserve">452-A</t>
  </si>
  <si>
    <t xml:space="preserve">LT 531/24-534/24</t>
  </si>
  <si>
    <t xml:space="preserve">LT 451/24-A</t>
  </si>
  <si>
    <t xml:space="preserve">LT 452/24-A</t>
  </si>
  <si>
    <t xml:space="preserve">PED 13922</t>
  </si>
  <si>
    <t xml:space="preserve">PED 1428</t>
  </si>
  <si>
    <t xml:space="preserve">PED 14695</t>
  </si>
  <si>
    <t xml:space="preserve">PED 14006</t>
  </si>
  <si>
    <t xml:space="preserve">TROCA SACARIA</t>
  </si>
  <si>
    <t xml:space="preserve">LT 563-A</t>
  </si>
  <si>
    <t xml:space="preserve">PED 14439</t>
  </si>
  <si>
    <t xml:space="preserve">563-A</t>
  </si>
  <si>
    <t xml:space="preserve">Convencional</t>
  </si>
  <si>
    <t xml:space="preserve">PED 191</t>
  </si>
  <si>
    <t xml:space="preserve">PED 192</t>
  </si>
  <si>
    <t xml:space="preserve">PED 14088</t>
  </si>
  <si>
    <t xml:space="preserve">ped 14659</t>
  </si>
  <si>
    <t xml:space="preserve">PED 14227</t>
  </si>
  <si>
    <t xml:space="preserve">PED 14233</t>
  </si>
  <si>
    <t xml:space="preserve">PED 14234</t>
  </si>
  <si>
    <t xml:space="preserve">PED 14635</t>
  </si>
  <si>
    <t xml:space="preserve">PED 74-84</t>
  </si>
  <si>
    <t xml:space="preserve">RV 064/24-A</t>
  </si>
  <si>
    <t xml:space="preserve">RV 065/24-A</t>
  </si>
  <si>
    <t xml:space="preserve">PED 1817</t>
  </si>
  <si>
    <t xml:space="preserve">PED 130</t>
  </si>
  <si>
    <t xml:space="preserve">PED 13959</t>
  </si>
  <si>
    <t xml:space="preserve">PED 2446-7060-9923</t>
  </si>
  <si>
    <t xml:space="preserve">PED 13876</t>
  </si>
  <si>
    <t xml:space="preserve">449-A</t>
  </si>
  <si>
    <t xml:space="preserve">PED 14052</t>
  </si>
  <si>
    <t xml:space="preserve">LT 449/24</t>
  </si>
  <si>
    <t xml:space="preserve">LT 536/24</t>
  </si>
  <si>
    <t xml:space="preserve">LT 536/24-A</t>
  </si>
  <si>
    <t xml:space="preserve">536-A</t>
  </si>
  <si>
    <t xml:space="preserve">PED 14382</t>
  </si>
  <si>
    <t xml:space="preserve">PED 4696</t>
  </si>
  <si>
    <t xml:space="preserve">PED 14316-14317</t>
  </si>
  <si>
    <t xml:space="preserve">70 VC</t>
  </si>
  <si>
    <t xml:space="preserve">PED 14109</t>
  </si>
  <si>
    <t xml:space="preserve">PD 044/24</t>
  </si>
  <si>
    <t xml:space="preserve">RV 038/24-A</t>
  </si>
  <si>
    <t xml:space="preserve">RV 063/24-A</t>
  </si>
  <si>
    <t xml:space="preserve">LT 446-A</t>
  </si>
  <si>
    <t xml:space="preserve">446-A</t>
  </si>
  <si>
    <t xml:space="preserve">PED 14074-14073</t>
  </si>
  <si>
    <t xml:space="preserve">PED 14489</t>
  </si>
  <si>
    <t xml:space="preserve">PES4776</t>
  </si>
  <si>
    <t xml:space="preserve">RV 068/24-A</t>
  </si>
  <si>
    <t xml:space="preserve">RV 031/24-A</t>
  </si>
  <si>
    <t xml:space="preserve">RV 032/24</t>
  </si>
  <si>
    <t xml:space="preserve">RV 058/24-A</t>
  </si>
  <si>
    <t xml:space="preserve">RV 037/24-A</t>
  </si>
  <si>
    <t xml:space="preserve">RV 019/24-A</t>
  </si>
  <si>
    <t xml:space="preserve">RV 005/24-A</t>
  </si>
  <si>
    <t xml:space="preserve">PED 74</t>
  </si>
  <si>
    <t xml:space="preserve">PED 184</t>
  </si>
  <si>
    <t xml:space="preserve">PED 204</t>
  </si>
  <si>
    <t xml:space="preserve">PED 13920</t>
  </si>
  <si>
    <t xml:space="preserve">PED 14045</t>
  </si>
  <si>
    <t xml:space="preserve">PED 13991-13990-13989</t>
  </si>
  <si>
    <t xml:space="preserve">ped 14323</t>
  </si>
  <si>
    <t xml:space="preserve">PED 14294</t>
  </si>
  <si>
    <t xml:space="preserve">PED 14099-14107</t>
  </si>
  <si>
    <t xml:space="preserve">PED 14146</t>
  </si>
  <si>
    <t xml:space="preserve">PED 14216</t>
  </si>
  <si>
    <t xml:space="preserve">PED 14046-14045</t>
  </si>
  <si>
    <t xml:space="preserve">PED 14316</t>
  </si>
  <si>
    <t xml:space="preserve">LT 039/25</t>
  </si>
  <si>
    <t xml:space="preserve">PED 14247-14165</t>
  </si>
  <si>
    <t xml:space="preserve">PED 14296-14165</t>
  </si>
  <si>
    <t xml:space="preserve">PED 14146-14162-14224</t>
  </si>
  <si>
    <t xml:space="preserve">PED 14071</t>
  </si>
  <si>
    <t xml:space="preserve">PED 13833-13986</t>
  </si>
  <si>
    <t xml:space="preserve">PED 13934-14318</t>
  </si>
  <si>
    <t xml:space="preserve">PED 14252</t>
  </si>
  <si>
    <t xml:space="preserve">PED 14254</t>
  </si>
  <si>
    <t xml:space="preserve">PED 13937-14269</t>
  </si>
  <si>
    <t xml:space="preserve">PERDA REENSAQUE</t>
  </si>
  <si>
    <t xml:space="preserve">PED 9923-204</t>
  </si>
  <si>
    <t xml:space="preserve">PED 14360-14432-14433</t>
  </si>
  <si>
    <t xml:space="preserve">PED 14298</t>
  </si>
  <si>
    <t xml:space="preserve">PED 14485</t>
  </si>
  <si>
    <t xml:space="preserve">PED 14572-14573</t>
  </si>
  <si>
    <t xml:space="preserve">PED 14741</t>
  </si>
  <si>
    <t xml:space="preserve">PED 14694</t>
  </si>
  <si>
    <t xml:space="preserve">PED 14557-14676</t>
  </si>
  <si>
    <t xml:space="preserve">PED 169-7060</t>
  </si>
  <si>
    <t xml:space="preserve">PED 14019</t>
  </si>
  <si>
    <t xml:space="preserve">PED 14023</t>
  </si>
  <si>
    <t xml:space="preserve">PED 14024</t>
  </si>
  <si>
    <t xml:space="preserve">PED 14028</t>
  </si>
  <si>
    <t xml:space="preserve">PED 14020</t>
  </si>
  <si>
    <t xml:space="preserve">PED 14015</t>
  </si>
  <si>
    <t xml:space="preserve">PED 14022</t>
  </si>
  <si>
    <t xml:space="preserve">PED 14025</t>
  </si>
  <si>
    <t xml:space="preserve">PED 14021</t>
  </si>
  <si>
    <t xml:space="preserve">PED  13723</t>
  </si>
  <si>
    <t xml:space="preserve">PED 13977</t>
  </si>
  <si>
    <t xml:space="preserve">LT 520/24-A</t>
  </si>
  <si>
    <t xml:space="preserve">520-A</t>
  </si>
  <si>
    <t xml:space="preserve">PED 14036</t>
  </si>
  <si>
    <t xml:space="preserve">PED 14165</t>
  </si>
  <si>
    <t xml:space="preserve">PED 14487</t>
  </si>
  <si>
    <t xml:space="preserve">PED 14259-14258</t>
  </si>
  <si>
    <t xml:space="preserve">PED 14551-14685</t>
  </si>
  <si>
    <t xml:space="preserve">PED 14755</t>
  </si>
  <si>
    <t xml:space="preserve">PED 244</t>
  </si>
  <si>
    <t xml:space="preserve">PED 243</t>
  </si>
  <si>
    <t xml:space="preserve">PED 159</t>
  </si>
  <si>
    <t xml:space="preserve">PED 13895</t>
  </si>
  <si>
    <t xml:space="preserve">PED 14104</t>
  </si>
  <si>
    <t xml:space="preserve">PED 14488</t>
  </si>
  <si>
    <t xml:space="preserve">LT 429/24</t>
  </si>
  <si>
    <t xml:space="preserve">PED 13841</t>
  </si>
  <si>
    <t xml:space="preserve">PESD 22</t>
  </si>
  <si>
    <t xml:space="preserve">PERDA REEMBALO</t>
  </si>
  <si>
    <t xml:space="preserve">PED14229</t>
  </si>
  <si>
    <t xml:space="preserve">PD 040/24</t>
  </si>
  <si>
    <t xml:space="preserve">LT 440/24-A</t>
  </si>
  <si>
    <t xml:space="preserve">PED 14101</t>
  </si>
  <si>
    <t xml:space="preserve">440-A</t>
  </si>
  <si>
    <t xml:space="preserve">PED 13777</t>
  </si>
  <si>
    <t xml:space="preserve">PED 14364</t>
  </si>
  <si>
    <t xml:space="preserve">LT 495/24-A</t>
  </si>
  <si>
    <t xml:space="preserve">495-A</t>
  </si>
  <si>
    <t xml:space="preserve">RV 120/24</t>
  </si>
  <si>
    <t xml:space="preserve">PED 14502</t>
  </si>
  <si>
    <t xml:space="preserve">PED 14107</t>
  </si>
  <si>
    <t xml:space="preserve">PED 14389</t>
  </si>
  <si>
    <t xml:space="preserve">PED 14315</t>
  </si>
  <si>
    <t xml:space="preserve">PED 14401</t>
  </si>
  <si>
    <t xml:space="preserve">PED 14451</t>
  </si>
  <si>
    <t xml:space="preserve">PED 14261-14260-14051</t>
  </si>
  <si>
    <t xml:space="preserve">PED 14117</t>
  </si>
  <si>
    <t xml:space="preserve">PED 14412-14411</t>
  </si>
  <si>
    <t xml:space="preserve">PED 14118</t>
  </si>
  <si>
    <t xml:space="preserve">PED 14731</t>
  </si>
  <si>
    <t xml:space="preserve">PED 14753</t>
  </si>
  <si>
    <t xml:space="preserve">PED 14170</t>
  </si>
  <si>
    <t xml:space="preserve">76 V</t>
  </si>
  <si>
    <t xml:space="preserve">PED 14145</t>
  </si>
  <si>
    <t xml:space="preserve">PED 14317</t>
  </si>
  <si>
    <t xml:space="preserve">PED 1411</t>
  </si>
  <si>
    <t xml:space="preserve">PED 139-140</t>
  </si>
  <si>
    <t xml:space="preserve">PED 14443</t>
  </si>
  <si>
    <t xml:space="preserve">PED 14460</t>
  </si>
  <si>
    <t xml:space="preserve">PED 14399</t>
  </si>
  <si>
    <t xml:space="preserve">LT 038/25</t>
  </si>
  <si>
    <t xml:space="preserve">PED 14485-14488</t>
  </si>
  <si>
    <t xml:space="preserve">PED 14378</t>
  </si>
  <si>
    <t xml:space="preserve">PED 134</t>
  </si>
  <si>
    <t xml:space="preserve">PED 14639</t>
  </si>
  <si>
    <t xml:space="preserve">PED 14526</t>
  </si>
  <si>
    <t xml:space="preserve">PED 14750</t>
  </si>
  <si>
    <t xml:space="preserve">LT 269/24-A</t>
  </si>
  <si>
    <t xml:space="preserve">269-A</t>
  </si>
  <si>
    <t xml:space="preserve">PED 13866</t>
  </si>
  <si>
    <t xml:space="preserve">PED 11491-11608</t>
  </si>
  <si>
    <t xml:space="preserve">PED 11491</t>
  </si>
  <si>
    <t xml:space="preserve">PED 13981</t>
  </si>
  <si>
    <t xml:space="preserve">PED 14749</t>
  </si>
  <si>
    <t xml:space="preserve">PED 14293</t>
  </si>
  <si>
    <t xml:space="preserve">PED 13934-13968</t>
  </si>
  <si>
    <t xml:space="preserve">LT 539/24-A</t>
  </si>
  <si>
    <t xml:space="preserve">539-A</t>
  </si>
  <si>
    <t xml:space="preserve">PED 14495</t>
  </si>
  <si>
    <t xml:space="preserve">SIERENTZ</t>
  </si>
  <si>
    <t xml:space="preserve">PD 060/24</t>
  </si>
  <si>
    <t xml:space="preserve">PED 196</t>
  </si>
  <si>
    <t xml:space="preserve">PD 057/24</t>
  </si>
  <si>
    <t xml:space="preserve">PED 14376</t>
  </si>
  <si>
    <t xml:space="preserve">PED 14397</t>
  </si>
  <si>
    <t xml:space="preserve">PED 14284</t>
  </si>
  <si>
    <t xml:space="preserve">PED 13904</t>
  </si>
  <si>
    <t xml:space="preserve">PED 14351-</t>
  </si>
  <si>
    <t xml:space="preserve">PED 13197</t>
  </si>
  <si>
    <t xml:space="preserve">PED 13798-13799-13800-62</t>
  </si>
  <si>
    <t xml:space="preserve">PED 3</t>
  </si>
  <si>
    <t xml:space="preserve">PED 257</t>
  </si>
  <si>
    <t xml:space="preserve">PED 246</t>
  </si>
  <si>
    <t xml:space="preserve">PED 14379</t>
  </si>
  <si>
    <t xml:space="preserve">LT 075/24-A</t>
  </si>
  <si>
    <t xml:space="preserve">PED 14654</t>
  </si>
  <si>
    <t xml:space="preserve">LT 090/24-A</t>
  </si>
  <si>
    <t xml:space="preserve">90-A</t>
  </si>
  <si>
    <t xml:space="preserve">PRD 14321</t>
  </si>
  <si>
    <t xml:space="preserve">PED 4630</t>
  </si>
  <si>
    <t xml:space="preserve">PED 14579</t>
  </si>
  <si>
    <t xml:space="preserve">PED 14578</t>
  </si>
  <si>
    <t xml:space="preserve">PED 13843-14413</t>
  </si>
  <si>
    <t xml:space="preserve">PRD 14701</t>
  </si>
  <si>
    <t xml:space="preserve">PED 14626</t>
  </si>
  <si>
    <t xml:space="preserve">PED 13717</t>
  </si>
  <si>
    <t xml:space="preserve">180-A</t>
  </si>
  <si>
    <t xml:space="preserve">PED 13795</t>
  </si>
  <si>
    <t xml:space="preserve">PED 14623-13767</t>
  </si>
  <si>
    <t xml:space="preserve">PED 13795-13801</t>
  </si>
  <si>
    <t xml:space="preserve">PED 14737</t>
  </si>
  <si>
    <t xml:space="preserve">PED 14712-14726</t>
  </si>
  <si>
    <t xml:space="preserve">PED 13803-13801</t>
  </si>
  <si>
    <t xml:space="preserve">PED 25</t>
  </si>
  <si>
    <t xml:space="preserve">PED 25-24</t>
  </si>
  <si>
    <t xml:space="preserve">PED 14740</t>
  </si>
  <si>
    <t xml:space="preserve">PED 14784</t>
  </si>
  <si>
    <t xml:space="preserve">PD 083/24</t>
  </si>
  <si>
    <t xml:space="preserve">LT 503/24</t>
  </si>
  <si>
    <t xml:space="preserve">PED 14414</t>
  </si>
  <si>
    <t xml:space="preserve">NF 24652</t>
  </si>
  <si>
    <t xml:space="preserve">PED  19</t>
  </si>
  <si>
    <t xml:space="preserve">PED 260</t>
  </si>
  <si>
    <t xml:space="preserve">PED 14560</t>
  </si>
  <si>
    <t xml:space="preserve">PED 14135</t>
  </si>
  <si>
    <t xml:space="preserve">PED 14056</t>
  </si>
  <si>
    <t xml:space="preserve">PED 14616</t>
  </si>
  <si>
    <t xml:space="preserve">RV 078/24-A</t>
  </si>
  <si>
    <t xml:space="preserve">PED 14362</t>
  </si>
  <si>
    <t xml:space="preserve">PED 13857</t>
  </si>
  <si>
    <t xml:space="preserve">PED 206</t>
  </si>
  <si>
    <t xml:space="preserve">PED 422/24</t>
  </si>
  <si>
    <t xml:space="preserve">PED 13877</t>
  </si>
  <si>
    <t xml:space="preserve">LT 580/24</t>
  </si>
  <si>
    <t xml:space="preserve">511-A</t>
  </si>
  <si>
    <t xml:space="preserve">PED 434</t>
  </si>
  <si>
    <t xml:space="preserve">LT 040/25</t>
  </si>
  <si>
    <t xml:space="preserve">PED 14332</t>
  </si>
  <si>
    <t xml:space="preserve">PED 14461</t>
  </si>
  <si>
    <t xml:space="preserve">PED14505</t>
  </si>
  <si>
    <t xml:space="preserve">LT 096/25-A</t>
  </si>
  <si>
    <t xml:space="preserve">PED 14540</t>
  </si>
  <si>
    <t xml:space="preserve">96-A</t>
  </si>
  <si>
    <t xml:space="preserve">PED 13811</t>
  </si>
  <si>
    <t xml:space="preserve">PED 13861</t>
  </si>
  <si>
    <t xml:space="preserve">PED 14093</t>
  </si>
  <si>
    <t xml:space="preserve">PED 14324</t>
  </si>
  <si>
    <t xml:space="preserve">PED 14181</t>
  </si>
  <si>
    <t xml:space="preserve">PED 14184-14183</t>
  </si>
  <si>
    <t xml:space="preserve">RV 145/24</t>
  </si>
  <si>
    <t xml:space="preserve">RV 146/24</t>
  </si>
  <si>
    <t xml:space="preserve">PED 14305</t>
  </si>
  <si>
    <t xml:space="preserve">PED 14559</t>
  </si>
  <si>
    <t xml:space="preserve">PED 14562</t>
  </si>
  <si>
    <t xml:space="preserve">PED 14587</t>
  </si>
  <si>
    <t xml:space="preserve">RESUMO SEMENTES FISCALIZADAS</t>
  </si>
  <si>
    <t xml:space="preserve">PLANTA ESTOQUE SEMENTES FISCALIZADAS</t>
  </si>
  <si>
    <t xml:space="preserve">SACARIA</t>
  </si>
  <si>
    <t xml:space="preserve">R$ KG</t>
  </si>
  <si>
    <t xml:space="preserve">PAD</t>
  </si>
  <si>
    <t xml:space="preserve">21-22</t>
  </si>
  <si>
    <t xml:space="preserve">PRODUTO ACABADO</t>
  </si>
  <si>
    <t xml:space="preserve">Valor de Venda</t>
  </si>
  <si>
    <t xml:space="preserve">Peso Kg</t>
  </si>
  <si>
    <t xml:space="preserve">Total Kg</t>
  </si>
  <si>
    <t xml:space="preserve">Total PP Comercial</t>
  </si>
  <si>
    <t xml:space="preserve">Total PP Real</t>
  </si>
  <si>
    <t xml:space="preserve">Diferença</t>
  </si>
  <si>
    <t xml:space="preserve">   </t>
  </si>
  <si>
    <t xml:space="preserve">RESUMO SEMENTES</t>
  </si>
  <si>
    <t xml:space="preserve">FISCALIZADA</t>
  </si>
  <si>
    <t xml:space="preserve">BRUTA</t>
  </si>
  <si>
    <t xml:space="preserve">LOTES PP REAL</t>
  </si>
  <si>
    <t xml:space="preserve">LOTES PP COMERCIAL</t>
  </si>
  <si>
    <t xml:space="preserve">PRONTAS</t>
  </si>
  <si>
    <t xml:space="preserve">S1/BÁSICAS</t>
  </si>
  <si>
    <t xml:space="preserve">A MISTURAR</t>
  </si>
  <si>
    <t xml:space="preserve">UTEIS PP COMERCIAL</t>
  </si>
  <si>
    <t xml:space="preserve">UTEIS PP REAL</t>
  </si>
  <si>
    <t xml:space="preserve">ENTREGAR</t>
  </si>
  <si>
    <t xml:space="preserve">SALDO P/VENDA PP COMERCIAL</t>
  </si>
  <si>
    <t xml:space="preserve">SALDO P/VENDA PP REAL</t>
  </si>
  <si>
    <t xml:space="preserve">PC 27052024</t>
  </si>
  <si>
    <t xml:space="preserve">MISTURA</t>
  </si>
  <si>
    <t xml:space="preserve">LOTES</t>
  </si>
  <si>
    <t xml:space="preserve">IPTR</t>
  </si>
  <si>
    <t xml:space="preserve">PRODUÇÃO A RECEBER</t>
  </si>
  <si>
    <t xml:space="preserve">COMPRAS A RECEBER</t>
  </si>
  <si>
    <t xml:space="preserve">NECESSIDADE DE COMPRA EM PP COMERCIAL</t>
  </si>
  <si>
    <t xml:space="preserve">NECESSIDADE DE COMPRA EM PP REAL</t>
  </si>
  <si>
    <t xml:space="preserve">PREÇO DE COMPRA</t>
  </si>
  <si>
    <t xml:space="preserve">NECESSIDADE DE COMPRA EM REAIS</t>
  </si>
  <si>
    <t xml:space="preserve">BRUTA TOTAL</t>
  </si>
  <si>
    <t xml:space="preserve">BAIXO PZ/TZ</t>
  </si>
  <si>
    <t xml:space="preserve">S-1/BÁSICA</t>
  </si>
  <si>
    <t xml:space="preserve">BRUTA BOA</t>
  </si>
  <si>
    <t xml:space="preserve">HISTORICO DE VENDAS</t>
  </si>
  <si>
    <t xml:space="preserve">VENDA DO COMERCIAL</t>
  </si>
  <si>
    <t xml:space="preserve">11/12</t>
  </si>
  <si>
    <t xml:space="preserve">12/13</t>
  </si>
  <si>
    <t xml:space="preserve">13/14</t>
  </si>
  <si>
    <t xml:space="preserve">14/15</t>
  </si>
  <si>
    <t xml:space="preserve">24/25</t>
  </si>
  <si>
    <t xml:space="preserve">TOTAL PP/R$</t>
  </si>
  <si>
    <t xml:space="preserve">Ipyporã</t>
  </si>
  <si>
    <t xml:space="preserve">COMP.11/12</t>
  </si>
  <si>
    <t xml:space="preserve">COMP.12/13</t>
  </si>
  <si>
    <t xml:space="preserve">COMP.13/14</t>
  </si>
  <si>
    <t xml:space="preserve">COMP.14/15</t>
  </si>
  <si>
    <t xml:space="preserve">COMP.15/16</t>
  </si>
  <si>
    <t xml:space="preserve">COMP.16/17</t>
  </si>
  <si>
    <t xml:space="preserve">COMP.17/18</t>
  </si>
  <si>
    <t xml:space="preserve">COMP.18/19</t>
  </si>
  <si>
    <t xml:space="preserve">COMP.19/20</t>
  </si>
  <si>
    <t xml:space="preserve">COMP.20/21</t>
  </si>
  <si>
    <t xml:space="preserve">COMP.21/22</t>
  </si>
  <si>
    <t xml:space="preserve">21/22</t>
  </si>
  <si>
    <t xml:space="preserve">PONTO PUREZA E ACERTOS</t>
  </si>
  <si>
    <t xml:space="preserve">15/16</t>
  </si>
  <si>
    <t xml:space="preserve">16/17</t>
  </si>
  <si>
    <t xml:space="preserve">17/18</t>
  </si>
  <si>
    <t xml:space="preserve">18/19</t>
  </si>
  <si>
    <t xml:space="preserve">19/20</t>
  </si>
  <si>
    <t xml:space="preserve">20/21</t>
  </si>
  <si>
    <t xml:space="preserve">%/PP</t>
  </si>
  <si>
    <t xml:space="preserve">%/R$</t>
  </si>
  <si>
    <t xml:space="preserve">2011/12</t>
  </si>
  <si>
    <t xml:space="preserve">2012/13</t>
  </si>
  <si>
    <t xml:space="preserve">2013/14</t>
  </si>
  <si>
    <t xml:space="preserve">2014/15</t>
  </si>
  <si>
    <t xml:space="preserve">2015/16</t>
  </si>
  <si>
    <t xml:space="preserve">2016/17</t>
  </si>
  <si>
    <t xml:space="preserve">2017/18</t>
  </si>
  <si>
    <t xml:space="preserve">2018/19</t>
  </si>
  <si>
    <t xml:space="preserve">2019/20</t>
  </si>
  <si>
    <t xml:space="preserve">2020/21</t>
  </si>
  <si>
    <t xml:space="preserve">2021/22</t>
  </si>
  <si>
    <t xml:space="preserve">COMP.24/25</t>
  </si>
  <si>
    <t xml:space="preserve">PP/KG</t>
  </si>
  <si>
    <t xml:space="preserve">MEDIA PP/KG</t>
  </si>
  <si>
    <t xml:space="preserve">MEDIA KG</t>
  </si>
  <si>
    <t xml:space="preserve">MEDIA PP</t>
  </si>
  <si>
    <t xml:space="preserve">MEDIA R$</t>
  </si>
  <si>
    <t xml:space="preserve">CUSTO PP COMPRA</t>
  </si>
  <si>
    <t xml:space="preserve">LUCRO S/ESTOQUE &gt;&gt;&gt;&gt;&gt;&gt;</t>
  </si>
  <si>
    <t xml:space="preserve">ESTOQUE &gt;&gt;&gt;&gt;&gt;&gt;&gt;&gt;&gt;&gt;</t>
  </si>
  <si>
    <t xml:space="preserve">ENTRADA DE SEMENTES &gt;&gt;&gt;&gt;</t>
  </si>
  <si>
    <t xml:space="preserve">PERCENTUAL COMPRA SEMENTES S/VENDAS</t>
  </si>
  <si>
    <t xml:space="preserve">CUSTO PP VENDA</t>
  </si>
  <si>
    <t xml:space="preserve">LUCRO PRIMARIO &gt;&gt;&gt;&gt;</t>
  </si>
  <si>
    <t xml:space="preserve">VENDAS &gt;&gt;&gt;&gt;&gt;&gt;&gt;</t>
  </si>
</sst>
</file>

<file path=xl/styles.xml><?xml version="1.0" encoding="utf-8"?>
<styleSheet xmlns="http://schemas.openxmlformats.org/spreadsheetml/2006/main">
  <numFmts count="58">
    <numFmt numFmtId="164" formatCode="General"/>
    <numFmt numFmtId="165" formatCode="_(&quot;R$ &quot;* #,##0.00_);_(&quot;R$ &quot;* \(#,##0.00\);_(&quot;R$ &quot;* \-??_);_(@_)"/>
    <numFmt numFmtId="166" formatCode="0%"/>
    <numFmt numFmtId="167" formatCode="_(* #,##0.00_);_(* \(#,##0.00\);_(* \-??_);_(@_)"/>
    <numFmt numFmtId="168" formatCode="#,##0.00"/>
    <numFmt numFmtId="169" formatCode="#,##0"/>
    <numFmt numFmtId="170" formatCode="_-&quot;R$ &quot;* #,##0.00_-;&quot;-R$ &quot;* #,##0.00_-;_-&quot;R$ &quot;* \-??_-;_-@_-"/>
    <numFmt numFmtId="171" formatCode="_(&quot;R$ &quot;* #,##0.0000_);_(&quot;R$ &quot;* \(#,##0.0000\);_(&quot;R$ &quot;* \-??_);_(@_)"/>
    <numFmt numFmtId="172" formatCode="0.000%"/>
    <numFmt numFmtId="173" formatCode="dd/mm/yy;@"/>
    <numFmt numFmtId="174" formatCode="_(* #,##0_);_(* \(#,##0\);_(* \-??_);_(@_)"/>
    <numFmt numFmtId="175" formatCode="_(* #,##0.000_);_(* \(#,##0.000\);_(* \-??_);_(@_)"/>
    <numFmt numFmtId="176" formatCode="_-&quot;R$ &quot;* #,##0.0000_-;&quot;-R$ &quot;* #,##0.0000_-;_-&quot;R$ &quot;* \-??_-;_-@_-"/>
    <numFmt numFmtId="177" formatCode="0.0%"/>
    <numFmt numFmtId="178" formatCode="0.00%"/>
    <numFmt numFmtId="179" formatCode="#,##0.00_ ;[RED]\-#,##0.00\ "/>
    <numFmt numFmtId="180" formatCode="0.00"/>
    <numFmt numFmtId="181" formatCode="0.0000"/>
    <numFmt numFmtId="182" formatCode="#,##0.0"/>
    <numFmt numFmtId="183" formatCode="_-&quot;R$&quot;* #,##0.00000_-;&quot;-R$&quot;* #,##0.00000_-;_-&quot;R$&quot;* \-??_-;_-@_-"/>
    <numFmt numFmtId="184" formatCode="_-&quot;R$&quot;* #,##0.00_-;&quot;-R$&quot;* #,##0.00_-;_-&quot;R$&quot;* \-??_-;_-@_-"/>
    <numFmt numFmtId="185" formatCode="#,##0_ ;[RED]\-#,##0\ "/>
    <numFmt numFmtId="186" formatCode="_(* #,##0.00000000_);_(* \(#,##0.00000000\);_(* \-??_);_(@_)"/>
    <numFmt numFmtId="187" formatCode="#,##0.0_ ;[RED]\-#,##0.0\ "/>
    <numFmt numFmtId="188" formatCode="_(* #,##0.000000000_);_(* \(#,##0.000000000\);_(* \-??_);_(@_)"/>
    <numFmt numFmtId="189" formatCode="0.0000%"/>
    <numFmt numFmtId="190" formatCode="0.0"/>
    <numFmt numFmtId="191" formatCode="@"/>
    <numFmt numFmtId="192" formatCode="_(* #,##0.0_);_(* \(#,##0.0\);_(* \-??_);_(@_)"/>
    <numFmt numFmtId="193" formatCode="#,##0_ ;\-#,##0\ "/>
    <numFmt numFmtId="194" formatCode="_-&quot;R$&quot;* #,##0.0000_-;&quot;-R$&quot;* #,##0.0000_-;_-&quot;R$&quot;* \-??_-;_-@_-"/>
    <numFmt numFmtId="195" formatCode="#,##0.000"/>
    <numFmt numFmtId="196" formatCode="_(* #,##0.0000_);_(* \(#,##0.0000\);_(* \-??_);_(@_)"/>
    <numFmt numFmtId="197" formatCode="#,##0.0000_ ;[RED]\-#,##0.0000\ "/>
    <numFmt numFmtId="198" formatCode="mmm\-yy"/>
    <numFmt numFmtId="199" formatCode="m/d/yyyy"/>
    <numFmt numFmtId="200" formatCode="#,##0.0000;[RED]\-#,##0.0000"/>
    <numFmt numFmtId="201" formatCode="General"/>
    <numFmt numFmtId="202" formatCode="#,##0.0000"/>
    <numFmt numFmtId="203" formatCode="#,##0.0000_ ;\-#,##0.0000\ "/>
    <numFmt numFmtId="204" formatCode="#,##0_);\(#,##0\)"/>
    <numFmt numFmtId="205" formatCode="d\-mmm"/>
    <numFmt numFmtId="206" formatCode="#,##0_);[RED]\(#,##0\)"/>
    <numFmt numFmtId="207" formatCode="_-&quot;R$ &quot;* #,##0.000_-;&quot;-R$ &quot;* #,##0.000_-;_-&quot;R$ &quot;* \-??_-;_-@_-"/>
    <numFmt numFmtId="208" formatCode="#,##0.00000;[RED]\-#,##0.00000"/>
    <numFmt numFmtId="209" formatCode="&quot;R$ &quot;#,##0.00;[RED]&quot;-R$ &quot;#,##0.00"/>
    <numFmt numFmtId="210" formatCode="&quot;R$ &quot;#,##0.00"/>
    <numFmt numFmtId="211" formatCode="_(&quot;R$ &quot;* #,##0.00000_);_(&quot;R$ &quot;* \(#,##0.00000\);_(&quot;R$ &quot;* \-??_);_(@_)"/>
    <numFmt numFmtId="212" formatCode="_-* #,##0_-;\-* #,##0_-;_-* \-????_-;_-@_-"/>
    <numFmt numFmtId="213" formatCode="0"/>
    <numFmt numFmtId="214" formatCode="0.000"/>
    <numFmt numFmtId="215" formatCode="_(* #,##0.00000_);_(* \(#,##0.00000\);_(* \-??_);_(@_)"/>
    <numFmt numFmtId="216" formatCode="0.00000"/>
    <numFmt numFmtId="217" formatCode="_-* #,##0.0000_-;\-* #,##0.0000_-;_-* \-????_-;_-@_-"/>
    <numFmt numFmtId="218" formatCode="0_ ;[RED]\-0\ "/>
    <numFmt numFmtId="219" formatCode="_-&quot;R$&quot;* #,##0_-;&quot;-R$&quot;* #,##0_-;_-&quot;R$&quot;* \-??_-;_-@_-"/>
    <numFmt numFmtId="220" formatCode="_-&quot;R$&quot;* #,##0.000_-;&quot;-R$&quot;* #,##0.000_-;_-&quot;R$&quot;* \-??_-;_-@_-"/>
    <numFmt numFmtId="221" formatCode="# ??/??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u val="single"/>
      <sz val="12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9" tint="-0.5"/>
      <name val="Calibri"/>
      <family val="2"/>
      <charset val="1"/>
    </font>
    <font>
      <b val="true"/>
      <u val="single"/>
      <sz val="16"/>
      <color theme="1"/>
      <name val="Calibri"/>
      <family val="2"/>
      <charset val="1"/>
    </font>
    <font>
      <b val="true"/>
      <u val="single"/>
      <sz val="9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rgb="FF0070C0"/>
      <name val="Calibri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theme="0" tint="-0.15"/>
        <bgColor rgb="FFE6E0EC"/>
      </patternFill>
    </fill>
    <fill>
      <patternFill patternType="solid">
        <fgColor theme="8" tint="0.5999"/>
        <bgColor rgb="FFC6D9F1"/>
      </patternFill>
    </fill>
    <fill>
      <patternFill patternType="solid">
        <fgColor theme="9" tint="0.5999"/>
        <bgColor rgb="FFF2DCDB"/>
      </patternFill>
    </fill>
    <fill>
      <patternFill patternType="solid">
        <fgColor theme="7" tint="0.7999"/>
        <bgColor rgb="FFF2DCDB"/>
      </patternFill>
    </fill>
    <fill>
      <patternFill patternType="solid">
        <fgColor theme="7" tint="0.5999"/>
        <bgColor rgb="FFBFBFBF"/>
      </patternFill>
    </fill>
    <fill>
      <patternFill patternType="solid">
        <fgColor rgb="FFCCFFFF"/>
        <bgColor rgb="FFDBEEF4"/>
      </patternFill>
    </fill>
    <fill>
      <patternFill patternType="solid">
        <fgColor theme="5" tint="0.7999"/>
        <bgColor rgb="FFE6E0EC"/>
      </patternFill>
    </fill>
    <fill>
      <patternFill patternType="solid">
        <fgColor theme="0" tint="-0.25"/>
        <bgColor rgb="FFCCC1DA"/>
      </patternFill>
    </fill>
    <fill>
      <patternFill patternType="solid">
        <fgColor theme="6" tint="0.5999"/>
        <bgColor rgb="FFD9D9D9"/>
      </patternFill>
    </fill>
    <fill>
      <patternFill patternType="solid">
        <fgColor theme="0"/>
        <bgColor rgb="FFF8F8F8"/>
      </patternFill>
    </fill>
    <fill>
      <patternFill patternType="solid">
        <fgColor rgb="FFF8F8F8"/>
        <bgColor rgb="FFFFFFFF"/>
      </patternFill>
    </fill>
    <fill>
      <patternFill patternType="solid">
        <fgColor theme="6" tint="0.7999"/>
        <bgColor rgb="FFDBEEF4"/>
      </patternFill>
    </fill>
    <fill>
      <patternFill patternType="solid">
        <fgColor rgb="FFFFFF00"/>
        <bgColor rgb="FFFFFF99"/>
      </patternFill>
    </fill>
    <fill>
      <patternFill patternType="solid">
        <fgColor rgb="FF92D050"/>
        <bgColor rgb="FFC3D69B"/>
      </patternFill>
    </fill>
    <fill>
      <patternFill patternType="solid">
        <fgColor theme="9" tint="0.3999"/>
        <bgColor rgb="FFE6B9B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3999"/>
        <bgColor rgb="FFD7E4BD"/>
      </patternFill>
    </fill>
    <fill>
      <patternFill patternType="solid">
        <fgColor theme="8" tint="0.3999"/>
        <bgColor rgb="FFB9CDE5"/>
      </patternFill>
    </fill>
    <fill>
      <patternFill patternType="solid">
        <fgColor rgb="FFFFFF99"/>
        <bgColor rgb="FFEBF1DE"/>
      </patternFill>
    </fill>
    <fill>
      <patternFill patternType="solid">
        <fgColor theme="2" tint="-0.25"/>
        <bgColor rgb="FFBFBFBF"/>
      </patternFill>
    </fill>
    <fill>
      <patternFill patternType="solid">
        <fgColor theme="4" tint="0.5999"/>
        <bgColor rgb="FFC6D9F1"/>
      </patternFill>
    </fill>
    <fill>
      <patternFill patternType="solid">
        <fgColor theme="3" tint="0.7999"/>
        <bgColor rgb="FFB7DEE8"/>
      </patternFill>
    </fill>
    <fill>
      <patternFill patternType="solid">
        <fgColor theme="8" tint="0.7999"/>
        <bgColor rgb="FFEBF1DE"/>
      </patternFill>
    </fill>
  </fills>
  <borders count="8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double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/>
      <top/>
      <bottom style="double"/>
      <diagonal/>
    </border>
    <border diagonalUp="false" diagonalDown="false">
      <left/>
      <right style="medium"/>
      <top/>
      <bottom style="double"/>
      <diagonal/>
    </border>
    <border diagonalUp="false" diagonalDown="false">
      <left style="medium"/>
      <right/>
      <top style="medium"/>
      <bottom style="double"/>
      <diagonal/>
    </border>
    <border diagonalUp="false" diagonalDown="false">
      <left/>
      <right/>
      <top style="medium"/>
      <bottom style="double"/>
      <diagonal/>
    </border>
    <border diagonalUp="false" diagonalDown="false">
      <left/>
      <right style="medium"/>
      <top style="medium"/>
      <bottom style="double"/>
      <diagonal/>
    </border>
  </borders>
  <cellStyleXfs count="4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2" xfId="3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74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6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9" fillId="0" borderId="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9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2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0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0" fillId="0" borderId="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1" fontId="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9" fillId="5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9" fillId="0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5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9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6" fontId="9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7" fontId="9" fillId="0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5" fontId="11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9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8" fontId="9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6" fillId="0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6" fillId="0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5" fontId="6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0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6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6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90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91" fontId="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2" fontId="0" fillId="4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0" fillId="4" borderId="0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4" fontId="0" fillId="6" borderId="0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0" fillId="6" borderId="0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91" fontId="0" fillId="6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92" fontId="0" fillId="6" borderId="0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0" fontId="0" fillId="4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4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0" fillId="0" borderId="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4" fontId="6" fillId="0" borderId="8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6" fillId="0" borderId="8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6" fillId="0" borderId="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6" fillId="0" borderId="8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2" fontId="6" fillId="0" borderId="8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3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2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3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3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4" fontId="0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2" fontId="0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92" fontId="6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9" fillId="7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7" borderId="2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7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7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7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1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92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6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2" fontId="0" fillId="0" borderId="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2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0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7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0" fillId="3" borderId="2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97" fontId="0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7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0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0" fillId="6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7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6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0" fillId="8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7" fontId="6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8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0" fillId="9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7" fontId="6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9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0" fillId="1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7" fontId="6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7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7" fontId="6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7" fillId="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3" fillId="0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3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01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1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2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3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3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01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02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3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6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2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3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4" fontId="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8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8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8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03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1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202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1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1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01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1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11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0" borderId="8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2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3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6" fillId="4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6" fillId="3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3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6" fillId="4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02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6" fillId="4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6" fillId="3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6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11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1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11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6" fillId="0" borderId="1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6" fillId="0" borderId="13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" fillId="0" borderId="1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0" fillId="0" borderId="1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1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0" fillId="0" borderId="0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8" fontId="0" fillId="0" borderId="1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0" fillId="0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11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0" fillId="0" borderId="4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8" fontId="0" fillId="0" borderId="1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2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11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8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8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0" fillId="0" borderId="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0" borderId="1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6" fillId="4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6" fillId="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1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04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9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9" fillId="13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0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2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7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6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1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4" fontId="0" fillId="14" borderId="2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5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0" fillId="0" borderId="2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4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5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4" fontId="0" fillId="15" borderId="2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4" borderId="3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9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4" borderId="3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7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85" fontId="0" fillId="0" borderId="3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4" borderId="3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4" fontId="0" fillId="14" borderId="3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4" borderId="1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0" fillId="0" borderId="3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4" borderId="4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85" fontId="6" fillId="14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6" fillId="15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6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4" fontId="0" fillId="14" borderId="4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9" fillId="0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0" fillId="0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9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5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9" fillId="0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4" fontId="0" fillId="14" borderId="4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5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0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4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85" fontId="6" fillId="14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6" fillId="0" borderId="5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02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1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17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6" fillId="1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18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7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1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1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1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1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1" fontId="6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18" borderId="2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7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8" borderId="3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7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6" fontId="0" fillId="18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6" fontId="0" fillId="7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6" fontId="0" fillId="14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6" fontId="0" fillId="19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6" fontId="0" fillId="19" borderId="2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6" fontId="0" fillId="1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0" fillId="1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1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06" fontId="0" fillId="17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1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01" fontId="6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18" borderId="3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7" borderId="2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7" borderId="2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6" fontId="0" fillId="19" borderId="2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206" fontId="0" fillId="19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1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17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9" fillId="17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9" fillId="1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17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0" fillId="18" borderId="3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7" borderId="2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8" borderId="2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7" borderId="3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7" borderId="2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6" fontId="0" fillId="19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6" fontId="0" fillId="19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7" fontId="0" fillId="1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9" fillId="17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17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18" borderId="2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7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7" borderId="3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8" borderId="1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6" fontId="0" fillId="19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7" fontId="0" fillId="1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18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7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4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9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6" fontId="6" fillId="16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6" fillId="16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16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6" fontId="6" fillId="17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0" fillId="17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8" fontId="6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0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6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1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1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4" fontId="6" fillId="6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4" fontId="6" fillId="4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4" fontId="6" fillId="6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4" fontId="6" fillId="7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06" fontId="6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6" fillId="6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6" fillId="15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6" fillId="7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7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6" fontId="10" fillId="20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6" fontId="6" fillId="21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6" fillId="21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6" fontId="6" fillId="21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1" fontId="6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06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6" fillId="6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6" fillId="15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6" fontId="10" fillId="2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6" fontId="6" fillId="21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06" fontId="6" fillId="6" borderId="3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3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7" borderId="3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6" fontId="6" fillId="21" borderId="3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6" fillId="6" borderId="3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6" fillId="15" borderId="3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6" fillId="0" borderId="5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6" borderId="5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6" borderId="5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5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6" fillId="6" borderId="5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15" borderId="5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6" fontId="6" fillId="7" borderId="5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7" borderId="5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20" borderId="5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06" fontId="10" fillId="21" borderId="5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" fillId="21" borderId="5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6" fontId="10" fillId="21" borderId="5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6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2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09" fontId="6" fillId="6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4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4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4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4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1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10" fontId="6" fillId="21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7" borderId="5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10" fillId="2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2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9" fontId="10" fillId="2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9" fontId="6" fillId="6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4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10" fontId="6" fillId="21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7" borderId="5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10" fillId="20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2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9" fontId="6" fillId="2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9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10" fillId="2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9" fontId="10" fillId="2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0" fontId="10" fillId="21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20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09" fontId="7" fillId="2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9" fontId="6" fillId="6" borderId="5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6" borderId="5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4" borderId="5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09" fontId="6" fillId="6" borderId="4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4" borderId="4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10" fillId="20" borderId="5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22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209" fontId="6" fillId="6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4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10" fillId="6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10" fontId="6" fillId="21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7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10" fillId="2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9" fontId="6" fillId="2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9" fontId="6" fillId="2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6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6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0" borderId="5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1" fontId="6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6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1" fontId="6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6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6" fillId="0" borderId="5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5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0" borderId="5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6" fillId="0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0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1" fontId="6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0" borderId="5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0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0" fillId="0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4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5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0" fillId="0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0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3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3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3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0" fillId="0" borderId="3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3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0" fillId="0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0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4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0" fillId="0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6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5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2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4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4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4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4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2" fontId="0" fillId="0" borderId="4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1" fontId="0" fillId="0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6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5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5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5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3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0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5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5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5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5" borderId="5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5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5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0" fillId="5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4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5" borderId="4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5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5" borderId="5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0" fillId="5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0" fillId="5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5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5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0" fillId="0" borderId="5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0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4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6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5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0" borderId="5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6" fontId="0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6" fontId="0" fillId="0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14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14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14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14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4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6" fontId="0" fillId="14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0" fillId="14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4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14" borderId="3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14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5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5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5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5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5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5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5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5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" borderId="5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4" borderId="5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4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5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5" borderId="5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5" borderId="3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0" fillId="5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5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5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1" fontId="0" fillId="0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8" fontId="0" fillId="0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8" fontId="0" fillId="0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8" fontId="0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8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1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8" fontId="0" fillId="0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8" fontId="0" fillId="0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4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0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5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5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1" fontId="0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5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3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4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0" borderId="4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0" borderId="4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4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6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3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3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23" borderId="4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23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23" borderId="4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23" borderId="4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23" borderId="4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3" borderId="4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23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0" fillId="23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8" fontId="0" fillId="23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4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3" borderId="4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3" borderId="6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0" fillId="0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0" fillId="0" borderId="5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8" fontId="0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0" borderId="6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6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6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6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6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2" fontId="0" fillId="0" borderId="6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0" fillId="0" borderId="5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6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0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9" fillId="0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6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6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0" fillId="0" borderId="6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4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4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5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5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0" fillId="5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5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5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5" borderId="2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4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0" borderId="4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4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0" borderId="4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4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0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5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" borderId="4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4" borderId="4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4" borderId="4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5" borderId="4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4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5" borderId="4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5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5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5" borderId="6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5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0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5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0" fillId="0" borderId="5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4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2" fontId="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6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2" fontId="0" fillId="0" borderId="6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0" borderId="4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0" borderId="6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3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6" fontId="0" fillId="0" borderId="3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5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0" fillId="0" borderId="5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23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23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23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23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3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23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23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0" fillId="23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3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23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3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23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2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6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0" fillId="0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4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0" fillId="0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5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5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2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2" fontId="0" fillId="0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5" borderId="5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5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0" fillId="5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0" fillId="5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5" borderId="4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5" borderId="4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5" borderId="6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5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14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14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14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14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14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14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23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2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23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23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3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23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0" fillId="2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3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23" borderId="4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23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3" borderId="4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3" borderId="4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23" borderId="4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23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5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3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23" borderId="5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23" borderId="5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3" borderId="5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3" borderId="5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0" fillId="23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3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5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4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3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23" borderId="4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23" borderId="4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23" borderId="4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23" borderId="4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3" borderId="4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23" borderId="4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0" fillId="23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3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3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6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23" borderId="4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23" borderId="4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0" fillId="23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5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3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23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23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23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23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3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23" borderId="3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0" fillId="23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3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3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3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4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1" fontId="9" fillId="0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23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23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23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1" fontId="9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13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13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13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13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13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0" fillId="13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3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13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13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6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6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7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4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4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4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5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5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3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0" fillId="0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213" fontId="0" fillId="0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213" fontId="0" fillId="0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213" fontId="0" fillId="0" borderId="5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0" fillId="4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4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4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4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5" borderId="5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0" fillId="5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5" borderId="5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0" fillId="4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0" fillId="4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0" borderId="4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5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6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0" fillId="0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0" fillId="23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3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23" borderId="3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23" borderId="3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0" fillId="23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3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3" borderId="7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23" borderId="5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23" borderId="5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23" borderId="5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23" borderId="5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0" fillId="23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3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4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4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4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0" fillId="23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5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3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5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5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0" fillId="0" borderId="4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4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4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4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4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8" fontId="0" fillId="0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4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4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4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4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0" fillId="0" borderId="5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5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0" fillId="4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4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5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6" fontId="0" fillId="5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8" fontId="0" fillId="5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5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0" fillId="0" borderId="6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6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0" borderId="5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0" fillId="0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0" fillId="0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0" fillId="0" borderId="5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214" fontId="0" fillId="0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0" fillId="23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214" fontId="0" fillId="23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0" fillId="23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0" fillId="0" borderId="6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4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0" fillId="0" borderId="6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0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23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0" fillId="2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2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2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0" borderId="3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0" fillId="0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5" fontId="0" fillId="0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4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0" fillId="0" borderId="4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0" fillId="0" borderId="4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4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0" fillId="1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0" fillId="14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1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1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14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14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0" fillId="1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0" fillId="1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8" fontId="0" fillId="1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1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1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14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0" fillId="14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0" fillId="5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0" fillId="0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4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0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3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0" fillId="0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0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0" fillId="0" borderId="4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0" fillId="0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0" fillId="0" borderId="5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0" fillId="0" borderId="6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4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4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0" fillId="0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" borderId="4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4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4" borderId="4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5" borderId="4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4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5" borderId="4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0" fillId="5" borderId="4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0" fillId="5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5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5" borderId="5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0" fillId="5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1" fontId="0" fillId="23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23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23" borderId="5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0" fillId="23" borderId="5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1" fontId="0" fillId="23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23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14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0" fillId="1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216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3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6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3" borderId="6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3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23" borderId="6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23" borderId="6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23" borderId="6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23" borderId="6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0" fillId="23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6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3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6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5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3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2" fontId="0" fillId="23" borderId="3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3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4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6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0" fillId="4" borderId="4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0" fillId="5" borderId="4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5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0" fillId="23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0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0" borderId="6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0" borderId="3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23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23" borderId="6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23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23" borderId="4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0" fillId="0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4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0" fillId="23" borderId="6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9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0" borderId="5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9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4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0" fillId="0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5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0" borderId="4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0" borderId="4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5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0" fillId="0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4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3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4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4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215" fontId="0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5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9" fillId="0" borderId="4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4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0" borderId="4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0" fillId="0" borderId="6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4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0" fillId="5" borderId="4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0" fillId="5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23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23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3" borderId="6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8" fontId="0" fillId="23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23" borderId="6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1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0" fillId="14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4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1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14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14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0" fillId="14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1" fontId="0" fillId="14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4" borderId="3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14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14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14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0" borderId="3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3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2" fontId="0" fillId="0" borderId="3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9" fillId="0" borderId="4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9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9" fillId="0" borderId="4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9" fillId="0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9" fillId="0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8" fontId="9" fillId="0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9" fillId="0" borderId="4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6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5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9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8" fontId="9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9" fillId="0" borderId="5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4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3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0" fillId="0" borderId="4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6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23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2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3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23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0" fillId="23" borderId="6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3" borderId="6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23" borderId="6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3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8" fontId="0" fillId="23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23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6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14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0" fillId="14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2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23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2" fontId="0" fillId="2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6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3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3" borderId="5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3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23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23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23" borderId="5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23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23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5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2" fontId="0" fillId="23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0" fillId="23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4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0" fillId="23" borderId="5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23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0" fillId="23" borderId="6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3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23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0" fillId="23" borderId="5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23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5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2" fontId="0" fillId="23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6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2" fontId="0" fillId="0" borderId="4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2" fontId="0" fillId="0" borderId="4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0" fillId="0" borderId="54" xfId="0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92" fontId="0" fillId="0" borderId="5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4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6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5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0" fillId="0" borderId="4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4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4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12" fontId="0" fillId="0" borderId="3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0" fillId="5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0" fillId="5" borderId="6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23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6" fontId="0" fillId="23" borderId="5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4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3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4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4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0" fillId="5" borderId="5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5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5" borderId="5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5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0" fillId="5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5" borderId="5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0" fontId="0" fillId="5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5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5" borderId="4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5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5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5" borderId="6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0" fillId="5" borderId="6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23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6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0" fillId="14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14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0" fillId="14" borderId="5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1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3" fontId="0" fillId="0" borderId="4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3" fontId="0" fillId="0" borderId="6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213" fontId="0" fillId="0" borderId="4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2" fontId="0" fillId="0" borderId="4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0" fillId="0" borderId="4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2" fontId="0" fillId="0" borderId="6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0" fillId="0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6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6" fontId="0" fillId="0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6" fontId="0" fillId="0" borderId="4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12" fontId="0" fillId="0" borderId="4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2" fontId="0" fillId="0" borderId="5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7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0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12" fontId="0" fillId="0" borderId="4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4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213" fontId="0" fillId="5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0" fillId="5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3" fontId="0" fillId="23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0" fillId="2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2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3" fontId="0" fillId="23" borderId="4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0" fillId="23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23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14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213" fontId="0" fillId="14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1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5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5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5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213" fontId="0" fillId="5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2" fontId="0" fillId="5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0" fillId="5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5" borderId="3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5" borderId="3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5" borderId="4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5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3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9" fillId="0" borderId="3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9" fillId="0" borderId="6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9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0" fillId="0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9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5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0" fillId="5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9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9" fillId="0" borderId="4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9" fillId="0" borderId="5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9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4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3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9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5" borderId="4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9" fillId="2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23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0" fillId="23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9" fillId="5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5" borderId="4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5" borderId="5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5" borderId="6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1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1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0" fillId="14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14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9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5" borderId="3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0" fillId="5" borderId="6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6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4" borderId="3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4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0" fillId="23" borderId="6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2" fontId="0" fillId="5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2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2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2" fontId="0" fillId="23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2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3" borderId="6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2" fontId="0" fillId="0" borderId="4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0" fillId="23" borderId="5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6" fontId="0" fillId="5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6" fontId="0" fillId="23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6" fontId="0" fillId="0" borderId="3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14" borderId="5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14" borderId="5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0" fillId="14" borderId="5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96" fontId="0" fillId="14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3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5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6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4" borderId="4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0" fillId="5" borderId="4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23" borderId="49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5" borderId="4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4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4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7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0" fillId="0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90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7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5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5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9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9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9" fillId="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7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9" fillId="2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9" fillId="2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9" fillId="2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2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2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2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9" fillId="2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2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9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9" fillId="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3" fontId="10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3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7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14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1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1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7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0" fillId="1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0" fillId="13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1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1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1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14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3" fontId="1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3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8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8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98" fontId="0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0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0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6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8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5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9" fillId="0" borderId="5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0" fillId="0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96" fontId="0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0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0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3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6" fontId="0" fillId="0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0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98" fontId="0" fillId="0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0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0" fillId="0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0" fillId="0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0" fillId="0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0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0" fillId="0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96" fontId="0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1" fontId="0" fillId="0" borderId="3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1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0" fillId="0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0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5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0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4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8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0" fillId="0" borderId="5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13" fontId="0" fillId="0" borderId="4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13" fontId="0" fillId="0" borderId="5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213" fontId="0" fillId="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3" fontId="0" fillId="0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3" fontId="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13" fontId="0" fillId="0" borderId="6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213" fontId="0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213" fontId="0" fillId="0" borderId="3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3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0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7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2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0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3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2" fontId="0" fillId="0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92" fontId="0" fillId="0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92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5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0" fillId="0" borderId="5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5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4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0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6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2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3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6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215" fontId="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5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5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9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01" fontId="0" fillId="0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96" fontId="0" fillId="0" borderId="5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0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6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13" fontId="0" fillId="0" borderId="4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2" fontId="0" fillId="0" borderId="36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13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8" fontId="0" fillId="0" borderId="4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8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8" fontId="0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8" fontId="0" fillId="0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13" fontId="0" fillId="0" borderId="5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8" fontId="0" fillId="0" borderId="4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15" fontId="0" fillId="0" borderId="4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0" fillId="0" borderId="6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8" fontId="0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13" fontId="0" fillId="0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213" fontId="0" fillId="0" borderId="3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8" fontId="0" fillId="0" borderId="5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13" fontId="0" fillId="0" borderId="5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213" fontId="0" fillId="0" borderId="4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213" fontId="0" fillId="0" borderId="6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213" fontId="0" fillId="0" borderId="5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13" fontId="0" fillId="0" borderId="6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213" fontId="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213" fontId="0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6" fontId="0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8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0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0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6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7" fontId="6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6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5" fontId="1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4" fontId="0" fillId="0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3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6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6" fontId="0" fillId="0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2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1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4" fontId="6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6" fillId="0" borderId="16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6" fillId="0" borderId="17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6" fontId="6" fillId="0" borderId="4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6" fillId="0" borderId="16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5" fontId="10" fillId="0" borderId="2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7" fillId="0" borderId="16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13" borderId="4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6" fillId="13" borderId="16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2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4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4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6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9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9" fontId="9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6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20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8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74" fontId="0" fillId="0" borderId="3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4" borderId="3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4" borderId="3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20" fontId="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4" fontId="6" fillId="0" borderId="5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6" fillId="4" borderId="5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6" fillId="24" borderId="54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6" fillId="0" borderId="54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5" fontId="10" fillId="0" borderId="5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1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1" fontId="1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13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6" fillId="0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1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6" fillId="0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3" fillId="0" borderId="1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21" fontId="13" fillId="0" borderId="1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1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1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0" fillId="0" borderId="1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1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1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2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17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1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8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18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05" fontId="6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7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1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1" fontId="13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1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0" fillId="0" borderId="18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1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0" fillId="0" borderId="1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01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01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01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01" fontId="1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1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1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6" fillId="0" borderId="1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6" fillId="0" borderId="1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0" fillId="0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7" fillId="0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2" fillId="0" borderId="12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1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6" fillId="0" borderId="1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6" fillId="0" borderId="13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10" fillId="0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1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22" fillId="0" borderId="0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15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0" fillId="0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4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4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3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10" xfId="20"/>
    <cellStyle name="Moeda 11" xfId="21"/>
    <cellStyle name="Moeda 12" xfId="22"/>
    <cellStyle name="Moeda 2" xfId="23"/>
    <cellStyle name="Moeda 3" xfId="24"/>
    <cellStyle name="Moeda 4" xfId="25"/>
    <cellStyle name="Moeda 5" xfId="26"/>
    <cellStyle name="Moeda 6" xfId="27"/>
    <cellStyle name="Moeda 7" xfId="28"/>
    <cellStyle name="Moeda 8" xfId="29"/>
    <cellStyle name="Moeda 9" xfId="30"/>
    <cellStyle name="Normal 10" xfId="31"/>
    <cellStyle name="Normal 11" xfId="32"/>
    <cellStyle name="Normal 12" xfId="33"/>
    <cellStyle name="Normal 13" xfId="34"/>
    <cellStyle name="Normal 14" xfId="35"/>
    <cellStyle name="Normal 2" xfId="36"/>
    <cellStyle name="Normal 3" xfId="37"/>
    <cellStyle name="Normal 4" xfId="38"/>
    <cellStyle name="Normal 5" xfId="39"/>
    <cellStyle name="Normal 6" xfId="40"/>
    <cellStyle name="Normal 7" xfId="41"/>
    <cellStyle name="Normal 8" xfId="42"/>
    <cellStyle name="Normal 9" xfId="43"/>
    <cellStyle name="Porcentagem 2" xfId="44"/>
    <cellStyle name="Separador de milhares 2" xfId="45"/>
  </cellStyles>
  <dxfs count="530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CD5B5"/>
          <bgColor rgb="FF000000"/>
        </patternFill>
      </fill>
    </dxf>
    <dxf>
      <fill>
        <patternFill patternType="solid">
          <fgColor rgb="FFCCC1DA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F8F8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>
          <bgColor theme="6" tint="0.3999"/>
        </patternFill>
      </fill>
    </dxf>
    <dxf>
      <fill>
        <patternFill patternType="solid">
          <fgColor rgb="FFC6D9F1"/>
          <bgColor rgb="FF000000"/>
        </patternFill>
      </fill>
    </dxf>
    <dxf>
      <fill>
        <patternFill patternType="solid">
          <fgColor rgb="FFE6E0E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D9D9D9"/>
      <rgbColor rgb="FFB9CDE5"/>
      <rgbColor rgb="FF7030A0"/>
      <rgbColor rgb="FFF8F8F8"/>
      <rgbColor rgb="FFCCFFFF"/>
      <rgbColor rgb="FF660066"/>
      <rgbColor rgb="FFF2DCDB"/>
      <rgbColor rgb="FF0070C0"/>
      <rgbColor rgb="FFC6D9F1"/>
      <rgbColor rgb="FF000080"/>
      <rgbColor rgb="FFFF00FF"/>
      <rgbColor rgb="FFC3D69B"/>
      <rgbColor rgb="FF00FFFF"/>
      <rgbColor rgb="FF800080"/>
      <rgbColor rgb="FF800000"/>
      <rgbColor rgb="FF008080"/>
      <rgbColor rgb="FF0000FF"/>
      <rgbColor rgb="FF00CCFF"/>
      <rgbColor rgb="FFDBEEF4"/>
      <rgbColor rgb="FFEBF1DE"/>
      <rgbColor rgb="FFFFFF99"/>
      <rgbColor rgb="FF93CDDD"/>
      <rgbColor rgb="FFE6B9B8"/>
      <rgbColor rgb="FFCCC1DA"/>
      <rgbColor rgb="FFFAC090"/>
      <rgbColor rgb="FF3366FF"/>
      <rgbColor rgb="FFB7DEE8"/>
      <rgbColor rgb="FF92D050"/>
      <rgbColor rgb="FFFCD5B5"/>
      <rgbColor rgb="FFD7E4BD"/>
      <rgbColor rgb="FFFF6600"/>
      <rgbColor rgb="FFE6E0EC"/>
      <rgbColor rgb="FFC4BD97"/>
      <rgbColor rgb="FF003366"/>
      <rgbColor rgb="FF00B050"/>
      <rgbColor rgb="FF003300"/>
      <rgbColor rgb="FF333300"/>
      <rgbColor rgb="FF984807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externalLink" Target="externalLinks/externalLink1.xml"/><Relationship Id="rId21" Type="http://schemas.openxmlformats.org/officeDocument/2006/relationships/externalLink" Target="externalLinks/externalLink2.xml"/><Relationship Id="rId22" Type="http://schemas.openxmlformats.org/officeDocument/2006/relationships/externalLink" Target="externalLinks/externalLink3.xml"/><Relationship Id="rId23" Type="http://schemas.openxmlformats.org/officeDocument/2006/relationships/externalLink" Target="externalLinks/externalLink4.xml"/><Relationship Id="rId24" Type="http://schemas.openxmlformats.org/officeDocument/2006/relationships/externalLink" Target="externalLinks/externalLink5.xml"/><Relationship Id="rId25" Type="http://schemas.openxmlformats.org/officeDocument/2006/relationships/externalLink" Target="externalLinks/externalLink6.xml"/><Relationship Id="rId26" Type="http://schemas.openxmlformats.org/officeDocument/2006/relationships/externalLink" Target="externalLinks/externalLink7.xml"/><Relationship Id="rId27" Type="http://schemas.openxmlformats.org/officeDocument/2006/relationships/externalLink" Target="externalLinks/externalLink8.xml"/><Relationship Id="rId28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15.xml"/><Relationship Id="rId3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16</xdr:col>
      <xdr:colOff>295920</xdr:colOff>
      <xdr:row>169</xdr:row>
      <xdr:rowOff>150120</xdr:rowOff>
    </xdr:from>
    <xdr:to>
      <xdr:col>17</xdr:col>
      <xdr:colOff>660240</xdr:colOff>
      <xdr:row>178</xdr:row>
      <xdr:rowOff>43560</xdr:rowOff>
    </xdr:to>
    <xdr:sp>
      <xdr:nvSpPr>
        <xdr:cNvPr id="0" name="Text Box 538" hidden="1"/>
        <xdr:cNvSpPr/>
      </xdr:nvSpPr>
      <xdr:spPr>
        <a:xfrm>
          <a:off x="15264000" y="30853080"/>
          <a:ext cx="1367640" cy="1522080"/>
        </a:xfrm>
        <a:prstGeom prst="rect">
          <a:avLst/>
        </a:prstGeom>
        <a:solidFill>
          <a:srgbClr val="ffffe1"/>
        </a:solidFill>
        <a:ln w="9525">
          <a:solidFill>
            <a:srgbClr val="51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16</xdr:col>
      <xdr:colOff>295920</xdr:colOff>
      <xdr:row>171</xdr:row>
      <xdr:rowOff>64800</xdr:rowOff>
    </xdr:from>
    <xdr:to>
      <xdr:col>17</xdr:col>
      <xdr:colOff>370440</xdr:colOff>
      <xdr:row>181</xdr:row>
      <xdr:rowOff>31320</xdr:rowOff>
    </xdr:to>
    <xdr:sp>
      <xdr:nvSpPr>
        <xdr:cNvPr id="1" name="Text Box 709" hidden="1"/>
        <xdr:cNvSpPr/>
      </xdr:nvSpPr>
      <xdr:spPr>
        <a:xfrm>
          <a:off x="15264000" y="31129560"/>
          <a:ext cx="1077840" cy="1776240"/>
        </a:xfrm>
        <a:prstGeom prst="rect">
          <a:avLst/>
        </a:prstGeom>
        <a:solidFill>
          <a:srgbClr val="ffffe1"/>
        </a:solidFill>
        <a:ln w="9525">
          <a:solidFill>
            <a:srgbClr val="51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C:/Users/Usu&#225;rio/OneDrive%20-%20TND%20AGRO%20(1)/SALVAR/META%202023-2024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C:/Users/Usu&#225;rio/OneDrive%20-%20TND%20AGRO%20(1)/SALVAR/VENDAS%20MENSAIS%20POR%20SAFRA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D:/Nova%20pasta/META%202011-2012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../../D:/Nova%20pasta/META%202012-2013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../../../../D:/Nova%20pasta/META%202013-2014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../../../../D:/Nova%20pasta/META%202014-2015.xlsx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../../../../D:/Nova%20pasta/META%202015-2016.xlsx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../../../../D:/Nova%20pasta/META%202016-2017.xlsx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../../../../E:/2019/META%202017-2018%20-%2025042018.xlsx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../../../../E:/Users/comer/Desktop/IMPORTANTES/META%202018-2019.xlsx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../../../../E:/Users/comer/Desktop/IMPORTANTES/META%202019-2020.xlsx" TargetMode="External"/>
</Relationships>
</file>

<file path=xl/externalLinks/_rels/externalLink12.xml.rels><?xml version="1.0" encoding="UTF-8"?>
<Relationships xmlns="http://schemas.openxmlformats.org/package/2006/relationships"><Relationship Id="rId1" Type="http://schemas.openxmlformats.org/officeDocument/2006/relationships/externalLinkPath" Target="../../../../C:/Users/Usu&#225;rio/OneDrive%20-%20TND%20AGRO%20(1)/SALVAR/META%202020-2021.xlsx" TargetMode="External"/>
</Relationships>
</file>

<file path=xl/externalLinks/_rels/externalLink13.xml.rels><?xml version="1.0" encoding="UTF-8"?>
<Relationships xmlns="http://schemas.openxmlformats.org/package/2006/relationships"><Relationship Id="rId1" Type="http://schemas.openxmlformats.org/officeDocument/2006/relationships/externalLinkPath" Target="../../../../C:/Users/Usu&#225;rio/OneDrive%20-%20TND%20AGRO%20(1)/SALVAR/META%202021-2022.xlsx" TargetMode="External"/>
</Relationships>
</file>

<file path=xl/externalLinks/_rels/externalLink14.xml.rels><?xml version="1.0" encoding="UTF-8"?>
<Relationships xmlns="http://schemas.openxmlformats.org/package/2006/relationships"><Relationship Id="rId1" Type="http://schemas.openxmlformats.org/officeDocument/2006/relationships/externalLinkPath" Target="../../../../D:/Nova%20pasta/Meta%202011-12.xlsx" TargetMode="External"/>
</Relationships>
</file>

<file path=xl/externalLinks/_rels/externalLink15.xml.rels><?xml version="1.0" encoding="UTF-8"?>
<Relationships xmlns="http://schemas.openxmlformats.org/package/2006/relationships"><Relationship Id="rId1" Type="http://schemas.openxmlformats.org/officeDocument/2006/relationships/externalLinkPath" Target="../../../../D:/Nova%20pasta/Meta%202012-13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ST."/>
      <sheetName val="DEV."/>
      <sheetName val="PRO."/>
      <sheetName val="PAR."/>
      <sheetName val="COM."/>
      <sheetName val="P.G"/>
      <sheetName val="VENDA"/>
      <sheetName val="ENT.ANT."/>
      <sheetName val="A ENT.20-21"/>
      <sheetName val="S.DELES"/>
      <sheetName val="S.NOS"/>
      <sheetName val="DEV.SOU"/>
      <sheetName val="SAL.(3)"/>
      <sheetName val="SAL. "/>
      <sheetName val="BRU"/>
      <sheetName val="P.B"/>
      <sheetName val="LOT"/>
      <sheetName val="P.L"/>
      <sheetName val="RES"/>
      <sheetName val="NC"/>
      <sheetName val="HIS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502">
          <cell r="D2502">
            <v>395487.678</v>
          </cell>
        </row>
        <row r="2503">
          <cell r="D2503">
            <v>114094.39648</v>
          </cell>
        </row>
        <row r="2504">
          <cell r="D2504">
            <v>23029.646</v>
          </cell>
        </row>
        <row r="2505">
          <cell r="D2505">
            <v>657209.1935</v>
          </cell>
        </row>
        <row r="2506">
          <cell r="D2506">
            <v>0</v>
          </cell>
        </row>
        <row r="2507">
          <cell r="D2507">
            <v>551214.0161999</v>
          </cell>
        </row>
        <row r="2508">
          <cell r="D2508">
            <v>6873.47199999997</v>
          </cell>
        </row>
        <row r="2509">
          <cell r="D2509">
            <v>10800.98</v>
          </cell>
        </row>
        <row r="2510">
          <cell r="D2510">
            <v>302334.227</v>
          </cell>
        </row>
        <row r="2511">
          <cell r="D2511">
            <v>0</v>
          </cell>
        </row>
        <row r="2512">
          <cell r="D2512">
            <v>123257.87</v>
          </cell>
        </row>
        <row r="2513">
          <cell r="D2513">
            <v>53680.5</v>
          </cell>
        </row>
        <row r="2514">
          <cell r="D2514">
            <v>517187.619</v>
          </cell>
        </row>
        <row r="2515">
          <cell r="D2515">
            <v>54381.5265</v>
          </cell>
        </row>
        <row r="2516">
          <cell r="D2516">
            <v>116795.07</v>
          </cell>
        </row>
        <row r="2517">
          <cell r="D2517">
            <v>230333.0925</v>
          </cell>
        </row>
        <row r="2521">
          <cell r="D2521">
            <v>2110</v>
          </cell>
        </row>
      </sheetData>
      <sheetData sheetId="17">
        <row r="86">
          <cell r="C86">
            <v>206759.85</v>
          </cell>
        </row>
        <row r="87">
          <cell r="C87">
            <v>37282.2</v>
          </cell>
        </row>
        <row r="88">
          <cell r="C88">
            <v>10574.15</v>
          </cell>
        </row>
        <row r="89">
          <cell r="C89">
            <v>334558.85</v>
          </cell>
        </row>
        <row r="90">
          <cell r="C90">
            <v>0</v>
          </cell>
        </row>
        <row r="91">
          <cell r="C91">
            <v>135172.5</v>
          </cell>
        </row>
        <row r="92">
          <cell r="C92">
            <v>29358.15</v>
          </cell>
        </row>
        <row r="93">
          <cell r="C93">
            <v>13889</v>
          </cell>
        </row>
        <row r="94">
          <cell r="C94">
            <v>178461.47983</v>
          </cell>
        </row>
        <row r="95">
          <cell r="C95">
            <v>0</v>
          </cell>
        </row>
        <row r="96">
          <cell r="C96">
            <v>106780.8</v>
          </cell>
        </row>
        <row r="97">
          <cell r="C97">
            <v>54405.3</v>
          </cell>
        </row>
        <row r="98">
          <cell r="C98">
            <v>268259.85</v>
          </cell>
        </row>
        <row r="99">
          <cell r="C99">
            <v>56049.6</v>
          </cell>
        </row>
        <row r="100">
          <cell r="C100">
            <v>117845.9</v>
          </cell>
        </row>
        <row r="101">
          <cell r="C101">
            <v>114890.4</v>
          </cell>
        </row>
        <row r="105">
          <cell r="C105">
            <v>13166.4</v>
          </cell>
        </row>
      </sheetData>
      <sheetData sheetId="18"/>
      <sheetData sheetId="19">
        <row r="4">
          <cell r="F4">
            <v>286873.711099999</v>
          </cell>
        </row>
        <row r="5">
          <cell r="F5">
            <v>237877.2</v>
          </cell>
        </row>
        <row r="6">
          <cell r="F6">
            <v>1068468.5</v>
          </cell>
        </row>
        <row r="7">
          <cell r="F7">
            <v>1608028.416</v>
          </cell>
        </row>
        <row r="8">
          <cell r="F8">
            <v>0</v>
          </cell>
        </row>
        <row r="9">
          <cell r="F9">
            <v>592361.2902</v>
          </cell>
        </row>
        <row r="10">
          <cell r="F10">
            <v>722909.322</v>
          </cell>
        </row>
        <row r="11">
          <cell r="F11">
            <v>0</v>
          </cell>
        </row>
        <row r="12">
          <cell r="F12">
            <v>1237477.1874</v>
          </cell>
        </row>
        <row r="13">
          <cell r="F13">
            <v>0</v>
          </cell>
        </row>
        <row r="14">
          <cell r="F14">
            <v>495007.85</v>
          </cell>
        </row>
        <row r="15">
          <cell r="F15">
            <v>0</v>
          </cell>
        </row>
        <row r="16">
          <cell r="F16">
            <v>560859.9</v>
          </cell>
        </row>
        <row r="17">
          <cell r="F17">
            <v>757785</v>
          </cell>
        </row>
        <row r="18">
          <cell r="F18">
            <v>194188.5</v>
          </cell>
        </row>
        <row r="20">
          <cell r="F20">
            <v>0.0166000002063811</v>
          </cell>
        </row>
        <row r="22">
          <cell r="F22">
            <v>2372</v>
          </cell>
        </row>
        <row r="24">
          <cell r="F24">
            <v>0</v>
          </cell>
        </row>
      </sheetData>
      <sheetData sheetId="2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OTES"/>
      <sheetName val="BRUTA"/>
      <sheetName val="Plan3"/>
    </sheetNames>
    <sheetDataSet>
      <sheetData sheetId="0">
        <row r="37">
          <cell r="B37">
            <v>26127904.3309091</v>
          </cell>
        </row>
        <row r="38">
          <cell r="B38">
            <v>98010782.3722837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dução e Compra"/>
      <sheetName val="Vendas Real"/>
      <sheetName val="Saldo"/>
    </sheetNames>
    <sheetDataSet>
      <sheetData sheetId="0"/>
      <sheetData sheetId="1">
        <row r="22">
          <cell r="E22">
            <v>0</v>
          </cell>
          <cell r="F22">
            <v>0</v>
          </cell>
        </row>
        <row r="22">
          <cell r="J22">
            <v>2310590</v>
          </cell>
          <cell r="K22">
            <v>502946.8</v>
          </cell>
        </row>
        <row r="23">
          <cell r="E23">
            <v>0</v>
          </cell>
          <cell r="F23">
            <v>0</v>
          </cell>
        </row>
        <row r="23">
          <cell r="J23">
            <v>1933580</v>
          </cell>
          <cell r="K23">
            <v>457431.45</v>
          </cell>
        </row>
        <row r="24">
          <cell r="E24">
            <v>0</v>
          </cell>
          <cell r="F24">
            <v>0</v>
          </cell>
        </row>
        <row r="24">
          <cell r="J24">
            <v>681900</v>
          </cell>
          <cell r="K24">
            <v>334052.2</v>
          </cell>
        </row>
        <row r="25">
          <cell r="E25">
            <v>0</v>
          </cell>
          <cell r="F25">
            <v>0</v>
          </cell>
        </row>
        <row r="25">
          <cell r="J25">
            <v>271060</v>
          </cell>
          <cell r="K25">
            <v>111318.7</v>
          </cell>
        </row>
        <row r="26">
          <cell r="E26">
            <v>0</v>
          </cell>
          <cell r="F26">
            <v>0</v>
          </cell>
        </row>
        <row r="26">
          <cell r="J26">
            <v>12823780</v>
          </cell>
          <cell r="K26">
            <v>1960998.99</v>
          </cell>
        </row>
        <row r="27">
          <cell r="E27">
            <v>0</v>
          </cell>
          <cell r="F27">
            <v>0</v>
          </cell>
        </row>
        <row r="27">
          <cell r="J27">
            <v>5603550</v>
          </cell>
          <cell r="K27">
            <v>947553.25</v>
          </cell>
        </row>
        <row r="28">
          <cell r="E28">
            <v>0</v>
          </cell>
          <cell r="F28">
            <v>0</v>
          </cell>
        </row>
        <row r="28">
          <cell r="J28">
            <v>1475900</v>
          </cell>
          <cell r="K28">
            <v>278019.25</v>
          </cell>
        </row>
        <row r="29">
          <cell r="E29">
            <v>0</v>
          </cell>
          <cell r="F29">
            <v>0</v>
          </cell>
        </row>
        <row r="29">
          <cell r="J29">
            <v>3272200</v>
          </cell>
          <cell r="K29">
            <v>635733</v>
          </cell>
        </row>
        <row r="30">
          <cell r="E30">
            <v>0</v>
          </cell>
          <cell r="F30">
            <v>0</v>
          </cell>
        </row>
        <row r="30">
          <cell r="J30">
            <v>5244020</v>
          </cell>
          <cell r="K30">
            <v>898052.05</v>
          </cell>
        </row>
        <row r="31">
          <cell r="E31">
            <v>0</v>
          </cell>
          <cell r="F31">
            <v>0</v>
          </cell>
        </row>
        <row r="31">
          <cell r="J31">
            <v>12391860</v>
          </cell>
          <cell r="K31">
            <v>1164907.4</v>
          </cell>
        </row>
        <row r="32">
          <cell r="E32">
            <v>0</v>
          </cell>
          <cell r="F32">
            <v>0</v>
          </cell>
        </row>
        <row r="32">
          <cell r="J32">
            <v>1020310</v>
          </cell>
          <cell r="K32">
            <v>571402</v>
          </cell>
        </row>
        <row r="33">
          <cell r="E33">
            <v>0</v>
          </cell>
          <cell r="F33">
            <v>0</v>
          </cell>
        </row>
        <row r="33">
          <cell r="J33">
            <v>2308010</v>
          </cell>
          <cell r="K33">
            <v>724845.85</v>
          </cell>
        </row>
        <row r="34">
          <cell r="J34">
            <v>8510</v>
          </cell>
          <cell r="K34">
            <v>64776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rodução e Compra"/>
      <sheetName val="Saldo"/>
      <sheetName val="VR Geral"/>
      <sheetName val="VR11-12"/>
      <sheetName val="VR05"/>
      <sheetName val="VR06"/>
      <sheetName val="VR07"/>
      <sheetName val="VR08"/>
      <sheetName val="VR09"/>
      <sheetName val="VR10"/>
      <sheetName val="VR11"/>
      <sheetName val="VR12"/>
      <sheetName val="VR01"/>
      <sheetName val="VR02"/>
      <sheetName val="VR03"/>
      <sheetName val="VR04"/>
      <sheetName val="Resumo"/>
      <sheetName val="Soubhia"/>
      <sheetName val="João"/>
    </sheetNames>
    <sheetDataSet>
      <sheetData sheetId="0"/>
      <sheetData sheetId="1"/>
      <sheetData sheetId="2">
        <row r="23">
          <cell r="C23">
            <v>600950</v>
          </cell>
          <cell r="D23">
            <v>137956.5</v>
          </cell>
        </row>
        <row r="23">
          <cell r="H23">
            <v>519325</v>
          </cell>
          <cell r="I23">
            <v>89708</v>
          </cell>
        </row>
        <row r="24">
          <cell r="C24">
            <v>1282925</v>
          </cell>
          <cell r="D24">
            <v>274307.7</v>
          </cell>
        </row>
        <row r="24">
          <cell r="H24">
            <v>2107575</v>
          </cell>
          <cell r="I24">
            <v>463444</v>
          </cell>
        </row>
        <row r="25">
          <cell r="C25">
            <v>27200</v>
          </cell>
          <cell r="D25">
            <v>19760</v>
          </cell>
        </row>
        <row r="25">
          <cell r="H25">
            <v>228800</v>
          </cell>
          <cell r="I25">
            <v>116600</v>
          </cell>
        </row>
        <row r="26">
          <cell r="C26">
            <v>292600</v>
          </cell>
          <cell r="D26">
            <v>98065.85</v>
          </cell>
        </row>
        <row r="26">
          <cell r="H26">
            <v>15000</v>
          </cell>
          <cell r="I26">
            <v>4050</v>
          </cell>
        </row>
        <row r="27">
          <cell r="C27">
            <v>14593050</v>
          </cell>
          <cell r="D27">
            <v>1762415.95</v>
          </cell>
        </row>
        <row r="27">
          <cell r="H27">
            <v>9780900</v>
          </cell>
          <cell r="I27">
            <v>896700</v>
          </cell>
        </row>
        <row r="28">
          <cell r="C28">
            <v>5562095</v>
          </cell>
          <cell r="D28">
            <v>854928.7</v>
          </cell>
        </row>
        <row r="28">
          <cell r="H28">
            <v>631500</v>
          </cell>
          <cell r="I28">
            <v>82572.5</v>
          </cell>
        </row>
        <row r="29">
          <cell r="C29">
            <v>781500</v>
          </cell>
          <cell r="D29">
            <v>131170.35</v>
          </cell>
        </row>
        <row r="29">
          <cell r="H29">
            <v>210000</v>
          </cell>
          <cell r="I29">
            <v>33440</v>
          </cell>
        </row>
        <row r="30">
          <cell r="C30">
            <v>2424300</v>
          </cell>
          <cell r="D30">
            <v>363936.7</v>
          </cell>
        </row>
        <row r="30">
          <cell r="H30">
            <v>1476000</v>
          </cell>
          <cell r="I30">
            <v>205505</v>
          </cell>
        </row>
        <row r="31">
          <cell r="C31">
            <v>4421820</v>
          </cell>
          <cell r="D31">
            <v>649096.9</v>
          </cell>
        </row>
        <row r="31">
          <cell r="H31">
            <v>1689750</v>
          </cell>
          <cell r="I31">
            <v>255350</v>
          </cell>
        </row>
        <row r="32">
          <cell r="C32">
            <v>5573875</v>
          </cell>
          <cell r="D32">
            <v>791226.6</v>
          </cell>
        </row>
        <row r="32">
          <cell r="H32">
            <v>2108250</v>
          </cell>
          <cell r="I32">
            <v>197880</v>
          </cell>
        </row>
        <row r="33">
          <cell r="C33">
            <v>525770</v>
          </cell>
          <cell r="D33">
            <v>361090</v>
          </cell>
        </row>
        <row r="33">
          <cell r="H33">
            <v>850000</v>
          </cell>
          <cell r="I33">
            <v>506250</v>
          </cell>
        </row>
        <row r="34">
          <cell r="C34">
            <v>1122660</v>
          </cell>
          <cell r="D34">
            <v>516128.4</v>
          </cell>
        </row>
        <row r="34">
          <cell r="H34">
            <v>988800</v>
          </cell>
          <cell r="I34">
            <v>404480</v>
          </cell>
        </row>
        <row r="35">
          <cell r="C35">
            <v>23356</v>
          </cell>
          <cell r="D35">
            <v>116796</v>
          </cell>
        </row>
        <row r="36">
          <cell r="C36">
            <v>4660</v>
          </cell>
          <cell r="D36">
            <v>35550.8</v>
          </cell>
        </row>
        <row r="36">
          <cell r="H36">
            <v>0</v>
          </cell>
          <cell r="I3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STOQ."/>
      <sheetName val="PROD."/>
      <sheetName val="PARC."/>
      <sheetName val="COMPRA "/>
      <sheetName val="VENDA"/>
      <sheetName val="SALDO "/>
      <sheetName val="HIST."/>
      <sheetName val=" A ENT.ANT."/>
      <sheetName val="EST.3004"/>
      <sheetName val="EST.FINAL"/>
      <sheetName val="ESTET."/>
      <sheetName val="CHEGADA"/>
      <sheetName val="BEN"/>
      <sheetName val="PAD"/>
      <sheetName val="V5"/>
      <sheetName val="V6"/>
      <sheetName val="V7"/>
      <sheetName val="V8"/>
      <sheetName val="V9"/>
      <sheetName val="V10"/>
      <sheetName val="V11"/>
      <sheetName val="V12"/>
      <sheetName val="V1"/>
      <sheetName val="V2"/>
      <sheetName val="V3"/>
      <sheetName val="V4"/>
      <sheetName val="SOUBHIA"/>
      <sheetName val="PED4628"/>
      <sheetName val="Plan1"/>
    </sheetNames>
    <sheetDataSet>
      <sheetData sheetId="0"/>
      <sheetData sheetId="1"/>
      <sheetData sheetId="2"/>
      <sheetData sheetId="3"/>
      <sheetData sheetId="4">
        <row r="5">
          <cell r="I5">
            <v>2277449.85</v>
          </cell>
          <cell r="J5">
            <v>235763.36</v>
          </cell>
        </row>
        <row r="6">
          <cell r="J6">
            <v>484965</v>
          </cell>
        </row>
        <row r="7">
          <cell r="J7">
            <v>420051.32</v>
          </cell>
        </row>
        <row r="8">
          <cell r="J8">
            <v>64452</v>
          </cell>
        </row>
        <row r="9">
          <cell r="J9">
            <v>118741</v>
          </cell>
        </row>
        <row r="10">
          <cell r="J10">
            <v>156029.83</v>
          </cell>
        </row>
        <row r="11">
          <cell r="J11">
            <v>201182.1</v>
          </cell>
        </row>
        <row r="12">
          <cell r="J12">
            <v>106033.85</v>
          </cell>
        </row>
        <row r="13">
          <cell r="J13">
            <v>62014.8</v>
          </cell>
        </row>
        <row r="14">
          <cell r="J14">
            <v>77451.2</v>
          </cell>
        </row>
        <row r="15">
          <cell r="J15">
            <v>506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4">
          <cell r="I24">
            <v>8635500</v>
          </cell>
          <cell r="J24">
            <v>1254190</v>
          </cell>
        </row>
        <row r="24">
          <cell r="P24">
            <v>8029460</v>
          </cell>
          <cell r="Q24">
            <v>1329313.7</v>
          </cell>
        </row>
        <row r="25">
          <cell r="I25">
            <v>3249800</v>
          </cell>
          <cell r="J25">
            <v>409236.64</v>
          </cell>
        </row>
        <row r="25">
          <cell r="P25">
            <v>14622525</v>
          </cell>
          <cell r="Q25">
            <v>2256673.02</v>
          </cell>
        </row>
        <row r="26">
          <cell r="I26">
            <v>643500</v>
          </cell>
          <cell r="J26">
            <v>77058.18</v>
          </cell>
        </row>
        <row r="26">
          <cell r="P26">
            <v>7630518</v>
          </cell>
          <cell r="Q26">
            <v>1059622.79</v>
          </cell>
        </row>
        <row r="27">
          <cell r="I27">
            <v>2880300</v>
          </cell>
          <cell r="J27">
            <v>350380.17</v>
          </cell>
        </row>
        <row r="27">
          <cell r="P27">
            <v>2820446</v>
          </cell>
          <cell r="Q27">
            <v>413358.6</v>
          </cell>
        </row>
        <row r="28">
          <cell r="I28">
            <v>130500</v>
          </cell>
          <cell r="J28">
            <v>19530</v>
          </cell>
        </row>
        <row r="28">
          <cell r="P28">
            <v>605100</v>
          </cell>
          <cell r="Q28">
            <v>104355.5</v>
          </cell>
        </row>
        <row r="29">
          <cell r="I29">
            <v>5190300</v>
          </cell>
          <cell r="J29">
            <v>555913</v>
          </cell>
        </row>
        <row r="29">
          <cell r="P29">
            <v>24029610</v>
          </cell>
          <cell r="Q29">
            <v>2822453.55</v>
          </cell>
        </row>
        <row r="30">
          <cell r="I30">
            <v>1197225</v>
          </cell>
          <cell r="J30">
            <v>810270</v>
          </cell>
        </row>
        <row r="30">
          <cell r="P30">
            <v>1445445</v>
          </cell>
          <cell r="Q30">
            <v>1067226.7</v>
          </cell>
        </row>
        <row r="31">
          <cell r="I31">
            <v>985200</v>
          </cell>
          <cell r="J31">
            <v>376811.29</v>
          </cell>
        </row>
        <row r="31">
          <cell r="P31">
            <v>1257580</v>
          </cell>
          <cell r="Q31">
            <v>572996.4</v>
          </cell>
        </row>
        <row r="32">
          <cell r="I32">
            <v>3543200</v>
          </cell>
          <cell r="J32">
            <v>615729.78</v>
          </cell>
        </row>
        <row r="32">
          <cell r="P32">
            <v>3156252</v>
          </cell>
          <cell r="Q32">
            <v>588589.1</v>
          </cell>
        </row>
        <row r="33">
          <cell r="I33">
            <v>226000</v>
          </cell>
          <cell r="J33">
            <v>37786.29</v>
          </cell>
        </row>
        <row r="33">
          <cell r="P33">
            <v>1312950</v>
          </cell>
          <cell r="Q33">
            <v>220671.15</v>
          </cell>
        </row>
        <row r="34">
          <cell r="I34">
            <v>872000</v>
          </cell>
          <cell r="J34">
            <v>281057.65</v>
          </cell>
        </row>
        <row r="34">
          <cell r="P34">
            <v>704000</v>
          </cell>
          <cell r="Q34">
            <v>227063.8</v>
          </cell>
        </row>
        <row r="35">
          <cell r="I35">
            <v>0</v>
          </cell>
          <cell r="J35">
            <v>0</v>
          </cell>
        </row>
        <row r="35">
          <cell r="P35">
            <v>314000</v>
          </cell>
          <cell r="Q35">
            <v>79392.5</v>
          </cell>
        </row>
        <row r="36">
          <cell r="I36">
            <v>0</v>
          </cell>
          <cell r="J36">
            <v>0</v>
          </cell>
        </row>
        <row r="36">
          <cell r="P36">
            <v>27090</v>
          </cell>
          <cell r="Q36">
            <v>10500</v>
          </cell>
        </row>
        <row r="37">
          <cell r="I37">
            <v>0</v>
          </cell>
          <cell r="J37">
            <v>0</v>
          </cell>
        </row>
        <row r="37">
          <cell r="P37">
            <v>13620</v>
          </cell>
          <cell r="Q37">
            <v>95708.3</v>
          </cell>
        </row>
        <row r="38">
          <cell r="I38">
            <v>0</v>
          </cell>
          <cell r="J38">
            <v>0</v>
          </cell>
        </row>
        <row r="38">
          <cell r="P38">
            <v>2640</v>
          </cell>
          <cell r="Q38">
            <v>17762.08</v>
          </cell>
        </row>
      </sheetData>
      <sheetData sheetId="5"/>
      <sheetData sheetId="6">
        <row r="49">
          <cell r="J49">
            <v>4650000</v>
          </cell>
        </row>
        <row r="50">
          <cell r="J50">
            <v>4745294.4</v>
          </cell>
        </row>
        <row r="51">
          <cell r="J51">
            <v>498100</v>
          </cell>
        </row>
        <row r="52">
          <cell r="J52">
            <v>1128529.08</v>
          </cell>
        </row>
        <row r="53">
          <cell r="J53">
            <v>2198703.5</v>
          </cell>
        </row>
        <row r="54">
          <cell r="J54">
            <v>287179</v>
          </cell>
        </row>
        <row r="55">
          <cell r="J55">
            <v>325225.76</v>
          </cell>
        </row>
        <row r="56">
          <cell r="J56">
            <v>493350</v>
          </cell>
        </row>
        <row r="57">
          <cell r="J57">
            <v>529485.4</v>
          </cell>
        </row>
        <row r="58">
          <cell r="J58">
            <v>1600</v>
          </cell>
        </row>
        <row r="59">
          <cell r="J59">
            <v>0</v>
          </cell>
        </row>
        <row r="60">
          <cell r="J60">
            <v>0</v>
          </cell>
        </row>
        <row r="61">
          <cell r="J61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STOQ."/>
      <sheetName val="DEVOLUÇÃO"/>
      <sheetName val="PROD."/>
      <sheetName val="PARC."/>
      <sheetName val="COMPRA "/>
      <sheetName val="VENDA"/>
      <sheetName val="V5"/>
      <sheetName val="V6"/>
      <sheetName val="V7"/>
      <sheetName val="V8"/>
      <sheetName val="V9"/>
      <sheetName val="V10"/>
      <sheetName val="V11"/>
      <sheetName val="V12"/>
      <sheetName val="V1"/>
      <sheetName val="V2"/>
      <sheetName val="V3"/>
      <sheetName val="V4"/>
      <sheetName val="SALDO "/>
      <sheetName val="HIST."/>
      <sheetName val=" A ENT.ANT."/>
      <sheetName val="SOUBHIA"/>
      <sheetName val="Plan1"/>
    </sheetNames>
    <sheetDataSet>
      <sheetData sheetId="0"/>
      <sheetData sheetId="1"/>
      <sheetData sheetId="2"/>
      <sheetData sheetId="3"/>
      <sheetData sheetId="4"/>
      <sheetData sheetId="5">
        <row r="5">
          <cell r="I5">
            <v>2425568.65</v>
          </cell>
          <cell r="J5">
            <v>211845</v>
          </cell>
        </row>
        <row r="6">
          <cell r="I6">
            <v>4021500</v>
          </cell>
          <cell r="J6">
            <v>452945</v>
          </cell>
        </row>
        <row r="7">
          <cell r="I7">
            <v>4449112.5</v>
          </cell>
          <cell r="J7">
            <v>557929.25</v>
          </cell>
        </row>
        <row r="8">
          <cell r="I8">
            <v>661125</v>
          </cell>
          <cell r="J8">
            <v>95726.5</v>
          </cell>
        </row>
        <row r="9">
          <cell r="I9">
            <v>300000</v>
          </cell>
          <cell r="J9">
            <v>36000</v>
          </cell>
        </row>
        <row r="10">
          <cell r="I10">
            <v>7146289.93</v>
          </cell>
          <cell r="J10">
            <v>390750</v>
          </cell>
        </row>
        <row r="11">
          <cell r="I11">
            <v>252175</v>
          </cell>
          <cell r="J11">
            <v>144691.14</v>
          </cell>
        </row>
        <row r="12">
          <cell r="I12">
            <v>178900</v>
          </cell>
          <cell r="J12">
            <v>51460</v>
          </cell>
        </row>
        <row r="13">
          <cell r="I13">
            <v>315500</v>
          </cell>
          <cell r="J13">
            <v>68100</v>
          </cell>
        </row>
        <row r="14">
          <cell r="I14">
            <v>70000</v>
          </cell>
          <cell r="J14">
            <v>9800</v>
          </cell>
        </row>
        <row r="15">
          <cell r="I15">
            <v>11000</v>
          </cell>
          <cell r="J15">
            <v>3300</v>
          </cell>
        </row>
        <row r="16">
          <cell r="I16">
            <v>27200</v>
          </cell>
          <cell r="J16">
            <v>7660</v>
          </cell>
        </row>
        <row r="17">
          <cell r="I17">
            <v>0</v>
          </cell>
          <cell r="J17">
            <v>0</v>
          </cell>
        </row>
        <row r="19">
          <cell r="I19">
            <v>0</v>
          </cell>
          <cell r="J19">
            <v>0</v>
          </cell>
        </row>
        <row r="20">
          <cell r="I20">
            <v>0</v>
          </cell>
          <cell r="J20">
            <v>0</v>
          </cell>
        </row>
        <row r="25">
          <cell r="I25">
            <v>12512850</v>
          </cell>
          <cell r="J25">
            <v>1394575</v>
          </cell>
        </row>
        <row r="25">
          <cell r="P25">
            <v>11700750</v>
          </cell>
          <cell r="Q25">
            <v>1384128.15</v>
          </cell>
        </row>
        <row r="26">
          <cell r="I26">
            <v>6957300</v>
          </cell>
          <cell r="J26">
            <v>734709</v>
          </cell>
        </row>
        <row r="26">
          <cell r="P26">
            <v>14637150</v>
          </cell>
          <cell r="Q26">
            <v>1749634.8</v>
          </cell>
        </row>
        <row r="27">
          <cell r="I27">
            <v>1012500</v>
          </cell>
          <cell r="J27">
            <v>150500</v>
          </cell>
        </row>
        <row r="27">
          <cell r="P27">
            <v>4954800</v>
          </cell>
          <cell r="Q27">
            <v>802393.95</v>
          </cell>
        </row>
        <row r="28">
          <cell r="I28">
            <v>1423200</v>
          </cell>
          <cell r="J28">
            <v>235497.5</v>
          </cell>
        </row>
        <row r="28">
          <cell r="P28">
            <v>3083850</v>
          </cell>
          <cell r="Q28">
            <v>512501.95</v>
          </cell>
        </row>
        <row r="29">
          <cell r="I29">
            <v>97500</v>
          </cell>
          <cell r="J29">
            <v>16727.5</v>
          </cell>
        </row>
        <row r="29">
          <cell r="P29">
            <v>333000</v>
          </cell>
          <cell r="Q29">
            <v>50662.5</v>
          </cell>
        </row>
        <row r="30">
          <cell r="I30">
            <v>5317175</v>
          </cell>
          <cell r="J30">
            <v>461195.75</v>
          </cell>
        </row>
        <row r="30">
          <cell r="P30">
            <v>25864800</v>
          </cell>
          <cell r="Q30">
            <v>2373881.95</v>
          </cell>
        </row>
        <row r="31">
          <cell r="I31">
            <v>1137960</v>
          </cell>
          <cell r="J31">
            <v>856736.5</v>
          </cell>
        </row>
        <row r="31">
          <cell r="P31">
            <v>1106570</v>
          </cell>
          <cell r="Q31">
            <v>821713.1</v>
          </cell>
        </row>
        <row r="32">
          <cell r="I32">
            <v>257430</v>
          </cell>
          <cell r="J32">
            <v>143109.1</v>
          </cell>
        </row>
        <row r="32">
          <cell r="P32">
            <v>2212980</v>
          </cell>
          <cell r="Q32">
            <v>977485.5</v>
          </cell>
        </row>
        <row r="33">
          <cell r="I33">
            <v>3054000</v>
          </cell>
          <cell r="J33">
            <v>508530</v>
          </cell>
        </row>
        <row r="33">
          <cell r="P33">
            <v>2603450</v>
          </cell>
          <cell r="Q33">
            <v>513216.25</v>
          </cell>
        </row>
        <row r="34">
          <cell r="I34">
            <v>435300</v>
          </cell>
          <cell r="J34">
            <v>74500</v>
          </cell>
        </row>
        <row r="34">
          <cell r="P34">
            <v>1018425</v>
          </cell>
          <cell r="Q34">
            <v>194293.25</v>
          </cell>
        </row>
        <row r="35">
          <cell r="I35">
            <v>675300</v>
          </cell>
          <cell r="J35">
            <v>167912.5</v>
          </cell>
        </row>
        <row r="35">
          <cell r="P35">
            <v>1014950</v>
          </cell>
          <cell r="Q35">
            <v>290920.62</v>
          </cell>
        </row>
        <row r="36">
          <cell r="I36">
            <v>0</v>
          </cell>
          <cell r="J36">
            <v>0</v>
          </cell>
        </row>
        <row r="36">
          <cell r="P36">
            <v>521850</v>
          </cell>
          <cell r="Q36">
            <v>140399.5</v>
          </cell>
        </row>
        <row r="37">
          <cell r="I37">
            <v>43125</v>
          </cell>
          <cell r="J37">
            <v>9343.75</v>
          </cell>
        </row>
        <row r="37">
          <cell r="P37">
            <v>871425</v>
          </cell>
          <cell r="Q37">
            <v>199716.4</v>
          </cell>
        </row>
        <row r="38">
          <cell r="I38">
            <v>0</v>
          </cell>
          <cell r="J38">
            <v>0</v>
          </cell>
        </row>
        <row r="38">
          <cell r="P38">
            <v>381400</v>
          </cell>
          <cell r="Q38">
            <v>87409.5</v>
          </cell>
        </row>
        <row r="39">
          <cell r="I39">
            <v>250</v>
          </cell>
          <cell r="J39">
            <v>1700</v>
          </cell>
        </row>
        <row r="39">
          <cell r="P39">
            <v>9985</v>
          </cell>
          <cell r="Q39">
            <v>66925.3</v>
          </cell>
        </row>
        <row r="40">
          <cell r="I40">
            <v>0</v>
          </cell>
          <cell r="J40">
            <v>0</v>
          </cell>
        </row>
        <row r="40">
          <cell r="P40">
            <v>7648</v>
          </cell>
          <cell r="Q40">
            <v>57286.4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EST."/>
      <sheetName val="DEV."/>
      <sheetName val="PROD."/>
      <sheetName val="PARC."/>
      <sheetName val="COMP"/>
      <sheetName val="VEND"/>
      <sheetName val="V5"/>
      <sheetName val="V6"/>
      <sheetName val="V7"/>
      <sheetName val="V8"/>
      <sheetName val="V9"/>
      <sheetName val="V10"/>
      <sheetName val="V11"/>
      <sheetName val="V12"/>
      <sheetName val="V1"/>
      <sheetName val="V2"/>
      <sheetName val="V3"/>
      <sheetName val="V4"/>
      <sheetName val=" A ENT.ANT."/>
      <sheetName val="SALD "/>
      <sheetName val="SALD(3)"/>
      <sheetName val="HIST."/>
      <sheetName val="SOUBHIA"/>
      <sheetName val="LOTES"/>
      <sheetName val="BRUTA"/>
      <sheetName val="RESUMO"/>
    </sheetNames>
    <sheetDataSet>
      <sheetData sheetId="0"/>
      <sheetData sheetId="1"/>
      <sheetData sheetId="2"/>
      <sheetData sheetId="3"/>
      <sheetData sheetId="4"/>
      <sheetData sheetId="5">
        <row r="5">
          <cell r="I5">
            <v>540000</v>
          </cell>
          <cell r="J5">
            <v>50940</v>
          </cell>
        </row>
        <row r="6">
          <cell r="I6">
            <v>810000</v>
          </cell>
          <cell r="J6">
            <v>106460</v>
          </cell>
        </row>
        <row r="7">
          <cell r="I7">
            <v>1044000</v>
          </cell>
          <cell r="J7">
            <v>137600</v>
          </cell>
        </row>
        <row r="8">
          <cell r="I8">
            <v>319500</v>
          </cell>
          <cell r="J8">
            <v>45640</v>
          </cell>
        </row>
        <row r="9">
          <cell r="I9">
            <v>529003.5</v>
          </cell>
          <cell r="J9">
            <v>74560.56</v>
          </cell>
        </row>
        <row r="10">
          <cell r="I10">
            <v>5130075</v>
          </cell>
          <cell r="J10">
            <v>347731.9</v>
          </cell>
        </row>
        <row r="11">
          <cell r="I11">
            <v>0</v>
          </cell>
          <cell r="J11">
            <v>0</v>
          </cell>
        </row>
        <row r="12">
          <cell r="I12">
            <v>156000</v>
          </cell>
          <cell r="J12">
            <v>20920</v>
          </cell>
        </row>
        <row r="13">
          <cell r="I13">
            <v>1624815</v>
          </cell>
          <cell r="J13">
            <v>197625</v>
          </cell>
        </row>
        <row r="14">
          <cell r="I14">
            <v>0</v>
          </cell>
          <cell r="J14">
            <v>0</v>
          </cell>
        </row>
        <row r="15">
          <cell r="I15">
            <v>0</v>
          </cell>
          <cell r="J15">
            <v>0</v>
          </cell>
        </row>
        <row r="16">
          <cell r="I16">
            <v>0</v>
          </cell>
          <cell r="J16">
            <v>0</v>
          </cell>
        </row>
        <row r="17">
          <cell r="I17">
            <v>0</v>
          </cell>
          <cell r="J17">
            <v>0</v>
          </cell>
        </row>
        <row r="18">
          <cell r="I18">
            <v>0</v>
          </cell>
          <cell r="J18">
            <v>0</v>
          </cell>
        </row>
        <row r="19">
          <cell r="I19">
            <v>0</v>
          </cell>
          <cell r="J19">
            <v>0</v>
          </cell>
        </row>
        <row r="20">
          <cell r="I20">
            <v>600</v>
          </cell>
          <cell r="J20">
            <v>4500</v>
          </cell>
        </row>
        <row r="21">
          <cell r="I21">
            <v>0</v>
          </cell>
          <cell r="J21">
            <v>0</v>
          </cell>
        </row>
        <row r="26">
          <cell r="I26">
            <v>7285200</v>
          </cell>
          <cell r="J26">
            <v>868330</v>
          </cell>
        </row>
        <row r="26">
          <cell r="P26">
            <v>10267125</v>
          </cell>
          <cell r="Q26">
            <v>1366262.55</v>
          </cell>
        </row>
        <row r="27">
          <cell r="I27">
            <v>4936500</v>
          </cell>
          <cell r="J27">
            <v>556315</v>
          </cell>
        </row>
        <row r="27">
          <cell r="P27">
            <v>11055900</v>
          </cell>
          <cell r="Q27">
            <v>1535790.2</v>
          </cell>
        </row>
        <row r="28">
          <cell r="I28">
            <v>1319550</v>
          </cell>
          <cell r="J28">
            <v>226410</v>
          </cell>
        </row>
        <row r="28">
          <cell r="P28">
            <v>2503200</v>
          </cell>
          <cell r="Q28">
            <v>433192.25</v>
          </cell>
        </row>
        <row r="29">
          <cell r="I29">
            <v>4285050</v>
          </cell>
          <cell r="J29">
            <v>644865.5</v>
          </cell>
        </row>
        <row r="29">
          <cell r="P29">
            <v>4061550</v>
          </cell>
          <cell r="Q29">
            <v>704494.25</v>
          </cell>
        </row>
        <row r="30">
          <cell r="I30">
            <v>214500</v>
          </cell>
          <cell r="J30">
            <v>34175</v>
          </cell>
        </row>
        <row r="30">
          <cell r="P30">
            <v>109500</v>
          </cell>
          <cell r="Q30">
            <v>17592.5</v>
          </cell>
        </row>
        <row r="31">
          <cell r="I31">
            <v>2946000</v>
          </cell>
          <cell r="J31">
            <v>236200</v>
          </cell>
        </row>
        <row r="31">
          <cell r="P31">
            <v>23392337</v>
          </cell>
          <cell r="Q31">
            <v>2004675.43</v>
          </cell>
        </row>
        <row r="32">
          <cell r="I32">
            <v>1776300</v>
          </cell>
          <cell r="J32">
            <v>1215608</v>
          </cell>
        </row>
        <row r="32">
          <cell r="P32">
            <v>513300</v>
          </cell>
          <cell r="Q32">
            <v>345516.5</v>
          </cell>
        </row>
        <row r="33">
          <cell r="I33">
            <v>561300</v>
          </cell>
          <cell r="J33">
            <v>190996</v>
          </cell>
        </row>
        <row r="33">
          <cell r="P33">
            <v>1409700</v>
          </cell>
          <cell r="Q33">
            <v>448923.3</v>
          </cell>
        </row>
        <row r="34">
          <cell r="I34">
            <v>4551275</v>
          </cell>
          <cell r="J34">
            <v>869110</v>
          </cell>
        </row>
        <row r="34">
          <cell r="P34">
            <v>5220375</v>
          </cell>
          <cell r="Q34">
            <v>1066265.6</v>
          </cell>
        </row>
        <row r="35">
          <cell r="I35">
            <v>0</v>
          </cell>
          <cell r="J35">
            <v>0</v>
          </cell>
        </row>
        <row r="35">
          <cell r="P35">
            <v>589115</v>
          </cell>
          <cell r="Q35">
            <v>125794.9</v>
          </cell>
        </row>
        <row r="36">
          <cell r="I36">
            <v>499100</v>
          </cell>
          <cell r="J36">
            <v>150834</v>
          </cell>
        </row>
        <row r="36">
          <cell r="P36">
            <v>1279500</v>
          </cell>
          <cell r="Q36">
            <v>365415.9</v>
          </cell>
        </row>
        <row r="37">
          <cell r="I37">
            <v>3300</v>
          </cell>
          <cell r="J37">
            <v>870</v>
          </cell>
        </row>
        <row r="37">
          <cell r="P37">
            <v>379100</v>
          </cell>
          <cell r="Q37">
            <v>92307</v>
          </cell>
        </row>
        <row r="38">
          <cell r="I38">
            <v>687115</v>
          </cell>
          <cell r="J38">
            <v>151924</v>
          </cell>
        </row>
        <row r="38">
          <cell r="P38">
            <v>1782275</v>
          </cell>
          <cell r="Q38">
            <v>576036.65</v>
          </cell>
        </row>
        <row r="39">
          <cell r="I39">
            <v>90000</v>
          </cell>
          <cell r="J39">
            <v>16800</v>
          </cell>
        </row>
        <row r="39">
          <cell r="P39">
            <v>484200</v>
          </cell>
          <cell r="Q39">
            <v>120664.3</v>
          </cell>
        </row>
        <row r="40">
          <cell r="I40">
            <v>104400</v>
          </cell>
          <cell r="J40">
            <v>36169</v>
          </cell>
        </row>
        <row r="40">
          <cell r="P40">
            <v>87210</v>
          </cell>
          <cell r="Q40">
            <v>37431.4</v>
          </cell>
        </row>
        <row r="41">
          <cell r="I41">
            <v>1550</v>
          </cell>
          <cell r="J41">
            <v>9300</v>
          </cell>
        </row>
        <row r="41">
          <cell r="P41">
            <v>5880</v>
          </cell>
          <cell r="Q41">
            <v>32493</v>
          </cell>
        </row>
        <row r="42">
          <cell r="I42">
            <v>0</v>
          </cell>
        </row>
        <row r="42">
          <cell r="P42">
            <v>2160</v>
          </cell>
          <cell r="Q42">
            <v>17468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EST."/>
      <sheetName val="DEV."/>
      <sheetName val="PROD."/>
      <sheetName val="PARC."/>
      <sheetName val="COMP"/>
      <sheetName val="VEND"/>
      <sheetName val=" A ENT.ANT."/>
      <sheetName val=" A ENT.ANT. (2)"/>
      <sheetName val="SALD "/>
      <sheetName val="SALD(3)"/>
      <sheetName val="HIST."/>
      <sheetName val="SOUBHIA"/>
      <sheetName val="DEV.SOUBHIA"/>
      <sheetName val="BRUTA"/>
      <sheetName val="P.BRU"/>
      <sheetName val="LOTES"/>
      <sheetName val="P.LOT"/>
      <sheetName val="RESUMO"/>
      <sheetName val="ANALI"/>
      <sheetName val="RESUMO REVEST."/>
    </sheetNames>
    <sheetDataSet>
      <sheetData sheetId="0"/>
      <sheetData sheetId="1"/>
      <sheetData sheetId="2"/>
      <sheetData sheetId="3"/>
      <sheetData sheetId="4"/>
      <sheetData sheetId="5">
        <row r="5">
          <cell r="I5">
            <v>3234402.8</v>
          </cell>
          <cell r="J5">
            <v>705892.27</v>
          </cell>
        </row>
        <row r="6">
          <cell r="I6">
            <v>13967353.066</v>
          </cell>
          <cell r="J6">
            <v>3350384.4</v>
          </cell>
        </row>
        <row r="7">
          <cell r="I7">
            <v>480000</v>
          </cell>
          <cell r="J7">
            <v>69760</v>
          </cell>
        </row>
        <row r="8">
          <cell r="I8">
            <v>0</v>
          </cell>
          <cell r="J8">
            <v>0</v>
          </cell>
        </row>
        <row r="9">
          <cell r="I9">
            <v>0</v>
          </cell>
          <cell r="J9">
            <v>0</v>
          </cell>
        </row>
        <row r="10">
          <cell r="I10">
            <v>1330662</v>
          </cell>
          <cell r="J10">
            <v>372905</v>
          </cell>
        </row>
        <row r="11">
          <cell r="I11">
            <v>76125</v>
          </cell>
          <cell r="J11">
            <v>39737.25</v>
          </cell>
        </row>
        <row r="12">
          <cell r="I12">
            <v>0</v>
          </cell>
          <cell r="J12">
            <v>0</v>
          </cell>
        </row>
        <row r="13">
          <cell r="I13">
            <v>518308.78</v>
          </cell>
          <cell r="J13">
            <v>153420</v>
          </cell>
        </row>
        <row r="14">
          <cell r="I14">
            <v>0</v>
          </cell>
          <cell r="J14">
            <v>0</v>
          </cell>
        </row>
        <row r="15">
          <cell r="I15">
            <v>0</v>
          </cell>
          <cell r="J15">
            <v>0</v>
          </cell>
        </row>
        <row r="16">
          <cell r="I16">
            <v>158545.6</v>
          </cell>
          <cell r="J16">
            <v>40000</v>
          </cell>
        </row>
        <row r="17">
          <cell r="I17">
            <v>10800</v>
          </cell>
          <cell r="J17">
            <v>1440</v>
          </cell>
        </row>
        <row r="18">
          <cell r="I18">
            <v>0</v>
          </cell>
          <cell r="J18">
            <v>0</v>
          </cell>
        </row>
        <row r="19">
          <cell r="I19">
            <v>8100</v>
          </cell>
          <cell r="J19">
            <v>3600</v>
          </cell>
        </row>
        <row r="20">
          <cell r="I20">
            <v>790</v>
          </cell>
          <cell r="J20">
            <v>45000</v>
          </cell>
        </row>
        <row r="21">
          <cell r="I21">
            <v>0</v>
          </cell>
          <cell r="J21">
            <v>0</v>
          </cell>
        </row>
        <row r="26">
          <cell r="I26">
            <v>3058800</v>
          </cell>
          <cell r="J26">
            <v>612897.5</v>
          </cell>
        </row>
        <row r="26">
          <cell r="P26">
            <v>5031844</v>
          </cell>
          <cell r="Q26">
            <v>2028853.45</v>
          </cell>
        </row>
        <row r="27">
          <cell r="I27">
            <v>4240800</v>
          </cell>
          <cell r="J27">
            <v>1101099.5</v>
          </cell>
        </row>
        <row r="27">
          <cell r="P27">
            <v>8221946</v>
          </cell>
          <cell r="Q27">
            <v>3532052.8</v>
          </cell>
        </row>
        <row r="28">
          <cell r="I28">
            <v>413000</v>
          </cell>
          <cell r="J28">
            <v>97550</v>
          </cell>
        </row>
        <row r="28">
          <cell r="P28">
            <v>1691094</v>
          </cell>
          <cell r="Q28">
            <v>601320.9</v>
          </cell>
        </row>
        <row r="29">
          <cell r="I29">
            <v>3496016</v>
          </cell>
          <cell r="J29">
            <v>958061.5</v>
          </cell>
        </row>
        <row r="29">
          <cell r="P29">
            <v>2178961</v>
          </cell>
          <cell r="Q29">
            <v>1014967.15</v>
          </cell>
        </row>
        <row r="30">
          <cell r="I30">
            <v>0</v>
          </cell>
          <cell r="J30">
            <v>0</v>
          </cell>
        </row>
        <row r="30">
          <cell r="P30">
            <v>40800</v>
          </cell>
          <cell r="Q30">
            <v>16977.5</v>
          </cell>
        </row>
        <row r="31">
          <cell r="I31">
            <v>26560</v>
          </cell>
          <cell r="J31">
            <v>14080</v>
          </cell>
        </row>
        <row r="31">
          <cell r="P31">
            <v>2203934</v>
          </cell>
          <cell r="Q31">
            <v>1218470</v>
          </cell>
        </row>
        <row r="32">
          <cell r="I32">
            <v>242000</v>
          </cell>
          <cell r="J32">
            <v>191000</v>
          </cell>
        </row>
        <row r="32">
          <cell r="P32">
            <v>1207294</v>
          </cell>
          <cell r="Q32">
            <v>1131133.25</v>
          </cell>
        </row>
        <row r="33">
          <cell r="I33">
            <v>1199600</v>
          </cell>
          <cell r="J33">
            <v>376500</v>
          </cell>
        </row>
        <row r="33">
          <cell r="P33">
            <v>814586</v>
          </cell>
          <cell r="Q33">
            <v>401199</v>
          </cell>
        </row>
        <row r="34">
          <cell r="I34">
            <v>2178375</v>
          </cell>
          <cell r="J34">
            <v>689500</v>
          </cell>
        </row>
        <row r="34">
          <cell r="P34">
            <v>2838667</v>
          </cell>
          <cell r="Q34">
            <v>1609620.85</v>
          </cell>
        </row>
        <row r="35">
          <cell r="I35">
            <v>0</v>
          </cell>
          <cell r="J35">
            <v>0</v>
          </cell>
        </row>
        <row r="35">
          <cell r="P35">
            <v>9600</v>
          </cell>
          <cell r="Q35">
            <v>5925</v>
          </cell>
        </row>
        <row r="36">
          <cell r="I36">
            <v>196911</v>
          </cell>
          <cell r="J36">
            <v>98010</v>
          </cell>
        </row>
        <row r="36">
          <cell r="P36">
            <v>95517</v>
          </cell>
          <cell r="Q36">
            <v>97608</v>
          </cell>
        </row>
        <row r="37">
          <cell r="I37">
            <v>0</v>
          </cell>
          <cell r="J37">
            <v>0</v>
          </cell>
        </row>
        <row r="37">
          <cell r="P37">
            <v>0</v>
          </cell>
          <cell r="Q37">
            <v>0</v>
          </cell>
        </row>
        <row r="38">
          <cell r="I38">
            <v>238901</v>
          </cell>
          <cell r="J38">
            <v>94175</v>
          </cell>
        </row>
        <row r="38">
          <cell r="P38">
            <v>310443</v>
          </cell>
          <cell r="Q38">
            <v>293306</v>
          </cell>
        </row>
        <row r="39">
          <cell r="I39">
            <v>24300</v>
          </cell>
          <cell r="J39">
            <v>15960</v>
          </cell>
        </row>
        <row r="39">
          <cell r="P39">
            <v>108000</v>
          </cell>
          <cell r="Q39">
            <v>32400</v>
          </cell>
        </row>
        <row r="40">
          <cell r="I40">
            <v>421889</v>
          </cell>
          <cell r="J40">
            <v>218790</v>
          </cell>
        </row>
        <row r="40">
          <cell r="P40">
            <v>84201</v>
          </cell>
          <cell r="Q40">
            <v>86842.4</v>
          </cell>
        </row>
        <row r="41">
          <cell r="I41">
            <v>0</v>
          </cell>
          <cell r="J41">
            <v>0</v>
          </cell>
        </row>
        <row r="41">
          <cell r="P41">
            <v>5740</v>
          </cell>
          <cell r="Q41">
            <v>79012.4</v>
          </cell>
        </row>
        <row r="42">
          <cell r="I42">
            <v>0</v>
          </cell>
          <cell r="J42">
            <v>0</v>
          </cell>
        </row>
        <row r="42">
          <cell r="P42">
            <v>8</v>
          </cell>
          <cell r="Q42">
            <v>64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EST."/>
      <sheetName val="DEV."/>
      <sheetName val="PRO."/>
      <sheetName val="PAR."/>
      <sheetName val="COM."/>
      <sheetName val="P.G"/>
      <sheetName val="VEN."/>
      <sheetName val="ENT.ANT."/>
      <sheetName val=" ENT.ANT. (2)"/>
      <sheetName val="S.NOS"/>
      <sheetName val="S.DELES"/>
      <sheetName val="DEV.S.1"/>
      <sheetName val="DEV.S.1 (2)"/>
      <sheetName val="DEV.S.2"/>
      <sheetName val="SAL. "/>
      <sheetName val="SAL.(3)"/>
      <sheetName val="BRU"/>
      <sheetName val="P.B"/>
      <sheetName val="LOT"/>
      <sheetName val="P.L"/>
      <sheetName val="RES"/>
      <sheetName val="HIST."/>
      <sheetName val="ANALI"/>
      <sheetName val="PRO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AF5">
            <v>9798110</v>
          </cell>
        </row>
        <row r="5">
          <cell r="AH5">
            <v>1749962.26</v>
          </cell>
        </row>
        <row r="6">
          <cell r="AF6">
            <v>12432760</v>
          </cell>
        </row>
        <row r="6">
          <cell r="AH6">
            <v>2362830.63</v>
          </cell>
        </row>
        <row r="7">
          <cell r="AF7">
            <v>3287250</v>
          </cell>
        </row>
        <row r="7">
          <cell r="AH7">
            <v>767846.9</v>
          </cell>
        </row>
        <row r="8">
          <cell r="AF8">
            <v>2188204</v>
          </cell>
        </row>
        <row r="8">
          <cell r="AH8">
            <v>621509.65</v>
          </cell>
        </row>
        <row r="9">
          <cell r="AF9">
            <v>0</v>
          </cell>
        </row>
        <row r="9">
          <cell r="AH9">
            <v>0</v>
          </cell>
        </row>
        <row r="10">
          <cell r="AF10">
            <v>13793390</v>
          </cell>
        </row>
        <row r="10">
          <cell r="AH10">
            <v>2484764.48</v>
          </cell>
        </row>
        <row r="11">
          <cell r="AF11">
            <v>352835</v>
          </cell>
        </row>
        <row r="11">
          <cell r="AH11">
            <v>421976.66</v>
          </cell>
        </row>
        <row r="12">
          <cell r="AF12">
            <v>883694</v>
          </cell>
        </row>
        <row r="12">
          <cell r="AH12">
            <v>334736</v>
          </cell>
        </row>
        <row r="13">
          <cell r="AF13">
            <v>3600775</v>
          </cell>
        </row>
        <row r="13">
          <cell r="AH13">
            <v>1470394.5</v>
          </cell>
        </row>
        <row r="14">
          <cell r="AF14">
            <v>80000</v>
          </cell>
        </row>
        <row r="14">
          <cell r="AH14">
            <v>20400</v>
          </cell>
        </row>
        <row r="15">
          <cell r="AF15">
            <v>135031</v>
          </cell>
        </row>
        <row r="15">
          <cell r="AH15">
            <v>102716</v>
          </cell>
        </row>
        <row r="16">
          <cell r="AF16">
            <v>20000</v>
          </cell>
        </row>
        <row r="16">
          <cell r="AH16">
            <v>6960</v>
          </cell>
        </row>
        <row r="17">
          <cell r="AF17">
            <v>1661159.99935</v>
          </cell>
        </row>
        <row r="17">
          <cell r="AH17">
            <v>580873.82</v>
          </cell>
        </row>
        <row r="18">
          <cell r="AF18">
            <v>12000</v>
          </cell>
        </row>
        <row r="18">
          <cell r="AH18">
            <v>3820</v>
          </cell>
        </row>
        <row r="19">
          <cell r="AF19">
            <v>54020</v>
          </cell>
        </row>
        <row r="19">
          <cell r="AH19">
            <v>37490.7</v>
          </cell>
        </row>
        <row r="20">
          <cell r="AF20">
            <v>137340</v>
          </cell>
        </row>
        <row r="20">
          <cell r="AH20">
            <v>61040</v>
          </cell>
        </row>
        <row r="21">
          <cell r="AF21">
            <v>162392</v>
          </cell>
        </row>
        <row r="21">
          <cell r="AH21">
            <v>87099.7</v>
          </cell>
        </row>
        <row r="22">
          <cell r="AF22">
            <v>23680</v>
          </cell>
        </row>
        <row r="22">
          <cell r="AH22">
            <v>292318.8</v>
          </cell>
        </row>
        <row r="23">
          <cell r="AF23">
            <v>280</v>
          </cell>
        </row>
        <row r="23">
          <cell r="AH23">
            <v>2240</v>
          </cell>
        </row>
        <row r="34">
          <cell r="AF34">
            <v>3479156</v>
          </cell>
        </row>
        <row r="34">
          <cell r="AH34">
            <v>776285</v>
          </cell>
        </row>
        <row r="35">
          <cell r="AF35">
            <v>5839736</v>
          </cell>
        </row>
        <row r="35">
          <cell r="AH35">
            <v>981230</v>
          </cell>
        </row>
        <row r="36">
          <cell r="AF36">
            <v>1192220</v>
          </cell>
        </row>
        <row r="36">
          <cell r="AH36">
            <v>246350</v>
          </cell>
        </row>
        <row r="37">
          <cell r="AF37">
            <v>4120160</v>
          </cell>
        </row>
        <row r="37">
          <cell r="AH37">
            <v>836555.5</v>
          </cell>
        </row>
        <row r="38">
          <cell r="AF38">
            <v>0</v>
          </cell>
        </row>
        <row r="38">
          <cell r="AH38">
            <v>0</v>
          </cell>
        </row>
        <row r="39">
          <cell r="AF39">
            <v>0</v>
          </cell>
        </row>
        <row r="39">
          <cell r="AH39">
            <v>0</v>
          </cell>
        </row>
        <row r="40">
          <cell r="AF40">
            <v>805340</v>
          </cell>
        </row>
        <row r="40">
          <cell r="AH40">
            <v>588771.5</v>
          </cell>
        </row>
        <row r="41">
          <cell r="AF41">
            <v>1176173</v>
          </cell>
        </row>
        <row r="41">
          <cell r="AH41">
            <v>478400</v>
          </cell>
        </row>
        <row r="42">
          <cell r="AF42">
            <v>3119025</v>
          </cell>
        </row>
        <row r="42">
          <cell r="AH42">
            <v>869600</v>
          </cell>
        </row>
        <row r="43">
          <cell r="AF43">
            <v>0</v>
          </cell>
        </row>
        <row r="43">
          <cell r="AH43">
            <v>0</v>
          </cell>
        </row>
        <row r="44">
          <cell r="AF44">
            <v>0</v>
          </cell>
        </row>
        <row r="44">
          <cell r="AH44">
            <v>0</v>
          </cell>
        </row>
        <row r="45">
          <cell r="AF45">
            <v>0</v>
          </cell>
        </row>
        <row r="45">
          <cell r="AH45">
            <v>0</v>
          </cell>
        </row>
        <row r="46">
          <cell r="AF46">
            <v>844210</v>
          </cell>
        </row>
        <row r="46">
          <cell r="AH46">
            <v>316100</v>
          </cell>
        </row>
        <row r="47">
          <cell r="AF47">
            <v>0</v>
          </cell>
        </row>
        <row r="47">
          <cell r="AH47">
            <v>0</v>
          </cell>
        </row>
        <row r="48">
          <cell r="AF48">
            <v>331500</v>
          </cell>
        </row>
        <row r="48">
          <cell r="AH48">
            <v>225000</v>
          </cell>
        </row>
        <row r="49">
          <cell r="AF49">
            <v>0</v>
          </cell>
        </row>
        <row r="49">
          <cell r="AH49">
            <v>0</v>
          </cell>
        </row>
        <row r="50">
          <cell r="AF50">
            <v>0</v>
          </cell>
        </row>
        <row r="50">
          <cell r="AH50">
            <v>0</v>
          </cell>
        </row>
        <row r="51">
          <cell r="AF51">
            <v>1490</v>
          </cell>
        </row>
        <row r="51">
          <cell r="AH51">
            <v>13410</v>
          </cell>
        </row>
        <row r="52">
          <cell r="AF52">
            <v>0</v>
          </cell>
        </row>
        <row r="52">
          <cell r="AH52">
            <v>0</v>
          </cell>
        </row>
        <row r="63">
          <cell r="AF63">
            <v>467817.6</v>
          </cell>
        </row>
        <row r="63">
          <cell r="AH63">
            <v>64066.5</v>
          </cell>
        </row>
        <row r="64">
          <cell r="AF64">
            <v>405000</v>
          </cell>
        </row>
        <row r="64">
          <cell r="AH64">
            <v>56632.5</v>
          </cell>
        </row>
        <row r="65">
          <cell r="AF65">
            <v>626499.9996</v>
          </cell>
        </row>
        <row r="65">
          <cell r="AH65">
            <v>85880.25</v>
          </cell>
        </row>
        <row r="66">
          <cell r="AF66">
            <v>60000</v>
          </cell>
        </row>
        <row r="66">
          <cell r="AH66">
            <v>9600</v>
          </cell>
        </row>
        <row r="67">
          <cell r="AF67">
            <v>258000</v>
          </cell>
        </row>
        <row r="67">
          <cell r="AH67">
            <v>36077</v>
          </cell>
        </row>
        <row r="68">
          <cell r="AF68">
            <v>387776.42196</v>
          </cell>
        </row>
        <row r="68">
          <cell r="AH68">
            <v>16833</v>
          </cell>
        </row>
        <row r="69">
          <cell r="AF69">
            <v>0</v>
          </cell>
        </row>
        <row r="69">
          <cell r="AH69">
            <v>0</v>
          </cell>
        </row>
        <row r="70">
          <cell r="AF70">
            <v>165000</v>
          </cell>
        </row>
        <row r="70">
          <cell r="AH70">
            <v>41250</v>
          </cell>
        </row>
        <row r="71">
          <cell r="AF71">
            <v>533655.9999</v>
          </cell>
        </row>
        <row r="71">
          <cell r="AH71">
            <v>73767</v>
          </cell>
        </row>
        <row r="72">
          <cell r="AF72">
            <v>165200.61012</v>
          </cell>
        </row>
        <row r="72">
          <cell r="AH72">
            <v>36490</v>
          </cell>
        </row>
        <row r="73">
          <cell r="AF73">
            <v>0</v>
          </cell>
        </row>
        <row r="73">
          <cell r="AH73">
            <v>0</v>
          </cell>
        </row>
        <row r="74">
          <cell r="AF74">
            <v>8109</v>
          </cell>
        </row>
        <row r="74">
          <cell r="AH74">
            <v>765</v>
          </cell>
        </row>
        <row r="75">
          <cell r="AF75">
            <v>0</v>
          </cell>
        </row>
        <row r="75">
          <cell r="AH75">
            <v>0</v>
          </cell>
        </row>
        <row r="76">
          <cell r="AF76">
            <v>22200</v>
          </cell>
        </row>
        <row r="76">
          <cell r="AH76">
            <v>1222.5</v>
          </cell>
        </row>
        <row r="77">
          <cell r="AF77">
            <v>0</v>
          </cell>
        </row>
        <row r="77">
          <cell r="AH77">
            <v>0</v>
          </cell>
        </row>
        <row r="78">
          <cell r="AF78">
            <v>0</v>
          </cell>
        </row>
        <row r="78">
          <cell r="AH78">
            <v>0</v>
          </cell>
        </row>
        <row r="79">
          <cell r="AF79">
            <v>204565.3998</v>
          </cell>
        </row>
        <row r="79">
          <cell r="AH79">
            <v>72032</v>
          </cell>
        </row>
        <row r="80">
          <cell r="AF80">
            <v>100</v>
          </cell>
        </row>
        <row r="80">
          <cell r="AH80">
            <v>1200</v>
          </cell>
        </row>
        <row r="81">
          <cell r="AF81">
            <v>0</v>
          </cell>
        </row>
        <row r="81">
          <cell r="AH81">
            <v>0</v>
          </cell>
        </row>
      </sheetData>
      <sheetData sheetId="22"/>
      <sheetData sheetId="23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EST."/>
      <sheetName val="DEV."/>
      <sheetName val="PRO."/>
      <sheetName val="PAR."/>
      <sheetName val="COM."/>
      <sheetName val="P.G"/>
      <sheetName val="VEN."/>
      <sheetName val="ENT.ANT."/>
      <sheetName val="S.NOS"/>
      <sheetName val="S.DELES"/>
      <sheetName val="DEV.S.1"/>
      <sheetName val="DEV.17-18"/>
      <sheetName val="DEV.17-18 CV"/>
      <sheetName val="SAL. "/>
      <sheetName val="SAL.(3)"/>
      <sheetName val="BRU"/>
      <sheetName val="P.B"/>
      <sheetName val="LOT"/>
      <sheetName val="P.L"/>
      <sheetName val="RES"/>
      <sheetName val="HIST."/>
      <sheetName val="ANALI"/>
      <sheetName val="PRO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AK5">
            <v>8024882</v>
          </cell>
        </row>
        <row r="5">
          <cell r="AM5">
            <v>981630</v>
          </cell>
        </row>
        <row r="6">
          <cell r="AK6">
            <v>11755678</v>
          </cell>
        </row>
        <row r="6">
          <cell r="AM6">
            <v>1600189.05</v>
          </cell>
        </row>
        <row r="7">
          <cell r="AK7">
            <v>2319014</v>
          </cell>
        </row>
        <row r="7">
          <cell r="AM7">
            <v>328175.4</v>
          </cell>
        </row>
        <row r="8">
          <cell r="AK8">
            <v>2649996</v>
          </cell>
        </row>
        <row r="8">
          <cell r="AM8">
            <v>502314.65</v>
          </cell>
        </row>
        <row r="9">
          <cell r="AK9">
            <v>0</v>
          </cell>
        </row>
        <row r="9">
          <cell r="AM9">
            <v>0</v>
          </cell>
        </row>
        <row r="10">
          <cell r="AK10">
            <v>35274718</v>
          </cell>
        </row>
        <row r="10">
          <cell r="AM10">
            <v>4385482.75</v>
          </cell>
        </row>
        <row r="11">
          <cell r="AK11">
            <v>729665</v>
          </cell>
        </row>
        <row r="11">
          <cell r="AM11">
            <v>823143.5</v>
          </cell>
        </row>
        <row r="12">
          <cell r="AK12">
            <v>789248</v>
          </cell>
        </row>
        <row r="12">
          <cell r="AM12">
            <v>483049.9</v>
          </cell>
        </row>
        <row r="13">
          <cell r="AK13">
            <v>1953217</v>
          </cell>
        </row>
        <row r="13">
          <cell r="AM13">
            <v>412077.8</v>
          </cell>
        </row>
        <row r="14">
          <cell r="AK14">
            <v>40000</v>
          </cell>
        </row>
        <row r="14">
          <cell r="AM14">
            <v>7200</v>
          </cell>
        </row>
        <row r="15">
          <cell r="AK15">
            <v>483070</v>
          </cell>
        </row>
        <row r="15">
          <cell r="AM15">
            <v>127074.8</v>
          </cell>
        </row>
        <row r="16">
          <cell r="AK16">
            <v>110500</v>
          </cell>
        </row>
        <row r="16">
          <cell r="AM16">
            <v>49050</v>
          </cell>
        </row>
        <row r="17">
          <cell r="AK17">
            <v>964705</v>
          </cell>
        </row>
        <row r="17">
          <cell r="AM17">
            <v>274431.2</v>
          </cell>
        </row>
        <row r="18">
          <cell r="AK18">
            <v>351450</v>
          </cell>
        </row>
        <row r="18">
          <cell r="AM18">
            <v>65981.95</v>
          </cell>
        </row>
        <row r="19">
          <cell r="AK19">
            <v>161268</v>
          </cell>
        </row>
        <row r="19">
          <cell r="AM19">
            <v>85092.7</v>
          </cell>
        </row>
        <row r="20">
          <cell r="AK20">
            <v>0</v>
          </cell>
        </row>
        <row r="20">
          <cell r="AM20">
            <v>0</v>
          </cell>
        </row>
        <row r="21">
          <cell r="AK21">
            <v>131057</v>
          </cell>
        </row>
        <row r="21">
          <cell r="AM21">
            <v>70380.85</v>
          </cell>
        </row>
        <row r="22">
          <cell r="AK22">
            <v>26080</v>
          </cell>
        </row>
        <row r="22">
          <cell r="AM22">
            <v>338869.7</v>
          </cell>
        </row>
        <row r="23">
          <cell r="AK23">
            <v>0</v>
          </cell>
        </row>
        <row r="23">
          <cell r="AM23">
            <v>0</v>
          </cell>
        </row>
        <row r="35">
          <cell r="AK35">
            <v>4178500</v>
          </cell>
        </row>
        <row r="35">
          <cell r="AM35">
            <v>585849</v>
          </cell>
        </row>
        <row r="36">
          <cell r="AK36">
            <v>4030852</v>
          </cell>
        </row>
        <row r="36">
          <cell r="AM36">
            <v>492421</v>
          </cell>
        </row>
        <row r="37">
          <cell r="AK37">
            <v>647000</v>
          </cell>
        </row>
        <row r="37">
          <cell r="AM37">
            <v>113125</v>
          </cell>
        </row>
        <row r="38">
          <cell r="AK38">
            <v>1617100</v>
          </cell>
        </row>
        <row r="38">
          <cell r="AM38">
            <v>264950.5</v>
          </cell>
        </row>
        <row r="39">
          <cell r="AK39">
            <v>0</v>
          </cell>
        </row>
        <row r="39">
          <cell r="AM39">
            <v>0</v>
          </cell>
        </row>
        <row r="40">
          <cell r="AK40">
            <v>2754200</v>
          </cell>
        </row>
        <row r="40">
          <cell r="AM40">
            <v>200832</v>
          </cell>
        </row>
        <row r="41">
          <cell r="AK41">
            <v>844200</v>
          </cell>
        </row>
        <row r="41">
          <cell r="AM41">
            <v>857340</v>
          </cell>
        </row>
        <row r="42">
          <cell r="AK42">
            <v>628500</v>
          </cell>
        </row>
        <row r="42">
          <cell r="AM42">
            <v>408000</v>
          </cell>
        </row>
        <row r="43">
          <cell r="AK43">
            <v>849700</v>
          </cell>
        </row>
        <row r="43">
          <cell r="AM43">
            <v>239410</v>
          </cell>
        </row>
        <row r="44">
          <cell r="AK44">
            <v>0</v>
          </cell>
        </row>
        <row r="44">
          <cell r="AM44">
            <v>0</v>
          </cell>
        </row>
        <row r="45">
          <cell r="AK45">
            <v>110500</v>
          </cell>
        </row>
        <row r="45">
          <cell r="AM45">
            <v>55300</v>
          </cell>
        </row>
        <row r="46">
          <cell r="AK46">
            <v>0</v>
          </cell>
        </row>
        <row r="46">
          <cell r="AM46">
            <v>0</v>
          </cell>
        </row>
        <row r="47">
          <cell r="AK47">
            <v>1350975</v>
          </cell>
        </row>
        <row r="47">
          <cell r="AM47">
            <v>375827.5</v>
          </cell>
        </row>
        <row r="48">
          <cell r="AK48">
            <v>0</v>
          </cell>
        </row>
        <row r="48">
          <cell r="AM48">
            <v>0</v>
          </cell>
        </row>
        <row r="49">
          <cell r="AK49">
            <v>442000</v>
          </cell>
        </row>
        <row r="49">
          <cell r="AM49">
            <v>215000</v>
          </cell>
        </row>
        <row r="50">
          <cell r="AK50">
            <v>0</v>
          </cell>
        </row>
        <row r="50">
          <cell r="AM50">
            <v>0</v>
          </cell>
        </row>
        <row r="51">
          <cell r="AK51">
            <v>0</v>
          </cell>
        </row>
        <row r="51">
          <cell r="AM51">
            <v>0</v>
          </cell>
        </row>
        <row r="52">
          <cell r="AK52">
            <v>0</v>
          </cell>
        </row>
        <row r="52">
          <cell r="AM52">
            <v>0</v>
          </cell>
        </row>
        <row r="53">
          <cell r="AK53">
            <v>0</v>
          </cell>
        </row>
        <row r="53">
          <cell r="AM53">
            <v>0</v>
          </cell>
        </row>
        <row r="65">
          <cell r="AK65">
            <v>9099215.6868</v>
          </cell>
        </row>
        <row r="65">
          <cell r="AM65">
            <v>613494.9</v>
          </cell>
        </row>
        <row r="66">
          <cell r="AK66">
            <v>0</v>
          </cell>
        </row>
        <row r="66">
          <cell r="AM66">
            <v>0</v>
          </cell>
        </row>
        <row r="67">
          <cell r="AK67">
            <v>485915.1</v>
          </cell>
        </row>
        <row r="67">
          <cell r="AM67">
            <v>46161.93</v>
          </cell>
        </row>
        <row r="68">
          <cell r="AK68">
            <v>1360249.9998</v>
          </cell>
        </row>
        <row r="68">
          <cell r="AM68">
            <v>130950.25</v>
          </cell>
        </row>
        <row r="69">
          <cell r="AK69">
            <v>0</v>
          </cell>
        </row>
        <row r="69">
          <cell r="AM69">
            <v>0</v>
          </cell>
        </row>
        <row r="70">
          <cell r="AK70">
            <v>0</v>
          </cell>
        </row>
        <row r="70">
          <cell r="AM70">
            <v>0</v>
          </cell>
        </row>
        <row r="71">
          <cell r="AK71">
            <v>0</v>
          </cell>
        </row>
        <row r="71">
          <cell r="AM71">
            <v>0</v>
          </cell>
        </row>
        <row r="72">
          <cell r="AK72">
            <v>71443.05729</v>
          </cell>
        </row>
        <row r="72">
          <cell r="AM72">
            <v>13680</v>
          </cell>
        </row>
        <row r="73">
          <cell r="AK73">
            <v>279760</v>
          </cell>
        </row>
        <row r="73">
          <cell r="AM73">
            <v>27974.6</v>
          </cell>
        </row>
        <row r="74">
          <cell r="AK74">
            <v>0</v>
          </cell>
        </row>
        <row r="74">
          <cell r="AM74">
            <v>0</v>
          </cell>
        </row>
        <row r="75">
          <cell r="AK75">
            <v>0</v>
          </cell>
        </row>
        <row r="75">
          <cell r="AM75">
            <v>0</v>
          </cell>
        </row>
        <row r="76">
          <cell r="AK76">
            <v>0</v>
          </cell>
        </row>
        <row r="76">
          <cell r="AM76">
            <v>0</v>
          </cell>
        </row>
        <row r="77">
          <cell r="AK77">
            <v>0</v>
          </cell>
        </row>
        <row r="77">
          <cell r="AM77">
            <v>0</v>
          </cell>
        </row>
        <row r="78">
          <cell r="AK78">
            <v>0</v>
          </cell>
        </row>
        <row r="78">
          <cell r="AM78">
            <v>0</v>
          </cell>
        </row>
        <row r="79">
          <cell r="AK79">
            <v>0</v>
          </cell>
        </row>
        <row r="79">
          <cell r="AM79">
            <v>0</v>
          </cell>
        </row>
        <row r="80">
          <cell r="AK80">
            <v>0</v>
          </cell>
        </row>
        <row r="80">
          <cell r="AM80">
            <v>0</v>
          </cell>
        </row>
        <row r="81">
          <cell r="AK81">
            <v>37600</v>
          </cell>
        </row>
        <row r="81">
          <cell r="AM81">
            <v>8657.4</v>
          </cell>
        </row>
        <row r="82">
          <cell r="AK82">
            <v>0</v>
          </cell>
        </row>
        <row r="82">
          <cell r="AM82">
            <v>0</v>
          </cell>
        </row>
        <row r="83">
          <cell r="AK83">
            <v>0</v>
          </cell>
        </row>
        <row r="83">
          <cell r="AM83">
            <v>0</v>
          </cell>
        </row>
      </sheetData>
      <sheetData sheetId="21"/>
      <sheetData sheetId="2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ST."/>
      <sheetName val="DEV."/>
      <sheetName val="PRO."/>
      <sheetName val="PAR."/>
      <sheetName val="COM."/>
      <sheetName val="P.G"/>
      <sheetName val="VEN."/>
      <sheetName val="ENT.ANT."/>
      <sheetName val="S.NOS"/>
      <sheetName val="S.DELES"/>
      <sheetName val="DEV.SOU"/>
      <sheetName val="SAL.(3)"/>
      <sheetName val="SAL. "/>
      <sheetName val="BRU"/>
      <sheetName val="P.B"/>
      <sheetName val="LOT"/>
      <sheetName val="P.L"/>
      <sheetName val="HIST."/>
      <sheetName val="RES"/>
      <sheetName val="NC"/>
      <sheetName val="ANA"/>
      <sheetName val="P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AP5">
            <v>10572455</v>
          </cell>
        </row>
        <row r="5">
          <cell r="AR5">
            <v>2657016.03</v>
          </cell>
        </row>
        <row r="6">
          <cell r="AP6">
            <v>13818385</v>
          </cell>
        </row>
        <row r="6">
          <cell r="AR6">
            <v>3550067.8</v>
          </cell>
        </row>
        <row r="7">
          <cell r="AP7">
            <v>4579845</v>
          </cell>
        </row>
        <row r="7">
          <cell r="AR7">
            <v>826923.25</v>
          </cell>
        </row>
        <row r="8">
          <cell r="AP8">
            <v>5941893.3</v>
          </cell>
        </row>
        <row r="8">
          <cell r="AR8">
            <v>1618111.66</v>
          </cell>
        </row>
        <row r="9">
          <cell r="AP9">
            <v>270000</v>
          </cell>
        </row>
        <row r="9">
          <cell r="AR9">
            <v>81000</v>
          </cell>
        </row>
        <row r="10">
          <cell r="AP10">
            <v>31471130</v>
          </cell>
        </row>
        <row r="10">
          <cell r="AR10">
            <v>5802009.94</v>
          </cell>
        </row>
        <row r="11">
          <cell r="AP11">
            <v>419580</v>
          </cell>
        </row>
        <row r="11">
          <cell r="AR11">
            <v>1087778.2</v>
          </cell>
        </row>
        <row r="12">
          <cell r="AP12">
            <v>924593.1</v>
          </cell>
        </row>
        <row r="12">
          <cell r="AR12">
            <v>828366.56</v>
          </cell>
        </row>
        <row r="13">
          <cell r="AP13">
            <v>1732065</v>
          </cell>
        </row>
        <row r="13">
          <cell r="AR13">
            <v>554537.39</v>
          </cell>
        </row>
        <row r="14">
          <cell r="AP14">
            <v>0</v>
          </cell>
        </row>
        <row r="14">
          <cell r="AR14">
            <v>0</v>
          </cell>
        </row>
        <row r="15">
          <cell r="AP15">
            <v>561750</v>
          </cell>
        </row>
        <row r="15">
          <cell r="AR15">
            <v>189289.3</v>
          </cell>
        </row>
        <row r="16">
          <cell r="AP16">
            <v>310840</v>
          </cell>
        </row>
        <row r="16">
          <cell r="AR16">
            <v>137781.8</v>
          </cell>
        </row>
        <row r="17">
          <cell r="AP17">
            <v>1833678.1</v>
          </cell>
        </row>
        <row r="17">
          <cell r="AR17">
            <v>613219.41</v>
          </cell>
        </row>
        <row r="18">
          <cell r="AP18">
            <v>1350</v>
          </cell>
        </row>
        <row r="18">
          <cell r="AR18">
            <v>557.1</v>
          </cell>
        </row>
        <row r="19">
          <cell r="AP19">
            <v>177080</v>
          </cell>
        </row>
        <row r="19">
          <cell r="AR19">
            <v>111700.4</v>
          </cell>
        </row>
        <row r="20">
          <cell r="AP20">
            <v>17640</v>
          </cell>
        </row>
        <row r="20">
          <cell r="AR20">
            <v>7802</v>
          </cell>
        </row>
        <row r="21">
          <cell r="AP21">
            <v>107065</v>
          </cell>
        </row>
        <row r="21">
          <cell r="AR21">
            <v>71983</v>
          </cell>
        </row>
        <row r="22">
          <cell r="AP22">
            <v>34146.45</v>
          </cell>
        </row>
        <row r="22">
          <cell r="AR22">
            <v>380399.4</v>
          </cell>
        </row>
        <row r="23">
          <cell r="AP23">
            <v>0</v>
          </cell>
        </row>
        <row r="23">
          <cell r="AR23">
            <v>0</v>
          </cell>
        </row>
        <row r="36">
          <cell r="AP36">
            <v>14482050</v>
          </cell>
        </row>
        <row r="36">
          <cell r="AR36">
            <v>2467986.15</v>
          </cell>
        </row>
        <row r="37">
          <cell r="AP37">
            <v>6321220</v>
          </cell>
        </row>
        <row r="37">
          <cell r="AR37">
            <v>1189540</v>
          </cell>
        </row>
        <row r="38">
          <cell r="AP38">
            <v>2499300</v>
          </cell>
        </row>
        <row r="38">
          <cell r="AR38">
            <v>457599.75</v>
          </cell>
        </row>
        <row r="39">
          <cell r="AP39">
            <v>8854190</v>
          </cell>
        </row>
        <row r="39">
          <cell r="AR39">
            <v>1496742.05</v>
          </cell>
        </row>
        <row r="40">
          <cell r="AP40">
            <v>0</v>
          </cell>
        </row>
        <row r="40">
          <cell r="AR40">
            <v>0</v>
          </cell>
        </row>
        <row r="41">
          <cell r="AP41">
            <v>3990760</v>
          </cell>
        </row>
        <row r="41">
          <cell r="AR41">
            <v>574284.6</v>
          </cell>
        </row>
        <row r="42">
          <cell r="AP42">
            <v>308980</v>
          </cell>
        </row>
        <row r="42">
          <cell r="AR42">
            <v>761120</v>
          </cell>
        </row>
        <row r="43">
          <cell r="AP43">
            <v>853650</v>
          </cell>
        </row>
        <row r="43">
          <cell r="AR43">
            <v>688874</v>
          </cell>
        </row>
        <row r="44">
          <cell r="AP44">
            <v>3376540</v>
          </cell>
        </row>
        <row r="44">
          <cell r="AR44">
            <v>732500</v>
          </cell>
        </row>
        <row r="45">
          <cell r="AP45">
            <v>0</v>
          </cell>
        </row>
        <row r="45">
          <cell r="AR45">
            <v>0</v>
          </cell>
        </row>
        <row r="46">
          <cell r="AP46">
            <v>828190</v>
          </cell>
        </row>
        <row r="46">
          <cell r="AR46">
            <v>200753.5</v>
          </cell>
        </row>
        <row r="47">
          <cell r="AP47">
            <v>0</v>
          </cell>
        </row>
        <row r="47">
          <cell r="AR47">
            <v>0</v>
          </cell>
        </row>
        <row r="48">
          <cell r="AP48">
            <v>1674020</v>
          </cell>
        </row>
        <row r="48">
          <cell r="AR48">
            <v>419050.85</v>
          </cell>
        </row>
        <row r="49">
          <cell r="AP49">
            <v>0</v>
          </cell>
        </row>
        <row r="49">
          <cell r="AR49">
            <v>0</v>
          </cell>
        </row>
        <row r="50">
          <cell r="AP50">
            <v>316920</v>
          </cell>
        </row>
        <row r="50">
          <cell r="AR50">
            <v>131022</v>
          </cell>
        </row>
        <row r="51">
          <cell r="AP51">
            <v>101640</v>
          </cell>
        </row>
        <row r="51">
          <cell r="AR51">
            <v>46236.8</v>
          </cell>
        </row>
        <row r="52">
          <cell r="AP52">
            <v>1900</v>
          </cell>
        </row>
        <row r="52">
          <cell r="AR52">
            <v>1148</v>
          </cell>
        </row>
        <row r="53">
          <cell r="AP53">
            <v>520</v>
          </cell>
        </row>
        <row r="53">
          <cell r="AR53">
            <v>8180</v>
          </cell>
        </row>
        <row r="54">
          <cell r="AP54">
            <v>0</v>
          </cell>
        </row>
        <row r="54">
          <cell r="AR54">
            <v>0</v>
          </cell>
        </row>
        <row r="67">
          <cell r="AP67">
            <v>1789599.9996</v>
          </cell>
        </row>
        <row r="67">
          <cell r="AR67">
            <v>178657.113386</v>
          </cell>
        </row>
        <row r="68">
          <cell r="AP68">
            <v>1656199.9998</v>
          </cell>
        </row>
        <row r="68">
          <cell r="AR68">
            <v>233687.816614</v>
          </cell>
        </row>
        <row r="69">
          <cell r="AP69">
            <v>230559.9996</v>
          </cell>
        </row>
        <row r="69">
          <cell r="AR69">
            <v>33012</v>
          </cell>
        </row>
        <row r="70">
          <cell r="AP70">
            <v>1902559.9998</v>
          </cell>
        </row>
        <row r="70">
          <cell r="AR70">
            <v>272412</v>
          </cell>
        </row>
        <row r="71">
          <cell r="AP71">
            <v>0</v>
          </cell>
        </row>
        <row r="71">
          <cell r="AR71">
            <v>0</v>
          </cell>
        </row>
        <row r="72">
          <cell r="AP72">
            <v>0</v>
          </cell>
        </row>
        <row r="72">
          <cell r="AR72">
            <v>0</v>
          </cell>
        </row>
        <row r="73">
          <cell r="AP73">
            <v>0</v>
          </cell>
        </row>
        <row r="73">
          <cell r="AR73">
            <v>0</v>
          </cell>
        </row>
        <row r="74">
          <cell r="AP74">
            <v>0</v>
          </cell>
        </row>
        <row r="74">
          <cell r="AR74">
            <v>0</v>
          </cell>
        </row>
        <row r="75">
          <cell r="AP75">
            <v>0</v>
          </cell>
        </row>
        <row r="75">
          <cell r="AR75">
            <v>0</v>
          </cell>
        </row>
        <row r="76">
          <cell r="AP76">
            <v>0</v>
          </cell>
        </row>
        <row r="76">
          <cell r="AR76">
            <v>0</v>
          </cell>
        </row>
        <row r="77">
          <cell r="AP77">
            <v>0</v>
          </cell>
        </row>
        <row r="77">
          <cell r="AR77">
            <v>0</v>
          </cell>
        </row>
        <row r="78">
          <cell r="AP78">
            <v>0</v>
          </cell>
        </row>
        <row r="78">
          <cell r="AR78">
            <v>0</v>
          </cell>
        </row>
        <row r="79">
          <cell r="AP79">
            <v>0</v>
          </cell>
        </row>
        <row r="79">
          <cell r="AR79">
            <v>0</v>
          </cell>
        </row>
        <row r="80">
          <cell r="AP80">
            <v>0</v>
          </cell>
        </row>
        <row r="80">
          <cell r="AR80">
            <v>0</v>
          </cell>
        </row>
        <row r="81">
          <cell r="AP81">
            <v>0</v>
          </cell>
        </row>
        <row r="81">
          <cell r="AR81">
            <v>0</v>
          </cell>
        </row>
        <row r="82">
          <cell r="AP82">
            <v>0</v>
          </cell>
        </row>
        <row r="82">
          <cell r="AR82">
            <v>0</v>
          </cell>
        </row>
        <row r="83">
          <cell r="AP83">
            <v>0</v>
          </cell>
        </row>
        <row r="83">
          <cell r="AR83">
            <v>0</v>
          </cell>
        </row>
        <row r="84">
          <cell r="AP84">
            <v>3500</v>
          </cell>
        </row>
        <row r="84">
          <cell r="AR84">
            <v>34278</v>
          </cell>
        </row>
        <row r="85">
          <cell r="AP85">
            <v>0</v>
          </cell>
        </row>
        <row r="85">
          <cell r="AR85">
            <v>0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EST."/>
      <sheetName val="DEV."/>
      <sheetName val="PRO."/>
      <sheetName val="PAR."/>
      <sheetName val="COM."/>
      <sheetName val="P.G"/>
      <sheetName val="VENDA"/>
      <sheetName val="ENT.ANT."/>
      <sheetName val="A ENT.20-21"/>
      <sheetName val="S.DELES"/>
      <sheetName val="S.NOS"/>
      <sheetName val="DEV.SOU"/>
      <sheetName val="SAL.(3)"/>
      <sheetName val="SAL. "/>
      <sheetName val="BRU"/>
      <sheetName val="P.B"/>
      <sheetName val="LOT"/>
      <sheetName val="P.L"/>
      <sheetName val="HIST."/>
      <sheetName val="NC"/>
      <sheetName val="RES"/>
      <sheetName val="ANALI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AU5">
            <v>14841630</v>
          </cell>
        </row>
        <row r="5">
          <cell r="AW5">
            <v>6954322.175</v>
          </cell>
        </row>
        <row r="6">
          <cell r="AU6">
            <v>15016700</v>
          </cell>
        </row>
        <row r="6">
          <cell r="AW6">
            <v>7005933.535</v>
          </cell>
        </row>
        <row r="7">
          <cell r="AU7">
            <v>2456060</v>
          </cell>
        </row>
        <row r="7">
          <cell r="AW7">
            <v>1186219.593</v>
          </cell>
        </row>
        <row r="8">
          <cell r="AU8">
            <v>4854525</v>
          </cell>
        </row>
        <row r="8">
          <cell r="AW8">
            <v>2361192.917</v>
          </cell>
        </row>
        <row r="9">
          <cell r="AU9">
            <v>2700</v>
          </cell>
        </row>
        <row r="9">
          <cell r="AW9">
            <v>2100</v>
          </cell>
        </row>
        <row r="10">
          <cell r="AU10">
            <v>41120290</v>
          </cell>
        </row>
        <row r="10">
          <cell r="AW10">
            <v>8766799.8365</v>
          </cell>
        </row>
        <row r="11">
          <cell r="AU11">
            <v>849590</v>
          </cell>
        </row>
        <row r="11">
          <cell r="AW11">
            <v>2221528.465</v>
          </cell>
        </row>
        <row r="12">
          <cell r="AU12">
            <v>1225755</v>
          </cell>
        </row>
        <row r="12">
          <cell r="AW12">
            <v>1374936.99</v>
          </cell>
        </row>
        <row r="13">
          <cell r="AU13">
            <v>4237200</v>
          </cell>
        </row>
        <row r="13">
          <cell r="AW13">
            <v>2495397.7325</v>
          </cell>
        </row>
        <row r="14">
          <cell r="AU14">
            <v>15960</v>
          </cell>
        </row>
        <row r="14">
          <cell r="AW14">
            <v>16651.8</v>
          </cell>
        </row>
        <row r="15">
          <cell r="AU15">
            <v>476765</v>
          </cell>
        </row>
        <row r="15">
          <cell r="AW15">
            <v>353430.44</v>
          </cell>
        </row>
        <row r="16">
          <cell r="AU16">
            <v>245100</v>
          </cell>
        </row>
        <row r="16">
          <cell r="AW16">
            <v>125598.078</v>
          </cell>
        </row>
        <row r="17">
          <cell r="AU17">
            <v>4241525</v>
          </cell>
        </row>
        <row r="17">
          <cell r="AW17">
            <v>2540902.671</v>
          </cell>
        </row>
        <row r="18">
          <cell r="AU18">
            <v>194565</v>
          </cell>
        </row>
        <row r="18">
          <cell r="AW18">
            <v>142085.1</v>
          </cell>
        </row>
        <row r="19">
          <cell r="AU19">
            <v>877580</v>
          </cell>
        </row>
        <row r="19">
          <cell r="AW19">
            <v>685195.5415</v>
          </cell>
        </row>
        <row r="20">
          <cell r="AU20">
            <v>248780</v>
          </cell>
        </row>
        <row r="20">
          <cell r="AW20">
            <v>159786.93</v>
          </cell>
        </row>
        <row r="21">
          <cell r="AU21">
            <v>152855</v>
          </cell>
        </row>
        <row r="21">
          <cell r="AW21">
            <v>140532.9</v>
          </cell>
        </row>
        <row r="22">
          <cell r="AU22">
            <v>55822</v>
          </cell>
        </row>
        <row r="22">
          <cell r="AW22">
            <v>831542.1</v>
          </cell>
        </row>
        <row r="23">
          <cell r="AU23">
            <v>10660</v>
          </cell>
        </row>
        <row r="23">
          <cell r="AW23">
            <v>176180</v>
          </cell>
        </row>
        <row r="37">
          <cell r="AU37">
            <v>9426780</v>
          </cell>
        </row>
        <row r="37">
          <cell r="AW37">
            <v>2263841.05</v>
          </cell>
        </row>
        <row r="38">
          <cell r="AU38">
            <v>3702910</v>
          </cell>
        </row>
        <row r="38">
          <cell r="AW38">
            <v>1028933.25</v>
          </cell>
        </row>
        <row r="39">
          <cell r="AU39">
            <v>2011740</v>
          </cell>
        </row>
        <row r="39">
          <cell r="AW39">
            <v>476850</v>
          </cell>
        </row>
        <row r="40">
          <cell r="AU40">
            <v>3661580</v>
          </cell>
        </row>
        <row r="40">
          <cell r="AW40">
            <v>835389.25</v>
          </cell>
        </row>
        <row r="41">
          <cell r="AU41">
            <v>29250</v>
          </cell>
        </row>
        <row r="41">
          <cell r="AW41">
            <v>11820</v>
          </cell>
        </row>
        <row r="42">
          <cell r="AU42">
            <v>5612165</v>
          </cell>
        </row>
        <row r="42">
          <cell r="AW42">
            <v>808575</v>
          </cell>
        </row>
        <row r="43">
          <cell r="AU43">
            <v>197960</v>
          </cell>
        </row>
        <row r="43">
          <cell r="AW43">
            <v>438845</v>
          </cell>
        </row>
        <row r="44">
          <cell r="AU44">
            <v>246225</v>
          </cell>
        </row>
        <row r="44">
          <cell r="AW44">
            <v>229450</v>
          </cell>
        </row>
        <row r="45">
          <cell r="AU45">
            <v>2132195</v>
          </cell>
        </row>
        <row r="45">
          <cell r="AW45">
            <v>620835.05</v>
          </cell>
        </row>
        <row r="46">
          <cell r="AU46">
            <v>0</v>
          </cell>
        </row>
        <row r="46">
          <cell r="AW46">
            <v>0</v>
          </cell>
        </row>
        <row r="47">
          <cell r="AU47">
            <v>13205</v>
          </cell>
        </row>
        <row r="47">
          <cell r="AW47">
            <v>10985.5</v>
          </cell>
        </row>
        <row r="48">
          <cell r="AU48">
            <v>0</v>
          </cell>
        </row>
        <row r="48">
          <cell r="AW48">
            <v>0</v>
          </cell>
        </row>
        <row r="49">
          <cell r="AU49">
            <v>2138750</v>
          </cell>
        </row>
        <row r="49">
          <cell r="AW49">
            <v>746319</v>
          </cell>
        </row>
        <row r="50">
          <cell r="AU50">
            <v>0</v>
          </cell>
        </row>
        <row r="50">
          <cell r="AW50">
            <v>0</v>
          </cell>
        </row>
        <row r="51">
          <cell r="AU51">
            <v>420090</v>
          </cell>
        </row>
        <row r="51">
          <cell r="AW51">
            <v>224598</v>
          </cell>
        </row>
        <row r="52">
          <cell r="AU52">
            <v>152040</v>
          </cell>
        </row>
        <row r="52">
          <cell r="AW52">
            <v>87257</v>
          </cell>
        </row>
        <row r="53">
          <cell r="AU53">
            <v>182400</v>
          </cell>
        </row>
        <row r="53">
          <cell r="AW53">
            <v>88656</v>
          </cell>
        </row>
        <row r="54">
          <cell r="AU54">
            <v>1500</v>
          </cell>
        </row>
        <row r="54">
          <cell r="AW54">
            <v>19500</v>
          </cell>
        </row>
        <row r="55">
          <cell r="AU55">
            <v>0</v>
          </cell>
        </row>
        <row r="55">
          <cell r="AW55">
            <v>0</v>
          </cell>
        </row>
        <row r="69">
          <cell r="AU69">
            <v>0</v>
          </cell>
        </row>
        <row r="69">
          <cell r="AW69">
            <v>0</v>
          </cell>
          <cell r="AX69" t="e">
            <v>#VALUE!</v>
          </cell>
        </row>
        <row r="70">
          <cell r="AU70">
            <v>0</v>
          </cell>
        </row>
        <row r="70">
          <cell r="AW70">
            <v>0</v>
          </cell>
          <cell r="AX70" t="e">
            <v>#VALUE!</v>
          </cell>
        </row>
        <row r="71">
          <cell r="AU71">
            <v>994500</v>
          </cell>
        </row>
        <row r="71">
          <cell r="AW71">
            <v>296692.5</v>
          </cell>
          <cell r="AX71">
            <v>0.298333333333333</v>
          </cell>
        </row>
        <row r="72">
          <cell r="AU72">
            <v>0</v>
          </cell>
        </row>
        <row r="72">
          <cell r="AW72">
            <v>0</v>
          </cell>
          <cell r="AX72" t="e">
            <v>#VALUE!</v>
          </cell>
        </row>
        <row r="73">
          <cell r="AU73">
            <v>0</v>
          </cell>
        </row>
        <row r="73">
          <cell r="AW73">
            <v>0</v>
          </cell>
          <cell r="AX73" t="e">
            <v>#VALUE!</v>
          </cell>
        </row>
        <row r="74">
          <cell r="AU74">
            <v>0</v>
          </cell>
        </row>
        <row r="74">
          <cell r="AW74">
            <v>0</v>
          </cell>
          <cell r="AX74" t="e">
            <v>#VALUE!</v>
          </cell>
        </row>
        <row r="75">
          <cell r="AU75">
            <v>0</v>
          </cell>
        </row>
        <row r="75">
          <cell r="AW75">
            <v>0</v>
          </cell>
          <cell r="AX75" t="e">
            <v>#VALUE!</v>
          </cell>
        </row>
        <row r="76">
          <cell r="AU76">
            <v>0</v>
          </cell>
        </row>
        <row r="76">
          <cell r="AW76">
            <v>0</v>
          </cell>
          <cell r="AX76" t="e">
            <v>#VALUE!</v>
          </cell>
        </row>
        <row r="77">
          <cell r="AU77">
            <v>3150000</v>
          </cell>
        </row>
        <row r="77">
          <cell r="AW77">
            <v>952350</v>
          </cell>
          <cell r="AX77">
            <v>0.302333333333333</v>
          </cell>
        </row>
        <row r="78">
          <cell r="AU78">
            <v>0</v>
          </cell>
        </row>
        <row r="78">
          <cell r="AW78">
            <v>0</v>
          </cell>
          <cell r="AX78" t="e">
            <v>#VALUE!</v>
          </cell>
        </row>
        <row r="79">
          <cell r="AU79">
            <v>0</v>
          </cell>
        </row>
        <row r="79">
          <cell r="AW79">
            <v>0</v>
          </cell>
          <cell r="AX79" t="e">
            <v>#VALUE!</v>
          </cell>
        </row>
        <row r="80">
          <cell r="AU80">
            <v>0</v>
          </cell>
        </row>
        <row r="80">
          <cell r="AW80">
            <v>0</v>
          </cell>
          <cell r="AX80" t="e">
            <v>#VALUE!</v>
          </cell>
        </row>
        <row r="81">
          <cell r="AU81">
            <v>0</v>
          </cell>
        </row>
        <row r="81">
          <cell r="AW81">
            <v>0</v>
          </cell>
          <cell r="AX81" t="e">
            <v>#VALUE!</v>
          </cell>
        </row>
        <row r="82">
          <cell r="AU82">
            <v>0</v>
          </cell>
        </row>
        <row r="82">
          <cell r="AW82">
            <v>0</v>
          </cell>
          <cell r="AX82" t="e">
            <v>#VALUE!</v>
          </cell>
        </row>
        <row r="83">
          <cell r="AU83">
            <v>0</v>
          </cell>
        </row>
        <row r="83">
          <cell r="AW83">
            <v>0</v>
          </cell>
          <cell r="AX83" t="e">
            <v>#VALUE!</v>
          </cell>
        </row>
        <row r="84">
          <cell r="AU84">
            <v>0</v>
          </cell>
        </row>
        <row r="84">
          <cell r="AW84">
            <v>0</v>
          </cell>
          <cell r="AX84" t="e">
            <v>#VALUE!</v>
          </cell>
        </row>
        <row r="85">
          <cell r="AU85">
            <v>102552.79472</v>
          </cell>
        </row>
        <row r="85">
          <cell r="AW85">
            <v>25000</v>
          </cell>
          <cell r="AX85">
            <v>0.243776876761453</v>
          </cell>
        </row>
        <row r="86">
          <cell r="AU86">
            <v>0</v>
          </cell>
        </row>
        <row r="86">
          <cell r="AW86">
            <v>0</v>
          </cell>
          <cell r="AX86" t="e">
            <v>#VALUE!</v>
          </cell>
        </row>
        <row r="87">
          <cell r="AU87">
            <v>0</v>
          </cell>
        </row>
        <row r="87">
          <cell r="AW87">
            <v>0</v>
          </cell>
          <cell r="AX87" t="e">
            <v>#VALUE!</v>
          </cell>
        </row>
      </sheetData>
      <sheetData sheetId="19"/>
      <sheetData sheetId="20"/>
      <sheetData sheetId="2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EST."/>
      <sheetName val="DEV."/>
      <sheetName val="PRO."/>
      <sheetName val="PAR."/>
      <sheetName val="COM."/>
      <sheetName val="P.G"/>
      <sheetName val="VENDA"/>
      <sheetName val="ENT.ANT."/>
      <sheetName val="A ENT.20-21"/>
      <sheetName val="S.DELES"/>
      <sheetName val="S.NOS"/>
      <sheetName val="DEV.SOU"/>
      <sheetName val="SAL.(3)"/>
      <sheetName val="SAL. "/>
      <sheetName val="BRU"/>
      <sheetName val="P.B"/>
      <sheetName val="LOT"/>
      <sheetName val="P.L"/>
      <sheetName val="HIST."/>
      <sheetName val="GRAF."/>
      <sheetName val="NC"/>
      <sheetName val="RES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J5">
            <v>326160</v>
          </cell>
          <cell r="K5">
            <v>70155.6</v>
          </cell>
        </row>
        <row r="9">
          <cell r="J9">
            <v>0</v>
          </cell>
          <cell r="K9">
            <v>0</v>
          </cell>
        </row>
        <row r="14">
          <cell r="J14">
            <v>1517580</v>
          </cell>
          <cell r="K14">
            <v>453009.54</v>
          </cell>
        </row>
        <row r="17">
          <cell r="J17">
            <v>0</v>
          </cell>
          <cell r="K17">
            <v>0</v>
          </cell>
        </row>
        <row r="21">
          <cell r="J21">
            <v>0</v>
          </cell>
          <cell r="K21">
            <v>0</v>
          </cell>
        </row>
        <row r="22">
          <cell r="J22">
            <v>0</v>
          </cell>
          <cell r="K22">
            <v>0</v>
          </cell>
        </row>
        <row r="26">
          <cell r="J26">
            <v>0</v>
          </cell>
          <cell r="K26">
            <v>0</v>
          </cell>
        </row>
        <row r="29">
          <cell r="J29">
            <v>0</v>
          </cell>
          <cell r="K29">
            <v>0</v>
          </cell>
        </row>
        <row r="33">
          <cell r="J33">
            <v>0</v>
          </cell>
          <cell r="K33">
            <v>0</v>
          </cell>
        </row>
        <row r="38">
          <cell r="J38">
            <v>0</v>
          </cell>
          <cell r="K38">
            <v>0</v>
          </cell>
        </row>
        <row r="39">
          <cell r="J39">
            <v>0</v>
          </cell>
          <cell r="K39">
            <v>0</v>
          </cell>
        </row>
        <row r="44">
          <cell r="J44">
            <v>0</v>
          </cell>
          <cell r="K44">
            <v>0</v>
          </cell>
        </row>
        <row r="47">
          <cell r="J47">
            <v>0</v>
          </cell>
          <cell r="K47">
            <v>0</v>
          </cell>
        </row>
        <row r="52">
          <cell r="J52">
            <v>0</v>
          </cell>
          <cell r="K52">
            <v>0</v>
          </cell>
        </row>
        <row r="55">
          <cell r="J55">
            <v>0</v>
          </cell>
          <cell r="K55">
            <v>0</v>
          </cell>
        </row>
        <row r="58">
          <cell r="J58">
            <v>0</v>
          </cell>
          <cell r="K58">
            <v>0</v>
          </cell>
        </row>
        <row r="61">
          <cell r="J61">
            <v>0</v>
          </cell>
          <cell r="K61">
            <v>0</v>
          </cell>
        </row>
        <row r="64">
          <cell r="J64">
            <v>0</v>
          </cell>
          <cell r="K64">
            <v>0</v>
          </cell>
        </row>
        <row r="65">
          <cell r="J65">
            <v>0</v>
          </cell>
          <cell r="K65">
            <v>0</v>
          </cell>
        </row>
        <row r="75">
          <cell r="J75">
            <v>0</v>
          </cell>
          <cell r="K75">
            <v>0</v>
          </cell>
        </row>
        <row r="75">
          <cell r="Q75">
            <v>252000</v>
          </cell>
          <cell r="R75">
            <v>141579</v>
          </cell>
        </row>
        <row r="76">
          <cell r="J76">
            <v>0</v>
          </cell>
          <cell r="K76">
            <v>0</v>
          </cell>
        </row>
        <row r="76">
          <cell r="Q76">
            <v>1595700</v>
          </cell>
          <cell r="R76">
            <v>1235407.7</v>
          </cell>
        </row>
        <row r="77">
          <cell r="J77">
            <v>5902680</v>
          </cell>
          <cell r="K77">
            <v>3362616</v>
          </cell>
        </row>
        <row r="77">
          <cell r="Q77">
            <v>12592860</v>
          </cell>
          <cell r="R77">
            <v>9988440.49999999</v>
          </cell>
        </row>
        <row r="78">
          <cell r="J78">
            <v>373000</v>
          </cell>
          <cell r="K78">
            <v>248849.55</v>
          </cell>
        </row>
        <row r="78">
          <cell r="Q78">
            <v>2545400</v>
          </cell>
          <cell r="R78">
            <v>2910578.9</v>
          </cell>
        </row>
        <row r="79">
          <cell r="J79">
            <v>0</v>
          </cell>
          <cell r="K79">
            <v>0</v>
          </cell>
        </row>
        <row r="79">
          <cell r="Q79">
            <v>279000</v>
          </cell>
          <cell r="R79">
            <v>131550</v>
          </cell>
        </row>
        <row r="80">
          <cell r="J80">
            <v>0</v>
          </cell>
          <cell r="K80">
            <v>0</v>
          </cell>
        </row>
        <row r="80">
          <cell r="Q80">
            <v>2985300</v>
          </cell>
          <cell r="R80">
            <v>1925244.1</v>
          </cell>
        </row>
        <row r="81">
          <cell r="J81">
            <v>2468840</v>
          </cell>
          <cell r="K81">
            <v>1276959.6</v>
          </cell>
        </row>
        <row r="81">
          <cell r="Q81">
            <v>4781440</v>
          </cell>
          <cell r="R81">
            <v>3267442.95</v>
          </cell>
        </row>
        <row r="82">
          <cell r="J82">
            <v>471730</v>
          </cell>
          <cell r="K82">
            <v>221656.95</v>
          </cell>
        </row>
        <row r="82">
          <cell r="Q82">
            <v>7459360</v>
          </cell>
          <cell r="R82">
            <v>4353928.05</v>
          </cell>
        </row>
        <row r="83">
          <cell r="J83">
            <v>0</v>
          </cell>
          <cell r="K83">
            <v>0</v>
          </cell>
        </row>
        <row r="83">
          <cell r="Q83">
            <v>391500</v>
          </cell>
          <cell r="R83">
            <v>182952</v>
          </cell>
        </row>
        <row r="84">
          <cell r="J84">
            <v>0</v>
          </cell>
          <cell r="K84">
            <v>0</v>
          </cell>
        </row>
        <row r="84">
          <cell r="Q84">
            <v>113400</v>
          </cell>
          <cell r="R84">
            <v>199758.6</v>
          </cell>
        </row>
        <row r="85">
          <cell r="J85">
            <v>603200</v>
          </cell>
          <cell r="K85">
            <v>481353.6</v>
          </cell>
        </row>
        <row r="85">
          <cell r="Q85">
            <v>1512800</v>
          </cell>
          <cell r="R85">
            <v>1651638.7</v>
          </cell>
        </row>
        <row r="86">
          <cell r="J86">
            <v>0</v>
          </cell>
          <cell r="K86">
            <v>0</v>
          </cell>
        </row>
        <row r="86">
          <cell r="Q86">
            <v>387125</v>
          </cell>
          <cell r="R86">
            <v>375709.95</v>
          </cell>
        </row>
        <row r="87">
          <cell r="J87">
            <v>0</v>
          </cell>
          <cell r="K87">
            <v>0</v>
          </cell>
        </row>
        <row r="87">
          <cell r="Q87">
            <v>720000</v>
          </cell>
          <cell r="R87">
            <v>600000</v>
          </cell>
        </row>
        <row r="88">
          <cell r="J88">
            <v>0</v>
          </cell>
          <cell r="K88">
            <v>0</v>
          </cell>
        </row>
        <row r="88">
          <cell r="Q88">
            <v>383400</v>
          </cell>
          <cell r="R88">
            <v>1060679.4</v>
          </cell>
        </row>
        <row r="89">
          <cell r="J89">
            <v>948600</v>
          </cell>
          <cell r="K89">
            <v>876487.5</v>
          </cell>
        </row>
        <row r="89">
          <cell r="Q89">
            <v>3719380</v>
          </cell>
          <cell r="R89">
            <v>4122778.55</v>
          </cell>
        </row>
        <row r="90">
          <cell r="J90">
            <v>18630</v>
          </cell>
          <cell r="K90">
            <v>19440</v>
          </cell>
        </row>
        <row r="90">
          <cell r="Q90">
            <v>1238550</v>
          </cell>
          <cell r="R90">
            <v>1390471.2</v>
          </cell>
        </row>
        <row r="91">
          <cell r="J91">
            <v>0</v>
          </cell>
          <cell r="K91">
            <v>0</v>
          </cell>
        </row>
        <row r="91">
          <cell r="Q91">
            <v>0</v>
          </cell>
          <cell r="R91">
            <v>0</v>
          </cell>
        </row>
        <row r="92">
          <cell r="J92">
            <v>0</v>
          </cell>
          <cell r="K92">
            <v>0</v>
          </cell>
        </row>
        <row r="92">
          <cell r="Q92">
            <v>180000</v>
          </cell>
          <cell r="R92">
            <v>40500</v>
          </cell>
        </row>
        <row r="93">
          <cell r="J93">
            <v>0</v>
          </cell>
          <cell r="K93">
            <v>0</v>
          </cell>
        </row>
        <row r="93">
          <cell r="Q93">
            <v>4303530</v>
          </cell>
          <cell r="R93">
            <v>1632922.2</v>
          </cell>
        </row>
        <row r="94">
          <cell r="J94">
            <v>0</v>
          </cell>
          <cell r="K94">
            <v>0</v>
          </cell>
        </row>
        <row r="94">
          <cell r="Q94">
            <v>11083375</v>
          </cell>
          <cell r="R94">
            <v>5133458.18</v>
          </cell>
        </row>
        <row r="95">
          <cell r="J95">
            <v>755820</v>
          </cell>
          <cell r="K95">
            <v>290815</v>
          </cell>
        </row>
        <row r="95">
          <cell r="Q95">
            <v>21655335</v>
          </cell>
          <cell r="R95">
            <v>9581438.35</v>
          </cell>
        </row>
        <row r="96">
          <cell r="J96">
            <v>0</v>
          </cell>
          <cell r="K96">
            <v>0</v>
          </cell>
        </row>
        <row r="96">
          <cell r="Q96">
            <v>0</v>
          </cell>
          <cell r="R96">
            <v>0</v>
          </cell>
        </row>
        <row r="97">
          <cell r="J97">
            <v>560070</v>
          </cell>
          <cell r="K97">
            <v>1400575.05</v>
          </cell>
        </row>
        <row r="97">
          <cell r="Q97">
            <v>823620</v>
          </cell>
          <cell r="R97">
            <v>3202037.2</v>
          </cell>
        </row>
        <row r="98">
          <cell r="J98">
            <v>0</v>
          </cell>
          <cell r="K98">
            <v>0</v>
          </cell>
        </row>
        <row r="98">
          <cell r="Q98">
            <v>0</v>
          </cell>
          <cell r="R98">
            <v>0</v>
          </cell>
        </row>
        <row r="99">
          <cell r="J99">
            <v>0</v>
          </cell>
          <cell r="K99">
            <v>0</v>
          </cell>
        </row>
        <row r="99">
          <cell r="Q99">
            <v>0</v>
          </cell>
          <cell r="R99">
            <v>0</v>
          </cell>
        </row>
        <row r="100">
          <cell r="J100">
            <v>0</v>
          </cell>
          <cell r="K100">
            <v>0</v>
          </cell>
        </row>
        <row r="100">
          <cell r="Q100">
            <v>13500</v>
          </cell>
          <cell r="R100">
            <v>29845.5</v>
          </cell>
        </row>
        <row r="101">
          <cell r="J101">
            <v>604000</v>
          </cell>
          <cell r="K101">
            <v>609200</v>
          </cell>
        </row>
        <row r="101">
          <cell r="Q101">
            <v>2124930</v>
          </cell>
          <cell r="R101">
            <v>3773011.73</v>
          </cell>
        </row>
        <row r="102">
          <cell r="J102">
            <v>0</v>
          </cell>
          <cell r="K102">
            <v>0</v>
          </cell>
        </row>
        <row r="102">
          <cell r="Q102">
            <v>144900</v>
          </cell>
          <cell r="R102">
            <v>183672</v>
          </cell>
        </row>
        <row r="103">
          <cell r="J103">
            <v>72000</v>
          </cell>
          <cell r="K103">
            <v>75150</v>
          </cell>
        </row>
        <row r="103">
          <cell r="Q103">
            <v>464000</v>
          </cell>
          <cell r="R103">
            <v>336272</v>
          </cell>
        </row>
        <row r="104">
          <cell r="J104">
            <v>0</v>
          </cell>
          <cell r="K104">
            <v>0</v>
          </cell>
        </row>
        <row r="104">
          <cell r="Q104">
            <v>13750</v>
          </cell>
          <cell r="R104">
            <v>13865</v>
          </cell>
        </row>
        <row r="105">
          <cell r="J105">
            <v>0</v>
          </cell>
          <cell r="K105">
            <v>0</v>
          </cell>
        </row>
        <row r="105">
          <cell r="Q105">
            <v>264600</v>
          </cell>
          <cell r="R105">
            <v>136916.22</v>
          </cell>
        </row>
        <row r="106">
          <cell r="J106">
            <v>0</v>
          </cell>
          <cell r="K106">
            <v>0</v>
          </cell>
        </row>
        <row r="106">
          <cell r="Q106">
            <v>2014600</v>
          </cell>
          <cell r="R106">
            <v>3192841.55</v>
          </cell>
        </row>
        <row r="107">
          <cell r="J107">
            <v>0</v>
          </cell>
          <cell r="K107">
            <v>0</v>
          </cell>
        </row>
        <row r="107">
          <cell r="Q107">
            <v>92260</v>
          </cell>
          <cell r="R107">
            <v>130506.45</v>
          </cell>
        </row>
        <row r="108">
          <cell r="J108">
            <v>0</v>
          </cell>
          <cell r="K108">
            <v>0</v>
          </cell>
        </row>
        <row r="108">
          <cell r="Q108">
            <v>46980</v>
          </cell>
          <cell r="R108">
            <v>74151</v>
          </cell>
        </row>
        <row r="109">
          <cell r="J109">
            <v>0</v>
          </cell>
          <cell r="K109">
            <v>0</v>
          </cell>
        </row>
        <row r="109">
          <cell r="Q109">
            <v>448000</v>
          </cell>
          <cell r="R109">
            <v>458433</v>
          </cell>
        </row>
        <row r="110">
          <cell r="J110">
            <v>0</v>
          </cell>
          <cell r="K110">
            <v>0</v>
          </cell>
        </row>
        <row r="110">
          <cell r="Q110">
            <v>0</v>
          </cell>
          <cell r="R110">
            <v>0</v>
          </cell>
        </row>
        <row r="111">
          <cell r="J111">
            <v>0</v>
          </cell>
          <cell r="K111">
            <v>0</v>
          </cell>
        </row>
        <row r="111">
          <cell r="Q111">
            <v>0</v>
          </cell>
          <cell r="R111">
            <v>0</v>
          </cell>
        </row>
        <row r="112">
          <cell r="J112">
            <v>54000</v>
          </cell>
          <cell r="K112">
            <v>117000</v>
          </cell>
        </row>
        <row r="112">
          <cell r="Q112">
            <v>895860</v>
          </cell>
          <cell r="R112">
            <v>1919702.12</v>
          </cell>
        </row>
        <row r="113">
          <cell r="J113">
            <v>0</v>
          </cell>
          <cell r="K113">
            <v>0</v>
          </cell>
        </row>
        <row r="113">
          <cell r="Q113">
            <v>140625</v>
          </cell>
          <cell r="R113">
            <v>337085.7</v>
          </cell>
        </row>
        <row r="114">
          <cell r="J114">
            <v>0</v>
          </cell>
          <cell r="K114">
            <v>0</v>
          </cell>
        </row>
        <row r="114">
          <cell r="Q114">
            <v>101250</v>
          </cell>
          <cell r="R114">
            <v>176934.35</v>
          </cell>
        </row>
        <row r="115">
          <cell r="Q115">
            <v>0</v>
          </cell>
          <cell r="R115">
            <v>0</v>
          </cell>
        </row>
        <row r="116">
          <cell r="J116">
            <v>0</v>
          </cell>
          <cell r="K116">
            <v>0</v>
          </cell>
        </row>
        <row r="116">
          <cell r="Q116">
            <v>10000</v>
          </cell>
          <cell r="R116">
            <v>7250</v>
          </cell>
        </row>
        <row r="117">
          <cell r="J117">
            <v>0</v>
          </cell>
          <cell r="K117">
            <v>0</v>
          </cell>
        </row>
        <row r="117">
          <cell r="Q117">
            <v>39875</v>
          </cell>
          <cell r="R117">
            <v>52334.5</v>
          </cell>
        </row>
        <row r="118">
          <cell r="J118">
            <v>0</v>
          </cell>
          <cell r="K118">
            <v>0</v>
          </cell>
        </row>
        <row r="118">
          <cell r="Q118">
            <v>328500</v>
          </cell>
          <cell r="R118">
            <v>485670</v>
          </cell>
        </row>
        <row r="119">
          <cell r="J119">
            <v>802800</v>
          </cell>
          <cell r="K119">
            <v>1207338.95</v>
          </cell>
        </row>
        <row r="119">
          <cell r="Q119">
            <v>2475100</v>
          </cell>
          <cell r="R119">
            <v>4414291.9</v>
          </cell>
        </row>
        <row r="120">
          <cell r="J120">
            <v>0</v>
          </cell>
          <cell r="K120">
            <v>0</v>
          </cell>
        </row>
        <row r="120">
          <cell r="Q120">
            <v>75180</v>
          </cell>
          <cell r="R120">
            <v>124320.3</v>
          </cell>
        </row>
        <row r="121">
          <cell r="J121">
            <v>0</v>
          </cell>
          <cell r="K121">
            <v>0</v>
          </cell>
        </row>
        <row r="121">
          <cell r="Q121">
            <v>0</v>
          </cell>
          <cell r="R121">
            <v>0</v>
          </cell>
        </row>
        <row r="122">
          <cell r="Q122">
            <v>55440</v>
          </cell>
          <cell r="R122">
            <v>89253</v>
          </cell>
        </row>
        <row r="123">
          <cell r="Q123">
            <v>21420</v>
          </cell>
          <cell r="R123">
            <v>95698.65</v>
          </cell>
        </row>
        <row r="124">
          <cell r="J124">
            <v>0</v>
          </cell>
          <cell r="K124">
            <v>0</v>
          </cell>
        </row>
        <row r="124">
          <cell r="Q124">
            <v>133550</v>
          </cell>
          <cell r="R124">
            <v>218337.2</v>
          </cell>
        </row>
        <row r="125">
          <cell r="J125">
            <v>526770</v>
          </cell>
          <cell r="K125">
            <v>864702.75</v>
          </cell>
        </row>
        <row r="125">
          <cell r="Q125">
            <v>548010</v>
          </cell>
          <cell r="R125">
            <v>1101645.35</v>
          </cell>
        </row>
        <row r="126">
          <cell r="J126">
            <v>0</v>
          </cell>
          <cell r="K126">
            <v>0</v>
          </cell>
        </row>
        <row r="126">
          <cell r="Q126">
            <v>0</v>
          </cell>
          <cell r="R126">
            <v>0</v>
          </cell>
        </row>
        <row r="127">
          <cell r="J127">
            <v>3240</v>
          </cell>
          <cell r="K127">
            <v>3825.6</v>
          </cell>
        </row>
        <row r="127">
          <cell r="Q127">
            <v>104805</v>
          </cell>
          <cell r="R127">
            <v>212402.8</v>
          </cell>
        </row>
        <row r="128">
          <cell r="Q128">
            <v>0</v>
          </cell>
          <cell r="R128">
            <v>0</v>
          </cell>
        </row>
        <row r="129">
          <cell r="J129">
            <v>5400</v>
          </cell>
          <cell r="K129">
            <v>10257</v>
          </cell>
        </row>
        <row r="129">
          <cell r="Q129">
            <v>21060</v>
          </cell>
          <cell r="R129">
            <v>156960</v>
          </cell>
        </row>
        <row r="130">
          <cell r="Q130">
            <v>0</v>
          </cell>
          <cell r="R130">
            <v>0</v>
          </cell>
        </row>
        <row r="131">
          <cell r="J131">
            <v>0</v>
          </cell>
          <cell r="K131">
            <v>0</v>
          </cell>
        </row>
        <row r="131">
          <cell r="Q131">
            <v>62740</v>
          </cell>
          <cell r="R131">
            <v>1555531.5</v>
          </cell>
        </row>
        <row r="132">
          <cell r="J132">
            <v>0</v>
          </cell>
          <cell r="K132">
            <v>0</v>
          </cell>
        </row>
        <row r="132">
          <cell r="Q132">
            <v>1560</v>
          </cell>
          <cell r="R132">
            <v>39000</v>
          </cell>
        </row>
        <row r="2263">
          <cell r="G2263">
            <v>3356783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Produção e Compra"/>
      <sheetName val="Vendas Real"/>
      <sheetName val="Saldo"/>
    </sheetNames>
    <sheetDataSet>
      <sheetData sheetId="0"/>
      <sheetData sheetId="1">
        <row r="5">
          <cell r="J5">
            <v>242400</v>
          </cell>
          <cell r="K5">
            <v>46056</v>
          </cell>
        </row>
        <row r="6">
          <cell r="J6">
            <v>530322</v>
          </cell>
          <cell r="K6">
            <v>91668.68</v>
          </cell>
        </row>
        <row r="7">
          <cell r="J7">
            <v>16000</v>
          </cell>
          <cell r="K7">
            <v>9600</v>
          </cell>
        </row>
        <row r="8">
          <cell r="J8">
            <v>0</v>
          </cell>
          <cell r="K8">
            <v>0</v>
          </cell>
        </row>
        <row r="9">
          <cell r="J9">
            <v>12273937.8</v>
          </cell>
          <cell r="K9">
            <v>943653.25</v>
          </cell>
        </row>
        <row r="10">
          <cell r="J10">
            <v>4712548</v>
          </cell>
          <cell r="K10">
            <v>726038.13</v>
          </cell>
        </row>
        <row r="11">
          <cell r="J11">
            <v>2764745</v>
          </cell>
          <cell r="K11">
            <v>315235.35</v>
          </cell>
        </row>
        <row r="12">
          <cell r="J12">
            <v>1994940</v>
          </cell>
          <cell r="K12">
            <v>312216.6</v>
          </cell>
        </row>
        <row r="13">
          <cell r="J13">
            <v>101260</v>
          </cell>
          <cell r="K13">
            <v>11138.6</v>
          </cell>
        </row>
        <row r="14">
          <cell r="J14">
            <v>1107200</v>
          </cell>
          <cell r="K14">
            <v>59932</v>
          </cell>
        </row>
        <row r="15">
          <cell r="J15">
            <v>412249.2</v>
          </cell>
          <cell r="K15">
            <v>222764.96</v>
          </cell>
        </row>
        <row r="16">
          <cell r="J16">
            <v>569280</v>
          </cell>
          <cell r="K16">
            <v>107400</v>
          </cell>
        </row>
        <row r="17">
          <cell r="J17">
            <v>0</v>
          </cell>
          <cell r="K17">
            <v>0</v>
          </cell>
        </row>
        <row r="22">
          <cell r="N22">
            <v>3656001</v>
          </cell>
          <cell r="O22">
            <v>687570.2</v>
          </cell>
        </row>
        <row r="23">
          <cell r="N23">
            <v>320680</v>
          </cell>
          <cell r="O23">
            <v>60694.36</v>
          </cell>
        </row>
        <row r="24">
          <cell r="N24">
            <v>64700</v>
          </cell>
          <cell r="O24">
            <v>17140</v>
          </cell>
        </row>
        <row r="25">
          <cell r="N25">
            <v>0</v>
          </cell>
          <cell r="O25">
            <v>0</v>
          </cell>
        </row>
        <row r="26">
          <cell r="N26">
            <v>912385</v>
          </cell>
          <cell r="O26">
            <v>102324.4</v>
          </cell>
        </row>
        <row r="27">
          <cell r="N27">
            <v>0</v>
          </cell>
          <cell r="O27">
            <v>0</v>
          </cell>
        </row>
        <row r="28">
          <cell r="N28">
            <v>67500</v>
          </cell>
          <cell r="O28">
            <v>10400</v>
          </cell>
        </row>
        <row r="29">
          <cell r="N29">
            <v>152000</v>
          </cell>
          <cell r="O29">
            <v>20130</v>
          </cell>
        </row>
        <row r="30">
          <cell r="N30">
            <v>554100</v>
          </cell>
          <cell r="O30">
            <v>71899.5</v>
          </cell>
        </row>
        <row r="31">
          <cell r="N31">
            <v>1220000.87</v>
          </cell>
          <cell r="O31">
            <v>85422.5</v>
          </cell>
        </row>
        <row r="32">
          <cell r="N32">
            <v>800</v>
          </cell>
          <cell r="O32">
            <v>80</v>
          </cell>
        </row>
        <row r="33">
          <cell r="N33">
            <v>209940</v>
          </cell>
          <cell r="O33">
            <v>63418</v>
          </cell>
        </row>
        <row r="34">
          <cell r="E34">
            <v>0</v>
          </cell>
          <cell r="F34">
            <v>0</v>
          </cell>
        </row>
        <row r="34">
          <cell r="N34">
            <v>1550</v>
          </cell>
          <cell r="O34">
            <v>10870</v>
          </cell>
        </row>
      </sheetData>
      <sheetData sheetId="2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rodução e Compra"/>
      <sheetName val="Saldo"/>
      <sheetName val="VR Geral"/>
      <sheetName val="VR11-12"/>
      <sheetName val="VR05"/>
      <sheetName val="VR06"/>
      <sheetName val="VR07"/>
      <sheetName val="VR08"/>
      <sheetName val="VR09"/>
      <sheetName val="VR10"/>
      <sheetName val="VR11"/>
      <sheetName val="VR12"/>
      <sheetName val="VR01"/>
      <sheetName val="VR02"/>
      <sheetName val="VR03"/>
      <sheetName val="VR04"/>
      <sheetName val="Resumo"/>
      <sheetName val="Soubhia"/>
      <sheetName val="João"/>
    </sheetNames>
    <sheetDataSet>
      <sheetData sheetId="0"/>
      <sheetData sheetId="1"/>
      <sheetData sheetId="2">
        <row r="23">
          <cell r="L23">
            <v>728100</v>
          </cell>
          <cell r="M23">
            <v>133430</v>
          </cell>
        </row>
        <row r="24">
          <cell r="L24">
            <v>1921162</v>
          </cell>
          <cell r="M24">
            <v>304335</v>
          </cell>
        </row>
        <row r="25">
          <cell r="L25">
            <v>23200</v>
          </cell>
          <cell r="M25">
            <v>15444</v>
          </cell>
        </row>
        <row r="26">
          <cell r="L26">
            <v>8000</v>
          </cell>
          <cell r="M26">
            <v>2795.25</v>
          </cell>
        </row>
        <row r="27">
          <cell r="L27">
            <v>9877353.95</v>
          </cell>
          <cell r="M27">
            <v>788250</v>
          </cell>
        </row>
        <row r="28">
          <cell r="L28">
            <v>4154173</v>
          </cell>
          <cell r="M28">
            <v>404500</v>
          </cell>
        </row>
        <row r="29">
          <cell r="L29">
            <v>73500</v>
          </cell>
          <cell r="M29">
            <v>14173</v>
          </cell>
        </row>
        <row r="30">
          <cell r="L30">
            <v>4144850.5845</v>
          </cell>
          <cell r="M30">
            <v>346255</v>
          </cell>
        </row>
        <row r="31">
          <cell r="L31">
            <v>87450</v>
          </cell>
          <cell r="M31">
            <v>15697.4</v>
          </cell>
        </row>
        <row r="32">
          <cell r="L32">
            <v>646510</v>
          </cell>
          <cell r="M32">
            <v>91430</v>
          </cell>
        </row>
        <row r="33">
          <cell r="L33">
            <v>191200</v>
          </cell>
          <cell r="M33">
            <v>124640.5</v>
          </cell>
        </row>
        <row r="34">
          <cell r="L34">
            <v>187600</v>
          </cell>
          <cell r="M34">
            <v>84624.6</v>
          </cell>
        </row>
        <row r="35">
          <cell r="H35">
            <v>0</v>
          </cell>
          <cell r="I35">
            <v>0</v>
          </cell>
        </row>
        <row r="35">
          <cell r="L35">
            <v>1544</v>
          </cell>
          <cell r="M35">
            <v>6176</v>
          </cell>
        </row>
        <row r="36">
          <cell r="L36">
            <v>180</v>
          </cell>
          <cell r="M36">
            <v>1407.6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I75"/>
  <sheetViews>
    <sheetView showFormulas="false" showGridLines="false" showRowColHeaders="true" showZeros="true" rightToLeft="false" tabSelected="false" showOutlineSymbols="true" defaultGridColor="true" view="normal" topLeftCell="A49" colorId="64" zoomScale="80" zoomScaleNormal="80" zoomScalePageLayoutView="100" workbookViewId="0">
      <selection pane="topLeft" activeCell="K57" activeCellId="0" sqref="K57"/>
    </sheetView>
  </sheetViews>
  <sheetFormatPr defaultColWidth="9.18359375" defaultRowHeight="14.25" zeroHeight="false" outlineLevelRow="0" outlineLevelCol="0"/>
  <cols>
    <col collapsed="false" customWidth="true" hidden="false" outlineLevel="0" max="1" min="1" style="0" width="11.27"/>
    <col collapsed="false" customWidth="true" hidden="false" outlineLevel="0" max="2" min="2" style="1" width="13.54"/>
    <col collapsed="false" customWidth="true" hidden="false" outlineLevel="0" max="3" min="3" style="2" width="18"/>
    <col collapsed="false" customWidth="true" hidden="false" outlineLevel="0" max="4" min="4" style="0" width="12.54"/>
    <col collapsed="false" customWidth="true" hidden="false" outlineLevel="0" max="5" min="5" style="0" width="13.27"/>
    <col collapsed="false" customWidth="true" hidden="false" outlineLevel="0" max="6" min="6" style="3" width="14.27"/>
    <col collapsed="false" customWidth="true" hidden="false" outlineLevel="0" max="7" min="7" style="4" width="17.54"/>
    <col collapsed="false" customWidth="true" hidden="false" outlineLevel="0" max="8" min="8" style="0" width="11.18"/>
  </cols>
  <sheetData>
    <row r="1" customFormat="false" ht="17.3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</row>
    <row r="2" customFormat="false" ht="14.25" hidden="false" customHeight="false" outlineLevel="0" collapsed="false">
      <c r="A2" s="6"/>
      <c r="B2" s="7"/>
      <c r="C2" s="8"/>
      <c r="D2" s="8"/>
      <c r="E2" s="9"/>
      <c r="F2" s="10"/>
      <c r="G2" s="10"/>
    </row>
    <row r="3" s="9" customFormat="true" ht="14.25" hidden="false" customHeight="false" outlineLevel="0" collapsed="false">
      <c r="A3" s="11" t="s">
        <v>1</v>
      </c>
      <c r="B3" s="12" t="s">
        <v>2</v>
      </c>
      <c r="C3" s="13" t="s">
        <v>3</v>
      </c>
      <c r="D3" s="14" t="s">
        <v>4</v>
      </c>
      <c r="E3" s="15"/>
      <c r="F3" s="16"/>
      <c r="G3" s="17"/>
    </row>
    <row r="4" customFormat="false" ht="14.25" hidden="false" customHeight="false" outlineLevel="0" collapsed="false">
      <c r="A4" s="18" t="s">
        <v>5</v>
      </c>
      <c r="B4" s="19" t="n">
        <f aca="false">SUMIF(B29:B72,"Marandú",E29:E72)</f>
        <v>682361.389099999</v>
      </c>
      <c r="C4" s="20" t="n">
        <f aca="false">SUMIF(B29:B72,"Marandú",G29:G72)</f>
        <v>278478.277775</v>
      </c>
      <c r="D4" s="21" t="n">
        <f aca="false">C4/B4</f>
        <v>0.408109664795511</v>
      </c>
      <c r="E4" s="22"/>
      <c r="F4" s="23"/>
      <c r="G4" s="24"/>
    </row>
    <row r="5" customFormat="false" ht="14.25" hidden="false" customHeight="false" outlineLevel="0" collapsed="false">
      <c r="A5" s="18" t="s">
        <v>6</v>
      </c>
      <c r="B5" s="19" t="n">
        <f aca="false">SUMIF(B29:B72,"Piatã",E29:E72)</f>
        <v>351971.59648</v>
      </c>
      <c r="C5" s="20" t="n">
        <f aca="false">SUMIF(B29:B72,"Piatã",G29:G72)</f>
        <v>101509.044</v>
      </c>
      <c r="D5" s="21" t="n">
        <f aca="false">C5/B5</f>
        <v>0.288401237529313</v>
      </c>
      <c r="E5" s="22"/>
      <c r="F5" s="23"/>
      <c r="G5" s="24"/>
    </row>
    <row r="6" customFormat="false" ht="14.25" hidden="false" customHeight="false" outlineLevel="0" collapsed="false">
      <c r="A6" s="18" t="s">
        <v>7</v>
      </c>
      <c r="B6" s="19" t="n">
        <f aca="false">SUMIF(B29:B72,"Decumbens",E29:E72)</f>
        <v>1091498.146</v>
      </c>
      <c r="C6" s="25" t="n">
        <f aca="false">SUMIF(B29:B72,"Decumbens",G29:G72)</f>
        <v>352484.07</v>
      </c>
      <c r="D6" s="21" t="n">
        <f aca="false">C6/B6</f>
        <v>0.322936022650835</v>
      </c>
      <c r="E6" s="22"/>
      <c r="F6" s="23"/>
      <c r="G6" s="24"/>
    </row>
    <row r="7" customFormat="false" ht="14.25" hidden="false" customHeight="false" outlineLevel="0" collapsed="false">
      <c r="A7" s="18" t="s">
        <v>8</v>
      </c>
      <c r="B7" s="19" t="n">
        <f aca="false">SUMIF(B29:B72,"Xaraés",E29:E72)</f>
        <v>2265237.6095</v>
      </c>
      <c r="C7" s="25" t="n">
        <f aca="false">SUMIF(B29:B72,"Xaraés",G29:G72)</f>
        <v>640084.24904</v>
      </c>
      <c r="D7" s="21" t="n">
        <f aca="false">C7/B7</f>
        <v>0.282568259663181</v>
      </c>
      <c r="E7" s="22"/>
      <c r="F7" s="23"/>
      <c r="G7" s="24"/>
    </row>
    <row r="8" customFormat="false" ht="14.25" hidden="false" customHeight="false" outlineLevel="0" collapsed="false">
      <c r="A8" s="18" t="s">
        <v>9</v>
      </c>
      <c r="B8" s="19" t="n">
        <f aca="false">SUMIF(B29:B72,"MG-4",E29:E72)</f>
        <v>0</v>
      </c>
      <c r="C8" s="20" t="n">
        <f aca="false">SUMIF(B29:B72,"MG-4",G29:G72)</f>
        <v>0</v>
      </c>
      <c r="D8" s="21" t="e">
        <f aca="false">C8/B8</f>
        <v>#DIV/0!</v>
      </c>
      <c r="E8" s="22"/>
      <c r="F8" s="23"/>
      <c r="G8" s="24"/>
    </row>
    <row r="9" customFormat="false" ht="14.25" hidden="false" customHeight="false" outlineLevel="0" collapsed="false">
      <c r="A9" s="18" t="s">
        <v>10</v>
      </c>
      <c r="B9" s="19" t="n">
        <f aca="false">SUMIF(B29:B72,"Ruziziensis",E29:E72)</f>
        <v>1143575.3063999</v>
      </c>
      <c r="C9" s="20" t="n">
        <f aca="false">SUMIF(B29:B72,"Ruziziensis",G29:G72)</f>
        <v>188485.016118</v>
      </c>
      <c r="D9" s="21" t="n">
        <f aca="false">C9/B9</f>
        <v>0.164820816839226</v>
      </c>
      <c r="E9" s="22"/>
      <c r="F9" s="23"/>
      <c r="G9" s="24"/>
    </row>
    <row r="10" customFormat="false" ht="14.25" hidden="false" customHeight="false" outlineLevel="0" collapsed="false">
      <c r="A10" s="18" t="s">
        <v>11</v>
      </c>
      <c r="B10" s="19" t="n">
        <f aca="false">SUMIF(B29:B72,"humidicola",E29:E72)</f>
        <v>729782.794</v>
      </c>
      <c r="C10" s="20" t="n">
        <f aca="false">SUMIF(B29:B72,"humidicola",G29:G72)</f>
        <v>1836631.455</v>
      </c>
      <c r="D10" s="21" t="n">
        <f aca="false">C10/B10</f>
        <v>2.51668231986297</v>
      </c>
      <c r="E10" s="22"/>
      <c r="F10" s="23"/>
      <c r="G10" s="24"/>
    </row>
    <row r="11" customFormat="false" ht="14.25" hidden="false" customHeight="false" outlineLevel="0" collapsed="false">
      <c r="A11" s="18" t="s">
        <v>12</v>
      </c>
      <c r="B11" s="19" t="n">
        <f aca="false">SUMIF(B29:B72,"Llanero",E29:E72)</f>
        <v>10800.98</v>
      </c>
      <c r="C11" s="20" t="n">
        <f aca="false">SUMIF(B29:B72,"Llanero",G29:G72)</f>
        <v>13889</v>
      </c>
      <c r="D11" s="21" t="n">
        <f aca="false">C11/B11</f>
        <v>1.28590183483351</v>
      </c>
      <c r="E11" s="22"/>
      <c r="F11" s="23"/>
      <c r="G11" s="24"/>
    </row>
    <row r="12" customFormat="false" ht="14.25" hidden="false" customHeight="false" outlineLevel="0" collapsed="false">
      <c r="A12" s="18" t="s">
        <v>13</v>
      </c>
      <c r="B12" s="19" t="n">
        <f aca="false">SUMIF(B29:B72,"Mombaça",E29:E72)</f>
        <v>1539811.4144</v>
      </c>
      <c r="C12" s="20" t="n">
        <f aca="false">SUMIF(B29:B72,"Mombaça",G29:G72)</f>
        <v>500205.548554</v>
      </c>
      <c r="D12" s="21" t="n">
        <f aca="false">C12/B12</f>
        <v>0.324848578128582</v>
      </c>
      <c r="E12" s="22"/>
      <c r="F12" s="23"/>
      <c r="G12" s="24"/>
    </row>
    <row r="13" customFormat="false" ht="14.25" hidden="false" customHeight="false" outlineLevel="0" collapsed="false">
      <c r="A13" s="18" t="s">
        <v>14</v>
      </c>
      <c r="B13" s="19" t="n">
        <f aca="false">SUMIF(B29:B72,"Tanzania",E29:E72)</f>
        <v>0</v>
      </c>
      <c r="C13" s="20" t="n">
        <f aca="false">SUMIF(B29:B72,"Tanzania",G29:G72)</f>
        <v>0</v>
      </c>
      <c r="D13" s="21" t="e">
        <f aca="false">C13/B13</f>
        <v>#DIV/0!</v>
      </c>
      <c r="E13" s="22"/>
      <c r="F13" s="23"/>
      <c r="G13" s="24"/>
    </row>
    <row r="14" customFormat="false" ht="14.25" hidden="false" customHeight="false" outlineLevel="0" collapsed="false">
      <c r="A14" s="18" t="s">
        <v>15</v>
      </c>
      <c r="B14" s="19" t="n">
        <f aca="false">SUMIF(B29:B72,"Massai",E29:E72)</f>
        <v>618265.72</v>
      </c>
      <c r="C14" s="20" t="n">
        <f aca="false">SUMIF(B29:B72,"Massai",G29:G72)</f>
        <v>255283.155</v>
      </c>
      <c r="D14" s="21" t="n">
        <f aca="false">C14/B14</f>
        <v>0.412902004335612</v>
      </c>
      <c r="E14" s="22"/>
      <c r="F14" s="23"/>
      <c r="G14" s="24"/>
    </row>
    <row r="15" customFormat="false" ht="14.25" hidden="false" customHeight="false" outlineLevel="0" collapsed="false">
      <c r="A15" s="18" t="s">
        <v>16</v>
      </c>
      <c r="B15" s="19" t="n">
        <f aca="false">SUMIF(B29:B72,"Aruana",E29:E72)</f>
        <v>53680.5</v>
      </c>
      <c r="C15" s="20" t="n">
        <f aca="false">SUMIF(B29:B72,"Aruana",G29:G72)</f>
        <v>54405.3</v>
      </c>
      <c r="D15" s="21" t="n">
        <f aca="false">C15/B15</f>
        <v>1.01350210970464</v>
      </c>
      <c r="E15" s="22"/>
      <c r="F15" s="23"/>
      <c r="G15" s="24"/>
    </row>
    <row r="16" customFormat="false" ht="14.25" hidden="false" customHeight="false" outlineLevel="0" collapsed="false">
      <c r="A16" s="18" t="s">
        <v>17</v>
      </c>
      <c r="B16" s="19" t="n">
        <f aca="false">SUMIF(B29:B72,"Zuri",E29:E72)</f>
        <v>1078047.519</v>
      </c>
      <c r="C16" s="20" t="n">
        <f aca="false">SUMIF(B29:B72,"Zuri",G29:G72)</f>
        <v>391649.028</v>
      </c>
      <c r="D16" s="21" t="n">
        <f aca="false">C16/B16</f>
        <v>0.363294772352238</v>
      </c>
      <c r="E16" s="22"/>
      <c r="F16" s="23"/>
      <c r="G16" s="24"/>
    </row>
    <row r="17" customFormat="false" ht="14.25" hidden="false" customHeight="false" outlineLevel="0" collapsed="false">
      <c r="A17" s="18" t="s">
        <v>18</v>
      </c>
      <c r="B17" s="19" t="n">
        <f aca="false">SUMIF(B29:B72,"Paiaguas",E29:E72)</f>
        <v>812166.5265</v>
      </c>
      <c r="C17" s="20" t="n">
        <f aca="false">SUMIF(B29:B72,"Paiaguas",G29:G72)</f>
        <v>283385.1</v>
      </c>
      <c r="D17" s="21" t="n">
        <f aca="false">C17/B17</f>
        <v>0.348924870397253</v>
      </c>
      <c r="E17" s="22"/>
      <c r="F17" s="23"/>
      <c r="G17" s="24"/>
    </row>
    <row r="18" customFormat="false" ht="14.25" hidden="false" customHeight="false" outlineLevel="0" collapsed="false">
      <c r="A18" s="18" t="s">
        <v>19</v>
      </c>
      <c r="B18" s="19" t="n">
        <f aca="false">SUMIF(B29:B72,"Tamani",E29:E72)</f>
        <v>310983.57</v>
      </c>
      <c r="C18" s="20" t="n">
        <f aca="false">SUMIF(B29:B72,"Tamani",G29:G72)</f>
        <v>199405.07</v>
      </c>
      <c r="D18" s="21" t="n">
        <f aca="false">C18/B18</f>
        <v>0.641207733257419</v>
      </c>
      <c r="E18" s="22"/>
      <c r="F18" s="23"/>
      <c r="G18" s="24"/>
    </row>
    <row r="19" customFormat="false" ht="14.25" hidden="false" customHeight="false" outlineLevel="0" collapsed="false">
      <c r="A19" s="18" t="s">
        <v>20</v>
      </c>
      <c r="B19" s="19" t="n">
        <f aca="false">SUMIF(B29:B72,"Integra",E29:E72)</f>
        <v>230333.1091</v>
      </c>
      <c r="C19" s="20" t="n">
        <f aca="false">SUMIF(B29:B72,"Integra",G29:G72)</f>
        <v>114890.40249</v>
      </c>
      <c r="D19" s="21" t="n">
        <f aca="false">C19/B19</f>
        <v>0.498801075272769</v>
      </c>
      <c r="E19" s="22"/>
      <c r="F19" s="23"/>
      <c r="G19" s="24"/>
    </row>
    <row r="20" customFormat="false" ht="14.25" hidden="false" customHeight="false" outlineLevel="0" collapsed="false">
      <c r="A20" s="18" t="s">
        <v>21</v>
      </c>
      <c r="B20" s="19" t="n">
        <f aca="false">SUMIF(B29:B72,"Milheto",E29:E72)</f>
        <v>2110</v>
      </c>
      <c r="C20" s="20" t="n">
        <f aca="false">SUMIF(B29:B72,"Milheto",G29:G72)</f>
        <v>13166.4</v>
      </c>
      <c r="D20" s="21" t="n">
        <f aca="false">C20/B20</f>
        <v>6.24</v>
      </c>
      <c r="E20" s="22"/>
      <c r="F20" s="23"/>
      <c r="G20" s="24"/>
    </row>
    <row r="21" customFormat="false" ht="14.25" hidden="false" customHeight="false" outlineLevel="0" collapsed="false">
      <c r="A21" s="18" t="s">
        <v>22</v>
      </c>
      <c r="B21" s="19" t="n">
        <f aca="false">SUMIF(B29:B72,"Quenia",E29:E72)</f>
        <v>0</v>
      </c>
      <c r="C21" s="20" t="n">
        <f aca="false">SUMIF(B29:B72,"Quenia",G29:G72)</f>
        <v>0</v>
      </c>
      <c r="D21" s="21" t="n">
        <v>0</v>
      </c>
      <c r="E21" s="22"/>
      <c r="F21" s="23"/>
      <c r="G21" s="24"/>
    </row>
    <row r="22" customFormat="false" ht="14.25" hidden="false" customHeight="false" outlineLevel="0" collapsed="false">
      <c r="A22" s="18" t="s">
        <v>23</v>
      </c>
      <c r="B22" s="19" t="n">
        <f aca="false">SUMIF(B29:B72,"Estilosante",E29:E72)</f>
        <v>2372</v>
      </c>
      <c r="C22" s="20" t="n">
        <f aca="false">SUMIF(B29:B72,"Estilosante",G29:G72)</f>
        <v>0</v>
      </c>
      <c r="D22" s="21" t="n">
        <f aca="false">C22/B22</f>
        <v>0</v>
      </c>
      <c r="E22" s="22"/>
      <c r="F22" s="23"/>
      <c r="G22" s="24"/>
    </row>
    <row r="23" customFormat="false" ht="14.25" hidden="false" customHeight="false" outlineLevel="0" collapsed="false">
      <c r="A23" s="18" t="s">
        <v>24</v>
      </c>
      <c r="B23" s="19" t="n">
        <f aca="false">SUMIF(B29:B72,"Andropogon",E29:E72)</f>
        <v>0</v>
      </c>
      <c r="C23" s="20" t="n">
        <f aca="false">SUMIF(B29:B72,"Andropogon",G29:G72)</f>
        <v>0</v>
      </c>
      <c r="D23" s="21" t="n">
        <v>0</v>
      </c>
      <c r="E23" s="22"/>
      <c r="F23" s="23"/>
      <c r="G23" s="24"/>
    </row>
    <row r="24" customFormat="false" ht="14.25" hidden="false" customHeight="false" outlineLevel="0" collapsed="false">
      <c r="A24" s="18" t="s">
        <v>25</v>
      </c>
      <c r="B24" s="26" t="n">
        <f aca="false">SUM(B4:B23)</f>
        <v>10922998.1804799</v>
      </c>
      <c r="C24" s="27" t="n">
        <f aca="false">SUM(C4:C23)</f>
        <v>5223951.115977</v>
      </c>
      <c r="D24" s="28" t="n">
        <f aca="false">C24/B24</f>
        <v>0.47825249346947</v>
      </c>
      <c r="E24" s="29"/>
      <c r="F24" s="30"/>
      <c r="G24" s="31"/>
    </row>
    <row r="26" customFormat="false" ht="17.35" hidden="false" customHeight="false" outlineLevel="0" collapsed="false">
      <c r="A26" s="32" t="s">
        <v>26</v>
      </c>
      <c r="B26" s="32"/>
      <c r="C26" s="32"/>
      <c r="D26" s="32"/>
      <c r="E26" s="32"/>
      <c r="F26" s="32"/>
      <c r="G26" s="32"/>
    </row>
    <row r="27" customFormat="false" ht="14.25" hidden="false" customHeight="false" outlineLevel="0" collapsed="false">
      <c r="A27" s="33"/>
      <c r="C27" s="34"/>
      <c r="D27" s="35"/>
      <c r="E27" s="35"/>
      <c r="F27" s="36"/>
      <c r="G27" s="37"/>
    </row>
    <row r="28" customFormat="false" ht="14.25" hidden="false" customHeight="false" outlineLevel="0" collapsed="false">
      <c r="A28" s="38" t="s">
        <v>27</v>
      </c>
      <c r="B28" s="39" t="s">
        <v>28</v>
      </c>
      <c r="C28" s="40" t="s">
        <v>29</v>
      </c>
      <c r="D28" s="40" t="s">
        <v>30</v>
      </c>
      <c r="E28" s="40" t="s">
        <v>31</v>
      </c>
      <c r="F28" s="41" t="s">
        <v>32</v>
      </c>
      <c r="G28" s="41" t="s">
        <v>33</v>
      </c>
    </row>
    <row r="29" customFormat="false" ht="14.25" hidden="false" customHeight="false" outlineLevel="0" collapsed="false">
      <c r="A29" s="42" t="n">
        <v>45414</v>
      </c>
      <c r="B29" s="43" t="s">
        <v>5</v>
      </c>
      <c r="D29" s="44" t="s">
        <v>34</v>
      </c>
      <c r="E29" s="45" t="n">
        <f aca="false">[1]NC!$F$4</f>
        <v>286873.711099999</v>
      </c>
      <c r="F29" s="46" t="n">
        <f aca="false">G29/E29</f>
        <v>0.25</v>
      </c>
      <c r="G29" s="47" t="n">
        <f aca="false">'SAL. '!C63*E29</f>
        <v>71718.4277749998</v>
      </c>
      <c r="H29" s="48"/>
      <c r="I29" s="49"/>
    </row>
    <row r="30" customFormat="false" ht="14.25" hidden="false" customHeight="false" outlineLevel="0" collapsed="false">
      <c r="A30" s="42" t="n">
        <v>45414</v>
      </c>
      <c r="B30" s="43" t="s">
        <v>6</v>
      </c>
      <c r="D30" s="44" t="s">
        <v>34</v>
      </c>
      <c r="E30" s="45" t="n">
        <f aca="false">[1]NC!$F$5</f>
        <v>237877.2</v>
      </c>
      <c r="F30" s="46" t="n">
        <f aca="false">G30/E30</f>
        <v>0.27</v>
      </c>
      <c r="G30" s="47" t="n">
        <f aca="false">'SAL. '!C64*E30</f>
        <v>64226.8440000001</v>
      </c>
      <c r="H30" s="48"/>
      <c r="I30" s="49"/>
    </row>
    <row r="31" customFormat="false" ht="14.25" hidden="false" customHeight="false" outlineLevel="0" collapsed="false">
      <c r="A31" s="42" t="n">
        <v>45414</v>
      </c>
      <c r="B31" s="43" t="s">
        <v>7</v>
      </c>
      <c r="D31" s="44" t="s">
        <v>34</v>
      </c>
      <c r="E31" s="45" t="n">
        <f aca="false">[1]NC!$F$6</f>
        <v>1068468.5</v>
      </c>
      <c r="F31" s="46" t="n">
        <f aca="false">G31/E31</f>
        <v>0.32</v>
      </c>
      <c r="G31" s="47" t="n">
        <f aca="false">'SAL. '!C65*E31</f>
        <v>341909.92</v>
      </c>
      <c r="H31" s="48"/>
      <c r="I31" s="49"/>
    </row>
    <row r="32" customFormat="false" ht="14.25" hidden="false" customHeight="false" outlineLevel="0" collapsed="false">
      <c r="A32" s="42" t="n">
        <v>45414</v>
      </c>
      <c r="B32" s="43" t="s">
        <v>8</v>
      </c>
      <c r="D32" s="44" t="s">
        <v>34</v>
      </c>
      <c r="E32" s="45" t="n">
        <f aca="false">[1]NC!$F$7</f>
        <v>1608028.416</v>
      </c>
      <c r="F32" s="46" t="n">
        <f aca="false">G32/E32</f>
        <v>0.19</v>
      </c>
      <c r="G32" s="47" t="n">
        <f aca="false">'SAL. '!C66*E32</f>
        <v>305525.39904</v>
      </c>
      <c r="H32" s="48"/>
      <c r="I32" s="49"/>
    </row>
    <row r="33" customFormat="false" ht="14.25" hidden="false" customHeight="false" outlineLevel="0" collapsed="false">
      <c r="A33" s="42" t="n">
        <v>45414</v>
      </c>
      <c r="B33" s="43" t="s">
        <v>9</v>
      </c>
      <c r="D33" s="44" t="s">
        <v>34</v>
      </c>
      <c r="E33" s="45" t="n">
        <f aca="false">[1]NC!$F$8</f>
        <v>0</v>
      </c>
      <c r="F33" s="46" t="n">
        <v>0</v>
      </c>
      <c r="G33" s="47" t="n">
        <f aca="false">'SAL. '!C67*E33</f>
        <v>0</v>
      </c>
      <c r="H33" s="48"/>
      <c r="I33" s="49"/>
    </row>
    <row r="34" customFormat="false" ht="14.25" hidden="false" customHeight="false" outlineLevel="0" collapsed="false">
      <c r="A34" s="42" t="n">
        <v>45414</v>
      </c>
      <c r="B34" s="43" t="s">
        <v>16</v>
      </c>
      <c r="D34" s="44" t="s">
        <v>34</v>
      </c>
      <c r="E34" s="45" t="n">
        <f aca="false">[1]NC!$F$15</f>
        <v>0</v>
      </c>
      <c r="F34" s="46" t="n">
        <v>0</v>
      </c>
      <c r="G34" s="47" t="n">
        <f aca="false">'SAL. '!C74*E34</f>
        <v>0</v>
      </c>
      <c r="H34" s="48"/>
      <c r="I34" s="49"/>
    </row>
    <row r="35" customFormat="false" ht="14.25" hidden="false" customHeight="false" outlineLevel="0" collapsed="false">
      <c r="A35" s="42" t="n">
        <v>45414</v>
      </c>
      <c r="B35" s="43" t="s">
        <v>10</v>
      </c>
      <c r="D35" s="44" t="s">
        <v>34</v>
      </c>
      <c r="E35" s="45" t="n">
        <f aca="false">[1]NC!$F$9</f>
        <v>592361.2902</v>
      </c>
      <c r="F35" s="46" t="n">
        <f aca="false">G35/E35</f>
        <v>0.09</v>
      </c>
      <c r="G35" s="47" t="n">
        <f aca="false">'SAL. '!C68*E35</f>
        <v>53312.516118</v>
      </c>
      <c r="H35" s="48"/>
      <c r="I35" s="49"/>
    </row>
    <row r="36" customFormat="false" ht="14.25" hidden="false" customHeight="false" outlineLevel="0" collapsed="false">
      <c r="A36" s="42" t="n">
        <v>45414</v>
      </c>
      <c r="B36" s="43" t="s">
        <v>11</v>
      </c>
      <c r="D36" s="44" t="s">
        <v>34</v>
      </c>
      <c r="E36" s="45" t="n">
        <f aca="false">[1]NC!$F$10</f>
        <v>722909.322</v>
      </c>
      <c r="F36" s="46" t="n">
        <f aca="false">G36/E36</f>
        <v>2.5</v>
      </c>
      <c r="G36" s="47" t="n">
        <f aca="false">'SAL. '!C69*E36</f>
        <v>1807273.305</v>
      </c>
      <c r="H36" s="48"/>
      <c r="I36" s="49"/>
    </row>
    <row r="37" customFormat="false" ht="14.25" hidden="false" customHeight="false" outlineLevel="0" collapsed="false">
      <c r="A37" s="42" t="n">
        <v>45414</v>
      </c>
      <c r="B37" s="43" t="s">
        <v>12</v>
      </c>
      <c r="D37" s="44" t="s">
        <v>34</v>
      </c>
      <c r="E37" s="50" t="n">
        <f aca="false">[1]NC!$F$11</f>
        <v>0</v>
      </c>
      <c r="F37" s="46" t="n">
        <v>0</v>
      </c>
      <c r="G37" s="47" t="n">
        <f aca="false">'SAL. '!C70*E37</f>
        <v>0</v>
      </c>
      <c r="H37" s="48"/>
      <c r="I37" s="49"/>
    </row>
    <row r="38" customFormat="false" ht="14.25" hidden="false" customHeight="false" outlineLevel="0" collapsed="false">
      <c r="A38" s="42" t="n">
        <v>45414</v>
      </c>
      <c r="B38" s="43" t="s">
        <v>13</v>
      </c>
      <c r="D38" s="44" t="s">
        <v>34</v>
      </c>
      <c r="E38" s="45" t="n">
        <f aca="false">[1]NC!$F$12</f>
        <v>1237477.1874</v>
      </c>
      <c r="F38" s="46" t="n">
        <f aca="false">G38/E38</f>
        <v>0.26</v>
      </c>
      <c r="G38" s="47" t="n">
        <f aca="false">'SAL. '!C71*E38</f>
        <v>321744.068724</v>
      </c>
      <c r="H38" s="48"/>
      <c r="I38" s="49"/>
    </row>
    <row r="39" customFormat="false" ht="14.25" hidden="false" customHeight="false" outlineLevel="0" collapsed="false">
      <c r="A39" s="42" t="n">
        <v>45414</v>
      </c>
      <c r="B39" s="43" t="s">
        <v>14</v>
      </c>
      <c r="D39" s="44" t="s">
        <v>34</v>
      </c>
      <c r="E39" s="45" t="n">
        <f aca="false">[1]NC!$F$13</f>
        <v>0</v>
      </c>
      <c r="F39" s="46" t="n">
        <v>0</v>
      </c>
      <c r="G39" s="47" t="n">
        <f aca="false">'SAL. '!C72*E39</f>
        <v>0</v>
      </c>
      <c r="H39" s="48"/>
      <c r="I39" s="49"/>
    </row>
    <row r="40" customFormat="false" ht="14.25" hidden="false" customHeight="false" outlineLevel="0" collapsed="false">
      <c r="A40" s="42" t="n">
        <v>45414</v>
      </c>
      <c r="B40" s="43" t="s">
        <v>15</v>
      </c>
      <c r="D40" s="44" t="s">
        <v>34</v>
      </c>
      <c r="E40" s="45" t="n">
        <f aca="false">[1]NC!$F$14</f>
        <v>495007.85</v>
      </c>
      <c r="F40" s="46" t="n">
        <f aca="false">G40/E40</f>
        <v>0.3</v>
      </c>
      <c r="G40" s="47" t="n">
        <f aca="false">'SAL. '!C73*E40</f>
        <v>148502.355</v>
      </c>
      <c r="H40" s="48"/>
      <c r="I40" s="49"/>
    </row>
    <row r="41" customFormat="false" ht="14.25" hidden="false" customHeight="false" outlineLevel="0" collapsed="false">
      <c r="A41" s="42" t="n">
        <v>45414</v>
      </c>
      <c r="B41" s="43" t="s">
        <v>17</v>
      </c>
      <c r="D41" s="44" t="s">
        <v>34</v>
      </c>
      <c r="E41" s="45" t="n">
        <f aca="false">[1]NC!$F$16</f>
        <v>560859.9</v>
      </c>
      <c r="F41" s="46" t="n">
        <f aca="false">G41/E41</f>
        <v>0.22</v>
      </c>
      <c r="G41" s="47" t="n">
        <f aca="false">'SAL. '!C75*E41</f>
        <v>123389.178</v>
      </c>
      <c r="H41" s="48"/>
      <c r="I41" s="49"/>
    </row>
    <row r="42" customFormat="false" ht="14.25" hidden="false" customHeight="false" outlineLevel="0" collapsed="false">
      <c r="A42" s="42" t="n">
        <v>45414</v>
      </c>
      <c r="B42" s="43" t="s">
        <v>19</v>
      </c>
      <c r="D42" s="44" t="s">
        <v>34</v>
      </c>
      <c r="E42" s="45" t="n">
        <f aca="false">[1]NC!$F$18</f>
        <v>194188.5</v>
      </c>
      <c r="F42" s="46" t="n">
        <f aca="false">G42/E42</f>
        <v>0.42</v>
      </c>
      <c r="G42" s="47" t="n">
        <f aca="false">'SAL. '!C77*E42</f>
        <v>81559.17</v>
      </c>
      <c r="H42" s="48"/>
      <c r="I42" s="49"/>
    </row>
    <row r="43" customFormat="false" ht="14.25" hidden="false" customHeight="false" outlineLevel="0" collapsed="false">
      <c r="A43" s="42" t="n">
        <v>45414</v>
      </c>
      <c r="B43" s="43" t="s">
        <v>20</v>
      </c>
      <c r="D43" s="44" t="s">
        <v>34</v>
      </c>
      <c r="E43" s="45" t="n">
        <f aca="false">[1]NC!$F$20</f>
        <v>0.0166000002063811</v>
      </c>
      <c r="F43" s="46" t="n">
        <f aca="false">G43/E43</f>
        <v>0.15</v>
      </c>
      <c r="G43" s="47" t="n">
        <f aca="false">'SAL. '!C78*E43</f>
        <v>0.00249000003095716</v>
      </c>
      <c r="H43" s="48"/>
      <c r="I43" s="49"/>
    </row>
    <row r="44" customFormat="false" ht="14.25" hidden="false" customHeight="false" outlineLevel="0" collapsed="false">
      <c r="A44" s="42" t="n">
        <v>45414</v>
      </c>
      <c r="B44" s="43" t="s">
        <v>18</v>
      </c>
      <c r="D44" s="44" t="s">
        <v>34</v>
      </c>
      <c r="E44" s="45" t="n">
        <f aca="false">[1]NC!$F$17</f>
        <v>757785</v>
      </c>
      <c r="F44" s="46" t="n">
        <f aca="false">G44/E44</f>
        <v>0.3</v>
      </c>
      <c r="G44" s="47" t="n">
        <f aca="false">'SAL. '!C76*E44</f>
        <v>227335.5</v>
      </c>
      <c r="H44" s="48"/>
      <c r="I44" s="49"/>
    </row>
    <row r="45" customFormat="false" ht="14.25" hidden="false" customHeight="false" outlineLevel="0" collapsed="false">
      <c r="A45" s="42" t="n">
        <v>45414</v>
      </c>
      <c r="B45" s="43" t="s">
        <v>23</v>
      </c>
      <c r="D45" s="44" t="s">
        <v>34</v>
      </c>
      <c r="E45" s="45" t="n">
        <f aca="false">[1]NC!$F$22</f>
        <v>2372</v>
      </c>
      <c r="F45" s="46" t="n">
        <f aca="false">G45/E45</f>
        <v>0</v>
      </c>
      <c r="G45" s="47" t="n">
        <f aca="false">'SAL. '!C81*E45</f>
        <v>0</v>
      </c>
      <c r="H45" s="48"/>
      <c r="I45" s="49"/>
    </row>
    <row r="46" customFormat="false" ht="14.25" hidden="false" customHeight="false" outlineLevel="0" collapsed="false">
      <c r="A46" s="42" t="n">
        <v>45414</v>
      </c>
      <c r="B46" s="43" t="s">
        <v>21</v>
      </c>
      <c r="D46" s="44" t="s">
        <v>34</v>
      </c>
      <c r="E46" s="45" t="n">
        <f aca="false">[1]NC!$F$24</f>
        <v>0</v>
      </c>
      <c r="F46" s="46" t="n">
        <v>0</v>
      </c>
      <c r="G46" s="47" t="n">
        <f aca="false">'SAL. '!C84*E46</f>
        <v>0</v>
      </c>
      <c r="H46" s="48"/>
      <c r="I46" s="49"/>
    </row>
    <row r="47" customFormat="false" ht="14.25" hidden="false" customHeight="false" outlineLevel="0" collapsed="false">
      <c r="A47" s="42" t="n">
        <v>45414</v>
      </c>
      <c r="B47" s="43" t="s">
        <v>5</v>
      </c>
      <c r="D47" s="44" t="s">
        <v>35</v>
      </c>
      <c r="E47" s="45" t="n">
        <f aca="false">[1]LOT!$D$2502</f>
        <v>395487.678</v>
      </c>
      <c r="F47" s="46" t="n">
        <f aca="false">G47/E47</f>
        <v>0.522797198247982</v>
      </c>
      <c r="G47" s="47" t="n">
        <f aca="false">'[1]P.L'!$C$86</f>
        <v>206759.85</v>
      </c>
    </row>
    <row r="48" customFormat="false" ht="14.25" hidden="false" customHeight="false" outlineLevel="0" collapsed="false">
      <c r="A48" s="42" t="n">
        <v>45414</v>
      </c>
      <c r="B48" s="43" t="s">
        <v>6</v>
      </c>
      <c r="D48" s="44" t="s">
        <v>35</v>
      </c>
      <c r="E48" s="45" t="n">
        <f aca="false">[1]LOT!$D$2503</f>
        <v>114094.39648</v>
      </c>
      <c r="F48" s="46" t="n">
        <f aca="false">G48/E48</f>
        <v>0.326766266795016</v>
      </c>
      <c r="G48" s="47" t="n">
        <f aca="false">'[1]P.L'!$C$87</f>
        <v>37282.2</v>
      </c>
    </row>
    <row r="49" customFormat="false" ht="14.25" hidden="false" customHeight="false" outlineLevel="0" collapsed="false">
      <c r="A49" s="42" t="n">
        <v>45414</v>
      </c>
      <c r="B49" s="43" t="s">
        <v>7</v>
      </c>
      <c r="D49" s="44" t="s">
        <v>35</v>
      </c>
      <c r="E49" s="45" t="n">
        <f aca="false">[1]LOT!$D$2504</f>
        <v>23029.646</v>
      </c>
      <c r="F49" s="46" t="n">
        <f aca="false">G49/E49</f>
        <v>0.459153822859457</v>
      </c>
      <c r="G49" s="47" t="n">
        <f aca="false">'[1]P.L'!$C$88</f>
        <v>10574.15</v>
      </c>
    </row>
    <row r="50" customFormat="false" ht="14.25" hidden="false" customHeight="false" outlineLevel="0" collapsed="false">
      <c r="A50" s="42" t="n">
        <v>45414</v>
      </c>
      <c r="B50" s="43" t="s">
        <v>8</v>
      </c>
      <c r="D50" s="44" t="s">
        <v>35</v>
      </c>
      <c r="E50" s="45" t="n">
        <f aca="false">[1]LOT!$D$2505</f>
        <v>657209.1935</v>
      </c>
      <c r="F50" s="46" t="n">
        <f aca="false">G50/E50</f>
        <v>0.509059905596101</v>
      </c>
      <c r="G50" s="47" t="n">
        <f aca="false">'[1]P.L'!$C$89</f>
        <v>334558.85</v>
      </c>
    </row>
    <row r="51" customFormat="false" ht="14.25" hidden="false" customHeight="false" outlineLevel="0" collapsed="false">
      <c r="A51" s="42" t="n">
        <v>45414</v>
      </c>
      <c r="B51" s="43" t="s">
        <v>36</v>
      </c>
      <c r="D51" s="44" t="s">
        <v>35</v>
      </c>
      <c r="E51" s="45" t="n">
        <f aca="false">[1]LOT!$D$2506</f>
        <v>0</v>
      </c>
      <c r="F51" s="46" t="n">
        <v>0</v>
      </c>
      <c r="G51" s="47" t="n">
        <f aca="false">'[1]P.L'!$C$90</f>
        <v>0</v>
      </c>
    </row>
    <row r="52" customFormat="false" ht="14.25" hidden="false" customHeight="false" outlineLevel="0" collapsed="false">
      <c r="A52" s="42" t="n">
        <v>45414</v>
      </c>
      <c r="B52" s="43" t="s">
        <v>10</v>
      </c>
      <c r="D52" s="44" t="s">
        <v>35</v>
      </c>
      <c r="E52" s="45" t="n">
        <f aca="false">[1]LOT!$D$2507</f>
        <v>551214.0161999</v>
      </c>
      <c r="F52" s="46" t="n">
        <f aca="false">G52/E52</f>
        <v>0.245226891964553</v>
      </c>
      <c r="G52" s="47" t="n">
        <f aca="false">'[1]P.L'!$C$91</f>
        <v>135172.5</v>
      </c>
    </row>
    <row r="53" customFormat="false" ht="14.25" hidden="false" customHeight="false" outlineLevel="0" collapsed="false">
      <c r="A53" s="42" t="n">
        <v>45414</v>
      </c>
      <c r="B53" s="43" t="s">
        <v>11</v>
      </c>
      <c r="D53" s="44" t="s">
        <v>35</v>
      </c>
      <c r="E53" s="45" t="n">
        <f aca="false">[1]LOT!$D$2508</f>
        <v>6873.47199999997</v>
      </c>
      <c r="F53" s="46" t="n">
        <f aca="false">G53/E53</f>
        <v>4.27122566295463</v>
      </c>
      <c r="G53" s="47" t="n">
        <f aca="false">'[1]P.L'!$C$92</f>
        <v>29358.15</v>
      </c>
    </row>
    <row r="54" customFormat="false" ht="14.25" hidden="false" customHeight="false" outlineLevel="0" collapsed="false">
      <c r="A54" s="42" t="n">
        <v>45414</v>
      </c>
      <c r="B54" s="43" t="s">
        <v>15</v>
      </c>
      <c r="D54" s="44" t="s">
        <v>35</v>
      </c>
      <c r="E54" s="45" t="n">
        <f aca="false">[1]LOT!$D$2512</f>
        <v>123257.87</v>
      </c>
      <c r="F54" s="46" t="n">
        <f aca="false">G54/E54</f>
        <v>0.866320341248798</v>
      </c>
      <c r="G54" s="47" t="n">
        <f aca="false">'[1]P.L'!$C$96</f>
        <v>106780.8</v>
      </c>
    </row>
    <row r="55" customFormat="false" ht="14.25" hidden="false" customHeight="false" outlineLevel="0" collapsed="false">
      <c r="A55" s="42" t="n">
        <v>45414</v>
      </c>
      <c r="B55" s="43" t="s">
        <v>12</v>
      </c>
      <c r="D55" s="44" t="s">
        <v>35</v>
      </c>
      <c r="E55" s="45" t="n">
        <f aca="false">[1]LOT!$D$2509</f>
        <v>10800.98</v>
      </c>
      <c r="F55" s="46" t="n">
        <f aca="false">G55/E55</f>
        <v>1.28590183483351</v>
      </c>
      <c r="G55" s="47" t="n">
        <f aca="false">'[1]P.L'!$C$93</f>
        <v>13889</v>
      </c>
    </row>
    <row r="56" customFormat="false" ht="14.25" hidden="false" customHeight="false" outlineLevel="0" collapsed="false">
      <c r="A56" s="42" t="n">
        <v>45414</v>
      </c>
      <c r="B56" s="43" t="s">
        <v>13</v>
      </c>
      <c r="D56" s="44" t="s">
        <v>35</v>
      </c>
      <c r="E56" s="45" t="n">
        <f aca="false">[1]LOT!$D$2510</f>
        <v>302334.227</v>
      </c>
      <c r="F56" s="46" t="n">
        <f aca="false">G56/E56</f>
        <v>0.590278783850695</v>
      </c>
      <c r="G56" s="47" t="n">
        <f aca="false">'[1]P.L'!$C$94</f>
        <v>178461.47983</v>
      </c>
    </row>
    <row r="57" customFormat="false" ht="14.25" hidden="false" customHeight="false" outlineLevel="0" collapsed="false">
      <c r="A57" s="42" t="n">
        <v>45414</v>
      </c>
      <c r="B57" s="43" t="s">
        <v>14</v>
      </c>
      <c r="D57" s="44" t="s">
        <v>35</v>
      </c>
      <c r="E57" s="45" t="n">
        <f aca="false">[1]LOT!$D$2511</f>
        <v>0</v>
      </c>
      <c r="F57" s="46" t="n">
        <v>0</v>
      </c>
      <c r="G57" s="47" t="n">
        <f aca="false">'[1]P.L'!$C$95</f>
        <v>0</v>
      </c>
    </row>
    <row r="58" customFormat="false" ht="14.25" hidden="false" customHeight="false" outlineLevel="0" collapsed="false">
      <c r="A58" s="42" t="n">
        <v>45414</v>
      </c>
      <c r="B58" s="43" t="s">
        <v>16</v>
      </c>
      <c r="D58" s="44" t="s">
        <v>35</v>
      </c>
      <c r="E58" s="45" t="n">
        <f aca="false">[1]LOT!$D$2513</f>
        <v>53680.5</v>
      </c>
      <c r="F58" s="46" t="n">
        <f aca="false">G58/E58</f>
        <v>1.01350210970464</v>
      </c>
      <c r="G58" s="47" t="n">
        <f aca="false">'[1]P.L'!$C$97</f>
        <v>54405.3</v>
      </c>
    </row>
    <row r="59" customFormat="false" ht="14.25" hidden="false" customHeight="false" outlineLevel="0" collapsed="false">
      <c r="A59" s="42" t="n">
        <v>45414</v>
      </c>
      <c r="B59" s="43" t="s">
        <v>17</v>
      </c>
      <c r="D59" s="44" t="s">
        <v>35</v>
      </c>
      <c r="E59" s="45" t="n">
        <f aca="false">[1]LOT!$D$2514</f>
        <v>517187.619</v>
      </c>
      <c r="F59" s="46" t="n">
        <f aca="false">G59/E59</f>
        <v>0.518689620835645</v>
      </c>
      <c r="G59" s="47" t="n">
        <f aca="false">'[1]P.L'!$C$98</f>
        <v>268259.85</v>
      </c>
    </row>
    <row r="60" customFormat="false" ht="14.25" hidden="false" customHeight="false" outlineLevel="0" collapsed="false">
      <c r="A60" s="42" t="n">
        <v>45414</v>
      </c>
      <c r="B60" s="43" t="s">
        <v>18</v>
      </c>
      <c r="D60" s="44" t="s">
        <v>35</v>
      </c>
      <c r="E60" s="45" t="n">
        <f aca="false">[1]LOT!$D$2515</f>
        <v>54381.5265</v>
      </c>
      <c r="F60" s="46" t="n">
        <f aca="false">G60/E60</f>
        <v>1.03067353212308</v>
      </c>
      <c r="G60" s="47" t="n">
        <f aca="false">'[1]P.L'!$C$99</f>
        <v>56049.6</v>
      </c>
    </row>
    <row r="61" customFormat="false" ht="14.25" hidden="false" customHeight="false" outlineLevel="0" collapsed="false">
      <c r="A61" s="42" t="n">
        <v>45414</v>
      </c>
      <c r="B61" s="43" t="s">
        <v>19</v>
      </c>
      <c r="D61" s="44" t="s">
        <v>35</v>
      </c>
      <c r="E61" s="45" t="n">
        <f aca="false">[1]LOT!$D$2516</f>
        <v>116795.07</v>
      </c>
      <c r="F61" s="46" t="n">
        <f aca="false">G61/E61</f>
        <v>1.00899721195424</v>
      </c>
      <c r="G61" s="47" t="n">
        <f aca="false">'[1]P.L'!$C$100</f>
        <v>117845.9</v>
      </c>
    </row>
    <row r="62" customFormat="false" ht="14.25" hidden="false" customHeight="false" outlineLevel="0" collapsed="false">
      <c r="A62" s="42" t="n">
        <v>45414</v>
      </c>
      <c r="B62" s="43" t="s">
        <v>20</v>
      </c>
      <c r="D62" s="44" t="s">
        <v>35</v>
      </c>
      <c r="E62" s="45" t="n">
        <f aca="false">[1]LOT!$D$2517</f>
        <v>230333.0925</v>
      </c>
      <c r="F62" s="46" t="n">
        <f aca="false">G62/E62</f>
        <v>0.498801100410702</v>
      </c>
      <c r="G62" s="47" t="n">
        <f aca="false">'[1]P.L'!$C$101</f>
        <v>114890.4</v>
      </c>
    </row>
    <row r="63" customFormat="false" ht="14.25" hidden="false" customHeight="false" outlineLevel="0" collapsed="false">
      <c r="A63" s="42" t="n">
        <v>45414</v>
      </c>
      <c r="B63" s="43" t="s">
        <v>21</v>
      </c>
      <c r="D63" s="44" t="s">
        <v>35</v>
      </c>
      <c r="E63" s="51" t="n">
        <f aca="false">[1]LOT!$D$2521</f>
        <v>2110</v>
      </c>
      <c r="F63" s="46" t="n">
        <f aca="false">G63/E63</f>
        <v>6.24</v>
      </c>
      <c r="G63" s="47" t="n">
        <f aca="false">'[1]P.L'!$C$105</f>
        <v>13166.4</v>
      </c>
    </row>
    <row r="64" customFormat="false" ht="14.25" hidden="false" customHeight="false" outlineLevel="0" collapsed="false">
      <c r="A64" s="42"/>
      <c r="B64" s="43"/>
      <c r="E64" s="51"/>
      <c r="F64" s="46"/>
      <c r="G64" s="47"/>
    </row>
    <row r="65" customFormat="false" ht="14.25" hidden="false" customHeight="false" outlineLevel="0" collapsed="false">
      <c r="A65" s="42"/>
      <c r="B65" s="43"/>
      <c r="E65" s="51"/>
      <c r="F65" s="46"/>
      <c r="G65" s="47"/>
    </row>
    <row r="66" customFormat="false" ht="14.25" hidden="false" customHeight="false" outlineLevel="0" collapsed="false">
      <c r="A66" s="42"/>
      <c r="B66" s="43"/>
      <c r="E66" s="51"/>
      <c r="F66" s="46"/>
      <c r="G66" s="47"/>
    </row>
    <row r="67" customFormat="false" ht="14.25" hidden="false" customHeight="false" outlineLevel="0" collapsed="false">
      <c r="A67" s="42"/>
      <c r="B67" s="43"/>
      <c r="E67" s="51"/>
      <c r="F67" s="46"/>
      <c r="G67" s="47"/>
    </row>
    <row r="68" customFormat="false" ht="14.25" hidden="false" customHeight="false" outlineLevel="0" collapsed="false">
      <c r="A68" s="42"/>
      <c r="B68" s="43"/>
      <c r="E68" s="51"/>
      <c r="F68" s="46"/>
      <c r="G68" s="47"/>
    </row>
    <row r="69" customFormat="false" ht="14.25" hidden="false" customHeight="false" outlineLevel="0" collapsed="false">
      <c r="A69" s="42"/>
      <c r="B69" s="43"/>
      <c r="E69" s="51"/>
      <c r="F69" s="46"/>
      <c r="G69" s="47"/>
    </row>
    <row r="70" customFormat="false" ht="14.25" hidden="false" customHeight="false" outlineLevel="0" collapsed="false">
      <c r="A70" s="42"/>
      <c r="B70" s="43"/>
      <c r="E70" s="51"/>
      <c r="F70" s="46"/>
      <c r="G70" s="47"/>
    </row>
    <row r="71" customFormat="false" ht="14.25" hidden="false" customHeight="false" outlineLevel="0" collapsed="false">
      <c r="A71" s="42"/>
      <c r="B71" s="43"/>
      <c r="E71" s="51"/>
      <c r="F71" s="46"/>
      <c r="G71" s="47"/>
    </row>
    <row r="72" customFormat="false" ht="14.25" hidden="false" customHeight="false" outlineLevel="0" collapsed="false">
      <c r="A72" s="42"/>
      <c r="B72" s="52"/>
      <c r="E72" s="51"/>
      <c r="F72" s="46"/>
      <c r="G72" s="47"/>
    </row>
    <row r="73" customFormat="false" ht="14.25" hidden="false" customHeight="false" outlineLevel="0" collapsed="false">
      <c r="A73" s="42"/>
      <c r="E73" s="53" t="n">
        <f aca="false">SUBTOTAL(9,E29:E72)</f>
        <v>10922998.1804799</v>
      </c>
      <c r="F73" s="54" t="n">
        <f aca="false">G73/E73</f>
        <v>0.47825249346947</v>
      </c>
      <c r="G73" s="55" t="n">
        <f aca="false">SUBTOTAL(9,G29:G72)</f>
        <v>5223951.115977</v>
      </c>
    </row>
    <row r="75" customFormat="false" ht="14.25" hidden="false" customHeight="false" outlineLevel="0" collapsed="false">
      <c r="A75" s="56"/>
    </row>
  </sheetData>
  <autoFilter ref="A28:G40"/>
  <mergeCells count="3">
    <mergeCell ref="A1:G1"/>
    <mergeCell ref="F2:G2"/>
    <mergeCell ref="A26:G26"/>
  </mergeCells>
  <printOptions headings="false" gridLines="false" gridLinesSet="true" horizontalCentered="false" verticalCentered="false"/>
  <pageMargins left="0.2" right="0.25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N117"/>
  <sheetViews>
    <sheetView showFormulas="false" showGridLines="false" showRowColHeaders="true" showZeros="true" rightToLeft="false" tabSelected="false" showOutlineSymbols="true" defaultGridColor="true" view="normal" topLeftCell="A75" colorId="64" zoomScale="80" zoomScaleNormal="80" zoomScalePageLayoutView="100" workbookViewId="0">
      <selection pane="topLeft" activeCell="K96" activeCellId="0" sqref="K96"/>
    </sheetView>
  </sheetViews>
  <sheetFormatPr defaultColWidth="9.18359375" defaultRowHeight="14.25" zeroHeight="false" outlineLevelRow="0" outlineLevelCol="0"/>
  <cols>
    <col collapsed="false" customWidth="true" hidden="false" outlineLevel="0" max="1" min="1" style="0" width="11.27"/>
    <col collapsed="false" customWidth="true" hidden="false" outlineLevel="0" max="2" min="2" style="1" width="13.54"/>
    <col collapsed="false" customWidth="true" hidden="false" outlineLevel="0" max="3" min="3" style="2" width="35.73"/>
    <col collapsed="false" customWidth="true" hidden="false" outlineLevel="0" max="4" min="4" style="0" width="13"/>
    <col collapsed="false" customWidth="true" hidden="false" outlineLevel="0" max="5" min="5" style="0" width="12.54"/>
    <col collapsed="false" customWidth="true" hidden="false" outlineLevel="0" max="6" min="6" style="3" width="12.45"/>
    <col collapsed="false" customWidth="true" hidden="false" outlineLevel="0" max="7" min="7" style="4" width="15.64"/>
    <col collapsed="false" customWidth="true" hidden="false" outlineLevel="0" max="8" min="8" style="57" width="10.82"/>
    <col collapsed="false" customWidth="true" hidden="false" outlineLevel="0" max="9" min="9" style="0" width="13"/>
    <col collapsed="false" customWidth="true" hidden="false" outlineLevel="0" max="10" min="10" style="58" width="10"/>
    <col collapsed="false" customWidth="true" hidden="false" outlineLevel="0" max="11" min="11" style="59" width="11.27"/>
    <col collapsed="false" customWidth="true" hidden="false" outlineLevel="0" max="12" min="12" style="58" width="10.27"/>
    <col collapsed="false" customWidth="true" hidden="false" outlineLevel="0" max="13" min="13" style="3" width="13.54"/>
    <col collapsed="false" customWidth="true" hidden="false" outlineLevel="0" max="14" min="14" style="0" width="6.54"/>
  </cols>
  <sheetData>
    <row r="1" customFormat="false" ht="17.35" hidden="false" customHeight="false" outlineLevel="0" collapsed="false">
      <c r="A1" s="5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customFormat="false" ht="14.25" hidden="false" customHeight="false" outlineLevel="0" collapsed="false">
      <c r="A2" s="6"/>
      <c r="B2" s="7"/>
      <c r="C2" s="8"/>
      <c r="D2" s="8"/>
      <c r="E2" s="9"/>
      <c r="F2" s="10"/>
      <c r="G2" s="10"/>
      <c r="H2" s="10"/>
    </row>
    <row r="3" s="9" customFormat="true" ht="14.25" hidden="false" customHeight="false" outlineLevel="0" collapsed="false">
      <c r="A3" s="11" t="s">
        <v>1</v>
      </c>
      <c r="B3" s="12" t="s">
        <v>2</v>
      </c>
      <c r="C3" s="13" t="s">
        <v>3</v>
      </c>
      <c r="D3" s="14" t="s">
        <v>4</v>
      </c>
      <c r="E3" s="60" t="s">
        <v>38</v>
      </c>
      <c r="F3" s="14" t="s">
        <v>4</v>
      </c>
      <c r="G3" s="61" t="s">
        <v>39</v>
      </c>
      <c r="H3" s="14" t="s">
        <v>40</v>
      </c>
      <c r="I3" s="14" t="s">
        <v>39</v>
      </c>
      <c r="J3" s="62" t="s">
        <v>39</v>
      </c>
      <c r="K3" s="63" t="s">
        <v>41</v>
      </c>
      <c r="L3" s="63"/>
      <c r="M3" s="64"/>
    </row>
    <row r="4" customFormat="false" ht="14.25" hidden="false" customHeight="false" outlineLevel="0" collapsed="false">
      <c r="A4" s="18" t="s">
        <v>5</v>
      </c>
      <c r="B4" s="65" t="n">
        <f aca="false">SUMIF(B26:B98,"Marandu",E26:E98)</f>
        <v>358245.6325</v>
      </c>
      <c r="C4" s="66" t="n">
        <f aca="false">SUMIF(B26:B98,"Marandu",G26:G98)</f>
        <v>156732.236022533</v>
      </c>
      <c r="D4" s="67" t="n">
        <f aca="false">C4/B4</f>
        <v>0.437499363017448</v>
      </c>
      <c r="E4" s="68" t="n">
        <f aca="false">SUMIF(B26:B98,"Marandu",I26:I98)</f>
        <v>358219.92</v>
      </c>
      <c r="F4" s="69" t="n">
        <f aca="false">C4/E4</f>
        <v>0.437530766079488</v>
      </c>
      <c r="G4" s="70"/>
      <c r="H4" s="66"/>
      <c r="I4" s="70"/>
      <c r="J4" s="70"/>
      <c r="K4" s="71" t="n">
        <f aca="false">SUMIF($B26:$B98,"Marandu",L26:L98)</f>
        <v>-25.7124999999733</v>
      </c>
      <c r="L4" s="72"/>
      <c r="M4" s="73"/>
    </row>
    <row r="5" customFormat="false" ht="14.25" hidden="false" customHeight="false" outlineLevel="0" collapsed="false">
      <c r="A5" s="18" t="s">
        <v>6</v>
      </c>
      <c r="B5" s="65" t="n">
        <f aca="false">SUMIF(B26:B98,"Piatã",E26:E98)</f>
        <v>51674.024</v>
      </c>
      <c r="C5" s="66" t="n">
        <f aca="false">SUMIF(B26:B98,"Piatã",G26:G98)</f>
        <v>26253.4914998053</v>
      </c>
      <c r="D5" s="67" t="n">
        <f aca="false">C5/B5</f>
        <v>0.508059745836812</v>
      </c>
      <c r="E5" s="68" t="n">
        <f aca="false">SUMIF(B26:B98,"Piatã",I26:I98)</f>
        <v>51674.02</v>
      </c>
      <c r="F5" s="69" t="n">
        <f aca="false">C5/E5</f>
        <v>0.508059785164872</v>
      </c>
      <c r="G5" s="70"/>
      <c r="H5" s="66"/>
      <c r="I5" s="70"/>
      <c r="J5" s="70"/>
      <c r="K5" s="74" t="n">
        <f aca="false">SUMIF($B26:$B98,"Piatã",L26:L98)</f>
        <v>-0.00400000000036016</v>
      </c>
      <c r="L5" s="72"/>
      <c r="M5" s="73"/>
    </row>
    <row r="6" customFormat="false" ht="14.25" hidden="false" customHeight="false" outlineLevel="0" collapsed="false">
      <c r="A6" s="18" t="s">
        <v>7</v>
      </c>
      <c r="B6" s="65" t="n">
        <f aca="false">SUMIF(B26:B98,"Decumbens",E26:E98)</f>
        <v>111176.892</v>
      </c>
      <c r="C6" s="75" t="n">
        <f aca="false">SUMIF(B26:B98,"Decumbens",G26:G98)</f>
        <v>66394.6847251725</v>
      </c>
      <c r="D6" s="67" t="n">
        <f aca="false">C6/B6</f>
        <v>0.597198604231287</v>
      </c>
      <c r="E6" s="68" t="n">
        <f aca="false">SUMIF(B26:B98,"Decumbens",I26:I98)</f>
        <v>111176.89</v>
      </c>
      <c r="F6" s="69" t="n">
        <f aca="false">C6/E6</f>
        <v>0.597198614974501</v>
      </c>
      <c r="G6" s="70"/>
      <c r="H6" s="66"/>
      <c r="I6" s="70"/>
      <c r="J6" s="70"/>
      <c r="K6" s="71" t="n">
        <f aca="false">SUMIF($B26:$B98,"Decumbens",L26:L98)</f>
        <v>-0.00200000000768341</v>
      </c>
      <c r="L6" s="72"/>
      <c r="M6" s="73"/>
    </row>
    <row r="7" customFormat="false" ht="14.25" hidden="false" customHeight="false" outlineLevel="0" collapsed="false">
      <c r="A7" s="18" t="s">
        <v>42</v>
      </c>
      <c r="B7" s="65" t="n">
        <f aca="false">SUMIF(B26:B98,"Xaraes",E26:E98)</f>
        <v>257503.43</v>
      </c>
      <c r="C7" s="75" t="n">
        <f aca="false">SUMIF(B26:B98,"Xaraes",G26:G98)</f>
        <v>155108.072728864</v>
      </c>
      <c r="D7" s="67" t="n">
        <f aca="false">C7/B7</f>
        <v>0.602353423909202</v>
      </c>
      <c r="E7" s="68" t="n">
        <f aca="false">SUMIF(B26:B98,"Xaraes",I26:I98)</f>
        <v>256603.43</v>
      </c>
      <c r="F7" s="69" t="n">
        <f aca="false">C7/E7</f>
        <v>0.604466092790979</v>
      </c>
      <c r="G7" s="70"/>
      <c r="H7" s="66"/>
      <c r="I7" s="70"/>
      <c r="J7" s="70"/>
      <c r="K7" s="74" t="n">
        <f aca="false">SUMIF($B26:$B98,"Xaraes",L26:L98)</f>
        <v>-900</v>
      </c>
      <c r="L7" s="72"/>
      <c r="M7" s="73"/>
    </row>
    <row r="8" customFormat="false" ht="14.25" hidden="false" customHeight="false" outlineLevel="0" collapsed="false">
      <c r="A8" s="18" t="s">
        <v>14</v>
      </c>
      <c r="B8" s="65" t="n">
        <f aca="false">SUMIF(B26:B98,"Integra",E26:E98)</f>
        <v>317883.58</v>
      </c>
      <c r="C8" s="66" t="n">
        <f aca="false">SUMIF(B26:B98,"Integra",G26:G98)</f>
        <v>83791.8670030761</v>
      </c>
      <c r="D8" s="67" t="n">
        <f aca="false">C8/B8</f>
        <v>0.263592938657216</v>
      </c>
      <c r="E8" s="68" t="n">
        <f aca="false">SUMIF(B26:B98,"Integra",I26:I98)</f>
        <v>317883.58</v>
      </c>
      <c r="F8" s="69" t="n">
        <f aca="false">C8/E8</f>
        <v>0.263592938657216</v>
      </c>
      <c r="G8" s="70"/>
      <c r="H8" s="66"/>
      <c r="I8" s="70"/>
      <c r="J8" s="70"/>
      <c r="K8" s="71" t="n">
        <f aca="false">SUMIF($B26:$B98,"Integra",L26:L98)</f>
        <v>0</v>
      </c>
      <c r="L8" s="72"/>
      <c r="M8" s="73"/>
    </row>
    <row r="9" customFormat="false" ht="14.25" hidden="false" customHeight="false" outlineLevel="0" collapsed="false">
      <c r="A9" s="18" t="s">
        <v>10</v>
      </c>
      <c r="B9" s="65" t="n">
        <f aca="false">SUMIF(B26:B98,"Ruziziensis",E26:E98)</f>
        <v>823125.15</v>
      </c>
      <c r="C9" s="66" t="n">
        <f aca="false">SUMIF(B26:B98,"Ruziziensis",G26:G98)</f>
        <v>198719.108007478</v>
      </c>
      <c r="D9" s="67" t="n">
        <f aca="false">C9/B9</f>
        <v>0.241420284640165</v>
      </c>
      <c r="E9" s="68" t="n">
        <f aca="false">SUMIF(B26:B98,"Ruziziensis",I26:I98)</f>
        <v>823125.15</v>
      </c>
      <c r="F9" s="69" t="n">
        <f aca="false">C9/E9</f>
        <v>0.241420284640165</v>
      </c>
      <c r="G9" s="70"/>
      <c r="H9" s="66"/>
      <c r="I9" s="70"/>
      <c r="J9" s="70"/>
      <c r="K9" s="71" t="n">
        <f aca="false">SUMIF($B26:$B98,"Ruziziensis",L26:L98)</f>
        <v>0</v>
      </c>
      <c r="L9" s="72"/>
      <c r="M9" s="73"/>
    </row>
    <row r="10" customFormat="false" ht="14.25" hidden="false" customHeight="false" outlineLevel="0" collapsed="false">
      <c r="A10" s="18" t="s">
        <v>11</v>
      </c>
      <c r="B10" s="65" t="n">
        <f aca="false">SUMIF(B26:B98,"humidicola",E26:E98)</f>
        <v>19652.505</v>
      </c>
      <c r="C10" s="66" t="n">
        <f aca="false">SUMIF(B26:B98,"humidicola",G26:G98)</f>
        <v>74801.7797056026</v>
      </c>
      <c r="D10" s="67" t="n">
        <f aca="false">C10/B10</f>
        <v>3.80622112578537</v>
      </c>
      <c r="E10" s="68" t="n">
        <f aca="false">SUMIF(B26:B104,"Humidicola",I26:I98)</f>
        <v>19652.51</v>
      </c>
      <c r="F10" s="69" t="n">
        <f aca="false">C10/E10</f>
        <v>3.80622015740496</v>
      </c>
      <c r="G10" s="70"/>
      <c r="H10" s="66"/>
      <c r="I10" s="70"/>
      <c r="J10" s="70"/>
      <c r="K10" s="74" t="n">
        <f aca="false">SUMIF($B26:$B98,"Humidicola",L26:L98)</f>
        <v>0.00499999999738066</v>
      </c>
      <c r="L10" s="72"/>
      <c r="M10" s="73"/>
    </row>
    <row r="11" customFormat="false" ht="14.25" hidden="false" customHeight="false" outlineLevel="0" collapsed="false">
      <c r="A11" s="18" t="s">
        <v>12</v>
      </c>
      <c r="B11" s="65" t="n">
        <f aca="false">SUMIF(B26:B98,"Llanero",E26:E98)</f>
        <v>0</v>
      </c>
      <c r="C11" s="66" t="n">
        <f aca="false">SUMIF(B26:B98,"Llanero",G26:G98)</f>
        <v>0</v>
      </c>
      <c r="D11" s="67" t="e">
        <f aca="false">C11/B11</f>
        <v>#DIV/0!</v>
      </c>
      <c r="E11" s="68" t="n">
        <f aca="false">SUMIF(B26:B98,"Llanero",I26:I98)</f>
        <v>0</v>
      </c>
      <c r="F11" s="69" t="e">
        <f aca="false">C11/E11</f>
        <v>#DIV/0!</v>
      </c>
      <c r="G11" s="70"/>
      <c r="H11" s="66"/>
      <c r="I11" s="70"/>
      <c r="J11" s="70"/>
      <c r="K11" s="71" t="n">
        <f aca="false">SUMIF($B26:$B98,"Llanero",L26:L98)</f>
        <v>0</v>
      </c>
      <c r="L11" s="72"/>
      <c r="M11" s="73"/>
    </row>
    <row r="12" customFormat="false" ht="14.25" hidden="false" customHeight="false" outlineLevel="0" collapsed="false">
      <c r="A12" s="18" t="s">
        <v>13</v>
      </c>
      <c r="B12" s="65" t="n">
        <f aca="false">SUMIF(B26:B98,"Mombaça",E26:E98)</f>
        <v>256725</v>
      </c>
      <c r="C12" s="66" t="n">
        <f aca="false">SUMIF(B26:B98,"Mombaça",G26:G98)</f>
        <v>217431.057461573</v>
      </c>
      <c r="D12" s="67" t="n">
        <f aca="false">C12/B12</f>
        <v>0.846941503404704</v>
      </c>
      <c r="E12" s="68" t="n">
        <f aca="false">SUMIF(B26:B98,"Mombaça",I26:I98)</f>
        <v>256725</v>
      </c>
      <c r="F12" s="69" t="n">
        <f aca="false">C12/E12</f>
        <v>0.846941503404704</v>
      </c>
      <c r="G12" s="70"/>
      <c r="H12" s="66"/>
      <c r="I12" s="70"/>
      <c r="J12" s="70"/>
      <c r="K12" s="74" t="n">
        <f aca="false">SUMIF($B26:$B98,"Mombaça",L26:L98)</f>
        <v>0</v>
      </c>
      <c r="L12" s="72"/>
      <c r="M12" s="73"/>
    </row>
    <row r="13" customFormat="false" ht="14.25" hidden="false" customHeight="false" outlineLevel="0" collapsed="false">
      <c r="A13" s="18" t="s">
        <v>18</v>
      </c>
      <c r="B13" s="65" t="n">
        <f aca="false">SUMIF(B26:B98,"Paiaguas",E26:E98)</f>
        <v>107133.57</v>
      </c>
      <c r="C13" s="66" t="n">
        <f aca="false">SUMIF(B26:B98,"Paiaguas",G26:G98)</f>
        <v>106893.042209018</v>
      </c>
      <c r="D13" s="67" t="n">
        <f aca="false">C13/B13</f>
        <v>0.99775487934378</v>
      </c>
      <c r="E13" s="68" t="n">
        <f aca="false">SUMIF(B26:B98,"Paiaguas",I26:I98)</f>
        <v>107133.57</v>
      </c>
      <c r="F13" s="69" t="n">
        <f aca="false">C13/E13</f>
        <v>0.99775487934378</v>
      </c>
      <c r="G13" s="70"/>
      <c r="H13" s="66"/>
      <c r="I13" s="70"/>
      <c r="J13" s="70"/>
      <c r="K13" s="71" t="n">
        <f aca="false">SUMIF($B26:$B98,"Ipyporã",L26:L98)</f>
        <v>0</v>
      </c>
      <c r="L13" s="72"/>
      <c r="M13" s="73"/>
    </row>
    <row r="14" customFormat="false" ht="14.25" hidden="false" customHeight="false" outlineLevel="0" collapsed="false">
      <c r="A14" s="18" t="s">
        <v>15</v>
      </c>
      <c r="B14" s="65" t="n">
        <f aca="false">SUMIF(B26:B98,"Massai",E26:E98)</f>
        <v>57662.428</v>
      </c>
      <c r="C14" s="66" t="n">
        <f aca="false">SUMIF(B26:B98,"Massai",G26:G98)</f>
        <v>37845.1543772793</v>
      </c>
      <c r="D14" s="67" t="n">
        <f aca="false">C14/B14</f>
        <v>0.656322594970841</v>
      </c>
      <c r="E14" s="68" t="n">
        <f aca="false">SUMIF(B26:B98,"Massai",I26:I98)</f>
        <v>57662.43</v>
      </c>
      <c r="F14" s="69" t="n">
        <f aca="false">C14/E14</f>
        <v>0.656322572206535</v>
      </c>
      <c r="G14" s="70"/>
      <c r="H14" s="66"/>
      <c r="I14" s="70"/>
      <c r="J14" s="70"/>
      <c r="K14" s="74" t="n">
        <f aca="false">SUMIF($B26:$B98,"Massai",L26:L98)</f>
        <v>0.00200000000404543</v>
      </c>
      <c r="L14" s="72"/>
      <c r="M14" s="73"/>
    </row>
    <row r="15" customFormat="false" ht="14.25" hidden="false" customHeight="false" outlineLevel="0" collapsed="false">
      <c r="A15" s="18" t="s">
        <v>16</v>
      </c>
      <c r="B15" s="65" t="n">
        <f aca="false">SUMIF(B26:B98,"Aruana",E26:E98)</f>
        <v>8437.5</v>
      </c>
      <c r="C15" s="66" t="n">
        <f aca="false">SUMIF(B26:B98,"Aruana",G26:G98)</f>
        <v>9007.5</v>
      </c>
      <c r="D15" s="67" t="n">
        <f aca="false">C15/B15</f>
        <v>1.06755555555556</v>
      </c>
      <c r="E15" s="68" t="n">
        <f aca="false">SUMIF(B26:B98,"Aruana",I26:I98)</f>
        <v>8437.5</v>
      </c>
      <c r="F15" s="69" t="n">
        <f aca="false">C15/E15</f>
        <v>1.06755555555556</v>
      </c>
      <c r="G15" s="70"/>
      <c r="H15" s="66"/>
      <c r="I15" s="70"/>
      <c r="J15" s="70"/>
      <c r="K15" s="74" t="n">
        <f aca="false">SUMIF($B26:$B98,"Aruana",L26:L98)</f>
        <v>0</v>
      </c>
      <c r="L15" s="72"/>
      <c r="M15" s="73"/>
    </row>
    <row r="16" customFormat="false" ht="14.25" hidden="false" customHeight="false" outlineLevel="0" collapsed="false">
      <c r="A16" s="18" t="s">
        <v>17</v>
      </c>
      <c r="B16" s="65" t="n">
        <f aca="false">SUMIF(B26:B98,"Zuri",E26:E98)</f>
        <v>57829.997</v>
      </c>
      <c r="C16" s="66" t="n">
        <f aca="false">SUMIF(B26:B98,"Zuri",G26:G98)</f>
        <v>52238.0277756386</v>
      </c>
      <c r="D16" s="67" t="n">
        <f aca="false">C16/B16</f>
        <v>0.903303311180158</v>
      </c>
      <c r="E16" s="68" t="n">
        <f aca="false">SUMIF(B26:B98,"Zuri",I26:I98)</f>
        <v>57492.5</v>
      </c>
      <c r="F16" s="69" t="n">
        <f aca="false">C16/E16</f>
        <v>0.908605953396331</v>
      </c>
      <c r="G16" s="70"/>
      <c r="H16" s="66"/>
      <c r="I16" s="70"/>
      <c r="J16" s="70"/>
      <c r="K16" s="74" t="n">
        <f aca="false">SUMIF($B26:$B98,"Zuri",L26:L98)</f>
        <v>-337.496999999999</v>
      </c>
      <c r="L16" s="72"/>
      <c r="M16" s="73"/>
    </row>
    <row r="17" customFormat="false" ht="14.25" hidden="false" customHeight="false" outlineLevel="0" collapsed="false">
      <c r="A17" s="18" t="s">
        <v>22</v>
      </c>
      <c r="B17" s="65" t="n">
        <f aca="false">SUMIF(B26:B98,"Quenia",E26:E98)</f>
        <v>0</v>
      </c>
      <c r="C17" s="66" t="n">
        <f aca="false">SUMIF(B26:B98,"Quenia",G26:G98)</f>
        <v>0</v>
      </c>
      <c r="D17" s="67" t="e">
        <f aca="false">C17/B17</f>
        <v>#DIV/0!</v>
      </c>
      <c r="E17" s="68" t="n">
        <f aca="false">SUMIF(B26:B98,"Quenia",I26:I98)</f>
        <v>0</v>
      </c>
      <c r="F17" s="69" t="e">
        <f aca="false">C17/E17</f>
        <v>#DIV/0!</v>
      </c>
      <c r="G17" s="70"/>
      <c r="H17" s="66"/>
      <c r="I17" s="70"/>
      <c r="J17" s="70"/>
      <c r="K17" s="71" t="n">
        <f aca="false">SUMIF($B26:$B98,"Quenia",L26:L98)</f>
        <v>0</v>
      </c>
      <c r="L17" s="72"/>
      <c r="M17" s="73"/>
    </row>
    <row r="18" customFormat="false" ht="14.25" hidden="false" customHeight="false" outlineLevel="0" collapsed="false">
      <c r="A18" s="18" t="s">
        <v>19</v>
      </c>
      <c r="B18" s="65" t="n">
        <f aca="false">SUMIF(B26:B98,"Tamani",E26:E98)</f>
        <v>148873.626</v>
      </c>
      <c r="C18" s="66" t="n">
        <f aca="false">SUMIF(B26:B98,"Tamani",G26:G98)</f>
        <v>123309.300401624</v>
      </c>
      <c r="D18" s="67" t="n">
        <f aca="false">C18/B18</f>
        <v>0.828281702506686</v>
      </c>
      <c r="E18" s="68" t="n">
        <f aca="false">SUMIF(B26:B98,"Tamani",I26:I98)</f>
        <v>148873.63</v>
      </c>
      <c r="F18" s="69" t="n">
        <f aca="false">C18/E18</f>
        <v>0.828281680252061</v>
      </c>
      <c r="G18" s="70"/>
      <c r="H18" s="66"/>
      <c r="I18" s="70"/>
      <c r="J18" s="70"/>
      <c r="K18" s="71" t="n">
        <f aca="false">SUMIF($B26:$B98,"Tamani",L26:L98)</f>
        <v>0.00400000001536682</v>
      </c>
      <c r="L18" s="72"/>
      <c r="M18" s="73"/>
    </row>
    <row r="19" customFormat="false" ht="14.25" hidden="false" customHeight="false" outlineLevel="0" collapsed="false">
      <c r="A19" s="18" t="s">
        <v>21</v>
      </c>
      <c r="B19" s="65" t="n">
        <f aca="false">SUMIF(B26:B98,"Milheto",E26:E98)</f>
        <v>2050</v>
      </c>
      <c r="C19" s="66" t="n">
        <f aca="false">SUMIF(B26:B98,"Milheto",G26:G98)</f>
        <v>12792</v>
      </c>
      <c r="D19" s="67" t="n">
        <f aca="false">C19/B19</f>
        <v>6.24</v>
      </c>
      <c r="E19" s="68" t="n">
        <f aca="false">SUMIF(B26:B98,"Milheto",I26:I98)</f>
        <v>2050</v>
      </c>
      <c r="F19" s="69" t="n">
        <f aca="false">C19/E19</f>
        <v>6.24</v>
      </c>
      <c r="G19" s="70"/>
      <c r="H19" s="66"/>
      <c r="I19" s="70"/>
      <c r="J19" s="70"/>
      <c r="K19" s="71" t="n">
        <f aca="false">SUMIF($B26:$B98,"Milheto",L26:L98)</f>
        <v>0</v>
      </c>
      <c r="L19" s="72"/>
      <c r="M19" s="73"/>
    </row>
    <row r="20" customFormat="false" ht="14.25" hidden="false" customHeight="false" outlineLevel="0" collapsed="false">
      <c r="A20" s="18" t="s">
        <v>23</v>
      </c>
      <c r="B20" s="65" t="n">
        <f aca="false">SUMIF(B26:B98,"Estilosante",E26:E98)</f>
        <v>0</v>
      </c>
      <c r="C20" s="66" t="n">
        <f aca="false">SUMIF(B26:B98,"Estilosantes",G26:G98)</f>
        <v>0</v>
      </c>
      <c r="D20" s="67" t="e">
        <f aca="false">C20/B20</f>
        <v>#DIV/0!</v>
      </c>
      <c r="E20" s="68" t="n">
        <f aca="false">SUMIF(B26:B98,"Estilosante",I26:I98)</f>
        <v>0</v>
      </c>
      <c r="F20" s="69" t="e">
        <f aca="false">C20/E20</f>
        <v>#DIV/0!</v>
      </c>
      <c r="G20" s="70"/>
      <c r="H20" s="66"/>
      <c r="I20" s="70"/>
      <c r="J20" s="70"/>
      <c r="K20" s="74" t="n">
        <f aca="false">SUMIF($B26:$B98,"Estilosantes",L26:L98)</f>
        <v>0</v>
      </c>
      <c r="L20" s="72"/>
      <c r="M20" s="73"/>
    </row>
    <row r="21" customFormat="false" ht="14.25" hidden="false" customHeight="false" outlineLevel="0" collapsed="false">
      <c r="A21" s="18" t="s">
        <v>25</v>
      </c>
      <c r="B21" s="76" t="n">
        <f aca="false">SUM(B4:B20)</f>
        <v>2577973.3345</v>
      </c>
      <c r="C21" s="77" t="n">
        <f aca="false">SUM(C4:C20)</f>
        <v>1321317.32191766</v>
      </c>
      <c r="D21" s="78" t="n">
        <f aca="false">C21/B21</f>
        <v>0.512541112910283</v>
      </c>
      <c r="E21" s="79" t="n">
        <f aca="false">SUM(E4:E20)</f>
        <v>2576710.13</v>
      </c>
      <c r="F21" s="80" t="n">
        <f aca="false">C21/E21</f>
        <v>0.512792380692687</v>
      </c>
      <c r="G21" s="81"/>
      <c r="H21" s="77"/>
      <c r="I21" s="81"/>
      <c r="J21" s="81"/>
      <c r="K21" s="82" t="n">
        <f aca="false">SUM(K4:K20)</f>
        <v>-1263.20449999996</v>
      </c>
      <c r="L21" s="83"/>
    </row>
    <row r="23" customFormat="false" ht="17.35" hidden="false" customHeight="false" outlineLevel="0" collapsed="false">
      <c r="A23" s="32" t="s">
        <v>26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customFormat="false" ht="14.25" hidden="false" customHeight="false" outlineLevel="0" collapsed="false">
      <c r="A24" s="33"/>
      <c r="B24" s="84"/>
      <c r="C24" s="34"/>
      <c r="D24" s="35"/>
      <c r="E24" s="35"/>
      <c r="F24" s="36"/>
      <c r="G24" s="37"/>
      <c r="H24" s="85"/>
      <c r="I24" s="86"/>
      <c r="J24" s="87"/>
      <c r="K24" s="85"/>
      <c r="L24" s="87"/>
      <c r="M24" s="88"/>
    </row>
    <row r="25" customFormat="false" ht="14.25" hidden="false" customHeight="false" outlineLevel="0" collapsed="false">
      <c r="A25" s="38" t="s">
        <v>27</v>
      </c>
      <c r="B25" s="41" t="s">
        <v>28</v>
      </c>
      <c r="C25" s="40" t="s">
        <v>29</v>
      </c>
      <c r="D25" s="89" t="s">
        <v>43</v>
      </c>
      <c r="E25" s="89" t="s">
        <v>44</v>
      </c>
      <c r="F25" s="90" t="s">
        <v>45</v>
      </c>
      <c r="G25" s="41" t="s">
        <v>33</v>
      </c>
      <c r="H25" s="91" t="s">
        <v>46</v>
      </c>
      <c r="I25" s="38" t="s">
        <v>47</v>
      </c>
      <c r="J25" s="92" t="s">
        <v>48</v>
      </c>
      <c r="K25" s="91" t="s">
        <v>49</v>
      </c>
      <c r="L25" s="93" t="s">
        <v>50</v>
      </c>
      <c r="M25" s="94" t="s">
        <v>51</v>
      </c>
      <c r="N25" s="93" t="s">
        <v>50</v>
      </c>
    </row>
    <row r="26" customFormat="false" ht="14.25" hidden="false" customHeight="false" outlineLevel="0" collapsed="false">
      <c r="A26" s="42" t="n">
        <v>45413</v>
      </c>
      <c r="B26" s="1" t="s">
        <v>52</v>
      </c>
      <c r="C26" s="2" t="s">
        <v>53</v>
      </c>
      <c r="D26" s="95" t="n">
        <v>25.71</v>
      </c>
      <c r="E26" s="96" t="n">
        <f aca="false">H26*D26</f>
        <v>385.65</v>
      </c>
      <c r="F26" s="46" t="n">
        <f aca="false">G26/E26</f>
        <v>0.61610268378063</v>
      </c>
      <c r="G26" s="47" t="n">
        <v>237.6</v>
      </c>
      <c r="H26" s="97" t="n">
        <v>15</v>
      </c>
      <c r="I26" s="96" t="n">
        <v>359.94</v>
      </c>
      <c r="J26" s="98" t="n">
        <v>14</v>
      </c>
      <c r="K26" s="95" t="n">
        <f aca="false">I26/J26</f>
        <v>25.71</v>
      </c>
      <c r="L26" s="99" t="n">
        <f aca="false">I26-E26</f>
        <v>-25.71</v>
      </c>
      <c r="M26" s="100" t="n">
        <f aca="false">G26/I26</f>
        <v>0.660110018336389</v>
      </c>
      <c r="N26" s="49" t="n">
        <f aca="false">J26-H26</f>
        <v>-1</v>
      </c>
    </row>
    <row r="27" customFormat="false" ht="14.25" hidden="false" customHeight="false" outlineLevel="0" collapsed="false">
      <c r="A27" s="42" t="n">
        <v>45413</v>
      </c>
      <c r="B27" s="1" t="s">
        <v>10</v>
      </c>
      <c r="C27" s="2" t="s">
        <v>54</v>
      </c>
      <c r="D27" s="95" t="n">
        <v>38.3</v>
      </c>
      <c r="E27" s="96" t="n">
        <f aca="false">H27*D27</f>
        <v>19533</v>
      </c>
      <c r="F27" s="46" t="n">
        <f aca="false">G27/E27</f>
        <v>0.355352480417755</v>
      </c>
      <c r="G27" s="47" t="n">
        <v>6941.1</v>
      </c>
      <c r="H27" s="97" t="n">
        <v>510</v>
      </c>
      <c r="I27" s="96" t="n">
        <v>19533</v>
      </c>
      <c r="J27" s="98" t="n">
        <v>510</v>
      </c>
      <c r="K27" s="95" t="n">
        <f aca="false">I27/J27</f>
        <v>38.3</v>
      </c>
      <c r="L27" s="99" t="n">
        <f aca="false">I27-E27</f>
        <v>0</v>
      </c>
      <c r="M27" s="100" t="n">
        <f aca="false">G27/I27</f>
        <v>0.355352480417755</v>
      </c>
      <c r="N27" s="49" t="n">
        <f aca="false">J27-H27</f>
        <v>0</v>
      </c>
    </row>
    <row r="28" customFormat="false" ht="15" hidden="false" customHeight="true" outlineLevel="0" collapsed="false">
      <c r="A28" s="42" t="n">
        <v>45413</v>
      </c>
      <c r="B28" s="1" t="s">
        <v>10</v>
      </c>
      <c r="C28" s="2" t="s">
        <v>55</v>
      </c>
      <c r="D28" s="95" t="n">
        <v>25.71</v>
      </c>
      <c r="E28" s="96" t="n">
        <f aca="false">H28*D28</f>
        <v>385.65</v>
      </c>
      <c r="F28" s="46" t="n">
        <f aca="false">G28/E28</f>
        <v>0.398677557370673</v>
      </c>
      <c r="G28" s="47" t="n">
        <v>153.75</v>
      </c>
      <c r="H28" s="97" t="n">
        <v>15</v>
      </c>
      <c r="I28" s="96" t="n">
        <v>385.65</v>
      </c>
      <c r="J28" s="98" t="n">
        <v>15</v>
      </c>
      <c r="K28" s="95" t="n">
        <f aca="false">I28/J28</f>
        <v>25.71</v>
      </c>
      <c r="L28" s="99" t="n">
        <f aca="false">I28-E28</f>
        <v>0</v>
      </c>
      <c r="M28" s="100" t="n">
        <f aca="false">G28/I28</f>
        <v>0.398677557370673</v>
      </c>
      <c r="N28" s="49" t="n">
        <f aca="false">J28-H28</f>
        <v>0</v>
      </c>
    </row>
    <row r="29" customFormat="false" ht="14.25" hidden="false" customHeight="false" outlineLevel="0" collapsed="false">
      <c r="A29" s="42" t="n">
        <v>45413</v>
      </c>
      <c r="B29" s="1" t="s">
        <v>13</v>
      </c>
      <c r="C29" s="2" t="s">
        <v>56</v>
      </c>
      <c r="D29" s="95" t="n">
        <v>37.5</v>
      </c>
      <c r="E29" s="96" t="n">
        <f aca="false">H29*D29</f>
        <v>1687.5</v>
      </c>
      <c r="F29" s="46" t="n">
        <f aca="false">G29/E29</f>
        <v>0.844</v>
      </c>
      <c r="G29" s="47" t="n">
        <v>1424.25</v>
      </c>
      <c r="H29" s="97" t="n">
        <v>45</v>
      </c>
      <c r="I29" s="96" t="n">
        <v>1687.5</v>
      </c>
      <c r="J29" s="98" t="n">
        <v>45</v>
      </c>
      <c r="K29" s="95" t="n">
        <f aca="false">I29/J29</f>
        <v>37.5</v>
      </c>
      <c r="L29" s="99" t="n">
        <f aca="false">I29-E29</f>
        <v>0</v>
      </c>
      <c r="M29" s="100" t="n">
        <f aca="false">G29/I29</f>
        <v>0.844</v>
      </c>
      <c r="N29" s="49" t="n">
        <f aca="false">J29-H29</f>
        <v>0</v>
      </c>
    </row>
    <row r="30" customFormat="false" ht="14.25" hidden="false" customHeight="false" outlineLevel="0" collapsed="false">
      <c r="A30" s="42" t="n">
        <v>45413</v>
      </c>
      <c r="B30" s="1" t="s">
        <v>21</v>
      </c>
      <c r="C30" s="2" t="s">
        <v>57</v>
      </c>
      <c r="D30" s="95" t="n">
        <v>1</v>
      </c>
      <c r="E30" s="96" t="n">
        <f aca="false">H30*D30</f>
        <v>2050</v>
      </c>
      <c r="F30" s="46" t="n">
        <f aca="false">G30/E30</f>
        <v>6.24</v>
      </c>
      <c r="G30" s="47" t="n">
        <v>12792</v>
      </c>
      <c r="H30" s="97" t="n">
        <v>2050</v>
      </c>
      <c r="I30" s="96" t="n">
        <v>2050</v>
      </c>
      <c r="J30" s="98" t="n">
        <v>2050</v>
      </c>
      <c r="K30" s="95" t="n">
        <f aca="false">I30/J30</f>
        <v>1</v>
      </c>
      <c r="L30" s="99" t="n">
        <f aca="false">I30-E30</f>
        <v>0</v>
      </c>
      <c r="M30" s="100" t="n">
        <f aca="false">G30/I30</f>
        <v>6.24</v>
      </c>
      <c r="N30" s="49" t="n">
        <f aca="false">J30-H30</f>
        <v>0</v>
      </c>
    </row>
    <row r="31" customFormat="false" ht="14.25" hidden="false" customHeight="false" outlineLevel="0" collapsed="false">
      <c r="A31" s="42" t="n">
        <v>45413</v>
      </c>
      <c r="B31" s="1" t="s">
        <v>6</v>
      </c>
      <c r="C31" s="2" t="s">
        <v>57</v>
      </c>
      <c r="D31" s="95" t="n">
        <v>45</v>
      </c>
      <c r="E31" s="96" t="n">
        <f aca="false">H31*D31</f>
        <v>2025</v>
      </c>
      <c r="F31" s="46" t="n">
        <f aca="false">G31/E31</f>
        <v>0.561111111111111</v>
      </c>
      <c r="G31" s="47" t="n">
        <v>1136.25</v>
      </c>
      <c r="H31" s="97" t="n">
        <v>45</v>
      </c>
      <c r="I31" s="96" t="n">
        <v>2025</v>
      </c>
      <c r="J31" s="98" t="n">
        <v>45</v>
      </c>
      <c r="K31" s="95" t="n">
        <f aca="false">I31/J31</f>
        <v>45</v>
      </c>
      <c r="L31" s="99" t="n">
        <f aca="false">I31-E31</f>
        <v>0</v>
      </c>
      <c r="M31" s="100" t="n">
        <f aca="false">G31/I31</f>
        <v>0.561111111111111</v>
      </c>
      <c r="N31" s="49" t="n">
        <f aca="false">J31-H31</f>
        <v>0</v>
      </c>
    </row>
    <row r="32" customFormat="false" ht="14.25" hidden="false" customHeight="false" outlineLevel="0" collapsed="false">
      <c r="A32" s="42" t="n">
        <v>45413</v>
      </c>
      <c r="B32" s="1" t="s">
        <v>17</v>
      </c>
      <c r="C32" s="2" t="s">
        <v>57</v>
      </c>
      <c r="D32" s="95" t="n">
        <v>37.5</v>
      </c>
      <c r="E32" s="96" t="n">
        <f aca="false">H32*D32</f>
        <v>2250</v>
      </c>
      <c r="F32" s="46" t="n">
        <f aca="false">G32/E32</f>
        <v>1.00053333333333</v>
      </c>
      <c r="G32" s="47" t="n">
        <v>2251.2</v>
      </c>
      <c r="H32" s="97" t="n">
        <v>60</v>
      </c>
      <c r="I32" s="96" t="n">
        <v>2250</v>
      </c>
      <c r="J32" s="98" t="n">
        <v>60</v>
      </c>
      <c r="K32" s="95" t="n">
        <f aca="false">I32/J32</f>
        <v>37.5</v>
      </c>
      <c r="L32" s="99" t="n">
        <f aca="false">I32-E32</f>
        <v>0</v>
      </c>
      <c r="M32" s="100" t="n">
        <f aca="false">G32/I32</f>
        <v>1.00053333333333</v>
      </c>
      <c r="N32" s="49" t="n">
        <f aca="false">J32-H32</f>
        <v>0</v>
      </c>
    </row>
    <row r="33" customFormat="false" ht="14.25" hidden="false" customHeight="false" outlineLevel="0" collapsed="false">
      <c r="A33" s="42" t="n">
        <v>45413</v>
      </c>
      <c r="B33" s="1" t="s">
        <v>17</v>
      </c>
      <c r="C33" s="2" t="s">
        <v>57</v>
      </c>
      <c r="D33" s="95" t="n">
        <v>22.5</v>
      </c>
      <c r="E33" s="96" t="n">
        <f aca="false">H33*D33</f>
        <v>1687.5</v>
      </c>
      <c r="F33" s="46" t="n">
        <f aca="false">G33/E33</f>
        <v>1.06755555555556</v>
      </c>
      <c r="G33" s="47" t="n">
        <v>1801.5</v>
      </c>
      <c r="H33" s="97" t="n">
        <v>75</v>
      </c>
      <c r="I33" s="96" t="n">
        <v>1687.5</v>
      </c>
      <c r="J33" s="98" t="n">
        <v>75</v>
      </c>
      <c r="K33" s="95" t="n">
        <f aca="false">I33/J33</f>
        <v>22.5</v>
      </c>
      <c r="L33" s="99" t="n">
        <f aca="false">I33-E33</f>
        <v>0</v>
      </c>
      <c r="M33" s="100" t="n">
        <f aca="false">G33/I33</f>
        <v>1.06755555555556</v>
      </c>
      <c r="N33" s="49" t="n">
        <f aca="false">J33-H33</f>
        <v>0</v>
      </c>
    </row>
    <row r="34" customFormat="false" ht="14.25" hidden="false" customHeight="false" outlineLevel="0" collapsed="false">
      <c r="A34" s="42" t="n">
        <v>45413</v>
      </c>
      <c r="B34" s="1" t="s">
        <v>15</v>
      </c>
      <c r="C34" s="2" t="s">
        <v>58</v>
      </c>
      <c r="D34" s="95" t="n">
        <v>22.5</v>
      </c>
      <c r="E34" s="96" t="n">
        <f aca="false">H34*D34</f>
        <v>337.5</v>
      </c>
      <c r="F34" s="46" t="n">
        <f aca="false">G34/E34</f>
        <v>1.22711111111111</v>
      </c>
      <c r="G34" s="47" t="n">
        <v>414.15</v>
      </c>
      <c r="H34" s="97" t="n">
        <v>15</v>
      </c>
      <c r="I34" s="96" t="n">
        <v>337.5</v>
      </c>
      <c r="J34" s="98" t="n">
        <v>15</v>
      </c>
      <c r="K34" s="95" t="n">
        <f aca="false">I34/J34</f>
        <v>22.5</v>
      </c>
      <c r="L34" s="99" t="n">
        <f aca="false">I34-E34</f>
        <v>0</v>
      </c>
      <c r="M34" s="100" t="n">
        <f aca="false">G34/I34</f>
        <v>1.22711111111111</v>
      </c>
      <c r="N34" s="49" t="n">
        <f aca="false">J34-H34</f>
        <v>0</v>
      </c>
    </row>
    <row r="35" customFormat="false" ht="14.25" hidden="false" customHeight="false" outlineLevel="0" collapsed="false">
      <c r="A35" s="42" t="n">
        <v>45413</v>
      </c>
      <c r="B35" s="1" t="s">
        <v>10</v>
      </c>
      <c r="C35" s="2" t="s">
        <v>59</v>
      </c>
      <c r="D35" s="95" t="n">
        <v>38.3</v>
      </c>
      <c r="E35" s="96" t="n">
        <f aca="false">H35*D35</f>
        <v>126390</v>
      </c>
      <c r="F35" s="46" t="n">
        <f aca="false">G35/E35</f>
        <v>0.355352480417755</v>
      </c>
      <c r="G35" s="47" t="n">
        <v>44913</v>
      </c>
      <c r="H35" s="97" t="n">
        <v>3300</v>
      </c>
      <c r="I35" s="96" t="n">
        <v>126390</v>
      </c>
      <c r="J35" s="98" t="n">
        <v>3300</v>
      </c>
      <c r="K35" s="95" t="n">
        <f aca="false">I35/J35</f>
        <v>38.3</v>
      </c>
      <c r="L35" s="99" t="n">
        <f aca="false">I35-E35</f>
        <v>0</v>
      </c>
      <c r="M35" s="100" t="n">
        <f aca="false">G35/I35</f>
        <v>0.355352480417755</v>
      </c>
      <c r="N35" s="49" t="n">
        <f aca="false">J35-H35</f>
        <v>0</v>
      </c>
    </row>
    <row r="36" customFormat="false" ht="14.25" hidden="false" customHeight="false" outlineLevel="0" collapsed="false">
      <c r="A36" s="42" t="n">
        <v>45413</v>
      </c>
      <c r="B36" s="1" t="s">
        <v>10</v>
      </c>
      <c r="C36" s="2" t="s">
        <v>60</v>
      </c>
      <c r="D36" s="95" t="n">
        <v>38.3</v>
      </c>
      <c r="E36" s="96" t="n">
        <f aca="false">H36*D36</f>
        <v>124666.5</v>
      </c>
      <c r="F36" s="46" t="n">
        <f aca="false">G36/E36</f>
        <v>0.355352480417755</v>
      </c>
      <c r="G36" s="47" t="n">
        <v>44300.55</v>
      </c>
      <c r="H36" s="97" t="n">
        <v>3255</v>
      </c>
      <c r="I36" s="96" t="n">
        <v>124666.5</v>
      </c>
      <c r="J36" s="98" t="n">
        <v>3255</v>
      </c>
      <c r="K36" s="95" t="n">
        <f aca="false">I36/J36</f>
        <v>38.3</v>
      </c>
      <c r="L36" s="99" t="n">
        <f aca="false">I36-E36</f>
        <v>0</v>
      </c>
      <c r="M36" s="100" t="n">
        <f aca="false">G36/I36</f>
        <v>0.355352480417755</v>
      </c>
      <c r="N36" s="49" t="n">
        <f aca="false">J36-H36</f>
        <v>0</v>
      </c>
    </row>
    <row r="37" customFormat="false" ht="14.25" hidden="false" customHeight="false" outlineLevel="0" collapsed="false">
      <c r="A37" s="42" t="n">
        <v>45433</v>
      </c>
      <c r="B37" s="1" t="s">
        <v>18</v>
      </c>
      <c r="C37" s="2" t="s">
        <v>61</v>
      </c>
      <c r="D37" s="95" t="n">
        <v>25.71</v>
      </c>
      <c r="E37" s="96" t="n">
        <f aca="false">H37*D37</f>
        <v>90627.75</v>
      </c>
      <c r="F37" s="46" t="n">
        <f aca="false">G37/E37</f>
        <v>1.10151691948658</v>
      </c>
      <c r="G37" s="47" t="n">
        <v>99828</v>
      </c>
      <c r="H37" s="97" t="n">
        <v>3525</v>
      </c>
      <c r="I37" s="96" t="n">
        <v>90627.75</v>
      </c>
      <c r="J37" s="98" t="n">
        <v>3525</v>
      </c>
      <c r="K37" s="95" t="n">
        <f aca="false">I37/J37</f>
        <v>25.71</v>
      </c>
      <c r="L37" s="99" t="n">
        <f aca="false">I37-E37</f>
        <v>0</v>
      </c>
      <c r="M37" s="100" t="n">
        <f aca="false">G37/I37</f>
        <v>1.10151691948658</v>
      </c>
      <c r="N37" s="49" t="n">
        <f aca="false">J37-H37</f>
        <v>0</v>
      </c>
    </row>
    <row r="38" customFormat="false" ht="14.25" hidden="false" customHeight="false" outlineLevel="0" collapsed="false">
      <c r="A38" s="42" t="n">
        <v>45436</v>
      </c>
      <c r="B38" s="1" t="s">
        <v>17</v>
      </c>
      <c r="C38" s="2" t="s">
        <v>55</v>
      </c>
      <c r="D38" s="95" t="n">
        <v>22.5</v>
      </c>
      <c r="E38" s="96" t="n">
        <f aca="false">H38*D38</f>
        <v>26662.5</v>
      </c>
      <c r="F38" s="46" t="n">
        <f aca="false">G38/E38</f>
        <v>1.06755555555556</v>
      </c>
      <c r="G38" s="47" t="n">
        <v>28463.7</v>
      </c>
      <c r="H38" s="97" t="n">
        <v>1185</v>
      </c>
      <c r="I38" s="96" t="n">
        <v>26662.5</v>
      </c>
      <c r="J38" s="98" t="n">
        <v>1185</v>
      </c>
      <c r="K38" s="95" t="n">
        <f aca="false">I38/J38</f>
        <v>22.5</v>
      </c>
      <c r="L38" s="99" t="n">
        <f aca="false">I38-E38</f>
        <v>0</v>
      </c>
      <c r="M38" s="100" t="n">
        <f aca="false">G38/I38</f>
        <v>1.06755555555556</v>
      </c>
      <c r="N38" s="49" t="n">
        <f aca="false">J38-H38</f>
        <v>0</v>
      </c>
    </row>
    <row r="39" customFormat="false" ht="14.25" hidden="false" customHeight="false" outlineLevel="0" collapsed="false">
      <c r="A39" s="42" t="n">
        <v>45436</v>
      </c>
      <c r="B39" s="1" t="s">
        <v>42</v>
      </c>
      <c r="C39" s="2" t="s">
        <v>55</v>
      </c>
      <c r="D39" s="95" t="n">
        <v>30</v>
      </c>
      <c r="E39" s="96" t="n">
        <f aca="false">H39*D39</f>
        <v>43200</v>
      </c>
      <c r="F39" s="46" t="n">
        <f aca="false">G39/E39</f>
        <v>0.696666666666667</v>
      </c>
      <c r="G39" s="47" t="n">
        <v>30096</v>
      </c>
      <c r="H39" s="97" t="n">
        <v>1440</v>
      </c>
      <c r="I39" s="96" t="n">
        <v>43200</v>
      </c>
      <c r="J39" s="98" t="n">
        <v>1440</v>
      </c>
      <c r="K39" s="95" t="n">
        <f aca="false">I39/J39</f>
        <v>30</v>
      </c>
      <c r="L39" s="99" t="n">
        <f aca="false">I39-E39</f>
        <v>0</v>
      </c>
      <c r="M39" s="100" t="n">
        <f aca="false">G39/I39</f>
        <v>0.696666666666667</v>
      </c>
      <c r="N39" s="49" t="n">
        <f aca="false">J39-H39</f>
        <v>0</v>
      </c>
    </row>
    <row r="40" customFormat="false" ht="14.25" hidden="false" customHeight="false" outlineLevel="0" collapsed="false">
      <c r="A40" s="42" t="n">
        <v>45436</v>
      </c>
      <c r="B40" s="1" t="s">
        <v>6</v>
      </c>
      <c r="C40" s="2" t="s">
        <v>55</v>
      </c>
      <c r="D40" s="95" t="n">
        <v>30</v>
      </c>
      <c r="E40" s="96" t="n">
        <f aca="false">H40*D40</f>
        <v>9450</v>
      </c>
      <c r="F40" s="46" t="n">
        <f aca="false">G40/E40</f>
        <v>0.603333333333333</v>
      </c>
      <c r="G40" s="47" t="n">
        <v>5701.5</v>
      </c>
      <c r="H40" s="97" t="n">
        <v>315</v>
      </c>
      <c r="I40" s="96" t="n">
        <v>9450</v>
      </c>
      <c r="J40" s="98" t="n">
        <v>315</v>
      </c>
      <c r="K40" s="95" t="n">
        <f aca="false">I40/J40</f>
        <v>30</v>
      </c>
      <c r="L40" s="99" t="n">
        <f aca="false">I40-E40</f>
        <v>0</v>
      </c>
      <c r="M40" s="100" t="n">
        <f aca="false">G40/I40</f>
        <v>0.603333333333333</v>
      </c>
      <c r="N40" s="49" t="n">
        <f aca="false">J40-H40</f>
        <v>0</v>
      </c>
    </row>
    <row r="41" customFormat="false" ht="14.25" hidden="false" customHeight="false" outlineLevel="0" collapsed="false">
      <c r="A41" s="42" t="n">
        <v>45436</v>
      </c>
      <c r="B41" s="1" t="s">
        <v>42</v>
      </c>
      <c r="C41" s="2" t="s">
        <v>62</v>
      </c>
      <c r="D41" s="95" t="n">
        <v>30</v>
      </c>
      <c r="E41" s="96" t="n">
        <f aca="false">H41*D41</f>
        <v>21150</v>
      </c>
      <c r="F41" s="46" t="n">
        <f aca="false">G41/E41</f>
        <v>0.696666666666667</v>
      </c>
      <c r="G41" s="47" t="n">
        <v>14734.5</v>
      </c>
      <c r="H41" s="97" t="n">
        <v>705</v>
      </c>
      <c r="I41" s="96" t="n">
        <v>20250</v>
      </c>
      <c r="J41" s="98" t="n">
        <v>675</v>
      </c>
      <c r="K41" s="95" t="n">
        <f aca="false">I41/J41</f>
        <v>30</v>
      </c>
      <c r="L41" s="99" t="n">
        <f aca="false">I41-E41</f>
        <v>-900</v>
      </c>
      <c r="M41" s="100" t="n">
        <f aca="false">G41/I41</f>
        <v>0.72762962962963</v>
      </c>
      <c r="N41" s="49" t="n">
        <f aca="false">J41-H41</f>
        <v>-30</v>
      </c>
    </row>
    <row r="42" customFormat="false" ht="14.25" hidden="false" customHeight="false" outlineLevel="0" collapsed="false">
      <c r="A42" s="42" t="n">
        <v>45436</v>
      </c>
      <c r="B42" s="1" t="s">
        <v>19</v>
      </c>
      <c r="C42" s="2" t="s">
        <v>55</v>
      </c>
      <c r="D42" s="95" t="n">
        <v>22.5</v>
      </c>
      <c r="E42" s="96" t="n">
        <f aca="false">H42*D42</f>
        <v>337.5</v>
      </c>
      <c r="F42" s="46" t="n">
        <f aca="false">G42/E42</f>
        <v>1.22711111111111</v>
      </c>
      <c r="G42" s="47" t="n">
        <v>414.15</v>
      </c>
      <c r="H42" s="97" t="n">
        <v>15</v>
      </c>
      <c r="I42" s="96" t="n">
        <v>337.5</v>
      </c>
      <c r="J42" s="98" t="n">
        <v>15</v>
      </c>
      <c r="K42" s="95" t="n">
        <f aca="false">I42/J42</f>
        <v>22.5</v>
      </c>
      <c r="L42" s="99" t="n">
        <f aca="false">I42-E42</f>
        <v>0</v>
      </c>
      <c r="M42" s="100" t="n">
        <f aca="false">G42/I42</f>
        <v>1.22711111111111</v>
      </c>
      <c r="N42" s="49" t="n">
        <f aca="false">J42-H42</f>
        <v>0</v>
      </c>
    </row>
    <row r="43" customFormat="false" ht="14.25" hidden="false" customHeight="false" outlineLevel="0" collapsed="false">
      <c r="A43" s="42" t="n">
        <v>45436</v>
      </c>
      <c r="B43" s="1" t="s">
        <v>13</v>
      </c>
      <c r="C43" s="2" t="s">
        <v>55</v>
      </c>
      <c r="D43" s="95" t="n">
        <v>22.5</v>
      </c>
      <c r="E43" s="96" t="n">
        <f aca="false">H43*D43</f>
        <v>15862.5</v>
      </c>
      <c r="F43" s="46" t="n">
        <f aca="false">G43/E43</f>
        <v>0.908</v>
      </c>
      <c r="G43" s="47" t="n">
        <v>14403.15</v>
      </c>
      <c r="H43" s="97" t="n">
        <v>705</v>
      </c>
      <c r="I43" s="96" t="n">
        <v>15862.5</v>
      </c>
      <c r="J43" s="98" t="n">
        <v>705</v>
      </c>
      <c r="K43" s="95" t="n">
        <f aca="false">I43/J43</f>
        <v>22.5</v>
      </c>
      <c r="L43" s="99" t="n">
        <f aca="false">I43-E43</f>
        <v>0</v>
      </c>
      <c r="M43" s="100" t="n">
        <f aca="false">G43/I43</f>
        <v>0.908</v>
      </c>
      <c r="N43" s="49" t="n">
        <f aca="false">J43-H43</f>
        <v>0</v>
      </c>
    </row>
    <row r="44" customFormat="false" ht="14.25" hidden="false" customHeight="false" outlineLevel="0" collapsed="false">
      <c r="A44" s="42" t="n">
        <v>45436</v>
      </c>
      <c r="B44" s="1" t="s">
        <v>16</v>
      </c>
      <c r="C44" s="2" t="s">
        <v>55</v>
      </c>
      <c r="D44" s="95" t="n">
        <v>22.5</v>
      </c>
      <c r="E44" s="96" t="n">
        <f aca="false">H44*D44</f>
        <v>7425</v>
      </c>
      <c r="F44" s="46" t="n">
        <f aca="false">G44/E44</f>
        <v>1.06755555555556</v>
      </c>
      <c r="G44" s="47" t="n">
        <v>7926.6</v>
      </c>
      <c r="H44" s="97" t="n">
        <v>330</v>
      </c>
      <c r="I44" s="96" t="n">
        <v>7425</v>
      </c>
      <c r="J44" s="98" t="n">
        <v>330</v>
      </c>
      <c r="K44" s="95" t="n">
        <f aca="false">I44/J44</f>
        <v>22.5</v>
      </c>
      <c r="L44" s="99" t="n">
        <f aca="false">I44-E44</f>
        <v>0</v>
      </c>
      <c r="M44" s="100" t="n">
        <f aca="false">G44/I44</f>
        <v>1.06755555555556</v>
      </c>
      <c r="N44" s="49" t="n">
        <f aca="false">J44-H44</f>
        <v>0</v>
      </c>
    </row>
    <row r="45" customFormat="false" ht="14.25" hidden="false" customHeight="false" outlineLevel="0" collapsed="false">
      <c r="A45" s="42" t="n">
        <v>45443</v>
      </c>
      <c r="B45" s="1" t="s">
        <v>17</v>
      </c>
      <c r="C45" s="2" t="s">
        <v>53</v>
      </c>
      <c r="D45" s="95" t="n">
        <v>22.5</v>
      </c>
      <c r="E45" s="96" t="n">
        <f aca="false">H45*D45</f>
        <v>5062.5</v>
      </c>
      <c r="F45" s="46" t="n">
        <f aca="false">G45/E45</f>
        <v>1.06755555555556</v>
      </c>
      <c r="G45" s="47" t="n">
        <v>5404.5</v>
      </c>
      <c r="H45" s="97" t="n">
        <v>225</v>
      </c>
      <c r="I45" s="96" t="n">
        <v>4725</v>
      </c>
      <c r="J45" s="98" t="n">
        <v>210</v>
      </c>
      <c r="K45" s="95" t="n">
        <f aca="false">I45/J45</f>
        <v>22.5</v>
      </c>
      <c r="L45" s="99" t="n">
        <f aca="false">I45-E45</f>
        <v>-337.5</v>
      </c>
      <c r="M45" s="100" t="n">
        <f aca="false">G45/I45</f>
        <v>1.14380952380952</v>
      </c>
      <c r="N45" s="49" t="n">
        <f aca="false">J45-H45</f>
        <v>-15</v>
      </c>
    </row>
    <row r="46" customFormat="false" ht="14.25" hidden="false" customHeight="false" outlineLevel="0" collapsed="false">
      <c r="A46" s="42" t="n">
        <v>45443</v>
      </c>
      <c r="B46" s="1" t="s">
        <v>52</v>
      </c>
      <c r="C46" s="2" t="s">
        <v>53</v>
      </c>
      <c r="D46" s="95" t="n">
        <v>25.71</v>
      </c>
      <c r="E46" s="96" t="n">
        <f aca="false">H46*D46</f>
        <v>2699.55</v>
      </c>
      <c r="F46" s="46" t="n">
        <f aca="false">G46/E46</f>
        <v>0.61610268378063</v>
      </c>
      <c r="G46" s="47" t="n">
        <v>1663.2</v>
      </c>
      <c r="H46" s="97" t="n">
        <v>105</v>
      </c>
      <c r="I46" s="96" t="n">
        <v>2699.55</v>
      </c>
      <c r="J46" s="98" t="n">
        <v>105</v>
      </c>
      <c r="K46" s="95" t="n">
        <f aca="false">I46/J46</f>
        <v>25.71</v>
      </c>
      <c r="L46" s="99" t="n">
        <f aca="false">I46-E46</f>
        <v>0</v>
      </c>
      <c r="M46" s="100" t="n">
        <f aca="false">G46/I46</f>
        <v>0.61610268378063</v>
      </c>
      <c r="N46" s="49" t="n">
        <f aca="false">J46-H46</f>
        <v>0</v>
      </c>
    </row>
    <row r="47" customFormat="false" ht="14.25" hidden="false" customHeight="false" outlineLevel="0" collapsed="false">
      <c r="A47" s="42" t="n">
        <v>45443</v>
      </c>
      <c r="B47" s="1" t="s">
        <v>13</v>
      </c>
      <c r="C47" s="2" t="s">
        <v>53</v>
      </c>
      <c r="D47" s="95" t="n">
        <v>22.5</v>
      </c>
      <c r="E47" s="96" t="n">
        <f aca="false">H47*D47</f>
        <v>18562.5</v>
      </c>
      <c r="F47" s="46" t="n">
        <f aca="false">G47/E47</f>
        <v>0.908</v>
      </c>
      <c r="G47" s="47" t="n">
        <v>16854.75</v>
      </c>
      <c r="H47" s="97" t="n">
        <v>825</v>
      </c>
      <c r="I47" s="96" t="n">
        <v>18562.5</v>
      </c>
      <c r="J47" s="98" t="n">
        <v>825</v>
      </c>
      <c r="K47" s="95" t="n">
        <f aca="false">I47/J47</f>
        <v>22.5</v>
      </c>
      <c r="L47" s="99" t="n">
        <f aca="false">I47-E47</f>
        <v>0</v>
      </c>
      <c r="M47" s="100" t="n">
        <f aca="false">G47/I47</f>
        <v>0.908</v>
      </c>
      <c r="N47" s="49" t="n">
        <f aca="false">J47-H47</f>
        <v>0</v>
      </c>
    </row>
    <row r="48" customFormat="false" ht="14.25" hidden="false" customHeight="false" outlineLevel="0" collapsed="false">
      <c r="A48" s="42" t="n">
        <v>45449</v>
      </c>
      <c r="B48" s="1" t="s">
        <v>13</v>
      </c>
      <c r="C48" s="2" t="s">
        <v>53</v>
      </c>
      <c r="D48" s="95" t="n">
        <v>22.5</v>
      </c>
      <c r="E48" s="96" t="n">
        <f aca="false">H48*D48</f>
        <v>1012.5</v>
      </c>
      <c r="F48" s="46" t="n">
        <f aca="false">G48/E48</f>
        <v>0.908</v>
      </c>
      <c r="G48" s="47" t="n">
        <v>919.35</v>
      </c>
      <c r="H48" s="97" t="n">
        <v>45</v>
      </c>
      <c r="I48" s="96" t="n">
        <v>1012.5</v>
      </c>
      <c r="J48" s="98" t="n">
        <v>45</v>
      </c>
      <c r="K48" s="95" t="n">
        <f aca="false">I48/J48</f>
        <v>22.5</v>
      </c>
      <c r="L48" s="99" t="n">
        <f aca="false">I48-E48</f>
        <v>0</v>
      </c>
      <c r="M48" s="100" t="n">
        <f aca="false">G48/I48</f>
        <v>0.908</v>
      </c>
      <c r="N48" s="49" t="n">
        <f aca="false">J48-H48</f>
        <v>0</v>
      </c>
    </row>
    <row r="49" customFormat="false" ht="14.25" hidden="false" customHeight="false" outlineLevel="0" collapsed="false">
      <c r="A49" s="42" t="n">
        <v>45453</v>
      </c>
      <c r="B49" s="1" t="s">
        <v>7</v>
      </c>
      <c r="C49" s="2" t="s">
        <v>63</v>
      </c>
      <c r="D49" s="95" t="n">
        <v>25.71</v>
      </c>
      <c r="E49" s="96" t="n">
        <f aca="false">H49*D49</f>
        <v>56690.55</v>
      </c>
      <c r="F49" s="46" t="n">
        <f aca="false">G49/E49</f>
        <v>0.68105707212225</v>
      </c>
      <c r="G49" s="47" t="n">
        <v>38609.5</v>
      </c>
      <c r="H49" s="97" t="n">
        <v>2205</v>
      </c>
      <c r="I49" s="96" t="n">
        <v>56690.55</v>
      </c>
      <c r="J49" s="98" t="n">
        <v>2205</v>
      </c>
      <c r="K49" s="95" t="n">
        <f aca="false">I49/J49</f>
        <v>25.71</v>
      </c>
      <c r="L49" s="99" t="n">
        <f aca="false">I49-E49</f>
        <v>0</v>
      </c>
      <c r="M49" s="100" t="n">
        <f aca="false">G49/I49</f>
        <v>0.68105707212225</v>
      </c>
      <c r="N49" s="49" t="n">
        <f aca="false">J49-H49</f>
        <v>0</v>
      </c>
    </row>
    <row r="50" customFormat="false" ht="14.25" hidden="false" customHeight="false" outlineLevel="0" collapsed="false">
      <c r="A50" s="42" t="n">
        <v>45453</v>
      </c>
      <c r="B50" s="1" t="s">
        <v>7</v>
      </c>
      <c r="C50" s="2" t="s">
        <v>63</v>
      </c>
      <c r="D50" s="95" t="n">
        <v>36</v>
      </c>
      <c r="E50" s="96" t="n">
        <f aca="false">H50*D50</f>
        <v>9720</v>
      </c>
      <c r="F50" s="46" t="n">
        <f aca="false">G50/E50</f>
        <v>0.6375</v>
      </c>
      <c r="G50" s="47" t="n">
        <v>6196.5</v>
      </c>
      <c r="H50" s="97" t="n">
        <v>270</v>
      </c>
      <c r="I50" s="96" t="n">
        <v>9720</v>
      </c>
      <c r="J50" s="98" t="n">
        <v>270</v>
      </c>
      <c r="K50" s="95" t="n">
        <f aca="false">I50/J50</f>
        <v>36</v>
      </c>
      <c r="L50" s="99" t="n">
        <f aca="false">I50-E50</f>
        <v>0</v>
      </c>
      <c r="M50" s="100" t="n">
        <f aca="false">G50/I50</f>
        <v>0.6375</v>
      </c>
      <c r="N50" s="49" t="n">
        <f aca="false">J50-H50</f>
        <v>0</v>
      </c>
    </row>
    <row r="51" customFormat="false" ht="14.25" hidden="false" customHeight="false" outlineLevel="0" collapsed="false">
      <c r="A51" s="42" t="n">
        <v>45453</v>
      </c>
      <c r="B51" s="1" t="s">
        <v>42</v>
      </c>
      <c r="C51" s="2" t="s">
        <v>63</v>
      </c>
      <c r="D51" s="95" t="n">
        <v>45</v>
      </c>
      <c r="E51" s="96" t="n">
        <f aca="false">H51*D51</f>
        <v>2025</v>
      </c>
      <c r="F51" s="46" t="n">
        <f aca="false">G51/E51</f>
        <v>0.652444444444445</v>
      </c>
      <c r="G51" s="47" t="n">
        <v>1321.2</v>
      </c>
      <c r="H51" s="97" t="n">
        <v>45</v>
      </c>
      <c r="I51" s="96" t="n">
        <v>2025</v>
      </c>
      <c r="J51" s="98" t="n">
        <v>45</v>
      </c>
      <c r="K51" s="95" t="n">
        <f aca="false">I51/J51</f>
        <v>45</v>
      </c>
      <c r="L51" s="99" t="n">
        <f aca="false">I51-E51</f>
        <v>0</v>
      </c>
      <c r="M51" s="100" t="n">
        <f aca="false">G51/I51</f>
        <v>0.652444444444445</v>
      </c>
      <c r="N51" s="49" t="n">
        <f aca="false">J51-H51</f>
        <v>0</v>
      </c>
    </row>
    <row r="52" customFormat="false" ht="14.25" hidden="false" customHeight="false" outlineLevel="0" collapsed="false">
      <c r="A52" s="42" t="n">
        <v>45453</v>
      </c>
      <c r="B52" s="1" t="s">
        <v>42</v>
      </c>
      <c r="C52" s="2" t="s">
        <v>63</v>
      </c>
      <c r="D52" s="95" t="n">
        <v>30</v>
      </c>
      <c r="E52" s="96" t="n">
        <f aca="false">H52*D52</f>
        <v>94500</v>
      </c>
      <c r="F52" s="46" t="n">
        <f aca="false">G52/E52</f>
        <v>0.696666666666667</v>
      </c>
      <c r="G52" s="47" t="n">
        <v>65835</v>
      </c>
      <c r="H52" s="97" t="n">
        <v>3150</v>
      </c>
      <c r="I52" s="96" t="n">
        <v>94500</v>
      </c>
      <c r="J52" s="98" t="n">
        <v>3150</v>
      </c>
      <c r="K52" s="95" t="n">
        <f aca="false">I52/J52</f>
        <v>30</v>
      </c>
      <c r="L52" s="99" t="n">
        <f aca="false">I52-E52</f>
        <v>0</v>
      </c>
      <c r="M52" s="100" t="n">
        <f aca="false">G52/I52</f>
        <v>0.696666666666667</v>
      </c>
      <c r="N52" s="49" t="n">
        <f aca="false">J52-H52</f>
        <v>0</v>
      </c>
    </row>
    <row r="53" customFormat="false" ht="14.25" hidden="false" customHeight="false" outlineLevel="0" collapsed="false">
      <c r="A53" s="42" t="n">
        <v>45453</v>
      </c>
      <c r="B53" s="1" t="s">
        <v>15</v>
      </c>
      <c r="C53" s="2" t="s">
        <v>63</v>
      </c>
      <c r="D53" s="95" t="n">
        <v>22.5</v>
      </c>
      <c r="E53" s="96" t="n">
        <f aca="false">H53*D53</f>
        <v>1012.5</v>
      </c>
      <c r="F53" s="46" t="n">
        <f aca="false">G53/E53</f>
        <v>1.22711111111111</v>
      </c>
      <c r="G53" s="47" t="n">
        <v>1242.45</v>
      </c>
      <c r="H53" s="97" t="n">
        <v>45</v>
      </c>
      <c r="I53" s="96" t="n">
        <v>1012.5</v>
      </c>
      <c r="J53" s="98" t="n">
        <v>45</v>
      </c>
      <c r="K53" s="95" t="n">
        <f aca="false">I53/J53</f>
        <v>22.5</v>
      </c>
      <c r="L53" s="99" t="n">
        <f aca="false">I53-E53</f>
        <v>0</v>
      </c>
      <c r="M53" s="100" t="n">
        <f aca="false">G53/I53</f>
        <v>1.22711111111111</v>
      </c>
      <c r="N53" s="49" t="n">
        <f aca="false">J53-H53</f>
        <v>0</v>
      </c>
    </row>
    <row r="54" customFormat="false" ht="14.25" hidden="false" customHeight="false" outlineLevel="0" collapsed="false">
      <c r="A54" s="42" t="n">
        <v>45453</v>
      </c>
      <c r="B54" s="1" t="s">
        <v>17</v>
      </c>
      <c r="C54" s="2" t="s">
        <v>63</v>
      </c>
      <c r="D54" s="95" t="n">
        <v>22.5</v>
      </c>
      <c r="E54" s="96" t="n">
        <f aca="false">H54*D54</f>
        <v>337.5</v>
      </c>
      <c r="F54" s="46" t="n">
        <f aca="false">G54/E54</f>
        <v>1.06755555555556</v>
      </c>
      <c r="G54" s="47" t="n">
        <v>360.3</v>
      </c>
      <c r="H54" s="97" t="n">
        <v>15</v>
      </c>
      <c r="I54" s="96" t="n">
        <v>337.5</v>
      </c>
      <c r="J54" s="98" t="n">
        <v>15</v>
      </c>
      <c r="K54" s="95" t="n">
        <f aca="false">I54/J54</f>
        <v>22.5</v>
      </c>
      <c r="L54" s="99" t="n">
        <f aca="false">I54-E54</f>
        <v>0</v>
      </c>
      <c r="M54" s="100" t="n">
        <f aca="false">G54/I54</f>
        <v>1.06755555555556</v>
      </c>
      <c r="N54" s="49" t="n">
        <f aca="false">J54-H54</f>
        <v>0</v>
      </c>
    </row>
    <row r="55" customFormat="false" ht="14.25" hidden="false" customHeight="false" outlineLevel="0" collapsed="false">
      <c r="A55" s="42" t="n">
        <v>45453</v>
      </c>
      <c r="B55" s="1" t="s">
        <v>13</v>
      </c>
      <c r="C55" s="2" t="s">
        <v>64</v>
      </c>
      <c r="D55" s="95" t="n">
        <v>22.5</v>
      </c>
      <c r="E55" s="96" t="n">
        <f aca="false">H55*D55</f>
        <v>172462.5</v>
      </c>
      <c r="F55" s="46" t="n">
        <f aca="false">G55/E55</f>
        <v>0.908</v>
      </c>
      <c r="G55" s="47" t="n">
        <v>156595.95</v>
      </c>
      <c r="H55" s="97" t="n">
        <v>7665</v>
      </c>
      <c r="I55" s="96" t="n">
        <v>172462.5</v>
      </c>
      <c r="J55" s="98" t="n">
        <v>7665</v>
      </c>
      <c r="K55" s="95" t="n">
        <f aca="false">I55/J55</f>
        <v>22.5</v>
      </c>
      <c r="L55" s="99" t="n">
        <f aca="false">I55-E55</f>
        <v>0</v>
      </c>
      <c r="M55" s="100" t="n">
        <f aca="false">G55/I55</f>
        <v>0.908</v>
      </c>
      <c r="N55" s="49" t="n">
        <f aca="false">J55-H55</f>
        <v>0</v>
      </c>
    </row>
    <row r="56" customFormat="false" ht="14.25" hidden="false" customHeight="false" outlineLevel="0" collapsed="false">
      <c r="A56" s="42" t="n">
        <v>45457</v>
      </c>
      <c r="B56" s="1" t="s">
        <v>42</v>
      </c>
      <c r="C56" s="2" t="s">
        <v>65</v>
      </c>
      <c r="D56" s="95" t="n">
        <v>60</v>
      </c>
      <c r="E56" s="96" t="n">
        <f aca="false">H56*D56</f>
        <v>18000</v>
      </c>
      <c r="F56" s="46" t="n">
        <f aca="false">G56/E56</f>
        <v>0.383166666666667</v>
      </c>
      <c r="G56" s="47" t="n">
        <v>6897</v>
      </c>
      <c r="H56" s="97" t="n">
        <v>300</v>
      </c>
      <c r="I56" s="96" t="n">
        <v>18000</v>
      </c>
      <c r="J56" s="98" t="n">
        <v>300</v>
      </c>
      <c r="K56" s="95" t="n">
        <f aca="false">I56/J56</f>
        <v>60</v>
      </c>
      <c r="L56" s="99" t="n">
        <f aca="false">I56-E56</f>
        <v>0</v>
      </c>
      <c r="M56" s="100" t="n">
        <f aca="false">G56/I56</f>
        <v>0.383166666666667</v>
      </c>
      <c r="N56" s="49" t="n">
        <f aca="false">J56-H56</f>
        <v>0</v>
      </c>
    </row>
    <row r="57" customFormat="false" ht="14.25" hidden="false" customHeight="false" outlineLevel="0" collapsed="false">
      <c r="A57" s="42" t="n">
        <v>45457</v>
      </c>
      <c r="B57" s="1" t="s">
        <v>15</v>
      </c>
      <c r="C57" s="2" t="s">
        <v>65</v>
      </c>
      <c r="D57" s="95" t="n">
        <v>40</v>
      </c>
      <c r="E57" s="96" t="n">
        <f aca="false">H57*D57</f>
        <v>16000</v>
      </c>
      <c r="F57" s="46" t="n">
        <f aca="false">G57/E57</f>
        <v>0.69025</v>
      </c>
      <c r="G57" s="47" t="n">
        <v>11044</v>
      </c>
      <c r="H57" s="97" t="n">
        <v>400</v>
      </c>
      <c r="I57" s="96" t="n">
        <v>16000</v>
      </c>
      <c r="J57" s="98" t="n">
        <v>400</v>
      </c>
      <c r="K57" s="95" t="n">
        <f aca="false">I57/J57</f>
        <v>40</v>
      </c>
      <c r="L57" s="99" t="n">
        <f aca="false">I57-E57</f>
        <v>0</v>
      </c>
      <c r="M57" s="100" t="n">
        <f aca="false">G57/I57</f>
        <v>0.69025</v>
      </c>
      <c r="N57" s="49" t="n">
        <f aca="false">J57-H57</f>
        <v>0</v>
      </c>
    </row>
    <row r="58" customFormat="false" ht="14.25" hidden="false" customHeight="false" outlineLevel="0" collapsed="false">
      <c r="A58" s="42" t="n">
        <v>45463</v>
      </c>
      <c r="B58" s="1" t="s">
        <v>42</v>
      </c>
      <c r="C58" s="2" t="s">
        <v>55</v>
      </c>
      <c r="D58" s="95" t="n">
        <v>30</v>
      </c>
      <c r="E58" s="96" t="n">
        <f aca="false">H58*D58</f>
        <v>2250</v>
      </c>
      <c r="F58" s="46" t="n">
        <f aca="false">G58/E58</f>
        <v>0.696666666666667</v>
      </c>
      <c r="G58" s="47" t="n">
        <v>1567.5</v>
      </c>
      <c r="H58" s="97" t="n">
        <v>75</v>
      </c>
      <c r="I58" s="96" t="n">
        <v>2250</v>
      </c>
      <c r="J58" s="98" t="n">
        <v>75</v>
      </c>
      <c r="K58" s="95" t="n">
        <f aca="false">I58/J58</f>
        <v>30</v>
      </c>
      <c r="L58" s="99" t="n">
        <f aca="false">I58-E58</f>
        <v>0</v>
      </c>
      <c r="M58" s="100" t="n">
        <f aca="false">G58/I58</f>
        <v>0.696666666666667</v>
      </c>
      <c r="N58" s="49" t="n">
        <f aca="false">J58-H58</f>
        <v>0</v>
      </c>
    </row>
    <row r="59" customFormat="false" ht="14.25" hidden="false" customHeight="false" outlineLevel="0" collapsed="false">
      <c r="A59" s="42" t="n">
        <v>45463</v>
      </c>
      <c r="B59" s="1" t="s">
        <v>17</v>
      </c>
      <c r="C59" s="2" t="s">
        <v>55</v>
      </c>
      <c r="D59" s="95" t="n">
        <v>22.5</v>
      </c>
      <c r="E59" s="96" t="n">
        <f aca="false">H59*D59</f>
        <v>1012.5</v>
      </c>
      <c r="F59" s="46" t="n">
        <f aca="false">G59/E59</f>
        <v>1.06755555555556</v>
      </c>
      <c r="G59" s="47" t="n">
        <v>1080.9</v>
      </c>
      <c r="H59" s="97" t="n">
        <v>45</v>
      </c>
      <c r="I59" s="96" t="n">
        <v>1012.5</v>
      </c>
      <c r="J59" s="98" t="n">
        <v>45</v>
      </c>
      <c r="K59" s="95" t="n">
        <f aca="false">I59/J59</f>
        <v>22.5</v>
      </c>
      <c r="L59" s="99" t="n">
        <f aca="false">I59-E59</f>
        <v>0</v>
      </c>
      <c r="M59" s="100" t="n">
        <f aca="false">G59/I59</f>
        <v>1.06755555555556</v>
      </c>
      <c r="N59" s="49" t="n">
        <f aca="false">J59-H59</f>
        <v>0</v>
      </c>
    </row>
    <row r="60" customFormat="false" ht="14.25" hidden="false" customHeight="false" outlineLevel="0" collapsed="false">
      <c r="A60" s="42" t="n">
        <v>45463</v>
      </c>
      <c r="B60" s="1" t="s">
        <v>6</v>
      </c>
      <c r="C60" s="2" t="s">
        <v>55</v>
      </c>
      <c r="D60" s="95" t="n">
        <v>30</v>
      </c>
      <c r="E60" s="96" t="n">
        <f aca="false">H60*D60</f>
        <v>13500</v>
      </c>
      <c r="F60" s="46" t="n">
        <f aca="false">G60/E60</f>
        <v>0.603333333333333</v>
      </c>
      <c r="G60" s="47" t="n">
        <v>8145</v>
      </c>
      <c r="H60" s="97" t="n">
        <v>450</v>
      </c>
      <c r="I60" s="96" t="n">
        <v>13500</v>
      </c>
      <c r="J60" s="98" t="n">
        <v>450</v>
      </c>
      <c r="K60" s="95" t="n">
        <f aca="false">I60/J60</f>
        <v>30</v>
      </c>
      <c r="L60" s="99" t="n">
        <f aca="false">I60-E60</f>
        <v>0</v>
      </c>
      <c r="M60" s="100" t="n">
        <f aca="false">G60/I60</f>
        <v>0.603333333333333</v>
      </c>
      <c r="N60" s="49" t="n">
        <f aca="false">J60-H60</f>
        <v>0</v>
      </c>
    </row>
    <row r="61" customFormat="false" ht="14.25" hidden="false" customHeight="false" outlineLevel="0" collapsed="false">
      <c r="A61" s="42" t="n">
        <v>45464</v>
      </c>
      <c r="B61" s="1" t="s">
        <v>52</v>
      </c>
      <c r="C61" s="2" t="s">
        <v>66</v>
      </c>
      <c r="D61" s="95" t="n">
        <v>25.71</v>
      </c>
      <c r="E61" s="96" t="n">
        <f aca="false">H61*D61</f>
        <v>13497.75</v>
      </c>
      <c r="F61" s="46" t="n">
        <f aca="false">G61/E61</f>
        <v>0.61610268378063</v>
      </c>
      <c r="G61" s="47" t="n">
        <v>8316</v>
      </c>
      <c r="H61" s="97" t="n">
        <v>525</v>
      </c>
      <c r="I61" s="96" t="n">
        <v>13497.75</v>
      </c>
      <c r="J61" s="98" t="n">
        <v>525</v>
      </c>
      <c r="K61" s="95" t="n">
        <f aca="false">I61/J61</f>
        <v>25.71</v>
      </c>
      <c r="L61" s="99" t="n">
        <f aca="false">I61-E61</f>
        <v>0</v>
      </c>
      <c r="M61" s="100" t="n">
        <f aca="false">G61/I61</f>
        <v>0.61610268378063</v>
      </c>
      <c r="N61" s="49" t="n">
        <f aca="false">J61-H61</f>
        <v>0</v>
      </c>
    </row>
    <row r="62" customFormat="false" ht="14.25" hidden="false" customHeight="false" outlineLevel="0" collapsed="false">
      <c r="A62" s="42" t="n">
        <v>45467</v>
      </c>
      <c r="B62" s="1" t="s">
        <v>52</v>
      </c>
      <c r="C62" s="2" t="s">
        <v>63</v>
      </c>
      <c r="D62" s="95" t="n">
        <v>25.71</v>
      </c>
      <c r="E62" s="96" t="n">
        <f aca="false">H62*D62</f>
        <v>18896.85</v>
      </c>
      <c r="F62" s="46" t="n">
        <f aca="false">G62/E62</f>
        <v>0.61610268378063</v>
      </c>
      <c r="G62" s="47" t="n">
        <v>11642.4</v>
      </c>
      <c r="H62" s="97" t="n">
        <v>735</v>
      </c>
      <c r="I62" s="96" t="n">
        <v>18896.85</v>
      </c>
      <c r="J62" s="98" t="n">
        <v>735</v>
      </c>
      <c r="K62" s="95" t="n">
        <f aca="false">I62/J62</f>
        <v>25.71</v>
      </c>
      <c r="L62" s="99" t="n">
        <f aca="false">I62-E62</f>
        <v>0</v>
      </c>
      <c r="M62" s="100" t="n">
        <f aca="false">G62/I62</f>
        <v>0.61610268378063</v>
      </c>
      <c r="N62" s="49" t="n">
        <f aca="false">J62-H62</f>
        <v>0</v>
      </c>
    </row>
    <row r="63" customFormat="false" ht="14.25" hidden="false" customHeight="false" outlineLevel="0" collapsed="false">
      <c r="A63" s="42" t="n">
        <v>45467</v>
      </c>
      <c r="B63" s="1" t="s">
        <v>52</v>
      </c>
      <c r="C63" s="2" t="s">
        <v>63</v>
      </c>
      <c r="D63" s="95" t="n">
        <v>37.5</v>
      </c>
      <c r="E63" s="96" t="n">
        <f aca="false">H63*D63</f>
        <v>1687.5</v>
      </c>
      <c r="F63" s="46" t="n">
        <f aca="false">G63/E63</f>
        <v>0.5784</v>
      </c>
      <c r="G63" s="47" t="n">
        <v>976.05</v>
      </c>
      <c r="H63" s="97" t="n">
        <v>45</v>
      </c>
      <c r="I63" s="96" t="n">
        <v>1687.5</v>
      </c>
      <c r="J63" s="98" t="n">
        <v>45</v>
      </c>
      <c r="K63" s="95" t="n">
        <f aca="false">I63/J63</f>
        <v>37.5</v>
      </c>
      <c r="L63" s="99" t="n">
        <f aca="false">I63-E63</f>
        <v>0</v>
      </c>
      <c r="M63" s="100" t="n">
        <f aca="false">G63/I63</f>
        <v>0.5784</v>
      </c>
      <c r="N63" s="49" t="n">
        <f aca="false">J63-H63</f>
        <v>0</v>
      </c>
    </row>
    <row r="64" customFormat="false" ht="14.25" hidden="false" customHeight="false" outlineLevel="0" collapsed="false">
      <c r="A64" s="42" t="n">
        <v>45467</v>
      </c>
      <c r="B64" s="1" t="s">
        <v>13</v>
      </c>
      <c r="C64" s="2" t="s">
        <v>63</v>
      </c>
      <c r="D64" s="95" t="n">
        <v>22.5</v>
      </c>
      <c r="E64" s="96" t="n">
        <f aca="false">H64*D64</f>
        <v>2025</v>
      </c>
      <c r="F64" s="46" t="n">
        <f aca="false">G64/E64</f>
        <v>0.908</v>
      </c>
      <c r="G64" s="47" t="n">
        <v>1838.7</v>
      </c>
      <c r="H64" s="97" t="n">
        <v>90</v>
      </c>
      <c r="I64" s="96" t="n">
        <v>2025</v>
      </c>
      <c r="J64" s="98" t="n">
        <v>90</v>
      </c>
      <c r="K64" s="95" t="n">
        <f aca="false">I64/J64</f>
        <v>22.5</v>
      </c>
      <c r="L64" s="99" t="n">
        <f aca="false">I64-E64</f>
        <v>0</v>
      </c>
      <c r="M64" s="100" t="n">
        <f aca="false">G64/I64</f>
        <v>0.908</v>
      </c>
      <c r="N64" s="49" t="n">
        <f aca="false">J64-H64</f>
        <v>0</v>
      </c>
    </row>
    <row r="65" customFormat="false" ht="14.25" hidden="false" customHeight="false" outlineLevel="0" collapsed="false">
      <c r="A65" s="42" t="n">
        <v>45467</v>
      </c>
      <c r="B65" s="1" t="s">
        <v>7</v>
      </c>
      <c r="C65" s="2" t="s">
        <v>63</v>
      </c>
      <c r="D65" s="95" t="n">
        <v>25.71</v>
      </c>
      <c r="E65" s="96" t="n">
        <f aca="false">H65*D65</f>
        <v>1928.25</v>
      </c>
      <c r="F65" s="46" t="n">
        <f aca="false">G65/E65</f>
        <v>0.681057954103462</v>
      </c>
      <c r="G65" s="47" t="n">
        <v>1313.25</v>
      </c>
      <c r="H65" s="97" t="n">
        <v>75</v>
      </c>
      <c r="I65" s="96" t="n">
        <v>1928.25</v>
      </c>
      <c r="J65" s="98" t="n">
        <v>75</v>
      </c>
      <c r="K65" s="95" t="n">
        <f aca="false">I65/J65</f>
        <v>25.71</v>
      </c>
      <c r="L65" s="99" t="n">
        <f aca="false">I65-E65</f>
        <v>0</v>
      </c>
      <c r="M65" s="100" t="n">
        <f aca="false">G65/I65</f>
        <v>0.681057954103462</v>
      </c>
      <c r="N65" s="49" t="n">
        <f aca="false">J65-H65</f>
        <v>0</v>
      </c>
    </row>
    <row r="66" customFormat="false" ht="14.25" hidden="false" customHeight="false" outlineLevel="0" collapsed="false">
      <c r="A66" s="42" t="n">
        <v>45467</v>
      </c>
      <c r="B66" s="1" t="s">
        <v>42</v>
      </c>
      <c r="C66" s="2" t="s">
        <v>63</v>
      </c>
      <c r="D66" s="95" t="n">
        <v>30</v>
      </c>
      <c r="E66" s="96" t="n">
        <f aca="false">H66*D66</f>
        <v>1800</v>
      </c>
      <c r="F66" s="46" t="n">
        <f aca="false">G66/E66</f>
        <v>0.696666666666667</v>
      </c>
      <c r="G66" s="47" t="n">
        <v>1254</v>
      </c>
      <c r="H66" s="97" t="n">
        <v>60</v>
      </c>
      <c r="I66" s="96" t="n">
        <v>1800</v>
      </c>
      <c r="J66" s="98" t="n">
        <v>60</v>
      </c>
      <c r="K66" s="95" t="n">
        <f aca="false">I66/J66</f>
        <v>30</v>
      </c>
      <c r="L66" s="99" t="n">
        <f aca="false">I66-E66</f>
        <v>0</v>
      </c>
      <c r="M66" s="100" t="n">
        <f aca="false">G66/I66</f>
        <v>0.696666666666667</v>
      </c>
      <c r="N66" s="49" t="n">
        <f aca="false">J66-H66</f>
        <v>0</v>
      </c>
    </row>
    <row r="67" customFormat="false" ht="14.25" hidden="false" customHeight="false" outlineLevel="0" collapsed="false">
      <c r="A67" s="42" t="n">
        <v>45471</v>
      </c>
      <c r="B67" s="1" t="s">
        <v>52</v>
      </c>
      <c r="C67" s="2" t="s">
        <v>66</v>
      </c>
      <c r="D67" s="95" t="n">
        <v>25.71</v>
      </c>
      <c r="E67" s="96" t="n">
        <f aca="false">H67*D67</f>
        <v>5399.1</v>
      </c>
      <c r="F67" s="46" t="n">
        <f aca="false">G67/E67</f>
        <v>0.61610268378063</v>
      </c>
      <c r="G67" s="47" t="n">
        <v>3326.4</v>
      </c>
      <c r="H67" s="97" t="n">
        <v>210</v>
      </c>
      <c r="I67" s="96" t="n">
        <v>5399.1</v>
      </c>
      <c r="J67" s="98" t="n">
        <v>210</v>
      </c>
      <c r="K67" s="95" t="n">
        <f aca="false">I67/J67</f>
        <v>25.71</v>
      </c>
      <c r="L67" s="99" t="n">
        <f aca="false">I67-E67</f>
        <v>0</v>
      </c>
      <c r="M67" s="100" t="n">
        <f aca="false">G67/I67</f>
        <v>0.61610268378063</v>
      </c>
      <c r="N67" s="49" t="n">
        <f aca="false">J67-H67</f>
        <v>0</v>
      </c>
    </row>
    <row r="68" customFormat="false" ht="14.25" hidden="false" customHeight="false" outlineLevel="0" collapsed="false">
      <c r="A68" s="42" t="n">
        <v>45482</v>
      </c>
      <c r="B68" s="1" t="s">
        <v>13</v>
      </c>
      <c r="C68" s="2" t="s">
        <v>67</v>
      </c>
      <c r="D68" s="95" t="n">
        <v>22.5</v>
      </c>
      <c r="E68" s="96" t="n">
        <f aca="false">H68*D68</f>
        <v>2362.5</v>
      </c>
      <c r="F68" s="46" t="n">
        <f aca="false">G68/E68</f>
        <v>0.908</v>
      </c>
      <c r="G68" s="47" t="n">
        <v>2145.15</v>
      </c>
      <c r="H68" s="97" t="n">
        <v>105</v>
      </c>
      <c r="I68" s="96" t="n">
        <v>2362.5</v>
      </c>
      <c r="J68" s="98" t="n">
        <v>105</v>
      </c>
      <c r="K68" s="95" t="n">
        <f aca="false">I68/J68</f>
        <v>22.5</v>
      </c>
      <c r="L68" s="99" t="n">
        <f aca="false">I68-E68</f>
        <v>0</v>
      </c>
      <c r="M68" s="100" t="n">
        <f aca="false">G68/I68</f>
        <v>0.908</v>
      </c>
      <c r="N68" s="49" t="n">
        <f aca="false">J68-H68</f>
        <v>0</v>
      </c>
    </row>
    <row r="69" customFormat="false" ht="14.25" hidden="false" customHeight="false" outlineLevel="0" collapsed="false">
      <c r="A69" s="42" t="n">
        <v>45483</v>
      </c>
      <c r="B69" s="1" t="s">
        <v>6</v>
      </c>
      <c r="C69" s="2" t="s">
        <v>55</v>
      </c>
      <c r="D69" s="95" t="n">
        <v>30</v>
      </c>
      <c r="E69" s="96" t="n">
        <f aca="false">H69*D69</f>
        <v>3150</v>
      </c>
      <c r="F69" s="46" t="n">
        <f aca="false">G69/E69</f>
        <v>0.603333333333333</v>
      </c>
      <c r="G69" s="47" t="n">
        <v>1900.5</v>
      </c>
      <c r="H69" s="97" t="n">
        <v>105</v>
      </c>
      <c r="I69" s="96" t="n">
        <v>3150</v>
      </c>
      <c r="J69" s="98" t="n">
        <v>105</v>
      </c>
      <c r="K69" s="95" t="n">
        <f aca="false">I69/J69</f>
        <v>30</v>
      </c>
      <c r="L69" s="99" t="n">
        <f aca="false">I69-E69</f>
        <v>0</v>
      </c>
      <c r="M69" s="100" t="n">
        <f aca="false">G69/I69</f>
        <v>0.603333333333333</v>
      </c>
      <c r="N69" s="49" t="n">
        <f aca="false">J69-H69</f>
        <v>0</v>
      </c>
    </row>
    <row r="70" customFormat="false" ht="14.25" hidden="false" customHeight="false" outlineLevel="0" collapsed="false">
      <c r="A70" s="42" t="n">
        <v>45483</v>
      </c>
      <c r="B70" s="1" t="s">
        <v>13</v>
      </c>
      <c r="C70" s="2" t="s">
        <v>55</v>
      </c>
      <c r="D70" s="95" t="n">
        <v>22.5</v>
      </c>
      <c r="E70" s="96" t="n">
        <f aca="false">H70*D70</f>
        <v>10125</v>
      </c>
      <c r="F70" s="46" t="n">
        <f aca="false">G70/E70</f>
        <v>0.908</v>
      </c>
      <c r="G70" s="47" t="n">
        <v>9193.5</v>
      </c>
      <c r="H70" s="97" t="n">
        <v>450</v>
      </c>
      <c r="I70" s="96" t="n">
        <v>10125</v>
      </c>
      <c r="J70" s="98" t="n">
        <v>450</v>
      </c>
      <c r="K70" s="95" t="n">
        <f aca="false">I70/J70</f>
        <v>22.5</v>
      </c>
      <c r="L70" s="99" t="n">
        <f aca="false">I70-E70</f>
        <v>0</v>
      </c>
      <c r="M70" s="100" t="n">
        <f aca="false">G70/I70</f>
        <v>0.908</v>
      </c>
      <c r="N70" s="49" t="n">
        <f aca="false">J70-H70</f>
        <v>0</v>
      </c>
    </row>
    <row r="71" customFormat="false" ht="14.25" hidden="false" customHeight="false" outlineLevel="0" collapsed="false">
      <c r="A71" s="42" t="n">
        <v>45483</v>
      </c>
      <c r="B71" s="1" t="s">
        <v>17</v>
      </c>
      <c r="C71" s="2" t="s">
        <v>55</v>
      </c>
      <c r="D71" s="95" t="n">
        <v>22.5</v>
      </c>
      <c r="E71" s="96" t="n">
        <f aca="false">H71*D71</f>
        <v>1012.5</v>
      </c>
      <c r="F71" s="46" t="n">
        <f aca="false">G71/E71</f>
        <v>1.06755555555556</v>
      </c>
      <c r="G71" s="47" t="n">
        <v>1080.9</v>
      </c>
      <c r="H71" s="97" t="n">
        <v>45</v>
      </c>
      <c r="I71" s="96" t="n">
        <v>1012.5</v>
      </c>
      <c r="J71" s="98" t="n">
        <v>45</v>
      </c>
      <c r="K71" s="95" t="n">
        <f aca="false">I71/J71</f>
        <v>22.5</v>
      </c>
      <c r="L71" s="99" t="n">
        <f aca="false">I71-E71</f>
        <v>0</v>
      </c>
      <c r="M71" s="100" t="n">
        <f aca="false">G71/I71</f>
        <v>1.06755555555556</v>
      </c>
      <c r="N71" s="49" t="n">
        <f aca="false">J71-H71</f>
        <v>0</v>
      </c>
    </row>
    <row r="72" customFormat="false" ht="14.25" hidden="false" customHeight="false" outlineLevel="0" collapsed="false">
      <c r="A72" s="42" t="n">
        <v>45483</v>
      </c>
      <c r="B72" s="1" t="s">
        <v>6</v>
      </c>
      <c r="C72" s="2" t="s">
        <v>55</v>
      </c>
      <c r="D72" s="95" t="n">
        <v>30</v>
      </c>
      <c r="E72" s="96" t="n">
        <f aca="false">H72*D72</f>
        <v>5850</v>
      </c>
      <c r="F72" s="46" t="n">
        <f aca="false">G72/E72</f>
        <v>0.603333333333333</v>
      </c>
      <c r="G72" s="47" t="n">
        <v>3529.5</v>
      </c>
      <c r="H72" s="97" t="n">
        <v>195</v>
      </c>
      <c r="I72" s="96" t="n">
        <v>5850</v>
      </c>
      <c r="J72" s="98" t="n">
        <v>195</v>
      </c>
      <c r="K72" s="95" t="n">
        <f aca="false">I72/J72</f>
        <v>30</v>
      </c>
      <c r="L72" s="99" t="n">
        <f aca="false">I72-E72</f>
        <v>0</v>
      </c>
      <c r="M72" s="100" t="n">
        <f aca="false">G72/I72</f>
        <v>0.603333333333333</v>
      </c>
      <c r="N72" s="49" t="n">
        <f aca="false">J72-H72</f>
        <v>0</v>
      </c>
    </row>
    <row r="73" customFormat="false" ht="14.25" hidden="false" customHeight="false" outlineLevel="0" collapsed="false">
      <c r="A73" s="42" t="n">
        <v>45489</v>
      </c>
      <c r="B73" s="1" t="s">
        <v>15</v>
      </c>
      <c r="C73" s="2" t="s">
        <v>68</v>
      </c>
      <c r="D73" s="95" t="n">
        <v>22.5</v>
      </c>
      <c r="E73" s="96" t="n">
        <f aca="false">H73*D73</f>
        <v>1687.5</v>
      </c>
      <c r="F73" s="46" t="n">
        <f aca="false">G73/E73</f>
        <v>1.22711111111111</v>
      </c>
      <c r="G73" s="47" t="n">
        <v>2070.75</v>
      </c>
      <c r="H73" s="97" t="n">
        <v>75</v>
      </c>
      <c r="I73" s="96" t="n">
        <v>1687.5</v>
      </c>
      <c r="J73" s="98" t="n">
        <v>75</v>
      </c>
      <c r="K73" s="95" t="n">
        <f aca="false">I73/J73</f>
        <v>22.5</v>
      </c>
      <c r="L73" s="99" t="n">
        <f aca="false">I73-E73</f>
        <v>0</v>
      </c>
      <c r="M73" s="100" t="n">
        <f aca="false">G73/I73</f>
        <v>1.22711111111111</v>
      </c>
      <c r="N73" s="49" t="n">
        <f aca="false">J73-H73</f>
        <v>0</v>
      </c>
    </row>
    <row r="74" customFormat="false" ht="14.25" hidden="false" customHeight="false" outlineLevel="0" collapsed="false">
      <c r="A74" s="42" t="n">
        <v>45489</v>
      </c>
      <c r="B74" s="1" t="s">
        <v>17</v>
      </c>
      <c r="C74" s="2" t="s">
        <v>68</v>
      </c>
      <c r="D74" s="95" t="n">
        <v>22.5</v>
      </c>
      <c r="E74" s="96" t="n">
        <f aca="false">H74*D74</f>
        <v>2700</v>
      </c>
      <c r="F74" s="46" t="n">
        <f aca="false">G74/E74</f>
        <v>1.06755555555556</v>
      </c>
      <c r="G74" s="47" t="n">
        <v>2882.4</v>
      </c>
      <c r="H74" s="97" t="n">
        <v>120</v>
      </c>
      <c r="I74" s="96" t="n">
        <v>2700</v>
      </c>
      <c r="J74" s="98" t="n">
        <v>120</v>
      </c>
      <c r="K74" s="95" t="n">
        <f aca="false">I74/J74</f>
        <v>22.5</v>
      </c>
      <c r="L74" s="99" t="n">
        <f aca="false">I74-E74</f>
        <v>0</v>
      </c>
      <c r="M74" s="100" t="n">
        <f aca="false">G74/I74</f>
        <v>1.06755555555556</v>
      </c>
      <c r="N74" s="49" t="n">
        <f aca="false">J74-H74</f>
        <v>0</v>
      </c>
    </row>
    <row r="75" customFormat="false" ht="14.25" hidden="false" customHeight="false" outlineLevel="0" collapsed="false">
      <c r="A75" s="42" t="n">
        <v>45489</v>
      </c>
      <c r="B75" s="1" t="s">
        <v>19</v>
      </c>
      <c r="C75" s="2" t="s">
        <v>68</v>
      </c>
      <c r="D75" s="95" t="n">
        <v>22.5</v>
      </c>
      <c r="E75" s="96" t="n">
        <f aca="false">H75*D75</f>
        <v>1012.5</v>
      </c>
      <c r="F75" s="46" t="n">
        <f aca="false">G75/E75</f>
        <v>1.22711111111111</v>
      </c>
      <c r="G75" s="47" t="n">
        <v>1242.45</v>
      </c>
      <c r="H75" s="97" t="n">
        <v>45</v>
      </c>
      <c r="I75" s="96" t="n">
        <v>1012.5</v>
      </c>
      <c r="J75" s="98" t="n">
        <v>45</v>
      </c>
      <c r="K75" s="95" t="n">
        <f aca="false">I75/J75</f>
        <v>22.5</v>
      </c>
      <c r="L75" s="99" t="n">
        <f aca="false">I75-E75</f>
        <v>0</v>
      </c>
      <c r="M75" s="100" t="n">
        <f aca="false">G75/I75</f>
        <v>1.22711111111111</v>
      </c>
      <c r="N75" s="49" t="n">
        <f aca="false">J75-H75</f>
        <v>0</v>
      </c>
    </row>
    <row r="76" customFormat="false" ht="14.25" hidden="false" customHeight="false" outlineLevel="0" collapsed="false">
      <c r="A76" s="42" t="n">
        <v>45489</v>
      </c>
      <c r="B76" s="1" t="s">
        <v>16</v>
      </c>
      <c r="C76" s="2" t="s">
        <v>68</v>
      </c>
      <c r="D76" s="95" t="n">
        <v>22.5</v>
      </c>
      <c r="E76" s="96" t="n">
        <f aca="false">H76*D76</f>
        <v>1012.5</v>
      </c>
      <c r="F76" s="46" t="n">
        <f aca="false">G76/E76</f>
        <v>1.06755555555556</v>
      </c>
      <c r="G76" s="47" t="n">
        <v>1080.9</v>
      </c>
      <c r="H76" s="97" t="n">
        <v>45</v>
      </c>
      <c r="I76" s="96" t="n">
        <v>1012.5</v>
      </c>
      <c r="J76" s="98" t="n">
        <v>45</v>
      </c>
      <c r="K76" s="95" t="n">
        <f aca="false">I76/J76</f>
        <v>22.5</v>
      </c>
      <c r="L76" s="99" t="n">
        <f aca="false">I76-E76</f>
        <v>0</v>
      </c>
      <c r="M76" s="100" t="n">
        <f aca="false">G76/I76</f>
        <v>1.06755555555556</v>
      </c>
      <c r="N76" s="49" t="n">
        <f aca="false">J76-H76</f>
        <v>0</v>
      </c>
    </row>
    <row r="77" customFormat="false" ht="14.25" hidden="false" customHeight="false" outlineLevel="0" collapsed="false">
      <c r="A77" s="42"/>
      <c r="B77" s="1" t="s">
        <v>13</v>
      </c>
      <c r="D77" s="95" t="n">
        <v>37.5</v>
      </c>
      <c r="E77" s="96" t="n">
        <f aca="false">H77*D77</f>
        <v>32625</v>
      </c>
      <c r="F77" s="46" t="n">
        <f aca="false">VEN!P37</f>
        <v>0.430843140584599</v>
      </c>
      <c r="G77" s="47" t="n">
        <f aca="false">E77*F77</f>
        <v>14056.2574615725</v>
      </c>
      <c r="H77" s="97" t="n">
        <v>870</v>
      </c>
      <c r="I77" s="96" t="n">
        <v>32625</v>
      </c>
      <c r="J77" s="98" t="n">
        <v>870</v>
      </c>
      <c r="K77" s="95" t="n">
        <f aca="false">I77/J77</f>
        <v>37.5</v>
      </c>
      <c r="L77" s="99" t="n">
        <f aca="false">I77-E77</f>
        <v>0</v>
      </c>
      <c r="M77" s="100" t="n">
        <f aca="false">G77/I77</f>
        <v>0.430843140584599</v>
      </c>
      <c r="N77" s="49" t="n">
        <f aca="false">J77-H77</f>
        <v>0</v>
      </c>
    </row>
    <row r="78" customFormat="false" ht="14.25" hidden="false" customHeight="false" outlineLevel="0" collapsed="false">
      <c r="A78" s="42" t="n">
        <v>45755</v>
      </c>
      <c r="B78" s="1" t="s">
        <v>15</v>
      </c>
      <c r="D78" s="95" t="n">
        <v>37.788</v>
      </c>
      <c r="E78" s="96" t="n">
        <f aca="false">H78*D78</f>
        <v>29512.428</v>
      </c>
      <c r="F78" s="46" t="n">
        <f aca="false">VEN!P43</f>
        <v>0.597381162167584</v>
      </c>
      <c r="G78" s="47" t="n">
        <f aca="false">E78*F78</f>
        <v>17630.1685370271</v>
      </c>
      <c r="H78" s="97" t="n">
        <v>781</v>
      </c>
      <c r="I78" s="96" t="n">
        <v>29512.43</v>
      </c>
      <c r="J78" s="98" t="n">
        <v>781</v>
      </c>
      <c r="K78" s="95" t="n">
        <f aca="false">I78/J78</f>
        <v>37.7880025608195</v>
      </c>
      <c r="L78" s="98" t="n">
        <f aca="false">I78-E78</f>
        <v>0.00200000000404543</v>
      </c>
      <c r="M78" s="100" t="n">
        <f aca="false">G78/I78</f>
        <v>0.597381121684224</v>
      </c>
      <c r="N78" s="49" t="n">
        <f aca="false">J78-H78</f>
        <v>0</v>
      </c>
    </row>
    <row r="79" customFormat="false" ht="14.25" hidden="false" customHeight="false" outlineLevel="0" collapsed="false">
      <c r="A79" s="42" t="n">
        <v>45755</v>
      </c>
      <c r="B79" s="1" t="s">
        <v>20</v>
      </c>
      <c r="D79" s="95" t="n">
        <v>38.29</v>
      </c>
      <c r="E79" s="96" t="n">
        <f aca="false">H79*D79</f>
        <v>317883.58</v>
      </c>
      <c r="F79" s="46" t="n">
        <f aca="false">VEN!P60</f>
        <v>0.263592938657216</v>
      </c>
      <c r="G79" s="47" t="n">
        <f aca="false">E79*F79</f>
        <v>83791.8670030761</v>
      </c>
      <c r="H79" s="97" t="n">
        <v>8302</v>
      </c>
      <c r="I79" s="96" t="n">
        <v>317883.58</v>
      </c>
      <c r="J79" s="98" t="n">
        <v>8302</v>
      </c>
      <c r="K79" s="95" t="n">
        <f aca="false">I79/J79</f>
        <v>38.29</v>
      </c>
      <c r="L79" s="99" t="n">
        <f aca="false">I79-E79</f>
        <v>0</v>
      </c>
      <c r="M79" s="100" t="n">
        <f aca="false">G79/I79</f>
        <v>0.263592938657216</v>
      </c>
      <c r="N79" s="49" t="n">
        <f aca="false">J79-H79</f>
        <v>0</v>
      </c>
    </row>
    <row r="80" customFormat="false" ht="14.25" hidden="false" customHeight="false" outlineLevel="0" collapsed="false">
      <c r="A80" s="42" t="n">
        <v>45755</v>
      </c>
      <c r="B80" s="1" t="s">
        <v>18</v>
      </c>
      <c r="D80" s="95" t="n">
        <v>25.71</v>
      </c>
      <c r="E80" s="96" t="n">
        <f aca="false">H80*D80</f>
        <v>16505.82</v>
      </c>
      <c r="F80" s="46" t="n">
        <f aca="false">VEN!P54</f>
        <v>0.428033397251299</v>
      </c>
      <c r="G80" s="47" t="n">
        <f aca="false">E80*F80</f>
        <v>7065.04220901843</v>
      </c>
      <c r="H80" s="97" t="n">
        <v>642</v>
      </c>
      <c r="I80" s="96" t="n">
        <v>16505.82</v>
      </c>
      <c r="J80" s="98" t="n">
        <v>642</v>
      </c>
      <c r="K80" s="95" t="n">
        <f aca="false">I80/J80</f>
        <v>25.71</v>
      </c>
      <c r="L80" s="99" t="n">
        <f aca="false">I80-E80</f>
        <v>0</v>
      </c>
      <c r="M80" s="100" t="n">
        <f aca="false">G80/I80</f>
        <v>0.428033397251299</v>
      </c>
      <c r="N80" s="49" t="n">
        <f aca="false">J80-H80</f>
        <v>0</v>
      </c>
    </row>
    <row r="81" customFormat="false" ht="14.25" hidden="false" customHeight="false" outlineLevel="0" collapsed="false">
      <c r="A81" s="42" t="n">
        <v>45755</v>
      </c>
      <c r="B81" s="1" t="s">
        <v>10</v>
      </c>
      <c r="D81" s="95" t="n">
        <v>32.72</v>
      </c>
      <c r="E81" s="96" t="n">
        <f aca="false">H81*D81</f>
        <v>552150</v>
      </c>
      <c r="F81" s="46" t="n">
        <f aca="false">VEN!P25</f>
        <v>0.18547624378788</v>
      </c>
      <c r="G81" s="47" t="n">
        <f aca="false">E81*F81</f>
        <v>102410.708007478</v>
      </c>
      <c r="H81" s="97" t="n">
        <v>16875</v>
      </c>
      <c r="I81" s="96" t="n">
        <v>552150</v>
      </c>
      <c r="J81" s="98" t="n">
        <v>16875</v>
      </c>
      <c r="K81" s="95" t="n">
        <f aca="false">I81/J81</f>
        <v>32.72</v>
      </c>
      <c r="L81" s="99" t="n">
        <f aca="false">I81-E81</f>
        <v>0</v>
      </c>
      <c r="M81" s="100" t="n">
        <f aca="false">G81/I81</f>
        <v>0.18547624378788</v>
      </c>
      <c r="N81" s="49" t="n">
        <f aca="false">J81-H81</f>
        <v>0</v>
      </c>
    </row>
    <row r="82" customFormat="false" ht="14.25" hidden="false" customHeight="false" outlineLevel="0" collapsed="false">
      <c r="A82" s="42" t="n">
        <v>45755</v>
      </c>
      <c r="B82" s="1" t="s">
        <v>15</v>
      </c>
      <c r="D82" s="95" t="n">
        <v>22.5</v>
      </c>
      <c r="E82" s="96" t="n">
        <f aca="false">H82*D82</f>
        <v>9112.5</v>
      </c>
      <c r="F82" s="46" t="n">
        <f aca="false">VEN!P43</f>
        <v>0.597381162167584</v>
      </c>
      <c r="G82" s="47" t="n">
        <f aca="false">E82*F82</f>
        <v>5443.63584025211</v>
      </c>
      <c r="H82" s="97" t="n">
        <v>405</v>
      </c>
      <c r="I82" s="96" t="n">
        <v>9112.5</v>
      </c>
      <c r="J82" s="98" t="n">
        <v>405</v>
      </c>
      <c r="K82" s="95" t="n">
        <f aca="false">I82/J82</f>
        <v>22.5</v>
      </c>
      <c r="L82" s="99" t="n">
        <f aca="false">I82-E82</f>
        <v>0</v>
      </c>
      <c r="M82" s="100" t="n">
        <f aca="false">G82/I82</f>
        <v>0.597381162167584</v>
      </c>
      <c r="N82" s="49" t="n">
        <f aca="false">J82-H82</f>
        <v>0</v>
      </c>
    </row>
    <row r="83" customFormat="false" ht="14.25" hidden="false" customHeight="false" outlineLevel="0" collapsed="false">
      <c r="A83" s="42" t="n">
        <v>45755</v>
      </c>
      <c r="B83" s="1" t="s">
        <v>6</v>
      </c>
      <c r="D83" s="95" t="n">
        <v>31.9588</v>
      </c>
      <c r="E83" s="96" t="n">
        <f aca="false">H83*D83</f>
        <v>2556.704</v>
      </c>
      <c r="F83" s="46" t="n">
        <f aca="false">VEN!P12</f>
        <v>0.330003592277479</v>
      </c>
      <c r="G83" s="47" t="n">
        <f aca="false">E83*F83</f>
        <v>843.7215043902</v>
      </c>
      <c r="H83" s="97" t="n">
        <v>80</v>
      </c>
      <c r="I83" s="96" t="n">
        <v>2556.7</v>
      </c>
      <c r="J83" s="98" t="n">
        <v>80</v>
      </c>
      <c r="K83" s="95" t="n">
        <f aca="false">I83/J83</f>
        <v>31.95875</v>
      </c>
      <c r="L83" s="98" t="n">
        <f aca="false">I83-E83</f>
        <v>-0.00400000000036016</v>
      </c>
      <c r="M83" s="100" t="n">
        <f aca="false">G83/I83</f>
        <v>0.33000410857363</v>
      </c>
      <c r="N83" s="49" t="n">
        <f aca="false">J83-H83</f>
        <v>0</v>
      </c>
    </row>
    <row r="84" customFormat="false" ht="14.25" hidden="false" customHeight="false" outlineLevel="0" collapsed="false">
      <c r="A84" s="42" t="n">
        <v>45755</v>
      </c>
      <c r="B84" s="1" t="s">
        <v>52</v>
      </c>
      <c r="D84" s="95" t="n">
        <v>60.2775</v>
      </c>
      <c r="E84" s="96" t="n">
        <f aca="false">H84*D84</f>
        <v>132610.5</v>
      </c>
      <c r="F84" s="46" t="n">
        <f aca="false">VEN!P8</f>
        <v>0.413617915212503</v>
      </c>
      <c r="G84" s="47" t="n">
        <f aca="false">E84*F84</f>
        <v>54850.0785452876</v>
      </c>
      <c r="H84" s="97" t="n">
        <v>2200</v>
      </c>
      <c r="I84" s="96" t="n">
        <v>132610.5</v>
      </c>
      <c r="J84" s="98" t="n">
        <v>2200</v>
      </c>
      <c r="K84" s="95" t="n">
        <f aca="false">I84/J84</f>
        <v>60.2775</v>
      </c>
      <c r="L84" s="99" t="n">
        <f aca="false">I84-E84</f>
        <v>0</v>
      </c>
      <c r="M84" s="100" t="n">
        <f aca="false">G84/I84</f>
        <v>0.413617915212503</v>
      </c>
      <c r="N84" s="49" t="n">
        <f aca="false">J84-H84</f>
        <v>0</v>
      </c>
    </row>
    <row r="85" customFormat="false" ht="14.25" hidden="false" customHeight="false" outlineLevel="0" collapsed="false">
      <c r="A85" s="42" t="n">
        <v>45755</v>
      </c>
      <c r="B85" s="1" t="s">
        <v>52</v>
      </c>
      <c r="D85" s="95" t="n">
        <v>29.1743</v>
      </c>
      <c r="E85" s="96" t="n">
        <f aca="false">H85*D85</f>
        <v>183068.7325</v>
      </c>
      <c r="F85" s="46" t="n">
        <f aca="false">VEN!P8</f>
        <v>0.413617915212503</v>
      </c>
      <c r="G85" s="47" t="n">
        <f aca="false">E85*F85</f>
        <v>75720.5074772453</v>
      </c>
      <c r="H85" s="97" t="n">
        <v>6275</v>
      </c>
      <c r="I85" s="96" t="n">
        <v>183068.73</v>
      </c>
      <c r="J85" s="98" t="n">
        <v>6275</v>
      </c>
      <c r="K85" s="95" t="n">
        <f aca="false">I85/J85</f>
        <v>29.1742996015936</v>
      </c>
      <c r="L85" s="98" t="n">
        <f aca="false">I85-E85</f>
        <v>-0.00249999997322448</v>
      </c>
      <c r="M85" s="100" t="n">
        <f aca="false">G85/I85</f>
        <v>0.413617920860899</v>
      </c>
      <c r="N85" s="49" t="n">
        <f aca="false">J85-H85</f>
        <v>0</v>
      </c>
    </row>
    <row r="86" customFormat="false" ht="14.25" hidden="false" customHeight="false" outlineLevel="0" collapsed="false">
      <c r="A86" s="42" t="n">
        <v>45755</v>
      </c>
      <c r="B86" s="1" t="s">
        <v>19</v>
      </c>
      <c r="D86" s="95" t="n">
        <v>25.4132</v>
      </c>
      <c r="E86" s="96" t="n">
        <f aca="false">H86*D86</f>
        <v>147523.626</v>
      </c>
      <c r="F86" s="46" t="n">
        <f aca="false">VEN!P57</f>
        <v>0.824631984043177</v>
      </c>
      <c r="G86" s="47" t="n">
        <f aca="false">E86*F86</f>
        <v>121652.700401624</v>
      </c>
      <c r="H86" s="97" t="n">
        <v>5805</v>
      </c>
      <c r="I86" s="96" t="n">
        <v>147523.63</v>
      </c>
      <c r="J86" s="98" t="n">
        <v>5805</v>
      </c>
      <c r="K86" s="95" t="n">
        <f aca="false">I86/J86</f>
        <v>25.4132006890612</v>
      </c>
      <c r="L86" s="98" t="n">
        <f aca="false">I86-E86</f>
        <v>0.00400000001536682</v>
      </c>
      <c r="M86" s="100" t="n">
        <f aca="false">G86/I86</f>
        <v>0.824631961683858</v>
      </c>
      <c r="N86" s="49" t="n">
        <f aca="false">J86-H86</f>
        <v>0</v>
      </c>
    </row>
    <row r="87" customFormat="false" ht="14.25" hidden="false" customHeight="false" outlineLevel="0" collapsed="false">
      <c r="A87" s="42" t="n">
        <v>45755</v>
      </c>
      <c r="B87" s="1" t="s">
        <v>17</v>
      </c>
      <c r="D87" s="95" t="n">
        <v>25.7218</v>
      </c>
      <c r="E87" s="96" t="n">
        <f aca="false">H87*D87</f>
        <v>17104.997</v>
      </c>
      <c r="F87" s="46" t="n">
        <f aca="false">VEN!P51</f>
        <v>0.521054039099719</v>
      </c>
      <c r="G87" s="47" t="n">
        <f aca="false">E87*F87</f>
        <v>8912.62777563857</v>
      </c>
      <c r="H87" s="97" t="n">
        <v>665</v>
      </c>
      <c r="I87" s="96" t="n">
        <v>17105</v>
      </c>
      <c r="J87" s="98" t="n">
        <v>665</v>
      </c>
      <c r="K87" s="95" t="n">
        <f aca="false">I87/J87</f>
        <v>25.7218045112782</v>
      </c>
      <c r="L87" s="98" t="n">
        <f aca="false">I87-E87</f>
        <v>0.00300000000061118</v>
      </c>
      <c r="M87" s="100" t="n">
        <f aca="false">G87/I87</f>
        <v>0.52105394771345</v>
      </c>
      <c r="N87" s="49" t="n">
        <f aca="false">J87-H87</f>
        <v>0</v>
      </c>
    </row>
    <row r="88" customFormat="false" ht="14.25" hidden="false" customHeight="false" outlineLevel="0" collapsed="false">
      <c r="A88" s="42" t="n">
        <v>45755</v>
      </c>
      <c r="B88" s="1" t="s">
        <v>42</v>
      </c>
      <c r="D88" s="95" t="n">
        <v>32.567</v>
      </c>
      <c r="E88" s="96" t="n">
        <f aca="false">H88*D88</f>
        <v>74578.43</v>
      </c>
      <c r="F88" s="46" t="n">
        <f aca="false">VEN!P20</f>
        <v>0.447889191671956</v>
      </c>
      <c r="G88" s="47" t="n">
        <f aca="false">E88*F88</f>
        <v>33402.8727288635</v>
      </c>
      <c r="H88" s="97" t="n">
        <v>2290</v>
      </c>
      <c r="I88" s="96" t="n">
        <v>74578.43</v>
      </c>
      <c r="J88" s="98" t="n">
        <v>2290</v>
      </c>
      <c r="K88" s="95" t="n">
        <f aca="false">I88/J88</f>
        <v>32.567</v>
      </c>
      <c r="L88" s="99" t="n">
        <f aca="false">I88-E88</f>
        <v>0</v>
      </c>
      <c r="M88" s="100" t="n">
        <f aca="false">G88/I88</f>
        <v>0.447889191671956</v>
      </c>
      <c r="N88" s="49" t="n">
        <f aca="false">J88-H88</f>
        <v>0</v>
      </c>
    </row>
    <row r="89" customFormat="false" ht="14.25" hidden="false" customHeight="false" outlineLevel="0" collapsed="false">
      <c r="A89" s="42" t="n">
        <v>45755</v>
      </c>
      <c r="B89" s="1" t="s">
        <v>7</v>
      </c>
      <c r="D89" s="95" t="n">
        <v>26.6904</v>
      </c>
      <c r="E89" s="96" t="n">
        <f aca="false">H89*D89</f>
        <v>42838.092</v>
      </c>
      <c r="F89" s="46" t="n">
        <f aca="false">VEN!P16</f>
        <v>0.473303869956965</v>
      </c>
      <c r="G89" s="47" t="n">
        <f aca="false">E89*F89</f>
        <v>20275.4347251725</v>
      </c>
      <c r="H89" s="97" t="n">
        <v>1605</v>
      </c>
      <c r="I89" s="96" t="n">
        <v>42838.09</v>
      </c>
      <c r="J89" s="98" t="n">
        <v>1605</v>
      </c>
      <c r="K89" s="95" t="n">
        <f aca="false">I89/J89</f>
        <v>26.6903987538941</v>
      </c>
      <c r="L89" s="98" t="n">
        <f aca="false">I89-E89</f>
        <v>-0.00200000000768341</v>
      </c>
      <c r="M89" s="100" t="n">
        <f aca="false">G89/I89</f>
        <v>0.473303892054302</v>
      </c>
      <c r="N89" s="49" t="n">
        <f aca="false">J89-H89</f>
        <v>0</v>
      </c>
    </row>
    <row r="90" customFormat="false" ht="14.25" hidden="false" customHeight="false" outlineLevel="0" collapsed="false">
      <c r="A90" s="42" t="n">
        <v>45755</v>
      </c>
      <c r="B90" s="1" t="s">
        <v>11</v>
      </c>
      <c r="D90" s="95" t="n">
        <v>15.2345</v>
      </c>
      <c r="E90" s="96" t="n">
        <f aca="false">H90*D90</f>
        <v>19652.505</v>
      </c>
      <c r="F90" s="46" t="n">
        <f aca="false">VEN!P28</f>
        <v>3.80622112578537</v>
      </c>
      <c r="G90" s="47" t="n">
        <f aca="false">E90*F90</f>
        <v>74801.7797056026</v>
      </c>
      <c r="H90" s="97" t="n">
        <v>1290</v>
      </c>
      <c r="I90" s="96" t="n">
        <v>19652.51</v>
      </c>
      <c r="J90" s="98" t="n">
        <v>1290</v>
      </c>
      <c r="K90" s="95" t="n">
        <f aca="false">I90/J90</f>
        <v>15.234503875969</v>
      </c>
      <c r="L90" s="98" t="n">
        <f aca="false">I90-E90</f>
        <v>0.00499999999738066</v>
      </c>
      <c r="M90" s="100" t="n">
        <f aca="false">G90/I90</f>
        <v>3.80622015740496</v>
      </c>
      <c r="N90" s="49" t="n">
        <f aca="false">J90-H90</f>
        <v>0</v>
      </c>
    </row>
    <row r="91" customFormat="false" ht="14.25" hidden="false" customHeight="false" outlineLevel="0" collapsed="false">
      <c r="A91" s="42" t="n">
        <v>45755</v>
      </c>
      <c r="B91" s="1" t="s">
        <v>6</v>
      </c>
      <c r="D91" s="95" t="n">
        <v>31.5465</v>
      </c>
      <c r="E91" s="96" t="n">
        <f aca="false">H91*D91</f>
        <v>15142.32</v>
      </c>
      <c r="F91" s="46" t="n">
        <f aca="false">VEN!P12</f>
        <v>0.330003592277479</v>
      </c>
      <c r="G91" s="47" t="n">
        <f aca="false">E91*F91</f>
        <v>4997.01999541512</v>
      </c>
      <c r="H91" s="97" t="n">
        <v>480</v>
      </c>
      <c r="I91" s="96" t="n">
        <v>15142.32</v>
      </c>
      <c r="J91" s="98" t="n">
        <v>480</v>
      </c>
      <c r="K91" s="95" t="n">
        <f aca="false">I91/J91</f>
        <v>31.5465</v>
      </c>
      <c r="L91" s="99" t="n">
        <f aca="false">I91-E91</f>
        <v>0</v>
      </c>
      <c r="M91" s="100" t="n">
        <f aca="false">G91/I91</f>
        <v>0.330003592277479</v>
      </c>
      <c r="N91" s="49" t="n">
        <f aca="false">J91-H91</f>
        <v>0</v>
      </c>
    </row>
    <row r="92" customFormat="false" ht="14.25" hidden="false" customHeight="false" outlineLevel="0" collapsed="false">
      <c r="A92" s="42"/>
      <c r="D92" s="95"/>
      <c r="E92" s="96"/>
      <c r="F92" s="46"/>
      <c r="G92" s="47"/>
      <c r="H92" s="97"/>
      <c r="I92" s="96"/>
      <c r="J92" s="98"/>
      <c r="K92" s="95"/>
      <c r="L92" s="99"/>
      <c r="M92" s="100"/>
      <c r="N92" s="49"/>
    </row>
    <row r="93" customFormat="false" ht="14.25" hidden="false" customHeight="false" outlineLevel="0" collapsed="false">
      <c r="A93" s="42"/>
      <c r="D93" s="95"/>
      <c r="E93" s="96"/>
      <c r="F93" s="46"/>
      <c r="G93" s="47"/>
      <c r="H93" s="97"/>
      <c r="I93" s="96"/>
      <c r="J93" s="98"/>
      <c r="K93" s="95"/>
      <c r="L93" s="99"/>
      <c r="M93" s="100"/>
      <c r="N93" s="49"/>
    </row>
    <row r="94" customFormat="false" ht="14.25" hidden="false" customHeight="false" outlineLevel="0" collapsed="false">
      <c r="A94" s="42"/>
      <c r="D94" s="95"/>
      <c r="E94" s="96"/>
      <c r="F94" s="46"/>
      <c r="G94" s="47"/>
      <c r="H94" s="97"/>
      <c r="I94" s="96"/>
      <c r="J94" s="98"/>
      <c r="K94" s="95"/>
      <c r="L94" s="99"/>
      <c r="M94" s="100"/>
      <c r="N94" s="49"/>
    </row>
    <row r="95" customFormat="false" ht="14.25" hidden="false" customHeight="false" outlineLevel="0" collapsed="false">
      <c r="A95" s="42"/>
      <c r="D95" s="95"/>
      <c r="E95" s="96"/>
      <c r="F95" s="46"/>
      <c r="G95" s="47"/>
      <c r="H95" s="97"/>
      <c r="I95" s="96"/>
      <c r="J95" s="98"/>
      <c r="K95" s="95"/>
      <c r="L95" s="99"/>
      <c r="M95" s="100"/>
      <c r="N95" s="49"/>
    </row>
    <row r="96" customFormat="false" ht="14.25" hidden="false" customHeight="false" outlineLevel="0" collapsed="false">
      <c r="A96" s="42"/>
      <c r="D96" s="95"/>
      <c r="E96" s="96"/>
      <c r="F96" s="46"/>
      <c r="G96" s="47"/>
      <c r="H96" s="97"/>
      <c r="I96" s="96"/>
      <c r="J96" s="98"/>
      <c r="K96" s="95"/>
      <c r="L96" s="99"/>
      <c r="M96" s="100"/>
      <c r="N96" s="49"/>
    </row>
    <row r="97" customFormat="false" ht="14.25" hidden="false" customHeight="false" outlineLevel="0" collapsed="false">
      <c r="A97" s="42"/>
      <c r="D97" s="95"/>
      <c r="E97" s="96"/>
      <c r="F97" s="46"/>
      <c r="G97" s="47"/>
      <c r="H97" s="97"/>
      <c r="I97" s="96"/>
      <c r="J97" s="98"/>
      <c r="K97" s="95"/>
      <c r="L97" s="99"/>
      <c r="M97" s="100"/>
      <c r="N97" s="49"/>
    </row>
    <row r="98" customFormat="false" ht="14.25" hidden="false" customHeight="false" outlineLevel="0" collapsed="false">
      <c r="A98" s="42"/>
      <c r="D98" s="95"/>
      <c r="E98" s="96"/>
      <c r="F98" s="46"/>
      <c r="G98" s="47"/>
      <c r="H98" s="97"/>
      <c r="I98" s="96"/>
      <c r="J98" s="98"/>
      <c r="K98" s="95"/>
      <c r="L98" s="99"/>
      <c r="M98" s="100"/>
    </row>
    <row r="99" customFormat="false" ht="14.25" hidden="false" customHeight="true" outlineLevel="0" collapsed="false">
      <c r="A99" s="42"/>
      <c r="D99" s="95"/>
      <c r="E99" s="101" t="n">
        <f aca="false">SUBTOTAL(9,E26:E98)</f>
        <v>2577973.3345</v>
      </c>
      <c r="F99" s="102" t="n">
        <f aca="false">G99/E99</f>
        <v>0.512541112910283</v>
      </c>
      <c r="G99" s="55" t="n">
        <f aca="false">SUBTOTAL(9,G26:G98)</f>
        <v>1321317.32191766</v>
      </c>
      <c r="H99" s="103" t="n">
        <f aca="false">SUBTOTAL(9,H26:H98)</f>
        <v>84960</v>
      </c>
      <c r="I99" s="101" t="n">
        <f aca="false">SUBTOTAL(9,I26:I98)</f>
        <v>2576710.13</v>
      </c>
      <c r="J99" s="103" t="n">
        <f aca="false">SUBTOTAL(9,J26:J98)</f>
        <v>84914</v>
      </c>
      <c r="K99" s="104"/>
      <c r="L99" s="105" t="n">
        <f aca="false">SUBTOTAL(9,L26:L98)</f>
        <v>-1263.20449999996</v>
      </c>
      <c r="M99" s="106" t="n">
        <f aca="false">G99/I99</f>
        <v>0.512792380692688</v>
      </c>
      <c r="N99" s="53" t="n">
        <f aca="false">SUBTOTAL(9,N26:N98)</f>
        <v>-46</v>
      </c>
    </row>
    <row r="100" customFormat="false" ht="14.25" hidden="false" customHeight="false" outlineLevel="0" collapsed="false">
      <c r="D100" s="107"/>
      <c r="E100" s="4"/>
      <c r="H100" s="108"/>
      <c r="I100" s="4"/>
      <c r="K100" s="109"/>
      <c r="L100" s="110"/>
    </row>
    <row r="101" customFormat="false" ht="14.25" hidden="false" customHeight="false" outlineLevel="0" collapsed="false">
      <c r="A101" s="56"/>
      <c r="D101" s="107"/>
      <c r="E101" s="4"/>
      <c r="H101" s="108"/>
      <c r="I101" s="4"/>
      <c r="K101" s="109"/>
      <c r="L101" s="110"/>
    </row>
    <row r="102" customFormat="false" ht="14.25" hidden="false" customHeight="false" outlineLevel="0" collapsed="false">
      <c r="D102" s="107"/>
      <c r="E102" s="4"/>
      <c r="H102" s="108"/>
      <c r="I102" s="4"/>
      <c r="K102" s="109"/>
      <c r="L102" s="110"/>
    </row>
    <row r="103" customFormat="false" ht="14.25" hidden="false" customHeight="false" outlineLevel="0" collapsed="false">
      <c r="D103" s="107"/>
      <c r="E103" s="4"/>
      <c r="H103" s="108"/>
      <c r="I103" s="4"/>
      <c r="K103" s="109"/>
      <c r="L103" s="110"/>
    </row>
    <row r="104" customFormat="false" ht="14.25" hidden="false" customHeight="false" outlineLevel="0" collapsed="false">
      <c r="D104" s="107"/>
      <c r="E104" s="4"/>
      <c r="H104" s="108"/>
      <c r="I104" s="4"/>
      <c r="K104" s="109"/>
      <c r="L104" s="110"/>
    </row>
    <row r="105" customFormat="false" ht="14.25" hidden="false" customHeight="false" outlineLevel="0" collapsed="false">
      <c r="D105" s="107"/>
      <c r="E105" s="4"/>
      <c r="H105" s="108"/>
      <c r="I105" s="4"/>
      <c r="K105" s="109"/>
      <c r="L105" s="110"/>
    </row>
    <row r="106" customFormat="false" ht="14.25" hidden="false" customHeight="false" outlineLevel="0" collapsed="false">
      <c r="D106" s="107"/>
      <c r="E106" s="4"/>
      <c r="H106" s="108"/>
      <c r="I106" s="4"/>
      <c r="K106" s="109"/>
      <c r="L106" s="110"/>
    </row>
    <row r="107" customFormat="false" ht="14.25" hidden="false" customHeight="false" outlineLevel="0" collapsed="false">
      <c r="D107" s="107"/>
      <c r="E107" s="4"/>
      <c r="H107" s="108"/>
      <c r="I107" s="4"/>
      <c r="K107" s="109"/>
      <c r="L107" s="110"/>
    </row>
    <row r="108" customFormat="false" ht="14.25" hidden="false" customHeight="false" outlineLevel="0" collapsed="false">
      <c r="D108" s="107"/>
      <c r="E108" s="4"/>
      <c r="H108" s="108"/>
      <c r="I108" s="4"/>
      <c r="K108" s="109"/>
      <c r="L108" s="110"/>
    </row>
    <row r="109" customFormat="false" ht="14.25" hidden="false" customHeight="false" outlineLevel="0" collapsed="false">
      <c r="D109" s="107"/>
      <c r="E109" s="4"/>
      <c r="H109" s="108"/>
      <c r="I109" s="4"/>
      <c r="K109" s="109"/>
      <c r="L109" s="110"/>
    </row>
    <row r="110" customFormat="false" ht="14.25" hidden="false" customHeight="false" outlineLevel="0" collapsed="false">
      <c r="H110" s="108"/>
    </row>
    <row r="111" customFormat="false" ht="14.25" hidden="false" customHeight="false" outlineLevel="0" collapsed="false">
      <c r="H111" s="108"/>
    </row>
    <row r="112" customFormat="false" ht="14.25" hidden="false" customHeight="false" outlineLevel="0" collapsed="false">
      <c r="H112" s="108"/>
    </row>
    <row r="113" customFormat="false" ht="14.25" hidden="false" customHeight="false" outlineLevel="0" collapsed="false">
      <c r="H113" s="108"/>
    </row>
    <row r="114" customFormat="false" ht="14.25" hidden="false" customHeight="false" outlineLevel="0" collapsed="false">
      <c r="H114" s="108"/>
    </row>
    <row r="115" customFormat="false" ht="14.25" hidden="false" customHeight="false" outlineLevel="0" collapsed="false">
      <c r="H115" s="108"/>
    </row>
    <row r="116" customFormat="false" ht="14.25" hidden="false" customHeight="false" outlineLevel="0" collapsed="false">
      <c r="H116" s="108"/>
    </row>
    <row r="117" customFormat="false" ht="14.25" hidden="false" customHeight="false" outlineLevel="0" collapsed="false">
      <c r="H117" s="108"/>
    </row>
  </sheetData>
  <autoFilter ref="A25:N76"/>
  <mergeCells count="3">
    <mergeCell ref="A1:M1"/>
    <mergeCell ref="F2:H2"/>
    <mergeCell ref="A23:M23"/>
  </mergeCells>
  <printOptions headings="false" gridLines="false" gridLinesSet="true" horizontalCentered="false" verticalCentered="false"/>
  <pageMargins left="0.2" right="0.25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N50"/>
  <sheetViews>
    <sheetView showFormulas="false" showGridLines="false" showRowColHeaders="true" showZeros="true" rightToLeft="false" tabSelected="false" showOutlineSymbols="true" defaultGridColor="true" view="normal" topLeftCell="A25" colorId="64" zoomScale="80" zoomScaleNormal="80" zoomScalePageLayoutView="100" workbookViewId="0">
      <selection pane="topLeft" activeCell="F9" activeCellId="0" sqref="F9"/>
    </sheetView>
  </sheetViews>
  <sheetFormatPr defaultColWidth="9.18359375" defaultRowHeight="14.25" zeroHeight="false" outlineLevelRow="0" outlineLevelCol="0"/>
  <cols>
    <col collapsed="false" customWidth="true" hidden="false" outlineLevel="0" max="1" min="1" style="0" width="11.27"/>
    <col collapsed="false" customWidth="true" hidden="false" outlineLevel="0" max="2" min="2" style="1" width="13.54"/>
    <col collapsed="false" customWidth="true" hidden="false" outlineLevel="0" max="3" min="3" style="2" width="18"/>
    <col collapsed="false" customWidth="true" hidden="false" outlineLevel="0" max="4" min="4" style="0" width="16.45"/>
    <col collapsed="false" customWidth="true" hidden="false" outlineLevel="0" max="6" min="5" style="0" width="13.27"/>
    <col collapsed="false" customWidth="true" hidden="false" outlineLevel="0" max="7" min="7" style="3" width="14.27"/>
    <col collapsed="false" customWidth="true" hidden="false" outlineLevel="0" max="8" min="8" style="4" width="12.73"/>
    <col collapsed="false" customWidth="true" hidden="false" outlineLevel="0" max="9" min="9" style="57" width="14.27"/>
    <col collapsed="false" customWidth="true" hidden="false" outlineLevel="0" max="10" min="10" style="57" width="17.18"/>
    <col collapsed="false" customWidth="true" hidden="false" outlineLevel="0" max="11" min="11" style="58" width="12"/>
    <col collapsed="false" customWidth="true" hidden="false" outlineLevel="0" max="12" min="12" style="59" width="13.82"/>
    <col collapsed="false" customWidth="true" hidden="false" outlineLevel="0" max="13" min="13" style="111" width="15.54"/>
  </cols>
  <sheetData>
    <row r="1" customFormat="false" ht="17.35" hidden="false" customHeight="false" outlineLevel="0" collapsed="false">
      <c r="A1" s="5" t="s">
        <v>69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4.25" hidden="false" customHeight="false" outlineLevel="0" collapsed="false">
      <c r="A2" s="6"/>
      <c r="B2" s="7"/>
      <c r="C2" s="8"/>
      <c r="D2" s="8"/>
      <c r="E2" s="9"/>
      <c r="F2" s="9"/>
      <c r="G2" s="10"/>
      <c r="H2" s="10"/>
      <c r="I2" s="10"/>
      <c r="J2" s="112"/>
    </row>
    <row r="3" s="9" customFormat="true" ht="14.25" hidden="false" customHeight="false" outlineLevel="0" collapsed="false">
      <c r="A3" s="11" t="s">
        <v>1</v>
      </c>
      <c r="B3" s="113" t="s">
        <v>70</v>
      </c>
      <c r="C3" s="14" t="s">
        <v>71</v>
      </c>
      <c r="D3" s="114" t="s">
        <v>72</v>
      </c>
      <c r="E3" s="14"/>
      <c r="F3" s="14"/>
      <c r="G3" s="63"/>
      <c r="H3" s="61"/>
      <c r="I3" s="63"/>
      <c r="J3" s="63"/>
      <c r="K3" s="14"/>
      <c r="L3" s="63"/>
      <c r="M3" s="115"/>
    </row>
    <row r="4" customFormat="false" ht="14.25" hidden="false" customHeight="false" outlineLevel="0" collapsed="false">
      <c r="A4" s="18" t="s">
        <v>5</v>
      </c>
      <c r="B4" s="116" t="n">
        <f aca="false">SUMIF(B20:B48,"Marandu",H20:H48)</f>
        <v>327876.5</v>
      </c>
      <c r="C4" s="117"/>
      <c r="D4" s="118" t="n">
        <f aca="false">SUMIF($B$20:$B$48,"Marandu",J20:J48)</f>
        <v>18791.76</v>
      </c>
      <c r="E4" s="117" t="n">
        <f aca="false">D4/B4</f>
        <v>0.0573135311618856</v>
      </c>
      <c r="F4" s="117"/>
      <c r="G4" s="119"/>
      <c r="H4" s="119"/>
      <c r="I4" s="119"/>
      <c r="J4" s="119"/>
      <c r="K4" s="120"/>
      <c r="L4" s="121"/>
      <c r="M4" s="122"/>
    </row>
    <row r="5" customFormat="false" ht="14.25" hidden="false" customHeight="false" outlineLevel="0" collapsed="false">
      <c r="A5" s="18" t="s">
        <v>6</v>
      </c>
      <c r="B5" s="116" t="n">
        <f aca="false">SUMIF(B20:B48,"Piatã",H20:H48)</f>
        <v>308460</v>
      </c>
      <c r="C5" s="117"/>
      <c r="D5" s="118" t="n">
        <f aca="false">SUMIF($B$20:$B$48,"Piatã",J20:J48)</f>
        <v>15393.84</v>
      </c>
      <c r="E5" s="117" t="n">
        <f aca="false">D5/B5</f>
        <v>0.0499054658626726</v>
      </c>
      <c r="F5" s="117"/>
      <c r="G5" s="123"/>
      <c r="H5" s="123"/>
      <c r="I5" s="119"/>
      <c r="J5" s="119"/>
      <c r="K5" s="120"/>
      <c r="L5" s="124"/>
      <c r="M5" s="125"/>
    </row>
    <row r="6" customFormat="false" ht="14.25" hidden="false" customHeight="false" outlineLevel="0" collapsed="false">
      <c r="A6" s="18" t="s">
        <v>42</v>
      </c>
      <c r="B6" s="116" t="n">
        <f aca="false">SUMIF(B20:B48,"Xaraes",H20:H48)</f>
        <v>853106.7</v>
      </c>
      <c r="C6" s="117"/>
      <c r="D6" s="118" t="n">
        <f aca="false">SUMIF($B$20:$B$48,"Xaraes",$J$20:SJ$48)</f>
        <v>40659.84</v>
      </c>
      <c r="E6" s="117" t="n">
        <f aca="false">D6/B6</f>
        <v>0.0476609080669511</v>
      </c>
      <c r="F6" s="117"/>
      <c r="G6" s="119"/>
      <c r="H6" s="119"/>
      <c r="I6" s="119"/>
      <c r="J6" s="119"/>
      <c r="K6" s="120"/>
      <c r="L6" s="124"/>
      <c r="M6" s="122"/>
    </row>
    <row r="7" customFormat="false" ht="14.25" hidden="false" customHeight="false" outlineLevel="0" collapsed="false">
      <c r="A7" s="18" t="s">
        <v>10</v>
      </c>
      <c r="B7" s="116" t="n">
        <f aca="false">SUMIF(B20:B48,"Ruziziensis",H20:H48)</f>
        <v>9203724</v>
      </c>
      <c r="C7" s="117"/>
      <c r="D7" s="118" t="n">
        <f aca="false">SUMIF($B$20:$B$48,"Ruziziensis",$J$20:SJ$48)</f>
        <v>358969.44</v>
      </c>
      <c r="E7" s="117" t="n">
        <f aca="false">D7/B7</f>
        <v>0.0390026298050659</v>
      </c>
      <c r="F7" s="117"/>
      <c r="G7" s="119"/>
      <c r="H7" s="119"/>
      <c r="I7" s="119"/>
      <c r="J7" s="119"/>
      <c r="K7" s="120"/>
      <c r="L7" s="121"/>
      <c r="M7" s="125"/>
    </row>
    <row r="8" customFormat="false" ht="14.25" hidden="false" customHeight="false" outlineLevel="0" collapsed="false">
      <c r="A8" s="18" t="s">
        <v>20</v>
      </c>
      <c r="B8" s="116" t="n">
        <f aca="false">SUMIF(B20:B48,"Integra",H20:H48)</f>
        <v>12700964.8</v>
      </c>
      <c r="C8" s="117"/>
      <c r="D8" s="118" t="n">
        <f aca="false">SUMIF($B$20:$B$48,"Integra",$J$20:SJ$48)</f>
        <v>412950.03</v>
      </c>
      <c r="E8" s="117" t="n">
        <f aca="false">D8/B8</f>
        <v>0.0325132804084301</v>
      </c>
      <c r="F8" s="117"/>
      <c r="G8" s="119"/>
      <c r="H8" s="119"/>
      <c r="I8" s="119"/>
      <c r="J8" s="119"/>
      <c r="K8" s="120"/>
      <c r="L8" s="121"/>
      <c r="M8" s="126"/>
    </row>
    <row r="9" customFormat="false" ht="14.25" hidden="false" customHeight="false" outlineLevel="0" collapsed="false">
      <c r="A9" s="18" t="s">
        <v>13</v>
      </c>
      <c r="B9" s="116" t="n">
        <f aca="false">SUMIF(B20:B48,"Mombaça",H20:H48)</f>
        <v>74424.1</v>
      </c>
      <c r="C9" s="117"/>
      <c r="D9" s="118" t="n">
        <f aca="false">SUMIF($B$20:$B$48,"Mombaça",$J$20:SJ$48)</f>
        <v>3955.2</v>
      </c>
      <c r="E9" s="117" t="n">
        <f aca="false">D9/B9</f>
        <v>0.0531440756421643</v>
      </c>
      <c r="F9" s="117"/>
      <c r="G9" s="119"/>
      <c r="H9" s="119"/>
      <c r="I9" s="119"/>
      <c r="J9" s="119"/>
      <c r="K9" s="120"/>
      <c r="L9" s="121"/>
      <c r="M9" s="122"/>
    </row>
    <row r="10" customFormat="false" ht="14.25" hidden="false" customHeight="false" outlineLevel="0" collapsed="false">
      <c r="A10" s="18" t="s">
        <v>73</v>
      </c>
      <c r="B10" s="116" t="n">
        <f aca="false">SUMIF(B20:B48,"Sarandi",H20:H48)</f>
        <v>10300</v>
      </c>
      <c r="C10" s="117"/>
      <c r="D10" s="118" t="n">
        <f aca="false">SUMIF($B$20:$B$48,"Sarandi",J20:J48)</f>
        <v>15738</v>
      </c>
      <c r="E10" s="117" t="n">
        <f aca="false">D10/B10</f>
        <v>1.52796116504854</v>
      </c>
      <c r="F10" s="117"/>
      <c r="G10" s="119"/>
      <c r="H10" s="119"/>
      <c r="I10" s="119"/>
      <c r="J10" s="119"/>
      <c r="K10" s="120"/>
      <c r="L10" s="121"/>
      <c r="M10" s="122"/>
    </row>
    <row r="11" customFormat="false" ht="14.25" hidden="false" customHeight="false" outlineLevel="0" collapsed="false">
      <c r="A11" s="18" t="s">
        <v>17</v>
      </c>
      <c r="B11" s="116" t="n">
        <f aca="false">SUMIF(B20:B48,"Zuri",H20:H48)</f>
        <v>1198233.4</v>
      </c>
      <c r="C11" s="127"/>
      <c r="D11" s="118" t="n">
        <f aca="false">SUMIF($B$20:$B$48,"Zuri",J20:J48)</f>
        <v>261728.61</v>
      </c>
      <c r="E11" s="117" t="n">
        <f aca="false">D11/B11</f>
        <v>0.218428738507873</v>
      </c>
      <c r="F11" s="117"/>
      <c r="G11" s="119"/>
      <c r="H11" s="119"/>
      <c r="I11" s="119"/>
      <c r="J11" s="119"/>
      <c r="K11" s="120"/>
      <c r="L11" s="121"/>
      <c r="M11" s="125"/>
    </row>
    <row r="12" customFormat="false" ht="14.25" hidden="false" customHeight="false" outlineLevel="0" collapsed="false">
      <c r="A12" s="18" t="s">
        <v>74</v>
      </c>
      <c r="B12" s="116" t="n">
        <f aca="false">SUMIF(B20:B48,"Sudão",H20:H48)</f>
        <v>17082</v>
      </c>
      <c r="C12" s="117"/>
      <c r="D12" s="118" t="n">
        <f aca="false">SUMIF($B$20:$B$48,"Sudão",$J$20:SJ$48)</f>
        <v>243632.13</v>
      </c>
      <c r="E12" s="117" t="n">
        <f aca="false">D12/B12</f>
        <v>14.2625061468212</v>
      </c>
      <c r="F12" s="117"/>
      <c r="G12" s="119"/>
      <c r="H12" s="119"/>
      <c r="I12" s="119"/>
      <c r="J12" s="119"/>
      <c r="K12" s="120"/>
      <c r="L12" s="121"/>
      <c r="M12" s="126"/>
    </row>
    <row r="13" customFormat="false" ht="14.25" hidden="false" customHeight="false" outlineLevel="0" collapsed="false">
      <c r="A13" s="18" t="s">
        <v>75</v>
      </c>
      <c r="B13" s="116" t="n">
        <f aca="false">SUMIF(B20:B48,"Estilosantes",H20:H48)</f>
        <v>19660</v>
      </c>
      <c r="C13" s="127"/>
      <c r="D13" s="118" t="n">
        <f aca="false">SUMIF($B$20:$B$48,"Estilosantes",J20:J48)</f>
        <v>88299</v>
      </c>
      <c r="E13" s="117" t="n">
        <f aca="false">D13/B13</f>
        <v>4.4913021363174</v>
      </c>
      <c r="F13" s="117"/>
      <c r="G13" s="119"/>
      <c r="H13" s="119"/>
      <c r="I13" s="119"/>
      <c r="J13" s="119"/>
      <c r="K13" s="120"/>
      <c r="L13" s="121"/>
      <c r="M13" s="125"/>
    </row>
    <row r="14" customFormat="false" ht="14.25" hidden="false" customHeight="false" outlineLevel="0" collapsed="false">
      <c r="A14" s="18" t="s">
        <v>25</v>
      </c>
      <c r="B14" s="128" t="n">
        <f aca="false">SUM(B4:B13)</f>
        <v>24713831.5</v>
      </c>
      <c r="C14" s="129" t="e">
        <f aca="false">MEDIAN(C4:C13)</f>
        <v>#VALUE!</v>
      </c>
      <c r="D14" s="130" t="n">
        <f aca="false">SUM(D4:D13)</f>
        <v>1460117.85</v>
      </c>
      <c r="E14" s="131" t="n">
        <f aca="false">D14/B14</f>
        <v>0.0590809988325768</v>
      </c>
      <c r="F14" s="131"/>
      <c r="G14" s="132" t="n">
        <f aca="false">SUM(G4:G13)</f>
        <v>0</v>
      </c>
      <c r="H14" s="132" t="n">
        <f aca="false">SUM(H4:H13)</f>
        <v>0</v>
      </c>
      <c r="I14" s="132" t="n">
        <f aca="false">SUM(I4:I13)</f>
        <v>0</v>
      </c>
      <c r="J14" s="132" t="n">
        <f aca="false">SUM(J4:J13)</f>
        <v>0</v>
      </c>
      <c r="K14" s="132" t="n">
        <f aca="false">SUM(K4:K13)</f>
        <v>0</v>
      </c>
      <c r="L14" s="133"/>
      <c r="M14" s="134"/>
    </row>
    <row r="15" customFormat="false" ht="14.25" hidden="false" customHeight="false" outlineLevel="0" collapsed="false">
      <c r="B15" s="6" t="s">
        <v>76</v>
      </c>
      <c r="C15" s="6"/>
      <c r="D15" s="6"/>
      <c r="E15" s="6"/>
      <c r="F15" s="6"/>
      <c r="G15" s="6"/>
      <c r="H15" s="135"/>
      <c r="I15" s="135"/>
      <c r="J15" s="136"/>
      <c r="K15" s="136"/>
    </row>
    <row r="16" customFormat="false" ht="14.25" hidden="false" customHeight="false" outlineLevel="0" collapsed="false">
      <c r="B16" s="137" t="n">
        <f aca="false">M49</f>
        <v>80.0818181818182</v>
      </c>
      <c r="C16" s="138"/>
      <c r="D16" s="138"/>
      <c r="E16" s="138"/>
      <c r="F16" s="138"/>
      <c r="G16" s="137"/>
      <c r="H16" s="135"/>
      <c r="I16" s="135"/>
      <c r="J16" s="136"/>
      <c r="K16" s="136"/>
    </row>
    <row r="17" customFormat="false" ht="17.35" hidden="false" customHeight="false" outlineLevel="0" collapsed="false">
      <c r="A17" s="32" t="s">
        <v>77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</row>
    <row r="18" customFormat="false" ht="14.25" hidden="false" customHeight="false" outlineLevel="0" collapsed="false">
      <c r="A18" s="42"/>
      <c r="G18" s="139"/>
      <c r="H18" s="140"/>
      <c r="I18" s="59"/>
      <c r="J18" s="59"/>
    </row>
    <row r="19" customFormat="false" ht="14.25" hidden="false" customHeight="false" outlineLevel="0" collapsed="false">
      <c r="A19" s="141" t="s">
        <v>27</v>
      </c>
      <c r="B19" s="142" t="s">
        <v>28</v>
      </c>
      <c r="C19" s="143" t="s">
        <v>29</v>
      </c>
      <c r="D19" s="143" t="s">
        <v>78</v>
      </c>
      <c r="E19" s="144" t="s">
        <v>79</v>
      </c>
      <c r="F19" s="144" t="s">
        <v>80</v>
      </c>
      <c r="G19" s="145" t="s">
        <v>81</v>
      </c>
      <c r="H19" s="145" t="s">
        <v>82</v>
      </c>
      <c r="I19" s="146" t="s">
        <v>83</v>
      </c>
      <c r="J19" s="147" t="s">
        <v>84</v>
      </c>
      <c r="K19" s="148" t="s">
        <v>85</v>
      </c>
      <c r="L19" s="149" t="s">
        <v>86</v>
      </c>
      <c r="M19" s="150" t="s">
        <v>87</v>
      </c>
    </row>
    <row r="20" customFormat="false" ht="14.25" hidden="false" customHeight="false" outlineLevel="0" collapsed="false">
      <c r="A20" s="151" t="n">
        <v>45469</v>
      </c>
      <c r="B20" s="152" t="s">
        <v>17</v>
      </c>
      <c r="C20" s="153" t="s">
        <v>88</v>
      </c>
      <c r="D20" s="153" t="s">
        <v>89</v>
      </c>
      <c r="E20" s="154" t="n">
        <v>77.8</v>
      </c>
      <c r="F20" s="154"/>
      <c r="G20" s="155" t="s">
        <v>90</v>
      </c>
      <c r="H20" s="156" t="n">
        <f aca="false">E20*I20</f>
        <v>535030.6</v>
      </c>
      <c r="I20" s="157" t="n">
        <v>6877</v>
      </c>
      <c r="J20" s="158" t="n">
        <v>113676.81</v>
      </c>
      <c r="K20" s="159" t="n">
        <v>359</v>
      </c>
      <c r="L20" s="160"/>
      <c r="M20" s="161" t="n">
        <v>77.8</v>
      </c>
    </row>
    <row r="21" customFormat="false" ht="14.25" hidden="false" customHeight="false" outlineLevel="0" collapsed="false">
      <c r="A21" s="151" t="n">
        <v>45470</v>
      </c>
      <c r="B21" s="152" t="s">
        <v>17</v>
      </c>
      <c r="C21" s="162" t="s">
        <v>88</v>
      </c>
      <c r="D21" s="162" t="s">
        <v>91</v>
      </c>
      <c r="E21" s="163" t="n">
        <v>76.6</v>
      </c>
      <c r="F21" s="163"/>
      <c r="G21" s="155" t="s">
        <v>92</v>
      </c>
      <c r="H21" s="156" t="n">
        <f aca="false">E21*I21</f>
        <v>663202.8</v>
      </c>
      <c r="I21" s="157" t="n">
        <v>8658</v>
      </c>
      <c r="J21" s="158" t="n">
        <v>148051.8</v>
      </c>
      <c r="K21" s="159" t="n">
        <v>360</v>
      </c>
      <c r="L21" s="160"/>
      <c r="M21" s="161" t="n">
        <v>76.6</v>
      </c>
    </row>
    <row r="22" customFormat="false" ht="14.25" hidden="false" customHeight="false" outlineLevel="0" collapsed="false">
      <c r="A22" s="151" t="n">
        <v>45470</v>
      </c>
      <c r="B22" s="152" t="s">
        <v>74</v>
      </c>
      <c r="C22" s="162" t="s">
        <v>93</v>
      </c>
      <c r="D22" s="162" t="s">
        <v>91</v>
      </c>
      <c r="E22" s="163" t="n">
        <v>1</v>
      </c>
      <c r="F22" s="163"/>
      <c r="G22" s="155" t="s">
        <v>94</v>
      </c>
      <c r="H22" s="164" t="n">
        <f aca="false">E22*I22</f>
        <v>16237</v>
      </c>
      <c r="I22" s="157" t="n">
        <v>16237</v>
      </c>
      <c r="J22" s="158" t="n">
        <v>243555</v>
      </c>
      <c r="K22" s="159" t="n">
        <v>512</v>
      </c>
      <c r="L22" s="160"/>
      <c r="M22" s="161" t="n">
        <v>90.5</v>
      </c>
    </row>
    <row r="23" customFormat="false" ht="14.25" hidden="false" customHeight="false" outlineLevel="0" collapsed="false">
      <c r="A23" s="151" t="n">
        <v>45485</v>
      </c>
      <c r="B23" s="152" t="s">
        <v>10</v>
      </c>
      <c r="C23" s="153" t="s">
        <v>95</v>
      </c>
      <c r="D23" s="153" t="s">
        <v>91</v>
      </c>
      <c r="E23" s="163" t="n">
        <v>86.2</v>
      </c>
      <c r="F23" s="163" t="n">
        <v>84</v>
      </c>
      <c r="G23" s="155" t="s">
        <v>96</v>
      </c>
      <c r="H23" s="164" t="n">
        <f aca="false">E23*I23</f>
        <v>1625732</v>
      </c>
      <c r="I23" s="157" t="n">
        <v>18860</v>
      </c>
      <c r="J23" s="158" t="n">
        <v>49612.8</v>
      </c>
      <c r="K23" s="159" t="n">
        <v>37</v>
      </c>
      <c r="L23" s="160"/>
      <c r="M23" s="161" t="n">
        <v>86.2</v>
      </c>
    </row>
    <row r="24" customFormat="false" ht="14.25" hidden="false" customHeight="false" outlineLevel="0" collapsed="false">
      <c r="A24" s="151" t="n">
        <v>45485</v>
      </c>
      <c r="B24" s="152" t="s">
        <v>20</v>
      </c>
      <c r="C24" s="153" t="s">
        <v>97</v>
      </c>
      <c r="D24" s="153" t="s">
        <v>91</v>
      </c>
      <c r="E24" s="163" t="n">
        <v>79.2</v>
      </c>
      <c r="F24" s="163" t="n">
        <v>88</v>
      </c>
      <c r="G24" s="155" t="s">
        <v>98</v>
      </c>
      <c r="H24" s="164" t="n">
        <f aca="false">E24*I24</f>
        <v>1580832</v>
      </c>
      <c r="I24" s="157" t="n">
        <v>19960</v>
      </c>
      <c r="J24" s="158" t="n">
        <v>51624.75</v>
      </c>
      <c r="K24" s="159" t="n">
        <v>95</v>
      </c>
      <c r="L24" s="160"/>
      <c r="M24" s="161" t="n">
        <v>79.2</v>
      </c>
    </row>
    <row r="25" customFormat="false" ht="14.25" hidden="false" customHeight="false" outlineLevel="0" collapsed="false">
      <c r="A25" s="151" t="n">
        <v>45496</v>
      </c>
      <c r="B25" s="152" t="s">
        <v>20</v>
      </c>
      <c r="C25" s="153" t="s">
        <v>97</v>
      </c>
      <c r="D25" s="153" t="s">
        <v>99</v>
      </c>
      <c r="E25" s="163" t="n">
        <v>76.9</v>
      </c>
      <c r="F25" s="163" t="n">
        <v>80</v>
      </c>
      <c r="G25" s="155" t="s">
        <v>100</v>
      </c>
      <c r="H25" s="164" t="n">
        <f aca="false">E25*I25</f>
        <v>2905282</v>
      </c>
      <c r="I25" s="157" t="n">
        <v>37780</v>
      </c>
      <c r="J25" s="158" t="n">
        <v>92719.2</v>
      </c>
      <c r="K25" s="159" t="n">
        <v>99</v>
      </c>
      <c r="L25" s="160"/>
      <c r="M25" s="161" t="n">
        <v>76.9</v>
      </c>
    </row>
    <row r="26" customFormat="false" ht="14.25" hidden="false" customHeight="false" outlineLevel="0" collapsed="false">
      <c r="A26" s="151" t="n">
        <v>45504</v>
      </c>
      <c r="B26" s="152" t="s">
        <v>20</v>
      </c>
      <c r="C26" s="153" t="s">
        <v>97</v>
      </c>
      <c r="D26" s="153" t="s">
        <v>91</v>
      </c>
      <c r="E26" s="163" t="n">
        <v>82.1</v>
      </c>
      <c r="F26" s="163" t="n">
        <v>78</v>
      </c>
      <c r="G26" s="155" t="s">
        <v>101</v>
      </c>
      <c r="H26" s="164" t="n">
        <f aca="false">E26*I26</f>
        <v>3049194</v>
      </c>
      <c r="I26" s="157" t="n">
        <v>37140</v>
      </c>
      <c r="J26" s="158" t="n">
        <v>86400</v>
      </c>
      <c r="K26" s="159" t="n">
        <v>105</v>
      </c>
      <c r="L26" s="160"/>
      <c r="M26" s="161" t="n">
        <v>82.1</v>
      </c>
    </row>
    <row r="27" customFormat="false" ht="14.25" hidden="false" customHeight="false" outlineLevel="0" collapsed="false">
      <c r="A27" s="151" t="n">
        <v>45514</v>
      </c>
      <c r="B27" s="152" t="s">
        <v>52</v>
      </c>
      <c r="C27" s="153" t="s">
        <v>93</v>
      </c>
      <c r="D27" s="153" t="s">
        <v>91</v>
      </c>
      <c r="E27" s="163" t="n">
        <v>80.5</v>
      </c>
      <c r="F27" s="163"/>
      <c r="G27" s="155" t="s">
        <v>102</v>
      </c>
      <c r="H27" s="165" t="n">
        <f aca="false">E27*I27</f>
        <v>327876.5</v>
      </c>
      <c r="I27" s="157" t="n">
        <v>4073</v>
      </c>
      <c r="J27" s="158" t="n">
        <v>18791.76</v>
      </c>
      <c r="K27" s="159" t="n">
        <v>538</v>
      </c>
      <c r="L27" s="160"/>
      <c r="M27" s="161" t="n">
        <v>80.5</v>
      </c>
    </row>
    <row r="28" customFormat="false" ht="14.25" hidden="false" customHeight="false" outlineLevel="0" collapsed="false">
      <c r="A28" s="151" t="n">
        <v>45514</v>
      </c>
      <c r="B28" s="152" t="s">
        <v>42</v>
      </c>
      <c r="C28" s="153" t="s">
        <v>93</v>
      </c>
      <c r="D28" s="153" t="s">
        <v>91</v>
      </c>
      <c r="E28" s="163" t="n">
        <v>84.1</v>
      </c>
      <c r="F28" s="163"/>
      <c r="G28" s="155" t="s">
        <v>103</v>
      </c>
      <c r="H28" s="165" t="n">
        <f aca="false">E28*I28</f>
        <v>310076.7</v>
      </c>
      <c r="I28" s="157" t="n">
        <v>3687</v>
      </c>
      <c r="J28" s="158" t="n">
        <v>18234.72</v>
      </c>
      <c r="K28" s="159" t="n">
        <v>538</v>
      </c>
      <c r="L28" s="160"/>
      <c r="M28" s="161" t="n">
        <v>84.1</v>
      </c>
    </row>
    <row r="29" customFormat="false" ht="14.25" hidden="false" customHeight="false" outlineLevel="0" collapsed="false">
      <c r="A29" s="151" t="n">
        <v>45514</v>
      </c>
      <c r="B29" s="152" t="s">
        <v>74</v>
      </c>
      <c r="C29" s="153" t="s">
        <v>93</v>
      </c>
      <c r="D29" s="153" t="s">
        <v>91</v>
      </c>
      <c r="E29" s="163" t="n">
        <v>1</v>
      </c>
      <c r="F29" s="163"/>
      <c r="G29" s="155" t="s">
        <v>104</v>
      </c>
      <c r="H29" s="165" t="n">
        <f aca="false">E29*I29</f>
        <v>845</v>
      </c>
      <c r="I29" s="157" t="n">
        <v>845</v>
      </c>
      <c r="J29" s="158" t="n">
        <v>77.13</v>
      </c>
      <c r="K29" s="159" t="n">
        <v>538</v>
      </c>
      <c r="L29" s="160"/>
      <c r="M29" s="161" t="n">
        <v>92.9</v>
      </c>
    </row>
    <row r="30" customFormat="false" ht="14.25" hidden="false" customHeight="false" outlineLevel="0" collapsed="false">
      <c r="A30" s="151" t="n">
        <v>45514</v>
      </c>
      <c r="B30" s="152" t="s">
        <v>13</v>
      </c>
      <c r="C30" s="153" t="s">
        <v>88</v>
      </c>
      <c r="D30" s="153" t="s">
        <v>91</v>
      </c>
      <c r="E30" s="163" t="n">
        <v>75.1</v>
      </c>
      <c r="F30" s="163"/>
      <c r="G30" s="155" t="s">
        <v>105</v>
      </c>
      <c r="H30" s="165" t="n">
        <f aca="false">E30*I30</f>
        <v>74424.1</v>
      </c>
      <c r="I30" s="157" t="n">
        <v>991</v>
      </c>
      <c r="J30" s="158" t="n">
        <v>3955.2</v>
      </c>
      <c r="K30" s="159" t="n">
        <v>376</v>
      </c>
      <c r="L30" s="160"/>
      <c r="M30" s="161" t="n">
        <v>75.1</v>
      </c>
    </row>
    <row r="31" customFormat="false" ht="14.25" hidden="false" customHeight="false" outlineLevel="0" collapsed="false">
      <c r="A31" s="151" t="n">
        <v>45514</v>
      </c>
      <c r="B31" s="152" t="s">
        <v>20</v>
      </c>
      <c r="C31" s="153" t="s">
        <v>88</v>
      </c>
      <c r="D31" s="153" t="s">
        <v>91</v>
      </c>
      <c r="E31" s="163" t="n">
        <v>76.3</v>
      </c>
      <c r="F31" s="163" t="n">
        <v>75</v>
      </c>
      <c r="G31" s="155" t="s">
        <v>106</v>
      </c>
      <c r="H31" s="165" t="n">
        <f aca="false">E31*I31</f>
        <v>101936.8</v>
      </c>
      <c r="I31" s="157" t="n">
        <v>1336</v>
      </c>
      <c r="J31" s="158" t="n">
        <v>4466.88</v>
      </c>
      <c r="K31" s="159" t="n">
        <v>376</v>
      </c>
      <c r="L31" s="160"/>
      <c r="M31" s="161" t="n">
        <v>76.3</v>
      </c>
    </row>
    <row r="32" customFormat="false" ht="14.25" hidden="false" customHeight="false" outlineLevel="0" collapsed="false">
      <c r="A32" s="151" t="n">
        <v>45514</v>
      </c>
      <c r="B32" s="152" t="s">
        <v>20</v>
      </c>
      <c r="C32" s="153" t="s">
        <v>97</v>
      </c>
      <c r="D32" s="153" t="s">
        <v>91</v>
      </c>
      <c r="E32" s="163" t="n">
        <v>74.6</v>
      </c>
      <c r="F32" s="163" t="n">
        <v>75</v>
      </c>
      <c r="G32" s="155" t="s">
        <v>107</v>
      </c>
      <c r="H32" s="165" t="n">
        <f aca="false">E32*I32</f>
        <v>1451716</v>
      </c>
      <c r="I32" s="157" t="n">
        <v>19460</v>
      </c>
      <c r="J32" s="158" t="n">
        <v>50918.4</v>
      </c>
      <c r="K32" s="159" t="n">
        <v>114</v>
      </c>
      <c r="L32" s="160"/>
      <c r="M32" s="161" t="n">
        <v>74.6</v>
      </c>
    </row>
    <row r="33" customFormat="false" ht="14.25" hidden="false" customHeight="false" outlineLevel="0" collapsed="false">
      <c r="A33" s="151" t="n">
        <v>45531</v>
      </c>
      <c r="B33" s="152" t="s">
        <v>42</v>
      </c>
      <c r="C33" s="153" t="s">
        <v>93</v>
      </c>
      <c r="D33" s="153" t="s">
        <v>99</v>
      </c>
      <c r="E33" s="163" t="n">
        <v>78.7</v>
      </c>
      <c r="F33" s="163"/>
      <c r="G33" s="155" t="s">
        <v>108</v>
      </c>
      <c r="H33" s="165" t="n">
        <f aca="false">E33*I33</f>
        <v>543030</v>
      </c>
      <c r="I33" s="157" t="n">
        <v>6900</v>
      </c>
      <c r="J33" s="158" t="n">
        <v>22425.12</v>
      </c>
      <c r="K33" s="159" t="n">
        <v>543</v>
      </c>
      <c r="L33" s="160"/>
      <c r="M33" s="161" t="n">
        <v>78.7</v>
      </c>
    </row>
    <row r="34" customFormat="false" ht="14.25" hidden="false" customHeight="false" outlineLevel="0" collapsed="false">
      <c r="A34" s="151" t="n">
        <v>45531</v>
      </c>
      <c r="B34" s="152" t="s">
        <v>75</v>
      </c>
      <c r="C34" s="153" t="s">
        <v>93</v>
      </c>
      <c r="D34" s="153" t="s">
        <v>99</v>
      </c>
      <c r="E34" s="163" t="n">
        <v>1</v>
      </c>
      <c r="F34" s="163"/>
      <c r="G34" s="155" t="s">
        <v>109</v>
      </c>
      <c r="H34" s="165" t="n">
        <f aca="false">E34*I34</f>
        <v>19660</v>
      </c>
      <c r="I34" s="157" t="n">
        <v>19660</v>
      </c>
      <c r="J34" s="158" t="n">
        <v>88299</v>
      </c>
      <c r="K34" s="159" t="n">
        <v>543</v>
      </c>
      <c r="L34" s="160"/>
      <c r="M34" s="161" t="n">
        <v>90.2</v>
      </c>
    </row>
    <row r="35" customFormat="false" ht="14.25" hidden="false" customHeight="false" outlineLevel="0" collapsed="false">
      <c r="A35" s="151" t="n">
        <v>45532</v>
      </c>
      <c r="B35" s="152" t="s">
        <v>10</v>
      </c>
      <c r="C35" s="153" t="s">
        <v>93</v>
      </c>
      <c r="D35" s="153" t="s">
        <v>91</v>
      </c>
      <c r="E35" s="163" t="n">
        <v>82.6</v>
      </c>
      <c r="F35" s="163" t="n">
        <v>50</v>
      </c>
      <c r="G35" s="155" t="s">
        <v>110</v>
      </c>
      <c r="H35" s="165" t="n">
        <f aca="false">E35*I35</f>
        <v>2781968</v>
      </c>
      <c r="I35" s="157" t="n">
        <v>33680</v>
      </c>
      <c r="J35" s="158" t="n">
        <v>168750</v>
      </c>
      <c r="K35" s="159" t="n">
        <v>548</v>
      </c>
      <c r="L35" s="160"/>
      <c r="M35" s="161" t="n">
        <v>82.6</v>
      </c>
    </row>
    <row r="36" customFormat="false" ht="14.25" hidden="false" customHeight="false" outlineLevel="0" collapsed="false">
      <c r="A36" s="151" t="n">
        <v>45544</v>
      </c>
      <c r="B36" s="152" t="s">
        <v>10</v>
      </c>
      <c r="C36" s="153" t="s">
        <v>97</v>
      </c>
      <c r="D36" s="153" t="s">
        <v>91</v>
      </c>
      <c r="E36" s="163" t="n">
        <v>81.3</v>
      </c>
      <c r="F36" s="163" t="n">
        <v>42</v>
      </c>
      <c r="G36" s="155" t="s">
        <v>111</v>
      </c>
      <c r="H36" s="165" t="n">
        <f aca="false">E36*I36</f>
        <v>3079644</v>
      </c>
      <c r="I36" s="157" t="n">
        <v>37880</v>
      </c>
      <c r="J36" s="158" t="n">
        <v>83244.24</v>
      </c>
      <c r="K36" s="159" t="n">
        <v>129</v>
      </c>
      <c r="L36" s="160"/>
      <c r="M36" s="161" t="n">
        <v>81.3</v>
      </c>
    </row>
    <row r="37" customFormat="false" ht="14.25" hidden="false" customHeight="false" outlineLevel="0" collapsed="false">
      <c r="A37" s="151" t="n">
        <v>45544</v>
      </c>
      <c r="B37" s="152" t="s">
        <v>20</v>
      </c>
      <c r="C37" s="153" t="s">
        <v>97</v>
      </c>
      <c r="D37" s="153" t="s">
        <v>99</v>
      </c>
      <c r="E37" s="163" t="n">
        <v>79.7</v>
      </c>
      <c r="F37" s="163" t="n">
        <v>78</v>
      </c>
      <c r="G37" s="155" t="s">
        <v>112</v>
      </c>
      <c r="H37" s="165" t="n">
        <f aca="false">E37*I37</f>
        <v>2383030</v>
      </c>
      <c r="I37" s="157" t="n">
        <v>29900</v>
      </c>
      <c r="J37" s="158" t="n">
        <v>93600</v>
      </c>
      <c r="K37" s="159" t="n">
        <v>128</v>
      </c>
      <c r="L37" s="160"/>
      <c r="M37" s="161" t="n">
        <v>79.7</v>
      </c>
    </row>
    <row r="38" customFormat="false" ht="14.25" hidden="false" customHeight="false" outlineLevel="0" collapsed="false">
      <c r="A38" s="151" t="n">
        <v>45548</v>
      </c>
      <c r="B38" s="152" t="s">
        <v>73</v>
      </c>
      <c r="C38" s="153" t="s">
        <v>88</v>
      </c>
      <c r="D38" s="153" t="s">
        <v>91</v>
      </c>
      <c r="E38" s="163" t="n">
        <v>1</v>
      </c>
      <c r="F38" s="163"/>
      <c r="G38" s="155" t="s">
        <v>113</v>
      </c>
      <c r="H38" s="165" t="n">
        <f aca="false">E38*I38</f>
        <v>6160</v>
      </c>
      <c r="I38" s="157" t="n">
        <v>6160</v>
      </c>
      <c r="J38" s="158" t="n">
        <v>9412.5</v>
      </c>
      <c r="K38" s="159" t="n">
        <v>387</v>
      </c>
      <c r="L38" s="160"/>
      <c r="M38" s="161"/>
    </row>
    <row r="39" customFormat="false" ht="14.25" hidden="false" customHeight="false" outlineLevel="0" collapsed="false">
      <c r="A39" s="151" t="n">
        <v>45548</v>
      </c>
      <c r="B39" s="152" t="s">
        <v>73</v>
      </c>
      <c r="C39" s="153" t="s">
        <v>88</v>
      </c>
      <c r="D39" s="153" t="s">
        <v>99</v>
      </c>
      <c r="E39" s="163" t="n">
        <v>1</v>
      </c>
      <c r="F39" s="163"/>
      <c r="G39" s="155" t="s">
        <v>114</v>
      </c>
      <c r="H39" s="165" t="n">
        <f aca="false">E39*I39</f>
        <v>2160</v>
      </c>
      <c r="I39" s="157" t="n">
        <v>2160</v>
      </c>
      <c r="J39" s="158" t="n">
        <v>3133.5</v>
      </c>
      <c r="K39" s="159" t="n">
        <v>385</v>
      </c>
      <c r="L39" s="160"/>
      <c r="M39" s="161"/>
    </row>
    <row r="40" customFormat="false" ht="14.25" hidden="false" customHeight="false" outlineLevel="0" collapsed="false">
      <c r="A40" s="151" t="n">
        <v>45548</v>
      </c>
      <c r="B40" s="152" t="s">
        <v>73</v>
      </c>
      <c r="C40" s="153" t="s">
        <v>88</v>
      </c>
      <c r="D40" s="153" t="s">
        <v>99</v>
      </c>
      <c r="E40" s="163" t="n">
        <v>1</v>
      </c>
      <c r="F40" s="163"/>
      <c r="G40" s="155" t="s">
        <v>115</v>
      </c>
      <c r="H40" s="165" t="n">
        <f aca="false">E40*I40</f>
        <v>320</v>
      </c>
      <c r="I40" s="157" t="n">
        <v>320</v>
      </c>
      <c r="J40" s="158" t="n">
        <v>600</v>
      </c>
      <c r="K40" s="159" t="n">
        <v>384</v>
      </c>
      <c r="L40" s="160"/>
      <c r="M40" s="161"/>
    </row>
    <row r="41" customFormat="false" ht="14.25" hidden="false" customHeight="false" outlineLevel="0" collapsed="false">
      <c r="A41" s="151" t="n">
        <v>45548</v>
      </c>
      <c r="B41" s="152" t="s">
        <v>73</v>
      </c>
      <c r="C41" s="153" t="s">
        <v>88</v>
      </c>
      <c r="D41" s="153" t="s">
        <v>99</v>
      </c>
      <c r="E41" s="163" t="n">
        <v>1</v>
      </c>
      <c r="F41" s="163"/>
      <c r="G41" s="155" t="s">
        <v>116</v>
      </c>
      <c r="H41" s="165" t="n">
        <f aca="false">E41*I41</f>
        <v>1660</v>
      </c>
      <c r="I41" s="157" t="n">
        <v>1660</v>
      </c>
      <c r="J41" s="158" t="n">
        <v>2592</v>
      </c>
      <c r="K41" s="159" t="n">
        <v>389</v>
      </c>
      <c r="L41" s="160"/>
      <c r="M41" s="161"/>
    </row>
    <row r="42" customFormat="false" ht="14.25" hidden="false" customHeight="false" outlineLevel="0" collapsed="false">
      <c r="A42" s="151" t="n">
        <v>45611</v>
      </c>
      <c r="B42" s="152" t="s">
        <v>10</v>
      </c>
      <c r="C42" s="153" t="s">
        <v>97</v>
      </c>
      <c r="D42" s="153" t="s">
        <v>117</v>
      </c>
      <c r="E42" s="163" t="n">
        <v>68.2</v>
      </c>
      <c r="F42" s="163" t="n">
        <v>56</v>
      </c>
      <c r="G42" s="155" t="s">
        <v>118</v>
      </c>
      <c r="H42" s="165" t="n">
        <f aca="false">E42*I42</f>
        <v>737924</v>
      </c>
      <c r="I42" s="157" t="n">
        <v>10820</v>
      </c>
      <c r="J42" s="158" t="n">
        <v>23198.4</v>
      </c>
      <c r="K42" s="159" t="n">
        <v>147</v>
      </c>
      <c r="L42" s="160"/>
      <c r="M42" s="161" t="n">
        <v>68.2</v>
      </c>
    </row>
    <row r="43" customFormat="false" ht="14.25" hidden="false" customHeight="false" outlineLevel="0" collapsed="false">
      <c r="A43" s="151" t="n">
        <v>45611</v>
      </c>
      <c r="B43" s="152" t="s">
        <v>20</v>
      </c>
      <c r="C43" s="153" t="s">
        <v>97</v>
      </c>
      <c r="D43" s="153" t="s">
        <v>117</v>
      </c>
      <c r="E43" s="163" t="n">
        <v>79.7</v>
      </c>
      <c r="F43" s="163" t="n">
        <v>61</v>
      </c>
      <c r="G43" s="155" t="s">
        <v>119</v>
      </c>
      <c r="H43" s="165" t="n">
        <f aca="false">E43*I43</f>
        <v>1228974</v>
      </c>
      <c r="I43" s="157" t="n">
        <v>15420</v>
      </c>
      <c r="J43" s="158" t="n">
        <v>33220.8</v>
      </c>
      <c r="K43" s="159" t="n">
        <v>147</v>
      </c>
      <c r="L43" s="160"/>
      <c r="M43" s="161" t="n">
        <v>79.7</v>
      </c>
    </row>
    <row r="44" customFormat="false" ht="14.25" hidden="false" customHeight="false" outlineLevel="0" collapsed="false">
      <c r="A44" s="151" t="n">
        <v>45619</v>
      </c>
      <c r="B44" s="152" t="s">
        <v>10</v>
      </c>
      <c r="C44" s="153" t="s">
        <v>97</v>
      </c>
      <c r="D44" s="153" t="s">
        <v>120</v>
      </c>
      <c r="E44" s="163" t="n">
        <v>69.1</v>
      </c>
      <c r="F44" s="163" t="n">
        <v>50</v>
      </c>
      <c r="G44" s="155" t="s">
        <v>121</v>
      </c>
      <c r="H44" s="165" t="n">
        <f aca="false">E44*I44</f>
        <v>978456</v>
      </c>
      <c r="I44" s="157" t="n">
        <v>14160</v>
      </c>
      <c r="J44" s="158" t="n">
        <v>34164</v>
      </c>
      <c r="K44" s="159" t="n">
        <v>150</v>
      </c>
      <c r="L44" s="160"/>
      <c r="M44" s="161" t="n">
        <v>69.1</v>
      </c>
    </row>
    <row r="45" customFormat="false" ht="14.25" hidden="false" customHeight="false" outlineLevel="0" collapsed="false">
      <c r="A45" s="151" t="n">
        <v>45632</v>
      </c>
      <c r="B45" s="152" t="s">
        <v>6</v>
      </c>
      <c r="C45" s="153" t="s">
        <v>93</v>
      </c>
      <c r="D45" s="153" t="s">
        <v>91</v>
      </c>
      <c r="E45" s="163" t="n">
        <v>79.5</v>
      </c>
      <c r="F45" s="163"/>
      <c r="G45" s="155" t="s">
        <v>122</v>
      </c>
      <c r="H45" s="165" t="n">
        <f aca="false">E45*I45</f>
        <v>308460</v>
      </c>
      <c r="I45" s="157" t="n">
        <v>3880</v>
      </c>
      <c r="J45" s="158" t="n">
        <v>15393.84</v>
      </c>
      <c r="K45" s="159" t="n">
        <v>607</v>
      </c>
      <c r="L45" s="160"/>
      <c r="M45" s="161" t="n">
        <v>79.5</v>
      </c>
    </row>
    <row r="46" customFormat="false" ht="14.25" hidden="false" customHeight="false" outlineLevel="0" collapsed="false">
      <c r="A46" s="151"/>
      <c r="B46" s="152"/>
      <c r="C46" s="153"/>
      <c r="D46" s="153"/>
      <c r="E46" s="163"/>
      <c r="F46" s="163"/>
      <c r="G46" s="155"/>
      <c r="H46" s="165" t="n">
        <f aca="false">E46*I46</f>
        <v>0</v>
      </c>
      <c r="I46" s="157"/>
      <c r="J46" s="158"/>
      <c r="K46" s="159"/>
      <c r="L46" s="160"/>
      <c r="M46" s="161"/>
    </row>
    <row r="47" customFormat="false" ht="14.25" hidden="false" customHeight="false" outlineLevel="0" collapsed="false">
      <c r="A47" s="151"/>
      <c r="B47" s="152"/>
      <c r="C47" s="153"/>
      <c r="D47" s="153"/>
      <c r="E47" s="163"/>
      <c r="F47" s="163"/>
      <c r="G47" s="155"/>
      <c r="H47" s="165" t="n">
        <f aca="false">E47*I47</f>
        <v>0</v>
      </c>
      <c r="I47" s="157"/>
      <c r="J47" s="158"/>
      <c r="K47" s="159"/>
      <c r="L47" s="160"/>
      <c r="M47" s="161"/>
    </row>
    <row r="48" customFormat="false" ht="14.25" hidden="false" customHeight="false" outlineLevel="0" collapsed="false">
      <c r="A48" s="151"/>
      <c r="B48" s="152"/>
      <c r="C48" s="153"/>
      <c r="D48" s="153"/>
      <c r="E48" s="163"/>
      <c r="F48" s="163"/>
      <c r="G48" s="155"/>
      <c r="H48" s="165" t="n">
        <f aca="false">E48*I48</f>
        <v>0</v>
      </c>
      <c r="I48" s="157"/>
      <c r="J48" s="158"/>
      <c r="K48" s="159"/>
      <c r="L48" s="160"/>
      <c r="M48" s="161"/>
    </row>
    <row r="49" customFormat="false" ht="14.25" hidden="false" customHeight="false" outlineLevel="0" collapsed="false">
      <c r="A49" s="166"/>
      <c r="B49" s="167"/>
      <c r="C49" s="168"/>
      <c r="D49" s="168"/>
      <c r="E49" s="169"/>
      <c r="F49" s="169"/>
      <c r="G49" s="170"/>
      <c r="H49" s="171" t="n">
        <f aca="false">SUBTOTAL(9,H20:H48)</f>
        <v>24713831.5</v>
      </c>
      <c r="I49" s="169" t="n">
        <f aca="false">SUBTOTAL(9,I20:I48)</f>
        <v>358504</v>
      </c>
      <c r="J49" s="172" t="n">
        <f aca="false">SUBTOTAL(9,J20:J48)</f>
        <v>1460117.85</v>
      </c>
      <c r="K49" s="169"/>
      <c r="L49" s="173"/>
      <c r="M49" s="174" t="n">
        <f aca="false">AVERAGE(M20:M48)</f>
        <v>80.0818181818182</v>
      </c>
    </row>
    <row r="50" customFormat="false" ht="14.25" hidden="false" customHeight="false" outlineLevel="0" collapsed="false">
      <c r="A50" s="56"/>
    </row>
  </sheetData>
  <autoFilter ref="A19:M48"/>
  <mergeCells count="3">
    <mergeCell ref="A1:N1"/>
    <mergeCell ref="G2:I2"/>
    <mergeCell ref="A17:M17"/>
  </mergeCells>
  <printOptions headings="false" gridLines="false" gridLinesSet="true" horizontalCentered="false" verticalCentered="false"/>
  <pageMargins left="0.2" right="0.25" top="0.7875" bottom="0.78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AA51"/>
  <sheetViews>
    <sheetView showFormulas="false" showGridLines="false" showRowColHeaders="true" showZeros="true" rightToLeft="false" tabSelected="false" showOutlineSymbols="true" defaultGridColor="true" view="normal" topLeftCell="A25" colorId="64" zoomScale="80" zoomScaleNormal="80" zoomScalePageLayoutView="100" workbookViewId="0">
      <selection pane="topLeft" activeCell="J39" activeCellId="0" sqref="J39"/>
    </sheetView>
  </sheetViews>
  <sheetFormatPr defaultColWidth="9.18359375" defaultRowHeight="14.25" zeroHeight="false" outlineLevelRow="0" outlineLevelCol="0"/>
  <cols>
    <col collapsed="false" customWidth="true" hidden="false" outlineLevel="0" max="1" min="1" style="0" width="11.27"/>
    <col collapsed="false" customWidth="true" hidden="false" outlineLevel="0" max="2" min="2" style="1" width="13.54"/>
    <col collapsed="false" customWidth="true" hidden="false" outlineLevel="0" max="3" min="3" style="2" width="18"/>
    <col collapsed="false" customWidth="true" hidden="false" outlineLevel="0" max="4" min="4" style="0" width="18.82"/>
    <col collapsed="false" customWidth="true" hidden="false" outlineLevel="0" max="5" min="5" style="0" width="13.27"/>
    <col collapsed="false" customWidth="true" hidden="false" outlineLevel="0" max="8" min="6" style="3" width="14.27"/>
    <col collapsed="false" customWidth="true" hidden="false" outlineLevel="0" max="9" min="9" style="4" width="17.54"/>
    <col collapsed="false" customWidth="true" hidden="false" outlineLevel="0" max="10" min="10" style="57" width="14.27"/>
    <col collapsed="false" customWidth="true" hidden="false" outlineLevel="0" max="11" min="11" style="0" width="13"/>
    <col collapsed="false" customWidth="true" hidden="false" outlineLevel="0" max="12" min="12" style="59" width="14"/>
    <col collapsed="false" customWidth="true" hidden="false" outlineLevel="0" max="13" min="13" style="58" width="8.18"/>
    <col collapsed="false" customWidth="true" hidden="false" outlineLevel="0" max="14" min="14" style="59" width="13.82"/>
    <col collapsed="false" customWidth="true" hidden="false" outlineLevel="0" max="15" min="15" style="111" width="13.54"/>
    <col collapsed="false" customWidth="true" hidden="false" outlineLevel="0" max="16" min="16" style="59" width="13.82"/>
    <col collapsed="false" customWidth="true" hidden="false" outlineLevel="0" max="17" min="17" style="58" width="12.82"/>
    <col collapsed="false" customWidth="true" hidden="false" outlineLevel="0" max="18" min="18" style="58" width="13.18"/>
    <col collapsed="false" customWidth="true" hidden="false" outlineLevel="0" max="19" min="19" style="58" width="12"/>
    <col collapsed="false" customWidth="true" hidden="false" outlineLevel="0" max="20" min="20" style="58" width="17.54"/>
    <col collapsed="false" customWidth="true" hidden="false" outlineLevel="0" max="21" min="21" style="58" width="12.82"/>
    <col collapsed="false" customWidth="true" hidden="false" outlineLevel="0" max="22" min="22" style="58" width="12"/>
    <col collapsed="false" customWidth="true" hidden="false" outlineLevel="0" max="23" min="23" style="58" width="13.54"/>
    <col collapsed="false" customWidth="true" hidden="false" outlineLevel="0" max="24" min="24" style="3" width="17.54"/>
    <col collapsed="false" customWidth="true" hidden="false" outlineLevel="0" max="25" min="25" style="3" width="11.27"/>
    <col collapsed="false" customWidth="true" hidden="false" outlineLevel="0" max="26" min="26" style="3" width="13.54"/>
    <col collapsed="false" customWidth="true" hidden="false" outlineLevel="0" max="27" min="27" style="0" width="11"/>
  </cols>
  <sheetData>
    <row r="1" customFormat="false" ht="17.35" hidden="false" customHeight="false" outlineLevel="0" collapsed="false">
      <c r="A1" s="5" t="s">
        <v>123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4.25" hidden="false" customHeight="false" outlineLevel="0" collapsed="false">
      <c r="A2" s="6"/>
      <c r="B2" s="7"/>
      <c r="C2" s="8"/>
      <c r="D2" s="8"/>
      <c r="E2" s="9"/>
      <c r="F2" s="10"/>
      <c r="G2" s="10"/>
      <c r="H2" s="10"/>
      <c r="I2" s="10"/>
      <c r="J2" s="10"/>
    </row>
    <row r="3" s="9" customFormat="true" ht="14.25" hidden="false" customHeight="false" outlineLevel="0" collapsed="false">
      <c r="A3" s="11" t="s">
        <v>1</v>
      </c>
      <c r="B3" s="12" t="s">
        <v>2</v>
      </c>
      <c r="C3" s="14" t="s">
        <v>4</v>
      </c>
      <c r="D3" s="14" t="s">
        <v>3</v>
      </c>
      <c r="E3" s="60" t="s">
        <v>124</v>
      </c>
      <c r="F3" s="13" t="s">
        <v>125</v>
      </c>
      <c r="G3" s="13"/>
      <c r="H3" s="13"/>
      <c r="I3" s="61" t="s">
        <v>39</v>
      </c>
      <c r="J3" s="14" t="s">
        <v>40</v>
      </c>
      <c r="K3" s="14" t="s">
        <v>39</v>
      </c>
      <c r="L3" s="63" t="s">
        <v>126</v>
      </c>
      <c r="M3" s="62" t="s">
        <v>39</v>
      </c>
      <c r="N3" s="63" t="s">
        <v>127</v>
      </c>
      <c r="O3" s="115" t="s">
        <v>128</v>
      </c>
      <c r="P3" s="115" t="s">
        <v>129</v>
      </c>
      <c r="Q3" s="63" t="s">
        <v>130</v>
      </c>
      <c r="R3" s="63" t="s">
        <v>131</v>
      </c>
      <c r="S3" s="115" t="s">
        <v>132</v>
      </c>
      <c r="T3" s="115" t="s">
        <v>133</v>
      </c>
      <c r="U3" s="115" t="s">
        <v>134</v>
      </c>
      <c r="V3" s="115" t="s">
        <v>135</v>
      </c>
      <c r="W3" s="63" t="s">
        <v>136</v>
      </c>
      <c r="X3" s="64"/>
      <c r="Y3" s="175"/>
      <c r="Z3" s="176"/>
    </row>
    <row r="4" customFormat="false" ht="14.25" hidden="false" customHeight="false" outlineLevel="0" collapsed="false">
      <c r="A4" s="18" t="s">
        <v>5</v>
      </c>
      <c r="B4" s="177" t="n">
        <f aca="false">SUMIF(B26:B48,"Marandu",E26:E48)</f>
        <v>0</v>
      </c>
      <c r="C4" s="69" t="n">
        <v>0</v>
      </c>
      <c r="D4" s="178" t="n">
        <f aca="false">C4*B4</f>
        <v>0</v>
      </c>
      <c r="E4" s="179" t="n">
        <f aca="false">SUMIF(B26:B48,"Marandu",K26:K48)</f>
        <v>0</v>
      </c>
      <c r="F4" s="66" t="n">
        <f aca="false">SUMIF(B26:B48,"Marandu",L26:L48)</f>
        <v>0</v>
      </c>
      <c r="G4" s="66"/>
      <c r="H4" s="66"/>
      <c r="I4" s="70" t="e">
        <f aca="false">F4/C4</f>
        <v>#DIV/0!</v>
      </c>
      <c r="J4" s="66" t="n">
        <f aca="false">SUMIF(B26:B48,"Marandu",N26:N48)</f>
        <v>0</v>
      </c>
      <c r="K4" s="70" t="e">
        <f aca="false">J4/C4</f>
        <v>#DIV/0!</v>
      </c>
      <c r="L4" s="66" t="n">
        <f aca="false">SUMIF($B26:$B48,"Marandu",P26:P48)</f>
        <v>0</v>
      </c>
      <c r="M4" s="70" t="e">
        <f aca="false">L4/C4</f>
        <v>#DIV/0!</v>
      </c>
      <c r="N4" s="125" t="n">
        <f aca="false">SUMIF($B26:$B48,"Marandu",R26:R48)</f>
        <v>0</v>
      </c>
      <c r="O4" s="125" t="n">
        <f aca="false">SUMIF($B26:$B48,"Marandu",S26:S48)</f>
        <v>0</v>
      </c>
      <c r="P4" s="72" t="e">
        <f aca="false">O4/E4</f>
        <v>#DIV/0!</v>
      </c>
      <c r="Q4" s="180" t="n">
        <f aca="false">SUMIF($B26:$B48,"Marandu",U26:U48)</f>
        <v>0</v>
      </c>
      <c r="R4" s="72" t="e">
        <f aca="false">Q4/C4</f>
        <v>#DIV/0!</v>
      </c>
      <c r="S4" s="125" t="n">
        <f aca="false">SUMIF($B26:$B48,"Marandu",W26:W48)</f>
        <v>0</v>
      </c>
      <c r="T4" s="180" t="n">
        <f aca="false">SUMIF($B26:$B48,"Marandu",X26:X48)</f>
        <v>0</v>
      </c>
      <c r="U4" s="67" t="e">
        <f aca="false">T4/S4</f>
        <v>#DIV/0!</v>
      </c>
      <c r="V4" s="125" t="n">
        <f aca="false">SUMIF($B26:$B48,"Marandu",Z26:Z48)</f>
        <v>0</v>
      </c>
      <c r="W4" s="125" t="n">
        <f aca="false">SUMIF($B26:$B48,"Marandu",AA26:AA48)</f>
        <v>0</v>
      </c>
      <c r="X4" s="73"/>
      <c r="Y4" s="181"/>
    </row>
    <row r="5" customFormat="false" ht="14.25" hidden="false" customHeight="false" outlineLevel="0" collapsed="false">
      <c r="A5" s="18" t="s">
        <v>6</v>
      </c>
      <c r="B5" s="177" t="n">
        <f aca="false">SUMIF(B26:B48,"Piatã",E26:E48)</f>
        <v>0</v>
      </c>
      <c r="C5" s="69" t="n">
        <f aca="false">SUMIF(B26:B48,"Piatã",I26:I48)</f>
        <v>0</v>
      </c>
      <c r="D5" s="178" t="n">
        <f aca="false">C5*B5</f>
        <v>0</v>
      </c>
      <c r="E5" s="179" t="n">
        <f aca="false">SUMIF(B26:B48,"Piatã",K26:K48)</f>
        <v>0</v>
      </c>
      <c r="F5" s="66" t="n">
        <f aca="false">SUMIF(B26:B48,"Piata",L26:L48)</f>
        <v>0</v>
      </c>
      <c r="G5" s="66"/>
      <c r="H5" s="66"/>
      <c r="I5" s="70" t="e">
        <f aca="false">F5/C5</f>
        <v>#DIV/0!</v>
      </c>
      <c r="J5" s="66" t="n">
        <f aca="false">SUMIF(B26:B48,"Piata",N26:N48)</f>
        <v>0</v>
      </c>
      <c r="K5" s="70" t="e">
        <f aca="false">J5/C5</f>
        <v>#DIV/0!</v>
      </c>
      <c r="L5" s="66" t="n">
        <f aca="false">SUMIF($B26:$B48,"Piata",P26:P48)</f>
        <v>0</v>
      </c>
      <c r="M5" s="70" t="e">
        <f aca="false">L5/C5</f>
        <v>#DIV/0!</v>
      </c>
      <c r="N5" s="125" t="n">
        <f aca="false">SUMIF($B26:$B48,"Piatã",R26:R48)</f>
        <v>0</v>
      </c>
      <c r="O5" s="125" t="n">
        <f aca="false">SUMIF($B26:$B48,"Piatã",S26:S48)</f>
        <v>0</v>
      </c>
      <c r="P5" s="72" t="e">
        <f aca="false">O5/E5</f>
        <v>#DIV/0!</v>
      </c>
      <c r="Q5" s="180" t="n">
        <f aca="false">SUMIF($B26:$B48,"Piatã",U26:U48)</f>
        <v>0</v>
      </c>
      <c r="R5" s="72" t="e">
        <f aca="false">Q5/C5</f>
        <v>#DIV/0!</v>
      </c>
      <c r="S5" s="125" t="n">
        <f aca="false">SUMIF($B26:$B48,"Piatã",W26:W48)</f>
        <v>0</v>
      </c>
      <c r="T5" s="180" t="n">
        <f aca="false">SUMIF($B26:$B48,"Piatã",X26:X48)</f>
        <v>0</v>
      </c>
      <c r="U5" s="67" t="e">
        <f aca="false">T5/S5</f>
        <v>#DIV/0!</v>
      </c>
      <c r="V5" s="125" t="n">
        <f aca="false">SUMIF($B26:$B48,"Piatã",Z26:Z48)</f>
        <v>0</v>
      </c>
      <c r="W5" s="125" t="n">
        <f aca="false">SUMIF($B26:$B48,"Piatã",AA26:AA48)</f>
        <v>0</v>
      </c>
      <c r="X5" s="73"/>
      <c r="Y5" s="181"/>
    </row>
    <row r="6" customFormat="false" ht="14.25" hidden="false" customHeight="false" outlineLevel="0" collapsed="false">
      <c r="A6" s="18" t="s">
        <v>7</v>
      </c>
      <c r="B6" s="177" t="n">
        <f aca="false">SUMIF(B26:B48,"Decumbens",E26:E48)</f>
        <v>0</v>
      </c>
      <c r="C6" s="182" t="n">
        <f aca="false">SUMIF(B26:B48,"Decumbens",I26:I48)</f>
        <v>0</v>
      </c>
      <c r="D6" s="178" t="n">
        <f aca="false">C6*B6</f>
        <v>0</v>
      </c>
      <c r="E6" s="179" t="n">
        <f aca="false">SUMIF(B26:B48,"Decumbens",K26:K48)</f>
        <v>0</v>
      </c>
      <c r="F6" s="66" t="n">
        <f aca="false">SUMIF(B26:B48,"Decumbens",L26:L48)</f>
        <v>0</v>
      </c>
      <c r="G6" s="66"/>
      <c r="H6" s="66"/>
      <c r="I6" s="70" t="e">
        <f aca="false">F6/C6</f>
        <v>#DIV/0!</v>
      </c>
      <c r="J6" s="66" t="n">
        <f aca="false">SUMIF(B26:B48,"Decumbens",N26:N48)</f>
        <v>0</v>
      </c>
      <c r="K6" s="70" t="e">
        <f aca="false">J6/C6</f>
        <v>#DIV/0!</v>
      </c>
      <c r="L6" s="66" t="n">
        <f aca="false">SUMIF($B26:$B48,"Decumbens",P26:P48)</f>
        <v>0</v>
      </c>
      <c r="M6" s="70" t="e">
        <f aca="false">L6/C6</f>
        <v>#DIV/0!</v>
      </c>
      <c r="N6" s="125" t="n">
        <f aca="false">SUMIF($B26:$B48,"Decumbens",R26:R48)</f>
        <v>0</v>
      </c>
      <c r="O6" s="125" t="n">
        <f aca="false">SUMIF($B26:$B48,"Decumbens",S26:S48)</f>
        <v>0</v>
      </c>
      <c r="P6" s="72" t="e">
        <f aca="false">O6/E6</f>
        <v>#DIV/0!</v>
      </c>
      <c r="Q6" s="180" t="n">
        <f aca="false">SUMIF($B26:$B48,"Decumbens",U26:U48)</f>
        <v>0</v>
      </c>
      <c r="R6" s="72" t="e">
        <f aca="false">Q6/C6</f>
        <v>#DIV/0!</v>
      </c>
      <c r="S6" s="125" t="n">
        <f aca="false">SUMIF($B26:$B48,"Decumbens",W26:W48)</f>
        <v>0</v>
      </c>
      <c r="T6" s="180" t="n">
        <f aca="false">SUMIF($B26:$B48,"Decumbens",X26:X48)</f>
        <v>0</v>
      </c>
      <c r="U6" s="67" t="e">
        <f aca="false">T6/S6</f>
        <v>#DIV/0!</v>
      </c>
      <c r="V6" s="125" t="n">
        <f aca="false">SUMIF($B26:$B48,"Decumbens",Z26:Z48)</f>
        <v>0</v>
      </c>
      <c r="W6" s="125" t="n">
        <f aca="false">SUMIF($B26:$B48,"Decumbens",AA26:AA48)</f>
        <v>0</v>
      </c>
      <c r="X6" s="73"/>
      <c r="Y6" s="181"/>
    </row>
    <row r="7" customFormat="false" ht="14.25" hidden="false" customHeight="false" outlineLevel="0" collapsed="false">
      <c r="A7" s="18" t="s">
        <v>137</v>
      </c>
      <c r="B7" s="177" t="n">
        <f aca="false">SUMIF(B26:B48,"MG-5",E26:E48)</f>
        <v>0</v>
      </c>
      <c r="C7" s="182" t="n">
        <f aca="false">'SAL.(3)'!C62</f>
        <v>0</v>
      </c>
      <c r="D7" s="178" t="n">
        <f aca="false">C7*B7</f>
        <v>0</v>
      </c>
      <c r="E7" s="179" t="n">
        <f aca="false">SUMIF(B26:B48,"MG-5",K26:K48)</f>
        <v>0</v>
      </c>
      <c r="F7" s="66" t="n">
        <f aca="false">SUMIF(B26:B48,"MG-5",L26:L48)</f>
        <v>0</v>
      </c>
      <c r="G7" s="66"/>
      <c r="H7" s="66"/>
      <c r="I7" s="70" t="e">
        <f aca="false">F7/C7</f>
        <v>#DIV/0!</v>
      </c>
      <c r="J7" s="66" t="n">
        <f aca="false">SUMIF(B26:B48,"MG-5",N26:N48)</f>
        <v>0</v>
      </c>
      <c r="K7" s="70" t="e">
        <f aca="false">J7/C7</f>
        <v>#DIV/0!</v>
      </c>
      <c r="L7" s="66" t="n">
        <f aca="false">SUMIF($B26:$B48,"MG-5",P26:P48)</f>
        <v>0</v>
      </c>
      <c r="M7" s="70" t="e">
        <f aca="false">L7/C7</f>
        <v>#DIV/0!</v>
      </c>
      <c r="N7" s="125" t="n">
        <f aca="false">SUMIF($B26:$B48,"MG-5",R26:R48)</f>
        <v>0</v>
      </c>
      <c r="O7" s="125" t="n">
        <f aca="false">SUMIF($B26:$B48,"MG-5",S26:S48)</f>
        <v>0</v>
      </c>
      <c r="P7" s="72" t="e">
        <f aca="false">O7/E7</f>
        <v>#DIV/0!</v>
      </c>
      <c r="Q7" s="180" t="n">
        <f aca="false">SUMIF($B26:$B48,"MG-5",U26:U48)</f>
        <v>0</v>
      </c>
      <c r="R7" s="72" t="e">
        <f aca="false">Q7/C7</f>
        <v>#DIV/0!</v>
      </c>
      <c r="S7" s="125" t="n">
        <f aca="false">SUMIF($B26:$B48,"MG-5",W26:W48)</f>
        <v>0</v>
      </c>
      <c r="T7" s="180" t="n">
        <f aca="false">SUMIF($B26:$B48,"MG-5",X26:X48)</f>
        <v>0</v>
      </c>
      <c r="U7" s="67" t="e">
        <f aca="false">T7/S7</f>
        <v>#DIV/0!</v>
      </c>
      <c r="V7" s="125" t="n">
        <f aca="false">SUMIF($B26:$B48,"MG-5",Z26:Z48)</f>
        <v>0</v>
      </c>
      <c r="W7" s="125" t="n">
        <f aca="false">SUMIF($B26:$B48,"MG-5",AA26:AA48)</f>
        <v>0</v>
      </c>
      <c r="X7" s="73"/>
      <c r="Y7" s="181"/>
    </row>
    <row r="8" customFormat="false" ht="14.25" hidden="false" customHeight="false" outlineLevel="0" collapsed="false">
      <c r="A8" s="18" t="s">
        <v>9</v>
      </c>
      <c r="B8" s="177" t="n">
        <f aca="false">SUMIF(B26:B48,"MG-4",E26:E48)</f>
        <v>0</v>
      </c>
      <c r="C8" s="69" t="n">
        <f aca="false">SUMIF(B26:B48,"MG-4",I26:I48)</f>
        <v>0</v>
      </c>
      <c r="D8" s="178" t="n">
        <f aca="false">C8*B8</f>
        <v>0</v>
      </c>
      <c r="E8" s="179" t="n">
        <f aca="false">SUMIF(B26:B48,"MG-4",K26:K48)</f>
        <v>0</v>
      </c>
      <c r="F8" s="66" t="n">
        <f aca="false">SUMIF(B26:B48,"MG-4",L26:L48)</f>
        <v>0</v>
      </c>
      <c r="G8" s="66"/>
      <c r="H8" s="66"/>
      <c r="I8" s="70" t="e">
        <f aca="false">F8/C8</f>
        <v>#DIV/0!</v>
      </c>
      <c r="J8" s="66" t="n">
        <f aca="false">SUMIF(B26:B48,"MG-4",N26:N48)</f>
        <v>0</v>
      </c>
      <c r="K8" s="70" t="e">
        <f aca="false">J8/C8</f>
        <v>#DIV/0!</v>
      </c>
      <c r="L8" s="66" t="n">
        <f aca="false">SUMIF($B26:$B48,"MG-4",P26:P48)</f>
        <v>0</v>
      </c>
      <c r="M8" s="70" t="e">
        <f aca="false">L8/C8</f>
        <v>#DIV/0!</v>
      </c>
      <c r="N8" s="125" t="n">
        <f aca="false">SUMIF($B26:$B48,"MG-4",R26:R48)</f>
        <v>0</v>
      </c>
      <c r="O8" s="125" t="n">
        <f aca="false">SUMIF($B26:$B48,"MG-4",S26:S48)</f>
        <v>0</v>
      </c>
      <c r="P8" s="72" t="e">
        <f aca="false">O8/E8</f>
        <v>#DIV/0!</v>
      </c>
      <c r="Q8" s="180" t="n">
        <f aca="false">SUMIF($B26:$B48,"MG-4",U26:U48)</f>
        <v>0</v>
      </c>
      <c r="R8" s="72" t="e">
        <f aca="false">Q8/C8</f>
        <v>#DIV/0!</v>
      </c>
      <c r="S8" s="125" t="n">
        <f aca="false">SUMIF($B26:$B48,"MG-4",W26:W48)</f>
        <v>0</v>
      </c>
      <c r="T8" s="180" t="n">
        <f aca="false">SUMIF($B26:$B48,"MG-4",X26:X48)</f>
        <v>0</v>
      </c>
      <c r="U8" s="67" t="e">
        <f aca="false">T8/S8</f>
        <v>#DIV/0!</v>
      </c>
      <c r="V8" s="125" t="n">
        <f aca="false">SUMIF($B26:$B48,"MG-4",Z26:Z48)</f>
        <v>0</v>
      </c>
      <c r="W8" s="125" t="n">
        <f aca="false">SUMIF($B26:$B48,"MG-4",AA26:AA48)</f>
        <v>0</v>
      </c>
      <c r="X8" s="73"/>
      <c r="Y8" s="181"/>
    </row>
    <row r="9" customFormat="false" ht="14.25" hidden="false" customHeight="false" outlineLevel="0" collapsed="false">
      <c r="A9" s="18" t="s">
        <v>10</v>
      </c>
      <c r="B9" s="177" t="n">
        <f aca="false">SUMIF(B26:B48,"Ruziziensis",E26:E48)</f>
        <v>17194804</v>
      </c>
      <c r="C9" s="69" t="n">
        <f aca="false">'SAL.(3)'!C64</f>
        <v>0</v>
      </c>
      <c r="D9" s="178" t="n">
        <f aca="false">C9*B9</f>
        <v>0</v>
      </c>
      <c r="E9" s="179" t="n">
        <f aca="false">SUMIF(B26:B48,"Ruziziensis",K26:K48)</f>
        <v>17194804</v>
      </c>
      <c r="F9" s="66" t="n">
        <f aca="false">SUMIF(B26:B48,"Ruziziensis",L26:L48)</f>
        <v>0</v>
      </c>
      <c r="G9" s="66"/>
      <c r="H9" s="66"/>
      <c r="I9" s="70" t="e">
        <f aca="false">F9/C9</f>
        <v>#DIV/0!</v>
      </c>
      <c r="J9" s="66" t="n">
        <f aca="false">SUMIF(B26:B48,"Ruziziensis",N26:N48)</f>
        <v>0</v>
      </c>
      <c r="K9" s="70" t="e">
        <f aca="false">J9/C9</f>
        <v>#DIV/0!</v>
      </c>
      <c r="L9" s="66" t="n">
        <f aca="false">SUMIF($B26:$B48,"Ruziziensis",P26:P48)</f>
        <v>0</v>
      </c>
      <c r="M9" s="70" t="e">
        <f aca="false">L9/C9</f>
        <v>#DIV/0!</v>
      </c>
      <c r="N9" s="125" t="n">
        <f aca="false">SUMIF($B26:$B48,"Ruziziensis",R26:R48)</f>
        <v>0</v>
      </c>
      <c r="O9" s="125" t="n">
        <f aca="false">SUMIF($B26:$B48,"Ruziziensis",S26:S48)</f>
        <v>0</v>
      </c>
      <c r="P9" s="72" t="n">
        <f aca="false">O9/E9</f>
        <v>0</v>
      </c>
      <c r="Q9" s="180" t="n">
        <f aca="false">SUMIF($B26:$B48,"Ruziziensis",U26:U48)</f>
        <v>0</v>
      </c>
      <c r="R9" s="72" t="e">
        <f aca="false">Q9/C9</f>
        <v>#DIV/0!</v>
      </c>
      <c r="S9" s="125" t="n">
        <f aca="false">SUMIF($B26:$B48,"Ruziziensis",W26:W48)</f>
        <v>17194804</v>
      </c>
      <c r="T9" s="180" t="n">
        <f aca="false">SUMIF($B26:$B48,"Ruziziensis",X26:X48)</f>
        <v>0</v>
      </c>
      <c r="U9" s="67" t="n">
        <f aca="false">T9/S9</f>
        <v>0</v>
      </c>
      <c r="V9" s="125" t="n">
        <f aca="false">SUMIF($B26:$B48,"Ruziziensis",Z26:Z48)</f>
        <v>17194804</v>
      </c>
      <c r="W9" s="125" t="n">
        <f aca="false">SUMIF($B26:$B48,"Ruziziensis",AA26:AA48)</f>
        <v>0</v>
      </c>
      <c r="X9" s="73"/>
      <c r="Y9" s="181"/>
    </row>
    <row r="10" customFormat="false" ht="14.25" hidden="false" customHeight="false" outlineLevel="0" collapsed="false">
      <c r="A10" s="18" t="s">
        <v>11</v>
      </c>
      <c r="B10" s="177" t="n">
        <f aca="false">SUMIF(B26:B48,"humidicola",E26:E48)</f>
        <v>0</v>
      </c>
      <c r="C10" s="69" t="n">
        <f aca="false">SUMIF(B26:B48,"humidicola",I26:I48)</f>
        <v>0</v>
      </c>
      <c r="D10" s="178" t="n">
        <f aca="false">C10*B10</f>
        <v>0</v>
      </c>
      <c r="E10" s="179" t="n">
        <f aca="false">SUMIF(B26:B54,"Humidicola",K26:K48)</f>
        <v>0</v>
      </c>
      <c r="F10" s="66" t="n">
        <f aca="false">SUMIF(B26:B48,"humidicola",L26:L48)</f>
        <v>0</v>
      </c>
      <c r="G10" s="66"/>
      <c r="H10" s="66"/>
      <c r="I10" s="70" t="e">
        <f aca="false">F10/C10</f>
        <v>#DIV/0!</v>
      </c>
      <c r="J10" s="66" t="n">
        <f aca="false">SUMIF(B26:B48,"humidicola",N26:N48)</f>
        <v>0</v>
      </c>
      <c r="K10" s="70" t="e">
        <f aca="false">J10/C10</f>
        <v>#DIV/0!</v>
      </c>
      <c r="L10" s="66" t="n">
        <f aca="false">SUMIF($B26:$B48,"Humidicola",P26:P48)</f>
        <v>0</v>
      </c>
      <c r="M10" s="70" t="e">
        <f aca="false">L10/C10</f>
        <v>#DIV/0!</v>
      </c>
      <c r="N10" s="125" t="n">
        <f aca="false">SUMIF($B26:$B48,"Humidicola",R26:R48)</f>
        <v>0</v>
      </c>
      <c r="O10" s="125" t="n">
        <f aca="false">SUMIF($B26:$B48,"Humidicola",S26:S48)</f>
        <v>0</v>
      </c>
      <c r="P10" s="72" t="e">
        <f aca="false">O10/E10</f>
        <v>#DIV/0!</v>
      </c>
      <c r="Q10" s="180" t="n">
        <f aca="false">SUMIF($B26:$B48,"Humidicola",U26:U48)</f>
        <v>0</v>
      </c>
      <c r="R10" s="72" t="e">
        <f aca="false">Q10/C10</f>
        <v>#DIV/0!</v>
      </c>
      <c r="S10" s="125" t="n">
        <f aca="false">SUMIF($B26:$B48,"Humidicola",W26:W48)</f>
        <v>0</v>
      </c>
      <c r="T10" s="180" t="n">
        <f aca="false">SUMIF($B26:$B48,"Humidicola",X26:X48)</f>
        <v>0</v>
      </c>
      <c r="U10" s="67" t="e">
        <f aca="false">T10/S10</f>
        <v>#DIV/0!</v>
      </c>
      <c r="V10" s="125" t="n">
        <f aca="false">SUMIF($B26:$B48,"Humidicola",Z26:Z48)</f>
        <v>0</v>
      </c>
      <c r="W10" s="125" t="n">
        <f aca="false">SUMIF($B26:$B48,"Humidicola",AA26:AA48)</f>
        <v>0</v>
      </c>
      <c r="X10" s="73"/>
      <c r="Y10" s="181"/>
    </row>
    <row r="11" customFormat="false" ht="14.25" hidden="false" customHeight="false" outlineLevel="0" collapsed="false">
      <c r="A11" s="18" t="s">
        <v>12</v>
      </c>
      <c r="B11" s="177" t="n">
        <f aca="false">SUMIF(B26:B48,"Llanero",E26:E48)</f>
        <v>0</v>
      </c>
      <c r="C11" s="69" t="n">
        <f aca="false">SUMIF(B26:B48,"Llanero",I26:I48)</f>
        <v>0</v>
      </c>
      <c r="D11" s="178" t="n">
        <f aca="false">C11*B11</f>
        <v>0</v>
      </c>
      <c r="E11" s="179" t="n">
        <f aca="false">SUMIF(B26:B48,"Llanero",K26:K48)</f>
        <v>0</v>
      </c>
      <c r="F11" s="66" t="n">
        <f aca="false">SUMIF(B26:B48,"Llanero",L26:L48)</f>
        <v>0</v>
      </c>
      <c r="G11" s="66"/>
      <c r="H11" s="66"/>
      <c r="I11" s="70" t="e">
        <f aca="false">F11/C11</f>
        <v>#DIV/0!</v>
      </c>
      <c r="J11" s="66" t="n">
        <f aca="false">SUMIF(B26:B48,"Llanero",N26:N48)</f>
        <v>0</v>
      </c>
      <c r="K11" s="70" t="e">
        <f aca="false">J11/C11</f>
        <v>#DIV/0!</v>
      </c>
      <c r="L11" s="66" t="n">
        <f aca="false">SUMIF($B26:$B48,"Llanero",P26:P48)</f>
        <v>0</v>
      </c>
      <c r="M11" s="70" t="e">
        <f aca="false">L11/C11</f>
        <v>#DIV/0!</v>
      </c>
      <c r="N11" s="125" t="n">
        <f aca="false">SUMIF($B26:$B48,"Llanero",R26:R48)</f>
        <v>0</v>
      </c>
      <c r="O11" s="125" t="n">
        <f aca="false">SUMIF($B26:$B48,"Llanero",S26:S48)</f>
        <v>0</v>
      </c>
      <c r="P11" s="72" t="e">
        <f aca="false">O11/E11</f>
        <v>#DIV/0!</v>
      </c>
      <c r="Q11" s="180" t="n">
        <f aca="false">SUMIF($B26:$B48,"Llanero",U26:U48)</f>
        <v>0</v>
      </c>
      <c r="R11" s="72" t="e">
        <f aca="false">Q11/C11</f>
        <v>#DIV/0!</v>
      </c>
      <c r="S11" s="125" t="n">
        <f aca="false">SUMIF($B26:$B48,"Llanero",W26:W48)</f>
        <v>0</v>
      </c>
      <c r="T11" s="180" t="n">
        <f aca="false">SUMIF($B26:$B48,"Llanero",X26:X48)</f>
        <v>0</v>
      </c>
      <c r="U11" s="67" t="e">
        <f aca="false">T11/S11</f>
        <v>#DIV/0!</v>
      </c>
      <c r="V11" s="125" t="n">
        <f aca="false">SUMIF($B26:$B48,"Llanero",Z26:Z48)</f>
        <v>0</v>
      </c>
      <c r="W11" s="125" t="n">
        <f aca="false">SUMIF($B26:$B48,"Llanero",AA26:AA48)</f>
        <v>0</v>
      </c>
      <c r="X11" s="73"/>
      <c r="Y11" s="181"/>
    </row>
    <row r="12" customFormat="false" ht="14.25" hidden="false" customHeight="false" outlineLevel="0" collapsed="false">
      <c r="A12" s="18" t="s">
        <v>13</v>
      </c>
      <c r="B12" s="177" t="n">
        <f aca="false">SUMIF(B26:B48,"Mombaça",E26:E48)</f>
        <v>0</v>
      </c>
      <c r="C12" s="69" t="n">
        <f aca="false">'SAL.(3)'!C67</f>
        <v>0</v>
      </c>
      <c r="D12" s="178" t="n">
        <f aca="false">C12*B12</f>
        <v>0</v>
      </c>
      <c r="E12" s="179" t="n">
        <f aca="false">SUMIF(B26:B48,"Mombaça",K26:K48)</f>
        <v>0</v>
      </c>
      <c r="F12" s="66" t="n">
        <f aca="false">SUMIF(B26:B48,"Mombaça",L26:L48)</f>
        <v>0</v>
      </c>
      <c r="G12" s="66"/>
      <c r="H12" s="66"/>
      <c r="I12" s="70" t="e">
        <f aca="false">F12/C12</f>
        <v>#DIV/0!</v>
      </c>
      <c r="J12" s="66" t="n">
        <f aca="false">SUMIF(B26:B48,"Mombaça",N26:N48)</f>
        <v>0</v>
      </c>
      <c r="K12" s="70" t="e">
        <f aca="false">J12/C12</f>
        <v>#DIV/0!</v>
      </c>
      <c r="L12" s="66" t="n">
        <f aca="false">SUMIF($B26:$B48,"Mombaça",P26:P48)</f>
        <v>0</v>
      </c>
      <c r="M12" s="70" t="e">
        <f aca="false">L12/C12</f>
        <v>#DIV/0!</v>
      </c>
      <c r="N12" s="125" t="n">
        <f aca="false">SUMIF($B26:$B48,"Mombaça",R26:R48)</f>
        <v>0</v>
      </c>
      <c r="O12" s="125" t="n">
        <f aca="false">SUMIF($B26:$B48,"Mombaça",S26:S48)</f>
        <v>0</v>
      </c>
      <c r="P12" s="72" t="e">
        <f aca="false">O12/E12</f>
        <v>#DIV/0!</v>
      </c>
      <c r="Q12" s="180" t="n">
        <f aca="false">SUMIF($B26:$B48,"Mombaça",U26:U48)</f>
        <v>0</v>
      </c>
      <c r="R12" s="72" t="e">
        <f aca="false">Q12/C12</f>
        <v>#DIV/0!</v>
      </c>
      <c r="S12" s="125" t="n">
        <f aca="false">SUMIF($B26:$B48,"Mombaça",W26:W48)</f>
        <v>0</v>
      </c>
      <c r="T12" s="180" t="n">
        <f aca="false">SUMIF($B26:$B48,"Mombaça",X26:X48)</f>
        <v>0</v>
      </c>
      <c r="U12" s="67" t="e">
        <f aca="false">T12/S12</f>
        <v>#DIV/0!</v>
      </c>
      <c r="V12" s="125" t="n">
        <f aca="false">SUMIF($B26:$B48,"Mombaça",Z26:Z48)</f>
        <v>0</v>
      </c>
      <c r="W12" s="125" t="n">
        <f aca="false">SUMIF($B26:$B48,"Mombaça",AA26:AA48)</f>
        <v>0</v>
      </c>
      <c r="X12" s="73"/>
      <c r="Y12" s="181"/>
    </row>
    <row r="13" customFormat="false" ht="14.25" hidden="false" customHeight="false" outlineLevel="0" collapsed="false">
      <c r="A13" s="18" t="s">
        <v>14</v>
      </c>
      <c r="B13" s="177" t="n">
        <f aca="false">SUMIF(B26:B48,"Tanzania",E26:E48)</f>
        <v>0</v>
      </c>
      <c r="C13" s="69" t="n">
        <f aca="false">SUMIF(B26:B48,"Tanzania",I26:I48)</f>
        <v>0</v>
      </c>
      <c r="D13" s="178" t="n">
        <f aca="false">C13*B13</f>
        <v>0</v>
      </c>
      <c r="E13" s="179" t="n">
        <f aca="false">SUMIF(B26:B48,"Tanzania",K26:K48)</f>
        <v>0</v>
      </c>
      <c r="F13" s="66" t="n">
        <f aca="false">SUMIF(B26:B48,"Tanzania",L26:L48)</f>
        <v>0</v>
      </c>
      <c r="G13" s="66"/>
      <c r="H13" s="66"/>
      <c r="I13" s="70" t="e">
        <f aca="false">F13/C13</f>
        <v>#DIV/0!</v>
      </c>
      <c r="J13" s="66" t="n">
        <f aca="false">SUMIF(B26:B48,"Tanzania",N26:N48)</f>
        <v>0</v>
      </c>
      <c r="K13" s="70" t="e">
        <f aca="false">J13/C13</f>
        <v>#DIV/0!</v>
      </c>
      <c r="L13" s="66" t="n">
        <f aca="false">SUMIF($B26:$B48,"Tanzania",P26:P48)</f>
        <v>0</v>
      </c>
      <c r="M13" s="70" t="e">
        <f aca="false">L13/C13</f>
        <v>#DIV/0!</v>
      </c>
      <c r="N13" s="125" t="n">
        <f aca="false">SUMIF($B26:$B48,"Tanzania",R26:R48)</f>
        <v>0</v>
      </c>
      <c r="O13" s="125" t="n">
        <f aca="false">SUMIF($B26:$B48,"Tanzania",S26:S48)</f>
        <v>0</v>
      </c>
      <c r="P13" s="72" t="e">
        <f aca="false">O13/E13</f>
        <v>#DIV/0!</v>
      </c>
      <c r="Q13" s="180" t="n">
        <f aca="false">SUMIF($B26:$B48,"Tanzania",U26:U48)</f>
        <v>0</v>
      </c>
      <c r="R13" s="72" t="e">
        <f aca="false">Q13/C13</f>
        <v>#DIV/0!</v>
      </c>
      <c r="S13" s="125" t="n">
        <f aca="false">SUMIF($B26:$B48,"Tanzania",W26:W48)</f>
        <v>0</v>
      </c>
      <c r="T13" s="180" t="n">
        <f aca="false">SUMIF($B26:$B48,"Tanzania",X26:X48)</f>
        <v>0</v>
      </c>
      <c r="U13" s="67" t="e">
        <f aca="false">T13/S13</f>
        <v>#DIV/0!</v>
      </c>
      <c r="V13" s="125" t="n">
        <f aca="false">SUMIF($B26:$B48,"Tanzania",Z26:Z48)</f>
        <v>0</v>
      </c>
      <c r="W13" s="125" t="n">
        <f aca="false">SUMIF($B26:$B48,"Tanzania",AA26:AA48)</f>
        <v>0</v>
      </c>
      <c r="X13" s="73"/>
      <c r="Y13" s="181"/>
    </row>
    <row r="14" customFormat="false" ht="14.25" hidden="false" customHeight="false" outlineLevel="0" collapsed="false">
      <c r="A14" s="18" t="s">
        <v>15</v>
      </c>
      <c r="B14" s="177" t="n">
        <f aca="false">SUMIF(B26:B48,"Massai",E26:E48)</f>
        <v>0</v>
      </c>
      <c r="C14" s="69" t="n">
        <f aca="false">SUMIF(B26:B48,"Massai",I26:I48)</f>
        <v>0</v>
      </c>
      <c r="D14" s="178" t="n">
        <f aca="false">C14*B14</f>
        <v>0</v>
      </c>
      <c r="E14" s="179" t="n">
        <f aca="false">SUMIF(B26:B48,"Massai",K26:K48)</f>
        <v>0</v>
      </c>
      <c r="F14" s="66" t="n">
        <f aca="false">SUMIF(B26:B48,"Massai",L26:L48)</f>
        <v>0</v>
      </c>
      <c r="G14" s="66"/>
      <c r="H14" s="66"/>
      <c r="I14" s="70" t="e">
        <f aca="false">F14/C14</f>
        <v>#DIV/0!</v>
      </c>
      <c r="J14" s="66" t="n">
        <f aca="false">SUMIF(B26:B48,"Massai",N26:N48)</f>
        <v>0</v>
      </c>
      <c r="K14" s="70" t="e">
        <f aca="false">J14/C14</f>
        <v>#DIV/0!</v>
      </c>
      <c r="L14" s="66" t="n">
        <f aca="false">SUMIF($B26:$B48,"Massai",P26:P48)</f>
        <v>0</v>
      </c>
      <c r="M14" s="70" t="e">
        <f aca="false">L14/C14</f>
        <v>#DIV/0!</v>
      </c>
      <c r="N14" s="125" t="n">
        <f aca="false">SUMIF($B26:$B48,"Massai",R26:R48)</f>
        <v>0</v>
      </c>
      <c r="O14" s="125" t="n">
        <f aca="false">SUMIF($B26:$B48,"Massai",S26:S48)</f>
        <v>0</v>
      </c>
      <c r="P14" s="72" t="e">
        <f aca="false">O14/E14</f>
        <v>#DIV/0!</v>
      </c>
      <c r="Q14" s="180" t="n">
        <f aca="false">SUMIF($B26:$B48,"Massai",U26:U48)</f>
        <v>0</v>
      </c>
      <c r="R14" s="72" t="e">
        <f aca="false">Q14/C14</f>
        <v>#DIV/0!</v>
      </c>
      <c r="S14" s="125" t="n">
        <f aca="false">SUMIF($B26:$B48,"Massai",W26:W48)</f>
        <v>0</v>
      </c>
      <c r="T14" s="180" t="n">
        <f aca="false">SUMIF($B26:$B48,"Massai",X26:X48)</f>
        <v>0</v>
      </c>
      <c r="U14" s="67" t="e">
        <f aca="false">T14/S14</f>
        <v>#DIV/0!</v>
      </c>
      <c r="V14" s="125" t="n">
        <f aca="false">SUMIF($B26:$B48,"Massai",Z26:Z48)</f>
        <v>0</v>
      </c>
      <c r="W14" s="125" t="n">
        <f aca="false">SUMIF($B26:$B48,"Massai",AA26:AA48)</f>
        <v>0</v>
      </c>
      <c r="X14" s="73"/>
      <c r="Y14" s="181"/>
    </row>
    <row r="15" customFormat="false" ht="14.25" hidden="false" customHeight="false" outlineLevel="0" collapsed="false">
      <c r="A15" s="18" t="s">
        <v>16</v>
      </c>
      <c r="B15" s="177" t="n">
        <f aca="false">SUMIF(B26:B48,"Aruana",E26:E48)</f>
        <v>0</v>
      </c>
      <c r="C15" s="69" t="n">
        <f aca="false">SUMIF(B26:B48,"Aruana",I26:I48)</f>
        <v>0</v>
      </c>
      <c r="D15" s="178" t="n">
        <f aca="false">C15*B15</f>
        <v>0</v>
      </c>
      <c r="E15" s="179" t="n">
        <f aca="false">SUMIF(B26:B48,"Aruana",K26:K48)</f>
        <v>0</v>
      </c>
      <c r="F15" s="66" t="n">
        <f aca="false">SUMIF(B26:B48,"Aruana",L26:L48)</f>
        <v>0</v>
      </c>
      <c r="G15" s="66"/>
      <c r="H15" s="66"/>
      <c r="I15" s="70" t="e">
        <f aca="false">F15/C15</f>
        <v>#DIV/0!</v>
      </c>
      <c r="J15" s="66" t="n">
        <f aca="false">SUMIF(B26:B48,"Aruana",N26:N48)</f>
        <v>0</v>
      </c>
      <c r="K15" s="70" t="e">
        <f aca="false">J15/C15</f>
        <v>#DIV/0!</v>
      </c>
      <c r="L15" s="66" t="n">
        <f aca="false">SUMIF($B26:$B48,"Aruana",P26:P48)</f>
        <v>0</v>
      </c>
      <c r="M15" s="70" t="e">
        <f aca="false">L15/C15</f>
        <v>#DIV/0!</v>
      </c>
      <c r="N15" s="125" t="n">
        <f aca="false">SUMIF($B26:$B48,"Aruana",R26:R48)</f>
        <v>0</v>
      </c>
      <c r="O15" s="125" t="n">
        <f aca="false">SUMIF($B26:$B48,"Aruana",S26:S48)</f>
        <v>0</v>
      </c>
      <c r="P15" s="72" t="e">
        <f aca="false">O15/E15</f>
        <v>#DIV/0!</v>
      </c>
      <c r="Q15" s="180" t="n">
        <f aca="false">SUMIF($B26:$B48,"Aruana",U26:U48)</f>
        <v>0</v>
      </c>
      <c r="R15" s="72" t="e">
        <f aca="false">Q15/C15</f>
        <v>#DIV/0!</v>
      </c>
      <c r="S15" s="125" t="n">
        <f aca="false">SUMIF($B26:$B48,"Aruana",W26:W48)</f>
        <v>0</v>
      </c>
      <c r="T15" s="180" t="n">
        <f aca="false">SUMIF($B26:$B48,"Aruana",X26:X48)</f>
        <v>0</v>
      </c>
      <c r="U15" s="67" t="e">
        <f aca="false">T15/S15</f>
        <v>#DIV/0!</v>
      </c>
      <c r="V15" s="125" t="n">
        <f aca="false">SUMIF($B26:$B48,"Aruana",Z26:Z48)</f>
        <v>0</v>
      </c>
      <c r="W15" s="125" t="n">
        <f aca="false">SUMIF($B26:$B48,"Aruana",AA26:AA48)</f>
        <v>0</v>
      </c>
      <c r="X15" s="73"/>
      <c r="Y15" s="181"/>
    </row>
    <row r="16" customFormat="false" ht="14.25" hidden="false" customHeight="false" outlineLevel="0" collapsed="false">
      <c r="A16" s="18" t="s">
        <v>17</v>
      </c>
      <c r="B16" s="177" t="n">
        <f aca="false">SUMIF(B26:B48,"Zuri",E26:E48)</f>
        <v>0</v>
      </c>
      <c r="C16" s="69" t="n">
        <f aca="false">SUMIF(B26:B48,"Zuri",I26:I48)</f>
        <v>0</v>
      </c>
      <c r="D16" s="178" t="n">
        <f aca="false">C16*B16</f>
        <v>0</v>
      </c>
      <c r="E16" s="179" t="n">
        <f aca="false">SUMIF(B26:B48,"Zuri",K26:K48)</f>
        <v>0</v>
      </c>
      <c r="F16" s="66" t="n">
        <f aca="false">SUMIF(B26:B48,"Zuri",L26:L48)</f>
        <v>0</v>
      </c>
      <c r="G16" s="66"/>
      <c r="H16" s="66"/>
      <c r="I16" s="70" t="e">
        <f aca="false">F16/C16</f>
        <v>#DIV/0!</v>
      </c>
      <c r="J16" s="66" t="n">
        <f aca="false">SUMIF(B26:B48,"Zuri",N26:N48)</f>
        <v>0</v>
      </c>
      <c r="K16" s="70" t="e">
        <f aca="false">J16/C16</f>
        <v>#DIV/0!</v>
      </c>
      <c r="L16" s="66" t="n">
        <f aca="false">SUMIF($B26:$B48,"Zuri",P26:P48)</f>
        <v>0</v>
      </c>
      <c r="M16" s="70" t="e">
        <f aca="false">L16/C16</f>
        <v>#DIV/0!</v>
      </c>
      <c r="N16" s="125"/>
      <c r="O16" s="125"/>
      <c r="P16" s="72" t="e">
        <f aca="false">O16/E16</f>
        <v>#DIV/0!</v>
      </c>
      <c r="Q16" s="180"/>
      <c r="R16" s="72" t="e">
        <f aca="false">Q16/C16</f>
        <v>#DIV/0!</v>
      </c>
      <c r="S16" s="125"/>
      <c r="T16" s="180"/>
      <c r="U16" s="67" t="e">
        <f aca="false">T16/S16</f>
        <v>#DIV/0!</v>
      </c>
      <c r="V16" s="125"/>
      <c r="W16" s="125"/>
      <c r="X16" s="73"/>
      <c r="Y16" s="181"/>
    </row>
    <row r="17" customFormat="false" ht="14.25" hidden="false" customHeight="false" outlineLevel="0" collapsed="false">
      <c r="A17" s="18" t="s">
        <v>18</v>
      </c>
      <c r="B17" s="177" t="n">
        <f aca="false">SUMIF(B26:B48,"Paiaguas",E26:E48)</f>
        <v>0</v>
      </c>
      <c r="C17" s="69" t="n">
        <f aca="false">SUMIF(B26:B48,"Paiaguas",I26:I48)</f>
        <v>0</v>
      </c>
      <c r="D17" s="178" t="n">
        <f aca="false">C17*B17</f>
        <v>0</v>
      </c>
      <c r="E17" s="179" t="n">
        <f aca="false">SUMIF(B26:B48,"Paiaguas",K26:K48)</f>
        <v>0</v>
      </c>
      <c r="F17" s="66" t="n">
        <f aca="false">SUMIF(B26:B48,"Paiaguas",L26:L48)</f>
        <v>0</v>
      </c>
      <c r="G17" s="66"/>
      <c r="H17" s="66"/>
      <c r="I17" s="70" t="e">
        <f aca="false">F17/C17</f>
        <v>#DIV/0!</v>
      </c>
      <c r="J17" s="66" t="n">
        <f aca="false">SUMIF(B26:B48,"Paiaguas",N26:N48)</f>
        <v>0</v>
      </c>
      <c r="K17" s="70" t="e">
        <f aca="false">J17/C17</f>
        <v>#DIV/0!</v>
      </c>
      <c r="L17" s="66" t="n">
        <f aca="false">SUMIF($B26:$B48,"Paiaguas",P26:P48)</f>
        <v>0</v>
      </c>
      <c r="M17" s="70" t="e">
        <f aca="false">L17/C17</f>
        <v>#DIV/0!</v>
      </c>
      <c r="N17" s="125"/>
      <c r="O17" s="125"/>
      <c r="P17" s="72" t="e">
        <f aca="false">O17/E17</f>
        <v>#DIV/0!</v>
      </c>
      <c r="Q17" s="180"/>
      <c r="R17" s="72" t="e">
        <f aca="false">Q17/C17</f>
        <v>#DIV/0!</v>
      </c>
      <c r="S17" s="125"/>
      <c r="T17" s="180"/>
      <c r="U17" s="67" t="e">
        <f aca="false">T17/S17</f>
        <v>#DIV/0!</v>
      </c>
      <c r="V17" s="125"/>
      <c r="W17" s="125"/>
      <c r="X17" s="73"/>
      <c r="Y17" s="181"/>
    </row>
    <row r="18" customFormat="false" ht="14.25" hidden="false" customHeight="false" outlineLevel="0" collapsed="false">
      <c r="A18" s="18" t="s">
        <v>138</v>
      </c>
      <c r="B18" s="177" t="n">
        <f aca="false">SUMIF(B26:B48,"Tupi",E26:E48)</f>
        <v>0</v>
      </c>
      <c r="C18" s="69" t="n">
        <f aca="false">SUMIF(B26:B48,"Tupi",I26:I48)</f>
        <v>0</v>
      </c>
      <c r="D18" s="178" t="n">
        <f aca="false">C18*B18</f>
        <v>0</v>
      </c>
      <c r="E18" s="179" t="n">
        <f aca="false">SUMIF(B26:B48,"Tupi",K26:K48)</f>
        <v>0</v>
      </c>
      <c r="F18" s="66" t="n">
        <f aca="false">SUMIF(B26:B48,"Tupi",L26:L48)</f>
        <v>0</v>
      </c>
      <c r="G18" s="66"/>
      <c r="H18" s="66"/>
      <c r="I18" s="70" t="e">
        <f aca="false">F18/C18</f>
        <v>#DIV/0!</v>
      </c>
      <c r="J18" s="66" t="n">
        <f aca="false">SUMIF(B26:B48,"Tupi",N26:N48)</f>
        <v>0</v>
      </c>
      <c r="K18" s="70" t="e">
        <f aca="false">J18/C18</f>
        <v>#DIV/0!</v>
      </c>
      <c r="L18" s="66" t="n">
        <f aca="false">SUMIF($B26:$B48,"Tupi",P26:P48)</f>
        <v>0</v>
      </c>
      <c r="M18" s="70" t="e">
        <f aca="false">L18/C18</f>
        <v>#DIV/0!</v>
      </c>
      <c r="N18" s="125"/>
      <c r="O18" s="125"/>
      <c r="P18" s="72" t="e">
        <f aca="false">O18/E18</f>
        <v>#DIV/0!</v>
      </c>
      <c r="Q18" s="180"/>
      <c r="R18" s="72" t="e">
        <f aca="false">Q18/C18</f>
        <v>#DIV/0!</v>
      </c>
      <c r="S18" s="125"/>
      <c r="T18" s="180"/>
      <c r="U18" s="67" t="e">
        <f aca="false">T18/S18</f>
        <v>#DIV/0!</v>
      </c>
      <c r="V18" s="125"/>
      <c r="W18" s="125"/>
      <c r="X18" s="73"/>
      <c r="Y18" s="181"/>
    </row>
    <row r="19" customFormat="false" ht="14.25" hidden="false" customHeight="false" outlineLevel="0" collapsed="false">
      <c r="A19" s="18" t="s">
        <v>75</v>
      </c>
      <c r="B19" s="177" t="n">
        <f aca="false">SUMIF(B26:B48,"Estilosantes",E26:E48)</f>
        <v>0</v>
      </c>
      <c r="C19" s="69"/>
      <c r="D19" s="178" t="n">
        <f aca="false">C19*B19</f>
        <v>0</v>
      </c>
      <c r="E19" s="179" t="n">
        <f aca="false">SUMIF(B26:B48,"Estilosantes",K26:K48)</f>
        <v>0</v>
      </c>
      <c r="F19" s="66" t="n">
        <f aca="false">SUMIF(B26:B48,"Estilosantes",L26:L48)</f>
        <v>0</v>
      </c>
      <c r="G19" s="66"/>
      <c r="H19" s="66"/>
      <c r="I19" s="70" t="e">
        <f aca="false">F19/C19</f>
        <v>#DIV/0!</v>
      </c>
      <c r="J19" s="66" t="n">
        <f aca="false">SUMIF(B26:B48,"Estilosantes",N26:N48)</f>
        <v>0</v>
      </c>
      <c r="K19" s="70" t="e">
        <f aca="false">J19/C19</f>
        <v>#DIV/0!</v>
      </c>
      <c r="L19" s="66" t="n">
        <f aca="false">SUMIF($B26:$B48,"Estilosantes",P26:P48)</f>
        <v>0</v>
      </c>
      <c r="M19" s="70" t="e">
        <f aca="false">L19/C19</f>
        <v>#DIV/0!</v>
      </c>
      <c r="N19" s="125" t="n">
        <f aca="false">SUMIF($B26:$B48,"Estilosantes",R26:R48)</f>
        <v>0</v>
      </c>
      <c r="O19" s="125" t="n">
        <f aca="false">SUMIF($B26:$B48,"Estilosantes",S26:S48)</f>
        <v>0</v>
      </c>
      <c r="P19" s="72" t="e">
        <f aca="false">O19/E19</f>
        <v>#DIV/0!</v>
      </c>
      <c r="Q19" s="180" t="n">
        <f aca="false">SUMIF($B26:$B48,"Estilosantes",U26:U48)</f>
        <v>0</v>
      </c>
      <c r="R19" s="72" t="e">
        <f aca="false">Q19/C19</f>
        <v>#DIV/0!</v>
      </c>
      <c r="S19" s="125" t="n">
        <f aca="false">SUMIF($B26:$B48,"Estilosantes",W26:W48)</f>
        <v>0</v>
      </c>
      <c r="T19" s="180" t="n">
        <f aca="false">SUMIF($B26:$B48,"Estilosantes",X26:X48)</f>
        <v>0</v>
      </c>
      <c r="U19" s="67" t="e">
        <f aca="false">T19/S19</f>
        <v>#DIV/0!</v>
      </c>
      <c r="V19" s="125" t="n">
        <f aca="false">SUMIF($B26:$B48,"Estilosantes",Z26:Z48)</f>
        <v>0</v>
      </c>
      <c r="W19" s="125" t="n">
        <f aca="false">SUMIF($B26:$B48,"Estilosantes",AA26:AA48)</f>
        <v>0</v>
      </c>
      <c r="X19" s="73"/>
      <c r="Y19" s="181"/>
    </row>
    <row r="20" customFormat="false" ht="14.25" hidden="false" customHeight="false" outlineLevel="0" collapsed="false">
      <c r="A20" s="18" t="s">
        <v>24</v>
      </c>
      <c r="B20" s="177" t="n">
        <f aca="false">SUMIF(B26:B48,"Andropogon",E26:E48)</f>
        <v>0</v>
      </c>
      <c r="C20" s="69" t="n">
        <f aca="false">SUMIF(B26:B48,"Andropogon",I26:I48)</f>
        <v>0</v>
      </c>
      <c r="D20" s="178" t="n">
        <f aca="false">C20*B20</f>
        <v>0</v>
      </c>
      <c r="E20" s="179" t="n">
        <f aca="false">SUMIF(B26:B48,"Andropogon",K26:K48)</f>
        <v>0</v>
      </c>
      <c r="F20" s="66" t="n">
        <f aca="false">SUMIF(B26:B48,"Andropogon",L26:L48)</f>
        <v>0</v>
      </c>
      <c r="G20" s="66"/>
      <c r="H20" s="66"/>
      <c r="I20" s="70" t="e">
        <f aca="false">F20/C20</f>
        <v>#DIV/0!</v>
      </c>
      <c r="J20" s="66" t="n">
        <f aca="false">SUMIF(B26:B48,"Andropogon",N26:N48)</f>
        <v>0</v>
      </c>
      <c r="K20" s="70" t="e">
        <f aca="false">J20/C20</f>
        <v>#DIV/0!</v>
      </c>
      <c r="L20" s="66" t="n">
        <f aca="false">SUMIF($B26:$B48,"Andropogon",P26:P48)</f>
        <v>0</v>
      </c>
      <c r="M20" s="70" t="e">
        <f aca="false">L20/C20</f>
        <v>#DIV/0!</v>
      </c>
      <c r="N20" s="125" t="n">
        <f aca="false">SUMIF($B26:$B48,"Andropogon",R26:R48)</f>
        <v>0</v>
      </c>
      <c r="O20" s="125" t="n">
        <f aca="false">SUMIF($B26:$B48,"Andropogon",S26:S48)</f>
        <v>0</v>
      </c>
      <c r="P20" s="72" t="e">
        <f aca="false">O20/E20</f>
        <v>#DIV/0!</v>
      </c>
      <c r="Q20" s="180" t="n">
        <f aca="false">SUMIF($B26:$B48,"Andropogon",U26:U48)</f>
        <v>0</v>
      </c>
      <c r="R20" s="72" t="e">
        <f aca="false">Q20/C20</f>
        <v>#DIV/0!</v>
      </c>
      <c r="S20" s="125" t="n">
        <f aca="false">SUMIF($B26:$B48,"Andropogon",W26:W48)</f>
        <v>0</v>
      </c>
      <c r="T20" s="180" t="n">
        <f aca="false">SUMIF($B26:$B48,"Andropogon",X26:X48)</f>
        <v>0</v>
      </c>
      <c r="U20" s="67" t="e">
        <f aca="false">T20/S20</f>
        <v>#DIV/0!</v>
      </c>
      <c r="V20" s="125" t="n">
        <f aca="false">SUMIF($B26:$B48,"Andropogon",Z26:Z48)</f>
        <v>0</v>
      </c>
      <c r="W20" s="125" t="n">
        <f aca="false">SUMIF($B26:$B48,"Andropogon",AA26:AA48)</f>
        <v>0</v>
      </c>
      <c r="X20" s="73"/>
      <c r="Y20" s="181"/>
    </row>
    <row r="21" customFormat="false" ht="14.25" hidden="false" customHeight="false" outlineLevel="0" collapsed="false">
      <c r="A21" s="18" t="s">
        <v>25</v>
      </c>
      <c r="B21" s="183" t="n">
        <f aca="false">SUM(B4:B20)</f>
        <v>17194804</v>
      </c>
      <c r="C21" s="184" t="n">
        <f aca="false">D21/B21</f>
        <v>0</v>
      </c>
      <c r="D21" s="185" t="n">
        <f aca="false">SUM(D4:D20)</f>
        <v>0</v>
      </c>
      <c r="E21" s="186" t="n">
        <f aca="false">SUM(E4:E20)</f>
        <v>17194804</v>
      </c>
      <c r="F21" s="187" t="n">
        <f aca="false">SUM(F4:F20)</f>
        <v>0</v>
      </c>
      <c r="G21" s="187"/>
      <c r="H21" s="187"/>
      <c r="I21" s="70" t="e">
        <f aca="false">F21/C21</f>
        <v>#DIV/0!</v>
      </c>
      <c r="J21" s="187" t="n">
        <f aca="false">SUM(J4:J20)</f>
        <v>0</v>
      </c>
      <c r="K21" s="70" t="e">
        <f aca="false">J21/C21</f>
        <v>#DIV/0!</v>
      </c>
      <c r="L21" s="187" t="n">
        <f aca="false">SUM(L4:L20)</f>
        <v>0</v>
      </c>
      <c r="M21" s="70" t="e">
        <f aca="false">L21/C21</f>
        <v>#DIV/0!</v>
      </c>
      <c r="N21" s="188" t="n">
        <f aca="false">SUM(N4:N20)</f>
        <v>0</v>
      </c>
      <c r="O21" s="188" t="n">
        <f aca="false">SUM(O4:O20)</f>
        <v>0</v>
      </c>
      <c r="P21" s="72" t="n">
        <f aca="false">O21/E21</f>
        <v>0</v>
      </c>
      <c r="Q21" s="189" t="n">
        <f aca="false">SUM(Q4:Q20)</f>
        <v>0</v>
      </c>
      <c r="R21" s="72" t="n">
        <f aca="false">Q21/E21</f>
        <v>0</v>
      </c>
      <c r="S21" s="190" t="n">
        <f aca="false">SUM(S4:S20)</f>
        <v>17194804</v>
      </c>
      <c r="T21" s="189" t="n">
        <f aca="false">SUM(T4:T20)</f>
        <v>0</v>
      </c>
      <c r="U21" s="67" t="n">
        <f aca="false">T21/S21</f>
        <v>0</v>
      </c>
      <c r="V21" s="190" t="n">
        <f aca="false">SUM(V4:V20)</f>
        <v>17194804</v>
      </c>
      <c r="W21" s="191" t="n">
        <f aca="false">SUM(W4:W20)</f>
        <v>0</v>
      </c>
      <c r="Y21" s="192"/>
    </row>
    <row r="23" customFormat="false" ht="17.35" hidden="false" customHeight="false" outlineLevel="0" collapsed="false">
      <c r="A23" s="32" t="s">
        <v>139</v>
      </c>
      <c r="B23" s="32"/>
      <c r="C23" s="32"/>
      <c r="D23" s="32"/>
      <c r="E23" s="32"/>
      <c r="F23" s="32"/>
      <c r="G23" s="32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</row>
    <row r="24" customFormat="false" ht="14.25" hidden="false" customHeight="false" outlineLevel="0" collapsed="false">
      <c r="A24" s="33"/>
      <c r="B24" s="84"/>
      <c r="C24" s="34"/>
      <c r="D24" s="35"/>
      <c r="E24" s="35"/>
      <c r="F24" s="36"/>
      <c r="G24" s="36"/>
      <c r="H24" s="36"/>
      <c r="I24" s="37"/>
      <c r="J24" s="85"/>
      <c r="K24" s="86"/>
      <c r="L24" s="85"/>
      <c r="M24" s="87"/>
      <c r="N24" s="85"/>
      <c r="O24" s="194"/>
      <c r="P24" s="85"/>
      <c r="Q24" s="87"/>
      <c r="R24" s="87"/>
      <c r="S24" s="87"/>
      <c r="T24" s="87"/>
      <c r="U24" s="87"/>
      <c r="V24" s="87"/>
      <c r="W24" s="87"/>
      <c r="X24" s="88"/>
      <c r="Y24" s="88"/>
      <c r="Z24" s="88" t="s">
        <v>31</v>
      </c>
      <c r="AA24" s="176" t="s">
        <v>31</v>
      </c>
    </row>
    <row r="25" customFormat="false" ht="14.25" hidden="false" customHeight="false" outlineLevel="0" collapsed="false">
      <c r="A25" s="38" t="s">
        <v>27</v>
      </c>
      <c r="B25" s="41" t="s">
        <v>28</v>
      </c>
      <c r="C25" s="40" t="s">
        <v>29</v>
      </c>
      <c r="D25" s="40" t="s">
        <v>140</v>
      </c>
      <c r="E25" s="40" t="s">
        <v>141</v>
      </c>
      <c r="F25" s="41" t="s">
        <v>79</v>
      </c>
      <c r="G25" s="41" t="s">
        <v>142</v>
      </c>
      <c r="H25" s="41" t="s">
        <v>143</v>
      </c>
      <c r="I25" s="41" t="s">
        <v>144</v>
      </c>
      <c r="J25" s="91" t="s">
        <v>78</v>
      </c>
      <c r="K25" s="38" t="s">
        <v>145</v>
      </c>
      <c r="L25" s="91" t="s">
        <v>146</v>
      </c>
      <c r="M25" s="92" t="s">
        <v>147</v>
      </c>
      <c r="N25" s="91" t="s">
        <v>148</v>
      </c>
      <c r="O25" s="195" t="s">
        <v>149</v>
      </c>
      <c r="P25" s="196" t="s">
        <v>150</v>
      </c>
      <c r="Q25" s="93" t="s">
        <v>151</v>
      </c>
      <c r="R25" s="93" t="s">
        <v>152</v>
      </c>
      <c r="S25" s="93" t="s">
        <v>153</v>
      </c>
      <c r="T25" s="93" t="s">
        <v>154</v>
      </c>
      <c r="U25" s="93" t="s">
        <v>155</v>
      </c>
      <c r="V25" s="93" t="s">
        <v>156</v>
      </c>
      <c r="W25" s="93" t="s">
        <v>157</v>
      </c>
      <c r="X25" s="94" t="s">
        <v>158</v>
      </c>
      <c r="Y25" s="197" t="s">
        <v>159</v>
      </c>
      <c r="Z25" s="94" t="s">
        <v>160</v>
      </c>
      <c r="AA25" s="198" t="s">
        <v>161</v>
      </c>
    </row>
    <row r="26" customFormat="false" ht="14.25" hidden="false" customHeight="false" outlineLevel="0" collapsed="false">
      <c r="A26" s="151" t="n">
        <v>45575</v>
      </c>
      <c r="B26" s="152" t="s">
        <v>10</v>
      </c>
      <c r="C26" s="153" t="s">
        <v>162</v>
      </c>
      <c r="D26" s="52" t="s">
        <v>163</v>
      </c>
      <c r="E26" s="97" t="n">
        <v>2818800</v>
      </c>
      <c r="F26" s="199" t="n">
        <v>67.5</v>
      </c>
      <c r="G26" s="199" t="n">
        <v>88</v>
      </c>
      <c r="H26" s="98" t="n">
        <f aca="false">I26*G26</f>
        <v>3674880</v>
      </c>
      <c r="I26" s="98" t="n">
        <v>41760</v>
      </c>
      <c r="J26" s="200" t="s">
        <v>91</v>
      </c>
      <c r="K26" s="51" t="n">
        <f aca="false">I26*F26</f>
        <v>2818800</v>
      </c>
      <c r="L26" s="59" t="n">
        <f aca="false">M26*I26</f>
        <v>0</v>
      </c>
      <c r="M26" s="201"/>
      <c r="N26" s="200"/>
      <c r="O26" s="201" t="n">
        <f aca="false">N26/I26</f>
        <v>0</v>
      </c>
      <c r="P26" s="200"/>
      <c r="Q26" s="201" t="n">
        <f aca="false">P26/I26</f>
        <v>0</v>
      </c>
      <c r="R26" s="98" t="n">
        <f aca="false">K26-E26</f>
        <v>0</v>
      </c>
      <c r="S26" s="98"/>
      <c r="T26" s="202" t="n">
        <f aca="false">S26/K26</f>
        <v>0</v>
      </c>
      <c r="U26" s="47"/>
      <c r="V26" s="201" t="n">
        <f aca="false">U26/I26</f>
        <v>0</v>
      </c>
      <c r="W26" s="98" t="n">
        <f aca="false">E26+R26+S26</f>
        <v>2818800</v>
      </c>
      <c r="X26" s="203"/>
      <c r="Y26" s="100" t="n">
        <f aca="false">X26/W26</f>
        <v>0</v>
      </c>
      <c r="Z26" s="51" t="n">
        <v>2818800</v>
      </c>
      <c r="AA26" s="51" t="n">
        <f aca="false">W26-Z26</f>
        <v>0</v>
      </c>
    </row>
    <row r="27" customFormat="false" ht="14.25" hidden="false" customHeight="false" outlineLevel="0" collapsed="false">
      <c r="A27" s="151" t="n">
        <v>45575</v>
      </c>
      <c r="B27" s="152" t="s">
        <v>10</v>
      </c>
      <c r="C27" s="153" t="s">
        <v>162</v>
      </c>
      <c r="D27" s="204" t="s">
        <v>164</v>
      </c>
      <c r="E27" s="97" t="n">
        <v>3070804</v>
      </c>
      <c r="F27" s="199" t="n">
        <v>69.1</v>
      </c>
      <c r="G27" s="199" t="n">
        <v>85</v>
      </c>
      <c r="H27" s="98" t="n">
        <f aca="false">I27*G27</f>
        <v>3777400</v>
      </c>
      <c r="I27" s="98" t="n">
        <v>44440</v>
      </c>
      <c r="J27" s="200" t="s">
        <v>99</v>
      </c>
      <c r="K27" s="51" t="n">
        <f aca="false">I27*F27</f>
        <v>3070804</v>
      </c>
      <c r="L27" s="59" t="n">
        <f aca="false">M27*I27</f>
        <v>0</v>
      </c>
      <c r="M27" s="201"/>
      <c r="N27" s="200"/>
      <c r="O27" s="201" t="n">
        <f aca="false">N27/I27</f>
        <v>0</v>
      </c>
      <c r="P27" s="200"/>
      <c r="Q27" s="201" t="n">
        <f aca="false">P27/I27</f>
        <v>0</v>
      </c>
      <c r="R27" s="98"/>
      <c r="S27" s="98"/>
      <c r="T27" s="202" t="n">
        <f aca="false">S27/K27</f>
        <v>0</v>
      </c>
      <c r="U27" s="47"/>
      <c r="V27" s="201" t="n">
        <f aca="false">U27/I27</f>
        <v>0</v>
      </c>
      <c r="W27" s="98" t="n">
        <f aca="false">E27+R27+S27</f>
        <v>3070804</v>
      </c>
      <c r="X27" s="203"/>
      <c r="Y27" s="100" t="n">
        <f aca="false">X27/W27</f>
        <v>0</v>
      </c>
      <c r="Z27" s="51" t="n">
        <v>3070804</v>
      </c>
      <c r="AA27" s="51" t="n">
        <f aca="false">W27-Z27</f>
        <v>0</v>
      </c>
    </row>
    <row r="28" customFormat="false" ht="14.25" hidden="false" customHeight="false" outlineLevel="0" collapsed="false">
      <c r="A28" s="151" t="n">
        <v>45584</v>
      </c>
      <c r="B28" s="152" t="s">
        <v>10</v>
      </c>
      <c r="C28" s="153" t="s">
        <v>162</v>
      </c>
      <c r="D28" s="204" t="s">
        <v>165</v>
      </c>
      <c r="E28" s="45" t="n">
        <v>3009060</v>
      </c>
      <c r="F28" s="199" t="n">
        <v>68.7</v>
      </c>
      <c r="G28" s="199" t="n">
        <v>64</v>
      </c>
      <c r="H28" s="98" t="n">
        <f aca="false">I28*G28</f>
        <v>2803200</v>
      </c>
      <c r="I28" s="98" t="n">
        <v>43800</v>
      </c>
      <c r="J28" s="200" t="s">
        <v>166</v>
      </c>
      <c r="K28" s="51" t="n">
        <f aca="false">I28*F28</f>
        <v>3009060</v>
      </c>
      <c r="L28" s="59" t="n">
        <f aca="false">M28*I28</f>
        <v>0</v>
      </c>
      <c r="M28" s="201"/>
      <c r="N28" s="200"/>
      <c r="O28" s="201" t="n">
        <f aca="false">N28/I28</f>
        <v>0</v>
      </c>
      <c r="P28" s="200"/>
      <c r="Q28" s="201" t="n">
        <f aca="false">P28/I28</f>
        <v>0</v>
      </c>
      <c r="R28" s="98"/>
      <c r="S28" s="98"/>
      <c r="T28" s="202" t="n">
        <f aca="false">S28/K28</f>
        <v>0</v>
      </c>
      <c r="U28" s="47"/>
      <c r="V28" s="201" t="n">
        <f aca="false">U28/I28</f>
        <v>0</v>
      </c>
      <c r="W28" s="98" t="n">
        <f aca="false">E28+R28+S28</f>
        <v>3009060</v>
      </c>
      <c r="X28" s="203"/>
      <c r="Y28" s="100" t="n">
        <f aca="false">X28/W28</f>
        <v>0</v>
      </c>
      <c r="Z28" s="51" t="n">
        <v>3009060</v>
      </c>
      <c r="AA28" s="51" t="n">
        <f aca="false">W28-Z28</f>
        <v>0</v>
      </c>
    </row>
    <row r="29" customFormat="false" ht="14.25" hidden="false" customHeight="false" outlineLevel="0" collapsed="false">
      <c r="A29" s="151" t="n">
        <v>45595</v>
      </c>
      <c r="B29" s="152" t="s">
        <v>10</v>
      </c>
      <c r="C29" s="153" t="s">
        <v>162</v>
      </c>
      <c r="D29" s="204" t="s">
        <v>167</v>
      </c>
      <c r="E29" s="205" t="n">
        <v>3481020</v>
      </c>
      <c r="F29" s="206" t="n">
        <v>83</v>
      </c>
      <c r="G29" s="206" t="n">
        <v>86</v>
      </c>
      <c r="H29" s="98" t="n">
        <f aca="false">I29*G29</f>
        <v>3606840</v>
      </c>
      <c r="I29" s="98" t="n">
        <v>41940</v>
      </c>
      <c r="J29" s="200" t="s">
        <v>91</v>
      </c>
      <c r="K29" s="51" t="n">
        <f aca="false">I29*F29</f>
        <v>3481020</v>
      </c>
      <c r="L29" s="59" t="n">
        <f aca="false">M29*I29</f>
        <v>0</v>
      </c>
      <c r="M29" s="201"/>
      <c r="N29" s="200"/>
      <c r="O29" s="201" t="n">
        <f aca="false">N29/I29</f>
        <v>0</v>
      </c>
      <c r="P29" s="200"/>
      <c r="Q29" s="201" t="n">
        <f aca="false">P29/I29</f>
        <v>0</v>
      </c>
      <c r="R29" s="98"/>
      <c r="S29" s="98"/>
      <c r="T29" s="202" t="n">
        <f aca="false">S29/K29</f>
        <v>0</v>
      </c>
      <c r="U29" s="47"/>
      <c r="V29" s="201" t="n">
        <f aca="false">U29/I29</f>
        <v>0</v>
      </c>
      <c r="W29" s="98" t="n">
        <f aca="false">E29+R29+S29</f>
        <v>3481020</v>
      </c>
      <c r="X29" s="203"/>
      <c r="Y29" s="100" t="n">
        <f aca="false">X29/W29</f>
        <v>0</v>
      </c>
      <c r="Z29" s="51" t="n">
        <v>3481020</v>
      </c>
      <c r="AA29" s="51" t="n">
        <f aca="false">W29-Z29</f>
        <v>0</v>
      </c>
    </row>
    <row r="30" customFormat="false" ht="14.25" hidden="false" customHeight="false" outlineLevel="0" collapsed="false">
      <c r="A30" s="151" t="n">
        <v>45597</v>
      </c>
      <c r="B30" s="152" t="s">
        <v>10</v>
      </c>
      <c r="C30" s="153" t="s">
        <v>162</v>
      </c>
      <c r="D30" s="204" t="s">
        <v>168</v>
      </c>
      <c r="E30" s="205" t="n">
        <v>1693746</v>
      </c>
      <c r="F30" s="206" t="n">
        <v>65.7</v>
      </c>
      <c r="G30" s="206" t="n">
        <v>80</v>
      </c>
      <c r="H30" s="98" t="n">
        <f aca="false">I30*G30</f>
        <v>2062400</v>
      </c>
      <c r="I30" s="98" t="n">
        <v>25780</v>
      </c>
      <c r="J30" s="200" t="s">
        <v>169</v>
      </c>
      <c r="K30" s="51" t="n">
        <f aca="false">I30*F30</f>
        <v>1693746</v>
      </c>
      <c r="L30" s="59" t="n">
        <f aca="false">M30*I30</f>
        <v>0</v>
      </c>
      <c r="M30" s="201"/>
      <c r="N30" s="200"/>
      <c r="O30" s="201" t="n">
        <f aca="false">N30/I30</f>
        <v>0</v>
      </c>
      <c r="P30" s="200"/>
      <c r="Q30" s="201" t="n">
        <f aca="false">P30/I30</f>
        <v>0</v>
      </c>
      <c r="R30" s="98"/>
      <c r="S30" s="98"/>
      <c r="T30" s="202" t="n">
        <f aca="false">S30/K30</f>
        <v>0</v>
      </c>
      <c r="U30" s="47"/>
      <c r="V30" s="201" t="n">
        <f aca="false">U30/I30</f>
        <v>0</v>
      </c>
      <c r="W30" s="98" t="n">
        <f aca="false">E30+R30+S30</f>
        <v>1693746</v>
      </c>
      <c r="X30" s="203"/>
      <c r="Y30" s="100" t="n">
        <f aca="false">X30/W30</f>
        <v>0</v>
      </c>
      <c r="Z30" s="51" t="n">
        <v>1693746</v>
      </c>
      <c r="AA30" s="51" t="n">
        <f aca="false">W30-Z30</f>
        <v>0</v>
      </c>
    </row>
    <row r="31" customFormat="false" ht="14.25" hidden="false" customHeight="false" outlineLevel="0" collapsed="false">
      <c r="A31" s="151" t="n">
        <v>45600</v>
      </c>
      <c r="B31" s="152" t="s">
        <v>10</v>
      </c>
      <c r="C31" s="153" t="s">
        <v>162</v>
      </c>
      <c r="D31" s="204" t="s">
        <v>170</v>
      </c>
      <c r="E31" s="205" t="n">
        <v>3121374</v>
      </c>
      <c r="F31" s="206" t="n">
        <v>77.3</v>
      </c>
      <c r="G31" s="206" t="n">
        <v>65</v>
      </c>
      <c r="H31" s="98" t="n">
        <f aca="false">I31*G31</f>
        <v>2624700</v>
      </c>
      <c r="I31" s="98" t="n">
        <v>40380</v>
      </c>
      <c r="J31" s="200" t="s">
        <v>99</v>
      </c>
      <c r="K31" s="207" t="n">
        <f aca="false">I31*F31</f>
        <v>3121374</v>
      </c>
      <c r="L31" s="59" t="n">
        <f aca="false">M31*I31</f>
        <v>0</v>
      </c>
      <c r="M31" s="201"/>
      <c r="N31" s="200"/>
      <c r="O31" s="201" t="n">
        <f aca="false">N31/I31</f>
        <v>0</v>
      </c>
      <c r="P31" s="200"/>
      <c r="Q31" s="201" t="n">
        <f aca="false">P31/I31</f>
        <v>0</v>
      </c>
      <c r="R31" s="98"/>
      <c r="S31" s="98"/>
      <c r="T31" s="202" t="n">
        <f aca="false">S31/K31</f>
        <v>0</v>
      </c>
      <c r="U31" s="47"/>
      <c r="V31" s="201" t="n">
        <f aca="false">U31/I31</f>
        <v>0</v>
      </c>
      <c r="W31" s="98" t="n">
        <f aca="false">E31+R31+S31</f>
        <v>3121374</v>
      </c>
      <c r="X31" s="203"/>
      <c r="Y31" s="100" t="n">
        <f aca="false">X31/W31</f>
        <v>0</v>
      </c>
      <c r="Z31" s="51" t="n">
        <v>3121374</v>
      </c>
      <c r="AA31" s="51" t="n">
        <f aca="false">W31-Z31</f>
        <v>0</v>
      </c>
    </row>
    <row r="32" customFormat="false" ht="14.25" hidden="false" customHeight="false" outlineLevel="0" collapsed="false">
      <c r="A32" s="151"/>
      <c r="B32" s="152"/>
      <c r="C32" s="153"/>
      <c r="D32" s="204"/>
      <c r="E32" s="208"/>
      <c r="F32" s="206"/>
      <c r="G32" s="206"/>
      <c r="H32" s="206"/>
      <c r="I32" s="98"/>
      <c r="J32" s="200"/>
      <c r="K32" s="209"/>
      <c r="M32" s="201"/>
      <c r="N32" s="200"/>
      <c r="O32" s="201"/>
      <c r="P32" s="200"/>
      <c r="Q32" s="201"/>
      <c r="R32" s="98"/>
      <c r="S32" s="98"/>
      <c r="T32" s="202"/>
      <c r="U32" s="47"/>
      <c r="V32" s="201"/>
      <c r="W32" s="98"/>
      <c r="X32" s="203"/>
      <c r="Y32" s="100"/>
      <c r="Z32" s="51"/>
      <c r="AA32" s="51"/>
    </row>
    <row r="33" customFormat="false" ht="14.25" hidden="false" customHeight="false" outlineLevel="0" collapsed="false">
      <c r="A33" s="151"/>
      <c r="B33" s="152"/>
      <c r="C33" s="153"/>
      <c r="D33" s="204"/>
      <c r="E33" s="208"/>
      <c r="F33" s="206"/>
      <c r="G33" s="206"/>
      <c r="H33" s="206"/>
      <c r="I33" s="98"/>
      <c r="J33" s="200"/>
      <c r="K33" s="209"/>
      <c r="M33" s="201"/>
      <c r="N33" s="200"/>
      <c r="O33" s="201"/>
      <c r="P33" s="200"/>
      <c r="Q33" s="201"/>
      <c r="R33" s="98"/>
      <c r="S33" s="98"/>
      <c r="T33" s="202"/>
      <c r="U33" s="47"/>
      <c r="V33" s="201"/>
      <c r="W33" s="98"/>
      <c r="X33" s="203"/>
      <c r="Y33" s="100"/>
      <c r="Z33" s="51"/>
      <c r="AA33" s="51"/>
    </row>
    <row r="34" customFormat="false" ht="14.25" hidden="false" customHeight="false" outlineLevel="0" collapsed="false">
      <c r="A34" s="151"/>
      <c r="B34" s="152"/>
      <c r="C34" s="153"/>
      <c r="D34" s="204"/>
      <c r="E34" s="208"/>
      <c r="F34" s="206"/>
      <c r="G34" s="206"/>
      <c r="H34" s="206"/>
      <c r="I34" s="98"/>
      <c r="J34" s="200"/>
      <c r="K34" s="209"/>
      <c r="M34" s="201"/>
      <c r="N34" s="200"/>
      <c r="O34" s="201"/>
      <c r="P34" s="200"/>
      <c r="Q34" s="201"/>
      <c r="R34" s="98"/>
      <c r="S34" s="98"/>
      <c r="T34" s="202"/>
      <c r="U34" s="47"/>
      <c r="V34" s="201"/>
      <c r="W34" s="98"/>
      <c r="X34" s="203"/>
      <c r="Y34" s="100"/>
      <c r="Z34" s="51"/>
      <c r="AA34" s="51"/>
    </row>
    <row r="35" customFormat="false" ht="14.25" hidden="false" customHeight="false" outlineLevel="0" collapsed="false">
      <c r="A35" s="151"/>
      <c r="B35" s="152"/>
      <c r="C35" s="153"/>
      <c r="D35" s="204"/>
      <c r="E35" s="208"/>
      <c r="F35" s="206"/>
      <c r="G35" s="206"/>
      <c r="H35" s="206"/>
      <c r="I35" s="98"/>
      <c r="J35" s="200"/>
      <c r="K35" s="209"/>
      <c r="M35" s="201"/>
      <c r="N35" s="200"/>
      <c r="O35" s="201"/>
      <c r="P35" s="200"/>
      <c r="Q35" s="201"/>
      <c r="R35" s="98"/>
      <c r="S35" s="98"/>
      <c r="T35" s="202"/>
      <c r="U35" s="47"/>
      <c r="V35" s="201"/>
      <c r="W35" s="98"/>
      <c r="X35" s="203"/>
      <c r="Y35" s="100"/>
      <c r="Z35" s="51"/>
      <c r="AA35" s="51"/>
    </row>
    <row r="36" customFormat="false" ht="14.25" hidden="false" customHeight="false" outlineLevel="0" collapsed="false">
      <c r="A36" s="151"/>
      <c r="B36" s="152"/>
      <c r="C36" s="153"/>
      <c r="D36" s="204"/>
      <c r="E36" s="208"/>
      <c r="F36" s="206"/>
      <c r="G36" s="206"/>
      <c r="H36" s="206"/>
      <c r="I36" s="98"/>
      <c r="J36" s="200"/>
      <c r="K36" s="209"/>
      <c r="M36" s="201"/>
      <c r="N36" s="200"/>
      <c r="O36" s="201"/>
      <c r="P36" s="200"/>
      <c r="Q36" s="201"/>
      <c r="R36" s="98"/>
      <c r="S36" s="98"/>
      <c r="T36" s="202"/>
      <c r="U36" s="47"/>
      <c r="V36" s="201"/>
      <c r="W36" s="98"/>
      <c r="X36" s="203"/>
      <c r="Y36" s="100"/>
      <c r="Z36" s="51"/>
      <c r="AA36" s="51"/>
    </row>
    <row r="37" customFormat="false" ht="14.25" hidden="false" customHeight="false" outlineLevel="0" collapsed="false">
      <c r="A37" s="151"/>
      <c r="B37" s="152"/>
      <c r="C37" s="153"/>
      <c r="D37" s="204"/>
      <c r="E37" s="208"/>
      <c r="F37" s="206"/>
      <c r="G37" s="206"/>
      <c r="H37" s="206"/>
      <c r="I37" s="98"/>
      <c r="J37" s="200"/>
      <c r="K37" s="209"/>
      <c r="M37" s="201"/>
      <c r="N37" s="200"/>
      <c r="O37" s="201"/>
      <c r="P37" s="200"/>
      <c r="Q37" s="201"/>
      <c r="R37" s="98"/>
      <c r="S37" s="98"/>
      <c r="T37" s="202"/>
      <c r="U37" s="47"/>
      <c r="V37" s="201"/>
      <c r="W37" s="98"/>
      <c r="X37" s="203"/>
      <c r="Y37" s="100"/>
      <c r="Z37" s="51"/>
      <c r="AA37" s="51"/>
    </row>
    <row r="38" customFormat="false" ht="14.25" hidden="false" customHeight="false" outlineLevel="0" collapsed="false">
      <c r="A38" s="151"/>
      <c r="B38" s="152"/>
      <c r="C38" s="153"/>
      <c r="D38" s="204"/>
      <c r="E38" s="208"/>
      <c r="F38" s="206"/>
      <c r="G38" s="206"/>
      <c r="H38" s="206"/>
      <c r="I38" s="98"/>
      <c r="J38" s="200"/>
      <c r="K38" s="209"/>
      <c r="M38" s="201"/>
      <c r="N38" s="200"/>
      <c r="O38" s="201"/>
      <c r="P38" s="200"/>
      <c r="Q38" s="201"/>
      <c r="R38" s="98"/>
      <c r="S38" s="98"/>
      <c r="T38" s="202"/>
      <c r="U38" s="47"/>
      <c r="V38" s="201"/>
      <c r="W38" s="98"/>
      <c r="X38" s="203"/>
      <c r="Y38" s="100"/>
      <c r="Z38" s="51"/>
      <c r="AA38" s="51"/>
    </row>
    <row r="39" customFormat="false" ht="14.25" hidden="false" customHeight="false" outlineLevel="0" collapsed="false">
      <c r="A39" s="151"/>
      <c r="B39" s="152"/>
      <c r="C39" s="153"/>
      <c r="D39" s="204"/>
      <c r="E39" s="208"/>
      <c r="F39" s="206"/>
      <c r="G39" s="206"/>
      <c r="H39" s="206"/>
      <c r="I39" s="98"/>
      <c r="J39" s="200"/>
      <c r="K39" s="209"/>
      <c r="M39" s="201"/>
      <c r="N39" s="200"/>
      <c r="O39" s="201"/>
      <c r="P39" s="200"/>
      <c r="Q39" s="201"/>
      <c r="R39" s="98"/>
      <c r="S39" s="98"/>
      <c r="T39" s="202"/>
      <c r="U39" s="47"/>
      <c r="V39" s="201"/>
      <c r="W39" s="98"/>
      <c r="X39" s="203"/>
      <c r="Y39" s="100"/>
      <c r="Z39" s="51"/>
      <c r="AA39" s="51"/>
    </row>
    <row r="40" customFormat="false" ht="14.25" hidden="false" customHeight="false" outlineLevel="0" collapsed="false">
      <c r="A40" s="151"/>
      <c r="B40" s="152"/>
      <c r="C40" s="153"/>
      <c r="D40" s="204"/>
      <c r="E40" s="208"/>
      <c r="F40" s="206"/>
      <c r="G40" s="206"/>
      <c r="H40" s="206"/>
      <c r="I40" s="98"/>
      <c r="J40" s="200"/>
      <c r="K40" s="209"/>
      <c r="M40" s="201"/>
      <c r="N40" s="200"/>
      <c r="O40" s="201"/>
      <c r="P40" s="200"/>
      <c r="Q40" s="201"/>
      <c r="R40" s="98"/>
      <c r="S40" s="98"/>
      <c r="T40" s="202"/>
      <c r="U40" s="47"/>
      <c r="V40" s="201"/>
      <c r="W40" s="98"/>
      <c r="X40" s="203"/>
      <c r="Y40" s="100"/>
      <c r="Z40" s="51"/>
      <c r="AA40" s="51"/>
    </row>
    <row r="41" customFormat="false" ht="14.25" hidden="false" customHeight="false" outlineLevel="0" collapsed="false">
      <c r="A41" s="151"/>
      <c r="B41" s="152"/>
      <c r="C41" s="153"/>
      <c r="D41" s="204"/>
      <c r="E41" s="208"/>
      <c r="F41" s="206"/>
      <c r="G41" s="206"/>
      <c r="H41" s="206"/>
      <c r="I41" s="98"/>
      <c r="J41" s="200"/>
      <c r="K41" s="209"/>
      <c r="M41" s="201"/>
      <c r="N41" s="200"/>
      <c r="O41" s="201"/>
      <c r="P41" s="200"/>
      <c r="Q41" s="201"/>
      <c r="R41" s="98"/>
      <c r="S41" s="98"/>
      <c r="T41" s="202"/>
      <c r="U41" s="47"/>
      <c r="V41" s="201"/>
      <c r="W41" s="98"/>
      <c r="X41" s="203"/>
      <c r="Y41" s="100"/>
      <c r="Z41" s="51"/>
      <c r="AA41" s="51"/>
    </row>
    <row r="42" customFormat="false" ht="14.25" hidden="false" customHeight="false" outlineLevel="0" collapsed="false">
      <c r="A42" s="151"/>
      <c r="B42" s="152"/>
      <c r="C42" s="153"/>
      <c r="D42" s="204"/>
      <c r="E42" s="208"/>
      <c r="F42" s="206"/>
      <c r="G42" s="206"/>
      <c r="H42" s="206"/>
      <c r="I42" s="98"/>
      <c r="J42" s="200"/>
      <c r="K42" s="209"/>
      <c r="M42" s="201"/>
      <c r="N42" s="200"/>
      <c r="O42" s="201"/>
      <c r="P42" s="200"/>
      <c r="Q42" s="201"/>
      <c r="R42" s="98"/>
      <c r="S42" s="98"/>
      <c r="T42" s="202"/>
      <c r="U42" s="47"/>
      <c r="V42" s="201"/>
      <c r="W42" s="98"/>
      <c r="X42" s="203"/>
      <c r="Y42" s="100"/>
      <c r="Z42" s="51"/>
      <c r="AA42" s="51"/>
    </row>
    <row r="43" customFormat="false" ht="14.25" hidden="false" customHeight="false" outlineLevel="0" collapsed="false">
      <c r="A43" s="151"/>
      <c r="B43" s="152"/>
      <c r="C43" s="153"/>
      <c r="D43" s="204"/>
      <c r="E43" s="208"/>
      <c r="F43" s="206"/>
      <c r="G43" s="206"/>
      <c r="H43" s="206"/>
      <c r="I43" s="98"/>
      <c r="J43" s="200"/>
      <c r="K43" s="209"/>
      <c r="M43" s="201"/>
      <c r="N43" s="200"/>
      <c r="O43" s="201"/>
      <c r="P43" s="200"/>
      <c r="Q43" s="201"/>
      <c r="R43" s="98"/>
      <c r="S43" s="98"/>
      <c r="T43" s="202"/>
      <c r="U43" s="47"/>
      <c r="V43" s="201"/>
      <c r="W43" s="98"/>
      <c r="X43" s="203"/>
      <c r="Y43" s="100"/>
      <c r="Z43" s="51"/>
      <c r="AA43" s="51"/>
    </row>
    <row r="44" customFormat="false" ht="14.25" hidden="false" customHeight="false" outlineLevel="0" collapsed="false">
      <c r="A44" s="151"/>
      <c r="B44" s="152"/>
      <c r="C44" s="153"/>
      <c r="D44" s="204"/>
      <c r="E44" s="208"/>
      <c r="F44" s="206"/>
      <c r="G44" s="206"/>
      <c r="H44" s="206"/>
      <c r="I44" s="98"/>
      <c r="J44" s="200"/>
      <c r="K44" s="209"/>
      <c r="M44" s="201"/>
      <c r="N44" s="200"/>
      <c r="O44" s="201"/>
      <c r="P44" s="200"/>
      <c r="Q44" s="201"/>
      <c r="R44" s="98"/>
      <c r="S44" s="98"/>
      <c r="T44" s="202"/>
      <c r="U44" s="47"/>
      <c r="V44" s="201"/>
      <c r="W44" s="98"/>
      <c r="X44" s="203"/>
      <c r="Y44" s="100"/>
      <c r="Z44" s="51"/>
      <c r="AA44" s="51"/>
    </row>
    <row r="45" customFormat="false" ht="14.25" hidden="false" customHeight="false" outlineLevel="0" collapsed="false">
      <c r="A45" s="151"/>
      <c r="B45" s="152"/>
      <c r="C45" s="153"/>
      <c r="D45" s="204"/>
      <c r="E45" s="208"/>
      <c r="F45" s="206"/>
      <c r="G45" s="206"/>
      <c r="H45" s="206"/>
      <c r="I45" s="98"/>
      <c r="J45" s="200"/>
      <c r="K45" s="209"/>
      <c r="M45" s="201"/>
      <c r="N45" s="200"/>
      <c r="O45" s="201"/>
      <c r="P45" s="200"/>
      <c r="Q45" s="201"/>
      <c r="R45" s="98"/>
      <c r="S45" s="98"/>
      <c r="T45" s="202"/>
      <c r="U45" s="47"/>
      <c r="V45" s="201"/>
      <c r="W45" s="98"/>
      <c r="X45" s="203"/>
      <c r="Y45" s="100"/>
      <c r="Z45" s="51"/>
      <c r="AA45" s="51"/>
    </row>
    <row r="46" customFormat="false" ht="14.25" hidden="false" customHeight="false" outlineLevel="0" collapsed="false">
      <c r="A46" s="151"/>
      <c r="B46" s="152"/>
      <c r="C46" s="153"/>
      <c r="D46" s="204"/>
      <c r="E46" s="208"/>
      <c r="F46" s="206"/>
      <c r="G46" s="206"/>
      <c r="H46" s="206"/>
      <c r="I46" s="98"/>
      <c r="J46" s="200"/>
      <c r="K46" s="209"/>
      <c r="M46" s="201"/>
      <c r="N46" s="200"/>
      <c r="O46" s="201"/>
      <c r="P46" s="200"/>
      <c r="Q46" s="201"/>
      <c r="R46" s="98"/>
      <c r="S46" s="98"/>
      <c r="T46" s="202"/>
      <c r="U46" s="47"/>
      <c r="V46" s="201"/>
      <c r="W46" s="98"/>
      <c r="X46" s="203"/>
      <c r="Y46" s="100"/>
      <c r="Z46" s="51"/>
      <c r="AA46" s="51"/>
    </row>
    <row r="47" customFormat="false" ht="14.25" hidden="false" customHeight="false" outlineLevel="0" collapsed="false">
      <c r="A47" s="151"/>
      <c r="B47" s="152"/>
      <c r="C47" s="153"/>
      <c r="D47" s="204"/>
      <c r="E47" s="208"/>
      <c r="F47" s="206"/>
      <c r="G47" s="206"/>
      <c r="H47" s="206"/>
      <c r="I47" s="98"/>
      <c r="J47" s="200"/>
      <c r="K47" s="209"/>
      <c r="M47" s="201"/>
      <c r="N47" s="200"/>
      <c r="O47" s="201"/>
      <c r="P47" s="200"/>
      <c r="Q47" s="201"/>
      <c r="R47" s="98"/>
      <c r="S47" s="98"/>
      <c r="T47" s="202"/>
      <c r="U47" s="47"/>
      <c r="V47" s="201"/>
      <c r="W47" s="98"/>
      <c r="X47" s="203"/>
      <c r="Y47" s="100"/>
      <c r="Z47" s="51"/>
      <c r="AA47" s="51"/>
    </row>
    <row r="48" customFormat="false" ht="14.25" hidden="false" customHeight="false" outlineLevel="0" collapsed="false">
      <c r="A48" s="151"/>
      <c r="B48" s="152"/>
      <c r="C48" s="153"/>
      <c r="D48" s="204"/>
      <c r="E48" s="208"/>
      <c r="F48" s="206"/>
      <c r="G48" s="206"/>
      <c r="H48" s="206"/>
      <c r="I48" s="98"/>
      <c r="J48" s="200"/>
      <c r="K48" s="210"/>
      <c r="M48" s="201"/>
      <c r="N48" s="200"/>
      <c r="O48" s="201"/>
      <c r="P48" s="200"/>
      <c r="Q48" s="201"/>
      <c r="R48" s="98"/>
      <c r="S48" s="98"/>
      <c r="T48" s="202"/>
      <c r="U48" s="47"/>
      <c r="V48" s="201"/>
      <c r="W48" s="205"/>
      <c r="X48" s="203"/>
      <c r="Y48" s="211"/>
      <c r="Z48" s="208"/>
      <c r="AA48" s="208"/>
    </row>
    <row r="49" customFormat="false" ht="14.25" hidden="false" customHeight="false" outlineLevel="0" collapsed="false">
      <c r="A49" s="42"/>
      <c r="E49" s="53" t="n">
        <f aca="false">SUBTOTAL(9,E26:E48)</f>
        <v>17194804</v>
      </c>
      <c r="F49" s="212" t="n">
        <f aca="false">E49/I49</f>
        <v>72.2167324653507</v>
      </c>
      <c r="G49" s="212" t="n">
        <f aca="false">H49/I49</f>
        <v>77.9060058798824</v>
      </c>
      <c r="H49" s="53" t="n">
        <f aca="false">SUBTOTAL(9,H26:H48)</f>
        <v>18549420</v>
      </c>
      <c r="I49" s="53" t="n">
        <f aca="false">SUBTOTAL(9,I26:I48)</f>
        <v>238100</v>
      </c>
      <c r="J49" s="213"/>
      <c r="K49" s="53" t="n">
        <f aca="false">SUBTOTAL(9,K26:K48)</f>
        <v>17194804</v>
      </c>
      <c r="L49" s="30" t="n">
        <f aca="false">SUBTOTAL(9,L26:L48)</f>
        <v>0</v>
      </c>
      <c r="M49" s="214" t="n">
        <f aca="false">L49/I49</f>
        <v>0</v>
      </c>
      <c r="N49" s="55" t="n">
        <f aca="false">SUBTOTAL(9,N26:N48)</f>
        <v>0</v>
      </c>
      <c r="O49" s="214" t="n">
        <f aca="false">N49/I49</f>
        <v>0</v>
      </c>
      <c r="P49" s="55" t="n">
        <f aca="false">SUBTOTAL(9,P26:P48)</f>
        <v>0</v>
      </c>
      <c r="Q49" s="214" t="n">
        <f aca="false">P49/I49</f>
        <v>0</v>
      </c>
      <c r="R49" s="53" t="n">
        <f aca="false">SUBTOTAL(9,R26:R48)</f>
        <v>0</v>
      </c>
      <c r="S49" s="53" t="n">
        <f aca="false">SUBTOTAL(9,S26:S48)</f>
        <v>0</v>
      </c>
      <c r="T49" s="215" t="n">
        <f aca="false">S49/K49</f>
        <v>0</v>
      </c>
      <c r="U49" s="55" t="n">
        <f aca="false">SUBTOTAL(9,U26:U48)</f>
        <v>0</v>
      </c>
      <c r="V49" s="215" t="e">
        <f aca="false">U49/M49</f>
        <v>#DIV/0!</v>
      </c>
      <c r="W49" s="53" t="n">
        <f aca="false">SUBTOTAL(9,W26:W48)</f>
        <v>17194804</v>
      </c>
      <c r="X49" s="216" t="n">
        <f aca="false">SUBTOTAL(9,X26:X48)</f>
        <v>0</v>
      </c>
      <c r="Y49" s="106" t="n">
        <f aca="false">X49/W49</f>
        <v>0</v>
      </c>
      <c r="Z49" s="29" t="n">
        <f aca="false">SUBTOTAL(9,Z26:Z48)</f>
        <v>17194804</v>
      </c>
      <c r="AA49" s="29" t="n">
        <f aca="false">SUBTOTAL(9,AA26:AA48)</f>
        <v>0</v>
      </c>
    </row>
    <row r="51" customFormat="false" ht="14.25" hidden="false" customHeight="false" outlineLevel="0" collapsed="false">
      <c r="A51" s="56"/>
    </row>
  </sheetData>
  <autoFilter ref="A25:AA48"/>
  <mergeCells count="3">
    <mergeCell ref="A1:AA1"/>
    <mergeCell ref="F2:J2"/>
    <mergeCell ref="A23:G23"/>
  </mergeCells>
  <printOptions headings="false" gridLines="false" gridLinesSet="true" horizontalCentered="false" verticalCentered="false"/>
  <pageMargins left="0.2" right="0.25" top="0.7875" bottom="0.78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AB179"/>
  <sheetViews>
    <sheetView showFormulas="false" showGridLines="false" showRowColHeaders="true" showZeros="true" rightToLeft="false" tabSelected="false" showOutlineSymbols="true" defaultGridColor="true" view="normal" topLeftCell="A149" colorId="64" zoomScale="80" zoomScaleNormal="80" zoomScalePageLayoutView="100" workbookViewId="0">
      <pane xSplit="1" ySplit="0" topLeftCell="B149" activePane="topRight" state="frozen"/>
      <selection pane="topLeft" activeCell="A149" activeCellId="0" sqref="A149"/>
      <selection pane="topRight" activeCell="J169" activeCellId="0" sqref="J169"/>
    </sheetView>
  </sheetViews>
  <sheetFormatPr defaultColWidth="9.18359375" defaultRowHeight="14.25" zeroHeight="false" outlineLevelRow="0" outlineLevelCol="0"/>
  <cols>
    <col collapsed="false" customWidth="true" hidden="false" outlineLevel="0" max="1" min="1" style="0" width="11.27"/>
    <col collapsed="false" customWidth="true" hidden="false" outlineLevel="0" max="2" min="2" style="1" width="13.54"/>
    <col collapsed="false" customWidth="true" hidden="false" outlineLevel="0" max="3" min="3" style="2" width="27.54"/>
    <col collapsed="false" customWidth="true" hidden="false" outlineLevel="0" max="4" min="4" style="0" width="20.54"/>
    <col collapsed="false" customWidth="true" hidden="false" outlineLevel="0" max="5" min="5" style="0" width="11.82"/>
    <col collapsed="false" customWidth="true" hidden="false" outlineLevel="0" max="6" min="6" style="0" width="15.27"/>
    <col collapsed="false" customWidth="true" hidden="false" outlineLevel="0" max="7" min="7" style="3" width="15.27"/>
    <col collapsed="false" customWidth="true" hidden="false" outlineLevel="0" max="8" min="8" style="4" width="17.54"/>
    <col collapsed="false" customWidth="true" hidden="false" outlineLevel="0" max="10" min="9" style="57" width="12"/>
    <col collapsed="false" customWidth="true" hidden="false" outlineLevel="0" max="11" min="11" style="0" width="13"/>
    <col collapsed="false" customWidth="true" hidden="false" outlineLevel="0" max="12" min="12" style="59" width="15"/>
    <col collapsed="false" customWidth="true" hidden="false" outlineLevel="0" max="13" min="13" style="58" width="8.18"/>
    <col collapsed="false" customWidth="true" hidden="false" outlineLevel="0" max="14" min="14" style="59" width="15.18"/>
    <col collapsed="false" customWidth="true" hidden="false" outlineLevel="0" max="15" min="15" style="111" width="13.54"/>
    <col collapsed="false" customWidth="true" hidden="false" outlineLevel="0" max="16" min="16" style="59" width="13.82"/>
    <col collapsed="false" customWidth="true" hidden="false" outlineLevel="0" max="17" min="17" style="58" width="12.82"/>
    <col collapsed="false" customWidth="true" hidden="false" outlineLevel="0" max="18" min="18" style="58" width="13.45"/>
    <col collapsed="false" customWidth="true" hidden="false" outlineLevel="0" max="19" min="19" style="58" width="12"/>
    <col collapsed="false" customWidth="true" hidden="false" outlineLevel="0" max="20" min="20" style="58" width="17.54"/>
    <col collapsed="false" customWidth="true" hidden="false" outlineLevel="0" max="21" min="21" style="58" width="12.82"/>
    <col collapsed="false" customWidth="true" hidden="false" outlineLevel="0" max="22" min="22" style="58" width="12.73"/>
    <col collapsed="false" customWidth="true" hidden="false" outlineLevel="0" max="23" min="23" style="58" width="13.54"/>
    <col collapsed="false" customWidth="true" hidden="false" outlineLevel="0" max="24" min="24" style="3" width="17.54"/>
    <col collapsed="false" customWidth="true" hidden="false" outlineLevel="0" max="25" min="25" style="3" width="12.27"/>
    <col collapsed="false" customWidth="true" hidden="false" outlineLevel="0" max="26" min="26" style="3" width="13.54"/>
    <col collapsed="false" customWidth="true" hidden="false" outlineLevel="0" max="27" min="27" style="0" width="11"/>
  </cols>
  <sheetData>
    <row r="1" customFormat="false" ht="17.35" hidden="false" customHeight="false" outlineLevel="0" collapsed="false">
      <c r="A1" s="5" t="s">
        <v>171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4.25" hidden="false" customHeight="false" outlineLevel="0" collapsed="false">
      <c r="A2" s="6"/>
      <c r="B2" s="7"/>
      <c r="C2" s="8"/>
      <c r="D2" s="8"/>
      <c r="E2" s="9"/>
      <c r="F2" s="9"/>
      <c r="G2" s="10"/>
      <c r="H2" s="10"/>
      <c r="I2" s="10"/>
      <c r="J2" s="112"/>
    </row>
    <row r="3" s="9" customFormat="true" ht="14.25" hidden="false" customHeight="false" outlineLevel="0" collapsed="false">
      <c r="A3" s="11" t="s">
        <v>1</v>
      </c>
      <c r="B3" s="12" t="s">
        <v>2</v>
      </c>
      <c r="C3" s="217" t="s">
        <v>133</v>
      </c>
      <c r="D3" s="218" t="s">
        <v>4</v>
      </c>
      <c r="E3" s="218"/>
      <c r="F3" s="14" t="s">
        <v>38</v>
      </c>
      <c r="G3" s="13" t="s">
        <v>125</v>
      </c>
      <c r="H3" s="61" t="s">
        <v>39</v>
      </c>
      <c r="I3" s="14" t="s">
        <v>40</v>
      </c>
      <c r="J3" s="14"/>
      <c r="K3" s="14" t="s">
        <v>39</v>
      </c>
      <c r="L3" s="63" t="s">
        <v>126</v>
      </c>
      <c r="M3" s="62" t="s">
        <v>39</v>
      </c>
      <c r="N3" s="63" t="s">
        <v>127</v>
      </c>
      <c r="O3" s="115" t="s">
        <v>128</v>
      </c>
      <c r="P3" s="115" t="s">
        <v>129</v>
      </c>
      <c r="Q3" s="63" t="s">
        <v>130</v>
      </c>
      <c r="R3" s="63" t="s">
        <v>131</v>
      </c>
      <c r="S3" s="219" t="s">
        <v>132</v>
      </c>
      <c r="T3" s="115" t="s">
        <v>133</v>
      </c>
      <c r="U3" s="115" t="s">
        <v>134</v>
      </c>
      <c r="V3" s="115" t="s">
        <v>135</v>
      </c>
      <c r="W3" s="63" t="s">
        <v>136</v>
      </c>
      <c r="X3" s="64"/>
      <c r="Y3" s="175"/>
      <c r="Z3" s="176"/>
    </row>
    <row r="4" customFormat="false" ht="14.25" hidden="false" customHeight="false" outlineLevel="0" collapsed="false">
      <c r="A4" s="18" t="s">
        <v>5</v>
      </c>
      <c r="B4" s="177" t="n">
        <f aca="false">SUMIF(B32:B172,"Marandu",F32:F172)</f>
        <v>27810782</v>
      </c>
      <c r="C4" s="220" t="n">
        <f aca="false">SUMIF(B32:B172,"Marandu",H32:H172)</f>
        <v>6437833.98</v>
      </c>
      <c r="D4" s="221" t="n">
        <f aca="false">C4/B4</f>
        <v>0.231486981559886</v>
      </c>
      <c r="E4" s="221"/>
      <c r="F4" s="222" t="n">
        <f aca="false">SUMIF(B32:B172,"Marandu",K32:K172)</f>
        <v>27763660.4</v>
      </c>
      <c r="G4" s="66" t="n">
        <f aca="false">SUMIF(B32:B172,"Marandu",L32:L172)</f>
        <v>14536.989</v>
      </c>
      <c r="H4" s="70" t="n">
        <f aca="false">G4/C4</f>
        <v>0.0022580558997267</v>
      </c>
      <c r="I4" s="66" t="n">
        <f aca="false">SUMIF(B32:B172,"Marandu",N32:N172)</f>
        <v>0</v>
      </c>
      <c r="J4" s="66"/>
      <c r="K4" s="70" t="n">
        <f aca="false">I4/C4</f>
        <v>0</v>
      </c>
      <c r="L4" s="66" t="n">
        <f aca="false">SUMIF($B32:$B172,"Marandu",P32:P172)</f>
        <v>19450.78</v>
      </c>
      <c r="M4" s="70" t="n">
        <f aca="false">L4/C4</f>
        <v>0.00302132364090569</v>
      </c>
      <c r="N4" s="125" t="n">
        <f aca="false">SUMIF($B32:$B172,"Marandu",R32:R172)</f>
        <v>-47122</v>
      </c>
      <c r="O4" s="125" t="n">
        <f aca="false">SUMIF($B32:$B172,"Marandu",S32:S172)</f>
        <v>0</v>
      </c>
      <c r="P4" s="72" t="n">
        <f aca="false">O4/F4</f>
        <v>0</v>
      </c>
      <c r="Q4" s="180" t="n">
        <f aca="false">SUMIF($B32:$B172,"Marandu",U32:U172)</f>
        <v>0</v>
      </c>
      <c r="R4" s="72" t="n">
        <f aca="false">Q4/C4</f>
        <v>0</v>
      </c>
      <c r="S4" s="223" t="n">
        <f aca="false">SUMIF($B32:$B172,"Marandu",W32:W172)</f>
        <v>27763660</v>
      </c>
      <c r="T4" s="180" t="n">
        <f aca="false">SUMIF($B32:$B172,"Marandu",X32:X172)</f>
        <v>6471821.749</v>
      </c>
      <c r="U4" s="67" t="n">
        <f aca="false">T4/S4</f>
        <v>0.233104055769304</v>
      </c>
      <c r="V4" s="125" t="n">
        <f aca="false">SUMIF($B32:$B172,"Marandu",Z32:Z172)</f>
        <v>27763660.4</v>
      </c>
      <c r="W4" s="125" t="n">
        <f aca="false">SUMIF($B32:$B172,"Marandu",AA32:AA172)</f>
        <v>-0.400000000023283</v>
      </c>
      <c r="X4" s="73"/>
      <c r="Y4" s="181"/>
    </row>
    <row r="5" customFormat="false" ht="14.25" hidden="false" customHeight="false" outlineLevel="0" collapsed="false">
      <c r="A5" s="18" t="s">
        <v>6</v>
      </c>
      <c r="B5" s="177" t="n">
        <f aca="false">SUMIF(B32:B172,"Piatã",F32:F172)</f>
        <v>20845507.6</v>
      </c>
      <c r="C5" s="220" t="n">
        <f aca="false">SUMIF(B32:B172,"Piatã",H32:H172)</f>
        <v>4264576.472</v>
      </c>
      <c r="D5" s="221" t="n">
        <f aca="false">C5/B5</f>
        <v>0.204580121234371</v>
      </c>
      <c r="E5" s="221"/>
      <c r="F5" s="222" t="n">
        <f aca="false">SUMIF(B32:B172,"Piatã",K32:K172)</f>
        <v>20851571</v>
      </c>
      <c r="G5" s="66" t="n">
        <f aca="false">SUMIF(B32:B172,"Piata",L32:L172)</f>
        <v>0</v>
      </c>
      <c r="H5" s="70" t="n">
        <f aca="false">G5/C5</f>
        <v>0</v>
      </c>
      <c r="I5" s="66" t="n">
        <f aca="false">SUMIF(B32:B172,"Piatã",N32:N172)</f>
        <v>0</v>
      </c>
      <c r="J5" s="66"/>
      <c r="K5" s="70" t="n">
        <f aca="false">I5/C5</f>
        <v>0</v>
      </c>
      <c r="L5" s="66" t="n">
        <f aca="false">SUMIF($B32:$B172,"Piata",P32:P172)</f>
        <v>0</v>
      </c>
      <c r="M5" s="70" t="n">
        <f aca="false">L5/C5</f>
        <v>0</v>
      </c>
      <c r="N5" s="125" t="n">
        <f aca="false">SUMIF($B32:$B172,"Piatã",R32:R172)</f>
        <v>6064</v>
      </c>
      <c r="O5" s="125" t="n">
        <f aca="false">SUMIF($B32:$B172,"Piatã",S32:S172)</f>
        <v>0</v>
      </c>
      <c r="P5" s="72" t="n">
        <f aca="false">O5/F5</f>
        <v>0</v>
      </c>
      <c r="Q5" s="180" t="n">
        <f aca="false">SUMIF($B32:$B172,"Piatã",U32:U172)</f>
        <v>0</v>
      </c>
      <c r="R5" s="72" t="n">
        <f aca="false">Q5/C5</f>
        <v>0</v>
      </c>
      <c r="S5" s="223" t="n">
        <f aca="false">SUMIF($B32:$B172,"Piatã",W32:W172)</f>
        <v>20851571.6</v>
      </c>
      <c r="T5" s="180" t="n">
        <f aca="false">SUMIF($B32:$B172,"Piatã",X32:X172)</f>
        <v>4276599.2761</v>
      </c>
      <c r="U5" s="67" t="n">
        <f aca="false">T5/S5</f>
        <v>0.205097215602684</v>
      </c>
      <c r="V5" s="125" t="n">
        <f aca="false">SUMIF($B32:$B172,"Piatã",Z32:Z172)</f>
        <v>20851571</v>
      </c>
      <c r="W5" s="125" t="n">
        <f aca="false">SUMIF($B32:$B172,"Piatã",AA32:AA172)</f>
        <v>0.599999999860302</v>
      </c>
      <c r="X5" s="73"/>
      <c r="Y5" s="181"/>
    </row>
    <row r="6" customFormat="false" ht="14.25" hidden="false" customHeight="false" outlineLevel="0" collapsed="false">
      <c r="A6" s="18" t="s">
        <v>7</v>
      </c>
      <c r="B6" s="177" t="n">
        <f aca="false">SUMIF(B32:B172,"Decumbens",F32:F172)</f>
        <v>2878952.33739936</v>
      </c>
      <c r="C6" s="224" t="n">
        <f aca="false">SUMIF(B32:B172,"Decumbens",H32:H172)</f>
        <v>852272</v>
      </c>
      <c r="D6" s="221" t="n">
        <f aca="false">C6/B6</f>
        <v>0.296035467113666</v>
      </c>
      <c r="E6" s="221"/>
      <c r="F6" s="222" t="n">
        <f aca="false">SUMIF(B32:B172,"Decumbens",K32:K172)</f>
        <v>2878953.1</v>
      </c>
      <c r="G6" s="66" t="n">
        <f aca="false">SUMIF(B32:B172,"Decumbens",L32:L172)</f>
        <v>0</v>
      </c>
      <c r="H6" s="70" t="n">
        <f aca="false">G6/C6</f>
        <v>0</v>
      </c>
      <c r="I6" s="66" t="n">
        <f aca="false">SUMIF(B32:B172,"Decumbens",N32:N172)</f>
        <v>0</v>
      </c>
      <c r="J6" s="66"/>
      <c r="K6" s="70" t="n">
        <f aca="false">I6/C6</f>
        <v>0</v>
      </c>
      <c r="L6" s="66" t="n">
        <f aca="false">SUMIF($B32:$B172,"Decumbens",P32:P172)</f>
        <v>0</v>
      </c>
      <c r="M6" s="70" t="n">
        <f aca="false">L6/C6</f>
        <v>0</v>
      </c>
      <c r="N6" s="125" t="n">
        <f aca="false">SUMIF($B32:$B172,"Decumbens",R32:R172)</f>
        <v>1</v>
      </c>
      <c r="O6" s="125" t="n">
        <f aca="false">SUMIF($B32:$B172,"Decumbens",S32:S172)</f>
        <v>0</v>
      </c>
      <c r="P6" s="72" t="n">
        <f aca="false">O6/F6</f>
        <v>0</v>
      </c>
      <c r="Q6" s="180" t="n">
        <f aca="false">SUMIF($B32:$B172,"Decumbens",U32:U172)</f>
        <v>0</v>
      </c>
      <c r="R6" s="72" t="n">
        <f aca="false">Q6/C6</f>
        <v>0</v>
      </c>
      <c r="S6" s="223" t="n">
        <f aca="false">SUMIF($B32:$B172,"Decumbens",W32:W172)</f>
        <v>2878953.33739936</v>
      </c>
      <c r="T6" s="180" t="n">
        <f aca="false">SUMIF($B32:$B172,"Decumbens",X32:X172)</f>
        <v>852272</v>
      </c>
      <c r="U6" s="67" t="n">
        <f aca="false">T6/S6</f>
        <v>0.296035364286203</v>
      </c>
      <c r="V6" s="125" t="n">
        <f aca="false">SUMIF($B32:$B172,"Decumbens",Z32:Z172)</f>
        <v>2878953.1</v>
      </c>
      <c r="W6" s="125" t="n">
        <f aca="false">SUMIF($B32:$B172,"Decumbens",AA32:AA172)</f>
        <v>0.237399360048585</v>
      </c>
      <c r="X6" s="73"/>
      <c r="Y6" s="181"/>
    </row>
    <row r="7" customFormat="false" ht="14.25" hidden="false" customHeight="false" outlineLevel="0" collapsed="false">
      <c r="A7" s="18" t="s">
        <v>42</v>
      </c>
      <c r="B7" s="177" t="n">
        <f aca="false">SUMIF(B32:B172,"Xaraes",F32:F172)</f>
        <v>8958232</v>
      </c>
      <c r="C7" s="224" t="n">
        <f aca="false">SUMIF(B32:B172,"Xaraes",H32:H172)</f>
        <v>1716349.6</v>
      </c>
      <c r="D7" s="221" t="n">
        <f aca="false">C7/B7</f>
        <v>0.19159468073611</v>
      </c>
      <c r="E7" s="221"/>
      <c r="F7" s="222" t="n">
        <f aca="false">SUMIF(B32:B172,"Xaraes",K32:K172)</f>
        <v>8985247.75</v>
      </c>
      <c r="G7" s="66" t="n">
        <f aca="false">SUMIF(B32:B172,"Xaraes",L32:L172)</f>
        <v>11293.6128</v>
      </c>
      <c r="H7" s="70" t="n">
        <f aca="false">G7/C7</f>
        <v>0.00658001889591724</v>
      </c>
      <c r="I7" s="66" t="n">
        <f aca="false">SUMIF(B32:B172,"Xaraes",N32:N172)</f>
        <v>0</v>
      </c>
      <c r="J7" s="66"/>
      <c r="K7" s="70" t="n">
        <f aca="false">I7/C7</f>
        <v>0</v>
      </c>
      <c r="L7" s="66" t="n">
        <f aca="false">SUMIF($B32:$B172,"Xaraes",P32:P172)</f>
        <v>17166.3</v>
      </c>
      <c r="M7" s="70" t="n">
        <f aca="false">L7/C7</f>
        <v>0.010001633699801</v>
      </c>
      <c r="N7" s="125" t="n">
        <f aca="false">SUMIF($B32:$B172,"Xaraes",R32:R172)</f>
        <v>27016</v>
      </c>
      <c r="O7" s="125" t="n">
        <f aca="false">SUMIF($B32:$B172,"Xaraes",S32:S172)</f>
        <v>0</v>
      </c>
      <c r="P7" s="72" t="n">
        <f aca="false">O7/F7</f>
        <v>0</v>
      </c>
      <c r="Q7" s="180" t="n">
        <f aca="false">SUMIF($B32:$B172,"Xaraes",U32:U172)</f>
        <v>0</v>
      </c>
      <c r="R7" s="72" t="n">
        <f aca="false">Q7/C7</f>
        <v>0</v>
      </c>
      <c r="S7" s="223" t="n">
        <f aca="false">SUMIF($B32:$B172,"Xaraes",W32:W172)</f>
        <v>8985248</v>
      </c>
      <c r="T7" s="180" t="n">
        <f aca="false">SUMIF($B32:$B172,"Xaraes",X32:X172)</f>
        <v>1744809.5128</v>
      </c>
      <c r="U7" s="67" t="n">
        <f aca="false">T7/S7</f>
        <v>0.194186016101058</v>
      </c>
      <c r="V7" s="125" t="n">
        <f aca="false">SUMIF($B32:$B172,"Xaraes",Z32:Z172)</f>
        <v>8985247.75</v>
      </c>
      <c r="W7" s="125" t="n">
        <f aca="false">SUMIF($B32:$B172,"Xaraes",AA32:AA172)</f>
        <v>0.25</v>
      </c>
      <c r="X7" s="73"/>
      <c r="Y7" s="181"/>
    </row>
    <row r="8" customFormat="false" ht="14.25" hidden="false" customHeight="false" outlineLevel="0" collapsed="false">
      <c r="A8" s="18" t="s">
        <v>9</v>
      </c>
      <c r="B8" s="177" t="n">
        <f aca="false">SUMIF(B32:B172,"MG-4",F32:F172)</f>
        <v>0</v>
      </c>
      <c r="C8" s="220" t="n">
        <f aca="false">SUMIF(B32:B172,"MG-4",H32:H172)</f>
        <v>0</v>
      </c>
      <c r="D8" s="221" t="e">
        <f aca="false">C8/B8</f>
        <v>#DIV/0!</v>
      </c>
      <c r="E8" s="221"/>
      <c r="F8" s="222" t="n">
        <f aca="false">SUMIF(B32:B172,"MG-4",K32:K172)</f>
        <v>0</v>
      </c>
      <c r="G8" s="66" t="n">
        <f aca="false">SUMIF(B32:B172,"MG-4",L32:L172)</f>
        <v>0</v>
      </c>
      <c r="H8" s="70" t="e">
        <f aca="false">G8/C8</f>
        <v>#DIV/0!</v>
      </c>
      <c r="I8" s="66" t="n">
        <f aca="false">SUMIF(B32:B172,"MG-4",N32:N172)</f>
        <v>0</v>
      </c>
      <c r="J8" s="66"/>
      <c r="K8" s="70" t="n">
        <v>0</v>
      </c>
      <c r="L8" s="66" t="n">
        <f aca="false">SUMIF($B32:$B172,"MG-4",P32:P172)</f>
        <v>0</v>
      </c>
      <c r="M8" s="70" t="n">
        <v>0</v>
      </c>
      <c r="N8" s="125" t="n">
        <f aca="false">SUMIF($B32:$B172,"MG-4",R32:R172)</f>
        <v>0</v>
      </c>
      <c r="O8" s="125" t="n">
        <f aca="false">SUMIF($B32:$B172,"MG-4",S32:S172)</f>
        <v>0</v>
      </c>
      <c r="P8" s="72" t="e">
        <f aca="false">O8/F8</f>
        <v>#DIV/0!</v>
      </c>
      <c r="Q8" s="180" t="n">
        <f aca="false">SUMIF($B32:$B172,"MG-4",U32:U172)</f>
        <v>0</v>
      </c>
      <c r="R8" s="72" t="e">
        <f aca="false">Q8/C8</f>
        <v>#DIV/0!</v>
      </c>
      <c r="S8" s="223" t="n">
        <f aca="false">SUMIF($B32:$B172,"MG-4",W32:W172)</f>
        <v>0</v>
      </c>
      <c r="T8" s="180" t="n">
        <f aca="false">SUMIF($B32:$B172,"MG-4",X32:X172)</f>
        <v>0</v>
      </c>
      <c r="U8" s="67" t="e">
        <f aca="false">T8/S8</f>
        <v>#DIV/0!</v>
      </c>
      <c r="V8" s="125" t="n">
        <f aca="false">SUMIF($B32:$B172,"MG-4",Z32:Z172)</f>
        <v>0</v>
      </c>
      <c r="W8" s="125" t="n">
        <f aca="false">SUMIF($B32:$B172,"MG-4",AA32:AA172)</f>
        <v>0</v>
      </c>
      <c r="X8" s="73"/>
      <c r="Y8" s="181"/>
    </row>
    <row r="9" customFormat="false" ht="14.25" hidden="false" customHeight="false" outlineLevel="0" collapsed="false">
      <c r="A9" s="18" t="s">
        <v>10</v>
      </c>
      <c r="B9" s="177" t="n">
        <f aca="false">SUMIF(B32:B172,"Ruziziensis",F32:F172)</f>
        <v>81427743</v>
      </c>
      <c r="C9" s="220" t="n">
        <f aca="false">SUMIF(B32:B172,"Ruziziensis",H32:H172)</f>
        <v>7436104.3</v>
      </c>
      <c r="D9" s="221" t="n">
        <f aca="false">C9/B9</f>
        <v>0.0913215081989931</v>
      </c>
      <c r="E9" s="221"/>
      <c r="F9" s="222" t="n">
        <f aca="false">SUMIF(B32:B172,"Ruziziensis",K32:K172)</f>
        <v>81427743</v>
      </c>
      <c r="G9" s="66" t="n">
        <f aca="false">SUMIF(B32:B172,"Ruziziensis",L32:L172)</f>
        <v>0</v>
      </c>
      <c r="H9" s="70" t="n">
        <f aca="false">G9/C9</f>
        <v>0</v>
      </c>
      <c r="I9" s="66" t="n">
        <f aca="false">SUMIF(B32:B172,"Ruziziensis",N32:N172)</f>
        <v>0</v>
      </c>
      <c r="J9" s="66"/>
      <c r="K9" s="70" t="n">
        <f aca="false">I9/C9</f>
        <v>0</v>
      </c>
      <c r="L9" s="66" t="n">
        <f aca="false">SUMIF($B32:$B172,"Ruziziensis",P32:P172)</f>
        <v>0</v>
      </c>
      <c r="M9" s="70" t="n">
        <f aca="false">L9/C9</f>
        <v>0</v>
      </c>
      <c r="N9" s="125" t="n">
        <f aca="false">SUMIF($B32:$B172,"Ruziziensis",R32:R172)</f>
        <v>0</v>
      </c>
      <c r="O9" s="125" t="n">
        <f aca="false">SUMIF($B32:$B172,"Ruziziensis",S32:S172)</f>
        <v>0</v>
      </c>
      <c r="P9" s="72" t="n">
        <f aca="false">O9/F9</f>
        <v>0</v>
      </c>
      <c r="Q9" s="180" t="n">
        <f aca="false">SUMIF($B32:$B172,"Ruziziensis",U32:U172)</f>
        <v>0</v>
      </c>
      <c r="R9" s="72" t="n">
        <f aca="false">Q9/C9</f>
        <v>0</v>
      </c>
      <c r="S9" s="223" t="n">
        <f aca="false">SUMIF($B32:$B172,"Ruziziensis",W32:W172)</f>
        <v>81427743</v>
      </c>
      <c r="T9" s="180" t="n">
        <f aca="false">SUMIF($B32:$B172,"Ruziziensis",X32:X172)</f>
        <v>7436104.3</v>
      </c>
      <c r="U9" s="67" t="n">
        <f aca="false">T9/S9</f>
        <v>0.0913215081989931</v>
      </c>
      <c r="V9" s="125" t="n">
        <f aca="false">SUMIF($B32:$B172,"Ruziziensis",Z32:Z172)</f>
        <v>81427743</v>
      </c>
      <c r="W9" s="125" t="n">
        <f aca="false">SUMIF($B32:$B172,"Ruziziensis",AA32:AA172)</f>
        <v>0</v>
      </c>
      <c r="X9" s="73"/>
      <c r="Y9" s="181"/>
    </row>
    <row r="10" customFormat="false" ht="14.25" hidden="false" customHeight="false" outlineLevel="0" collapsed="false">
      <c r="A10" s="18" t="s">
        <v>11</v>
      </c>
      <c r="B10" s="177" t="n">
        <f aca="false">SUMIF(B32:B172,"Humidicola",F32:F172)</f>
        <v>844343.76</v>
      </c>
      <c r="C10" s="220" t="n">
        <f aca="false">SUMIF(B32:B172,"humidicola",H32:H172)</f>
        <v>1657890.48</v>
      </c>
      <c r="D10" s="221" t="n">
        <f aca="false">C10/B10</f>
        <v>1.96352547213708</v>
      </c>
      <c r="E10" s="221"/>
      <c r="F10" s="222" t="n">
        <f aca="false">SUMIF(B32:B178,"Humidicola",K32:K172)</f>
        <v>845306.306</v>
      </c>
      <c r="G10" s="66" t="n">
        <f aca="false">SUMIF(B32:B172,"humidicola",L32:L172)</f>
        <v>0</v>
      </c>
      <c r="H10" s="70" t="n">
        <f aca="false">G10/C10</f>
        <v>0</v>
      </c>
      <c r="I10" s="66" t="n">
        <f aca="false">SUMIF(B32:B172,"humidicola",N32:N172)</f>
        <v>0</v>
      </c>
      <c r="J10" s="66"/>
      <c r="K10" s="70" t="n">
        <f aca="false">I10/C10</f>
        <v>0</v>
      </c>
      <c r="L10" s="66" t="n">
        <f aca="false">SUMIF($B32:$B172,"Humidicola",P32:P172)</f>
        <v>0</v>
      </c>
      <c r="M10" s="70" t="n">
        <f aca="false">L10/C10</f>
        <v>0</v>
      </c>
      <c r="N10" s="125" t="n">
        <f aca="false">SUMIF($B32:$B172,"Humidicola",R32:R172)</f>
        <v>963</v>
      </c>
      <c r="O10" s="125" t="n">
        <f aca="false">SUMIF($B32:$B172,"Humidicola",S32:S172)</f>
        <v>0</v>
      </c>
      <c r="P10" s="72" t="n">
        <f aca="false">O10/F10</f>
        <v>0</v>
      </c>
      <c r="Q10" s="180" t="n">
        <f aca="false">SUMIF($B32:$B172,"Humidicola",U32:U172)</f>
        <v>0</v>
      </c>
      <c r="R10" s="72" t="n">
        <f aca="false">Q10/C10</f>
        <v>0</v>
      </c>
      <c r="S10" s="223" t="n">
        <f aca="false">SUMIF($B32:$B172,"Humidicola",W32:W172)</f>
        <v>845306.76</v>
      </c>
      <c r="T10" s="180" t="n">
        <f aca="false">SUMIF($B32:$B172,"Humidicola",X32:X172)</f>
        <v>1657890.48</v>
      </c>
      <c r="U10" s="67" t="n">
        <f aca="false">T10/S10</f>
        <v>1.96128856227294</v>
      </c>
      <c r="V10" s="125" t="n">
        <f aca="false">SUMIF($B32:$B172,"Humidicola",Z32:Z172)</f>
        <v>845306.306</v>
      </c>
      <c r="W10" s="125" t="n">
        <f aca="false">SUMIF($B32:$B172,"Humidicola",AA32:AA172)</f>
        <v>0.454000000070664</v>
      </c>
      <c r="X10" s="73"/>
      <c r="Y10" s="181"/>
    </row>
    <row r="11" customFormat="false" ht="14.25" hidden="false" customHeight="false" outlineLevel="0" collapsed="false">
      <c r="A11" s="18" t="s">
        <v>12</v>
      </c>
      <c r="B11" s="177" t="n">
        <f aca="false">SUMIF(B32:B172,"Llanero",F32:F172)</f>
        <v>384600</v>
      </c>
      <c r="C11" s="220" t="n">
        <f aca="false">SUMIF(B32:B172,"Llanero",H32:H172)</f>
        <v>878758.24</v>
      </c>
      <c r="D11" s="221" t="n">
        <f aca="false">C11/B11</f>
        <v>2.28486281851274</v>
      </c>
      <c r="E11" s="221"/>
      <c r="F11" s="222" t="n">
        <f aca="false">SUMIF(B32:B172,"Llanero",K32:K172)</f>
        <v>384600</v>
      </c>
      <c r="G11" s="66" t="n">
        <f aca="false">SUMIF(B32:B172,"Llanero",L32:L172)</f>
        <v>0</v>
      </c>
      <c r="H11" s="70" t="n">
        <f aca="false">G11/C11</f>
        <v>0</v>
      </c>
      <c r="I11" s="66" t="n">
        <f aca="false">SUMIF(B32:B172,"Llanero",N32:N172)</f>
        <v>0</v>
      </c>
      <c r="J11" s="66"/>
      <c r="K11" s="70" t="n">
        <f aca="false">I11/C11</f>
        <v>0</v>
      </c>
      <c r="L11" s="66" t="n">
        <f aca="false">SUMIF($B32:$B172,"Llanero",P32:P172)</f>
        <v>0</v>
      </c>
      <c r="M11" s="70" t="n">
        <f aca="false">L11/C11</f>
        <v>0</v>
      </c>
      <c r="N11" s="125" t="n">
        <f aca="false">SUMIF($B32:$B172,"Llanero",R32:R172)</f>
        <v>0</v>
      </c>
      <c r="O11" s="125" t="n">
        <f aca="false">SUMIF($B32:$B172,"Llanero",S32:S172)</f>
        <v>0</v>
      </c>
      <c r="P11" s="72" t="n">
        <f aca="false">O11/F11</f>
        <v>0</v>
      </c>
      <c r="Q11" s="180" t="n">
        <f aca="false">SUMIF($B32:$B172,"Llanero",U32:U172)</f>
        <v>0</v>
      </c>
      <c r="R11" s="72" t="n">
        <f aca="false">Q11/C11</f>
        <v>0</v>
      </c>
      <c r="S11" s="223" t="n">
        <f aca="false">SUMIF($B32:$B172,"Llanero",W32:W172)</f>
        <v>384600</v>
      </c>
      <c r="T11" s="180" t="n">
        <f aca="false">SUMIF($B32:$B172,"Llanero",X32:X172)</f>
        <v>878758.24</v>
      </c>
      <c r="U11" s="67" t="n">
        <f aca="false">T11/S11</f>
        <v>2.28486281851274</v>
      </c>
      <c r="V11" s="125" t="n">
        <f aca="false">SUMIF($B32:$B172,"Llanero",Z32:Z172)</f>
        <v>384600</v>
      </c>
      <c r="W11" s="125" t="n">
        <f aca="false">SUMIF($B32:$B172,"Llanero",AA32:AA172)</f>
        <v>0</v>
      </c>
      <c r="X11" s="73"/>
      <c r="Y11" s="181"/>
    </row>
    <row r="12" customFormat="false" ht="14.25" hidden="false" customHeight="false" outlineLevel="0" collapsed="false">
      <c r="A12" s="18" t="s">
        <v>13</v>
      </c>
      <c r="B12" s="177" t="n">
        <f aca="false">SUMIF(B32:B172,"Mombaça",F32:F172)</f>
        <v>14646502</v>
      </c>
      <c r="C12" s="220" t="n">
        <f aca="false">SUMIF(B32:B172,"Mombaça",H32:H172)</f>
        <v>3022318.82</v>
      </c>
      <c r="D12" s="221" t="n">
        <f aca="false">C12/B12</f>
        <v>0.206350896616817</v>
      </c>
      <c r="E12" s="221"/>
      <c r="F12" s="222" t="n">
        <f aca="false">SUMIF(B32:B172,"Mombaça",K32:K172)</f>
        <v>14483843</v>
      </c>
      <c r="G12" s="66" t="n">
        <f aca="false">SUMIF(B32:B172,"Mombaça",L32:L172)</f>
        <v>4247.735</v>
      </c>
      <c r="H12" s="70" t="n">
        <f aca="false">G12/C12</f>
        <v>0.00140545562959503</v>
      </c>
      <c r="I12" s="66" t="n">
        <f aca="false">SUMIF(B32:B172,"Mombaça",N32:N172)</f>
        <v>0</v>
      </c>
      <c r="J12" s="66"/>
      <c r="K12" s="70" t="n">
        <f aca="false">I12/C12</f>
        <v>0</v>
      </c>
      <c r="L12" s="66" t="n">
        <f aca="false">SUMIF($B32:$B172,"Mombaça",P32:P172)</f>
        <v>4757.46</v>
      </c>
      <c r="M12" s="70" t="n">
        <f aca="false">L12/C12</f>
        <v>0.00157410924635674</v>
      </c>
      <c r="N12" s="125" t="n">
        <f aca="false">SUMIF($B32:$B172,"Mombaça",R32:R172)</f>
        <v>-162659.5</v>
      </c>
      <c r="O12" s="125" t="n">
        <f aca="false">SUMIF($B32:$B172,"Mombaça",S32:S172)</f>
        <v>0</v>
      </c>
      <c r="P12" s="72" t="n">
        <f aca="false">O12/F12</f>
        <v>0</v>
      </c>
      <c r="Q12" s="180" t="n">
        <f aca="false">SUMIF($B32:$B172,"Mombaça",U32:U172)</f>
        <v>0</v>
      </c>
      <c r="R12" s="72" t="n">
        <f aca="false">Q12/C12</f>
        <v>0</v>
      </c>
      <c r="S12" s="223" t="n">
        <f aca="false">SUMIF($B32:$B172,"Mombaça",W32:W172)</f>
        <v>14483842.5</v>
      </c>
      <c r="T12" s="180" t="n">
        <f aca="false">SUMIF($B32:$B172,"Mombaça",X32:X172)</f>
        <v>3031324.015</v>
      </c>
      <c r="U12" s="67" t="n">
        <f aca="false">T12/S12</f>
        <v>0.209290042680318</v>
      </c>
      <c r="V12" s="125" t="n">
        <f aca="false">SUMIF($B32:$B172,"Mombaça",Z32:Z172)</f>
        <v>14483843</v>
      </c>
      <c r="W12" s="125" t="n">
        <f aca="false">SUMIF($B32:$B172,"Mombaça",AA32:AA172)</f>
        <v>-0.500000000043656</v>
      </c>
      <c r="X12" s="73"/>
      <c r="Y12" s="181"/>
    </row>
    <row r="13" customFormat="false" ht="14.25" hidden="false" customHeight="false" outlineLevel="0" collapsed="false">
      <c r="A13" s="18" t="s">
        <v>14</v>
      </c>
      <c r="B13" s="177" t="n">
        <f aca="false">SUMIF(B32:B172,"Tanzania",F32:F172)</f>
        <v>0</v>
      </c>
      <c r="C13" s="220" t="n">
        <f aca="false">SUMIF(B32:B172,"Tanzania",H32:H172)</f>
        <v>0</v>
      </c>
      <c r="D13" s="221" t="e">
        <f aca="false">C13/B13</f>
        <v>#DIV/0!</v>
      </c>
      <c r="E13" s="221"/>
      <c r="F13" s="222" t="n">
        <f aca="false">SUMIF(B32:B172,"Tanzania",K32:K172)</f>
        <v>0</v>
      </c>
      <c r="G13" s="66" t="n">
        <f aca="false">SUMIF(B32:B172,"Tanzania",L32:L172)</f>
        <v>0</v>
      </c>
      <c r="H13" s="70" t="e">
        <f aca="false">G13/C13</f>
        <v>#DIV/0!</v>
      </c>
      <c r="I13" s="66" t="n">
        <f aca="false">SUMIF(B32:B172,"Tanzania",N32:N172)</f>
        <v>0</v>
      </c>
      <c r="J13" s="66"/>
      <c r="K13" s="70" t="e">
        <f aca="false">I13/C13</f>
        <v>#DIV/0!</v>
      </c>
      <c r="L13" s="66" t="n">
        <f aca="false">SUMIF($B32:$B172,"Tanzania",P32:P172)</f>
        <v>0</v>
      </c>
      <c r="M13" s="70" t="e">
        <f aca="false">L13/C13</f>
        <v>#DIV/0!</v>
      </c>
      <c r="N13" s="125" t="n">
        <f aca="false">SUMIF($B32:$B172,"Tanzania",R32:R172)</f>
        <v>0</v>
      </c>
      <c r="O13" s="125" t="n">
        <f aca="false">SUMIF($B32:$B172,"Tanzania",S32:S172)</f>
        <v>0</v>
      </c>
      <c r="P13" s="72" t="e">
        <f aca="false">O13/F13</f>
        <v>#DIV/0!</v>
      </c>
      <c r="Q13" s="180" t="n">
        <f aca="false">SUMIF($B32:$B172,"Tanzania",U32:U172)</f>
        <v>0</v>
      </c>
      <c r="R13" s="72" t="e">
        <f aca="false">Q13/C13</f>
        <v>#DIV/0!</v>
      </c>
      <c r="S13" s="223" t="n">
        <f aca="false">SUMIF($B32:$B172,"Tanzania",W32:W172)</f>
        <v>0</v>
      </c>
      <c r="T13" s="180" t="n">
        <f aca="false">SUMIF($B32:$B172,"Tanzania",X32:X172)</f>
        <v>0</v>
      </c>
      <c r="U13" s="67" t="e">
        <f aca="false">T13/S13</f>
        <v>#DIV/0!</v>
      </c>
      <c r="V13" s="125" t="n">
        <f aca="false">SUMIF($B32:$B172,"Tanzania",Z32:Z172)</f>
        <v>0</v>
      </c>
      <c r="W13" s="125" t="n">
        <f aca="false">SUMIF($B32:$B172,"Tanzania",AA32:AA172)</f>
        <v>0</v>
      </c>
      <c r="X13" s="73"/>
      <c r="Y13" s="181"/>
    </row>
    <row r="14" customFormat="false" ht="14.25" hidden="false" customHeight="false" outlineLevel="0" collapsed="false">
      <c r="A14" s="18" t="s">
        <v>15</v>
      </c>
      <c r="B14" s="177" t="n">
        <f aca="false">SUMIF(B32:B172,"Massai",F32:F172)</f>
        <v>5816385</v>
      </c>
      <c r="C14" s="220" t="n">
        <f aca="false">SUMIF(B32:B172,"Massai",H32:H172)</f>
        <v>1785738.1</v>
      </c>
      <c r="D14" s="221" t="n">
        <f aca="false">C14/B14</f>
        <v>0.307018551901224</v>
      </c>
      <c r="E14" s="221"/>
      <c r="F14" s="222" t="n">
        <f aca="false">SUMIF(B32:B172,"Massai",K32:K172)</f>
        <v>5952144.8</v>
      </c>
      <c r="G14" s="66" t="n">
        <f aca="false">SUMIF(B32:B172,"Massai",L32:L172)</f>
        <v>3242.05</v>
      </c>
      <c r="H14" s="70" t="n">
        <f aca="false">G14/C14</f>
        <v>0.00181552378817476</v>
      </c>
      <c r="I14" s="66" t="n">
        <f aca="false">SUMIF(B32:B172,"Massai",N32:N172)</f>
        <v>0</v>
      </c>
      <c r="J14" s="66"/>
      <c r="K14" s="70" t="n">
        <f aca="false">I14/C14</f>
        <v>0</v>
      </c>
      <c r="L14" s="66" t="n">
        <f aca="false">SUMIF($B32:$B172,"Massai",P32:P172)</f>
        <v>3631.09</v>
      </c>
      <c r="M14" s="70" t="n">
        <f aca="false">L14/C14</f>
        <v>0.00203338328280054</v>
      </c>
      <c r="N14" s="125" t="n">
        <f aca="false">SUMIF($B32:$B172,"Massai",R32:R172)</f>
        <v>135759.8</v>
      </c>
      <c r="O14" s="125" t="n">
        <f aca="false">SUMIF($B32:$B172,"Massai",S32:S172)</f>
        <v>0</v>
      </c>
      <c r="P14" s="72" t="n">
        <f aca="false">O14/F14</f>
        <v>0</v>
      </c>
      <c r="Q14" s="180" t="n">
        <f aca="false">SUMIF($B32:$B172,"Massai",U32:U172)</f>
        <v>0</v>
      </c>
      <c r="R14" s="72" t="n">
        <f aca="false">Q14/C14</f>
        <v>0</v>
      </c>
      <c r="S14" s="223" t="n">
        <f aca="false">SUMIF($B32:$B172,"Massai",W32:W172)</f>
        <v>5952144.8</v>
      </c>
      <c r="T14" s="180" t="n">
        <f aca="false">SUMIF($B32:$B172,"Massai",X32:X172)</f>
        <v>1792611.24</v>
      </c>
      <c r="U14" s="67" t="n">
        <f aca="false">T14/S14</f>
        <v>0.301170636843378</v>
      </c>
      <c r="V14" s="125" t="n">
        <f aca="false">SUMIF($B32:$B172,"Massai",Z32:Z172)</f>
        <v>5952144.8</v>
      </c>
      <c r="W14" s="125" t="n">
        <f aca="false">SUMIF($B32:$B172,"Massai",AA32:AA172)</f>
        <v>0</v>
      </c>
      <c r="X14" s="73"/>
      <c r="Y14" s="181"/>
    </row>
    <row r="15" customFormat="false" ht="14.25" hidden="false" customHeight="false" outlineLevel="0" collapsed="false">
      <c r="A15" s="18" t="s">
        <v>16</v>
      </c>
      <c r="B15" s="177" t="n">
        <f aca="false">SUMIF(B32:B172,"Aruana",F32:F172)</f>
        <v>701127.4</v>
      </c>
      <c r="C15" s="220" t="n">
        <f aca="false">SUMIF(B32:B172,"Aruana",H32:H172)</f>
        <v>298278.35</v>
      </c>
      <c r="D15" s="221" t="n">
        <f aca="false">C15/B15</f>
        <v>0.425426748405497</v>
      </c>
      <c r="E15" s="221"/>
      <c r="F15" s="225" t="n">
        <f aca="false">SUMIF(B32:B172,"Aruana",K32:K172)</f>
        <v>701127.4</v>
      </c>
      <c r="G15" s="66" t="n">
        <f aca="false">SUMIF(B32:B172,"Aruana",L32:L172)</f>
        <v>0</v>
      </c>
      <c r="H15" s="70" t="n">
        <f aca="false">G15/C15</f>
        <v>0</v>
      </c>
      <c r="I15" s="66" t="n">
        <f aca="false">SUMIF(B32:B172,"Aruana",N32:N172)</f>
        <v>2240</v>
      </c>
      <c r="J15" s="66"/>
      <c r="K15" s="70" t="n">
        <v>0</v>
      </c>
      <c r="L15" s="66" t="n">
        <f aca="false">SUMIF($B32:$B172,"Aruana",P32:P172)</f>
        <v>2159.13</v>
      </c>
      <c r="M15" s="70" t="n">
        <v>0</v>
      </c>
      <c r="N15" s="125" t="n">
        <f aca="false">SUMIF($B32:$B172,"Aruana",R32:R172)</f>
        <v>0</v>
      </c>
      <c r="O15" s="125" t="n">
        <f aca="false">SUMIF($B32:$B172,"Aruana",S32:S172)</f>
        <v>0</v>
      </c>
      <c r="P15" s="72" t="n">
        <f aca="false">O15/F15</f>
        <v>0</v>
      </c>
      <c r="Q15" s="180" t="n">
        <f aca="false">SUMIF($B32:$B172,"Aruana",U32:U172)</f>
        <v>0</v>
      </c>
      <c r="R15" s="72" t="n">
        <f aca="false">Q15/C15</f>
        <v>0</v>
      </c>
      <c r="S15" s="223" t="n">
        <f aca="false">SUMIF($B32:$B172,"Aruana",W32:W172)</f>
        <v>701127.4</v>
      </c>
      <c r="T15" s="180" t="n">
        <f aca="false">SUMIF($B32:$B172,"Aruana",X32:X172)</f>
        <v>302677.48</v>
      </c>
      <c r="U15" s="67" t="n">
        <f aca="false">T15/S15</f>
        <v>0.431701114519273</v>
      </c>
      <c r="V15" s="125" t="n">
        <f aca="false">SUMIF($B32:$B172,"Aruana",Z32:Z172)</f>
        <v>701127.4</v>
      </c>
      <c r="W15" s="125" t="n">
        <f aca="false">SUMIF($B32:$B172,"Aruana",AA32:AA172)</f>
        <v>0</v>
      </c>
      <c r="X15" s="73"/>
      <c r="Y15" s="181"/>
    </row>
    <row r="16" customFormat="false" ht="14.25" hidden="false" customHeight="false" outlineLevel="0" collapsed="false">
      <c r="A16" s="18" t="s">
        <v>17</v>
      </c>
      <c r="B16" s="177" t="n">
        <f aca="false">SUMIF(B32:B172,"Zuri",F32:F172)</f>
        <v>4846635.2</v>
      </c>
      <c r="C16" s="220" t="n">
        <f aca="false">SUMIF(B32:B172,"Zuri",H32:H172)</f>
        <v>954965.44</v>
      </c>
      <c r="D16" s="221" t="n">
        <f aca="false">C16/B16</f>
        <v>0.197036789564851</v>
      </c>
      <c r="E16" s="221"/>
      <c r="F16" s="222" t="n">
        <f aca="false">SUMIF(B32:B172,"Zuri",K32:K172)</f>
        <v>4846635.2</v>
      </c>
      <c r="G16" s="66" t="n">
        <f aca="false">SUMIF(B32:B172,"Zuri",L32:L172)</f>
        <v>0</v>
      </c>
      <c r="H16" s="70" t="n">
        <f aca="false">G16/C16</f>
        <v>0</v>
      </c>
      <c r="I16" s="66" t="n">
        <f aca="false">SUMIF(B32:B172,"Zuri",N32:N172)</f>
        <v>0</v>
      </c>
      <c r="J16" s="66"/>
      <c r="K16" s="70" t="n">
        <f aca="false">I16/C16</f>
        <v>0</v>
      </c>
      <c r="L16" s="66" t="n">
        <f aca="false">SUMIF($B32:$B172,"Zuri",P32:P172)</f>
        <v>0</v>
      </c>
      <c r="M16" s="70" t="n">
        <f aca="false">L16/C16</f>
        <v>0</v>
      </c>
      <c r="N16" s="125" t="n">
        <f aca="false">SUMIF($B32:$B172,"Zuri",R32:R172)</f>
        <v>0</v>
      </c>
      <c r="O16" s="125" t="n">
        <f aca="false">SUMIF($B32:$B172,"Zuri",S32:S172)</f>
        <v>0</v>
      </c>
      <c r="P16" s="72" t="n">
        <f aca="false">O16/F16</f>
        <v>0</v>
      </c>
      <c r="Q16" s="180" t="n">
        <f aca="false">SUMIF($B32:$B172,"Zuri",U32:U172)</f>
        <v>0</v>
      </c>
      <c r="R16" s="72" t="n">
        <f aca="false">Q16/C16</f>
        <v>0</v>
      </c>
      <c r="S16" s="223" t="n">
        <f aca="false">SUMIF($B32:$B172,"Zuri",W32:W172)</f>
        <v>4846635.2</v>
      </c>
      <c r="T16" s="180" t="n">
        <f aca="false">SUMIF($B32:$B172,"Zuri",X32:X172)</f>
        <v>954965.44</v>
      </c>
      <c r="U16" s="67" t="n">
        <f aca="false">T16/S16</f>
        <v>0.197036789564851</v>
      </c>
      <c r="V16" s="125" t="n">
        <f aca="false">SUMIF($B32:$B172,"Zuri",Z32:Z172)</f>
        <v>4846635.2</v>
      </c>
      <c r="W16" s="125" t="n">
        <f aca="false">SUMIF($B32:$B172,"Zuri",AA32:AA172)</f>
        <v>0</v>
      </c>
      <c r="X16" s="73"/>
      <c r="Y16" s="181"/>
    </row>
    <row r="17" customFormat="false" ht="14.25" hidden="false" customHeight="false" outlineLevel="0" collapsed="false">
      <c r="A17" s="18" t="s">
        <v>18</v>
      </c>
      <c r="B17" s="177" t="n">
        <f aca="false">SUMIF(B32:B172,"Paiaguas",F32:F172)</f>
        <v>2063772</v>
      </c>
      <c r="C17" s="220" t="n">
        <f aca="false">SUMIF(B32:B172,"Paiaguas",H32:H172)</f>
        <v>700000</v>
      </c>
      <c r="D17" s="221" t="n">
        <f aca="false">C17/B17</f>
        <v>0.339184754905096</v>
      </c>
      <c r="E17" s="221"/>
      <c r="F17" s="222" t="n">
        <f aca="false">SUMIF(B32:B172,"Paiaguas",K32:K172)</f>
        <v>2063772</v>
      </c>
      <c r="G17" s="66" t="n">
        <f aca="false">SUMIF(B32:B172,"Paiaguas",L32:L172)</f>
        <v>0</v>
      </c>
      <c r="H17" s="70" t="n">
        <f aca="false">G17/C17</f>
        <v>0</v>
      </c>
      <c r="I17" s="66" t="n">
        <f aca="false">SUMIF(B32:B172,"Piaguas",N32:N172)</f>
        <v>0</v>
      </c>
      <c r="J17" s="66"/>
      <c r="K17" s="70" t="n">
        <v>0</v>
      </c>
      <c r="L17" s="66" t="n">
        <f aca="false">SUMIF($B32:$B172,"Paiaguas",P32:P172)</f>
        <v>0</v>
      </c>
      <c r="M17" s="70" t="n">
        <v>0</v>
      </c>
      <c r="N17" s="125" t="n">
        <f aca="false">SUMIF($B32:$B172,"Paiaguas",R32:R172)</f>
        <v>0</v>
      </c>
      <c r="O17" s="125" t="n">
        <f aca="false">SUMIF($B32:$B172,"Paiaguas",S32:S172)</f>
        <v>0</v>
      </c>
      <c r="P17" s="72" t="n">
        <f aca="false">O17/F17</f>
        <v>0</v>
      </c>
      <c r="Q17" s="180" t="n">
        <f aca="false">SUMIF($B32:$B172,"Paiaguas",U32:U172)</f>
        <v>0</v>
      </c>
      <c r="R17" s="72" t="n">
        <f aca="false">Q17/C17</f>
        <v>0</v>
      </c>
      <c r="S17" s="223" t="n">
        <f aca="false">SUMIF($B32:$B172,"Paiaguas",W32:W172)</f>
        <v>2063772</v>
      </c>
      <c r="T17" s="180" t="n">
        <f aca="false">SUMIF($B32:$B172,"Paiaguas",X32:X172)</f>
        <v>700000</v>
      </c>
      <c r="U17" s="67" t="n">
        <f aca="false">T17/S17</f>
        <v>0.339184754905096</v>
      </c>
      <c r="V17" s="125" t="n">
        <f aca="false">SUMIF($B32:$B172,"Paiaguas",Z32:Z172)</f>
        <v>2063772</v>
      </c>
      <c r="W17" s="125" t="n">
        <f aca="false">SUMIF($B32:$B172,"Paiaguas",AA32:AA172)</f>
        <v>0</v>
      </c>
      <c r="X17" s="73"/>
      <c r="Y17" s="181"/>
    </row>
    <row r="18" customFormat="false" ht="14.25" hidden="false" customHeight="false" outlineLevel="0" collapsed="false">
      <c r="A18" s="18" t="s">
        <v>19</v>
      </c>
      <c r="B18" s="177" t="n">
        <f aca="false">SUMIF(B32:B172,"Tamani",F32:F172)</f>
        <v>1673479.2</v>
      </c>
      <c r="C18" s="220" t="n">
        <f aca="false">SUMIF(B32:B172,"Tamani",H32:H172)</f>
        <v>602452.51</v>
      </c>
      <c r="D18" s="221" t="n">
        <f aca="false">C18/B18</f>
        <v>0.359999998804885</v>
      </c>
      <c r="E18" s="221"/>
      <c r="F18" s="222" t="n">
        <f aca="false">SUMIF(B32:B172,"Tamani",K32:K172)</f>
        <v>1673479.2</v>
      </c>
      <c r="G18" s="66" t="n">
        <f aca="false">SUMIF(B32:B172,"Tamani",L32:L172)</f>
        <v>0</v>
      </c>
      <c r="H18" s="70" t="n">
        <f aca="false">G18/C18</f>
        <v>0</v>
      </c>
      <c r="I18" s="66" t="n">
        <f aca="false">SUMIF(B32:B172,"Tamani",N32:N172)</f>
        <v>0</v>
      </c>
      <c r="J18" s="66"/>
      <c r="K18" s="70" t="n">
        <f aca="false">I18/C18</f>
        <v>0</v>
      </c>
      <c r="L18" s="66" t="n">
        <f aca="false">SUMIF($B32:$B172,"Tamani",P32:P172)</f>
        <v>29509.92</v>
      </c>
      <c r="M18" s="70" t="n">
        <f aca="false">L18/C18</f>
        <v>0.0489829812477667</v>
      </c>
      <c r="N18" s="125" t="n">
        <f aca="false">SUMIF($B32:$B172,"Tamani",R32:R172)</f>
        <v>0</v>
      </c>
      <c r="O18" s="125" t="n">
        <f aca="false">SUMIF($B32:$B172,"Tamani",S32:S172)</f>
        <v>0</v>
      </c>
      <c r="P18" s="72" t="n">
        <f aca="false">O18/F18</f>
        <v>0</v>
      </c>
      <c r="Q18" s="180" t="n">
        <f aca="false">SUMIF($B32:$B172,"Tamani",U32:U172)</f>
        <v>0</v>
      </c>
      <c r="R18" s="72" t="n">
        <f aca="false">Q18/C18</f>
        <v>0</v>
      </c>
      <c r="S18" s="223" t="n">
        <f aca="false">SUMIF($B32:$B172,"Tamani",W32:W172)</f>
        <v>1673479.2</v>
      </c>
      <c r="T18" s="180" t="n">
        <f aca="false">SUMIF($B32:$B172,"Tamani",X32:X172)</f>
        <v>631962.43</v>
      </c>
      <c r="U18" s="67" t="n">
        <f aca="false">T18/S18</f>
        <v>0.377633871995541</v>
      </c>
      <c r="V18" s="125" t="n">
        <f aca="false">SUMIF($B32:$B172,"Tamani",Z32:Z172)</f>
        <v>1673479.2</v>
      </c>
      <c r="W18" s="125" t="n">
        <f aca="false">SUMIF($B32:$B172,"Tamani",AA32:AA172)</f>
        <v>0</v>
      </c>
      <c r="X18" s="73"/>
      <c r="Y18" s="181"/>
    </row>
    <row r="19" customFormat="false" ht="14.25" hidden="false" customHeight="false" outlineLevel="0" collapsed="false">
      <c r="A19" s="18" t="s">
        <v>20</v>
      </c>
      <c r="B19" s="177" t="n">
        <f aca="false">SUMIF(B32:B172,"Integra",F32:F172)</f>
        <v>0</v>
      </c>
      <c r="C19" s="220" t="n">
        <f aca="false">SUMIF(B32:B172,"Integra",H32:H172)</f>
        <v>0</v>
      </c>
      <c r="D19" s="221" t="e">
        <f aca="false">C19/B19</f>
        <v>#DIV/0!</v>
      </c>
      <c r="E19" s="221"/>
      <c r="F19" s="222" t="n">
        <f aca="false">SUMIF(B32:B172,"Integra",K32:K172)</f>
        <v>0</v>
      </c>
      <c r="G19" s="66" t="n">
        <f aca="false">SUMIF(B32:B172,"Integra",L32:L172)</f>
        <v>0</v>
      </c>
      <c r="H19" s="70" t="e">
        <f aca="false">G19/C19</f>
        <v>#DIV/0!</v>
      </c>
      <c r="I19" s="66" t="n">
        <f aca="false">SUMIF(B32:B172,"Integra",N32:N172)</f>
        <v>0</v>
      </c>
      <c r="J19" s="66"/>
      <c r="K19" s="70" t="e">
        <f aca="false">I19/C19</f>
        <v>#DIV/0!</v>
      </c>
      <c r="L19" s="66" t="n">
        <f aca="false">SUMIF($B32:$B172,"Integra",P32:P172)</f>
        <v>0</v>
      </c>
      <c r="M19" s="70" t="e">
        <f aca="false">L19/C19</f>
        <v>#DIV/0!</v>
      </c>
      <c r="N19" s="125" t="n">
        <f aca="false">SUMIF($B32:$B172,"Integra",R32:R172)</f>
        <v>0</v>
      </c>
      <c r="O19" s="125" t="n">
        <f aca="false">SUMIF($B32:$B172,"Integra",S32:S172)</f>
        <v>0</v>
      </c>
      <c r="P19" s="72" t="e">
        <f aca="false">O19/F19</f>
        <v>#DIV/0!</v>
      </c>
      <c r="Q19" s="180" t="n">
        <f aca="false">SUMIF($B32:$B172,"Integra",U32:U172)</f>
        <v>0</v>
      </c>
      <c r="R19" s="72" t="e">
        <f aca="false">Q19/C19</f>
        <v>#DIV/0!</v>
      </c>
      <c r="S19" s="223" t="n">
        <f aca="false">SUMIF($B32:$B172,"Integra",W32:W172)</f>
        <v>0</v>
      </c>
      <c r="T19" s="180" t="n">
        <f aca="false">SUMIF($B32:$B172,"Integra",X32:X172)</f>
        <v>0</v>
      </c>
      <c r="U19" s="67" t="e">
        <f aca="false">T19/S19</f>
        <v>#DIV/0!</v>
      </c>
      <c r="V19" s="125" t="n">
        <f aca="false">SUMIF($B32:$B172,"Integra",Z32:Z172)</f>
        <v>0</v>
      </c>
      <c r="W19" s="125" t="n">
        <f aca="false">SUMIF($B32:$B172,"Integra",AA32:AA172)</f>
        <v>0</v>
      </c>
      <c r="X19" s="73"/>
      <c r="Y19" s="181"/>
    </row>
    <row r="20" customFormat="false" ht="14.25" hidden="false" customHeight="false" outlineLevel="0" collapsed="false">
      <c r="A20" s="18" t="s">
        <v>22</v>
      </c>
      <c r="B20" s="177" t="n">
        <f aca="false">SUMIF(B32:B172,"Quenia",F32:F172)</f>
        <v>458408</v>
      </c>
      <c r="C20" s="220" t="n">
        <f aca="false">SUMIF(B32:B172,"Quenia",H32:H172)</f>
        <v>347759</v>
      </c>
      <c r="D20" s="221" t="n">
        <f aca="false">C20/B20</f>
        <v>0.758623322455105</v>
      </c>
      <c r="E20" s="221"/>
      <c r="F20" s="222" t="n">
        <f aca="false">SUMIF(B32:B172,"Quenia",K32:K172)</f>
        <v>458408</v>
      </c>
      <c r="G20" s="66" t="n">
        <f aca="false">SUMIF(B32:B172,"Quenia",L32:L172)</f>
        <v>0</v>
      </c>
      <c r="H20" s="70" t="n">
        <f aca="false">G20/C20</f>
        <v>0</v>
      </c>
      <c r="I20" s="66" t="n">
        <f aca="false">SUMIF(B32:B172,"Quenia",N32:N172)</f>
        <v>0</v>
      </c>
      <c r="J20" s="66"/>
      <c r="K20" s="70" t="n">
        <f aca="false">I20/C20</f>
        <v>0</v>
      </c>
      <c r="L20" s="66" t="n">
        <f aca="false">SUMIF($B32:$B172,"Quenia",P32:P172)</f>
        <v>0</v>
      </c>
      <c r="M20" s="70" t="n">
        <f aca="false">L20/C20</f>
        <v>0</v>
      </c>
      <c r="N20" s="125" t="n">
        <f aca="false">SUMIF($B32:$B172,"Quenia",R32:R172)</f>
        <v>0</v>
      </c>
      <c r="O20" s="125" t="n">
        <f aca="false">SUMIF($B32:$B172,"Quenia",S32:S172)</f>
        <v>0</v>
      </c>
      <c r="P20" s="72" t="n">
        <f aca="false">O20/F20</f>
        <v>0</v>
      </c>
      <c r="Q20" s="180" t="n">
        <f aca="false">SUMIF($B32:$B172,"Quenia",U32:U172)</f>
        <v>0</v>
      </c>
      <c r="R20" s="72" t="n">
        <f aca="false">Q20/C20</f>
        <v>0</v>
      </c>
      <c r="S20" s="223" t="n">
        <f aca="false">SUMIF($B32:$B172,"Quenia",W32:W172)</f>
        <v>458408</v>
      </c>
      <c r="T20" s="180" t="n">
        <f aca="false">SUMIF($B32:$B172,"Quenia",X32:X172)</f>
        <v>347759</v>
      </c>
      <c r="U20" s="67" t="n">
        <f aca="false">T20/S20</f>
        <v>0.758623322455105</v>
      </c>
      <c r="V20" s="125" t="n">
        <f aca="false">SUMIF($B32:$B172,"Quenia",Z32:Z172)</f>
        <v>458407.9</v>
      </c>
      <c r="W20" s="125" t="n">
        <f aca="false">SUMIF($B32:$B172,"Quenia",AA32:AA172)</f>
        <v>0.100000000034925</v>
      </c>
      <c r="X20" s="73"/>
      <c r="Y20" s="181"/>
    </row>
    <row r="21" customFormat="false" ht="14.25" hidden="false" customHeight="false" outlineLevel="0" collapsed="false">
      <c r="A21" s="18" t="s">
        <v>172</v>
      </c>
      <c r="B21" s="177" t="n">
        <f aca="false">SUMIF(B32:B172,"Sorgo",F32:F172)</f>
        <v>4000</v>
      </c>
      <c r="C21" s="220" t="n">
        <f aca="false">SUMIF(B32:B172,"Sorgo",H32:H172)</f>
        <v>44000</v>
      </c>
      <c r="D21" s="221" t="n">
        <f aca="false">C21/B21</f>
        <v>11</v>
      </c>
      <c r="E21" s="221"/>
      <c r="F21" s="222" t="n">
        <f aca="false">SUMIF(B32:B172,"Sorgo",K32:K172)</f>
        <v>4000</v>
      </c>
      <c r="G21" s="66" t="n">
        <f aca="false">SUMIF(B32:B172,"Sorgo",L32:L172)</f>
        <v>0</v>
      </c>
      <c r="H21" s="70" t="n">
        <f aca="false">G21/C21</f>
        <v>0</v>
      </c>
      <c r="I21" s="66" t="n">
        <f aca="false">SUMIF(B32:B172,"Sorgo",N32:N172)</f>
        <v>0</v>
      </c>
      <c r="J21" s="66"/>
      <c r="K21" s="70" t="n">
        <f aca="false">I21/C21</f>
        <v>0</v>
      </c>
      <c r="L21" s="66" t="n">
        <f aca="false">SUMIF($B32:$B172,"Sorgo",P32:P172)</f>
        <v>0</v>
      </c>
      <c r="M21" s="70" t="n">
        <f aca="false">L21/C21</f>
        <v>0</v>
      </c>
      <c r="N21" s="125" t="n">
        <f aca="false">SUMIF($B32:$B172,"Sorgo",R32:R172)</f>
        <v>0</v>
      </c>
      <c r="O21" s="125" t="n">
        <f aca="false">SUMIF($B32:$B172,"Sorgo",S32:S172)</f>
        <v>0</v>
      </c>
      <c r="P21" s="72" t="n">
        <f aca="false">O21/F21</f>
        <v>0</v>
      </c>
      <c r="Q21" s="180" t="n">
        <f aca="false">SUMIF($B32:$B172,"Sorgo",U32:U172)</f>
        <v>0</v>
      </c>
      <c r="R21" s="72" t="n">
        <f aca="false">Q21/C21</f>
        <v>0</v>
      </c>
      <c r="S21" s="223" t="n">
        <f aca="false">SUMIF($B32:$B172,"Sorgo",W32:W172)</f>
        <v>4000</v>
      </c>
      <c r="T21" s="180" t="n">
        <f aca="false">SUMIF($B32:$B172,"Sorgo",X32:X172)</f>
        <v>44000</v>
      </c>
      <c r="U21" s="67" t="n">
        <f aca="false">T21/S21</f>
        <v>11</v>
      </c>
      <c r="V21" s="125" t="n">
        <f aca="false">SUMIF($B32:$B172,"Sorgo",Z32:Z172)</f>
        <v>4000</v>
      </c>
      <c r="W21" s="125" t="n">
        <f aca="false">SUMIF($B32:$B172,"Sorgo",AA32:AA172)</f>
        <v>0</v>
      </c>
      <c r="X21" s="73"/>
      <c r="Y21" s="181"/>
    </row>
    <row r="22" customFormat="false" ht="14.25" hidden="false" customHeight="false" outlineLevel="0" collapsed="false">
      <c r="A22" s="18" t="s">
        <v>173</v>
      </c>
      <c r="B22" s="177" t="n">
        <f aca="false">SUMIF(B32:B172,"Crotalaria",F32:F172)</f>
        <v>0</v>
      </c>
      <c r="C22" s="220" t="n">
        <f aca="false">SUMIF(B32:B172,"Crotalaria",H32:H172)</f>
        <v>0</v>
      </c>
      <c r="D22" s="221" t="e">
        <f aca="false">C22/B22</f>
        <v>#DIV/0!</v>
      </c>
      <c r="E22" s="221"/>
      <c r="F22" s="222" t="n">
        <f aca="false">SUMIF(B32:B172,"Crotalaria",K32:K172)</f>
        <v>0</v>
      </c>
      <c r="G22" s="66" t="n">
        <f aca="false">SUMIF(B32:B172,"Crotalaria",L32:L172)</f>
        <v>0</v>
      </c>
      <c r="H22" s="70" t="e">
        <f aca="false">G22/C22</f>
        <v>#DIV/0!</v>
      </c>
      <c r="I22" s="66" t="n">
        <f aca="false">SUMIF(B32:B172,"Crotalaria",N32:N172)</f>
        <v>0</v>
      </c>
      <c r="J22" s="66"/>
      <c r="K22" s="70" t="e">
        <f aca="false">I22/C22</f>
        <v>#DIV/0!</v>
      </c>
      <c r="L22" s="66" t="n">
        <f aca="false">SUMIF($B32:$B172,"Crotalaria",P32:P172)</f>
        <v>0</v>
      </c>
      <c r="M22" s="70" t="e">
        <f aca="false">L22/C22</f>
        <v>#DIV/0!</v>
      </c>
      <c r="N22" s="125" t="n">
        <f aca="false">SUMIF($B32:$B172,"Crotalaria",R32:R172)</f>
        <v>0</v>
      </c>
      <c r="O22" s="125" t="n">
        <f aca="false">SUMIF($B32:$B172,"Crotalaria",S32:S172)</f>
        <v>0</v>
      </c>
      <c r="P22" s="72" t="e">
        <f aca="false">O22/F22</f>
        <v>#DIV/0!</v>
      </c>
      <c r="Q22" s="180" t="n">
        <f aca="false">SUMIF($B32:$B172,"Crotalaria",U32:U172)</f>
        <v>0</v>
      </c>
      <c r="R22" s="72" t="e">
        <f aca="false">Q22/C22</f>
        <v>#DIV/0!</v>
      </c>
      <c r="S22" s="223" t="n">
        <f aca="false">SUMIF($B32:$B172,"Crotalaria",W32:W172)</f>
        <v>0</v>
      </c>
      <c r="T22" s="180" t="n">
        <f aca="false">SUMIF($B32:$B172,"Crotalaria",X32:X172)</f>
        <v>0</v>
      </c>
      <c r="U22" s="67" t="e">
        <f aca="false">T22/S22</f>
        <v>#DIV/0!</v>
      </c>
      <c r="V22" s="125" t="n">
        <f aca="false">SUMIF($B32:$B172,"Crotalaria",Z32:Z172)</f>
        <v>0</v>
      </c>
      <c r="W22" s="125" t="n">
        <f aca="false">SUMIF($B32:$B172,"Crotalaria",AA32:AA172)</f>
        <v>0</v>
      </c>
      <c r="X22" s="73"/>
      <c r="Y22" s="181"/>
    </row>
    <row r="23" customFormat="false" ht="14.25" hidden="false" customHeight="false" outlineLevel="0" collapsed="false">
      <c r="A23" s="18" t="s">
        <v>75</v>
      </c>
      <c r="B23" s="177" t="n">
        <f aca="false">SUMIF(B32:B172,"Estilosantes",F32:F172)</f>
        <v>0</v>
      </c>
      <c r="C23" s="220" t="n">
        <f aca="false">SUMIF(B32:B172,"Estilosantes",H32:H172)</f>
        <v>0</v>
      </c>
      <c r="D23" s="221" t="e">
        <f aca="false">C23/B23</f>
        <v>#DIV/0!</v>
      </c>
      <c r="E23" s="221"/>
      <c r="F23" s="222" t="n">
        <f aca="false">SUMIF(B32:B172,"Estilosantes",K32:K172)</f>
        <v>0</v>
      </c>
      <c r="G23" s="66" t="n">
        <f aca="false">SUMIF(B32:B172,"Estilosantes",L32:L172)</f>
        <v>0</v>
      </c>
      <c r="H23" s="70" t="e">
        <f aca="false">G23/C23</f>
        <v>#DIV/0!</v>
      </c>
      <c r="I23" s="66" t="n">
        <f aca="false">SUMIF(B32:B172,"Estilosantes",N32:N172)</f>
        <v>0</v>
      </c>
      <c r="J23" s="66"/>
      <c r="K23" s="70" t="e">
        <f aca="false">I23/C23</f>
        <v>#DIV/0!</v>
      </c>
      <c r="L23" s="66" t="n">
        <f aca="false">SUMIF($B32:$B172,"Estilosantes",P32:P172)</f>
        <v>0</v>
      </c>
      <c r="M23" s="70" t="e">
        <f aca="false">L23/C23</f>
        <v>#DIV/0!</v>
      </c>
      <c r="N23" s="125" t="n">
        <f aca="false">SUMIF($B32:$B172,"Estilosantes",R32:R172)</f>
        <v>0</v>
      </c>
      <c r="O23" s="125" t="n">
        <f aca="false">SUMIF($B32:$B172,"Estilosantes",S32:S172)</f>
        <v>0</v>
      </c>
      <c r="P23" s="72" t="e">
        <f aca="false">O23/F23</f>
        <v>#DIV/0!</v>
      </c>
      <c r="Q23" s="180" t="n">
        <f aca="false">SUMIF($B32:$B172,"Estilosantes",U32:U172)</f>
        <v>0</v>
      </c>
      <c r="R23" s="72" t="e">
        <f aca="false">Q23/C23</f>
        <v>#DIV/0!</v>
      </c>
      <c r="S23" s="223" t="n">
        <f aca="false">SUMIF($B32:$B172,"Estilosantes",W32:W172)</f>
        <v>0</v>
      </c>
      <c r="T23" s="180" t="n">
        <f aca="false">SUMIF($B32:$B172,"Estilosantes",X32:X172)</f>
        <v>0</v>
      </c>
      <c r="U23" s="67" t="e">
        <f aca="false">T23/S23</f>
        <v>#DIV/0!</v>
      </c>
      <c r="V23" s="125" t="n">
        <f aca="false">SUMIF($B32:$B172,"Estilosantes",Z32:Z172)</f>
        <v>0</v>
      </c>
      <c r="W23" s="125" t="n">
        <f aca="false">SUMIF($B32:$B172,"Estilosantes",AA32:AA172)</f>
        <v>0</v>
      </c>
      <c r="X23" s="73"/>
      <c r="Y23" s="181"/>
    </row>
    <row r="24" customFormat="false" ht="14.25" hidden="false" customHeight="false" outlineLevel="0" collapsed="false">
      <c r="A24" s="18" t="s">
        <v>21</v>
      </c>
      <c r="B24" s="177" t="n">
        <f aca="false">SUMIF(B32:B172,"Milheto",F32:F172)</f>
        <v>43500</v>
      </c>
      <c r="C24" s="220" t="n">
        <f aca="false">SUMIF(B32:B172,"Milheto",H32:H172)</f>
        <v>104750</v>
      </c>
      <c r="D24" s="221" t="n">
        <f aca="false">C24/B24</f>
        <v>2.40804597701149</v>
      </c>
      <c r="E24" s="221"/>
      <c r="F24" s="222" t="n">
        <f aca="false">SUMIF(B32:B172,"Milheto",K32:K172)</f>
        <v>43500</v>
      </c>
      <c r="G24" s="66" t="n">
        <f aca="false">SUMIF(B32:B172,"Milheto",L32:L172)</f>
        <v>0</v>
      </c>
      <c r="H24" s="70" t="n">
        <f aca="false">G24/C24</f>
        <v>0</v>
      </c>
      <c r="I24" s="66" t="n">
        <f aca="false">SUMIF(B32:B172,"Milheto",N32:N172)</f>
        <v>0</v>
      </c>
      <c r="J24" s="66"/>
      <c r="K24" s="70" t="n">
        <f aca="false">I24/C24</f>
        <v>0</v>
      </c>
      <c r="L24" s="66" t="n">
        <f aca="false">SUMIF($B32:$B172,"Milheto",P32:P172)</f>
        <v>0</v>
      </c>
      <c r="M24" s="70" t="n">
        <f aca="false">L24/C24</f>
        <v>0</v>
      </c>
      <c r="N24" s="125" t="n">
        <f aca="false">SUMIF($B32:$B172,"Milheto",R32:R172)</f>
        <v>0</v>
      </c>
      <c r="O24" s="125" t="n">
        <f aca="false">SUMIF($B32:$B172,"Milheto",S32:S172)</f>
        <v>0</v>
      </c>
      <c r="P24" s="72" t="n">
        <f aca="false">O24/F24</f>
        <v>0</v>
      </c>
      <c r="Q24" s="180" t="n">
        <f aca="false">SUMIF($B32:$B172,"Milheto",U32:U172)</f>
        <v>0</v>
      </c>
      <c r="R24" s="72" t="n">
        <f aca="false">Q24/C24</f>
        <v>0</v>
      </c>
      <c r="S24" s="223" t="n">
        <f aca="false">SUMIF($B32:$B172,"Milheto",W32:W172)</f>
        <v>43500</v>
      </c>
      <c r="T24" s="180" t="n">
        <f aca="false">SUMIF($B32:$B172,"Milheto",X32:X172)</f>
        <v>104750</v>
      </c>
      <c r="U24" s="67" t="n">
        <f aca="false">T24/S24</f>
        <v>2.40804597701149</v>
      </c>
      <c r="V24" s="125" t="n">
        <f aca="false">SUMIF($B32:$B172,"Milheto",Z32:Z172)</f>
        <v>43500</v>
      </c>
      <c r="W24" s="125" t="n">
        <f aca="false">SUMIF($B32:$B172,"Milheto",AA32:AA172)</f>
        <v>0</v>
      </c>
      <c r="X24" s="73"/>
      <c r="Y24" s="181"/>
    </row>
    <row r="25" customFormat="false" ht="14.25" hidden="false" customHeight="false" outlineLevel="0" collapsed="false">
      <c r="A25" s="18" t="s">
        <v>74</v>
      </c>
      <c r="B25" s="177" t="n">
        <f aca="false">SUMIF(B32:B172,"Sudão",F32:F172)</f>
        <v>0</v>
      </c>
      <c r="C25" s="220" t="n">
        <f aca="false">SUMIF(B32:B172,"Sudão",H32:H172)</f>
        <v>0</v>
      </c>
      <c r="D25" s="221" t="e">
        <f aca="false">C25/B25</f>
        <v>#DIV/0!</v>
      </c>
      <c r="E25" s="221"/>
      <c r="F25" s="222" t="n">
        <f aca="false">SUMIF(B32:B172,"Sudão",K32:K172)</f>
        <v>0</v>
      </c>
      <c r="G25" s="66" t="n">
        <f aca="false">SUMIF(B32:B172,"Sudão",L32:L172)</f>
        <v>0</v>
      </c>
      <c r="H25" s="70" t="e">
        <f aca="false">G25/C25</f>
        <v>#DIV/0!</v>
      </c>
      <c r="I25" s="66" t="n">
        <f aca="false">SUMIF(B32:B172,"Sudão",N32:N172)</f>
        <v>0</v>
      </c>
      <c r="J25" s="66"/>
      <c r="K25" s="70" t="e">
        <f aca="false">I25/C25</f>
        <v>#DIV/0!</v>
      </c>
      <c r="L25" s="66" t="n">
        <f aca="false">SUMIF($B32:$B172,"Sudão",P32:P172)</f>
        <v>0</v>
      </c>
      <c r="M25" s="70" t="e">
        <f aca="false">L25/C25</f>
        <v>#DIV/0!</v>
      </c>
      <c r="N25" s="125" t="n">
        <f aca="false">SUMIF($B32:$B172,"Sudão",R32:R172)</f>
        <v>0</v>
      </c>
      <c r="O25" s="125" t="n">
        <f aca="false">SUMIF($B32:$B172,"Sudão",S32:S172)</f>
        <v>0</v>
      </c>
      <c r="P25" s="72" t="e">
        <f aca="false">O25/F25</f>
        <v>#DIV/0!</v>
      </c>
      <c r="Q25" s="180" t="n">
        <f aca="false">SUMIF($B32:$B172,"Sudão",U32:U172)</f>
        <v>0</v>
      </c>
      <c r="R25" s="72" t="e">
        <f aca="false">Q25/C25</f>
        <v>#DIV/0!</v>
      </c>
      <c r="S25" s="223" t="n">
        <f aca="false">SUMIF($B32:$B172,"Sudão",W32:W172)</f>
        <v>0</v>
      </c>
      <c r="T25" s="180" t="n">
        <f aca="false">SUMIF($B32:$B172,"Sudão",X32:X172)</f>
        <v>0</v>
      </c>
      <c r="U25" s="67" t="e">
        <f aca="false">T25/S25</f>
        <v>#DIV/0!</v>
      </c>
      <c r="V25" s="125" t="n">
        <f aca="false">SUMIF($B32:$B172,"Sudão",Z32:Z172)</f>
        <v>0</v>
      </c>
      <c r="W25" s="125" t="n">
        <f aca="false">SUMIF($B32:$B172,"Sudão",AA32:AA172)</f>
        <v>0</v>
      </c>
      <c r="X25" s="73"/>
      <c r="Y25" s="181"/>
    </row>
    <row r="26" customFormat="false" ht="14.25" hidden="false" customHeight="false" outlineLevel="0" collapsed="false">
      <c r="A26" s="18" t="s">
        <v>24</v>
      </c>
      <c r="B26" s="177" t="n">
        <f aca="false">SUMIF(B32:B172,"Andropogon",F32:F172)</f>
        <v>0</v>
      </c>
      <c r="C26" s="220" t="n">
        <f aca="false">SUMIF(B32:B172,"Andropogon",H32:H172)</f>
        <v>0</v>
      </c>
      <c r="D26" s="221" t="e">
        <f aca="false">C26/B26</f>
        <v>#DIV/0!</v>
      </c>
      <c r="E26" s="221"/>
      <c r="F26" s="222" t="n">
        <f aca="false">SUMIF(B32:B172,"Andropogon",K32:K172)</f>
        <v>0</v>
      </c>
      <c r="G26" s="66" t="n">
        <f aca="false">SUMIF(B32:B172,"Andropogon",L32:L172)</f>
        <v>0</v>
      </c>
      <c r="H26" s="70" t="e">
        <f aca="false">G26/C26</f>
        <v>#DIV/0!</v>
      </c>
      <c r="I26" s="66" t="n">
        <f aca="false">SUMIF(B32:B172,"Andropogon",N32:N172)</f>
        <v>0</v>
      </c>
      <c r="J26" s="66"/>
      <c r="K26" s="70" t="e">
        <f aca="false">I26/C26</f>
        <v>#DIV/0!</v>
      </c>
      <c r="L26" s="66" t="n">
        <f aca="false">SUMIF($B32:$B172,"Andropogon",P32:P172)</f>
        <v>0</v>
      </c>
      <c r="M26" s="70" t="e">
        <f aca="false">L26/C26</f>
        <v>#DIV/0!</v>
      </c>
      <c r="N26" s="125" t="n">
        <f aca="false">SUMIF($B32:$B172,"Andropogon",R32:R172)</f>
        <v>0</v>
      </c>
      <c r="O26" s="125" t="n">
        <f aca="false">SUMIF($B32:$B172,"Andropogon",S32:S172)</f>
        <v>0</v>
      </c>
      <c r="P26" s="72" t="e">
        <f aca="false">O26/F26</f>
        <v>#DIV/0!</v>
      </c>
      <c r="Q26" s="180" t="n">
        <f aca="false">SUMIF($B32:$B172,"Andropogon",U32:U172)</f>
        <v>0</v>
      </c>
      <c r="R26" s="72" t="e">
        <f aca="false">Q26/C26</f>
        <v>#DIV/0!</v>
      </c>
      <c r="S26" s="223" t="n">
        <f aca="false">SUMIF($B32:$B172,"Andropogon",W32:W172)</f>
        <v>0</v>
      </c>
      <c r="T26" s="180" t="n">
        <f aca="false">SUMIF($B32:$B172,"Andropogon",X32:X172)</f>
        <v>0</v>
      </c>
      <c r="U26" s="67" t="e">
        <f aca="false">T26/S26</f>
        <v>#DIV/0!</v>
      </c>
      <c r="V26" s="125" t="n">
        <f aca="false">SUMIF($B32:$B172,"Andropogon",Z32:Z172)</f>
        <v>0</v>
      </c>
      <c r="W26" s="125" t="n">
        <f aca="false">SUMIF($B32:$B172,"Andropogon",AA32:AA172)</f>
        <v>0</v>
      </c>
      <c r="X26" s="73"/>
      <c r="Y26" s="181"/>
    </row>
    <row r="27" customFormat="false" ht="14.25" hidden="false" customHeight="false" outlineLevel="0" collapsed="false">
      <c r="A27" s="18" t="s">
        <v>25</v>
      </c>
      <c r="B27" s="183" t="n">
        <f aca="false">SUM(B4:B26)</f>
        <v>173403969.497399</v>
      </c>
      <c r="C27" s="226" t="n">
        <f aca="false">SUM(C4:C26)</f>
        <v>31104047.292</v>
      </c>
      <c r="D27" s="221" t="n">
        <f aca="false">C27/B27</f>
        <v>0.179373329123625</v>
      </c>
      <c r="E27" s="227"/>
      <c r="F27" s="228" t="n">
        <f aca="false">SUM(F4:F26)</f>
        <v>173363991.156</v>
      </c>
      <c r="G27" s="187" t="n">
        <f aca="false">SUM(G4:G26)</f>
        <v>33320.3868</v>
      </c>
      <c r="H27" s="70" t="n">
        <f aca="false">G27/C27</f>
        <v>0.00107125566287864</v>
      </c>
      <c r="I27" s="187" t="n">
        <f aca="false">SUM(I4:I26)</f>
        <v>2240</v>
      </c>
      <c r="J27" s="187"/>
      <c r="K27" s="70" t="n">
        <f aca="false">I27/C27</f>
        <v>7.20163514082661E-005</v>
      </c>
      <c r="L27" s="187" t="n">
        <f aca="false">SUM(L4:L26)</f>
        <v>76674.68</v>
      </c>
      <c r="M27" s="70" t="n">
        <f aca="false">L27/C27</f>
        <v>0.00246510299062337</v>
      </c>
      <c r="N27" s="188" t="n">
        <f aca="false">SUM(N4:N26)</f>
        <v>-39977.7</v>
      </c>
      <c r="O27" s="188" t="n">
        <f aca="false">SUM(O4:O26)</f>
        <v>0</v>
      </c>
      <c r="P27" s="72" t="n">
        <f aca="false">O27/F27</f>
        <v>0</v>
      </c>
      <c r="Q27" s="189" t="n">
        <f aca="false">SUM(Q4:Q26)</f>
        <v>0</v>
      </c>
      <c r="R27" s="72" t="n">
        <f aca="false">Q27/C27</f>
        <v>0</v>
      </c>
      <c r="S27" s="229" t="n">
        <f aca="false">SUM(S4:S26)</f>
        <v>173363991.797399</v>
      </c>
      <c r="T27" s="189" t="n">
        <f aca="false">SUM(T4:T26)</f>
        <v>31228305.1629</v>
      </c>
      <c r="U27" s="67" t="n">
        <f aca="false">T27/S27</f>
        <v>0.180131438132751</v>
      </c>
      <c r="V27" s="190" t="n">
        <f aca="false">SUM(V4:V26)</f>
        <v>173363991.056</v>
      </c>
      <c r="W27" s="191" t="n">
        <f aca="false">SUM(W4:W26)</f>
        <v>0.741399359947536</v>
      </c>
      <c r="Y27" s="192"/>
    </row>
    <row r="29" customFormat="false" ht="17.35" hidden="false" customHeight="false" outlineLevel="0" collapsed="false">
      <c r="A29" s="32" t="s">
        <v>174</v>
      </c>
      <c r="B29" s="32"/>
      <c r="C29" s="32"/>
      <c r="D29" s="32"/>
      <c r="E29" s="32"/>
      <c r="F29" s="32"/>
      <c r="G29" s="32"/>
      <c r="H29" s="32"/>
      <c r="I29" s="32"/>
      <c r="J29" s="32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</row>
    <row r="30" customFormat="false" ht="14.25" hidden="false" customHeight="false" outlineLevel="0" collapsed="false">
      <c r="A30" s="33"/>
      <c r="B30" s="84"/>
      <c r="C30" s="34"/>
      <c r="D30" s="35"/>
      <c r="E30" s="35"/>
      <c r="F30" s="35"/>
      <c r="G30" s="36"/>
      <c r="H30" s="37"/>
      <c r="I30" s="85"/>
      <c r="J30" s="85"/>
      <c r="K30" s="86"/>
      <c r="L30" s="85"/>
      <c r="M30" s="87"/>
      <c r="N30" s="85"/>
      <c r="O30" s="194"/>
      <c r="P30" s="85"/>
      <c r="Q30" s="87"/>
      <c r="R30" s="87"/>
      <c r="S30" s="87"/>
      <c r="T30" s="87"/>
      <c r="U30" s="87"/>
      <c r="V30" s="87"/>
      <c r="W30" s="87"/>
      <c r="X30" s="88"/>
      <c r="Y30" s="88"/>
      <c r="Z30" s="88" t="s">
        <v>31</v>
      </c>
      <c r="AA30" s="176" t="s">
        <v>31</v>
      </c>
    </row>
    <row r="31" customFormat="false" ht="14.25" hidden="false" customHeight="false" outlineLevel="0" collapsed="false">
      <c r="A31" s="230" t="s">
        <v>27</v>
      </c>
      <c r="B31" s="90" t="s">
        <v>28</v>
      </c>
      <c r="C31" s="89" t="s">
        <v>29</v>
      </c>
      <c r="D31" s="89" t="s">
        <v>81</v>
      </c>
      <c r="E31" s="89" t="s">
        <v>175</v>
      </c>
      <c r="F31" s="89" t="s">
        <v>176</v>
      </c>
      <c r="G31" s="90" t="s">
        <v>32</v>
      </c>
      <c r="H31" s="90" t="s">
        <v>33</v>
      </c>
      <c r="I31" s="231" t="s">
        <v>79</v>
      </c>
      <c r="J31" s="231" t="s">
        <v>80</v>
      </c>
      <c r="K31" s="230" t="s">
        <v>177</v>
      </c>
      <c r="L31" s="232" t="s">
        <v>146</v>
      </c>
      <c r="M31" s="233" t="s">
        <v>147</v>
      </c>
      <c r="N31" s="232" t="s">
        <v>148</v>
      </c>
      <c r="O31" s="234" t="s">
        <v>149</v>
      </c>
      <c r="P31" s="235" t="s">
        <v>150</v>
      </c>
      <c r="Q31" s="93" t="s">
        <v>151</v>
      </c>
      <c r="R31" s="93" t="s">
        <v>152</v>
      </c>
      <c r="S31" s="93" t="s">
        <v>153</v>
      </c>
      <c r="T31" s="93" t="s">
        <v>154</v>
      </c>
      <c r="U31" s="93" t="s">
        <v>155</v>
      </c>
      <c r="V31" s="93" t="s">
        <v>156</v>
      </c>
      <c r="W31" s="93" t="s">
        <v>157</v>
      </c>
      <c r="X31" s="94" t="s">
        <v>158</v>
      </c>
      <c r="Y31" s="197" t="s">
        <v>159</v>
      </c>
      <c r="Z31" s="94" t="s">
        <v>160</v>
      </c>
      <c r="AA31" s="198" t="s">
        <v>161</v>
      </c>
    </row>
    <row r="32" customFormat="false" ht="14.25" hidden="false" customHeight="false" outlineLevel="0" collapsed="false">
      <c r="A32" s="42" t="n">
        <v>45449</v>
      </c>
      <c r="B32" s="1" t="s">
        <v>11</v>
      </c>
      <c r="C32" s="2" t="s">
        <v>178</v>
      </c>
      <c r="D32" s="236" t="s">
        <v>179</v>
      </c>
      <c r="E32" s="45" t="n">
        <v>13600</v>
      </c>
      <c r="F32" s="45" t="n">
        <f aca="false">E32*I32</f>
        <v>654540.8</v>
      </c>
      <c r="G32" s="237" t="n">
        <f aca="false">H32/F32</f>
        <v>1.65</v>
      </c>
      <c r="H32" s="47" t="n">
        <v>1079992.32</v>
      </c>
      <c r="I32" s="238" t="n">
        <v>48.128</v>
      </c>
      <c r="J32" s="238"/>
      <c r="K32" s="239" t="n">
        <v>655503.306</v>
      </c>
      <c r="L32" s="59" t="n">
        <f aca="false">M32*H32</f>
        <v>0</v>
      </c>
      <c r="M32" s="240"/>
      <c r="N32" s="200"/>
      <c r="O32" s="201" t="n">
        <f aca="false">N32/H32</f>
        <v>0</v>
      </c>
      <c r="P32" s="200"/>
      <c r="Q32" s="201" t="n">
        <f aca="false">P32/H32</f>
        <v>0</v>
      </c>
      <c r="R32" s="241" t="n">
        <v>963</v>
      </c>
      <c r="S32" s="45"/>
      <c r="T32" s="201" t="n">
        <f aca="false">S32/K32</f>
        <v>0</v>
      </c>
      <c r="U32" s="201"/>
      <c r="V32" s="201"/>
      <c r="W32" s="98" t="n">
        <f aca="false">F32+R32+S32</f>
        <v>655503.8</v>
      </c>
      <c r="X32" s="203" t="n">
        <f aca="false">H32+L32+N32+P32+U32</f>
        <v>1079992.32</v>
      </c>
      <c r="Y32" s="100" t="n">
        <f aca="false">X32/W32</f>
        <v>1.6475759865923</v>
      </c>
      <c r="Z32" s="51" t="n">
        <v>655503.306</v>
      </c>
      <c r="AA32" s="51" t="n">
        <f aca="false">W32-Z32</f>
        <v>0.494000000064261</v>
      </c>
    </row>
    <row r="33" customFormat="false" ht="14.25" hidden="false" customHeight="false" outlineLevel="0" collapsed="false">
      <c r="A33" s="42" t="n">
        <v>45449</v>
      </c>
      <c r="B33" s="1" t="s">
        <v>6</v>
      </c>
      <c r="C33" s="2" t="s">
        <v>180</v>
      </c>
      <c r="D33" s="236" t="s">
        <v>181</v>
      </c>
      <c r="E33" s="45" t="n">
        <v>12040</v>
      </c>
      <c r="F33" s="45" t="n">
        <f aca="false">E33*I33</f>
        <v>1029299.6</v>
      </c>
      <c r="G33" s="237" t="n">
        <f aca="false">H33/F33</f>
        <v>0.149750830564784</v>
      </c>
      <c r="H33" s="47" t="n">
        <v>154138.47</v>
      </c>
      <c r="I33" s="238" t="n">
        <v>85.49</v>
      </c>
      <c r="J33" s="238"/>
      <c r="K33" s="242" t="n">
        <v>1037678.4</v>
      </c>
      <c r="L33" s="59" t="n">
        <f aca="false">M33*H33</f>
        <v>4624.1541</v>
      </c>
      <c r="M33" s="240" t="n">
        <v>0.03</v>
      </c>
      <c r="N33" s="200"/>
      <c r="O33" s="201" t="n">
        <f aca="false">N33/H33</f>
        <v>0</v>
      </c>
      <c r="P33" s="200" t="n">
        <v>7398.65</v>
      </c>
      <c r="Q33" s="201" t="n">
        <f aca="false">P33/H33</f>
        <v>0.0480000223175953</v>
      </c>
      <c r="R33" s="241" t="n">
        <v>8379</v>
      </c>
      <c r="S33" s="45"/>
      <c r="T33" s="201" t="n">
        <f aca="false">S33/K33</f>
        <v>0</v>
      </c>
      <c r="U33" s="201"/>
      <c r="V33" s="201"/>
      <c r="W33" s="98" t="n">
        <f aca="false">F33+R33+S33</f>
        <v>1037678.6</v>
      </c>
      <c r="X33" s="203" t="n">
        <f aca="false">H33+L33+N33+P33+U33</f>
        <v>166161.2741</v>
      </c>
      <c r="Y33" s="100" t="n">
        <f aca="false">X33/W33</f>
        <v>0.160127879769324</v>
      </c>
      <c r="Z33" s="51" t="n">
        <v>1037678.4</v>
      </c>
      <c r="AA33" s="51" t="n">
        <f aca="false">W33-Z33</f>
        <v>0.199999999953434</v>
      </c>
    </row>
    <row r="34" customFormat="false" ht="14.25" hidden="false" customHeight="false" outlineLevel="0" collapsed="false">
      <c r="A34" s="42" t="n">
        <v>45449</v>
      </c>
      <c r="B34" s="1" t="s">
        <v>42</v>
      </c>
      <c r="C34" s="2" t="s">
        <v>180</v>
      </c>
      <c r="D34" s="236" t="s">
        <v>182</v>
      </c>
      <c r="E34" s="45" t="n">
        <v>28760</v>
      </c>
      <c r="F34" s="45" t="n">
        <f aca="false">E34*I34</f>
        <v>2090852</v>
      </c>
      <c r="G34" s="237" t="n">
        <f aca="false">H34/F34</f>
        <v>0.180048018702424</v>
      </c>
      <c r="H34" s="47" t="n">
        <v>376453.76</v>
      </c>
      <c r="I34" s="238" t="n">
        <v>72.7</v>
      </c>
      <c r="J34" s="238"/>
      <c r="K34" s="96" t="n">
        <v>2117867.75</v>
      </c>
      <c r="L34" s="59" t="n">
        <f aca="false">M34*H34</f>
        <v>11293.6128</v>
      </c>
      <c r="M34" s="240" t="n">
        <v>0.03</v>
      </c>
      <c r="N34" s="200"/>
      <c r="O34" s="201" t="n">
        <f aca="false">N34/H34</f>
        <v>0</v>
      </c>
      <c r="P34" s="200" t="n">
        <v>17166.3</v>
      </c>
      <c r="Q34" s="201" t="n">
        <f aca="false">P34/H34</f>
        <v>0.0456000226960145</v>
      </c>
      <c r="R34" s="241" t="n">
        <v>27016</v>
      </c>
      <c r="S34" s="45"/>
      <c r="T34" s="201" t="n">
        <f aca="false">S34/K34</f>
        <v>0</v>
      </c>
      <c r="U34" s="201"/>
      <c r="V34" s="201"/>
      <c r="W34" s="98" t="n">
        <f aca="false">F34+R34+S34</f>
        <v>2117868</v>
      </c>
      <c r="X34" s="203" t="n">
        <f aca="false">H34+L34+N34+P34+U34</f>
        <v>404913.6728</v>
      </c>
      <c r="Y34" s="100" t="n">
        <f aca="false">X34/W34</f>
        <v>0.191189286962171</v>
      </c>
      <c r="Z34" s="51" t="n">
        <v>2117867.75</v>
      </c>
      <c r="AA34" s="51" t="n">
        <f aca="false">W34-Z34</f>
        <v>0.25</v>
      </c>
    </row>
    <row r="35" customFormat="false" ht="14.25" hidden="false" customHeight="false" outlineLevel="0" collapsed="false">
      <c r="A35" s="42" t="n">
        <v>45449</v>
      </c>
      <c r="B35" s="1" t="s">
        <v>16</v>
      </c>
      <c r="C35" s="2" t="s">
        <v>183</v>
      </c>
      <c r="D35" s="236" t="s">
        <v>184</v>
      </c>
      <c r="E35" s="45" t="n">
        <v>2365</v>
      </c>
      <c r="F35" s="45" t="n">
        <f aca="false">E35*I35</f>
        <v>195585.5</v>
      </c>
      <c r="G35" s="237" t="n">
        <f aca="false">H35/F35</f>
        <v>0.390000025564267</v>
      </c>
      <c r="H35" s="47" t="n">
        <v>76278.35</v>
      </c>
      <c r="I35" s="238" t="n">
        <v>82.7</v>
      </c>
      <c r="J35" s="238"/>
      <c r="K35" s="242" t="n">
        <v>195585.5</v>
      </c>
      <c r="L35" s="59" t="n">
        <f aca="false">M35*H35</f>
        <v>0</v>
      </c>
      <c r="M35" s="240"/>
      <c r="N35" s="200" t="n">
        <v>2240</v>
      </c>
      <c r="O35" s="201" t="n">
        <f aca="false">N35/H35</f>
        <v>0.0293661307566302</v>
      </c>
      <c r="P35" s="200" t="n">
        <v>2159.13</v>
      </c>
      <c r="Q35" s="201" t="n">
        <f aca="false">P35/H35</f>
        <v>0.028305934777037</v>
      </c>
      <c r="R35" s="243" t="n">
        <v>0</v>
      </c>
      <c r="S35" s="45"/>
      <c r="T35" s="201" t="n">
        <f aca="false">S35/K35</f>
        <v>0</v>
      </c>
      <c r="U35" s="201"/>
      <c r="V35" s="201"/>
      <c r="W35" s="98" t="n">
        <f aca="false">F35+R35+S35</f>
        <v>195585.5</v>
      </c>
      <c r="X35" s="203" t="n">
        <f aca="false">H35+L35+N35+P35+U35</f>
        <v>80677.48</v>
      </c>
      <c r="Y35" s="100" t="n">
        <f aca="false">X35/W35</f>
        <v>0.412492132596742</v>
      </c>
      <c r="Z35" s="51" t="n">
        <v>195585.5</v>
      </c>
      <c r="AA35" s="51" t="n">
        <f aca="false">W35-Z35</f>
        <v>0</v>
      </c>
    </row>
    <row r="36" customFormat="false" ht="14.25" hidden="false" customHeight="false" outlineLevel="0" collapsed="false">
      <c r="A36" s="42" t="n">
        <v>45449</v>
      </c>
      <c r="B36" s="1" t="s">
        <v>19</v>
      </c>
      <c r="C36" s="2" t="s">
        <v>185</v>
      </c>
      <c r="D36" s="236" t="s">
        <v>186</v>
      </c>
      <c r="E36" s="45" t="n">
        <v>30876</v>
      </c>
      <c r="F36" s="45" t="n">
        <f aca="false">E36*I36</f>
        <v>1673479.2</v>
      </c>
      <c r="G36" s="237" t="n">
        <f aca="false">H36/F36</f>
        <v>0.359999998804885</v>
      </c>
      <c r="H36" s="47" t="n">
        <v>602452.51</v>
      </c>
      <c r="I36" s="238" t="n">
        <v>54.2</v>
      </c>
      <c r="J36" s="238"/>
      <c r="K36" s="242" t="n">
        <v>1673479.2</v>
      </c>
      <c r="L36" s="59" t="n">
        <f aca="false">M36*H36</f>
        <v>0</v>
      </c>
      <c r="M36" s="240"/>
      <c r="N36" s="200"/>
      <c r="O36" s="201" t="n">
        <f aca="false">N36/H36</f>
        <v>0</v>
      </c>
      <c r="P36" s="200" t="n">
        <v>29509.92</v>
      </c>
      <c r="Q36" s="201" t="n">
        <f aca="false">P36/H36</f>
        <v>0.0489829812477667</v>
      </c>
      <c r="R36" s="241" t="n">
        <v>0</v>
      </c>
      <c r="S36" s="45"/>
      <c r="T36" s="201" t="n">
        <f aca="false">S36/K36</f>
        <v>0</v>
      </c>
      <c r="U36" s="201"/>
      <c r="V36" s="201"/>
      <c r="W36" s="98" t="n">
        <f aca="false">F36+R36+S36</f>
        <v>1673479.2</v>
      </c>
      <c r="X36" s="203" t="n">
        <f aca="false">H36+L36+N36+P36+U36</f>
        <v>631962.43</v>
      </c>
      <c r="Y36" s="100" t="n">
        <f aca="false">X36/W36</f>
        <v>0.377633871995541</v>
      </c>
      <c r="Z36" s="51" t="n">
        <v>1673479.2</v>
      </c>
      <c r="AA36" s="51" t="n">
        <f aca="false">W36-Z36</f>
        <v>0</v>
      </c>
    </row>
    <row r="37" customFormat="false" ht="14.25" hidden="false" customHeight="false" outlineLevel="0" collapsed="false">
      <c r="A37" s="42" t="n">
        <v>45449</v>
      </c>
      <c r="B37" s="1" t="s">
        <v>13</v>
      </c>
      <c r="C37" s="2" t="s">
        <v>185</v>
      </c>
      <c r="D37" s="236" t="s">
        <v>187</v>
      </c>
      <c r="E37" s="45" t="n">
        <v>15685</v>
      </c>
      <c r="F37" s="45" t="n">
        <f aca="false">E37*I37</f>
        <v>1019525</v>
      </c>
      <c r="G37" s="237" t="n">
        <f aca="false">H37/F37</f>
        <v>0.196169784948873</v>
      </c>
      <c r="H37" s="47" t="n">
        <v>200000</v>
      </c>
      <c r="I37" s="238" t="n">
        <v>65</v>
      </c>
      <c r="J37" s="238"/>
      <c r="K37" s="242" t="n">
        <v>873654.5</v>
      </c>
      <c r="L37" s="59" t="n">
        <f aca="false">M37*H37</f>
        <v>0</v>
      </c>
      <c r="M37" s="240"/>
      <c r="N37" s="200"/>
      <c r="O37" s="201" t="n">
        <f aca="false">N37/H37</f>
        <v>0</v>
      </c>
      <c r="P37" s="200"/>
      <c r="Q37" s="201" t="n">
        <f aca="false">P37/H37</f>
        <v>0</v>
      </c>
      <c r="R37" s="241" t="n">
        <v>-145870.5</v>
      </c>
      <c r="S37" s="45"/>
      <c r="T37" s="201" t="n">
        <f aca="false">S37/K37</f>
        <v>0</v>
      </c>
      <c r="U37" s="201"/>
      <c r="V37" s="201"/>
      <c r="W37" s="98" t="n">
        <f aca="false">F37+R37+S37</f>
        <v>873654.5</v>
      </c>
      <c r="X37" s="203" t="n">
        <f aca="false">H37+L37+N37+P37+U37</f>
        <v>200000</v>
      </c>
      <c r="Y37" s="100" t="n">
        <f aca="false">X37/W37</f>
        <v>0.228923447426872</v>
      </c>
      <c r="Z37" s="51" t="n">
        <v>873654.5</v>
      </c>
      <c r="AA37" s="51" t="n">
        <f aca="false">W37-Z37</f>
        <v>0</v>
      </c>
    </row>
    <row r="38" customFormat="false" ht="14.25" hidden="false" customHeight="false" outlineLevel="0" collapsed="false">
      <c r="A38" s="42" t="n">
        <v>45449</v>
      </c>
      <c r="B38" s="1" t="s">
        <v>17</v>
      </c>
      <c r="C38" s="2" t="s">
        <v>185</v>
      </c>
      <c r="D38" s="236" t="s">
        <v>188</v>
      </c>
      <c r="E38" s="45" t="n">
        <v>19060</v>
      </c>
      <c r="F38" s="45" t="n">
        <f aca="false">E38*I38</f>
        <v>1156942</v>
      </c>
      <c r="G38" s="237" t="n">
        <f aca="false">H38/F38</f>
        <v>0.197936283754933</v>
      </c>
      <c r="H38" s="47" t="n">
        <v>229000.8</v>
      </c>
      <c r="I38" s="238" t="n">
        <v>60.7</v>
      </c>
      <c r="J38" s="238"/>
      <c r="K38" s="51" t="n">
        <v>1156942</v>
      </c>
      <c r="L38" s="59" t="n">
        <f aca="false">M38*H38</f>
        <v>0</v>
      </c>
      <c r="M38" s="240"/>
      <c r="N38" s="200"/>
      <c r="O38" s="201" t="n">
        <f aca="false">N38/H38</f>
        <v>0</v>
      </c>
      <c r="P38" s="200"/>
      <c r="Q38" s="201" t="n">
        <f aca="false">P38/H38</f>
        <v>0</v>
      </c>
      <c r="R38" s="241"/>
      <c r="S38" s="45"/>
      <c r="T38" s="201" t="n">
        <f aca="false">S38/K38</f>
        <v>0</v>
      </c>
      <c r="U38" s="201"/>
      <c r="V38" s="201"/>
      <c r="W38" s="98" t="n">
        <f aca="false">F38+R38+S38</f>
        <v>1156942</v>
      </c>
      <c r="X38" s="203" t="n">
        <f aca="false">H38+L38+N38+P38+U38</f>
        <v>229000.8</v>
      </c>
      <c r="Y38" s="100" t="n">
        <f aca="false">X38/W38</f>
        <v>0.197936283754933</v>
      </c>
      <c r="Z38" s="51" t="n">
        <v>1156942</v>
      </c>
      <c r="AA38" s="51" t="n">
        <f aca="false">W38-Z38</f>
        <v>0</v>
      </c>
    </row>
    <row r="39" customFormat="false" ht="14.25" hidden="false" customHeight="false" outlineLevel="0" collapsed="false">
      <c r="A39" s="42" t="n">
        <v>45449</v>
      </c>
      <c r="B39" s="1" t="s">
        <v>15</v>
      </c>
      <c r="C39" s="2" t="s">
        <v>185</v>
      </c>
      <c r="D39" s="236" t="s">
        <v>189</v>
      </c>
      <c r="E39" s="45" t="n">
        <v>18406</v>
      </c>
      <c r="F39" s="45" t="n">
        <f aca="false">E39*I39</f>
        <v>1012330</v>
      </c>
      <c r="G39" s="237" t="n">
        <f aca="false">H39/F39</f>
        <v>0.355615263797378</v>
      </c>
      <c r="H39" s="47" t="n">
        <v>360000</v>
      </c>
      <c r="I39" s="238" t="n">
        <v>55</v>
      </c>
      <c r="J39" s="238"/>
      <c r="K39" s="242" t="n">
        <v>1146693.8</v>
      </c>
      <c r="L39" s="59" t="n">
        <f aca="false">M39*H39</f>
        <v>0</v>
      </c>
      <c r="M39" s="240"/>
      <c r="N39" s="200"/>
      <c r="O39" s="201" t="n">
        <f aca="false">N39/H39</f>
        <v>0</v>
      </c>
      <c r="P39" s="200"/>
      <c r="Q39" s="201" t="n">
        <f aca="false">P39/H39</f>
        <v>0</v>
      </c>
      <c r="R39" s="241" t="n">
        <v>134363.8</v>
      </c>
      <c r="S39" s="45"/>
      <c r="T39" s="201" t="n">
        <f aca="false">S39/K39</f>
        <v>0</v>
      </c>
      <c r="U39" s="201"/>
      <c r="V39" s="201"/>
      <c r="W39" s="98" t="n">
        <f aca="false">F39+R39+S39</f>
        <v>1146693.8</v>
      </c>
      <c r="X39" s="203" t="n">
        <f aca="false">H39+L39+N39+P39+U39</f>
        <v>360000</v>
      </c>
      <c r="Y39" s="100" t="n">
        <f aca="false">X39/W39</f>
        <v>0.313946059532196</v>
      </c>
      <c r="Z39" s="51" t="n">
        <v>1146693.8</v>
      </c>
      <c r="AA39" s="51" t="n">
        <f aca="false">W39-Z39</f>
        <v>0</v>
      </c>
    </row>
    <row r="40" customFormat="false" ht="14.25" hidden="false" customHeight="false" outlineLevel="0" collapsed="false">
      <c r="A40" s="42" t="n">
        <v>45453</v>
      </c>
      <c r="B40" s="1" t="s">
        <v>52</v>
      </c>
      <c r="C40" s="2" t="s">
        <v>190</v>
      </c>
      <c r="D40" s="236" t="s">
        <v>191</v>
      </c>
      <c r="E40" s="45" t="n">
        <v>37260</v>
      </c>
      <c r="F40" s="45" t="n">
        <f aca="false">E40*I40</f>
        <v>2850390</v>
      </c>
      <c r="G40" s="237" t="n">
        <f aca="false">H40/F40</f>
        <v>0.17</v>
      </c>
      <c r="H40" s="47" t="n">
        <v>484566.3</v>
      </c>
      <c r="I40" s="238" t="n">
        <v>76.5</v>
      </c>
      <c r="J40" s="238"/>
      <c r="K40" s="242" t="n">
        <v>2803268.4</v>
      </c>
      <c r="L40" s="59" t="n">
        <f aca="false">M40*H40</f>
        <v>14536.989</v>
      </c>
      <c r="M40" s="240" t="n">
        <v>0.03</v>
      </c>
      <c r="N40" s="200"/>
      <c r="O40" s="201" t="n">
        <f aca="false">N40/H40</f>
        <v>0</v>
      </c>
      <c r="P40" s="200" t="n">
        <v>19450.78</v>
      </c>
      <c r="Q40" s="201" t="n">
        <f aca="false">P40/H40</f>
        <v>0.0401405958276504</v>
      </c>
      <c r="R40" s="241" t="n">
        <v>-47122</v>
      </c>
      <c r="S40" s="45"/>
      <c r="T40" s="201" t="n">
        <f aca="false">S40/K40</f>
        <v>0</v>
      </c>
      <c r="U40" s="201"/>
      <c r="V40" s="201"/>
      <c r="W40" s="98" t="n">
        <f aca="false">F40+R40+S40</f>
        <v>2803268</v>
      </c>
      <c r="X40" s="203" t="n">
        <f aca="false">H40+L40+N40+P40+U40</f>
        <v>518554.069</v>
      </c>
      <c r="Y40" s="100" t="n">
        <f aca="false">X40/W40</f>
        <v>0.184981981387438</v>
      </c>
      <c r="Z40" s="51" t="n">
        <v>2803268.4</v>
      </c>
      <c r="AA40" s="51" t="n">
        <f aca="false">W40-Z40</f>
        <v>-0.399999999906868</v>
      </c>
    </row>
    <row r="41" customFormat="false" ht="14.25" hidden="false" customHeight="false" outlineLevel="0" collapsed="false">
      <c r="A41" s="42" t="n">
        <v>45462</v>
      </c>
      <c r="B41" s="1" t="s">
        <v>52</v>
      </c>
      <c r="C41" s="2" t="s">
        <v>192</v>
      </c>
      <c r="D41" s="236" t="s">
        <v>193</v>
      </c>
      <c r="E41" s="45" t="n">
        <v>15153</v>
      </c>
      <c r="F41" s="45" t="n">
        <f aca="false">E41*I41</f>
        <v>1021312.2</v>
      </c>
      <c r="G41" s="237" t="n">
        <f aca="false">H41/F41</f>
        <v>0.166452530381993</v>
      </c>
      <c r="H41" s="47" t="n">
        <v>170000</v>
      </c>
      <c r="I41" s="238" t="n">
        <v>67.4</v>
      </c>
      <c r="J41" s="238"/>
      <c r="K41" s="51" t="n">
        <v>1021312</v>
      </c>
      <c r="L41" s="59" t="n">
        <f aca="false">M41*H41</f>
        <v>0</v>
      </c>
      <c r="M41" s="240"/>
      <c r="N41" s="200"/>
      <c r="O41" s="201" t="n">
        <f aca="false">N41/H41</f>
        <v>0</v>
      </c>
      <c r="P41" s="200"/>
      <c r="Q41" s="201" t="n">
        <f aca="false">P41/H41</f>
        <v>0</v>
      </c>
      <c r="R41" s="98"/>
      <c r="S41" s="45"/>
      <c r="T41" s="201" t="n">
        <f aca="false">S41/K41</f>
        <v>0</v>
      </c>
      <c r="U41" s="201"/>
      <c r="V41" s="201"/>
      <c r="W41" s="98" t="n">
        <f aca="false">F41+R41+S41</f>
        <v>1021312.2</v>
      </c>
      <c r="X41" s="203" t="n">
        <f aca="false">H41+L41+N41+P41+U41</f>
        <v>170000</v>
      </c>
      <c r="Y41" s="100" t="n">
        <f aca="false">X41/W41</f>
        <v>0.166452530381993</v>
      </c>
      <c r="Z41" s="51" t="n">
        <v>1021312</v>
      </c>
      <c r="AA41" s="51" t="n">
        <f aca="false">W41-Z41</f>
        <v>0.200000000069849</v>
      </c>
    </row>
    <row r="42" customFormat="false" ht="14.25" hidden="false" customHeight="false" outlineLevel="0" collapsed="false">
      <c r="A42" s="42" t="n">
        <v>45462</v>
      </c>
      <c r="B42" s="1" t="s">
        <v>6</v>
      </c>
      <c r="C42" s="2" t="s">
        <v>192</v>
      </c>
      <c r="D42" s="236" t="s">
        <v>194</v>
      </c>
      <c r="E42" s="45" t="n">
        <v>14710</v>
      </c>
      <c r="F42" s="244" t="n">
        <f aca="false">E42*I42</f>
        <v>1001751</v>
      </c>
      <c r="G42" s="237" t="n">
        <f aca="false">H42/F42</f>
        <v>0.17</v>
      </c>
      <c r="H42" s="47" t="n">
        <v>170297.67</v>
      </c>
      <c r="I42" s="238" t="n">
        <v>68.1</v>
      </c>
      <c r="J42" s="238"/>
      <c r="K42" s="51" t="n">
        <v>999435.6</v>
      </c>
      <c r="L42" s="59" t="n">
        <f aca="false">M42*H42</f>
        <v>0</v>
      </c>
      <c r="M42" s="240"/>
      <c r="N42" s="200"/>
      <c r="O42" s="201" t="n">
        <f aca="false">N42/H42</f>
        <v>0</v>
      </c>
      <c r="P42" s="200"/>
      <c r="Q42" s="201" t="n">
        <f aca="false">P42/H42</f>
        <v>0</v>
      </c>
      <c r="R42" s="241" t="n">
        <v>-2315</v>
      </c>
      <c r="S42" s="45"/>
      <c r="T42" s="201" t="n">
        <f aca="false">S42/K42</f>
        <v>0</v>
      </c>
      <c r="U42" s="201"/>
      <c r="V42" s="201"/>
      <c r="W42" s="199" t="n">
        <f aca="false">F42+R42+S42</f>
        <v>999436</v>
      </c>
      <c r="X42" s="203" t="n">
        <f aca="false">H42+L42+N42+P42+U42</f>
        <v>170297.67</v>
      </c>
      <c r="Y42" s="100" t="n">
        <f aca="false">X42/W42</f>
        <v>0.170393772087457</v>
      </c>
      <c r="Z42" s="51" t="n">
        <v>999435.6</v>
      </c>
      <c r="AA42" s="51" t="n">
        <f aca="false">W42-Z42</f>
        <v>0.399999999906868</v>
      </c>
    </row>
    <row r="43" customFormat="false" ht="14.25" hidden="false" customHeight="false" outlineLevel="0" collapsed="false">
      <c r="A43" s="42" t="n">
        <v>45462</v>
      </c>
      <c r="B43" s="1" t="s">
        <v>42</v>
      </c>
      <c r="C43" s="2" t="s">
        <v>195</v>
      </c>
      <c r="D43" s="236" t="s">
        <v>196</v>
      </c>
      <c r="E43" s="45" t="n">
        <v>13280</v>
      </c>
      <c r="F43" s="45" t="n">
        <f aca="false">E43*I43</f>
        <v>996000</v>
      </c>
      <c r="G43" s="237" t="n">
        <f aca="false">H43/F43</f>
        <v>0.190763052208835</v>
      </c>
      <c r="H43" s="47" t="n">
        <v>190000</v>
      </c>
      <c r="I43" s="238" t="n">
        <v>75</v>
      </c>
      <c r="J43" s="238"/>
      <c r="K43" s="51" t="n">
        <v>996000</v>
      </c>
      <c r="L43" s="59" t="n">
        <f aca="false">M43*H43</f>
        <v>0</v>
      </c>
      <c r="M43" s="240"/>
      <c r="N43" s="200"/>
      <c r="O43" s="201" t="n">
        <f aca="false">N43/H43</f>
        <v>0</v>
      </c>
      <c r="P43" s="200"/>
      <c r="Q43" s="201" t="n">
        <f aca="false">P43/H43</f>
        <v>0</v>
      </c>
      <c r="R43" s="98"/>
      <c r="S43" s="45"/>
      <c r="T43" s="201" t="n">
        <f aca="false">S43/K43</f>
        <v>0</v>
      </c>
      <c r="U43" s="201"/>
      <c r="V43" s="201"/>
      <c r="W43" s="98" t="n">
        <f aca="false">F43+R43+S43</f>
        <v>996000</v>
      </c>
      <c r="X43" s="203" t="n">
        <f aca="false">H43+L43+N43+P43+U43</f>
        <v>190000</v>
      </c>
      <c r="Y43" s="100" t="n">
        <f aca="false">X43/W43</f>
        <v>0.190763052208835</v>
      </c>
      <c r="Z43" s="51" t="n">
        <v>996000</v>
      </c>
      <c r="AA43" s="51" t="n">
        <f aca="false">W43-Z43</f>
        <v>0</v>
      </c>
    </row>
    <row r="44" customFormat="false" ht="14.25" hidden="false" customHeight="false" outlineLevel="0" collapsed="false">
      <c r="A44" s="42" t="n">
        <v>45462</v>
      </c>
      <c r="B44" s="1" t="s">
        <v>13</v>
      </c>
      <c r="C44" s="2" t="s">
        <v>197</v>
      </c>
      <c r="D44" s="236" t="s">
        <v>198</v>
      </c>
      <c r="E44" s="45" t="n">
        <v>14140</v>
      </c>
      <c r="F44" s="45" t="n">
        <f aca="false">E44*I44</f>
        <v>1074640</v>
      </c>
      <c r="G44" s="237" t="n">
        <f aca="false">H44/F44</f>
        <v>0.176803394625177</v>
      </c>
      <c r="H44" s="47" t="n">
        <v>190000</v>
      </c>
      <c r="I44" s="238" t="n">
        <v>76</v>
      </c>
      <c r="J44" s="238"/>
      <c r="K44" s="51" t="n">
        <v>1074640</v>
      </c>
      <c r="L44" s="59" t="n">
        <f aca="false">M44*H44</f>
        <v>0</v>
      </c>
      <c r="M44" s="240"/>
      <c r="N44" s="200"/>
      <c r="O44" s="201" t="n">
        <f aca="false">N44/H44</f>
        <v>0</v>
      </c>
      <c r="P44" s="200"/>
      <c r="Q44" s="201" t="n">
        <f aca="false">P44/H44</f>
        <v>0</v>
      </c>
      <c r="R44" s="98"/>
      <c r="S44" s="45"/>
      <c r="T44" s="201" t="n">
        <f aca="false">S44/K44</f>
        <v>0</v>
      </c>
      <c r="U44" s="201"/>
      <c r="V44" s="201"/>
      <c r="W44" s="98" t="n">
        <f aca="false">F44+R44+S44</f>
        <v>1074640</v>
      </c>
      <c r="X44" s="203" t="n">
        <f aca="false">H44+L44+N44+P44+U44</f>
        <v>190000</v>
      </c>
      <c r="Y44" s="100" t="n">
        <f aca="false">X44/W44</f>
        <v>0.176803394625177</v>
      </c>
      <c r="Z44" s="51" t="n">
        <v>1074640</v>
      </c>
      <c r="AA44" s="51" t="n">
        <f aca="false">W44-Z44</f>
        <v>0</v>
      </c>
    </row>
    <row r="45" customFormat="false" ht="14.25" hidden="false" customHeight="false" outlineLevel="0" collapsed="false">
      <c r="A45" s="42" t="n">
        <v>45462</v>
      </c>
      <c r="B45" s="1" t="s">
        <v>17</v>
      </c>
      <c r="C45" s="2" t="s">
        <v>197</v>
      </c>
      <c r="D45" s="236" t="s">
        <v>199</v>
      </c>
      <c r="E45" s="45" t="n">
        <v>15020</v>
      </c>
      <c r="F45" s="45" t="n">
        <f aca="false">E45*I45</f>
        <v>1201600</v>
      </c>
      <c r="G45" s="237" t="n">
        <f aca="false">H45/F45</f>
        <v>0.15978694241012</v>
      </c>
      <c r="H45" s="47" t="n">
        <v>191999.99</v>
      </c>
      <c r="I45" s="238" t="n">
        <v>80</v>
      </c>
      <c r="J45" s="238"/>
      <c r="K45" s="51" t="n">
        <v>1201600</v>
      </c>
      <c r="L45" s="59" t="n">
        <f aca="false">M45*H45</f>
        <v>0</v>
      </c>
      <c r="M45" s="240"/>
      <c r="N45" s="200"/>
      <c r="O45" s="201" t="n">
        <f aca="false">N45/H45</f>
        <v>0</v>
      </c>
      <c r="P45" s="200"/>
      <c r="Q45" s="201" t="n">
        <f aca="false">P45/H45</f>
        <v>0</v>
      </c>
      <c r="R45" s="98"/>
      <c r="S45" s="45"/>
      <c r="T45" s="201" t="n">
        <f aca="false">S45/K45</f>
        <v>0</v>
      </c>
      <c r="U45" s="201"/>
      <c r="V45" s="201"/>
      <c r="W45" s="98" t="n">
        <f aca="false">F45+R45+S45</f>
        <v>1201600</v>
      </c>
      <c r="X45" s="203" t="n">
        <f aca="false">H45+L45+N45+P45+U45</f>
        <v>191999.99</v>
      </c>
      <c r="Y45" s="100" t="n">
        <f aca="false">X45/W45</f>
        <v>0.15978694241012</v>
      </c>
      <c r="Z45" s="51" t="n">
        <v>1201600</v>
      </c>
      <c r="AA45" s="51" t="n">
        <f aca="false">W45-Z45</f>
        <v>0</v>
      </c>
    </row>
    <row r="46" customFormat="false" ht="14.25" hidden="false" customHeight="false" outlineLevel="0" collapsed="false">
      <c r="A46" s="42" t="n">
        <v>45462</v>
      </c>
      <c r="B46" s="1" t="s">
        <v>15</v>
      </c>
      <c r="C46" s="2" t="s">
        <v>197</v>
      </c>
      <c r="D46" s="236" t="s">
        <v>200</v>
      </c>
      <c r="E46" s="45" t="n">
        <v>13020</v>
      </c>
      <c r="F46" s="45" t="n">
        <f aca="false">E46*I46</f>
        <v>1041600</v>
      </c>
      <c r="G46" s="237" t="n">
        <f aca="false">H46/F46</f>
        <v>0.297619086021505</v>
      </c>
      <c r="H46" s="47" t="n">
        <v>310000.04</v>
      </c>
      <c r="I46" s="238" t="n">
        <v>80</v>
      </c>
      <c r="J46" s="238"/>
      <c r="K46" s="51" t="n">
        <v>1041600</v>
      </c>
      <c r="L46" s="59" t="n">
        <f aca="false">M46*H46</f>
        <v>0</v>
      </c>
      <c r="M46" s="240"/>
      <c r="N46" s="200"/>
      <c r="O46" s="201" t="n">
        <f aca="false">N46/H46</f>
        <v>0</v>
      </c>
      <c r="P46" s="200"/>
      <c r="Q46" s="201" t="n">
        <f aca="false">P46/H46</f>
        <v>0</v>
      </c>
      <c r="R46" s="98"/>
      <c r="S46" s="45"/>
      <c r="T46" s="201" t="n">
        <f aca="false">S46/K46</f>
        <v>0</v>
      </c>
      <c r="U46" s="201"/>
      <c r="V46" s="201"/>
      <c r="W46" s="98" t="n">
        <f aca="false">F46+R46+S46</f>
        <v>1041600</v>
      </c>
      <c r="X46" s="203" t="n">
        <f aca="false">H46+L46+N46+P46+U46</f>
        <v>310000.04</v>
      </c>
      <c r="Y46" s="100" t="n">
        <f aca="false">X46/W46</f>
        <v>0.297619086021505</v>
      </c>
      <c r="Z46" s="51" t="n">
        <v>1041600</v>
      </c>
      <c r="AA46" s="51" t="n">
        <f aca="false">W46-Z46</f>
        <v>0</v>
      </c>
    </row>
    <row r="47" customFormat="false" ht="14.25" hidden="false" customHeight="false" outlineLevel="0" collapsed="false">
      <c r="A47" s="42" t="n">
        <v>45467</v>
      </c>
      <c r="B47" s="1" t="s">
        <v>22</v>
      </c>
      <c r="C47" s="2" t="s">
        <v>201</v>
      </c>
      <c r="D47" s="236" t="s">
        <v>202</v>
      </c>
      <c r="E47" s="45" t="n">
        <v>648</v>
      </c>
      <c r="F47" s="244" t="n">
        <f aca="false">E47*I47</f>
        <v>23911.2</v>
      </c>
      <c r="G47" s="237" t="n">
        <f aca="false">H47/F47</f>
        <v>0.951813376158453</v>
      </c>
      <c r="H47" s="47" t="n">
        <v>22759</v>
      </c>
      <c r="I47" s="238" t="n">
        <v>36.9</v>
      </c>
      <c r="J47" s="238"/>
      <c r="K47" s="51" t="n">
        <v>23911.2</v>
      </c>
      <c r="L47" s="59" t="n">
        <f aca="false">M47*H47</f>
        <v>0</v>
      </c>
      <c r="M47" s="240"/>
      <c r="N47" s="200"/>
      <c r="O47" s="201" t="n">
        <f aca="false">N47/H47</f>
        <v>0</v>
      </c>
      <c r="P47" s="200"/>
      <c r="Q47" s="201" t="n">
        <f aca="false">P47/H47</f>
        <v>0</v>
      </c>
      <c r="R47" s="98"/>
      <c r="S47" s="45"/>
      <c r="T47" s="201" t="n">
        <f aca="false">S47/K47</f>
        <v>0</v>
      </c>
      <c r="U47" s="201"/>
      <c r="V47" s="201"/>
      <c r="W47" s="98" t="n">
        <f aca="false">F47+R47+S47</f>
        <v>23911.2</v>
      </c>
      <c r="X47" s="203" t="n">
        <f aca="false">H47+L47+N47+P47+U47</f>
        <v>22759</v>
      </c>
      <c r="Y47" s="100" t="n">
        <f aca="false">X47/W47</f>
        <v>0.951813376158453</v>
      </c>
      <c r="Z47" s="51" t="n">
        <v>23911.2</v>
      </c>
      <c r="AA47" s="51" t="n">
        <f aca="false">W47-Z47</f>
        <v>0</v>
      </c>
    </row>
    <row r="48" customFormat="false" ht="14.25" hidden="false" customHeight="false" outlineLevel="0" collapsed="false">
      <c r="A48" s="42" t="n">
        <v>45471</v>
      </c>
      <c r="B48" s="1" t="s">
        <v>13</v>
      </c>
      <c r="C48" s="2" t="s">
        <v>203</v>
      </c>
      <c r="D48" s="236" t="s">
        <v>204</v>
      </c>
      <c r="E48" s="45" t="n">
        <v>14660</v>
      </c>
      <c r="F48" s="45" t="n">
        <f aca="false">E48*I48</f>
        <v>894260</v>
      </c>
      <c r="G48" s="237" t="n">
        <f aca="false">H48/F48</f>
        <v>0.19</v>
      </c>
      <c r="H48" s="47" t="n">
        <v>169909.4</v>
      </c>
      <c r="I48" s="238" t="n">
        <v>61</v>
      </c>
      <c r="J48" s="238"/>
      <c r="K48" s="51" t="n">
        <v>877471</v>
      </c>
      <c r="L48" s="59" t="n">
        <f aca="false">M48*H48</f>
        <v>4247.735</v>
      </c>
      <c r="M48" s="58" t="n">
        <v>0.025</v>
      </c>
      <c r="N48" s="200"/>
      <c r="O48" s="201" t="n">
        <f aca="false">N48/H48</f>
        <v>0</v>
      </c>
      <c r="P48" s="200" t="n">
        <v>4757.46</v>
      </c>
      <c r="Q48" s="201" t="n">
        <f aca="false">P48/H48</f>
        <v>0.0279999811664334</v>
      </c>
      <c r="R48" s="241" t="n">
        <v>-16789</v>
      </c>
      <c r="S48" s="45"/>
      <c r="T48" s="201" t="n">
        <f aca="false">S48/K48</f>
        <v>0</v>
      </c>
      <c r="U48" s="201"/>
      <c r="V48" s="201"/>
      <c r="W48" s="98" t="n">
        <f aca="false">F48+R48+S48</f>
        <v>877471</v>
      </c>
      <c r="X48" s="203" t="n">
        <f aca="false">H48+L48+N48+P48+U48</f>
        <v>178914.595</v>
      </c>
      <c r="Y48" s="100" t="n">
        <f aca="false">X48/W48</f>
        <v>0.203898014863169</v>
      </c>
      <c r="Z48" s="51" t="n">
        <v>877471</v>
      </c>
      <c r="AA48" s="51" t="n">
        <f aca="false">W48-Z48</f>
        <v>0</v>
      </c>
    </row>
    <row r="49" customFormat="false" ht="14.25" hidden="false" customHeight="false" outlineLevel="0" collapsed="false">
      <c r="A49" s="42" t="n">
        <v>45471</v>
      </c>
      <c r="B49" s="1" t="s">
        <v>15</v>
      </c>
      <c r="C49" s="2" t="s">
        <v>203</v>
      </c>
      <c r="D49" s="236" t="s">
        <v>205</v>
      </c>
      <c r="E49" s="45" t="n">
        <v>6280</v>
      </c>
      <c r="F49" s="45" t="n">
        <f aca="false">E49*I49</f>
        <v>439600</v>
      </c>
      <c r="G49" s="237" t="n">
        <f aca="false">H49/F49</f>
        <v>0.295</v>
      </c>
      <c r="H49" s="47" t="n">
        <v>129682</v>
      </c>
      <c r="I49" s="238" t="n">
        <v>70</v>
      </c>
      <c r="J49" s="238"/>
      <c r="K49" s="51" t="n">
        <v>440996</v>
      </c>
      <c r="L49" s="59" t="n">
        <f aca="false">M49*H49</f>
        <v>3242.05</v>
      </c>
      <c r="M49" s="240" t="n">
        <v>0.025</v>
      </c>
      <c r="N49" s="200"/>
      <c r="O49" s="201" t="n">
        <f aca="false">N49/H49</f>
        <v>0</v>
      </c>
      <c r="P49" s="200" t="n">
        <v>3631.09</v>
      </c>
      <c r="Q49" s="201" t="n">
        <f aca="false">P49/H49</f>
        <v>0.0279999537329776</v>
      </c>
      <c r="R49" s="241" t="n">
        <v>1396</v>
      </c>
      <c r="S49" s="45"/>
      <c r="T49" s="201" t="n">
        <f aca="false">S49/K49</f>
        <v>0</v>
      </c>
      <c r="U49" s="201"/>
      <c r="V49" s="201"/>
      <c r="W49" s="98" t="n">
        <f aca="false">F49+R49+S49</f>
        <v>440996</v>
      </c>
      <c r="X49" s="203" t="n">
        <f aca="false">H49+L49+N49+P49+U49</f>
        <v>136555.14</v>
      </c>
      <c r="Y49" s="100" t="n">
        <f aca="false">X49/W49</f>
        <v>0.309651652169181</v>
      </c>
      <c r="Z49" s="51" t="n">
        <v>440996</v>
      </c>
      <c r="AA49" s="51" t="n">
        <f aca="false">W49-Z49</f>
        <v>0</v>
      </c>
    </row>
    <row r="50" customFormat="false" ht="14.25" hidden="false" customHeight="false" outlineLevel="0" collapsed="false">
      <c r="A50" s="42" t="n">
        <v>45471</v>
      </c>
      <c r="B50" s="1" t="s">
        <v>13</v>
      </c>
      <c r="C50" s="2" t="s">
        <v>206</v>
      </c>
      <c r="D50" s="236" t="s">
        <v>207</v>
      </c>
      <c r="E50" s="45" t="n">
        <v>15435</v>
      </c>
      <c r="F50" s="244" t="n">
        <f aca="false">E50*I50</f>
        <v>1017166.5</v>
      </c>
      <c r="G50" s="237" t="n">
        <f aca="false">H50/F50</f>
        <v>0.191582793967359</v>
      </c>
      <c r="H50" s="47" t="n">
        <v>194871.6</v>
      </c>
      <c r="I50" s="238" t="n">
        <v>65.9</v>
      </c>
      <c r="J50" s="238"/>
      <c r="K50" s="51" t="n">
        <v>1017166.5</v>
      </c>
      <c r="L50" s="59" t="n">
        <f aca="false">M50*H50</f>
        <v>0</v>
      </c>
      <c r="M50" s="240"/>
      <c r="N50" s="200"/>
      <c r="O50" s="201" t="n">
        <f aca="false">N50/H50</f>
        <v>0</v>
      </c>
      <c r="P50" s="200"/>
      <c r="Q50" s="201" t="n">
        <f aca="false">P50/H50</f>
        <v>0</v>
      </c>
      <c r="R50" s="98"/>
      <c r="S50" s="45"/>
      <c r="T50" s="201" t="n">
        <f aca="false">S50/K50</f>
        <v>0</v>
      </c>
      <c r="U50" s="201"/>
      <c r="V50" s="201"/>
      <c r="W50" s="98" t="n">
        <f aca="false">F50+R50+S50</f>
        <v>1017166.5</v>
      </c>
      <c r="X50" s="203" t="n">
        <f aca="false">H50+L50+N50+P50+U50</f>
        <v>194871.6</v>
      </c>
      <c r="Y50" s="100" t="n">
        <f aca="false">X50/W50</f>
        <v>0.191582793967359</v>
      </c>
      <c r="Z50" s="51" t="n">
        <v>1017166.5</v>
      </c>
      <c r="AA50" s="51" t="n">
        <f aca="false">W50-Z50</f>
        <v>0</v>
      </c>
    </row>
    <row r="51" customFormat="false" ht="14.25" hidden="false" customHeight="false" outlineLevel="0" collapsed="false">
      <c r="A51" s="42" t="n">
        <v>45471</v>
      </c>
      <c r="B51" s="1" t="s">
        <v>17</v>
      </c>
      <c r="C51" s="2" t="s">
        <v>208</v>
      </c>
      <c r="D51" s="236" t="s">
        <v>209</v>
      </c>
      <c r="E51" s="45" t="n">
        <v>19128</v>
      </c>
      <c r="F51" s="244" t="n">
        <f aca="false">E51*I51</f>
        <v>1212715.2</v>
      </c>
      <c r="G51" s="237" t="n">
        <f aca="false">H51/F51</f>
        <v>0.189986074224187</v>
      </c>
      <c r="H51" s="47" t="n">
        <v>230399</v>
      </c>
      <c r="I51" s="238" t="n">
        <v>63.4</v>
      </c>
      <c r="J51" s="238"/>
      <c r="K51" s="51" t="n">
        <v>1212715.2</v>
      </c>
      <c r="L51" s="59" t="n">
        <f aca="false">M51*H51</f>
        <v>0</v>
      </c>
      <c r="M51" s="240"/>
      <c r="N51" s="200"/>
      <c r="O51" s="201" t="n">
        <f aca="false">N51/H51</f>
        <v>0</v>
      </c>
      <c r="P51" s="200"/>
      <c r="Q51" s="201" t="n">
        <f aca="false">P51/H51</f>
        <v>0</v>
      </c>
      <c r="R51" s="98"/>
      <c r="S51" s="45"/>
      <c r="T51" s="201" t="n">
        <f aca="false">S51/K51</f>
        <v>0</v>
      </c>
      <c r="U51" s="201"/>
      <c r="V51" s="201"/>
      <c r="W51" s="98" t="n">
        <f aca="false">F51+R51+S51</f>
        <v>1212715.2</v>
      </c>
      <c r="X51" s="203" t="n">
        <f aca="false">H51+L51+N51+P51+U51</f>
        <v>230399</v>
      </c>
      <c r="Y51" s="100" t="n">
        <f aca="false">X51/W51</f>
        <v>0.189986074224187</v>
      </c>
      <c r="Z51" s="51" t="n">
        <v>1212715.2</v>
      </c>
      <c r="AA51" s="51" t="n">
        <f aca="false">W51-Z51</f>
        <v>0</v>
      </c>
    </row>
    <row r="52" customFormat="false" ht="14.25" hidden="false" customHeight="false" outlineLevel="0" collapsed="false">
      <c r="A52" s="42" t="n">
        <v>45471</v>
      </c>
      <c r="B52" s="1" t="s">
        <v>15</v>
      </c>
      <c r="C52" s="2" t="s">
        <v>206</v>
      </c>
      <c r="D52" s="236" t="s">
        <v>210</v>
      </c>
      <c r="E52" s="45" t="n">
        <v>19030</v>
      </c>
      <c r="F52" s="45" t="n">
        <f aca="false">E52*I52</f>
        <v>1048553</v>
      </c>
      <c r="G52" s="237" t="n">
        <f aca="false">H52/F52</f>
        <v>0.298390696512241</v>
      </c>
      <c r="H52" s="47" t="n">
        <v>312878.46</v>
      </c>
      <c r="I52" s="238" t="n">
        <v>55.1</v>
      </c>
      <c r="J52" s="238"/>
      <c r="K52" s="51" t="n">
        <v>1048553</v>
      </c>
      <c r="L52" s="59" t="n">
        <f aca="false">M52*H52</f>
        <v>0</v>
      </c>
      <c r="M52" s="240"/>
      <c r="N52" s="200"/>
      <c r="O52" s="201" t="n">
        <f aca="false">N52/H52</f>
        <v>0</v>
      </c>
      <c r="P52" s="200"/>
      <c r="Q52" s="201" t="n">
        <f aca="false">P52/H52</f>
        <v>0</v>
      </c>
      <c r="R52" s="98"/>
      <c r="S52" s="45"/>
      <c r="T52" s="201" t="n">
        <f aca="false">S52/K52</f>
        <v>0</v>
      </c>
      <c r="U52" s="201"/>
      <c r="V52" s="201"/>
      <c r="W52" s="98" t="n">
        <f aca="false">F52+R52+S52</f>
        <v>1048553</v>
      </c>
      <c r="X52" s="203" t="n">
        <f aca="false">H52+L52+N52+P52+U52</f>
        <v>312878.46</v>
      </c>
      <c r="Y52" s="100" t="n">
        <f aca="false">X52/W52</f>
        <v>0.298390696512241</v>
      </c>
      <c r="Z52" s="51" t="n">
        <v>1048553</v>
      </c>
      <c r="AA52" s="51" t="n">
        <f aca="false">W52-Z52</f>
        <v>0</v>
      </c>
    </row>
    <row r="53" customFormat="false" ht="14.25" hidden="false" customHeight="false" outlineLevel="0" collapsed="false">
      <c r="A53" s="42" t="n">
        <v>45495</v>
      </c>
      <c r="B53" s="1" t="s">
        <v>7</v>
      </c>
      <c r="C53" s="2" t="s">
        <v>211</v>
      </c>
      <c r="D53" s="236" t="s">
        <v>212</v>
      </c>
      <c r="E53" s="45" t="n">
        <v>11447</v>
      </c>
      <c r="F53" s="245" t="n">
        <f aca="false">E53*I53</f>
        <v>956788.3374</v>
      </c>
      <c r="G53" s="237" t="n">
        <f aca="false">H53/F53</f>
        <v>0.203806832062667</v>
      </c>
      <c r="H53" s="47" t="n">
        <v>195000</v>
      </c>
      <c r="I53" s="238" t="n">
        <v>83.5842</v>
      </c>
      <c r="J53" s="238"/>
      <c r="K53" s="51" t="n">
        <v>956789.1</v>
      </c>
      <c r="L53" s="59" t="n">
        <f aca="false">M53*H53</f>
        <v>0</v>
      </c>
      <c r="M53" s="240"/>
      <c r="N53" s="200"/>
      <c r="O53" s="201" t="n">
        <f aca="false">N53/H53</f>
        <v>0</v>
      </c>
      <c r="P53" s="200"/>
      <c r="Q53" s="201" t="n">
        <f aca="false">P53/H53</f>
        <v>0</v>
      </c>
      <c r="R53" s="98" t="n">
        <v>1</v>
      </c>
      <c r="S53" s="45"/>
      <c r="T53" s="201" t="n">
        <f aca="false">S53/K53</f>
        <v>0</v>
      </c>
      <c r="U53" s="201"/>
      <c r="V53" s="201"/>
      <c r="W53" s="98" t="n">
        <f aca="false">F53+R53+S53</f>
        <v>956789.3374</v>
      </c>
      <c r="X53" s="203" t="n">
        <f aca="false">H53+L53+N53+P53+U53</f>
        <v>195000</v>
      </c>
      <c r="Y53" s="100" t="n">
        <f aca="false">X53/W53</f>
        <v>0.20380661905148</v>
      </c>
      <c r="Z53" s="242" t="n">
        <v>956789.1</v>
      </c>
      <c r="AA53" s="51" t="n">
        <f aca="false">W53-Z53</f>
        <v>0.237399999983609</v>
      </c>
    </row>
    <row r="54" customFormat="false" ht="14.25" hidden="false" customHeight="false" outlineLevel="0" collapsed="false">
      <c r="A54" s="42" t="n">
        <v>45496</v>
      </c>
      <c r="B54" s="1" t="s">
        <v>21</v>
      </c>
      <c r="C54" s="2" t="s">
        <v>213</v>
      </c>
      <c r="D54" s="236" t="s">
        <v>214</v>
      </c>
      <c r="E54" s="45" t="n">
        <v>6000</v>
      </c>
      <c r="F54" s="45" t="n">
        <f aca="false">E54*I54</f>
        <v>6000</v>
      </c>
      <c r="G54" s="237" t="n">
        <f aca="false">H54/F54</f>
        <v>2.6</v>
      </c>
      <c r="H54" s="47" t="n">
        <v>15600</v>
      </c>
      <c r="I54" s="238" t="n">
        <v>1</v>
      </c>
      <c r="J54" s="238"/>
      <c r="K54" s="51" t="n">
        <v>6000</v>
      </c>
      <c r="L54" s="59" t="n">
        <f aca="false">M54*H54</f>
        <v>0</v>
      </c>
      <c r="M54" s="240"/>
      <c r="N54" s="200"/>
      <c r="O54" s="201" t="n">
        <f aca="false">N54/H54</f>
        <v>0</v>
      </c>
      <c r="P54" s="200"/>
      <c r="Q54" s="201" t="n">
        <f aca="false">P54/H54</f>
        <v>0</v>
      </c>
      <c r="R54" s="98"/>
      <c r="S54" s="45"/>
      <c r="T54" s="201" t="n">
        <f aca="false">S54/K54</f>
        <v>0</v>
      </c>
      <c r="U54" s="201"/>
      <c r="V54" s="201"/>
      <c r="W54" s="98" t="n">
        <f aca="false">F54+R54+S54</f>
        <v>6000</v>
      </c>
      <c r="X54" s="203" t="n">
        <f aca="false">H54+L54+N54+P54+U54</f>
        <v>15600</v>
      </c>
      <c r="Y54" s="100" t="n">
        <f aca="false">X54/W54</f>
        <v>2.6</v>
      </c>
      <c r="Z54" s="51" t="n">
        <v>6000</v>
      </c>
      <c r="AA54" s="51" t="n">
        <f aca="false">W54-Z54</f>
        <v>0</v>
      </c>
      <c r="AB54" s="0" t="n">
        <v>99.1</v>
      </c>
    </row>
    <row r="55" customFormat="false" ht="14.25" hidden="false" customHeight="false" outlineLevel="0" collapsed="false">
      <c r="A55" s="42" t="n">
        <v>45504</v>
      </c>
      <c r="B55" s="1" t="s">
        <v>16</v>
      </c>
      <c r="C55" s="2" t="s">
        <v>215</v>
      </c>
      <c r="D55" s="236" t="s">
        <v>216</v>
      </c>
      <c r="E55" s="45" t="n">
        <v>5501</v>
      </c>
      <c r="F55" s="244" t="n">
        <f aca="false">E55*I55</f>
        <v>505541.9</v>
      </c>
      <c r="G55" s="237" t="n">
        <f aca="false">H55/F55</f>
        <v>0.439132740530508</v>
      </c>
      <c r="H55" s="47" t="n">
        <v>222000</v>
      </c>
      <c r="I55" s="238" t="n">
        <v>91.9</v>
      </c>
      <c r="J55" s="238"/>
      <c r="K55" s="242" t="n">
        <v>505541.9</v>
      </c>
      <c r="L55" s="59" t="n">
        <f aca="false">M55*H55</f>
        <v>0</v>
      </c>
      <c r="M55" s="240"/>
      <c r="N55" s="200"/>
      <c r="O55" s="201" t="n">
        <f aca="false">N55/H55</f>
        <v>0</v>
      </c>
      <c r="P55" s="200"/>
      <c r="Q55" s="201" t="n">
        <f aca="false">P55/H55</f>
        <v>0</v>
      </c>
      <c r="R55" s="98"/>
      <c r="S55" s="45"/>
      <c r="T55" s="201" t="n">
        <f aca="false">S55/K55</f>
        <v>0</v>
      </c>
      <c r="U55" s="201"/>
      <c r="V55" s="201"/>
      <c r="W55" s="98" t="n">
        <f aca="false">F55+R55+S55</f>
        <v>505541.9</v>
      </c>
      <c r="X55" s="203" t="n">
        <f aca="false">H55+L55+N55+P55+U55</f>
        <v>222000</v>
      </c>
      <c r="Y55" s="100" t="n">
        <f aca="false">X55/W55</f>
        <v>0.439132740530508</v>
      </c>
      <c r="Z55" s="51" t="n">
        <v>505541.9</v>
      </c>
      <c r="AA55" s="51" t="n">
        <f aca="false">W55-Z55</f>
        <v>0</v>
      </c>
    </row>
    <row r="56" customFormat="false" ht="14.25" hidden="false" customHeight="false" outlineLevel="0" collapsed="false">
      <c r="A56" s="42" t="n">
        <v>45504</v>
      </c>
      <c r="B56" s="1" t="s">
        <v>22</v>
      </c>
      <c r="C56" s="2" t="s">
        <v>215</v>
      </c>
      <c r="D56" s="236" t="s">
        <v>217</v>
      </c>
      <c r="E56" s="45" t="n">
        <v>4652</v>
      </c>
      <c r="F56" s="244" t="n">
        <f aca="false">E56*I56</f>
        <v>434496.8</v>
      </c>
      <c r="G56" s="237" t="n">
        <f aca="false">H56/F56</f>
        <v>0.747991699823796</v>
      </c>
      <c r="H56" s="47" t="n">
        <v>325000</v>
      </c>
      <c r="I56" s="238" t="n">
        <v>93.4</v>
      </c>
      <c r="J56" s="238"/>
      <c r="K56" s="242" t="n">
        <v>434496.8</v>
      </c>
      <c r="L56" s="59" t="n">
        <f aca="false">M56*H56</f>
        <v>0</v>
      </c>
      <c r="M56" s="240"/>
      <c r="N56" s="200"/>
      <c r="O56" s="201" t="n">
        <f aca="false">N56/H56</f>
        <v>0</v>
      </c>
      <c r="P56" s="200"/>
      <c r="Q56" s="201" t="n">
        <f aca="false">P56/H56</f>
        <v>0</v>
      </c>
      <c r="R56" s="98"/>
      <c r="S56" s="45"/>
      <c r="T56" s="201" t="n">
        <f aca="false">S56/K56</f>
        <v>0</v>
      </c>
      <c r="U56" s="201"/>
      <c r="V56" s="201"/>
      <c r="W56" s="98" t="n">
        <f aca="false">F56+R56+S56</f>
        <v>434496.8</v>
      </c>
      <c r="X56" s="203" t="n">
        <f aca="false">H56+L56+N56+P56+U56</f>
        <v>325000</v>
      </c>
      <c r="Y56" s="100" t="n">
        <f aca="false">X56/W56</f>
        <v>0.747991699823796</v>
      </c>
      <c r="Z56" s="51" t="n">
        <v>434496.7</v>
      </c>
      <c r="AA56" s="51" t="n">
        <f aca="false">W56-Z56</f>
        <v>0.100000000034925</v>
      </c>
    </row>
    <row r="57" customFormat="false" ht="14.25" hidden="false" customHeight="false" outlineLevel="0" collapsed="false">
      <c r="A57" s="42" t="n">
        <v>45506</v>
      </c>
      <c r="B57" s="1" t="s">
        <v>6</v>
      </c>
      <c r="C57" s="2" t="s">
        <v>218</v>
      </c>
      <c r="D57" s="236" t="s">
        <v>219</v>
      </c>
      <c r="E57" s="45" t="n">
        <v>13420</v>
      </c>
      <c r="F57" s="45" t="n">
        <f aca="false">E57*I57</f>
        <v>1011868</v>
      </c>
      <c r="G57" s="237" t="n">
        <f aca="false">H57/F57</f>
        <v>0.194157034316729</v>
      </c>
      <c r="H57" s="47" t="n">
        <v>196461.29</v>
      </c>
      <c r="I57" s="238" t="n">
        <v>75.4</v>
      </c>
      <c r="J57" s="238"/>
      <c r="K57" s="51" t="n">
        <v>1011868</v>
      </c>
      <c r="L57" s="59" t="n">
        <f aca="false">M57*H57</f>
        <v>0</v>
      </c>
      <c r="M57" s="240"/>
      <c r="N57" s="200"/>
      <c r="O57" s="201" t="n">
        <f aca="false">N57/H57</f>
        <v>0</v>
      </c>
      <c r="P57" s="200"/>
      <c r="Q57" s="201" t="n">
        <f aca="false">P57/H57</f>
        <v>0</v>
      </c>
      <c r="R57" s="98"/>
      <c r="S57" s="45"/>
      <c r="T57" s="201" t="n">
        <f aca="false">S57/K57</f>
        <v>0</v>
      </c>
      <c r="U57" s="201"/>
      <c r="V57" s="201"/>
      <c r="W57" s="98" t="n">
        <f aca="false">F57+R57+S57</f>
        <v>1011868</v>
      </c>
      <c r="X57" s="203" t="n">
        <f aca="false">H57+L57+N57+P57+U57</f>
        <v>196461.29</v>
      </c>
      <c r="Y57" s="100" t="n">
        <f aca="false">X57/W57</f>
        <v>0.194157034316729</v>
      </c>
      <c r="Z57" s="51" t="n">
        <v>1011868</v>
      </c>
      <c r="AA57" s="51" t="n">
        <f aca="false">W57-Z57</f>
        <v>0</v>
      </c>
    </row>
    <row r="58" customFormat="false" ht="14.25" hidden="false" customHeight="false" outlineLevel="0" collapsed="false">
      <c r="A58" s="42" t="n">
        <v>45513</v>
      </c>
      <c r="B58" s="1" t="s">
        <v>6</v>
      </c>
      <c r="C58" s="2" t="s">
        <v>220</v>
      </c>
      <c r="D58" s="236" t="s">
        <v>221</v>
      </c>
      <c r="E58" s="45" t="n">
        <v>39580</v>
      </c>
      <c r="F58" s="45" t="n">
        <f aca="false">E58*I58</f>
        <v>3150568</v>
      </c>
      <c r="G58" s="237" t="n">
        <f aca="false">H58/F58</f>
        <v>0.178531620330048</v>
      </c>
      <c r="H58" s="47" t="n">
        <v>562476.01</v>
      </c>
      <c r="I58" s="238" t="n">
        <v>79.6</v>
      </c>
      <c r="J58" s="238"/>
      <c r="K58" s="51" t="n">
        <v>3150568</v>
      </c>
      <c r="L58" s="59" t="n">
        <f aca="false">M58*H58</f>
        <v>0</v>
      </c>
      <c r="M58" s="240"/>
      <c r="N58" s="200"/>
      <c r="O58" s="201" t="n">
        <f aca="false">N58/H58</f>
        <v>0</v>
      </c>
      <c r="P58" s="200"/>
      <c r="Q58" s="201" t="n">
        <f aca="false">P58/H58</f>
        <v>0</v>
      </c>
      <c r="R58" s="98"/>
      <c r="S58" s="45"/>
      <c r="T58" s="201" t="n">
        <f aca="false">S58/K58</f>
        <v>0</v>
      </c>
      <c r="U58" s="201"/>
      <c r="V58" s="201"/>
      <c r="W58" s="98" t="n">
        <f aca="false">F58+R58+S58</f>
        <v>3150568</v>
      </c>
      <c r="X58" s="203" t="n">
        <f aca="false">H58+L58+N58+P58+U58</f>
        <v>562476.01</v>
      </c>
      <c r="Y58" s="100" t="n">
        <f aca="false">X58/W58</f>
        <v>0.178531620330048</v>
      </c>
      <c r="Z58" s="51" t="n">
        <v>3150568</v>
      </c>
      <c r="AA58" s="51" t="n">
        <f aca="false">W58-Z58</f>
        <v>0</v>
      </c>
    </row>
    <row r="59" customFormat="false" ht="14.25" hidden="false" customHeight="false" outlineLevel="0" collapsed="false">
      <c r="A59" s="42" t="n">
        <v>45513</v>
      </c>
      <c r="B59" s="1" t="s">
        <v>6</v>
      </c>
      <c r="C59" s="2" t="s">
        <v>220</v>
      </c>
      <c r="D59" s="236" t="s">
        <v>222</v>
      </c>
      <c r="E59" s="45" t="n">
        <v>8120</v>
      </c>
      <c r="F59" s="45" t="n">
        <f aca="false">E59*I59</f>
        <v>647164</v>
      </c>
      <c r="G59" s="237" t="n">
        <f aca="false">H59/F59</f>
        <v>0.178501894419343</v>
      </c>
      <c r="H59" s="47" t="n">
        <v>115520</v>
      </c>
      <c r="I59" s="238" t="n">
        <v>79.7</v>
      </c>
      <c r="J59" s="238"/>
      <c r="K59" s="51" t="n">
        <v>647164</v>
      </c>
      <c r="L59" s="59" t="n">
        <f aca="false">M59*H59</f>
        <v>0</v>
      </c>
      <c r="M59" s="240"/>
      <c r="N59" s="200"/>
      <c r="O59" s="201" t="n">
        <f aca="false">N59/H59</f>
        <v>0</v>
      </c>
      <c r="P59" s="200"/>
      <c r="Q59" s="201" t="n">
        <f aca="false">P59/H59</f>
        <v>0</v>
      </c>
      <c r="R59" s="98"/>
      <c r="S59" s="45"/>
      <c r="T59" s="201" t="n">
        <f aca="false">S59/K59</f>
        <v>0</v>
      </c>
      <c r="U59" s="201"/>
      <c r="V59" s="201"/>
      <c r="W59" s="98" t="n">
        <f aca="false">F59+R59+S59</f>
        <v>647164</v>
      </c>
      <c r="X59" s="203" t="n">
        <f aca="false">H59+L59+N59+P59+U59</f>
        <v>115520</v>
      </c>
      <c r="Y59" s="100" t="n">
        <f aca="false">X59/W59</f>
        <v>0.178501894419343</v>
      </c>
      <c r="Z59" s="51" t="n">
        <v>647164</v>
      </c>
      <c r="AA59" s="51" t="n">
        <f aca="false">W59-Z59</f>
        <v>0</v>
      </c>
    </row>
    <row r="60" customFormat="false" ht="14.25" hidden="false" customHeight="false" outlineLevel="0" collapsed="false">
      <c r="A60" s="42" t="n">
        <v>45513</v>
      </c>
      <c r="B60" s="1" t="s">
        <v>52</v>
      </c>
      <c r="C60" s="2" t="s">
        <v>220</v>
      </c>
      <c r="D60" s="236" t="s">
        <v>223</v>
      </c>
      <c r="E60" s="45" t="n">
        <v>38580</v>
      </c>
      <c r="F60" s="45" t="n">
        <f aca="false">E60*I60</f>
        <v>3217572</v>
      </c>
      <c r="G60" s="237" t="n">
        <f aca="false">H60/F60</f>
        <v>0.185135872639369</v>
      </c>
      <c r="H60" s="47" t="n">
        <v>595688</v>
      </c>
      <c r="I60" s="238" t="n">
        <v>83.4</v>
      </c>
      <c r="J60" s="238"/>
      <c r="K60" s="51" t="n">
        <v>3217572</v>
      </c>
      <c r="L60" s="59" t="n">
        <f aca="false">M60*H60</f>
        <v>0</v>
      </c>
      <c r="M60" s="240"/>
      <c r="N60" s="200"/>
      <c r="O60" s="201" t="n">
        <f aca="false">N60/H60</f>
        <v>0</v>
      </c>
      <c r="P60" s="200"/>
      <c r="Q60" s="201" t="n">
        <f aca="false">P60/H60</f>
        <v>0</v>
      </c>
      <c r="R60" s="98"/>
      <c r="S60" s="45"/>
      <c r="T60" s="201" t="n">
        <f aca="false">S60/K60</f>
        <v>0</v>
      </c>
      <c r="U60" s="201"/>
      <c r="V60" s="201"/>
      <c r="W60" s="98" t="n">
        <f aca="false">F60+R60+S60</f>
        <v>3217572</v>
      </c>
      <c r="X60" s="203" t="n">
        <f aca="false">H60+L60+N60+P60+U60</f>
        <v>595688</v>
      </c>
      <c r="Y60" s="100" t="n">
        <f aca="false">X60/W60</f>
        <v>0.185135872639369</v>
      </c>
      <c r="Z60" s="51" t="n">
        <v>3217572</v>
      </c>
      <c r="AA60" s="51" t="n">
        <f aca="false">W60-Z60</f>
        <v>0</v>
      </c>
    </row>
    <row r="61" customFormat="false" ht="14.25" hidden="false" customHeight="false" outlineLevel="0" collapsed="false">
      <c r="A61" s="42" t="n">
        <v>45513</v>
      </c>
      <c r="B61" s="1" t="s">
        <v>52</v>
      </c>
      <c r="C61" s="2" t="s">
        <v>220</v>
      </c>
      <c r="D61" s="236" t="s">
        <v>224</v>
      </c>
      <c r="E61" s="45" t="n">
        <v>13200</v>
      </c>
      <c r="F61" s="45" t="n">
        <f aca="false">E61*I61</f>
        <v>1128600</v>
      </c>
      <c r="G61" s="237" t="n">
        <f aca="false">H61/F61</f>
        <v>0.249713804713805</v>
      </c>
      <c r="H61" s="47" t="n">
        <v>281827</v>
      </c>
      <c r="I61" s="238" t="n">
        <v>85.5</v>
      </c>
      <c r="J61" s="238"/>
      <c r="K61" s="51" t="n">
        <v>1128600</v>
      </c>
      <c r="L61" s="59" t="n">
        <f aca="false">M61*H61</f>
        <v>0</v>
      </c>
      <c r="M61" s="240"/>
      <c r="N61" s="200"/>
      <c r="O61" s="201" t="n">
        <f aca="false">N61/H61</f>
        <v>0</v>
      </c>
      <c r="P61" s="200"/>
      <c r="Q61" s="201" t="n">
        <f aca="false">P61/H61</f>
        <v>0</v>
      </c>
      <c r="R61" s="98"/>
      <c r="S61" s="45"/>
      <c r="T61" s="201" t="n">
        <f aca="false">S61/K61</f>
        <v>0</v>
      </c>
      <c r="U61" s="201"/>
      <c r="V61" s="201"/>
      <c r="W61" s="98" t="n">
        <f aca="false">F61+R61+S61</f>
        <v>1128600</v>
      </c>
      <c r="X61" s="203" t="n">
        <f aca="false">H61+L61+N61+P61+U61</f>
        <v>281827</v>
      </c>
      <c r="Y61" s="100" t="n">
        <f aca="false">X61/W61</f>
        <v>0.249713804713805</v>
      </c>
      <c r="Z61" s="51" t="n">
        <v>1128600</v>
      </c>
      <c r="AA61" s="51" t="n">
        <f aca="false">W61-Z61</f>
        <v>0</v>
      </c>
    </row>
    <row r="62" customFormat="false" ht="14.25" hidden="false" customHeight="false" outlineLevel="0" collapsed="false">
      <c r="A62" s="42" t="n">
        <v>45513</v>
      </c>
      <c r="B62" s="1" t="s">
        <v>52</v>
      </c>
      <c r="C62" s="2" t="s">
        <v>220</v>
      </c>
      <c r="D62" s="236" t="s">
        <v>225</v>
      </c>
      <c r="E62" s="45" t="n">
        <v>17600</v>
      </c>
      <c r="F62" s="45" t="n">
        <f aca="false">E62*I62</f>
        <v>1496000</v>
      </c>
      <c r="G62" s="237" t="n">
        <f aca="false">H62/F62</f>
        <v>0.141293455882353</v>
      </c>
      <c r="H62" s="47" t="n">
        <v>211375.01</v>
      </c>
      <c r="I62" s="238" t="n">
        <v>85</v>
      </c>
      <c r="J62" s="238"/>
      <c r="K62" s="51" t="n">
        <v>1496000</v>
      </c>
      <c r="L62" s="59" t="n">
        <f aca="false">M62*H62</f>
        <v>0</v>
      </c>
      <c r="M62" s="240"/>
      <c r="N62" s="200"/>
      <c r="O62" s="201" t="n">
        <f aca="false">N62/H62</f>
        <v>0</v>
      </c>
      <c r="P62" s="200"/>
      <c r="Q62" s="201" t="n">
        <f aca="false">P62/H62</f>
        <v>0</v>
      </c>
      <c r="R62" s="98"/>
      <c r="S62" s="45"/>
      <c r="T62" s="201" t="n">
        <f aca="false">S62/K62</f>
        <v>0</v>
      </c>
      <c r="U62" s="201"/>
      <c r="V62" s="201"/>
      <c r="W62" s="98" t="n">
        <f aca="false">F62+R62+S62</f>
        <v>1496000</v>
      </c>
      <c r="X62" s="203" t="n">
        <f aca="false">H62+L62+N62+P62+U62</f>
        <v>211375.01</v>
      </c>
      <c r="Y62" s="100" t="n">
        <f aca="false">X62/W62</f>
        <v>0.141293455882353</v>
      </c>
      <c r="Z62" s="51" t="n">
        <v>1496000</v>
      </c>
      <c r="AA62" s="51" t="n">
        <f aca="false">W62-Z62</f>
        <v>0</v>
      </c>
    </row>
    <row r="63" customFormat="false" ht="14.25" hidden="false" customHeight="false" outlineLevel="0" collapsed="false">
      <c r="A63" s="42" t="n">
        <v>45516</v>
      </c>
      <c r="B63" s="1" t="s">
        <v>21</v>
      </c>
      <c r="C63" s="2" t="s">
        <v>215</v>
      </c>
      <c r="D63" s="236" t="s">
        <v>226</v>
      </c>
      <c r="E63" s="45" t="n">
        <v>7000</v>
      </c>
      <c r="F63" s="45" t="n">
        <f aca="false">E63*I63</f>
        <v>7000</v>
      </c>
      <c r="G63" s="237" t="n">
        <f aca="false">H63/F63</f>
        <v>2.6</v>
      </c>
      <c r="H63" s="47" t="n">
        <v>18200</v>
      </c>
      <c r="I63" s="238" t="n">
        <v>1</v>
      </c>
      <c r="J63" s="238"/>
      <c r="K63" s="51" t="n">
        <v>7000</v>
      </c>
      <c r="L63" s="59" t="n">
        <f aca="false">M63*H63</f>
        <v>0</v>
      </c>
      <c r="M63" s="240"/>
      <c r="N63" s="200"/>
      <c r="O63" s="201" t="n">
        <f aca="false">N63/H63</f>
        <v>0</v>
      </c>
      <c r="P63" s="200"/>
      <c r="Q63" s="201" t="n">
        <f aca="false">P63/H63</f>
        <v>0</v>
      </c>
      <c r="R63" s="98"/>
      <c r="S63" s="45"/>
      <c r="T63" s="201" t="n">
        <f aca="false">S63/K63</f>
        <v>0</v>
      </c>
      <c r="U63" s="201"/>
      <c r="V63" s="201"/>
      <c r="W63" s="98" t="n">
        <f aca="false">F63+R63+S63</f>
        <v>7000</v>
      </c>
      <c r="X63" s="203" t="n">
        <f aca="false">H63+L63+N63+P63+U63</f>
        <v>18200</v>
      </c>
      <c r="Y63" s="100" t="n">
        <f aca="false">X63/W63</f>
        <v>2.6</v>
      </c>
      <c r="Z63" s="51" t="n">
        <v>7000</v>
      </c>
      <c r="AA63" s="51" t="n">
        <f aca="false">W63-Z63</f>
        <v>0</v>
      </c>
    </row>
    <row r="64" customFormat="false" ht="14.25" hidden="false" customHeight="false" outlineLevel="0" collapsed="false">
      <c r="A64" s="42" t="n">
        <v>45516</v>
      </c>
      <c r="B64" s="1" t="s">
        <v>13</v>
      </c>
      <c r="C64" s="2" t="s">
        <v>203</v>
      </c>
      <c r="D64" s="236" t="s">
        <v>227</v>
      </c>
      <c r="E64" s="45" t="n">
        <v>16200</v>
      </c>
      <c r="F64" s="45" t="n">
        <f aca="false">E64*I64</f>
        <v>957420</v>
      </c>
      <c r="G64" s="237" t="n">
        <f aca="false">H64/F64</f>
        <v>0.204549727392367</v>
      </c>
      <c r="H64" s="47" t="n">
        <v>195840</v>
      </c>
      <c r="I64" s="238" t="n">
        <v>59.1</v>
      </c>
      <c r="J64" s="238"/>
      <c r="K64" s="51" t="n">
        <v>957420</v>
      </c>
      <c r="L64" s="59" t="n">
        <f aca="false">M64*H64</f>
        <v>0</v>
      </c>
      <c r="M64" s="240"/>
      <c r="N64" s="200"/>
      <c r="O64" s="201" t="n">
        <f aca="false">N64/H64</f>
        <v>0</v>
      </c>
      <c r="P64" s="200"/>
      <c r="Q64" s="201" t="n">
        <f aca="false">P64/H64</f>
        <v>0</v>
      </c>
      <c r="R64" s="98"/>
      <c r="S64" s="45"/>
      <c r="T64" s="201" t="n">
        <f aca="false">S64/K64</f>
        <v>0</v>
      </c>
      <c r="U64" s="201"/>
      <c r="V64" s="201"/>
      <c r="W64" s="98" t="n">
        <f aca="false">F64+R64+S64</f>
        <v>957420</v>
      </c>
      <c r="X64" s="203" t="n">
        <f aca="false">H64+L64+N64+P64+U64</f>
        <v>195840</v>
      </c>
      <c r="Y64" s="100" t="n">
        <f aca="false">X64/W64</f>
        <v>0.204549727392367</v>
      </c>
      <c r="Z64" s="51" t="n">
        <v>957420</v>
      </c>
      <c r="AA64" s="51" t="n">
        <f aca="false">W64-Z64</f>
        <v>0</v>
      </c>
    </row>
    <row r="65" customFormat="false" ht="14.25" hidden="false" customHeight="false" outlineLevel="0" collapsed="false">
      <c r="A65" s="42" t="n">
        <v>45516</v>
      </c>
      <c r="B65" s="1" t="s">
        <v>13</v>
      </c>
      <c r="C65" s="2" t="s">
        <v>228</v>
      </c>
      <c r="D65" s="236" t="s">
        <v>229</v>
      </c>
      <c r="E65" s="45" t="n">
        <v>31420</v>
      </c>
      <c r="F65" s="45" t="n">
        <f aca="false">E65*I65</f>
        <v>2252814</v>
      </c>
      <c r="G65" s="237" t="n">
        <f aca="false">H65/F65</f>
        <v>0.186413969373415</v>
      </c>
      <c r="H65" s="47" t="n">
        <v>419956</v>
      </c>
      <c r="I65" s="238" t="n">
        <v>71.7</v>
      </c>
      <c r="J65" s="238"/>
      <c r="K65" s="51" t="n">
        <v>2252814</v>
      </c>
      <c r="L65" s="59" t="n">
        <f aca="false">M65*H65</f>
        <v>0</v>
      </c>
      <c r="M65" s="240"/>
      <c r="N65" s="200"/>
      <c r="O65" s="201" t="n">
        <f aca="false">N65/H65</f>
        <v>0</v>
      </c>
      <c r="P65" s="200"/>
      <c r="Q65" s="201" t="n">
        <f aca="false">P65/H65</f>
        <v>0</v>
      </c>
      <c r="R65" s="98"/>
      <c r="S65" s="45"/>
      <c r="T65" s="201" t="n">
        <f aca="false">S65/K65</f>
        <v>0</v>
      </c>
      <c r="U65" s="201"/>
      <c r="V65" s="201"/>
      <c r="W65" s="98" t="n">
        <f aca="false">F65+R65+S65</f>
        <v>2252814</v>
      </c>
      <c r="X65" s="203" t="n">
        <f aca="false">H65+L65+N65+P65+U65</f>
        <v>419956</v>
      </c>
      <c r="Y65" s="100" t="n">
        <f aca="false">X65/W65</f>
        <v>0.186413969373415</v>
      </c>
      <c r="Z65" s="51" t="n">
        <v>2252814</v>
      </c>
      <c r="AA65" s="51" t="n">
        <f aca="false">W65-Z65</f>
        <v>0</v>
      </c>
    </row>
    <row r="66" customFormat="false" ht="14.25" hidden="false" customHeight="false" outlineLevel="0" collapsed="false">
      <c r="A66" s="42" t="n">
        <v>45551</v>
      </c>
      <c r="B66" s="1" t="s">
        <v>42</v>
      </c>
      <c r="C66" s="2" t="s">
        <v>220</v>
      </c>
      <c r="D66" s="236" t="s">
        <v>230</v>
      </c>
      <c r="E66" s="45" t="n">
        <v>20900</v>
      </c>
      <c r="F66" s="45" t="n">
        <f aca="false">E66*I66</f>
        <v>1588400</v>
      </c>
      <c r="G66" s="237" t="n">
        <f aca="false">H66/F66</f>
        <v>0.175263151599093</v>
      </c>
      <c r="H66" s="47" t="n">
        <v>278387.99</v>
      </c>
      <c r="I66" s="238" t="n">
        <v>76</v>
      </c>
      <c r="J66" s="238"/>
      <c r="K66" s="51" t="n">
        <v>1588400</v>
      </c>
      <c r="L66" s="59" t="n">
        <f aca="false">M66*H66</f>
        <v>0</v>
      </c>
      <c r="M66" s="240"/>
      <c r="N66" s="200"/>
      <c r="O66" s="201" t="n">
        <f aca="false">N66/H66</f>
        <v>0</v>
      </c>
      <c r="P66" s="200"/>
      <c r="Q66" s="201" t="n">
        <f aca="false">P66/H66</f>
        <v>0</v>
      </c>
      <c r="R66" s="98"/>
      <c r="S66" s="45"/>
      <c r="T66" s="201" t="n">
        <f aca="false">S66/K66</f>
        <v>0</v>
      </c>
      <c r="U66" s="201"/>
      <c r="V66" s="201"/>
      <c r="W66" s="98" t="n">
        <f aca="false">F66+R66+S66</f>
        <v>1588400</v>
      </c>
      <c r="X66" s="203" t="n">
        <f aca="false">H66+L66+N66+P66+U66</f>
        <v>278387.99</v>
      </c>
      <c r="Y66" s="100" t="n">
        <f aca="false">X66/W66</f>
        <v>0.175263151599093</v>
      </c>
      <c r="Z66" s="51" t="n">
        <v>1588400</v>
      </c>
      <c r="AA66" s="51" t="n">
        <f aca="false">W66-Z66</f>
        <v>0</v>
      </c>
    </row>
    <row r="67" customFormat="false" ht="14.25" hidden="false" customHeight="false" outlineLevel="0" collapsed="false">
      <c r="A67" s="42" t="n">
        <v>45551</v>
      </c>
      <c r="B67" s="1" t="s">
        <v>6</v>
      </c>
      <c r="C67" s="2" t="s">
        <v>220</v>
      </c>
      <c r="D67" s="236" t="s">
        <v>231</v>
      </c>
      <c r="E67" s="45" t="n">
        <v>20540</v>
      </c>
      <c r="F67" s="45" t="n">
        <f aca="false">E67*I67</f>
        <v>1632930</v>
      </c>
      <c r="G67" s="237" t="n">
        <f aca="false">H67/F67</f>
        <v>0.177174159333223</v>
      </c>
      <c r="H67" s="47" t="n">
        <v>289313</v>
      </c>
      <c r="I67" s="238" t="n">
        <v>79.5</v>
      </c>
      <c r="J67" s="238"/>
      <c r="K67" s="51" t="n">
        <v>1632930</v>
      </c>
      <c r="L67" s="59" t="n">
        <f aca="false">M67*H67</f>
        <v>0</v>
      </c>
      <c r="M67" s="240"/>
      <c r="N67" s="200"/>
      <c r="O67" s="201" t="n">
        <f aca="false">N67/H67</f>
        <v>0</v>
      </c>
      <c r="P67" s="200"/>
      <c r="Q67" s="201" t="n">
        <f aca="false">P67/H67</f>
        <v>0</v>
      </c>
      <c r="R67" s="98"/>
      <c r="S67" s="45"/>
      <c r="T67" s="201" t="n">
        <f aca="false">S67/K67</f>
        <v>0</v>
      </c>
      <c r="U67" s="201"/>
      <c r="V67" s="201"/>
      <c r="W67" s="98" t="n">
        <f aca="false">F67+R67+S67</f>
        <v>1632930</v>
      </c>
      <c r="X67" s="203" t="n">
        <f aca="false">H67+L67+N67+P67+U67</f>
        <v>289313</v>
      </c>
      <c r="Y67" s="100" t="n">
        <f aca="false">X67/W67</f>
        <v>0.177174159333223</v>
      </c>
      <c r="Z67" s="51" t="n">
        <v>1632930</v>
      </c>
      <c r="AA67" s="51" t="n">
        <f aca="false">W67-Z67</f>
        <v>0</v>
      </c>
    </row>
    <row r="68" customFormat="false" ht="14.25" hidden="false" customHeight="false" outlineLevel="0" collapsed="false">
      <c r="A68" s="42" t="n">
        <v>45554</v>
      </c>
      <c r="B68" s="1" t="s">
        <v>21</v>
      </c>
      <c r="D68" s="236" t="s">
        <v>232</v>
      </c>
      <c r="E68" s="45" t="n">
        <v>1000</v>
      </c>
      <c r="F68" s="45" t="n">
        <f aca="false">E68*I68</f>
        <v>1000</v>
      </c>
      <c r="G68" s="237" t="n">
        <f aca="false">H68/F68</f>
        <v>2.75</v>
      </c>
      <c r="H68" s="47" t="n">
        <v>2750</v>
      </c>
      <c r="I68" s="238" t="n">
        <v>1</v>
      </c>
      <c r="J68" s="238"/>
      <c r="K68" s="51" t="n">
        <v>1000</v>
      </c>
      <c r="L68" s="59" t="n">
        <f aca="false">M68*H68</f>
        <v>0</v>
      </c>
      <c r="M68" s="240"/>
      <c r="N68" s="200"/>
      <c r="O68" s="201" t="n">
        <f aca="false">N68/H68</f>
        <v>0</v>
      </c>
      <c r="P68" s="200"/>
      <c r="Q68" s="201" t="n">
        <f aca="false">P68/H68</f>
        <v>0</v>
      </c>
      <c r="R68" s="98"/>
      <c r="S68" s="45"/>
      <c r="T68" s="201" t="n">
        <f aca="false">S68/K68</f>
        <v>0</v>
      </c>
      <c r="U68" s="201"/>
      <c r="V68" s="201"/>
      <c r="W68" s="98" t="n">
        <f aca="false">F68+R68+S68</f>
        <v>1000</v>
      </c>
      <c r="X68" s="203" t="n">
        <f aca="false">H68+L68+N68+P68+U68</f>
        <v>2750</v>
      </c>
      <c r="Y68" s="100" t="n">
        <f aca="false">X68/W68</f>
        <v>2.75</v>
      </c>
      <c r="Z68" s="51" t="n">
        <v>1000</v>
      </c>
      <c r="AA68" s="51" t="n">
        <f aca="false">W68-Z68</f>
        <v>0</v>
      </c>
    </row>
    <row r="69" customFormat="false" ht="14.25" hidden="false" customHeight="false" outlineLevel="0" collapsed="false">
      <c r="A69" s="42" t="n">
        <v>45554</v>
      </c>
      <c r="B69" s="1" t="s">
        <v>10</v>
      </c>
      <c r="C69" s="2" t="s">
        <v>218</v>
      </c>
      <c r="D69" s="236" t="s">
        <v>233</v>
      </c>
      <c r="E69" s="45" t="n">
        <v>22920</v>
      </c>
      <c r="F69" s="45" t="n">
        <f aca="false">E69*I69</f>
        <v>2253036</v>
      </c>
      <c r="G69" s="237" t="n">
        <f aca="false">H69/F69</f>
        <v>0.1143748080368</v>
      </c>
      <c r="H69" s="47" t="n">
        <v>257690.56</v>
      </c>
      <c r="I69" s="238" t="n">
        <v>98.3</v>
      </c>
      <c r="J69" s="238" t="n">
        <v>92</v>
      </c>
      <c r="K69" s="51" t="n">
        <v>2253036</v>
      </c>
      <c r="L69" s="59" t="n">
        <f aca="false">M69*H69</f>
        <v>0</v>
      </c>
      <c r="M69" s="240"/>
      <c r="N69" s="200"/>
      <c r="O69" s="201" t="n">
        <f aca="false">N69/H69</f>
        <v>0</v>
      </c>
      <c r="P69" s="200"/>
      <c r="Q69" s="201" t="n">
        <f aca="false">P69/H69</f>
        <v>0</v>
      </c>
      <c r="R69" s="98"/>
      <c r="S69" s="45"/>
      <c r="T69" s="201" t="n">
        <f aca="false">S69/K69</f>
        <v>0</v>
      </c>
      <c r="U69" s="201"/>
      <c r="V69" s="201"/>
      <c r="W69" s="98" t="n">
        <f aca="false">F69+R69+S69</f>
        <v>2253036</v>
      </c>
      <c r="X69" s="203" t="n">
        <f aca="false">H69+L69+N69+P69+U69</f>
        <v>257690.56</v>
      </c>
      <c r="Y69" s="100" t="n">
        <f aca="false">X69/W69</f>
        <v>0.1143748080368</v>
      </c>
      <c r="Z69" s="51" t="n">
        <v>2253036</v>
      </c>
      <c r="AA69" s="51" t="n">
        <f aca="false">W69-Z69</f>
        <v>0</v>
      </c>
    </row>
    <row r="70" customFormat="false" ht="14.25" hidden="false" customHeight="false" outlineLevel="0" collapsed="false">
      <c r="A70" s="42" t="n">
        <v>45554</v>
      </c>
      <c r="B70" s="1" t="s">
        <v>10</v>
      </c>
      <c r="C70" s="2" t="s">
        <v>218</v>
      </c>
      <c r="D70" s="236" t="s">
        <v>234</v>
      </c>
      <c r="E70" s="45" t="n">
        <v>29860</v>
      </c>
      <c r="F70" s="45" t="n">
        <f aca="false">E70*I70</f>
        <v>2860588</v>
      </c>
      <c r="G70" s="237" t="n">
        <f aca="false">H70/F70</f>
        <v>0.111917983295742</v>
      </c>
      <c r="H70" s="47" t="n">
        <v>320151.24</v>
      </c>
      <c r="I70" s="238" t="n">
        <v>95.8</v>
      </c>
      <c r="J70" s="238" t="n">
        <v>90</v>
      </c>
      <c r="K70" s="51" t="n">
        <v>2860588</v>
      </c>
      <c r="L70" s="59" t="n">
        <f aca="false">M70*H70</f>
        <v>0</v>
      </c>
      <c r="M70" s="240"/>
      <c r="N70" s="200"/>
      <c r="O70" s="201" t="n">
        <f aca="false">N70/H70</f>
        <v>0</v>
      </c>
      <c r="P70" s="200"/>
      <c r="Q70" s="201" t="n">
        <f aca="false">P70/H70</f>
        <v>0</v>
      </c>
      <c r="R70" s="98"/>
      <c r="S70" s="45"/>
      <c r="T70" s="201" t="n">
        <f aca="false">S70/K70</f>
        <v>0</v>
      </c>
      <c r="U70" s="201"/>
      <c r="V70" s="201"/>
      <c r="W70" s="98" t="n">
        <f aca="false">F70+R70+S70</f>
        <v>2860588</v>
      </c>
      <c r="X70" s="203" t="n">
        <f aca="false">H70+L70+N70+P70+U70</f>
        <v>320151.24</v>
      </c>
      <c r="Y70" s="100" t="n">
        <f aca="false">X70/W70</f>
        <v>0.111917983295742</v>
      </c>
      <c r="Z70" s="51" t="n">
        <v>2860588</v>
      </c>
      <c r="AA70" s="51" t="n">
        <f aca="false">W70-Z70</f>
        <v>0</v>
      </c>
    </row>
    <row r="71" customFormat="false" ht="14.25" hidden="false" customHeight="false" outlineLevel="0" collapsed="false">
      <c r="A71" s="42" t="n">
        <v>45555</v>
      </c>
      <c r="B71" s="1" t="s">
        <v>18</v>
      </c>
      <c r="C71" s="2" t="s">
        <v>235</v>
      </c>
      <c r="D71" s="236" t="s">
        <v>236</v>
      </c>
      <c r="E71" s="45" t="n">
        <v>23640</v>
      </c>
      <c r="F71" s="45" t="n">
        <f aca="false">E71*I71</f>
        <v>2063772</v>
      </c>
      <c r="G71" s="237" t="n">
        <f aca="false">H71/F71</f>
        <v>0.339184754905096</v>
      </c>
      <c r="H71" s="47" t="n">
        <v>700000</v>
      </c>
      <c r="I71" s="238" t="n">
        <v>87.3</v>
      </c>
      <c r="J71" s="238"/>
      <c r="K71" s="51" t="n">
        <v>2063772</v>
      </c>
      <c r="L71" s="59" t="n">
        <f aca="false">M71*H71</f>
        <v>0</v>
      </c>
      <c r="M71" s="240"/>
      <c r="N71" s="200"/>
      <c r="O71" s="201" t="n">
        <f aca="false">N71/H71</f>
        <v>0</v>
      </c>
      <c r="P71" s="200"/>
      <c r="Q71" s="201" t="n">
        <f aca="false">P71/H71</f>
        <v>0</v>
      </c>
      <c r="R71" s="98"/>
      <c r="S71" s="45"/>
      <c r="T71" s="201" t="n">
        <f aca="false">S71/K71</f>
        <v>0</v>
      </c>
      <c r="U71" s="201"/>
      <c r="V71" s="201"/>
      <c r="W71" s="98" t="n">
        <f aca="false">F71+R71+S71</f>
        <v>2063772</v>
      </c>
      <c r="X71" s="203" t="n">
        <f aca="false">H71+L71+N71+P71+U71</f>
        <v>700000</v>
      </c>
      <c r="Y71" s="100" t="n">
        <f aca="false">X71/W71</f>
        <v>0.339184754905096</v>
      </c>
      <c r="Z71" s="51" t="n">
        <v>2063772</v>
      </c>
      <c r="AA71" s="51" t="n">
        <f aca="false">W71-Z71</f>
        <v>0</v>
      </c>
    </row>
    <row r="72" customFormat="false" ht="14.25" hidden="false" customHeight="false" outlineLevel="0" collapsed="false">
      <c r="A72" s="42" t="n">
        <v>45561</v>
      </c>
      <c r="B72" s="1" t="s">
        <v>17</v>
      </c>
      <c r="C72" s="2" t="s">
        <v>237</v>
      </c>
      <c r="D72" s="236" t="s">
        <v>238</v>
      </c>
      <c r="E72" s="45" t="n">
        <v>7720</v>
      </c>
      <c r="F72" s="45" t="n">
        <f aca="false">E72*I72</f>
        <v>539628</v>
      </c>
      <c r="G72" s="237" t="n">
        <f aca="false">H72/F72</f>
        <v>0.186525532403804</v>
      </c>
      <c r="H72" s="47" t="n">
        <v>100654.4</v>
      </c>
      <c r="I72" s="238" t="n">
        <v>69.9</v>
      </c>
      <c r="J72" s="238"/>
      <c r="K72" s="51" t="n">
        <v>539628</v>
      </c>
      <c r="L72" s="59" t="n">
        <f aca="false">M72*H72</f>
        <v>0</v>
      </c>
      <c r="M72" s="240"/>
      <c r="N72" s="200"/>
      <c r="O72" s="201" t="n">
        <f aca="false">N72/H72</f>
        <v>0</v>
      </c>
      <c r="P72" s="200"/>
      <c r="Q72" s="201" t="n">
        <f aca="false">P72/H72</f>
        <v>0</v>
      </c>
      <c r="R72" s="98"/>
      <c r="S72" s="45"/>
      <c r="T72" s="201" t="n">
        <f aca="false">S72/K72</f>
        <v>0</v>
      </c>
      <c r="U72" s="201"/>
      <c r="V72" s="201"/>
      <c r="W72" s="98" t="n">
        <f aca="false">F72+R72+S72</f>
        <v>539628</v>
      </c>
      <c r="X72" s="203" t="n">
        <f aca="false">H72+L72+N72+P72+U72</f>
        <v>100654.4</v>
      </c>
      <c r="Y72" s="100" t="n">
        <f aca="false">X72/W72</f>
        <v>0.186525532403804</v>
      </c>
      <c r="Z72" s="51" t="n">
        <v>539628</v>
      </c>
      <c r="AA72" s="51" t="n">
        <f aca="false">W72-Z72</f>
        <v>0</v>
      </c>
    </row>
    <row r="73" customFormat="false" ht="14.25" hidden="false" customHeight="false" outlineLevel="0" collapsed="false">
      <c r="A73" s="42" t="n">
        <v>45562</v>
      </c>
      <c r="B73" s="1" t="s">
        <v>12</v>
      </c>
      <c r="C73" s="2" t="s">
        <v>239</v>
      </c>
      <c r="D73" s="236" t="s">
        <v>240</v>
      </c>
      <c r="E73" s="45" t="n">
        <v>15000</v>
      </c>
      <c r="F73" s="45" t="n">
        <f aca="false">E73*I73</f>
        <v>270000</v>
      </c>
      <c r="G73" s="237" t="n">
        <f aca="false">H73/F73</f>
        <v>2.39206755555556</v>
      </c>
      <c r="H73" s="47" t="n">
        <v>645858.24</v>
      </c>
      <c r="I73" s="238" t="n">
        <v>18</v>
      </c>
      <c r="J73" s="238"/>
      <c r="K73" s="51" t="n">
        <v>270000</v>
      </c>
      <c r="L73" s="59" t="n">
        <f aca="false">M73*H73</f>
        <v>0</v>
      </c>
      <c r="M73" s="240"/>
      <c r="N73" s="200"/>
      <c r="O73" s="201" t="n">
        <f aca="false">N73/H73</f>
        <v>0</v>
      </c>
      <c r="P73" s="200"/>
      <c r="Q73" s="201" t="n">
        <f aca="false">P73/H73</f>
        <v>0</v>
      </c>
      <c r="R73" s="98"/>
      <c r="S73" s="45"/>
      <c r="T73" s="201" t="n">
        <f aca="false">S73/K73</f>
        <v>0</v>
      </c>
      <c r="U73" s="201"/>
      <c r="V73" s="201"/>
      <c r="W73" s="98" t="n">
        <f aca="false">F73+R73+S73</f>
        <v>270000</v>
      </c>
      <c r="X73" s="203" t="n">
        <f aca="false">H73+L73+N73+P73+U73</f>
        <v>645858.24</v>
      </c>
      <c r="Y73" s="100" t="n">
        <f aca="false">X73/W73</f>
        <v>2.39206755555556</v>
      </c>
      <c r="Z73" s="51" t="n">
        <v>270000</v>
      </c>
      <c r="AA73" s="51" t="n">
        <f aca="false">W73-Z73</f>
        <v>0</v>
      </c>
    </row>
    <row r="74" customFormat="false" ht="14.25" hidden="false" customHeight="false" outlineLevel="0" collapsed="false">
      <c r="A74" s="42" t="n">
        <v>45562</v>
      </c>
      <c r="B74" s="1" t="s">
        <v>11</v>
      </c>
      <c r="C74" s="2" t="s">
        <v>239</v>
      </c>
      <c r="D74" s="236" t="s">
        <v>241</v>
      </c>
      <c r="E74" s="45" t="n">
        <v>10000</v>
      </c>
      <c r="F74" s="45" t="n">
        <f aca="false">E74*I74</f>
        <v>140000</v>
      </c>
      <c r="G74" s="237" t="n">
        <f aca="false">H74/F74</f>
        <v>3.23850471428571</v>
      </c>
      <c r="H74" s="47" t="n">
        <v>453390.66</v>
      </c>
      <c r="I74" s="238" t="n">
        <v>14</v>
      </c>
      <c r="J74" s="238"/>
      <c r="K74" s="51" t="n">
        <v>140000</v>
      </c>
      <c r="L74" s="59" t="n">
        <f aca="false">M74*H74</f>
        <v>0</v>
      </c>
      <c r="M74" s="240"/>
      <c r="N74" s="200"/>
      <c r="O74" s="201" t="n">
        <f aca="false">N74/H74</f>
        <v>0</v>
      </c>
      <c r="P74" s="200"/>
      <c r="Q74" s="201" t="n">
        <f aca="false">P74/H74</f>
        <v>0</v>
      </c>
      <c r="R74" s="98"/>
      <c r="S74" s="45"/>
      <c r="T74" s="201" t="n">
        <f aca="false">S74/K74</f>
        <v>0</v>
      </c>
      <c r="U74" s="201"/>
      <c r="V74" s="201"/>
      <c r="W74" s="98" t="n">
        <f aca="false">F74+R74+S74</f>
        <v>140000</v>
      </c>
      <c r="X74" s="203" t="n">
        <f aca="false">H74+L74+N74+P74+U74</f>
        <v>453390.66</v>
      </c>
      <c r="Y74" s="100" t="n">
        <f aca="false">X74/W74</f>
        <v>3.23850471428571</v>
      </c>
      <c r="Z74" s="51" t="n">
        <v>140000</v>
      </c>
      <c r="AA74" s="51" t="n">
        <f aca="false">W74-Z74</f>
        <v>0</v>
      </c>
    </row>
    <row r="75" customFormat="false" ht="14.25" hidden="false" customHeight="false" outlineLevel="0" collapsed="false">
      <c r="A75" s="42" t="n">
        <v>45562</v>
      </c>
      <c r="B75" s="1" t="s">
        <v>7</v>
      </c>
      <c r="C75" s="2" t="s">
        <v>239</v>
      </c>
      <c r="D75" s="236" t="s">
        <v>242</v>
      </c>
      <c r="E75" s="45" t="n">
        <v>12000</v>
      </c>
      <c r="F75" s="45" t="n">
        <f aca="false">E75*I75</f>
        <v>308520</v>
      </c>
      <c r="G75" s="237" t="n">
        <f aca="false">H75/F75</f>
        <v>0.404511863088293</v>
      </c>
      <c r="H75" s="47" t="n">
        <v>124800</v>
      </c>
      <c r="I75" s="238" t="n">
        <v>25.71</v>
      </c>
      <c r="J75" s="238"/>
      <c r="K75" s="51" t="n">
        <v>308520</v>
      </c>
      <c r="L75" s="59" t="n">
        <f aca="false">M75*H75</f>
        <v>0</v>
      </c>
      <c r="M75" s="240"/>
      <c r="N75" s="200"/>
      <c r="O75" s="201" t="n">
        <f aca="false">N75/H75</f>
        <v>0</v>
      </c>
      <c r="P75" s="200"/>
      <c r="Q75" s="201" t="n">
        <f aca="false">P75/H75</f>
        <v>0</v>
      </c>
      <c r="R75" s="98"/>
      <c r="S75" s="45"/>
      <c r="T75" s="201" t="n">
        <f aca="false">S75/K75</f>
        <v>0</v>
      </c>
      <c r="U75" s="201"/>
      <c r="V75" s="201"/>
      <c r="W75" s="98" t="n">
        <f aca="false">F75+R75+S75</f>
        <v>308520</v>
      </c>
      <c r="X75" s="203" t="n">
        <f aca="false">H75+L75+N75+P75+U75</f>
        <v>124800</v>
      </c>
      <c r="Y75" s="100" t="n">
        <f aca="false">X75/W75</f>
        <v>0.404511863088293</v>
      </c>
      <c r="Z75" s="51" t="n">
        <v>308520</v>
      </c>
      <c r="AA75" s="51" t="n">
        <f aca="false">W75-Z75</f>
        <v>0</v>
      </c>
    </row>
    <row r="76" customFormat="false" ht="14.25" hidden="false" customHeight="false" outlineLevel="0" collapsed="false">
      <c r="A76" s="42" t="n">
        <v>45567</v>
      </c>
      <c r="B76" s="1" t="s">
        <v>21</v>
      </c>
      <c r="C76" s="2" t="s">
        <v>243</v>
      </c>
      <c r="D76" s="236" t="s">
        <v>244</v>
      </c>
      <c r="E76" s="45" t="n">
        <v>13500</v>
      </c>
      <c r="F76" s="45" t="n">
        <f aca="false">E76*I76</f>
        <v>13500</v>
      </c>
      <c r="G76" s="237" t="n">
        <f aca="false">H76/F76</f>
        <v>2.2</v>
      </c>
      <c r="H76" s="47" t="n">
        <v>29700</v>
      </c>
      <c r="I76" s="238" t="n">
        <v>1</v>
      </c>
      <c r="J76" s="238"/>
      <c r="K76" s="51" t="n">
        <v>13500</v>
      </c>
      <c r="L76" s="59" t="n">
        <f aca="false">M76*H76</f>
        <v>0</v>
      </c>
      <c r="M76" s="240"/>
      <c r="N76" s="200"/>
      <c r="O76" s="201" t="n">
        <f aca="false">N76/H76</f>
        <v>0</v>
      </c>
      <c r="P76" s="200"/>
      <c r="Q76" s="201" t="n">
        <f aca="false">P76/H76</f>
        <v>0</v>
      </c>
      <c r="R76" s="98"/>
      <c r="S76" s="45"/>
      <c r="T76" s="201" t="n">
        <f aca="false">S76/K76</f>
        <v>0</v>
      </c>
      <c r="U76" s="201"/>
      <c r="V76" s="201"/>
      <c r="W76" s="98" t="n">
        <f aca="false">F76+R76+S76</f>
        <v>13500</v>
      </c>
      <c r="X76" s="203" t="n">
        <f aca="false">H76+L76+N76+P76+U76</f>
        <v>29700</v>
      </c>
      <c r="Y76" s="100" t="n">
        <f aca="false">X76/W76</f>
        <v>2.2</v>
      </c>
      <c r="Z76" s="51" t="n">
        <v>13500</v>
      </c>
      <c r="AA76" s="51" t="n">
        <f aca="false">W76-Z76</f>
        <v>0</v>
      </c>
    </row>
    <row r="77" customFormat="false" ht="14.25" hidden="false" customHeight="false" outlineLevel="0" collapsed="false">
      <c r="A77" s="42" t="n">
        <v>45590</v>
      </c>
      <c r="B77" s="1" t="s">
        <v>11</v>
      </c>
      <c r="D77" s="236" t="s">
        <v>245</v>
      </c>
      <c r="E77" s="45" t="n">
        <v>746</v>
      </c>
      <c r="F77" s="45" t="n">
        <f aca="false">E77*I77</f>
        <v>49802.96</v>
      </c>
      <c r="G77" s="237" t="n">
        <f aca="false">H77/F77</f>
        <v>2.50000200791278</v>
      </c>
      <c r="H77" s="47" t="n">
        <v>124507.5</v>
      </c>
      <c r="I77" s="246" t="n">
        <v>66.76</v>
      </c>
      <c r="J77" s="246"/>
      <c r="K77" s="51" t="n">
        <v>49803</v>
      </c>
      <c r="L77" s="59" t="n">
        <f aca="false">M77*H77</f>
        <v>0</v>
      </c>
      <c r="M77" s="240"/>
      <c r="N77" s="200"/>
      <c r="O77" s="201" t="n">
        <f aca="false">N77/H77</f>
        <v>0</v>
      </c>
      <c r="P77" s="200"/>
      <c r="Q77" s="201" t="n">
        <f aca="false">P77/H77</f>
        <v>0</v>
      </c>
      <c r="R77" s="98"/>
      <c r="S77" s="45"/>
      <c r="T77" s="201" t="n">
        <f aca="false">S77/K77</f>
        <v>0</v>
      </c>
      <c r="U77" s="201"/>
      <c r="V77" s="201"/>
      <c r="W77" s="98" t="n">
        <f aca="false">F77+R77+S77</f>
        <v>49802.96</v>
      </c>
      <c r="X77" s="203" t="n">
        <f aca="false">H77+L77+N77+P77+U77</f>
        <v>124507.5</v>
      </c>
      <c r="Y77" s="100" t="n">
        <f aca="false">X77/W77</f>
        <v>2.50000200791278</v>
      </c>
      <c r="Z77" s="51" t="n">
        <v>49803</v>
      </c>
      <c r="AA77" s="51" t="n">
        <f aca="false">W77-Z77</f>
        <v>-0.0399999999935972</v>
      </c>
    </row>
    <row r="78" customFormat="false" ht="14.25" hidden="false" customHeight="false" outlineLevel="0" collapsed="false">
      <c r="A78" s="42" t="n">
        <v>45590</v>
      </c>
      <c r="B78" s="1" t="s">
        <v>7</v>
      </c>
      <c r="C78" s="2" t="s">
        <v>246</v>
      </c>
      <c r="D78" s="236" t="s">
        <v>247</v>
      </c>
      <c r="E78" s="45" t="n">
        <v>7040</v>
      </c>
      <c r="F78" s="45" t="n">
        <f aca="false">E78*I78</f>
        <v>646775.99999936</v>
      </c>
      <c r="G78" s="237" t="n">
        <f aca="false">H78/F78</f>
        <v>0.312794537831027</v>
      </c>
      <c r="H78" s="47" t="n">
        <v>202308</v>
      </c>
      <c r="I78" s="238" t="n">
        <v>91.871590909</v>
      </c>
      <c r="J78" s="238"/>
      <c r="K78" s="51" t="n">
        <v>646776</v>
      </c>
      <c r="L78" s="59" t="n">
        <f aca="false">M78*H78</f>
        <v>0</v>
      </c>
      <c r="M78" s="240"/>
      <c r="N78" s="200"/>
      <c r="O78" s="201" t="n">
        <f aca="false">N78/H78</f>
        <v>0</v>
      </c>
      <c r="P78" s="200"/>
      <c r="Q78" s="201" t="n">
        <f aca="false">P78/H78</f>
        <v>0</v>
      </c>
      <c r="R78" s="98"/>
      <c r="S78" s="45"/>
      <c r="T78" s="201" t="n">
        <f aca="false">S78/K78</f>
        <v>0</v>
      </c>
      <c r="U78" s="201"/>
      <c r="V78" s="201"/>
      <c r="W78" s="98" t="n">
        <f aca="false">F78+R78+S78</f>
        <v>646775.99999936</v>
      </c>
      <c r="X78" s="203" t="n">
        <f aca="false">H78+L78+N78+P78+U78</f>
        <v>202308</v>
      </c>
      <c r="Y78" s="100" t="n">
        <f aca="false">X78/W78</f>
        <v>0.312794537831027</v>
      </c>
      <c r="Z78" s="51" t="n">
        <v>646776</v>
      </c>
      <c r="AA78" s="51" t="n">
        <f aca="false">W78-Z78</f>
        <v>-6.39935024082661E-007</v>
      </c>
    </row>
    <row r="79" customFormat="false" ht="14.25" hidden="false" customHeight="false" outlineLevel="0" collapsed="false">
      <c r="A79" s="42" t="n">
        <v>45590</v>
      </c>
      <c r="B79" s="1" t="s">
        <v>52</v>
      </c>
      <c r="C79" s="2" t="s">
        <v>218</v>
      </c>
      <c r="D79" s="236" t="s">
        <v>248</v>
      </c>
      <c r="E79" s="45" t="n">
        <v>9740</v>
      </c>
      <c r="F79" s="45" t="n">
        <f aca="false">E79*I79</f>
        <v>841536</v>
      </c>
      <c r="G79" s="237" t="n">
        <f aca="false">H79/F79</f>
        <v>0.302423188075139</v>
      </c>
      <c r="H79" s="47" t="n">
        <v>254500</v>
      </c>
      <c r="I79" s="238" t="n">
        <v>86.4</v>
      </c>
      <c r="J79" s="238"/>
      <c r="K79" s="51" t="n">
        <v>841536</v>
      </c>
      <c r="L79" s="59" t="n">
        <f aca="false">M79*H79</f>
        <v>0</v>
      </c>
      <c r="M79" s="240"/>
      <c r="N79" s="200"/>
      <c r="O79" s="201" t="n">
        <f aca="false">N79/H79</f>
        <v>0</v>
      </c>
      <c r="P79" s="200"/>
      <c r="Q79" s="201" t="n">
        <f aca="false">P79/H79</f>
        <v>0</v>
      </c>
      <c r="R79" s="98"/>
      <c r="S79" s="45"/>
      <c r="T79" s="201" t="n">
        <f aca="false">S79/K79</f>
        <v>0</v>
      </c>
      <c r="U79" s="201"/>
      <c r="V79" s="201"/>
      <c r="W79" s="98" t="n">
        <f aca="false">F79+R79+S79</f>
        <v>841536</v>
      </c>
      <c r="X79" s="203" t="n">
        <f aca="false">H79+L79+N79+P79+U79</f>
        <v>254500</v>
      </c>
      <c r="Y79" s="100" t="n">
        <f aca="false">X79/W79</f>
        <v>0.302423188075139</v>
      </c>
      <c r="Z79" s="51" t="n">
        <v>841536</v>
      </c>
      <c r="AA79" s="51" t="n">
        <f aca="false">W79-Z79</f>
        <v>0</v>
      </c>
    </row>
    <row r="80" customFormat="false" ht="14.25" hidden="false" customHeight="false" outlineLevel="0" collapsed="false">
      <c r="A80" s="42" t="n">
        <v>45590</v>
      </c>
      <c r="B80" s="1" t="s">
        <v>52</v>
      </c>
      <c r="C80" s="2" t="s">
        <v>218</v>
      </c>
      <c r="D80" s="236" t="s">
        <v>249</v>
      </c>
      <c r="E80" s="45" t="n">
        <v>9700</v>
      </c>
      <c r="F80" s="45" t="n">
        <f aca="false">E80*I80</f>
        <v>851660</v>
      </c>
      <c r="G80" s="237" t="n">
        <f aca="false">H80/F80</f>
        <v>0.298828170866308</v>
      </c>
      <c r="H80" s="47" t="n">
        <v>254500</v>
      </c>
      <c r="I80" s="238" t="n">
        <v>87.8</v>
      </c>
      <c r="J80" s="238"/>
      <c r="K80" s="51" t="n">
        <v>851660</v>
      </c>
      <c r="L80" s="59" t="n">
        <f aca="false">M80*H80</f>
        <v>0</v>
      </c>
      <c r="M80" s="240"/>
      <c r="N80" s="200"/>
      <c r="O80" s="201" t="n">
        <f aca="false">N80/H80</f>
        <v>0</v>
      </c>
      <c r="P80" s="200"/>
      <c r="Q80" s="201" t="n">
        <f aca="false">P80/H80</f>
        <v>0</v>
      </c>
      <c r="R80" s="98"/>
      <c r="S80" s="45"/>
      <c r="T80" s="201" t="n">
        <f aca="false">S80/K80</f>
        <v>0</v>
      </c>
      <c r="U80" s="201"/>
      <c r="V80" s="201"/>
      <c r="W80" s="98" t="n">
        <f aca="false">F80+R80+S80</f>
        <v>851660</v>
      </c>
      <c r="X80" s="203" t="n">
        <f aca="false">H80+L80+N80+P80+U80</f>
        <v>254500</v>
      </c>
      <c r="Y80" s="100" t="n">
        <f aca="false">X80/W80</f>
        <v>0.298828170866308</v>
      </c>
      <c r="Z80" s="51" t="n">
        <v>851660</v>
      </c>
      <c r="AA80" s="51" t="n">
        <f aca="false">W80-Z80</f>
        <v>0</v>
      </c>
    </row>
    <row r="81" customFormat="false" ht="14.25" hidden="false" customHeight="false" outlineLevel="0" collapsed="false">
      <c r="A81" s="42" t="n">
        <v>45590</v>
      </c>
      <c r="B81" s="1" t="s">
        <v>52</v>
      </c>
      <c r="C81" s="2" t="s">
        <v>218</v>
      </c>
      <c r="D81" s="236" t="s">
        <v>250</v>
      </c>
      <c r="E81" s="45" t="n">
        <v>9360</v>
      </c>
      <c r="F81" s="45" t="n">
        <f aca="false">E81*I81</f>
        <v>815256</v>
      </c>
      <c r="G81" s="237" t="n">
        <f aca="false">H81/F81</f>
        <v>0.312171882206325</v>
      </c>
      <c r="H81" s="47" t="n">
        <v>254500</v>
      </c>
      <c r="I81" s="238" t="n">
        <v>87.1</v>
      </c>
      <c r="J81" s="238"/>
      <c r="K81" s="51" t="n">
        <v>815256</v>
      </c>
      <c r="L81" s="59" t="n">
        <f aca="false">M81*H81</f>
        <v>0</v>
      </c>
      <c r="M81" s="240"/>
      <c r="N81" s="200"/>
      <c r="O81" s="201" t="n">
        <f aca="false">N81/H81</f>
        <v>0</v>
      </c>
      <c r="P81" s="200"/>
      <c r="Q81" s="201" t="n">
        <f aca="false">P81/H81</f>
        <v>0</v>
      </c>
      <c r="R81" s="98"/>
      <c r="S81" s="45"/>
      <c r="T81" s="201" t="n">
        <f aca="false">S81/K81</f>
        <v>0</v>
      </c>
      <c r="U81" s="201"/>
      <c r="V81" s="201"/>
      <c r="W81" s="98" t="n">
        <f aca="false">F81+R81+S81</f>
        <v>815256</v>
      </c>
      <c r="X81" s="203" t="n">
        <f aca="false">H81+L81+N81+P81+U81</f>
        <v>254500</v>
      </c>
      <c r="Y81" s="100" t="n">
        <f aca="false">X81/W81</f>
        <v>0.312171882206325</v>
      </c>
      <c r="Z81" s="51" t="n">
        <v>815256</v>
      </c>
      <c r="AA81" s="51" t="n">
        <f aca="false">W81-Z81</f>
        <v>0</v>
      </c>
    </row>
    <row r="82" customFormat="false" ht="14.25" hidden="false" customHeight="false" outlineLevel="0" collapsed="false">
      <c r="A82" s="42" t="n">
        <v>45590</v>
      </c>
      <c r="B82" s="1" t="s">
        <v>52</v>
      </c>
      <c r="C82" s="2" t="s">
        <v>218</v>
      </c>
      <c r="D82" s="236" t="s">
        <v>251</v>
      </c>
      <c r="E82" s="45" t="n">
        <v>4120</v>
      </c>
      <c r="F82" s="45" t="n">
        <f aca="false">E82*I82</f>
        <v>358852</v>
      </c>
      <c r="G82" s="237" t="n">
        <f aca="false">H82/F82</f>
        <v>0.212761807095962</v>
      </c>
      <c r="H82" s="47" t="n">
        <v>76350</v>
      </c>
      <c r="I82" s="238" t="n">
        <v>87.1</v>
      </c>
      <c r="J82" s="238"/>
      <c r="K82" s="51" t="n">
        <v>358852</v>
      </c>
      <c r="L82" s="59" t="n">
        <f aca="false">M82*H82</f>
        <v>0</v>
      </c>
      <c r="M82" s="240"/>
      <c r="N82" s="200"/>
      <c r="O82" s="201" t="n">
        <f aca="false">N82/H82</f>
        <v>0</v>
      </c>
      <c r="P82" s="200"/>
      <c r="Q82" s="201" t="n">
        <f aca="false">P82/H82</f>
        <v>0</v>
      </c>
      <c r="R82" s="98"/>
      <c r="S82" s="45"/>
      <c r="T82" s="201" t="n">
        <f aca="false">S82/K82</f>
        <v>0</v>
      </c>
      <c r="U82" s="201"/>
      <c r="V82" s="201"/>
      <c r="W82" s="98" t="n">
        <f aca="false">F82+R82+S82</f>
        <v>358852</v>
      </c>
      <c r="X82" s="203" t="n">
        <f aca="false">H82+L82+N82+P82+U82</f>
        <v>76350</v>
      </c>
      <c r="Y82" s="100" t="n">
        <f aca="false">X82/W82</f>
        <v>0.212761807095962</v>
      </c>
      <c r="Z82" s="51" t="n">
        <v>358852</v>
      </c>
      <c r="AA82" s="51" t="n">
        <f aca="false">W82-Z82</f>
        <v>0</v>
      </c>
    </row>
    <row r="83" customFormat="false" ht="14.25" hidden="false" customHeight="false" outlineLevel="0" collapsed="false">
      <c r="A83" s="42" t="n">
        <v>45590</v>
      </c>
      <c r="B83" s="1" t="s">
        <v>52</v>
      </c>
      <c r="C83" s="2" t="s">
        <v>218</v>
      </c>
      <c r="D83" s="236" t="s">
        <v>252</v>
      </c>
      <c r="E83" s="45" t="n">
        <v>16250</v>
      </c>
      <c r="F83" s="45" t="n">
        <f aca="false">E83*I83</f>
        <v>1119625</v>
      </c>
      <c r="G83" s="237" t="n">
        <f aca="false">H83/F83</f>
        <v>0.340962375795467</v>
      </c>
      <c r="H83" s="47" t="n">
        <v>381750</v>
      </c>
      <c r="I83" s="238" t="n">
        <v>68.9</v>
      </c>
      <c r="J83" s="238"/>
      <c r="K83" s="51" t="n">
        <v>1119625</v>
      </c>
      <c r="L83" s="59" t="n">
        <f aca="false">M83*H83</f>
        <v>0</v>
      </c>
      <c r="M83" s="240"/>
      <c r="N83" s="200"/>
      <c r="O83" s="201" t="n">
        <f aca="false">N83/H83</f>
        <v>0</v>
      </c>
      <c r="P83" s="200"/>
      <c r="Q83" s="201" t="n">
        <f aca="false">P83/H83</f>
        <v>0</v>
      </c>
      <c r="R83" s="98"/>
      <c r="S83" s="45"/>
      <c r="T83" s="201" t="n">
        <f aca="false">S83/K83</f>
        <v>0</v>
      </c>
      <c r="U83" s="201"/>
      <c r="V83" s="201"/>
      <c r="W83" s="98" t="n">
        <f aca="false">F83+R83+S83</f>
        <v>1119625</v>
      </c>
      <c r="X83" s="203" t="n">
        <f aca="false">H83+L83+N83+P83+U83</f>
        <v>381750</v>
      </c>
      <c r="Y83" s="100" t="n">
        <f aca="false">X83/W83</f>
        <v>0.340962375795467</v>
      </c>
      <c r="Z83" s="51" t="n">
        <v>1119625</v>
      </c>
      <c r="AA83" s="51" t="n">
        <f aca="false">W83-Z83</f>
        <v>0</v>
      </c>
    </row>
    <row r="84" customFormat="false" ht="14.25" hidden="false" customHeight="false" outlineLevel="0" collapsed="false">
      <c r="A84" s="42" t="n">
        <v>45590</v>
      </c>
      <c r="B84" s="1" t="s">
        <v>52</v>
      </c>
      <c r="C84" s="2" t="s">
        <v>218</v>
      </c>
      <c r="D84" s="236" t="s">
        <v>253</v>
      </c>
      <c r="E84" s="45" t="n">
        <v>23610</v>
      </c>
      <c r="F84" s="45" t="n">
        <f aca="false">E84*I84</f>
        <v>2072958</v>
      </c>
      <c r="G84" s="237" t="n">
        <f aca="false">H84/F84</f>
        <v>0.184157131982414</v>
      </c>
      <c r="H84" s="47" t="n">
        <v>381750</v>
      </c>
      <c r="I84" s="238" t="n">
        <v>87.8</v>
      </c>
      <c r="J84" s="238"/>
      <c r="K84" s="51" t="n">
        <v>2072958</v>
      </c>
      <c r="L84" s="59" t="n">
        <f aca="false">M84*H84</f>
        <v>0</v>
      </c>
      <c r="M84" s="240"/>
      <c r="N84" s="200"/>
      <c r="O84" s="201" t="n">
        <f aca="false">N84/H84</f>
        <v>0</v>
      </c>
      <c r="P84" s="200"/>
      <c r="Q84" s="201" t="n">
        <f aca="false">P84/H84</f>
        <v>0</v>
      </c>
      <c r="R84" s="98"/>
      <c r="S84" s="45"/>
      <c r="T84" s="201" t="n">
        <f aca="false">S84/K84</f>
        <v>0</v>
      </c>
      <c r="U84" s="201"/>
      <c r="V84" s="201"/>
      <c r="W84" s="98" t="n">
        <f aca="false">F84+R84+S84</f>
        <v>2072958</v>
      </c>
      <c r="X84" s="203" t="n">
        <f aca="false">H84+L84+N84+P84+U84</f>
        <v>381750</v>
      </c>
      <c r="Y84" s="100" t="n">
        <f aca="false">X84/W84</f>
        <v>0.184157131982414</v>
      </c>
      <c r="Z84" s="51" t="n">
        <v>2072958</v>
      </c>
      <c r="AA84" s="51" t="n">
        <f aca="false">W84-Z84</f>
        <v>0</v>
      </c>
    </row>
    <row r="85" customFormat="false" ht="14.25" hidden="false" customHeight="false" outlineLevel="0" collapsed="false">
      <c r="A85" s="42" t="n">
        <v>45590</v>
      </c>
      <c r="B85" s="1" t="s">
        <v>52</v>
      </c>
      <c r="C85" s="2" t="s">
        <v>218</v>
      </c>
      <c r="D85" s="236" t="s">
        <v>254</v>
      </c>
      <c r="E85" s="45" t="n">
        <v>20600</v>
      </c>
      <c r="F85" s="45" t="n">
        <f aca="false">E85*I85</f>
        <v>1724220</v>
      </c>
      <c r="G85" s="237" t="n">
        <f aca="false">H85/F85</f>
        <v>0.261835705420422</v>
      </c>
      <c r="H85" s="47" t="n">
        <v>451462.36</v>
      </c>
      <c r="I85" s="238" t="n">
        <v>83.7</v>
      </c>
      <c r="J85" s="238"/>
      <c r="K85" s="51" t="n">
        <v>1724220</v>
      </c>
      <c r="L85" s="59" t="n">
        <f aca="false">M85*H85</f>
        <v>0</v>
      </c>
      <c r="M85" s="240"/>
      <c r="N85" s="200"/>
      <c r="O85" s="201" t="n">
        <f aca="false">N85/H85</f>
        <v>0</v>
      </c>
      <c r="P85" s="200"/>
      <c r="Q85" s="201" t="n">
        <f aca="false">P85/H85</f>
        <v>0</v>
      </c>
      <c r="R85" s="98"/>
      <c r="S85" s="45"/>
      <c r="T85" s="201" t="n">
        <f aca="false">S85/K85</f>
        <v>0</v>
      </c>
      <c r="U85" s="201"/>
      <c r="V85" s="201"/>
      <c r="W85" s="98" t="n">
        <f aca="false">F85+R85+S85</f>
        <v>1724220</v>
      </c>
      <c r="X85" s="203" t="n">
        <f aca="false">H85+L85+N85+P85+U85</f>
        <v>451462.36</v>
      </c>
      <c r="Y85" s="100" t="n">
        <f aca="false">X85/W85</f>
        <v>0.261835705420422</v>
      </c>
      <c r="Z85" s="51" t="n">
        <v>1724220</v>
      </c>
      <c r="AA85" s="51" t="n">
        <f aca="false">W85-Z85</f>
        <v>0</v>
      </c>
    </row>
    <row r="86" customFormat="false" ht="14.25" hidden="false" customHeight="false" outlineLevel="0" collapsed="false">
      <c r="A86" s="42" t="n">
        <v>45601</v>
      </c>
      <c r="B86" s="1" t="s">
        <v>7</v>
      </c>
      <c r="C86" s="2" t="s">
        <v>255</v>
      </c>
      <c r="D86" s="236" t="s">
        <v>256</v>
      </c>
      <c r="E86" s="45" t="n">
        <v>370</v>
      </c>
      <c r="F86" s="45" t="n">
        <f aca="false">E86*I86</f>
        <v>35002</v>
      </c>
      <c r="G86" s="237" t="n">
        <f aca="false">H86/F86</f>
        <v>0.845665961945032</v>
      </c>
      <c r="H86" s="47" t="n">
        <v>29600</v>
      </c>
      <c r="I86" s="238" t="n">
        <v>94.6</v>
      </c>
      <c r="J86" s="238"/>
      <c r="K86" s="51" t="n">
        <v>35002</v>
      </c>
      <c r="L86" s="59" t="n">
        <f aca="false">M86*H86</f>
        <v>0</v>
      </c>
      <c r="M86" s="240"/>
      <c r="N86" s="200"/>
      <c r="O86" s="201" t="n">
        <f aca="false">N86/H86</f>
        <v>0</v>
      </c>
      <c r="P86" s="200"/>
      <c r="Q86" s="201" t="n">
        <f aca="false">P86/H86</f>
        <v>0</v>
      </c>
      <c r="R86" s="98"/>
      <c r="S86" s="45"/>
      <c r="T86" s="201" t="n">
        <f aca="false">S86/K86</f>
        <v>0</v>
      </c>
      <c r="U86" s="201"/>
      <c r="V86" s="201"/>
      <c r="W86" s="98" t="n">
        <f aca="false">F86+R86+S86</f>
        <v>35002</v>
      </c>
      <c r="X86" s="203" t="n">
        <f aca="false">H86+L86+N86+P86+U86</f>
        <v>29600</v>
      </c>
      <c r="Y86" s="100" t="n">
        <f aca="false">X86/W86</f>
        <v>0.845665961945032</v>
      </c>
      <c r="Z86" s="51" t="n">
        <v>35002</v>
      </c>
      <c r="AA86" s="51" t="n">
        <f aca="false">W86-Z86</f>
        <v>0</v>
      </c>
    </row>
    <row r="87" customFormat="false" ht="14.25" hidden="false" customHeight="false" outlineLevel="0" collapsed="false">
      <c r="A87" s="42" t="n">
        <v>45608</v>
      </c>
      <c r="B87" s="1" t="s">
        <v>13</v>
      </c>
      <c r="C87" s="2" t="s">
        <v>257</v>
      </c>
      <c r="D87" s="236" t="s">
        <v>258</v>
      </c>
      <c r="E87" s="45" t="n">
        <v>11060</v>
      </c>
      <c r="F87" s="45" t="n">
        <f aca="false">E87*I87</f>
        <v>569590</v>
      </c>
      <c r="G87" s="237" t="n">
        <f aca="false">H87/F87</f>
        <v>0.233009708737864</v>
      </c>
      <c r="H87" s="47" t="n">
        <v>132720</v>
      </c>
      <c r="I87" s="238" t="n">
        <v>51.5</v>
      </c>
      <c r="J87" s="238"/>
      <c r="K87" s="51" t="n">
        <v>569590</v>
      </c>
      <c r="L87" s="59" t="n">
        <f aca="false">M87*H87</f>
        <v>0</v>
      </c>
      <c r="M87" s="240"/>
      <c r="N87" s="200"/>
      <c r="O87" s="201" t="n">
        <f aca="false">N87/H87</f>
        <v>0</v>
      </c>
      <c r="P87" s="200"/>
      <c r="Q87" s="201" t="n">
        <f aca="false">P87/H87</f>
        <v>0</v>
      </c>
      <c r="R87" s="98"/>
      <c r="S87" s="45"/>
      <c r="T87" s="201" t="n">
        <f aca="false">S87/K87</f>
        <v>0</v>
      </c>
      <c r="U87" s="201"/>
      <c r="V87" s="201"/>
      <c r="W87" s="98" t="n">
        <f aca="false">F87+R87+S87</f>
        <v>569590</v>
      </c>
      <c r="X87" s="203" t="n">
        <f aca="false">H87+L87+N87+P87+U87</f>
        <v>132720</v>
      </c>
      <c r="Y87" s="100" t="n">
        <f aca="false">X87/W87</f>
        <v>0.233009708737864</v>
      </c>
      <c r="Z87" s="51" t="n">
        <v>569590</v>
      </c>
      <c r="AA87" s="51" t="n">
        <f aca="false">W87-Z87</f>
        <v>0</v>
      </c>
    </row>
    <row r="88" customFormat="false" ht="14.25" hidden="false" customHeight="false" outlineLevel="0" collapsed="false">
      <c r="A88" s="42" t="n">
        <v>45608</v>
      </c>
      <c r="B88" s="1" t="s">
        <v>13</v>
      </c>
      <c r="C88" s="2" t="s">
        <v>257</v>
      </c>
      <c r="D88" s="236" t="s">
        <v>259</v>
      </c>
      <c r="E88" s="45" t="n">
        <v>11080</v>
      </c>
      <c r="F88" s="45" t="n">
        <f aca="false">E88*I88</f>
        <v>576160</v>
      </c>
      <c r="G88" s="237" t="n">
        <f aca="false">H88/F88</f>
        <v>0.230769230769231</v>
      </c>
      <c r="H88" s="47" t="n">
        <v>132960</v>
      </c>
      <c r="I88" s="238" t="n">
        <v>52</v>
      </c>
      <c r="J88" s="238"/>
      <c r="K88" s="51" t="n">
        <v>576160</v>
      </c>
      <c r="L88" s="59" t="n">
        <f aca="false">M88*H88</f>
        <v>0</v>
      </c>
      <c r="M88" s="240"/>
      <c r="N88" s="200"/>
      <c r="O88" s="201" t="n">
        <f aca="false">N88/H88</f>
        <v>0</v>
      </c>
      <c r="P88" s="200"/>
      <c r="Q88" s="201" t="n">
        <f aca="false">P88/H88</f>
        <v>0</v>
      </c>
      <c r="R88" s="98"/>
      <c r="S88" s="45"/>
      <c r="T88" s="201" t="n">
        <f aca="false">S88/K88</f>
        <v>0</v>
      </c>
      <c r="U88" s="201"/>
      <c r="V88" s="201"/>
      <c r="W88" s="98" t="n">
        <f aca="false">F88+R88+S88</f>
        <v>576160</v>
      </c>
      <c r="X88" s="203" t="n">
        <f aca="false">H88+L88+N88+P88+U88</f>
        <v>132960</v>
      </c>
      <c r="Y88" s="100" t="n">
        <f aca="false">X88/W88</f>
        <v>0.230769230769231</v>
      </c>
      <c r="Z88" s="51" t="n">
        <v>576160</v>
      </c>
      <c r="AA88" s="51" t="n">
        <f aca="false">W88-Z88</f>
        <v>0</v>
      </c>
    </row>
    <row r="89" customFormat="false" ht="14.25" hidden="false" customHeight="false" outlineLevel="0" collapsed="false">
      <c r="A89" s="42" t="n">
        <v>45608</v>
      </c>
      <c r="B89" s="1" t="s">
        <v>13</v>
      </c>
      <c r="C89" s="2" t="s">
        <v>257</v>
      </c>
      <c r="D89" s="236" t="s">
        <v>260</v>
      </c>
      <c r="E89" s="45" t="n">
        <v>11620</v>
      </c>
      <c r="F89" s="45" t="n">
        <f aca="false">E89*I89</f>
        <v>647234</v>
      </c>
      <c r="G89" s="237" t="n">
        <f aca="false">H89/F89</f>
        <v>0.215439856373429</v>
      </c>
      <c r="H89" s="47" t="n">
        <v>139440</v>
      </c>
      <c r="I89" s="238" t="n">
        <v>55.7</v>
      </c>
      <c r="J89" s="238"/>
      <c r="K89" s="51" t="n">
        <v>647234</v>
      </c>
      <c r="L89" s="59" t="n">
        <f aca="false">M89*H89</f>
        <v>0</v>
      </c>
      <c r="M89" s="240"/>
      <c r="N89" s="200"/>
      <c r="O89" s="201" t="n">
        <f aca="false">N89/H89</f>
        <v>0</v>
      </c>
      <c r="P89" s="200"/>
      <c r="Q89" s="201" t="n">
        <f aca="false">P89/H89</f>
        <v>0</v>
      </c>
      <c r="R89" s="98"/>
      <c r="S89" s="45"/>
      <c r="T89" s="201" t="n">
        <f aca="false">S89/K89</f>
        <v>0</v>
      </c>
      <c r="U89" s="201"/>
      <c r="V89" s="201"/>
      <c r="W89" s="98" t="n">
        <f aca="false">F89+R89+S89</f>
        <v>647234</v>
      </c>
      <c r="X89" s="203" t="n">
        <f aca="false">H89+L89+N89+P89+U89</f>
        <v>139440</v>
      </c>
      <c r="Y89" s="100" t="n">
        <f aca="false">X89/W89</f>
        <v>0.215439856373429</v>
      </c>
      <c r="Z89" s="51" t="n">
        <v>647234</v>
      </c>
      <c r="AA89" s="51" t="n">
        <f aca="false">W89-Z89</f>
        <v>0</v>
      </c>
    </row>
    <row r="90" customFormat="false" ht="14.25" hidden="false" customHeight="false" outlineLevel="0" collapsed="false">
      <c r="A90" s="42" t="n">
        <v>45609</v>
      </c>
      <c r="B90" s="1" t="s">
        <v>13</v>
      </c>
      <c r="C90" s="2" t="s">
        <v>257</v>
      </c>
      <c r="D90" s="236" t="s">
        <v>261</v>
      </c>
      <c r="E90" s="45" t="n">
        <v>10018</v>
      </c>
      <c r="F90" s="45" t="n">
        <f aca="false">E90*I90</f>
        <v>586053</v>
      </c>
      <c r="G90" s="237" t="n">
        <f aca="false">H90/F90</f>
        <v>0.204759637780201</v>
      </c>
      <c r="H90" s="47" t="n">
        <v>120000</v>
      </c>
      <c r="I90" s="238" t="n">
        <v>58.5</v>
      </c>
      <c r="J90" s="238"/>
      <c r="K90" s="51" t="n">
        <v>586053</v>
      </c>
      <c r="L90" s="59" t="n">
        <f aca="false">M90*H90</f>
        <v>0</v>
      </c>
      <c r="M90" s="240"/>
      <c r="N90" s="200"/>
      <c r="O90" s="201" t="n">
        <f aca="false">N90/H90</f>
        <v>0</v>
      </c>
      <c r="P90" s="200"/>
      <c r="Q90" s="201" t="n">
        <f aca="false">P90/H90</f>
        <v>0</v>
      </c>
      <c r="R90" s="98"/>
      <c r="S90" s="45"/>
      <c r="T90" s="201" t="n">
        <f aca="false">S90/K90</f>
        <v>0</v>
      </c>
      <c r="U90" s="201"/>
      <c r="V90" s="201"/>
      <c r="W90" s="98" t="n">
        <f aca="false">F90+R90+S90</f>
        <v>586053</v>
      </c>
      <c r="X90" s="203" t="n">
        <f aca="false">H90+L90+N90+P90+U90</f>
        <v>120000</v>
      </c>
      <c r="Y90" s="100" t="n">
        <f aca="false">X90/W90</f>
        <v>0.204759637780201</v>
      </c>
      <c r="Z90" s="51" t="n">
        <v>586053</v>
      </c>
      <c r="AA90" s="51" t="n">
        <f aca="false">W90-Z90</f>
        <v>0</v>
      </c>
    </row>
    <row r="91" customFormat="false" ht="14.25" hidden="false" customHeight="false" outlineLevel="0" collapsed="false">
      <c r="A91" s="42" t="n">
        <v>45609</v>
      </c>
      <c r="B91" s="1" t="s">
        <v>13</v>
      </c>
      <c r="C91" s="2" t="s">
        <v>257</v>
      </c>
      <c r="D91" s="236" t="s">
        <v>262</v>
      </c>
      <c r="E91" s="45" t="n">
        <v>9019</v>
      </c>
      <c r="F91" s="45" t="n">
        <f aca="false">E91*I91</f>
        <v>525807.7</v>
      </c>
      <c r="G91" s="237" t="n">
        <f aca="false">H91/F91</f>
        <v>0.203686632964865</v>
      </c>
      <c r="H91" s="47" t="n">
        <v>107100</v>
      </c>
      <c r="I91" s="238" t="n">
        <v>58.3</v>
      </c>
      <c r="J91" s="238"/>
      <c r="K91" s="51" t="n">
        <v>525808</v>
      </c>
      <c r="L91" s="59" t="n">
        <f aca="false">M91*H91</f>
        <v>0</v>
      </c>
      <c r="M91" s="240"/>
      <c r="N91" s="200"/>
      <c r="O91" s="201" t="n">
        <f aca="false">N91/H91</f>
        <v>0</v>
      </c>
      <c r="P91" s="200"/>
      <c r="Q91" s="201" t="n">
        <f aca="false">P91/H91</f>
        <v>0</v>
      </c>
      <c r="R91" s="98"/>
      <c r="S91" s="45"/>
      <c r="T91" s="201" t="n">
        <f aca="false">S91/K91</f>
        <v>0</v>
      </c>
      <c r="U91" s="201"/>
      <c r="V91" s="201"/>
      <c r="W91" s="98" t="n">
        <f aca="false">F91+R91+S91</f>
        <v>525807.7</v>
      </c>
      <c r="X91" s="203" t="n">
        <f aca="false">H91+L91+N91+P91+U91</f>
        <v>107100</v>
      </c>
      <c r="Y91" s="100" t="n">
        <f aca="false">X91/W91</f>
        <v>0.203686632964865</v>
      </c>
      <c r="Z91" s="51" t="n">
        <v>525808</v>
      </c>
      <c r="AA91" s="51" t="n">
        <f aca="false">W91-Z91</f>
        <v>-0.300000000046566</v>
      </c>
    </row>
    <row r="92" customFormat="false" ht="14.25" hidden="false" customHeight="false" outlineLevel="0" collapsed="false">
      <c r="A92" s="42" t="n">
        <v>45609</v>
      </c>
      <c r="B92" s="1" t="s">
        <v>13</v>
      </c>
      <c r="C92" s="2" t="s">
        <v>257</v>
      </c>
      <c r="D92" s="236" t="s">
        <v>263</v>
      </c>
      <c r="E92" s="45" t="n">
        <v>1233</v>
      </c>
      <c r="F92" s="45" t="n">
        <f aca="false">E92*I92</f>
        <v>67321.8</v>
      </c>
      <c r="G92" s="237" t="n">
        <f aca="false">H92/F92</f>
        <v>0.191616979938148</v>
      </c>
      <c r="H92" s="47" t="n">
        <v>12900</v>
      </c>
      <c r="I92" s="238" t="n">
        <v>54.6</v>
      </c>
      <c r="J92" s="238"/>
      <c r="K92" s="51" t="n">
        <v>67322</v>
      </c>
      <c r="L92" s="59" t="n">
        <f aca="false">M92*H92</f>
        <v>0</v>
      </c>
      <c r="M92" s="240"/>
      <c r="N92" s="200"/>
      <c r="O92" s="201" t="n">
        <f aca="false">N92/H92</f>
        <v>0</v>
      </c>
      <c r="P92" s="200"/>
      <c r="Q92" s="201" t="n">
        <f aca="false">P92/H92</f>
        <v>0</v>
      </c>
      <c r="R92" s="98"/>
      <c r="S92" s="45"/>
      <c r="T92" s="201" t="n">
        <f aca="false">S92/K92</f>
        <v>0</v>
      </c>
      <c r="U92" s="201"/>
      <c r="V92" s="201"/>
      <c r="W92" s="98" t="n">
        <f aca="false">F92+R92+S92</f>
        <v>67321.8</v>
      </c>
      <c r="X92" s="203" t="n">
        <f aca="false">H92+L92+N92+P92+U92</f>
        <v>12900</v>
      </c>
      <c r="Y92" s="100" t="n">
        <f aca="false">X92/W92</f>
        <v>0.191616979938148</v>
      </c>
      <c r="Z92" s="51" t="n">
        <v>67322</v>
      </c>
      <c r="AA92" s="51" t="n">
        <f aca="false">W92-Z92</f>
        <v>-0.19999999999709</v>
      </c>
    </row>
    <row r="93" customFormat="false" ht="14.25" hidden="false" customHeight="false" outlineLevel="0" collapsed="false">
      <c r="A93" s="42" t="n">
        <v>45610</v>
      </c>
      <c r="B93" s="1" t="s">
        <v>42</v>
      </c>
      <c r="C93" s="2" t="s">
        <v>213</v>
      </c>
      <c r="D93" s="236" t="s">
        <v>264</v>
      </c>
      <c r="E93" s="45" t="n">
        <v>1600</v>
      </c>
      <c r="F93" s="45" t="n">
        <f aca="false">E93*I93</f>
        <v>150880</v>
      </c>
      <c r="G93" s="237" t="n">
        <f aca="false">H93/F93</f>
        <v>0.226829268292683</v>
      </c>
      <c r="H93" s="47" t="n">
        <v>34224</v>
      </c>
      <c r="I93" s="238" t="n">
        <v>94.3</v>
      </c>
      <c r="J93" s="238"/>
      <c r="K93" s="51" t="n">
        <v>150880</v>
      </c>
      <c r="L93" s="59" t="n">
        <f aca="false">M93*H93</f>
        <v>0</v>
      </c>
      <c r="M93" s="240"/>
      <c r="N93" s="200"/>
      <c r="O93" s="201" t="n">
        <f aca="false">N93/H93</f>
        <v>0</v>
      </c>
      <c r="P93" s="200"/>
      <c r="Q93" s="201" t="n">
        <f aca="false">P93/H93</f>
        <v>0</v>
      </c>
      <c r="R93" s="98"/>
      <c r="S93" s="45"/>
      <c r="T93" s="201" t="n">
        <f aca="false">S93/K93</f>
        <v>0</v>
      </c>
      <c r="U93" s="201"/>
      <c r="V93" s="201"/>
      <c r="W93" s="98" t="n">
        <f aca="false">F93+R93+S93</f>
        <v>150880</v>
      </c>
      <c r="X93" s="203" t="n">
        <f aca="false">H93+L93+N93+P93+U93</f>
        <v>34224</v>
      </c>
      <c r="Y93" s="100" t="n">
        <f aca="false">X93/W93</f>
        <v>0.226829268292683</v>
      </c>
      <c r="Z93" s="51" t="n">
        <v>150880</v>
      </c>
      <c r="AA93" s="51" t="n">
        <f aca="false">W93-Z93</f>
        <v>0</v>
      </c>
    </row>
    <row r="94" customFormat="false" ht="14.25" hidden="false" customHeight="false" outlineLevel="0" collapsed="false">
      <c r="A94" s="42" t="n">
        <v>45611</v>
      </c>
      <c r="B94" s="1" t="s">
        <v>21</v>
      </c>
      <c r="C94" s="2" t="s">
        <v>243</v>
      </c>
      <c r="D94" s="236" t="s">
        <v>265</v>
      </c>
      <c r="E94" s="45" t="n">
        <v>5000</v>
      </c>
      <c r="F94" s="45" t="n">
        <f aca="false">E94*I94</f>
        <v>5000</v>
      </c>
      <c r="G94" s="237" t="n">
        <f aca="false">H94/F94</f>
        <v>2.2</v>
      </c>
      <c r="H94" s="47" t="n">
        <v>11000</v>
      </c>
      <c r="I94" s="238" t="n">
        <v>1</v>
      </c>
      <c r="J94" s="238"/>
      <c r="K94" s="51" t="n">
        <v>5000</v>
      </c>
      <c r="L94" s="59" t="n">
        <f aca="false">M94*H94</f>
        <v>0</v>
      </c>
      <c r="M94" s="240"/>
      <c r="N94" s="200"/>
      <c r="O94" s="201" t="n">
        <f aca="false">N94/H94</f>
        <v>0</v>
      </c>
      <c r="P94" s="200"/>
      <c r="Q94" s="201" t="n">
        <f aca="false">P94/H94</f>
        <v>0</v>
      </c>
      <c r="R94" s="98"/>
      <c r="S94" s="45"/>
      <c r="T94" s="201" t="n">
        <f aca="false">S94/K94</f>
        <v>0</v>
      </c>
      <c r="U94" s="201"/>
      <c r="V94" s="201"/>
      <c r="W94" s="98" t="n">
        <f aca="false">F94+R94+S94</f>
        <v>5000</v>
      </c>
      <c r="X94" s="203" t="n">
        <f aca="false">H94+L94+N94+P94+U94</f>
        <v>11000</v>
      </c>
      <c r="Y94" s="100" t="n">
        <f aca="false">X94/W94</f>
        <v>2.2</v>
      </c>
      <c r="Z94" s="51" t="n">
        <v>5000</v>
      </c>
      <c r="AA94" s="51" t="n">
        <f aca="false">W94-Z94</f>
        <v>0</v>
      </c>
    </row>
    <row r="95" customFormat="false" ht="14.25" hidden="false" customHeight="false" outlineLevel="0" collapsed="false">
      <c r="A95" s="42" t="n">
        <v>45611</v>
      </c>
      <c r="B95" s="1" t="s">
        <v>172</v>
      </c>
      <c r="C95" s="2" t="s">
        <v>243</v>
      </c>
      <c r="D95" s="236" t="s">
        <v>266</v>
      </c>
      <c r="E95" s="45" t="n">
        <v>2000</v>
      </c>
      <c r="F95" s="45" t="n">
        <f aca="false">E95*I95</f>
        <v>2000</v>
      </c>
      <c r="G95" s="237" t="n">
        <f aca="false">H95/F95</f>
        <v>11</v>
      </c>
      <c r="H95" s="47" t="n">
        <v>22000</v>
      </c>
      <c r="I95" s="238" t="n">
        <v>1</v>
      </c>
      <c r="J95" s="238"/>
      <c r="K95" s="51" t="n">
        <v>2000</v>
      </c>
      <c r="L95" s="59" t="n">
        <f aca="false">M95*H95</f>
        <v>0</v>
      </c>
      <c r="M95" s="240"/>
      <c r="N95" s="200"/>
      <c r="O95" s="201" t="n">
        <f aca="false">N95/H95</f>
        <v>0</v>
      </c>
      <c r="P95" s="200"/>
      <c r="Q95" s="201" t="n">
        <f aca="false">P95/H95</f>
        <v>0</v>
      </c>
      <c r="R95" s="98"/>
      <c r="S95" s="45"/>
      <c r="T95" s="201" t="n">
        <f aca="false">S95/K95</f>
        <v>0</v>
      </c>
      <c r="U95" s="201"/>
      <c r="V95" s="201"/>
      <c r="W95" s="98" t="n">
        <f aca="false">F95+R95+S95</f>
        <v>2000</v>
      </c>
      <c r="X95" s="203" t="n">
        <f aca="false">H95+L95+N95+P95+U95</f>
        <v>22000</v>
      </c>
      <c r="Y95" s="100" t="n">
        <f aca="false">X95/W95</f>
        <v>11</v>
      </c>
      <c r="Z95" s="51" t="n">
        <v>2000</v>
      </c>
      <c r="AA95" s="51" t="n">
        <f aca="false">W95-Z95</f>
        <v>0</v>
      </c>
    </row>
    <row r="96" customFormat="false" ht="14.25" hidden="false" customHeight="false" outlineLevel="0" collapsed="false">
      <c r="A96" s="42" t="n">
        <v>45623</v>
      </c>
      <c r="B96" s="1" t="s">
        <v>7</v>
      </c>
      <c r="C96" s="2" t="s">
        <v>267</v>
      </c>
      <c r="D96" s="236" t="s">
        <v>268</v>
      </c>
      <c r="E96" s="45" t="n">
        <v>10140</v>
      </c>
      <c r="F96" s="45" t="n">
        <f aca="false">E96*I96</f>
        <v>931866</v>
      </c>
      <c r="G96" s="237" t="n">
        <f aca="false">H96/F96</f>
        <v>0.322539935999382</v>
      </c>
      <c r="H96" s="47" t="n">
        <v>300564</v>
      </c>
      <c r="I96" s="238" t="n">
        <v>91.9</v>
      </c>
      <c r="J96" s="238"/>
      <c r="K96" s="51" t="n">
        <v>931866</v>
      </c>
      <c r="L96" s="59" t="n">
        <f aca="false">M96*H96</f>
        <v>0</v>
      </c>
      <c r="M96" s="240"/>
      <c r="N96" s="200"/>
      <c r="O96" s="201" t="n">
        <f aca="false">N96/H96</f>
        <v>0</v>
      </c>
      <c r="P96" s="200"/>
      <c r="Q96" s="201" t="n">
        <f aca="false">P96/H96</f>
        <v>0</v>
      </c>
      <c r="R96" s="98"/>
      <c r="S96" s="45"/>
      <c r="T96" s="201" t="n">
        <f aca="false">S96/K96</f>
        <v>0</v>
      </c>
      <c r="U96" s="201"/>
      <c r="V96" s="201"/>
      <c r="W96" s="98" t="n">
        <f aca="false">F96+R96+S96</f>
        <v>931866</v>
      </c>
      <c r="X96" s="203" t="n">
        <f aca="false">H96+L96+N96+P96+U96</f>
        <v>300564</v>
      </c>
      <c r="Y96" s="100" t="n">
        <f aca="false">X96/W96</f>
        <v>0.322539935999382</v>
      </c>
      <c r="Z96" s="51" t="n">
        <v>931866</v>
      </c>
      <c r="AA96" s="51" t="n">
        <f aca="false">W96-Z96</f>
        <v>0</v>
      </c>
    </row>
    <row r="97" customFormat="false" ht="14.25" hidden="false" customHeight="false" outlineLevel="0" collapsed="false">
      <c r="A97" s="42" t="n">
        <v>45631</v>
      </c>
      <c r="B97" s="1" t="s">
        <v>10</v>
      </c>
      <c r="C97" s="2" t="s">
        <v>269</v>
      </c>
      <c r="D97" s="236" t="s">
        <v>270</v>
      </c>
      <c r="E97" s="45" t="n">
        <v>35880</v>
      </c>
      <c r="F97" s="45" t="n">
        <f aca="false">E97*I97</f>
        <v>3071328</v>
      </c>
      <c r="G97" s="237" t="n">
        <f aca="false">H97/F97</f>
        <v>0.09</v>
      </c>
      <c r="H97" s="47" t="n">
        <v>276419.52</v>
      </c>
      <c r="I97" s="238" t="n">
        <v>85.6</v>
      </c>
      <c r="J97" s="238" t="n">
        <v>81</v>
      </c>
      <c r="K97" s="51" t="n">
        <v>3071328</v>
      </c>
      <c r="L97" s="59" t="n">
        <f aca="false">M97*H97</f>
        <v>0</v>
      </c>
      <c r="M97" s="240"/>
      <c r="N97" s="200"/>
      <c r="O97" s="201" t="n">
        <f aca="false">N97/H97</f>
        <v>0</v>
      </c>
      <c r="P97" s="200"/>
      <c r="Q97" s="201" t="n">
        <f aca="false">P97/H97</f>
        <v>0</v>
      </c>
      <c r="R97" s="98"/>
      <c r="S97" s="45"/>
      <c r="T97" s="201" t="n">
        <f aca="false">S97/K97</f>
        <v>0</v>
      </c>
      <c r="U97" s="201"/>
      <c r="V97" s="201"/>
      <c r="W97" s="98" t="n">
        <f aca="false">F97+R97+S97</f>
        <v>3071328</v>
      </c>
      <c r="X97" s="203" t="n">
        <f aca="false">H97+L97+N97+P97+U97</f>
        <v>276419.52</v>
      </c>
      <c r="Y97" s="100" t="n">
        <f aca="false">X97/W97</f>
        <v>0.09</v>
      </c>
      <c r="Z97" s="51" t="n">
        <v>3071328</v>
      </c>
      <c r="AA97" s="51" t="n">
        <f aca="false">W97-Z97</f>
        <v>0</v>
      </c>
    </row>
    <row r="98" customFormat="false" ht="14.25" hidden="false" customHeight="false" outlineLevel="0" collapsed="false">
      <c r="A98" s="42" t="n">
        <v>45631</v>
      </c>
      <c r="B98" s="1" t="s">
        <v>12</v>
      </c>
      <c r="C98" s="2" t="s">
        <v>267</v>
      </c>
      <c r="D98" s="236" t="s">
        <v>271</v>
      </c>
      <c r="E98" s="45" t="n">
        <v>2000</v>
      </c>
      <c r="F98" s="45" t="n">
        <f aca="false">E98*I98</f>
        <v>114600</v>
      </c>
      <c r="G98" s="237" t="n">
        <f aca="false">H98/F98</f>
        <v>2.03228621291449</v>
      </c>
      <c r="H98" s="47" t="n">
        <v>232900</v>
      </c>
      <c r="I98" s="238" t="n">
        <v>57.3</v>
      </c>
      <c r="J98" s="238"/>
      <c r="K98" s="51" t="n">
        <v>114600</v>
      </c>
      <c r="L98" s="59" t="n">
        <f aca="false">M98*H98</f>
        <v>0</v>
      </c>
      <c r="M98" s="240"/>
      <c r="N98" s="200"/>
      <c r="O98" s="201" t="n">
        <f aca="false">N98/H98</f>
        <v>0</v>
      </c>
      <c r="P98" s="200"/>
      <c r="Q98" s="201" t="n">
        <f aca="false">P98/H98</f>
        <v>0</v>
      </c>
      <c r="R98" s="98"/>
      <c r="S98" s="45"/>
      <c r="T98" s="201" t="n">
        <f aca="false">S98/K98</f>
        <v>0</v>
      </c>
      <c r="U98" s="201"/>
      <c r="V98" s="201"/>
      <c r="W98" s="98" t="n">
        <f aca="false">F98+R98+S98</f>
        <v>114600</v>
      </c>
      <c r="X98" s="203" t="n">
        <f aca="false">H98+L98+N98+P98+U98</f>
        <v>232900</v>
      </c>
      <c r="Y98" s="100" t="n">
        <f aca="false">X98/W98</f>
        <v>2.03228621291449</v>
      </c>
      <c r="Z98" s="51" t="n">
        <v>114600</v>
      </c>
      <c r="AA98" s="51" t="n">
        <f aca="false">W98-Z98</f>
        <v>0</v>
      </c>
    </row>
    <row r="99" customFormat="false" ht="14.25" hidden="false" customHeight="false" outlineLevel="0" collapsed="false">
      <c r="A99" s="42" t="n">
        <v>45631</v>
      </c>
      <c r="B99" s="1" t="s">
        <v>15</v>
      </c>
      <c r="C99" s="2" t="s">
        <v>185</v>
      </c>
      <c r="D99" s="236" t="s">
        <v>272</v>
      </c>
      <c r="E99" s="45" t="n">
        <v>16740</v>
      </c>
      <c r="F99" s="45" t="n">
        <f aca="false">E99*I99</f>
        <v>954180</v>
      </c>
      <c r="G99" s="237" t="n">
        <f aca="false">H99/F99</f>
        <v>0.32</v>
      </c>
      <c r="H99" s="47" t="n">
        <v>305337.6</v>
      </c>
      <c r="I99" s="238" t="n">
        <v>57</v>
      </c>
      <c r="J99" s="238"/>
      <c r="K99" s="51" t="n">
        <v>954180</v>
      </c>
      <c r="L99" s="59" t="n">
        <f aca="false">M99*H99</f>
        <v>0</v>
      </c>
      <c r="M99" s="240"/>
      <c r="N99" s="200"/>
      <c r="O99" s="201" t="n">
        <f aca="false">N99/H99</f>
        <v>0</v>
      </c>
      <c r="P99" s="200"/>
      <c r="Q99" s="201" t="n">
        <f aca="false">P99/H99</f>
        <v>0</v>
      </c>
      <c r="R99" s="98"/>
      <c r="S99" s="45"/>
      <c r="T99" s="201" t="n">
        <f aca="false">S99/K99</f>
        <v>0</v>
      </c>
      <c r="U99" s="201"/>
      <c r="V99" s="201"/>
      <c r="W99" s="98" t="n">
        <f aca="false">F99+R99+S99</f>
        <v>954180</v>
      </c>
      <c r="X99" s="203" t="n">
        <f aca="false">H99+L99+N99+P99+U99</f>
        <v>305337.6</v>
      </c>
      <c r="Y99" s="100" t="n">
        <f aca="false">X99/W99</f>
        <v>0.32</v>
      </c>
      <c r="Z99" s="51" t="n">
        <v>954180</v>
      </c>
      <c r="AA99" s="51" t="n">
        <f aca="false">W99-Z99</f>
        <v>0</v>
      </c>
    </row>
    <row r="100" customFormat="false" ht="14.25" hidden="false" customHeight="false" outlineLevel="0" collapsed="false">
      <c r="A100" s="42" t="n">
        <v>45631</v>
      </c>
      <c r="B100" s="1" t="s">
        <v>13</v>
      </c>
      <c r="C100" s="2" t="s">
        <v>185</v>
      </c>
      <c r="D100" s="236" t="s">
        <v>273</v>
      </c>
      <c r="E100" s="45" t="n">
        <v>13980</v>
      </c>
      <c r="F100" s="45" t="n">
        <f aca="false">E100*I100</f>
        <v>1097430</v>
      </c>
      <c r="G100" s="237" t="n">
        <f aca="false">H100/F100</f>
        <v>0.25</v>
      </c>
      <c r="H100" s="47" t="n">
        <v>274357.5</v>
      </c>
      <c r="I100" s="238" t="n">
        <v>78.5</v>
      </c>
      <c r="J100" s="238"/>
      <c r="K100" s="51" t="n">
        <v>1097430</v>
      </c>
      <c r="L100" s="59" t="n">
        <f aca="false">M100*H100</f>
        <v>0</v>
      </c>
      <c r="M100" s="240"/>
      <c r="N100" s="200"/>
      <c r="O100" s="201" t="n">
        <f aca="false">N100/H100</f>
        <v>0</v>
      </c>
      <c r="P100" s="200"/>
      <c r="Q100" s="201" t="n">
        <f aca="false">P100/H100</f>
        <v>0</v>
      </c>
      <c r="R100" s="98"/>
      <c r="S100" s="45"/>
      <c r="T100" s="201" t="n">
        <f aca="false">S100/K100</f>
        <v>0</v>
      </c>
      <c r="U100" s="201"/>
      <c r="V100" s="201"/>
      <c r="W100" s="98" t="n">
        <f aca="false">F100+R100+S100</f>
        <v>1097430</v>
      </c>
      <c r="X100" s="203" t="n">
        <f aca="false">H100+L100+N100+P100+U100</f>
        <v>274357.5</v>
      </c>
      <c r="Y100" s="100" t="n">
        <f aca="false">X100/W100</f>
        <v>0.25</v>
      </c>
      <c r="Z100" s="51" t="n">
        <v>1097430</v>
      </c>
      <c r="AA100" s="51" t="n">
        <f aca="false">W100-Z100</f>
        <v>0</v>
      </c>
    </row>
    <row r="101" customFormat="false" ht="14.25" hidden="false" customHeight="false" outlineLevel="0" collapsed="false">
      <c r="A101" s="42" t="n">
        <v>45632</v>
      </c>
      <c r="B101" s="1" t="s">
        <v>10</v>
      </c>
      <c r="C101" s="2" t="s">
        <v>269</v>
      </c>
      <c r="D101" s="236" t="s">
        <v>274</v>
      </c>
      <c r="E101" s="45" t="n">
        <v>34380</v>
      </c>
      <c r="F101" s="45" t="n">
        <f aca="false">E101*I101</f>
        <v>2977308</v>
      </c>
      <c r="G101" s="237" t="n">
        <f aca="false">H101/F101</f>
        <v>0.09</v>
      </c>
      <c r="H101" s="47" t="n">
        <v>267957.72</v>
      </c>
      <c r="I101" s="238" t="n">
        <v>86.6</v>
      </c>
      <c r="J101" s="238" t="n">
        <v>82</v>
      </c>
      <c r="K101" s="51" t="n">
        <v>2977308</v>
      </c>
      <c r="L101" s="59" t="n">
        <f aca="false">M101*H101</f>
        <v>0</v>
      </c>
      <c r="M101" s="240"/>
      <c r="N101" s="200"/>
      <c r="O101" s="201" t="n">
        <f aca="false">N101/H101</f>
        <v>0</v>
      </c>
      <c r="P101" s="200"/>
      <c r="Q101" s="201" t="n">
        <f aca="false">P101/H101</f>
        <v>0</v>
      </c>
      <c r="R101" s="98"/>
      <c r="S101" s="45"/>
      <c r="T101" s="201" t="n">
        <f aca="false">S101/K101</f>
        <v>0</v>
      </c>
      <c r="U101" s="201"/>
      <c r="V101" s="201"/>
      <c r="W101" s="98" t="n">
        <f aca="false">F101+R101+S101</f>
        <v>2977308</v>
      </c>
      <c r="X101" s="203" t="n">
        <f aca="false">H101+L101+N101+P101+U101</f>
        <v>267957.72</v>
      </c>
      <c r="Y101" s="100" t="n">
        <f aca="false">X101/W101</f>
        <v>0.09</v>
      </c>
      <c r="Z101" s="51" t="n">
        <v>2977308</v>
      </c>
      <c r="AA101" s="51" t="n">
        <f aca="false">W101-Z101</f>
        <v>0</v>
      </c>
    </row>
    <row r="102" customFormat="false" ht="14.25" hidden="false" customHeight="false" outlineLevel="0" collapsed="false">
      <c r="A102" s="42" t="n">
        <v>45638</v>
      </c>
      <c r="B102" s="1" t="s">
        <v>52</v>
      </c>
      <c r="C102" s="2" t="s">
        <v>218</v>
      </c>
      <c r="D102" s="236" t="s">
        <v>275</v>
      </c>
      <c r="E102" s="45" t="n">
        <v>37680</v>
      </c>
      <c r="F102" s="45" t="n">
        <f aca="false">E102*I102</f>
        <v>3308304</v>
      </c>
      <c r="G102" s="237" t="n">
        <f aca="false">H102/F102</f>
        <v>0.252892336979915</v>
      </c>
      <c r="H102" s="47" t="n">
        <v>836644.73</v>
      </c>
      <c r="I102" s="238" t="n">
        <v>87.8</v>
      </c>
      <c r="J102" s="238"/>
      <c r="K102" s="51" t="n">
        <v>3308304</v>
      </c>
      <c r="L102" s="59" t="n">
        <f aca="false">M102*H102</f>
        <v>0</v>
      </c>
      <c r="M102" s="240"/>
      <c r="N102" s="200"/>
      <c r="O102" s="201" t="n">
        <f aca="false">N102/H102</f>
        <v>0</v>
      </c>
      <c r="P102" s="200"/>
      <c r="Q102" s="201" t="n">
        <f aca="false">P102/H102</f>
        <v>0</v>
      </c>
      <c r="R102" s="98"/>
      <c r="S102" s="45"/>
      <c r="T102" s="201" t="n">
        <f aca="false">S102/K102</f>
        <v>0</v>
      </c>
      <c r="U102" s="201"/>
      <c r="V102" s="201"/>
      <c r="W102" s="98" t="n">
        <f aca="false">F102+R102+S102</f>
        <v>3308304</v>
      </c>
      <c r="X102" s="203" t="n">
        <f aca="false">H102+L102+N102+P102+U102</f>
        <v>836644.73</v>
      </c>
      <c r="Y102" s="100" t="n">
        <f aca="false">X102/W102</f>
        <v>0.252892336979915</v>
      </c>
      <c r="Z102" s="51" t="n">
        <v>3308304</v>
      </c>
      <c r="AA102" s="51" t="n">
        <f aca="false">W102-Z102</f>
        <v>0</v>
      </c>
    </row>
    <row r="103" customFormat="false" ht="14.25" hidden="false" customHeight="false" outlineLevel="0" collapsed="false">
      <c r="A103" s="42" t="n">
        <v>45639</v>
      </c>
      <c r="B103" s="1" t="s">
        <v>10</v>
      </c>
      <c r="C103" s="2" t="s">
        <v>218</v>
      </c>
      <c r="D103" s="236" t="s">
        <v>276</v>
      </c>
      <c r="E103" s="45" t="n">
        <v>32600</v>
      </c>
      <c r="F103" s="45" t="n">
        <f aca="false">E103*I103</f>
        <v>3100260</v>
      </c>
      <c r="G103" s="237" t="n">
        <f aca="false">H103/F103</f>
        <v>0.105407765800288</v>
      </c>
      <c r="H103" s="47" t="n">
        <v>326791.48</v>
      </c>
      <c r="I103" s="238" t="n">
        <v>95.1</v>
      </c>
      <c r="J103" s="238" t="n">
        <v>88</v>
      </c>
      <c r="K103" s="51" t="n">
        <v>3100260</v>
      </c>
      <c r="L103" s="59" t="n">
        <f aca="false">M103*H103</f>
        <v>0</v>
      </c>
      <c r="M103" s="240"/>
      <c r="N103" s="200"/>
      <c r="O103" s="201" t="n">
        <f aca="false">N103/H103</f>
        <v>0</v>
      </c>
      <c r="P103" s="200"/>
      <c r="Q103" s="201" t="n">
        <f aca="false">P103/H103</f>
        <v>0</v>
      </c>
      <c r="R103" s="98"/>
      <c r="S103" s="45"/>
      <c r="T103" s="201" t="n">
        <f aca="false">S103/K103</f>
        <v>0</v>
      </c>
      <c r="U103" s="201"/>
      <c r="V103" s="201"/>
      <c r="W103" s="98" t="n">
        <f aca="false">F103+R103+S103</f>
        <v>3100260</v>
      </c>
      <c r="X103" s="203" t="n">
        <f aca="false">H103+L103+N103+P103+U103</f>
        <v>326791.48</v>
      </c>
      <c r="Y103" s="100" t="n">
        <f aca="false">X103/W103</f>
        <v>0.105407765800288</v>
      </c>
      <c r="Z103" s="51" t="n">
        <v>3100260</v>
      </c>
      <c r="AA103" s="51" t="n">
        <f aca="false">W103-Z103</f>
        <v>0</v>
      </c>
    </row>
    <row r="104" customFormat="false" ht="14.25" hidden="false" customHeight="false" outlineLevel="0" collapsed="false">
      <c r="A104" s="42" t="n">
        <v>45640</v>
      </c>
      <c r="B104" s="1" t="s">
        <v>42</v>
      </c>
      <c r="C104" s="2" t="s">
        <v>267</v>
      </c>
      <c r="D104" s="236" t="s">
        <v>277</v>
      </c>
      <c r="E104" s="45" t="n">
        <v>19640</v>
      </c>
      <c r="F104" s="45" t="n">
        <f aca="false">E104*I104</f>
        <v>1459252</v>
      </c>
      <c r="G104" s="237" t="n">
        <f aca="false">H104/F104</f>
        <v>0.226143256956304</v>
      </c>
      <c r="H104" s="47" t="n">
        <v>330000</v>
      </c>
      <c r="I104" s="238" t="n">
        <v>74.3</v>
      </c>
      <c r="J104" s="238"/>
      <c r="K104" s="51" t="n">
        <v>1459252</v>
      </c>
      <c r="L104" s="59" t="n">
        <f aca="false">M104*H104</f>
        <v>0</v>
      </c>
      <c r="M104" s="240"/>
      <c r="N104" s="200"/>
      <c r="O104" s="201" t="n">
        <f aca="false">N104/H104</f>
        <v>0</v>
      </c>
      <c r="P104" s="200"/>
      <c r="Q104" s="201" t="n">
        <f aca="false">P104/H104</f>
        <v>0</v>
      </c>
      <c r="R104" s="98"/>
      <c r="S104" s="45"/>
      <c r="T104" s="201" t="n">
        <f aca="false">S104/K104</f>
        <v>0</v>
      </c>
      <c r="U104" s="201"/>
      <c r="V104" s="201"/>
      <c r="W104" s="98" t="n">
        <f aca="false">F104+R104+S104</f>
        <v>1459252</v>
      </c>
      <c r="X104" s="203" t="n">
        <f aca="false">H104+L104+N104+P104+U104</f>
        <v>330000</v>
      </c>
      <c r="Y104" s="100" t="n">
        <f aca="false">X104/W104</f>
        <v>0.226143256956304</v>
      </c>
      <c r="Z104" s="51" t="n">
        <v>1459252</v>
      </c>
      <c r="AA104" s="51" t="n">
        <f aca="false">W104-Z104</f>
        <v>0</v>
      </c>
    </row>
    <row r="105" customFormat="false" ht="14.25" hidden="false" customHeight="false" outlineLevel="0" collapsed="false">
      <c r="A105" s="42" t="n">
        <v>45640</v>
      </c>
      <c r="B105" s="1" t="s">
        <v>15</v>
      </c>
      <c r="C105" s="2" t="s">
        <v>185</v>
      </c>
      <c r="D105" s="236" t="s">
        <v>278</v>
      </c>
      <c r="E105" s="45" t="n">
        <v>14220</v>
      </c>
      <c r="F105" s="45" t="n">
        <f aca="false">E105*I105</f>
        <v>912924</v>
      </c>
      <c r="G105" s="237" t="n">
        <f aca="false">H105/F105</f>
        <v>0.289837927363066</v>
      </c>
      <c r="H105" s="47" t="n">
        <v>264600</v>
      </c>
      <c r="I105" s="238" t="n">
        <v>64.2</v>
      </c>
      <c r="J105" s="238"/>
      <c r="K105" s="51" t="n">
        <v>912924</v>
      </c>
      <c r="L105" s="59" t="n">
        <f aca="false">M105*H105</f>
        <v>0</v>
      </c>
      <c r="M105" s="240"/>
      <c r="N105" s="200"/>
      <c r="O105" s="201" t="n">
        <f aca="false">N105/H105</f>
        <v>0</v>
      </c>
      <c r="P105" s="200"/>
      <c r="Q105" s="201" t="n">
        <f aca="false">P105/H105</f>
        <v>0</v>
      </c>
      <c r="R105" s="98"/>
      <c r="S105" s="45"/>
      <c r="T105" s="201" t="n">
        <f aca="false">S105/K105</f>
        <v>0</v>
      </c>
      <c r="U105" s="201"/>
      <c r="V105" s="201"/>
      <c r="W105" s="98" t="n">
        <f aca="false">F105+R105+S105</f>
        <v>912924</v>
      </c>
      <c r="X105" s="203" t="n">
        <f aca="false">H105+L105+N105+P105+U105</f>
        <v>264600</v>
      </c>
      <c r="Y105" s="100" t="n">
        <f aca="false">X105/W105</f>
        <v>0.289837927363066</v>
      </c>
      <c r="Z105" s="51" t="n">
        <v>912924</v>
      </c>
      <c r="AA105" s="51" t="n">
        <f aca="false">W105-Z105</f>
        <v>0</v>
      </c>
    </row>
    <row r="106" customFormat="false" ht="14.25" hidden="false" customHeight="false" outlineLevel="0" collapsed="false">
      <c r="A106" s="42" t="n">
        <v>45642</v>
      </c>
      <c r="B106" s="1" t="s">
        <v>10</v>
      </c>
      <c r="C106" s="2" t="s">
        <v>218</v>
      </c>
      <c r="D106" s="236" t="s">
        <v>279</v>
      </c>
      <c r="E106" s="45" t="n">
        <v>39980</v>
      </c>
      <c r="F106" s="45" t="n">
        <f aca="false">E106*I106</f>
        <v>3606196</v>
      </c>
      <c r="G106" s="237" t="n">
        <f aca="false">H106/F106</f>
        <v>0.0907044320386357</v>
      </c>
      <c r="H106" s="47" t="n">
        <v>327097.96</v>
      </c>
      <c r="I106" s="238" t="n">
        <v>90.2</v>
      </c>
      <c r="J106" s="238" t="n">
        <v>82</v>
      </c>
      <c r="K106" s="51" t="n">
        <v>3606196</v>
      </c>
      <c r="L106" s="59" t="n">
        <f aca="false">M106*H106</f>
        <v>0</v>
      </c>
      <c r="M106" s="240"/>
      <c r="N106" s="200"/>
      <c r="O106" s="201" t="n">
        <f aca="false">N106/H106</f>
        <v>0</v>
      </c>
      <c r="P106" s="200"/>
      <c r="Q106" s="201" t="n">
        <f aca="false">P106/H106</f>
        <v>0</v>
      </c>
      <c r="R106" s="98"/>
      <c r="S106" s="45"/>
      <c r="T106" s="201" t="n">
        <f aca="false">S106/K106</f>
        <v>0</v>
      </c>
      <c r="U106" s="201"/>
      <c r="V106" s="201"/>
      <c r="W106" s="98" t="n">
        <f aca="false">F106+R106+S106</f>
        <v>3606196</v>
      </c>
      <c r="X106" s="203" t="n">
        <f aca="false">H106+L106+N106+P106+U106</f>
        <v>327097.96</v>
      </c>
      <c r="Y106" s="100" t="n">
        <f aca="false">X106/W106</f>
        <v>0.0907044320386357</v>
      </c>
      <c r="Z106" s="51" t="n">
        <v>3606196</v>
      </c>
      <c r="AA106" s="51" t="n">
        <f aca="false">W106-Z106</f>
        <v>0</v>
      </c>
    </row>
    <row r="107" customFormat="false" ht="14.25" hidden="false" customHeight="false" outlineLevel="0" collapsed="false">
      <c r="A107" s="42" t="n">
        <v>45642</v>
      </c>
      <c r="B107" s="1" t="s">
        <v>21</v>
      </c>
      <c r="C107" s="2" t="s">
        <v>243</v>
      </c>
      <c r="D107" s="236" t="s">
        <v>280</v>
      </c>
      <c r="E107" s="45" t="n">
        <v>10000</v>
      </c>
      <c r="F107" s="45" t="n">
        <f aca="false">E107*I107</f>
        <v>10000</v>
      </c>
      <c r="G107" s="237" t="n">
        <f aca="false">H107/F107</f>
        <v>2.5</v>
      </c>
      <c r="H107" s="47" t="n">
        <v>25000</v>
      </c>
      <c r="I107" s="238" t="n">
        <v>1</v>
      </c>
      <c r="J107" s="238"/>
      <c r="K107" s="51" t="n">
        <v>10000</v>
      </c>
      <c r="L107" s="59" t="n">
        <f aca="false">M107*H107</f>
        <v>0</v>
      </c>
      <c r="M107" s="240"/>
      <c r="N107" s="200"/>
      <c r="O107" s="201" t="n">
        <f aca="false">N107/H107</f>
        <v>0</v>
      </c>
      <c r="P107" s="200"/>
      <c r="Q107" s="201" t="n">
        <f aca="false">P107/H107</f>
        <v>0</v>
      </c>
      <c r="R107" s="98"/>
      <c r="S107" s="45"/>
      <c r="T107" s="201" t="n">
        <f aca="false">S107/K107</f>
        <v>0</v>
      </c>
      <c r="U107" s="201"/>
      <c r="V107" s="201"/>
      <c r="W107" s="98" t="n">
        <f aca="false">F107+R107+S107</f>
        <v>10000</v>
      </c>
      <c r="X107" s="203" t="n">
        <f aca="false">H107+L107+N107+P107+U107</f>
        <v>25000</v>
      </c>
      <c r="Y107" s="100" t="n">
        <f aca="false">X107/W107</f>
        <v>2.5</v>
      </c>
      <c r="Z107" s="51" t="n">
        <v>10000</v>
      </c>
      <c r="AA107" s="51" t="n">
        <f aca="false">W107-Z107</f>
        <v>0</v>
      </c>
    </row>
    <row r="108" customFormat="false" ht="14.25" hidden="false" customHeight="false" outlineLevel="0" collapsed="false">
      <c r="A108" s="42" t="n">
        <v>45642</v>
      </c>
      <c r="B108" s="1" t="s">
        <v>21</v>
      </c>
      <c r="C108" s="2" t="s">
        <v>243</v>
      </c>
      <c r="D108" s="236" t="s">
        <v>281</v>
      </c>
      <c r="E108" s="45" t="n">
        <v>1000</v>
      </c>
      <c r="F108" s="45" t="n">
        <f aca="false">E108*I108</f>
        <v>1000</v>
      </c>
      <c r="G108" s="237" t="n">
        <f aca="false">H108/F108</f>
        <v>2.5</v>
      </c>
      <c r="H108" s="47" t="n">
        <v>2500</v>
      </c>
      <c r="I108" s="238" t="n">
        <v>1</v>
      </c>
      <c r="J108" s="238"/>
      <c r="K108" s="51" t="n">
        <v>1000</v>
      </c>
      <c r="L108" s="59" t="n">
        <f aca="false">M108*H108</f>
        <v>0</v>
      </c>
      <c r="M108" s="240"/>
      <c r="N108" s="200"/>
      <c r="O108" s="201" t="n">
        <f aca="false">N108/H108</f>
        <v>0</v>
      </c>
      <c r="P108" s="200"/>
      <c r="Q108" s="201" t="n">
        <f aca="false">P108/H108</f>
        <v>0</v>
      </c>
      <c r="R108" s="98"/>
      <c r="S108" s="45"/>
      <c r="T108" s="201" t="n">
        <f aca="false">S108/K108</f>
        <v>0</v>
      </c>
      <c r="U108" s="201"/>
      <c r="V108" s="201"/>
      <c r="W108" s="98" t="n">
        <f aca="false">F108+R108+S108</f>
        <v>1000</v>
      </c>
      <c r="X108" s="203" t="n">
        <f aca="false">H108+L108+N108+P108+U108</f>
        <v>2500</v>
      </c>
      <c r="Y108" s="100" t="n">
        <f aca="false">X108/W108</f>
        <v>2.5</v>
      </c>
      <c r="Z108" s="51" t="n">
        <v>1000</v>
      </c>
      <c r="AA108" s="51" t="n">
        <f aca="false">W108-Z108</f>
        <v>0</v>
      </c>
    </row>
    <row r="109" customFormat="false" ht="14.25" hidden="false" customHeight="false" outlineLevel="0" collapsed="false">
      <c r="A109" s="42" t="n">
        <v>45642</v>
      </c>
      <c r="B109" s="1" t="s">
        <v>172</v>
      </c>
      <c r="C109" s="2" t="s">
        <v>243</v>
      </c>
      <c r="D109" s="236" t="s">
        <v>282</v>
      </c>
      <c r="E109" s="45" t="n">
        <v>2000</v>
      </c>
      <c r="F109" s="45" t="n">
        <f aca="false">E109*I109</f>
        <v>2000</v>
      </c>
      <c r="G109" s="237" t="n">
        <f aca="false">H109/F109</f>
        <v>11</v>
      </c>
      <c r="H109" s="47" t="n">
        <v>22000</v>
      </c>
      <c r="I109" s="238" t="n">
        <v>1</v>
      </c>
      <c r="J109" s="238"/>
      <c r="K109" s="51" t="n">
        <v>2000</v>
      </c>
      <c r="L109" s="59" t="n">
        <f aca="false">M109*H109</f>
        <v>0</v>
      </c>
      <c r="M109" s="240"/>
      <c r="N109" s="200"/>
      <c r="O109" s="201" t="n">
        <f aca="false">N109/H109</f>
        <v>0</v>
      </c>
      <c r="P109" s="200"/>
      <c r="Q109" s="201" t="n">
        <f aca="false">P109/H109</f>
        <v>0</v>
      </c>
      <c r="R109" s="98"/>
      <c r="S109" s="45"/>
      <c r="T109" s="201" t="n">
        <f aca="false">S109/K109</f>
        <v>0</v>
      </c>
      <c r="U109" s="201"/>
      <c r="V109" s="201"/>
      <c r="W109" s="98" t="n">
        <f aca="false">F109+R109+S109</f>
        <v>2000</v>
      </c>
      <c r="X109" s="203" t="n">
        <f aca="false">H109+L109+N109+P109+U109</f>
        <v>22000</v>
      </c>
      <c r="Y109" s="100" t="n">
        <f aca="false">X109/W109</f>
        <v>11</v>
      </c>
      <c r="Z109" s="51" t="n">
        <v>2000</v>
      </c>
      <c r="AA109" s="51" t="n">
        <f aca="false">W109-Z109</f>
        <v>0</v>
      </c>
    </row>
    <row r="110" customFormat="false" ht="14.25" hidden="false" customHeight="false" outlineLevel="0" collapsed="false">
      <c r="A110" s="42" t="n">
        <v>45642</v>
      </c>
      <c r="B110" s="1" t="s">
        <v>10</v>
      </c>
      <c r="C110" s="2" t="s">
        <v>218</v>
      </c>
      <c r="D110" s="236" t="s">
        <v>283</v>
      </c>
      <c r="E110" s="45" t="n">
        <v>30060</v>
      </c>
      <c r="F110" s="45" t="n">
        <f aca="false">E110*I110</f>
        <v>2645280</v>
      </c>
      <c r="G110" s="237" t="n">
        <f aca="false">H110/F110</f>
        <v>0.111781550535293</v>
      </c>
      <c r="H110" s="47" t="n">
        <v>295693.5</v>
      </c>
      <c r="I110" s="238" t="n">
        <v>88</v>
      </c>
      <c r="J110" s="238" t="n">
        <v>84</v>
      </c>
      <c r="K110" s="51" t="n">
        <v>2645280</v>
      </c>
      <c r="L110" s="59" t="n">
        <f aca="false">M110*H110</f>
        <v>0</v>
      </c>
      <c r="M110" s="240"/>
      <c r="N110" s="200"/>
      <c r="O110" s="201" t="n">
        <f aca="false">N110/H110</f>
        <v>0</v>
      </c>
      <c r="P110" s="200"/>
      <c r="Q110" s="201" t="n">
        <f aca="false">P110/H110</f>
        <v>0</v>
      </c>
      <c r="R110" s="98"/>
      <c r="S110" s="45"/>
      <c r="T110" s="201" t="n">
        <f aca="false">S110/K110</f>
        <v>0</v>
      </c>
      <c r="U110" s="201"/>
      <c r="V110" s="201"/>
      <c r="W110" s="98" t="n">
        <f aca="false">F110+R110+S110</f>
        <v>2645280</v>
      </c>
      <c r="X110" s="203" t="n">
        <f aca="false">H110+L110+N110+P110+U110</f>
        <v>295693.5</v>
      </c>
      <c r="Y110" s="100" t="n">
        <f aca="false">X110/W110</f>
        <v>0.111781550535293</v>
      </c>
      <c r="Z110" s="51" t="n">
        <v>2645280</v>
      </c>
      <c r="AA110" s="51" t="n">
        <f aca="false">W110-Z110</f>
        <v>0</v>
      </c>
    </row>
    <row r="111" customFormat="false" ht="14.25" hidden="false" customHeight="false" outlineLevel="0" collapsed="false">
      <c r="A111" s="42" t="n">
        <v>45643</v>
      </c>
      <c r="B111" s="1" t="s">
        <v>10</v>
      </c>
      <c r="C111" s="2" t="s">
        <v>269</v>
      </c>
      <c r="D111" s="236" t="s">
        <v>284</v>
      </c>
      <c r="E111" s="45" t="n">
        <v>30820</v>
      </c>
      <c r="F111" s="45" t="n">
        <f aca="false">E111*I111</f>
        <v>2628946</v>
      </c>
      <c r="G111" s="237" t="n">
        <f aca="false">H111/F111</f>
        <v>0.09</v>
      </c>
      <c r="H111" s="47" t="n">
        <v>236605.14</v>
      </c>
      <c r="I111" s="238" t="n">
        <v>85.3</v>
      </c>
      <c r="J111" s="238" t="n">
        <v>73</v>
      </c>
      <c r="K111" s="51" t="n">
        <v>2628946</v>
      </c>
      <c r="L111" s="59" t="n">
        <f aca="false">M111*H111</f>
        <v>0</v>
      </c>
      <c r="M111" s="240"/>
      <c r="N111" s="200"/>
      <c r="O111" s="201" t="n">
        <f aca="false">N111/H111</f>
        <v>0</v>
      </c>
      <c r="P111" s="200"/>
      <c r="Q111" s="201" t="n">
        <f aca="false">P111/H111</f>
        <v>0</v>
      </c>
      <c r="R111" s="98"/>
      <c r="S111" s="45"/>
      <c r="T111" s="201" t="n">
        <f aca="false">S111/K111</f>
        <v>0</v>
      </c>
      <c r="U111" s="201"/>
      <c r="V111" s="201"/>
      <c r="W111" s="98" t="n">
        <f aca="false">F111+R111+S111</f>
        <v>2628946</v>
      </c>
      <c r="X111" s="203" t="n">
        <f aca="false">H111+L111+N111+P111+U111</f>
        <v>236605.14</v>
      </c>
      <c r="Y111" s="100" t="n">
        <f aca="false">X111/W111</f>
        <v>0.09</v>
      </c>
      <c r="Z111" s="51" t="n">
        <v>2628946</v>
      </c>
      <c r="AA111" s="51" t="n">
        <f aca="false">W111-Z111</f>
        <v>0</v>
      </c>
    </row>
    <row r="112" customFormat="false" ht="14.25" hidden="false" customHeight="false" outlineLevel="0" collapsed="false">
      <c r="A112" s="42" t="n">
        <v>45644</v>
      </c>
      <c r="B112" s="1" t="s">
        <v>10</v>
      </c>
      <c r="C112" s="2" t="s">
        <v>269</v>
      </c>
      <c r="D112" s="236" t="s">
        <v>285</v>
      </c>
      <c r="E112" s="45" t="n">
        <v>9960</v>
      </c>
      <c r="F112" s="45" t="n">
        <f aca="false">E112*I112</f>
        <v>885444</v>
      </c>
      <c r="G112" s="237" t="n">
        <f aca="false">H112/F112</f>
        <v>0.09</v>
      </c>
      <c r="H112" s="47" t="n">
        <v>79689.96</v>
      </c>
      <c r="I112" s="238" t="n">
        <v>88.9</v>
      </c>
      <c r="J112" s="238" t="n">
        <v>72</v>
      </c>
      <c r="K112" s="51" t="n">
        <v>885444</v>
      </c>
      <c r="L112" s="59" t="n">
        <f aca="false">M112*H112</f>
        <v>0</v>
      </c>
      <c r="M112" s="240"/>
      <c r="N112" s="200"/>
      <c r="O112" s="201" t="n">
        <f aca="false">N112/H112</f>
        <v>0</v>
      </c>
      <c r="P112" s="200"/>
      <c r="Q112" s="201" t="n">
        <f aca="false">P112/H112</f>
        <v>0</v>
      </c>
      <c r="R112" s="98"/>
      <c r="S112" s="45"/>
      <c r="T112" s="201" t="n">
        <f aca="false">S112/K112</f>
        <v>0</v>
      </c>
      <c r="U112" s="201"/>
      <c r="V112" s="201"/>
      <c r="W112" s="98" t="n">
        <f aca="false">F112+R112+S112</f>
        <v>885444</v>
      </c>
      <c r="X112" s="203" t="n">
        <f aca="false">H112+L112+N112+P112+U112</f>
        <v>79689.96</v>
      </c>
      <c r="Y112" s="100" t="n">
        <f aca="false">X112/W112</f>
        <v>0.09</v>
      </c>
      <c r="Z112" s="51" t="n">
        <v>885444</v>
      </c>
      <c r="AA112" s="51" t="n">
        <f aca="false">W112-Z112</f>
        <v>0</v>
      </c>
    </row>
    <row r="113" customFormat="false" ht="14.25" hidden="false" customHeight="false" outlineLevel="0" collapsed="false">
      <c r="A113" s="42" t="n">
        <v>45644</v>
      </c>
      <c r="B113" s="1" t="s">
        <v>10</v>
      </c>
      <c r="C113" s="2" t="s">
        <v>269</v>
      </c>
      <c r="D113" s="236" t="s">
        <v>286</v>
      </c>
      <c r="E113" s="45" t="n">
        <v>30520</v>
      </c>
      <c r="F113" s="45" t="n">
        <f aca="false">E113*I113</f>
        <v>2823100</v>
      </c>
      <c r="G113" s="237" t="n">
        <f aca="false">H113/F113</f>
        <v>0.09</v>
      </c>
      <c r="H113" s="47" t="n">
        <v>254079</v>
      </c>
      <c r="I113" s="238" t="n">
        <v>92.5</v>
      </c>
      <c r="J113" s="238" t="n">
        <v>73</v>
      </c>
      <c r="K113" s="51" t="n">
        <v>2823100</v>
      </c>
      <c r="L113" s="59" t="n">
        <f aca="false">M113*H113</f>
        <v>0</v>
      </c>
      <c r="M113" s="240"/>
      <c r="N113" s="200"/>
      <c r="O113" s="201" t="n">
        <f aca="false">N113/H113</f>
        <v>0</v>
      </c>
      <c r="P113" s="200"/>
      <c r="Q113" s="201" t="n">
        <f aca="false">P113/H113</f>
        <v>0</v>
      </c>
      <c r="R113" s="98"/>
      <c r="S113" s="45"/>
      <c r="T113" s="201" t="n">
        <f aca="false">S113/K113</f>
        <v>0</v>
      </c>
      <c r="U113" s="201"/>
      <c r="V113" s="201"/>
      <c r="W113" s="98" t="n">
        <f aca="false">F113+R113+S113</f>
        <v>2823100</v>
      </c>
      <c r="X113" s="203" t="n">
        <f aca="false">H113+L113+N113+P113+U113</f>
        <v>254079</v>
      </c>
      <c r="Y113" s="100" t="n">
        <f aca="false">X113/W113</f>
        <v>0.09</v>
      </c>
      <c r="Z113" s="51" t="n">
        <v>2823100</v>
      </c>
      <c r="AA113" s="51" t="n">
        <f aca="false">W113-Z113</f>
        <v>0</v>
      </c>
    </row>
    <row r="114" customFormat="false" ht="14.25" hidden="false" customHeight="false" outlineLevel="0" collapsed="false">
      <c r="A114" s="42" t="n">
        <v>45645</v>
      </c>
      <c r="B114" s="1" t="s">
        <v>10</v>
      </c>
      <c r="C114" s="2" t="s">
        <v>269</v>
      </c>
      <c r="D114" s="236" t="s">
        <v>287</v>
      </c>
      <c r="E114" s="45" t="n">
        <v>7540</v>
      </c>
      <c r="F114" s="45" t="n">
        <f aca="false">E114*I114</f>
        <v>686140</v>
      </c>
      <c r="G114" s="237" t="n">
        <f aca="false">H114/F114</f>
        <v>0.09</v>
      </c>
      <c r="H114" s="47" t="n">
        <v>61752.6</v>
      </c>
      <c r="I114" s="238" t="n">
        <v>91</v>
      </c>
      <c r="J114" s="238" t="n">
        <v>79</v>
      </c>
      <c r="K114" s="51" t="n">
        <v>686140</v>
      </c>
      <c r="L114" s="59" t="n">
        <f aca="false">M114*H114</f>
        <v>0</v>
      </c>
      <c r="M114" s="240"/>
      <c r="N114" s="200"/>
      <c r="O114" s="201" t="n">
        <f aca="false">N114/H114</f>
        <v>0</v>
      </c>
      <c r="P114" s="200"/>
      <c r="Q114" s="201" t="n">
        <f aca="false">P114/H114</f>
        <v>0</v>
      </c>
      <c r="R114" s="98"/>
      <c r="S114" s="45"/>
      <c r="T114" s="201" t="n">
        <f aca="false">S114/K114</f>
        <v>0</v>
      </c>
      <c r="U114" s="201"/>
      <c r="V114" s="201"/>
      <c r="W114" s="98" t="n">
        <f aca="false">F114+R114+S114</f>
        <v>686140</v>
      </c>
      <c r="X114" s="203" t="n">
        <f aca="false">H114+L114+N114+P114+U114</f>
        <v>61752.6</v>
      </c>
      <c r="Y114" s="100" t="n">
        <f aca="false">X114/W114</f>
        <v>0.09</v>
      </c>
      <c r="Z114" s="51" t="n">
        <v>686140</v>
      </c>
      <c r="AA114" s="51" t="n">
        <f aca="false">W114-Z114</f>
        <v>0</v>
      </c>
    </row>
    <row r="115" customFormat="false" ht="14.25" hidden="false" customHeight="false" outlineLevel="0" collapsed="false">
      <c r="A115" s="42" t="n">
        <v>45646</v>
      </c>
      <c r="B115" s="1" t="s">
        <v>10</v>
      </c>
      <c r="C115" s="2" t="s">
        <v>218</v>
      </c>
      <c r="D115" s="236" t="s">
        <v>288</v>
      </c>
      <c r="E115" s="45" t="n">
        <v>38740</v>
      </c>
      <c r="F115" s="45" t="n">
        <f aca="false">E115*I115</f>
        <v>3320018</v>
      </c>
      <c r="G115" s="237" t="n">
        <f aca="false">H115/F115</f>
        <v>0.0887022178795416</v>
      </c>
      <c r="H115" s="47" t="n">
        <v>294492.96</v>
      </c>
      <c r="I115" s="238" t="n">
        <v>85.7</v>
      </c>
      <c r="J115" s="238" t="n">
        <v>89</v>
      </c>
      <c r="K115" s="51" t="n">
        <v>3320018</v>
      </c>
      <c r="L115" s="59" t="n">
        <f aca="false">M115*H115</f>
        <v>0</v>
      </c>
      <c r="M115" s="240"/>
      <c r="N115" s="200"/>
      <c r="O115" s="201" t="n">
        <f aca="false">N115/H115</f>
        <v>0</v>
      </c>
      <c r="P115" s="200"/>
      <c r="Q115" s="201" t="n">
        <f aca="false">P115/H115</f>
        <v>0</v>
      </c>
      <c r="R115" s="98"/>
      <c r="S115" s="45"/>
      <c r="T115" s="201" t="n">
        <f aca="false">S115/K115</f>
        <v>0</v>
      </c>
      <c r="U115" s="201"/>
      <c r="V115" s="201"/>
      <c r="W115" s="98" t="n">
        <f aca="false">F115+R115+S115</f>
        <v>3320018</v>
      </c>
      <c r="X115" s="203" t="n">
        <f aca="false">H115+L115+N115+P115+U115</f>
        <v>294492.96</v>
      </c>
      <c r="Y115" s="100" t="n">
        <f aca="false">X115/W115</f>
        <v>0.0887022178795416</v>
      </c>
      <c r="Z115" s="51" t="n">
        <v>3320018</v>
      </c>
      <c r="AA115" s="51" t="n">
        <f aca="false">W115-Z115</f>
        <v>0</v>
      </c>
    </row>
    <row r="116" customFormat="false" ht="14.25" hidden="false" customHeight="false" outlineLevel="0" collapsed="false">
      <c r="A116" s="42" t="n">
        <v>45647</v>
      </c>
      <c r="B116" s="1" t="s">
        <v>10</v>
      </c>
      <c r="C116" s="2" t="s">
        <v>218</v>
      </c>
      <c r="D116" s="236" t="s">
        <v>289</v>
      </c>
      <c r="E116" s="45" t="n">
        <v>39960</v>
      </c>
      <c r="F116" s="45" t="n">
        <f aca="false">E116*I116</f>
        <v>3332664</v>
      </c>
      <c r="G116" s="237" t="n">
        <f aca="false">H116/F116</f>
        <v>0.0868903045731583</v>
      </c>
      <c r="H116" s="47" t="n">
        <v>289576.19</v>
      </c>
      <c r="I116" s="238" t="n">
        <v>83.4</v>
      </c>
      <c r="J116" s="238" t="n">
        <v>82</v>
      </c>
      <c r="K116" s="51" t="n">
        <v>3332664</v>
      </c>
      <c r="L116" s="59" t="n">
        <f aca="false">M116*H116</f>
        <v>0</v>
      </c>
      <c r="M116" s="240"/>
      <c r="N116" s="200"/>
      <c r="O116" s="201" t="n">
        <f aca="false">N116/H116</f>
        <v>0</v>
      </c>
      <c r="P116" s="200"/>
      <c r="Q116" s="201" t="n">
        <f aca="false">P116/H116</f>
        <v>0</v>
      </c>
      <c r="R116" s="98"/>
      <c r="S116" s="45"/>
      <c r="T116" s="201" t="n">
        <f aca="false">S116/K116</f>
        <v>0</v>
      </c>
      <c r="U116" s="201"/>
      <c r="V116" s="201"/>
      <c r="W116" s="98" t="n">
        <f aca="false">F116+R116+S116</f>
        <v>3332664</v>
      </c>
      <c r="X116" s="203" t="n">
        <f aca="false">H116+L116+N116+P116+U116</f>
        <v>289576.19</v>
      </c>
      <c r="Y116" s="100" t="n">
        <f aca="false">X116/W116</f>
        <v>0.0868903045731583</v>
      </c>
      <c r="Z116" s="51" t="n">
        <v>3332664</v>
      </c>
      <c r="AA116" s="51" t="n">
        <f aca="false">W116-Z116</f>
        <v>0</v>
      </c>
    </row>
    <row r="117" customFormat="false" ht="14.25" hidden="false" customHeight="false" outlineLevel="0" collapsed="false">
      <c r="A117" s="42" t="n">
        <v>45649</v>
      </c>
      <c r="B117" s="1" t="s">
        <v>10</v>
      </c>
      <c r="C117" s="2" t="s">
        <v>218</v>
      </c>
      <c r="D117" s="236" t="s">
        <v>290</v>
      </c>
      <c r="E117" s="45" t="n">
        <v>49980</v>
      </c>
      <c r="F117" s="45" t="n">
        <f aca="false">E117*I117</f>
        <v>3563574</v>
      </c>
      <c r="G117" s="237" t="n">
        <f aca="false">H117/F117</f>
        <v>0.0884543466755566</v>
      </c>
      <c r="H117" s="47" t="n">
        <v>315213.61</v>
      </c>
      <c r="I117" s="238" t="n">
        <v>71.3</v>
      </c>
      <c r="J117" s="238" t="n">
        <v>89</v>
      </c>
      <c r="K117" s="51" t="n">
        <v>3563574</v>
      </c>
      <c r="L117" s="59" t="n">
        <f aca="false">M117*H117</f>
        <v>0</v>
      </c>
      <c r="M117" s="240"/>
      <c r="N117" s="200"/>
      <c r="O117" s="201" t="n">
        <f aca="false">N117/H117</f>
        <v>0</v>
      </c>
      <c r="P117" s="200"/>
      <c r="Q117" s="201" t="n">
        <f aca="false">P117/H117</f>
        <v>0</v>
      </c>
      <c r="R117" s="98"/>
      <c r="S117" s="45"/>
      <c r="T117" s="201" t="n">
        <f aca="false">S117/K117</f>
        <v>0</v>
      </c>
      <c r="U117" s="201"/>
      <c r="V117" s="201"/>
      <c r="W117" s="98" t="n">
        <f aca="false">F117+R117+S117</f>
        <v>3563574</v>
      </c>
      <c r="X117" s="203" t="n">
        <f aca="false">H117+L117+N117+P117+U117</f>
        <v>315213.61</v>
      </c>
      <c r="Y117" s="100" t="n">
        <f aca="false">X117/W117</f>
        <v>0.0884543466755566</v>
      </c>
      <c r="Z117" s="51" t="n">
        <v>3563574</v>
      </c>
      <c r="AA117" s="51" t="n">
        <f aca="false">W117-Z117</f>
        <v>0</v>
      </c>
    </row>
    <row r="118" customFormat="false" ht="14.25" hidden="false" customHeight="false" outlineLevel="0" collapsed="false">
      <c r="A118" s="42" t="n">
        <v>45654</v>
      </c>
      <c r="B118" s="1" t="s">
        <v>6</v>
      </c>
      <c r="C118" s="2" t="s">
        <v>291</v>
      </c>
      <c r="D118" s="236" t="s">
        <v>292</v>
      </c>
      <c r="E118" s="45" t="n">
        <v>35640</v>
      </c>
      <c r="F118" s="45" t="n">
        <f aca="false">E118*I118</f>
        <v>2858328</v>
      </c>
      <c r="G118" s="237" t="n">
        <f aca="false">H118/F118</f>
        <v>0.215799999160348</v>
      </c>
      <c r="H118" s="47" t="n">
        <v>616827.18</v>
      </c>
      <c r="I118" s="238" t="n">
        <v>80.2</v>
      </c>
      <c r="J118" s="238"/>
      <c r="K118" s="51" t="n">
        <v>2858328</v>
      </c>
      <c r="L118" s="59" t="n">
        <f aca="false">M118*H118</f>
        <v>0</v>
      </c>
      <c r="M118" s="240"/>
      <c r="N118" s="200"/>
      <c r="O118" s="201" t="n">
        <f aca="false">N118/H118</f>
        <v>0</v>
      </c>
      <c r="P118" s="200"/>
      <c r="Q118" s="201" t="n">
        <f aca="false">P118/H118</f>
        <v>0</v>
      </c>
      <c r="R118" s="98"/>
      <c r="S118" s="45"/>
      <c r="T118" s="201" t="n">
        <f aca="false">S118/K118</f>
        <v>0</v>
      </c>
      <c r="U118" s="201"/>
      <c r="V118" s="201"/>
      <c r="W118" s="98" t="n">
        <f aca="false">F118+R118+S118</f>
        <v>2858328</v>
      </c>
      <c r="X118" s="203" t="n">
        <f aca="false">H118+L118+N118+P118+U118</f>
        <v>616827.18</v>
      </c>
      <c r="Y118" s="100" t="n">
        <f aca="false">X118/W118</f>
        <v>0.215799999160348</v>
      </c>
      <c r="Z118" s="51" t="n">
        <v>2858328</v>
      </c>
      <c r="AA118" s="51" t="n">
        <f aca="false">W118-Z118</f>
        <v>0</v>
      </c>
    </row>
    <row r="119" customFormat="false" ht="14.25" hidden="false" customHeight="false" outlineLevel="0" collapsed="false">
      <c r="A119" s="42" t="n">
        <v>45656</v>
      </c>
      <c r="B119" s="1" t="s">
        <v>13</v>
      </c>
      <c r="C119" s="2" t="s">
        <v>293</v>
      </c>
      <c r="D119" s="236" t="s">
        <v>294</v>
      </c>
      <c r="E119" s="45" t="n">
        <v>12420</v>
      </c>
      <c r="F119" s="45" t="n">
        <f aca="false">E119*I119</f>
        <v>951372</v>
      </c>
      <c r="G119" s="237" t="n">
        <f aca="false">H119/F119</f>
        <v>0.244041573643118</v>
      </c>
      <c r="H119" s="47" t="n">
        <v>232174.32</v>
      </c>
      <c r="I119" s="238" t="n">
        <v>76.6</v>
      </c>
      <c r="J119" s="238"/>
      <c r="K119" s="51" t="n">
        <v>951372</v>
      </c>
      <c r="L119" s="59" t="n">
        <f aca="false">M119*H119</f>
        <v>0</v>
      </c>
      <c r="M119" s="240"/>
      <c r="N119" s="200"/>
      <c r="O119" s="201" t="n">
        <f aca="false">N119/H119</f>
        <v>0</v>
      </c>
      <c r="P119" s="200"/>
      <c r="Q119" s="201" t="n">
        <f aca="false">P119/H119</f>
        <v>0</v>
      </c>
      <c r="R119" s="98"/>
      <c r="S119" s="45"/>
      <c r="T119" s="201" t="n">
        <f aca="false">S119/K119</f>
        <v>0</v>
      </c>
      <c r="U119" s="201"/>
      <c r="V119" s="201"/>
      <c r="W119" s="98" t="n">
        <f aca="false">F119+R119+S119</f>
        <v>951372</v>
      </c>
      <c r="X119" s="203" t="n">
        <f aca="false">H119+L119+N119+P119+U119</f>
        <v>232174.32</v>
      </c>
      <c r="Y119" s="100" t="n">
        <f aca="false">X119/W119</f>
        <v>0.244041573643118</v>
      </c>
      <c r="Z119" s="51" t="n">
        <v>951372</v>
      </c>
      <c r="AA119" s="51" t="n">
        <f aca="false">W119-Z119</f>
        <v>0</v>
      </c>
    </row>
    <row r="120" customFormat="false" ht="14.25" hidden="false" customHeight="false" outlineLevel="0" collapsed="false">
      <c r="A120" s="42" t="n">
        <v>45656</v>
      </c>
      <c r="B120" s="1" t="s">
        <v>17</v>
      </c>
      <c r="C120" s="2" t="s">
        <v>293</v>
      </c>
      <c r="D120" s="236" t="s">
        <v>295</v>
      </c>
      <c r="E120" s="45" t="n">
        <v>13500</v>
      </c>
      <c r="F120" s="45" t="n">
        <f aca="false">E120*I120</f>
        <v>735750</v>
      </c>
      <c r="G120" s="237" t="n">
        <f aca="false">H120/F120</f>
        <v>0.275788311247027</v>
      </c>
      <c r="H120" s="47" t="n">
        <v>202911.25</v>
      </c>
      <c r="I120" s="238" t="n">
        <v>54.5</v>
      </c>
      <c r="J120" s="238"/>
      <c r="K120" s="51" t="n">
        <v>735750</v>
      </c>
      <c r="L120" s="59" t="n">
        <f aca="false">M120*H120</f>
        <v>0</v>
      </c>
      <c r="M120" s="240"/>
      <c r="N120" s="200"/>
      <c r="O120" s="201" t="n">
        <f aca="false">N120/H120</f>
        <v>0</v>
      </c>
      <c r="P120" s="200"/>
      <c r="Q120" s="201" t="n">
        <f aca="false">P120/H120</f>
        <v>0</v>
      </c>
      <c r="R120" s="98"/>
      <c r="S120" s="45"/>
      <c r="T120" s="201" t="n">
        <f aca="false">S120/K120</f>
        <v>0</v>
      </c>
      <c r="U120" s="201"/>
      <c r="V120" s="201"/>
      <c r="W120" s="98" t="n">
        <f aca="false">F120+R120+S120</f>
        <v>735750</v>
      </c>
      <c r="X120" s="203" t="n">
        <f aca="false">H120+L120+N120+P120+U120</f>
        <v>202911.25</v>
      </c>
      <c r="Y120" s="100" t="n">
        <f aca="false">X120/W120</f>
        <v>0.275788311247027</v>
      </c>
      <c r="Z120" s="51" t="n">
        <v>735750</v>
      </c>
      <c r="AA120" s="51" t="n">
        <f aca="false">W120-Z120</f>
        <v>0</v>
      </c>
    </row>
    <row r="121" customFormat="false" ht="14.25" hidden="false" customHeight="false" outlineLevel="0" collapsed="false">
      <c r="A121" s="42" t="n">
        <v>45656</v>
      </c>
      <c r="B121" s="1" t="s">
        <v>6</v>
      </c>
      <c r="C121" s="2" t="s">
        <v>291</v>
      </c>
      <c r="D121" s="236" t="s">
        <v>296</v>
      </c>
      <c r="E121" s="45" t="n">
        <v>39400</v>
      </c>
      <c r="F121" s="45" t="n">
        <f aca="false">E121*I121</f>
        <v>3175640</v>
      </c>
      <c r="G121" s="237" t="n">
        <f aca="false">H121/F121</f>
        <v>0.2158</v>
      </c>
      <c r="H121" s="47" t="n">
        <v>685303.112</v>
      </c>
      <c r="I121" s="238" t="n">
        <v>80.6</v>
      </c>
      <c r="J121" s="238"/>
      <c r="K121" s="51" t="n">
        <v>3175640</v>
      </c>
      <c r="L121" s="59" t="n">
        <f aca="false">M121*H121</f>
        <v>0</v>
      </c>
      <c r="M121" s="240"/>
      <c r="N121" s="200"/>
      <c r="O121" s="201" t="n">
        <f aca="false">N121/H121</f>
        <v>0</v>
      </c>
      <c r="P121" s="200"/>
      <c r="Q121" s="201" t="n">
        <f aca="false">P121/H121</f>
        <v>0</v>
      </c>
      <c r="R121" s="98"/>
      <c r="S121" s="45"/>
      <c r="T121" s="201" t="n">
        <f aca="false">S121/K121</f>
        <v>0</v>
      </c>
      <c r="U121" s="201"/>
      <c r="V121" s="201"/>
      <c r="W121" s="98" t="n">
        <f aca="false">F121+R121+S121</f>
        <v>3175640</v>
      </c>
      <c r="X121" s="203" t="n">
        <f aca="false">H121+L121+N121+P121+U121</f>
        <v>685303.112</v>
      </c>
      <c r="Y121" s="100" t="n">
        <f aca="false">X121/W121</f>
        <v>0.2158</v>
      </c>
      <c r="Z121" s="51" t="n">
        <v>3175640</v>
      </c>
      <c r="AA121" s="51" t="n">
        <f aca="false">W121-Z121</f>
        <v>0</v>
      </c>
    </row>
    <row r="122" customFormat="false" ht="14.25" hidden="false" customHeight="false" outlineLevel="0" collapsed="false">
      <c r="A122" s="42" t="n">
        <v>45666</v>
      </c>
      <c r="B122" s="1" t="s">
        <v>10</v>
      </c>
      <c r="C122" s="2" t="s">
        <v>218</v>
      </c>
      <c r="D122" s="236" t="s">
        <v>297</v>
      </c>
      <c r="E122" s="45" t="n">
        <v>39970</v>
      </c>
      <c r="F122" s="45" t="n">
        <f aca="false">E122*I122</f>
        <v>3273543</v>
      </c>
      <c r="G122" s="237" t="n">
        <f aca="false">H122/F122</f>
        <v>0.0874308906282887</v>
      </c>
      <c r="H122" s="47" t="n">
        <v>286208.78</v>
      </c>
      <c r="I122" s="238" t="n">
        <v>81.9</v>
      </c>
      <c r="J122" s="238" t="n">
        <v>86</v>
      </c>
      <c r="K122" s="51" t="n">
        <v>3273543</v>
      </c>
      <c r="L122" s="59" t="n">
        <f aca="false">M122*H122</f>
        <v>0</v>
      </c>
      <c r="M122" s="240"/>
      <c r="N122" s="200"/>
      <c r="O122" s="201" t="n">
        <f aca="false">N122/H122</f>
        <v>0</v>
      </c>
      <c r="P122" s="200"/>
      <c r="Q122" s="201" t="n">
        <f aca="false">P122/H122</f>
        <v>0</v>
      </c>
      <c r="R122" s="98"/>
      <c r="S122" s="45"/>
      <c r="T122" s="201" t="n">
        <f aca="false">S122/K122</f>
        <v>0</v>
      </c>
      <c r="U122" s="201"/>
      <c r="V122" s="201"/>
      <c r="W122" s="98" t="n">
        <f aca="false">F122+R122+S122</f>
        <v>3273543</v>
      </c>
      <c r="X122" s="203" t="n">
        <f aca="false">H122+L122+N122+P122+U122</f>
        <v>286208.78</v>
      </c>
      <c r="Y122" s="100" t="n">
        <f aca="false">X122/W122</f>
        <v>0.0874308906282887</v>
      </c>
      <c r="Z122" s="51" t="n">
        <v>3273543</v>
      </c>
      <c r="AA122" s="51" t="n">
        <f aca="false">W122-Z122</f>
        <v>0</v>
      </c>
    </row>
    <row r="123" customFormat="false" ht="14.25" hidden="false" customHeight="false" outlineLevel="0" collapsed="false">
      <c r="A123" s="42" t="n">
        <v>45668</v>
      </c>
      <c r="B123" s="1" t="s">
        <v>10</v>
      </c>
      <c r="C123" s="2" t="s">
        <v>218</v>
      </c>
      <c r="D123" s="236" t="s">
        <v>298</v>
      </c>
      <c r="E123" s="45" t="n">
        <v>50030</v>
      </c>
      <c r="F123" s="45" t="n">
        <f aca="false">E123*I123</f>
        <v>4432658</v>
      </c>
      <c r="G123" s="237" t="n">
        <f aca="false">H123/F123</f>
        <v>0.0835171628399935</v>
      </c>
      <c r="H123" s="47" t="n">
        <v>370203.02</v>
      </c>
      <c r="I123" s="238" t="n">
        <v>88.6</v>
      </c>
      <c r="J123" s="238" t="n">
        <v>87</v>
      </c>
      <c r="K123" s="51" t="n">
        <v>4432658</v>
      </c>
      <c r="L123" s="59" t="n">
        <f aca="false">M123*H123</f>
        <v>0</v>
      </c>
      <c r="M123" s="240"/>
      <c r="N123" s="200"/>
      <c r="O123" s="201" t="n">
        <f aca="false">N123/H123</f>
        <v>0</v>
      </c>
      <c r="P123" s="200"/>
      <c r="Q123" s="201" t="n">
        <f aca="false">P123/H123</f>
        <v>0</v>
      </c>
      <c r="R123" s="98"/>
      <c r="S123" s="45"/>
      <c r="T123" s="201" t="n">
        <f aca="false">S123/K123</f>
        <v>0</v>
      </c>
      <c r="U123" s="201"/>
      <c r="V123" s="201"/>
      <c r="W123" s="98" t="n">
        <f aca="false">F123+R123+S123</f>
        <v>4432658</v>
      </c>
      <c r="X123" s="203" t="n">
        <f aca="false">H123+L123+N123+P123+U123</f>
        <v>370203.02</v>
      </c>
      <c r="Y123" s="100" t="n">
        <f aca="false">X123/W123</f>
        <v>0.0835171628399935</v>
      </c>
      <c r="Z123" s="51" t="n">
        <v>4432658</v>
      </c>
      <c r="AA123" s="51" t="n">
        <f aca="false">W123-Z123</f>
        <v>0</v>
      </c>
    </row>
    <row r="124" customFormat="false" ht="14.25" hidden="false" customHeight="false" outlineLevel="0" collapsed="false">
      <c r="A124" s="42" t="n">
        <v>45673</v>
      </c>
      <c r="B124" s="1" t="s">
        <v>10</v>
      </c>
      <c r="C124" s="2" t="s">
        <v>218</v>
      </c>
      <c r="D124" s="236" t="s">
        <v>299</v>
      </c>
      <c r="E124" s="45" t="n">
        <v>39960</v>
      </c>
      <c r="F124" s="45" t="n">
        <f aca="false">E124*I124</f>
        <v>2965032</v>
      </c>
      <c r="G124" s="237" t="n">
        <f aca="false">H124/F124</f>
        <v>0.0853079292230236</v>
      </c>
      <c r="H124" s="47" t="n">
        <v>252940.74</v>
      </c>
      <c r="I124" s="238" t="n">
        <v>74.2</v>
      </c>
      <c r="J124" s="238" t="n">
        <v>80</v>
      </c>
      <c r="K124" s="51" t="n">
        <v>2965032</v>
      </c>
      <c r="L124" s="59" t="n">
        <f aca="false">M124*H124</f>
        <v>0</v>
      </c>
      <c r="M124" s="240"/>
      <c r="N124" s="200"/>
      <c r="O124" s="201" t="n">
        <f aca="false">N124/H124</f>
        <v>0</v>
      </c>
      <c r="P124" s="200"/>
      <c r="Q124" s="201" t="n">
        <f aca="false">P124/H124</f>
        <v>0</v>
      </c>
      <c r="R124" s="98"/>
      <c r="S124" s="45"/>
      <c r="T124" s="201" t="n">
        <f aca="false">S124/K124</f>
        <v>0</v>
      </c>
      <c r="U124" s="201"/>
      <c r="V124" s="201"/>
      <c r="W124" s="98" t="n">
        <f aca="false">F124+R124+S124</f>
        <v>2965032</v>
      </c>
      <c r="X124" s="203" t="n">
        <f aca="false">H124+L124+N124+P124+U124</f>
        <v>252940.74</v>
      </c>
      <c r="Y124" s="100" t="n">
        <f aca="false">X124/W124</f>
        <v>0.0853079292230236</v>
      </c>
      <c r="Z124" s="51" t="n">
        <v>2965032</v>
      </c>
      <c r="AA124" s="51" t="n">
        <f aca="false">W124-Z124</f>
        <v>0</v>
      </c>
    </row>
    <row r="125" customFormat="false" ht="14.25" hidden="false" customHeight="false" outlineLevel="0" collapsed="false">
      <c r="A125" s="42" t="n">
        <v>45674</v>
      </c>
      <c r="B125" s="1" t="s">
        <v>42</v>
      </c>
      <c r="C125" s="2" t="s">
        <v>300</v>
      </c>
      <c r="D125" s="236" t="s">
        <v>301</v>
      </c>
      <c r="E125" s="45" t="n">
        <v>37000</v>
      </c>
      <c r="F125" s="45" t="n">
        <f aca="false">E125*I125</f>
        <v>2368000</v>
      </c>
      <c r="G125" s="237" t="n">
        <f aca="false">H125/F125</f>
        <v>0.195609733952703</v>
      </c>
      <c r="H125" s="47" t="n">
        <v>463203.85</v>
      </c>
      <c r="I125" s="238" t="n">
        <v>64</v>
      </c>
      <c r="J125" s="238"/>
      <c r="K125" s="51" t="n">
        <v>2368000</v>
      </c>
      <c r="L125" s="59" t="n">
        <f aca="false">M125*H125</f>
        <v>0</v>
      </c>
      <c r="M125" s="240"/>
      <c r="N125" s="200"/>
      <c r="O125" s="201" t="n">
        <f aca="false">N125/H125</f>
        <v>0</v>
      </c>
      <c r="P125" s="200"/>
      <c r="Q125" s="201" t="n">
        <f aca="false">P125/H125</f>
        <v>0</v>
      </c>
      <c r="R125" s="98"/>
      <c r="S125" s="45"/>
      <c r="T125" s="201" t="n">
        <f aca="false">S125/K125</f>
        <v>0</v>
      </c>
      <c r="U125" s="201"/>
      <c r="V125" s="201"/>
      <c r="W125" s="98" t="n">
        <f aca="false">F125+R125+S125</f>
        <v>2368000</v>
      </c>
      <c r="X125" s="203" t="n">
        <f aca="false">H125+L125+N125+P125+U125</f>
        <v>463203.85</v>
      </c>
      <c r="Y125" s="100" t="n">
        <f aca="false">X125/W125</f>
        <v>0.195609733952703</v>
      </c>
      <c r="Z125" s="51" t="n">
        <v>2368000</v>
      </c>
      <c r="AA125" s="51" t="n">
        <f aca="false">W125-Z125</f>
        <v>0</v>
      </c>
    </row>
    <row r="126" customFormat="false" ht="14.25" hidden="false" customHeight="false" outlineLevel="0" collapsed="false">
      <c r="A126" s="42" t="n">
        <v>45675</v>
      </c>
      <c r="B126" s="1" t="s">
        <v>10</v>
      </c>
      <c r="C126" s="2" t="s">
        <v>218</v>
      </c>
      <c r="D126" s="236" t="s">
        <v>302</v>
      </c>
      <c r="E126" s="45" t="n">
        <v>40660</v>
      </c>
      <c r="F126" s="45" t="n">
        <f aca="false">E126*I126</f>
        <v>3769182</v>
      </c>
      <c r="G126" s="237" t="n">
        <f aca="false">H126/F126</f>
        <v>0.0841470456985097</v>
      </c>
      <c r="H126" s="47" t="n">
        <v>317165.53</v>
      </c>
      <c r="I126" s="238" t="n">
        <v>92.7</v>
      </c>
      <c r="J126" s="238" t="n">
        <v>80</v>
      </c>
      <c r="K126" s="51" t="n">
        <v>3769182</v>
      </c>
      <c r="L126" s="59" t="n">
        <f aca="false">M126*H126</f>
        <v>0</v>
      </c>
      <c r="M126" s="240"/>
      <c r="N126" s="200"/>
      <c r="O126" s="201" t="n">
        <f aca="false">N126/H126</f>
        <v>0</v>
      </c>
      <c r="P126" s="200"/>
      <c r="Q126" s="201" t="n">
        <f aca="false">P126/H126</f>
        <v>0</v>
      </c>
      <c r="R126" s="98"/>
      <c r="S126" s="45"/>
      <c r="T126" s="201" t="n">
        <f aca="false">S126/K126</f>
        <v>0</v>
      </c>
      <c r="U126" s="201"/>
      <c r="V126" s="201"/>
      <c r="W126" s="98" t="n">
        <f aca="false">F126+R126+S126</f>
        <v>3769182</v>
      </c>
      <c r="X126" s="203" t="n">
        <f aca="false">H126+L126+N126+P126+U126</f>
        <v>317165.53</v>
      </c>
      <c r="Y126" s="100" t="n">
        <f aca="false">X126/W126</f>
        <v>0.0841470456985097</v>
      </c>
      <c r="Z126" s="51" t="n">
        <v>3769182</v>
      </c>
      <c r="AA126" s="51" t="n">
        <f aca="false">W126-Z126</f>
        <v>0</v>
      </c>
    </row>
    <row r="127" customFormat="false" ht="14.25" hidden="false" customHeight="false" outlineLevel="0" collapsed="false">
      <c r="A127" s="42" t="n">
        <v>45677</v>
      </c>
      <c r="B127" s="1" t="s">
        <v>10</v>
      </c>
      <c r="C127" s="2" t="s">
        <v>218</v>
      </c>
      <c r="D127" s="236" t="s">
        <v>303</v>
      </c>
      <c r="E127" s="45" t="n">
        <v>39280</v>
      </c>
      <c r="F127" s="45" t="n">
        <f aca="false">E127*I127</f>
        <v>3079552</v>
      </c>
      <c r="G127" s="237" t="n">
        <f aca="false">H127/F127</f>
        <v>0.0859667087940064</v>
      </c>
      <c r="H127" s="47" t="n">
        <v>264738.95</v>
      </c>
      <c r="I127" s="238" t="n">
        <v>78.4</v>
      </c>
      <c r="J127" s="238" t="n">
        <v>90</v>
      </c>
      <c r="K127" s="51" t="n">
        <v>3079552</v>
      </c>
      <c r="L127" s="59" t="n">
        <f aca="false">M127*H127</f>
        <v>0</v>
      </c>
      <c r="M127" s="240"/>
      <c r="N127" s="200"/>
      <c r="O127" s="201" t="n">
        <f aca="false">N127/H127</f>
        <v>0</v>
      </c>
      <c r="P127" s="200"/>
      <c r="Q127" s="201" t="n">
        <f aca="false">P127/H127</f>
        <v>0</v>
      </c>
      <c r="R127" s="98"/>
      <c r="S127" s="45"/>
      <c r="T127" s="201" t="n">
        <f aca="false">S127/K127</f>
        <v>0</v>
      </c>
      <c r="U127" s="201"/>
      <c r="V127" s="201"/>
      <c r="W127" s="98" t="n">
        <f aca="false">F127+R127+S127</f>
        <v>3079552</v>
      </c>
      <c r="X127" s="203" t="n">
        <f aca="false">H127+L127+N127+P127+U127</f>
        <v>264738.95</v>
      </c>
      <c r="Y127" s="100" t="n">
        <f aca="false">X127/W127</f>
        <v>0.0859667087940064</v>
      </c>
      <c r="Z127" s="51" t="n">
        <v>3079552</v>
      </c>
      <c r="AA127" s="51" t="n">
        <f aca="false">W127-Z127</f>
        <v>0</v>
      </c>
    </row>
    <row r="128" customFormat="false" ht="14.25" hidden="false" customHeight="false" outlineLevel="0" collapsed="false">
      <c r="A128" s="42" t="n">
        <v>45680</v>
      </c>
      <c r="B128" s="1" t="s">
        <v>10</v>
      </c>
      <c r="C128" s="2" t="s">
        <v>218</v>
      </c>
      <c r="D128" s="236" t="s">
        <v>304</v>
      </c>
      <c r="E128" s="45" t="n">
        <v>39240</v>
      </c>
      <c r="F128" s="45" t="n">
        <f aca="false">E128*I128</f>
        <v>3543372</v>
      </c>
      <c r="G128" s="237" t="n">
        <f aca="false">H128/F128</f>
        <v>0.0829662112812316</v>
      </c>
      <c r="H128" s="47" t="n">
        <v>293980.15</v>
      </c>
      <c r="I128" s="238" t="n">
        <v>90.3</v>
      </c>
      <c r="J128" s="238" t="n">
        <v>83</v>
      </c>
      <c r="K128" s="51" t="n">
        <v>3543372</v>
      </c>
      <c r="L128" s="59" t="n">
        <f aca="false">M128*H128</f>
        <v>0</v>
      </c>
      <c r="M128" s="240"/>
      <c r="N128" s="200"/>
      <c r="O128" s="201" t="n">
        <f aca="false">N128/H128</f>
        <v>0</v>
      </c>
      <c r="P128" s="200"/>
      <c r="Q128" s="201" t="n">
        <f aca="false">P128/H128</f>
        <v>0</v>
      </c>
      <c r="R128" s="98"/>
      <c r="S128" s="45"/>
      <c r="T128" s="201" t="n">
        <f aca="false">S128/K128</f>
        <v>0</v>
      </c>
      <c r="U128" s="201"/>
      <c r="V128" s="201"/>
      <c r="W128" s="98" t="n">
        <f aca="false">F128+R128+S128</f>
        <v>3543372</v>
      </c>
      <c r="X128" s="203" t="n">
        <f aca="false">H128+L128+N128+P128+U128</f>
        <v>293980.15</v>
      </c>
      <c r="Y128" s="100" t="n">
        <f aca="false">X128/W128</f>
        <v>0.0829662112812316</v>
      </c>
      <c r="Z128" s="51" t="n">
        <v>3543372</v>
      </c>
      <c r="AA128" s="51" t="n">
        <f aca="false">W128-Z128</f>
        <v>0</v>
      </c>
    </row>
    <row r="129" customFormat="false" ht="14.25" hidden="false" customHeight="false" outlineLevel="0" collapsed="false">
      <c r="A129" s="42" t="n">
        <v>45681</v>
      </c>
      <c r="B129" s="1" t="s">
        <v>10</v>
      </c>
      <c r="C129" s="2" t="s">
        <v>218</v>
      </c>
      <c r="D129" s="236" t="s">
        <v>305</v>
      </c>
      <c r="E129" s="45" t="n">
        <v>20080</v>
      </c>
      <c r="F129" s="45" t="n">
        <f aca="false">E129*I129</f>
        <v>1514032</v>
      </c>
      <c r="G129" s="237" t="n">
        <f aca="false">H129/F129</f>
        <v>0.0817874391030044</v>
      </c>
      <c r="H129" s="47" t="n">
        <v>123828.8</v>
      </c>
      <c r="I129" s="238" t="n">
        <v>75.4</v>
      </c>
      <c r="J129" s="238" t="n">
        <v>81</v>
      </c>
      <c r="K129" s="51" t="n">
        <v>1514032</v>
      </c>
      <c r="L129" s="59" t="n">
        <f aca="false">M129*H129</f>
        <v>0</v>
      </c>
      <c r="M129" s="240"/>
      <c r="N129" s="200"/>
      <c r="O129" s="201" t="n">
        <f aca="false">N129/H129</f>
        <v>0</v>
      </c>
      <c r="P129" s="200"/>
      <c r="Q129" s="201" t="n">
        <f aca="false">P129/H129</f>
        <v>0</v>
      </c>
      <c r="R129" s="98"/>
      <c r="S129" s="45"/>
      <c r="T129" s="201" t="n">
        <f aca="false">S129/K129</f>
        <v>0</v>
      </c>
      <c r="U129" s="201"/>
      <c r="V129" s="201"/>
      <c r="W129" s="98" t="n">
        <f aca="false">F129+R129+S129</f>
        <v>1514032</v>
      </c>
      <c r="X129" s="203" t="n">
        <f aca="false">H129+L129+N129+P129+U129</f>
        <v>123828.8</v>
      </c>
      <c r="Y129" s="100" t="n">
        <f aca="false">X129/W129</f>
        <v>0.0817874391030044</v>
      </c>
      <c r="Z129" s="51" t="n">
        <v>1514032</v>
      </c>
      <c r="AA129" s="51" t="n">
        <f aca="false">W129-Z129</f>
        <v>0</v>
      </c>
    </row>
    <row r="130" customFormat="false" ht="14.25" hidden="false" customHeight="false" outlineLevel="0" collapsed="false">
      <c r="A130" s="42" t="n">
        <v>45681</v>
      </c>
      <c r="B130" s="1" t="s">
        <v>52</v>
      </c>
      <c r="C130" s="2" t="s">
        <v>218</v>
      </c>
      <c r="D130" s="236" t="s">
        <v>306</v>
      </c>
      <c r="E130" s="45" t="n">
        <v>19680</v>
      </c>
      <c r="F130" s="45" t="n">
        <f aca="false">E130*I130</f>
        <v>1629504</v>
      </c>
      <c r="G130" s="237" t="n">
        <f aca="false">H130/F130</f>
        <v>0.259548580426927</v>
      </c>
      <c r="H130" s="47" t="n">
        <v>422935.45</v>
      </c>
      <c r="I130" s="238" t="n">
        <v>82.8</v>
      </c>
      <c r="J130" s="238"/>
      <c r="K130" s="51" t="n">
        <v>1629504</v>
      </c>
      <c r="L130" s="59" t="n">
        <f aca="false">M130*H130</f>
        <v>0</v>
      </c>
      <c r="M130" s="240"/>
      <c r="N130" s="200"/>
      <c r="O130" s="201" t="n">
        <f aca="false">N130/H130</f>
        <v>0</v>
      </c>
      <c r="P130" s="200"/>
      <c r="Q130" s="201" t="n">
        <f aca="false">P130/H130</f>
        <v>0</v>
      </c>
      <c r="R130" s="98"/>
      <c r="S130" s="45"/>
      <c r="T130" s="201" t="n">
        <f aca="false">S130/K130</f>
        <v>0</v>
      </c>
      <c r="U130" s="201"/>
      <c r="V130" s="201"/>
      <c r="W130" s="98" t="n">
        <f aca="false">F130+R130+S130</f>
        <v>1629504</v>
      </c>
      <c r="X130" s="203" t="n">
        <f aca="false">H130+L130+N130+P130+U130</f>
        <v>422935.45</v>
      </c>
      <c r="Y130" s="100" t="n">
        <f aca="false">X130/W130</f>
        <v>0.259548580426927</v>
      </c>
      <c r="Z130" s="51" t="n">
        <v>1629504</v>
      </c>
      <c r="AA130" s="51" t="n">
        <f aca="false">W130-Z130</f>
        <v>0</v>
      </c>
    </row>
    <row r="131" customFormat="false" ht="14.25" hidden="false" customHeight="false" outlineLevel="0" collapsed="false">
      <c r="A131" s="42" t="n">
        <v>45682</v>
      </c>
      <c r="B131" s="1" t="s">
        <v>13</v>
      </c>
      <c r="C131" s="2" t="s">
        <v>197</v>
      </c>
      <c r="D131" s="236" t="s">
        <v>307</v>
      </c>
      <c r="E131" s="45" t="n">
        <v>17220</v>
      </c>
      <c r="F131" s="45" t="n">
        <f aca="false">E131*I131</f>
        <v>1281168</v>
      </c>
      <c r="G131" s="237" t="n">
        <f aca="false">H131/F131</f>
        <v>0.2185505726025</v>
      </c>
      <c r="H131" s="47" t="n">
        <v>280000</v>
      </c>
      <c r="I131" s="238" t="n">
        <v>74.4</v>
      </c>
      <c r="J131" s="238"/>
      <c r="K131" s="51" t="n">
        <v>1281168</v>
      </c>
      <c r="L131" s="59" t="n">
        <f aca="false">M131*H131</f>
        <v>0</v>
      </c>
      <c r="M131" s="240"/>
      <c r="N131" s="200"/>
      <c r="O131" s="201" t="n">
        <f aca="false">N131/H131</f>
        <v>0</v>
      </c>
      <c r="P131" s="200"/>
      <c r="Q131" s="201" t="n">
        <f aca="false">P131/H131</f>
        <v>0</v>
      </c>
      <c r="R131" s="98"/>
      <c r="S131" s="45"/>
      <c r="T131" s="201" t="n">
        <f aca="false">S131/K131</f>
        <v>0</v>
      </c>
      <c r="U131" s="201"/>
      <c r="V131" s="201"/>
      <c r="W131" s="98" t="n">
        <f aca="false">F131+R131+S131</f>
        <v>1281168</v>
      </c>
      <c r="X131" s="203" t="n">
        <f aca="false">H131+L131+N131+P131+U131</f>
        <v>280000</v>
      </c>
      <c r="Y131" s="100" t="n">
        <f aca="false">X131/W131</f>
        <v>0.2185505726025</v>
      </c>
      <c r="Z131" s="51" t="n">
        <v>1281168</v>
      </c>
      <c r="AA131" s="51" t="n">
        <f aca="false">W131-Z131</f>
        <v>0</v>
      </c>
    </row>
    <row r="132" customFormat="false" ht="14.25" hidden="false" customHeight="false" outlineLevel="0" collapsed="false">
      <c r="A132" s="42" t="n">
        <v>45682</v>
      </c>
      <c r="B132" s="1" t="s">
        <v>42</v>
      </c>
      <c r="C132" s="2" t="s">
        <v>300</v>
      </c>
      <c r="D132" s="236" t="s">
        <v>308</v>
      </c>
      <c r="E132" s="45" t="n">
        <v>3480</v>
      </c>
      <c r="F132" s="45" t="n">
        <f aca="false">E132*I132</f>
        <v>304848</v>
      </c>
      <c r="G132" s="237" t="n">
        <f aca="false">H132/F132</f>
        <v>0.144596651445967</v>
      </c>
      <c r="H132" s="47" t="n">
        <v>44080</v>
      </c>
      <c r="I132" s="238" t="n">
        <v>87.6</v>
      </c>
      <c r="J132" s="238"/>
      <c r="K132" s="51" t="n">
        <v>304848</v>
      </c>
      <c r="L132" s="59" t="n">
        <f aca="false">M132*H132</f>
        <v>0</v>
      </c>
      <c r="M132" s="240"/>
      <c r="N132" s="200"/>
      <c r="O132" s="201" t="n">
        <f aca="false">N132/H132</f>
        <v>0</v>
      </c>
      <c r="P132" s="200"/>
      <c r="Q132" s="201" t="n">
        <f aca="false">P132/H132</f>
        <v>0</v>
      </c>
      <c r="R132" s="98"/>
      <c r="S132" s="45"/>
      <c r="T132" s="201" t="n">
        <f aca="false">S132/K132</f>
        <v>0</v>
      </c>
      <c r="U132" s="201"/>
      <c r="V132" s="201"/>
      <c r="W132" s="98" t="n">
        <f aca="false">F132+R132+S132</f>
        <v>304848</v>
      </c>
      <c r="X132" s="203" t="n">
        <f aca="false">H132+L132+N132+P132+U132</f>
        <v>44080</v>
      </c>
      <c r="Y132" s="100" t="n">
        <f aca="false">X132/W132</f>
        <v>0.144596651445967</v>
      </c>
      <c r="Z132" s="51" t="n">
        <v>304848</v>
      </c>
      <c r="AA132" s="51" t="n">
        <f aca="false">W132-Z132</f>
        <v>0</v>
      </c>
    </row>
    <row r="133" customFormat="false" ht="14.25" hidden="false" customHeight="false" outlineLevel="0" collapsed="false">
      <c r="A133" s="42" t="n">
        <v>45684</v>
      </c>
      <c r="B133" s="1" t="s">
        <v>10</v>
      </c>
      <c r="C133" s="2" t="s">
        <v>218</v>
      </c>
      <c r="D133" s="236" t="s">
        <v>309</v>
      </c>
      <c r="E133" s="45" t="n">
        <v>25340</v>
      </c>
      <c r="F133" s="45" t="n">
        <f aca="false">E133*I133</f>
        <v>2455446</v>
      </c>
      <c r="G133" s="237" t="n">
        <f aca="false">H133/F133</f>
        <v>0.0817197731084292</v>
      </c>
      <c r="H133" s="47" t="n">
        <v>200658.49</v>
      </c>
      <c r="I133" s="238" t="n">
        <v>96.9</v>
      </c>
      <c r="J133" s="238" t="n">
        <v>94</v>
      </c>
      <c r="K133" s="51" t="n">
        <v>2455446</v>
      </c>
      <c r="L133" s="59" t="n">
        <f aca="false">M133*H133</f>
        <v>0</v>
      </c>
      <c r="M133" s="240"/>
      <c r="N133" s="200"/>
      <c r="O133" s="201" t="n">
        <f aca="false">N133/H133</f>
        <v>0</v>
      </c>
      <c r="P133" s="200"/>
      <c r="Q133" s="201" t="n">
        <f aca="false">P133/H133</f>
        <v>0</v>
      </c>
      <c r="R133" s="98"/>
      <c r="S133" s="45"/>
      <c r="T133" s="201" t="n">
        <f aca="false">S133/K133</f>
        <v>0</v>
      </c>
      <c r="U133" s="201"/>
      <c r="V133" s="201"/>
      <c r="W133" s="98" t="n">
        <f aca="false">F133+R133+S133</f>
        <v>2455446</v>
      </c>
      <c r="X133" s="203" t="n">
        <f aca="false">H133+L133+N133+P133+U133</f>
        <v>200658.49</v>
      </c>
      <c r="Y133" s="100" t="n">
        <f aca="false">X133/W133</f>
        <v>0.0817197731084292</v>
      </c>
      <c r="Z133" s="51" t="n">
        <v>2455446</v>
      </c>
      <c r="AA133" s="51" t="n">
        <f aca="false">W133-Z133</f>
        <v>0</v>
      </c>
    </row>
    <row r="134" customFormat="false" ht="14.25" hidden="false" customHeight="false" outlineLevel="0" collapsed="false">
      <c r="A134" s="42" t="n">
        <v>45684</v>
      </c>
      <c r="B134" s="1" t="s">
        <v>52</v>
      </c>
      <c r="C134" s="2" t="s">
        <v>218</v>
      </c>
      <c r="D134" s="236" t="s">
        <v>310</v>
      </c>
      <c r="E134" s="45" t="n">
        <v>23740</v>
      </c>
      <c r="F134" s="45" t="n">
        <f aca="false">E134*I134</f>
        <v>2153692.8</v>
      </c>
      <c r="G134" s="237" t="n">
        <f aca="false">H134/F134</f>
        <v>0.246172104953873</v>
      </c>
      <c r="H134" s="47" t="n">
        <v>530179.09</v>
      </c>
      <c r="I134" s="238" t="n">
        <v>90.72</v>
      </c>
      <c r="J134" s="238"/>
      <c r="K134" s="51" t="n">
        <v>2153693</v>
      </c>
      <c r="L134" s="59" t="n">
        <f aca="false">M134*H134</f>
        <v>0</v>
      </c>
      <c r="M134" s="240"/>
      <c r="N134" s="200"/>
      <c r="O134" s="201" t="n">
        <f aca="false">N134/H134</f>
        <v>0</v>
      </c>
      <c r="P134" s="200"/>
      <c r="Q134" s="201" t="n">
        <f aca="false">P134/H134</f>
        <v>0</v>
      </c>
      <c r="R134" s="98"/>
      <c r="S134" s="45"/>
      <c r="T134" s="201" t="n">
        <f aca="false">S134/K134</f>
        <v>0</v>
      </c>
      <c r="U134" s="201"/>
      <c r="V134" s="201"/>
      <c r="W134" s="98" t="n">
        <f aca="false">F134+R134+S134</f>
        <v>2153692.8</v>
      </c>
      <c r="X134" s="203" t="n">
        <f aca="false">H134+L134+N134+P134+U134</f>
        <v>530179.09</v>
      </c>
      <c r="Y134" s="100" t="n">
        <f aca="false">X134/W134</f>
        <v>0.246172104953873</v>
      </c>
      <c r="Z134" s="51" t="n">
        <v>2153693</v>
      </c>
      <c r="AA134" s="51" t="n">
        <f aca="false">W134-Z134</f>
        <v>-0.200000000186265</v>
      </c>
    </row>
    <row r="135" customFormat="false" ht="14.25" hidden="false" customHeight="false" outlineLevel="0" collapsed="false">
      <c r="A135" s="42" t="n">
        <v>45684</v>
      </c>
      <c r="B135" s="1" t="s">
        <v>10</v>
      </c>
      <c r="C135" s="2" t="s">
        <v>218</v>
      </c>
      <c r="D135" s="236" t="s">
        <v>311</v>
      </c>
      <c r="E135" s="45" t="n">
        <v>24200</v>
      </c>
      <c r="F135" s="45" t="n">
        <f aca="false">E135*I135</f>
        <v>2371600</v>
      </c>
      <c r="G135" s="237" t="n">
        <f aca="false">H135/F135</f>
        <v>0.0815677348625401</v>
      </c>
      <c r="H135" s="47" t="n">
        <v>193446.04</v>
      </c>
      <c r="I135" s="238" t="n">
        <v>98</v>
      </c>
      <c r="J135" s="238" t="n">
        <v>90</v>
      </c>
      <c r="K135" s="51" t="n">
        <v>2371600</v>
      </c>
      <c r="L135" s="59" t="n">
        <f aca="false">M135*H135</f>
        <v>0</v>
      </c>
      <c r="M135" s="240"/>
      <c r="N135" s="200"/>
      <c r="O135" s="201" t="n">
        <f aca="false">N135/H135</f>
        <v>0</v>
      </c>
      <c r="P135" s="200"/>
      <c r="Q135" s="201" t="n">
        <f aca="false">P135/H135</f>
        <v>0</v>
      </c>
      <c r="R135" s="98"/>
      <c r="S135" s="45"/>
      <c r="T135" s="201" t="n">
        <f aca="false">S135/K135</f>
        <v>0</v>
      </c>
      <c r="U135" s="201"/>
      <c r="V135" s="201"/>
      <c r="W135" s="98" t="n">
        <f aca="false">F135+R135+S135</f>
        <v>2371600</v>
      </c>
      <c r="X135" s="203" t="n">
        <f aca="false">H135+L135+N135+P135+U135</f>
        <v>193446.04</v>
      </c>
      <c r="Y135" s="100" t="n">
        <f aca="false">X135/W135</f>
        <v>0.0815677348625401</v>
      </c>
      <c r="Z135" s="51" t="n">
        <v>2371600</v>
      </c>
      <c r="AA135" s="51" t="n">
        <f aca="false">W135-Z135</f>
        <v>0</v>
      </c>
    </row>
    <row r="136" customFormat="false" ht="14.25" hidden="false" customHeight="false" outlineLevel="0" collapsed="false">
      <c r="A136" s="42" t="n">
        <v>45684</v>
      </c>
      <c r="B136" s="1" t="s">
        <v>52</v>
      </c>
      <c r="C136" s="2" t="s">
        <v>218</v>
      </c>
      <c r="D136" s="236" t="s">
        <v>312</v>
      </c>
      <c r="E136" s="45" t="n">
        <v>14740</v>
      </c>
      <c r="F136" s="45" t="n">
        <f aca="false">E136*I136</f>
        <v>1238160</v>
      </c>
      <c r="G136" s="237" t="n">
        <f aca="false">H136/F136</f>
        <v>0.270305364411708</v>
      </c>
      <c r="H136" s="47" t="n">
        <v>334681.29</v>
      </c>
      <c r="I136" s="238" t="n">
        <v>84</v>
      </c>
      <c r="J136" s="238"/>
      <c r="K136" s="51" t="n">
        <v>1238160</v>
      </c>
      <c r="L136" s="59" t="n">
        <f aca="false">M136*H136</f>
        <v>0</v>
      </c>
      <c r="M136" s="240"/>
      <c r="N136" s="200"/>
      <c r="O136" s="201" t="n">
        <f aca="false">N136/H136</f>
        <v>0</v>
      </c>
      <c r="P136" s="200"/>
      <c r="Q136" s="201" t="n">
        <f aca="false">P136/H136</f>
        <v>0</v>
      </c>
      <c r="R136" s="98"/>
      <c r="S136" s="45"/>
      <c r="T136" s="201" t="n">
        <f aca="false">S136/K136</f>
        <v>0</v>
      </c>
      <c r="U136" s="201"/>
      <c r="V136" s="201"/>
      <c r="W136" s="98" t="n">
        <f aca="false">F136+R136+S136</f>
        <v>1238160</v>
      </c>
      <c r="X136" s="203" t="n">
        <f aca="false">H136+L136+N136+P136+U136</f>
        <v>334681.29</v>
      </c>
      <c r="Y136" s="100" t="n">
        <f aca="false">X136/W136</f>
        <v>0.270305364411708</v>
      </c>
      <c r="Z136" s="51" t="n">
        <v>1238160</v>
      </c>
      <c r="AA136" s="51" t="n">
        <f aca="false">W136-Z136</f>
        <v>0</v>
      </c>
    </row>
    <row r="137" customFormat="false" ht="14.25" hidden="false" customHeight="false" outlineLevel="0" collapsed="false">
      <c r="A137" s="42" t="n">
        <v>45685</v>
      </c>
      <c r="B137" s="1" t="s">
        <v>6</v>
      </c>
      <c r="C137" s="2" t="s">
        <v>291</v>
      </c>
      <c r="D137" s="236" t="s">
        <v>313</v>
      </c>
      <c r="E137" s="45" t="n">
        <v>24720</v>
      </c>
      <c r="F137" s="45" t="n">
        <f aca="false">E137*I137</f>
        <v>1925688</v>
      </c>
      <c r="G137" s="237" t="n">
        <f aca="false">H137/F137</f>
        <v>0.232799996676512</v>
      </c>
      <c r="H137" s="47" t="n">
        <v>448300.16</v>
      </c>
      <c r="I137" s="238" t="n">
        <v>77.9</v>
      </c>
      <c r="J137" s="238"/>
      <c r="K137" s="51" t="n">
        <v>1925688</v>
      </c>
      <c r="L137" s="59" t="n">
        <f aca="false">M137*H137</f>
        <v>0</v>
      </c>
      <c r="M137" s="240"/>
      <c r="N137" s="200"/>
      <c r="O137" s="201" t="n">
        <f aca="false">N137/H137</f>
        <v>0</v>
      </c>
      <c r="P137" s="200"/>
      <c r="Q137" s="201" t="n">
        <f aca="false">P137/H137</f>
        <v>0</v>
      </c>
      <c r="R137" s="98"/>
      <c r="S137" s="45"/>
      <c r="T137" s="201" t="n">
        <f aca="false">S137/K137</f>
        <v>0</v>
      </c>
      <c r="U137" s="201"/>
      <c r="V137" s="201"/>
      <c r="W137" s="98" t="n">
        <f aca="false">F137+R137+S137</f>
        <v>1925688</v>
      </c>
      <c r="X137" s="203" t="n">
        <f aca="false">H137+L137+N137+P137+U137</f>
        <v>448300.16</v>
      </c>
      <c r="Y137" s="100" t="n">
        <f aca="false">X137/W137</f>
        <v>0.232799996676512</v>
      </c>
      <c r="Z137" s="51" t="n">
        <v>1925688</v>
      </c>
      <c r="AA137" s="51" t="n">
        <f aca="false">W137-Z137</f>
        <v>0</v>
      </c>
    </row>
    <row r="138" customFormat="false" ht="14.25" hidden="false" customHeight="false" outlineLevel="0" collapsed="false">
      <c r="A138" s="42" t="n">
        <v>45685</v>
      </c>
      <c r="B138" s="1" t="s">
        <v>6</v>
      </c>
      <c r="C138" s="2" t="s">
        <v>291</v>
      </c>
      <c r="D138" s="236" t="s">
        <v>314</v>
      </c>
      <c r="E138" s="45" t="n">
        <v>18300</v>
      </c>
      <c r="F138" s="45" t="n">
        <f aca="false">E138*I138</f>
        <v>1425570</v>
      </c>
      <c r="G138" s="237" t="n">
        <f aca="false">H138/F138</f>
        <v>0.232799995791157</v>
      </c>
      <c r="H138" s="47" t="n">
        <v>331872.69</v>
      </c>
      <c r="I138" s="238" t="n">
        <v>77.9</v>
      </c>
      <c r="J138" s="238"/>
      <c r="K138" s="51" t="n">
        <v>1425570</v>
      </c>
      <c r="L138" s="59" t="n">
        <f aca="false">M138*H138</f>
        <v>0</v>
      </c>
      <c r="M138" s="240"/>
      <c r="N138" s="200"/>
      <c r="O138" s="201" t="n">
        <f aca="false">N138/H138</f>
        <v>0</v>
      </c>
      <c r="P138" s="200"/>
      <c r="Q138" s="201" t="n">
        <f aca="false">P138/H138</f>
        <v>0</v>
      </c>
      <c r="R138" s="98"/>
      <c r="S138" s="45"/>
      <c r="T138" s="201" t="n">
        <f aca="false">S138/K138</f>
        <v>0</v>
      </c>
      <c r="U138" s="201"/>
      <c r="V138" s="201"/>
      <c r="W138" s="98" t="n">
        <f aca="false">F138+R138+S138</f>
        <v>1425570</v>
      </c>
      <c r="X138" s="203" t="n">
        <f aca="false">H138+L138+N138+P138+U138</f>
        <v>331872.69</v>
      </c>
      <c r="Y138" s="100" t="n">
        <f aca="false">X138/W138</f>
        <v>0.232799995791157</v>
      </c>
      <c r="Z138" s="51" t="n">
        <v>1425570</v>
      </c>
      <c r="AA138" s="51" t="n">
        <f aca="false">W138-Z138</f>
        <v>0</v>
      </c>
    </row>
    <row r="139" customFormat="false" ht="14.25" hidden="false" customHeight="false" outlineLevel="0" collapsed="false">
      <c r="A139" s="42" t="n">
        <v>45685</v>
      </c>
      <c r="B139" s="1" t="s">
        <v>6</v>
      </c>
      <c r="C139" s="2" t="s">
        <v>291</v>
      </c>
      <c r="D139" s="236" t="s">
        <v>315</v>
      </c>
      <c r="E139" s="45" t="n">
        <v>24140</v>
      </c>
      <c r="F139" s="45" t="n">
        <f aca="false">E139*I139</f>
        <v>1938442</v>
      </c>
      <c r="G139" s="237" t="n">
        <f aca="false">H139/F139</f>
        <v>0.232799996079326</v>
      </c>
      <c r="H139" s="47" t="n">
        <v>451269.29</v>
      </c>
      <c r="I139" s="238" t="n">
        <v>80.3</v>
      </c>
      <c r="J139" s="238"/>
      <c r="K139" s="51" t="n">
        <v>1938442</v>
      </c>
      <c r="L139" s="59" t="n">
        <f aca="false">M139*H139</f>
        <v>0</v>
      </c>
      <c r="M139" s="240"/>
      <c r="N139" s="200"/>
      <c r="O139" s="201" t="n">
        <f aca="false">N139/H139</f>
        <v>0</v>
      </c>
      <c r="P139" s="200"/>
      <c r="Q139" s="201" t="n">
        <f aca="false">P139/H139</f>
        <v>0</v>
      </c>
      <c r="R139" s="98"/>
      <c r="S139" s="45"/>
      <c r="T139" s="201" t="n">
        <f aca="false">S139/K139</f>
        <v>0</v>
      </c>
      <c r="U139" s="201"/>
      <c r="V139" s="201"/>
      <c r="W139" s="98" t="n">
        <f aca="false">F139+R139+S139</f>
        <v>1938442</v>
      </c>
      <c r="X139" s="203" t="n">
        <f aca="false">H139+L139+N139+P139+U139</f>
        <v>451269.29</v>
      </c>
      <c r="Y139" s="100" t="n">
        <f aca="false">X139/W139</f>
        <v>0.232799996079326</v>
      </c>
      <c r="Z139" s="51" t="n">
        <v>1938442</v>
      </c>
      <c r="AA139" s="51" t="n">
        <f aca="false">W139-Z139</f>
        <v>0</v>
      </c>
    </row>
    <row r="140" customFormat="false" ht="14.25" hidden="false" customHeight="false" outlineLevel="0" collapsed="false">
      <c r="A140" s="42" t="n">
        <v>45687</v>
      </c>
      <c r="B140" s="1" t="s">
        <v>6</v>
      </c>
      <c r="C140" s="2" t="s">
        <v>291</v>
      </c>
      <c r="D140" s="236" t="s">
        <v>316</v>
      </c>
      <c r="E140" s="45" t="n">
        <v>9100</v>
      </c>
      <c r="F140" s="45" t="n">
        <f aca="false">E140*I140</f>
        <v>724360</v>
      </c>
      <c r="G140" s="237" t="n">
        <f aca="false">H140/F140</f>
        <v>0.232799988955768</v>
      </c>
      <c r="H140" s="47" t="n">
        <v>168631</v>
      </c>
      <c r="I140" s="238" t="n">
        <v>79.6</v>
      </c>
      <c r="J140" s="238"/>
      <c r="K140" s="51" t="n">
        <v>724360</v>
      </c>
      <c r="L140" s="59" t="n">
        <f aca="false">M140*H140</f>
        <v>0</v>
      </c>
      <c r="M140" s="240"/>
      <c r="N140" s="200"/>
      <c r="O140" s="201" t="n">
        <f aca="false">N140/H140</f>
        <v>0</v>
      </c>
      <c r="P140" s="200"/>
      <c r="Q140" s="201" t="n">
        <f aca="false">P140/H140</f>
        <v>0</v>
      </c>
      <c r="R140" s="98"/>
      <c r="S140" s="45"/>
      <c r="T140" s="201" t="n">
        <f aca="false">S140/K140</f>
        <v>0</v>
      </c>
      <c r="U140" s="201"/>
      <c r="V140" s="201"/>
      <c r="W140" s="98" t="n">
        <f aca="false">F140+R140+S140</f>
        <v>724360</v>
      </c>
      <c r="X140" s="203" t="n">
        <f aca="false">H140+L140+N140+P140+U140</f>
        <v>168631</v>
      </c>
      <c r="Y140" s="100" t="n">
        <f aca="false">X140/W140</f>
        <v>0.232799988955768</v>
      </c>
      <c r="Z140" s="51" t="n">
        <v>724360</v>
      </c>
      <c r="AA140" s="51" t="n">
        <f aca="false">W140-Z140</f>
        <v>0</v>
      </c>
    </row>
    <row r="141" customFormat="false" ht="14.25" hidden="false" customHeight="false" outlineLevel="0" collapsed="false">
      <c r="A141" s="42" t="n">
        <v>45688</v>
      </c>
      <c r="B141" s="1" t="s">
        <v>10</v>
      </c>
      <c r="C141" s="2" t="s">
        <v>218</v>
      </c>
      <c r="D141" s="236" t="s">
        <v>317</v>
      </c>
      <c r="E141" s="45" t="n">
        <v>17160</v>
      </c>
      <c r="F141" s="45" t="n">
        <f aca="false">E141*I141</f>
        <v>1664520</v>
      </c>
      <c r="G141" s="237" t="n">
        <f aca="false">H141/F141</f>
        <v>0.082196741402927</v>
      </c>
      <c r="H141" s="47" t="n">
        <v>136818.12</v>
      </c>
      <c r="I141" s="238" t="n">
        <v>97</v>
      </c>
      <c r="J141" s="238" t="n">
        <v>89</v>
      </c>
      <c r="K141" s="51" t="n">
        <v>1664520</v>
      </c>
      <c r="L141" s="59" t="n">
        <f aca="false">M141*H141</f>
        <v>0</v>
      </c>
      <c r="M141" s="240"/>
      <c r="N141" s="200"/>
      <c r="O141" s="201" t="n">
        <f aca="false">N141/H141</f>
        <v>0</v>
      </c>
      <c r="P141" s="200"/>
      <c r="Q141" s="201" t="n">
        <f aca="false">P141/H141</f>
        <v>0</v>
      </c>
      <c r="R141" s="98"/>
      <c r="S141" s="45"/>
      <c r="T141" s="201" t="n">
        <f aca="false">S141/K141</f>
        <v>0</v>
      </c>
      <c r="U141" s="201"/>
      <c r="V141" s="201"/>
      <c r="W141" s="98" t="n">
        <f aca="false">F141+R141+S141</f>
        <v>1664520</v>
      </c>
      <c r="X141" s="203" t="n">
        <f aca="false">H141+L141+N141+P141+U141</f>
        <v>136818.12</v>
      </c>
      <c r="Y141" s="100" t="n">
        <f aca="false">X141/W141</f>
        <v>0.082196741402927</v>
      </c>
      <c r="Z141" s="51" t="n">
        <v>1664520</v>
      </c>
      <c r="AA141" s="51" t="n">
        <f aca="false">W141-Z141</f>
        <v>0</v>
      </c>
    </row>
    <row r="142" customFormat="false" ht="14.25" hidden="false" customHeight="false" outlineLevel="0" collapsed="false">
      <c r="A142" s="42" t="n">
        <v>45688</v>
      </c>
      <c r="B142" s="1" t="s">
        <v>52</v>
      </c>
      <c r="C142" s="2" t="s">
        <v>218</v>
      </c>
      <c r="D142" s="236" t="s">
        <v>318</v>
      </c>
      <c r="E142" s="45" t="n">
        <v>22900</v>
      </c>
      <c r="F142" s="45" t="n">
        <f aca="false">E142*I142</f>
        <v>1983140</v>
      </c>
      <c r="G142" s="237" t="n">
        <f aca="false">H142/F142</f>
        <v>0.259752085077201</v>
      </c>
      <c r="H142" s="47" t="n">
        <v>515124.75</v>
      </c>
      <c r="I142" s="238" t="n">
        <v>86.6</v>
      </c>
      <c r="J142" s="238"/>
      <c r="K142" s="51" t="n">
        <v>1983140</v>
      </c>
      <c r="L142" s="59" t="n">
        <f aca="false">M142*H142</f>
        <v>0</v>
      </c>
      <c r="M142" s="240"/>
      <c r="N142" s="200"/>
      <c r="O142" s="201" t="n">
        <f aca="false">N142/H142</f>
        <v>0</v>
      </c>
      <c r="P142" s="200"/>
      <c r="Q142" s="201" t="n">
        <f aca="false">P142/H142</f>
        <v>0</v>
      </c>
      <c r="R142" s="98"/>
      <c r="S142" s="45"/>
      <c r="T142" s="201" t="n">
        <f aca="false">S142/K142</f>
        <v>0</v>
      </c>
      <c r="U142" s="201"/>
      <c r="V142" s="201"/>
      <c r="W142" s="98" t="n">
        <f aca="false">F142+R142+S142</f>
        <v>1983140</v>
      </c>
      <c r="X142" s="203" t="n">
        <f aca="false">H142+L142+N142+P142+U142</f>
        <v>515124.75</v>
      </c>
      <c r="Y142" s="100" t="n">
        <f aca="false">X142/W142</f>
        <v>0.259752085077201</v>
      </c>
      <c r="Z142" s="51" t="n">
        <v>1983140</v>
      </c>
      <c r="AA142" s="51" t="n">
        <f aca="false">W142-Z142</f>
        <v>0</v>
      </c>
    </row>
    <row r="143" customFormat="false" ht="14.25" hidden="false" customHeight="false" outlineLevel="0" collapsed="false">
      <c r="A143" s="42" t="n">
        <v>45691</v>
      </c>
      <c r="B143" s="1" t="s">
        <v>10</v>
      </c>
      <c r="C143" s="2" t="s">
        <v>218</v>
      </c>
      <c r="D143" s="236" t="s">
        <v>319</v>
      </c>
      <c r="E143" s="45" t="n">
        <v>40020</v>
      </c>
      <c r="F143" s="45" t="n">
        <f aca="false">E143*I143</f>
        <v>3457728</v>
      </c>
      <c r="G143" s="237" t="n">
        <f aca="false">H143/F143</f>
        <v>0.0794525740601921</v>
      </c>
      <c r="H143" s="47" t="n">
        <v>274725.39</v>
      </c>
      <c r="I143" s="238" t="n">
        <v>86.4</v>
      </c>
      <c r="J143" s="238" t="n">
        <v>87</v>
      </c>
      <c r="K143" s="51" t="n">
        <v>3457728</v>
      </c>
      <c r="L143" s="59" t="n">
        <f aca="false">M143*H143</f>
        <v>0</v>
      </c>
      <c r="M143" s="240"/>
      <c r="N143" s="200"/>
      <c r="O143" s="201" t="n">
        <f aca="false">N143/H143</f>
        <v>0</v>
      </c>
      <c r="P143" s="200"/>
      <c r="Q143" s="201" t="n">
        <f aca="false">P143/H143</f>
        <v>0</v>
      </c>
      <c r="R143" s="98"/>
      <c r="S143" s="45"/>
      <c r="T143" s="201" t="n">
        <f aca="false">S143/K143</f>
        <v>0</v>
      </c>
      <c r="U143" s="201"/>
      <c r="V143" s="201"/>
      <c r="W143" s="98" t="n">
        <f aca="false">F143+R143+S143</f>
        <v>3457728</v>
      </c>
      <c r="X143" s="203" t="n">
        <f aca="false">H143+L143+N143+P143+U143</f>
        <v>274725.39</v>
      </c>
      <c r="Y143" s="100" t="n">
        <f aca="false">X143/W143</f>
        <v>0.0794525740601921</v>
      </c>
      <c r="Z143" s="51" t="n">
        <v>3457728</v>
      </c>
      <c r="AA143" s="51" t="n">
        <f aca="false">W143-Z143</f>
        <v>0</v>
      </c>
    </row>
    <row r="144" customFormat="false" ht="14.25" hidden="false" customHeight="false" outlineLevel="0" collapsed="false">
      <c r="A144" s="42" t="n">
        <v>45701</v>
      </c>
      <c r="B144" s="1" t="s">
        <v>15</v>
      </c>
      <c r="C144" s="2" t="s">
        <v>239</v>
      </c>
      <c r="D144" s="236" t="s">
        <v>320</v>
      </c>
      <c r="E144" s="45" t="n">
        <v>4460</v>
      </c>
      <c r="F144" s="45" t="n">
        <f aca="false">E144*I144</f>
        <v>407198</v>
      </c>
      <c r="G144" s="237" t="n">
        <f aca="false">H144/F144</f>
        <v>0.253537591049072</v>
      </c>
      <c r="H144" s="47" t="n">
        <v>103240</v>
      </c>
      <c r="I144" s="238" t="n">
        <v>91.3</v>
      </c>
      <c r="J144" s="238"/>
      <c r="K144" s="51" t="n">
        <v>407198</v>
      </c>
      <c r="L144" s="59" t="n">
        <f aca="false">M144*H144</f>
        <v>0</v>
      </c>
      <c r="M144" s="240"/>
      <c r="N144" s="200"/>
      <c r="O144" s="201" t="n">
        <f aca="false">N144/H144</f>
        <v>0</v>
      </c>
      <c r="P144" s="200"/>
      <c r="Q144" s="201" t="n">
        <f aca="false">P144/H144</f>
        <v>0</v>
      </c>
      <c r="R144" s="98"/>
      <c r="S144" s="45"/>
      <c r="T144" s="201" t="n">
        <f aca="false">S144/K144</f>
        <v>0</v>
      </c>
      <c r="U144" s="201"/>
      <c r="V144" s="201"/>
      <c r="W144" s="98" t="n">
        <f aca="false">F144+R144+S144</f>
        <v>407198</v>
      </c>
      <c r="X144" s="203" t="n">
        <f aca="false">H144+L144+N144+P144+U144</f>
        <v>103240</v>
      </c>
      <c r="Y144" s="100" t="n">
        <f aca="false">X144/W144</f>
        <v>0.253537591049072</v>
      </c>
      <c r="Z144" s="51" t="n">
        <v>407198</v>
      </c>
      <c r="AA144" s="51" t="n">
        <f aca="false">W144-Z144</f>
        <v>0</v>
      </c>
    </row>
    <row r="145" customFormat="false" ht="14.25" hidden="false" customHeight="false" outlineLevel="0" collapsed="false">
      <c r="A145" s="42" t="n">
        <v>45708</v>
      </c>
      <c r="B145" s="1" t="s">
        <v>10</v>
      </c>
      <c r="C145" s="2" t="s">
        <v>321</v>
      </c>
      <c r="D145" s="236" t="s">
        <v>322</v>
      </c>
      <c r="E145" s="45" t="n">
        <v>10150</v>
      </c>
      <c r="F145" s="45" t="n">
        <f aca="false">E145*I145</f>
        <v>1001805</v>
      </c>
      <c r="G145" s="237" t="n">
        <f aca="false">H145/F145</f>
        <v>0.0798558601723888</v>
      </c>
      <c r="H145" s="47" t="n">
        <v>80000</v>
      </c>
      <c r="I145" s="238" t="n">
        <v>98.7</v>
      </c>
      <c r="J145" s="238"/>
      <c r="K145" s="51" t="n">
        <v>1001805</v>
      </c>
      <c r="L145" s="59" t="n">
        <f aca="false">M145*H145</f>
        <v>0</v>
      </c>
      <c r="M145" s="240"/>
      <c r="N145" s="200"/>
      <c r="O145" s="201" t="n">
        <f aca="false">N145/H145</f>
        <v>0</v>
      </c>
      <c r="P145" s="200"/>
      <c r="Q145" s="201" t="n">
        <f aca="false">P145/H145</f>
        <v>0</v>
      </c>
      <c r="R145" s="98"/>
      <c r="S145" s="45"/>
      <c r="T145" s="201" t="n">
        <f aca="false">S145/K145</f>
        <v>0</v>
      </c>
      <c r="U145" s="201"/>
      <c r="V145" s="201"/>
      <c r="W145" s="98" t="n">
        <f aca="false">F145+R145+S145</f>
        <v>1001805</v>
      </c>
      <c r="X145" s="203" t="n">
        <f aca="false">H145+L145+N145+P145+U145</f>
        <v>80000</v>
      </c>
      <c r="Y145" s="100" t="n">
        <f aca="false">X145/W145</f>
        <v>0.0798558601723888</v>
      </c>
      <c r="Z145" s="51" t="n">
        <v>1001805</v>
      </c>
      <c r="AA145" s="51" t="n">
        <f aca="false">W145-Z145</f>
        <v>0</v>
      </c>
    </row>
    <row r="146" customFormat="false" ht="14.25" hidden="false" customHeight="false" outlineLevel="0" collapsed="false">
      <c r="A146" s="42" t="n">
        <v>45708</v>
      </c>
      <c r="B146" s="1" t="s">
        <v>10</v>
      </c>
      <c r="C146" s="2" t="s">
        <v>321</v>
      </c>
      <c r="D146" s="236" t="s">
        <v>323</v>
      </c>
      <c r="E146" s="45" t="n">
        <v>10150</v>
      </c>
      <c r="F146" s="45" t="n">
        <f aca="false">E146*I146</f>
        <v>1001805</v>
      </c>
      <c r="G146" s="237" t="n">
        <f aca="false">H146/F146</f>
        <v>0.0798558601723888</v>
      </c>
      <c r="H146" s="47" t="n">
        <v>80000</v>
      </c>
      <c r="I146" s="238" t="n">
        <v>98.7</v>
      </c>
      <c r="J146" s="238"/>
      <c r="K146" s="51" t="n">
        <v>1001805</v>
      </c>
      <c r="L146" s="59" t="n">
        <f aca="false">M146*H146</f>
        <v>0</v>
      </c>
      <c r="M146" s="240"/>
      <c r="N146" s="200"/>
      <c r="O146" s="201" t="n">
        <f aca="false">N146/H146</f>
        <v>0</v>
      </c>
      <c r="P146" s="200"/>
      <c r="Q146" s="201" t="n">
        <f aca="false">P146/H146</f>
        <v>0</v>
      </c>
      <c r="R146" s="98"/>
      <c r="S146" s="45"/>
      <c r="T146" s="201" t="n">
        <f aca="false">S146/K146</f>
        <v>0</v>
      </c>
      <c r="U146" s="201"/>
      <c r="V146" s="201"/>
      <c r="W146" s="98" t="n">
        <f aca="false">F146+R146+S146</f>
        <v>1001805</v>
      </c>
      <c r="X146" s="203" t="n">
        <f aca="false">H146+L146+N146+P146+U146</f>
        <v>80000</v>
      </c>
      <c r="Y146" s="100" t="n">
        <f aca="false">X146/W146</f>
        <v>0.0798558601723888</v>
      </c>
      <c r="Z146" s="51" t="n">
        <v>1001805</v>
      </c>
      <c r="AA146" s="51" t="n">
        <f aca="false">W146-Z146</f>
        <v>0</v>
      </c>
    </row>
    <row r="147" customFormat="false" ht="14.25" hidden="false" customHeight="false" outlineLevel="0" collapsed="false">
      <c r="A147" s="42" t="n">
        <v>45709</v>
      </c>
      <c r="B147" s="1" t="s">
        <v>10</v>
      </c>
      <c r="C147" s="2" t="s">
        <v>321</v>
      </c>
      <c r="D147" s="236" t="s">
        <v>324</v>
      </c>
      <c r="E147" s="45" t="n">
        <v>20580</v>
      </c>
      <c r="F147" s="45" t="n">
        <f aca="false">E147*I147</f>
        <v>2016840</v>
      </c>
      <c r="G147" s="237" t="n">
        <f aca="false">H147/F147</f>
        <v>0.0793320243549315</v>
      </c>
      <c r="H147" s="47" t="n">
        <v>160000</v>
      </c>
      <c r="I147" s="238" t="n">
        <v>98</v>
      </c>
      <c r="J147" s="238"/>
      <c r="K147" s="51" t="n">
        <v>2016840</v>
      </c>
      <c r="L147" s="59" t="n">
        <f aca="false">M147*H147</f>
        <v>0</v>
      </c>
      <c r="M147" s="240"/>
      <c r="N147" s="200"/>
      <c r="O147" s="201" t="n">
        <f aca="false">N147/H147</f>
        <v>0</v>
      </c>
      <c r="P147" s="200"/>
      <c r="Q147" s="201" t="n">
        <f aca="false">P147/H147</f>
        <v>0</v>
      </c>
      <c r="R147" s="98"/>
      <c r="S147" s="45"/>
      <c r="T147" s="201" t="n">
        <f aca="false">S147/K147</f>
        <v>0</v>
      </c>
      <c r="U147" s="201"/>
      <c r="V147" s="201"/>
      <c r="W147" s="98" t="n">
        <f aca="false">F147+R147+S147</f>
        <v>2016840</v>
      </c>
      <c r="X147" s="203" t="n">
        <f aca="false">H147+L147+N147+P147+U147</f>
        <v>160000</v>
      </c>
      <c r="Y147" s="100" t="n">
        <f aca="false">X147/W147</f>
        <v>0.0793320243549315</v>
      </c>
      <c r="Z147" s="51" t="n">
        <v>2016840</v>
      </c>
      <c r="AA147" s="51" t="n">
        <f aca="false">W147-Z147</f>
        <v>0</v>
      </c>
    </row>
    <row r="148" customFormat="false" ht="14.25" hidden="false" customHeight="false" outlineLevel="0" collapsed="false">
      <c r="A148" s="42" t="n">
        <v>45710</v>
      </c>
      <c r="B148" s="1" t="s">
        <v>13</v>
      </c>
      <c r="C148" s="2" t="s">
        <v>325</v>
      </c>
      <c r="D148" s="236" t="s">
        <v>326</v>
      </c>
      <c r="E148" s="45" t="n">
        <v>10000</v>
      </c>
      <c r="F148" s="45" t="n">
        <f aca="false">E148*I148</f>
        <v>810300</v>
      </c>
      <c r="G148" s="237" t="n">
        <f aca="false">H148/F148</f>
        <v>0.20893496235962</v>
      </c>
      <c r="H148" s="47" t="n">
        <v>169300</v>
      </c>
      <c r="I148" s="238" t="n">
        <v>81.03</v>
      </c>
      <c r="J148" s="238"/>
      <c r="K148" s="51" t="n">
        <v>810300</v>
      </c>
      <c r="L148" s="59" t="n">
        <f aca="false">M148*H148</f>
        <v>0</v>
      </c>
      <c r="M148" s="240"/>
      <c r="N148" s="200"/>
      <c r="O148" s="201" t="n">
        <f aca="false">N148/H148</f>
        <v>0</v>
      </c>
      <c r="P148" s="200"/>
      <c r="Q148" s="201" t="n">
        <f aca="false">P148/H148</f>
        <v>0</v>
      </c>
      <c r="R148" s="98"/>
      <c r="S148" s="45"/>
      <c r="T148" s="201" t="n">
        <f aca="false">S148/K148</f>
        <v>0</v>
      </c>
      <c r="U148" s="201"/>
      <c r="V148" s="201"/>
      <c r="W148" s="98" t="n">
        <f aca="false">F148+R148+S148</f>
        <v>810300</v>
      </c>
      <c r="X148" s="203" t="n">
        <f aca="false">H148+L148+N148+P148+U148</f>
        <v>169300</v>
      </c>
      <c r="Y148" s="100" t="n">
        <f aca="false">X148/W148</f>
        <v>0.20893496235962</v>
      </c>
      <c r="Z148" s="51" t="n">
        <v>810300</v>
      </c>
      <c r="AA148" s="51" t="n">
        <f aca="false">W148-Z148</f>
        <v>0</v>
      </c>
    </row>
    <row r="149" customFormat="false" ht="14.25" hidden="false" customHeight="false" outlineLevel="0" collapsed="false">
      <c r="A149" s="42" t="n">
        <v>45710</v>
      </c>
      <c r="B149" s="1" t="s">
        <v>13</v>
      </c>
      <c r="C149" s="2" t="s">
        <v>325</v>
      </c>
      <c r="D149" s="236" t="s">
        <v>327</v>
      </c>
      <c r="E149" s="45" t="n">
        <v>4080</v>
      </c>
      <c r="F149" s="45" t="n">
        <f aca="false">E149*I149</f>
        <v>318240</v>
      </c>
      <c r="G149" s="237" t="n">
        <f aca="false">H149/F149</f>
        <v>0.15959653092006</v>
      </c>
      <c r="H149" s="47" t="n">
        <v>50790</v>
      </c>
      <c r="I149" s="238" t="n">
        <v>78</v>
      </c>
      <c r="J149" s="238"/>
      <c r="K149" s="51" t="n">
        <v>318240</v>
      </c>
      <c r="L149" s="59" t="n">
        <f aca="false">M149*H149</f>
        <v>0</v>
      </c>
      <c r="M149" s="240"/>
      <c r="N149" s="200"/>
      <c r="O149" s="201" t="n">
        <f aca="false">N149/H149</f>
        <v>0</v>
      </c>
      <c r="P149" s="200"/>
      <c r="Q149" s="201" t="n">
        <f aca="false">P149/H149</f>
        <v>0</v>
      </c>
      <c r="R149" s="98"/>
      <c r="S149" s="45"/>
      <c r="T149" s="201" t="n">
        <f aca="false">S149/K149</f>
        <v>0</v>
      </c>
      <c r="U149" s="201"/>
      <c r="V149" s="201"/>
      <c r="W149" s="98" t="n">
        <f aca="false">F149+R149+S149</f>
        <v>318240</v>
      </c>
      <c r="X149" s="203" t="n">
        <f aca="false">H149+L149+N149+P149+U149</f>
        <v>50790</v>
      </c>
      <c r="Y149" s="100" t="n">
        <f aca="false">X149/W149</f>
        <v>0.15959653092006</v>
      </c>
      <c r="Z149" s="51" t="n">
        <v>318240</v>
      </c>
      <c r="AA149" s="51" t="n">
        <f aca="false">W149-Z149</f>
        <v>0</v>
      </c>
    </row>
    <row r="150" customFormat="false" ht="14.25" hidden="false" customHeight="false" outlineLevel="0" collapsed="false">
      <c r="A150" s="42" t="n">
        <v>45712</v>
      </c>
      <c r="B150" s="1" t="s">
        <v>10</v>
      </c>
      <c r="C150" s="2" t="s">
        <v>321</v>
      </c>
      <c r="D150" s="236" t="s">
        <v>328</v>
      </c>
      <c r="E150" s="45" t="n">
        <v>22200</v>
      </c>
      <c r="F150" s="45" t="n">
        <f aca="false">E150*I150</f>
        <v>2155620</v>
      </c>
      <c r="G150" s="237" t="n">
        <f aca="false">H150/F150</f>
        <v>0.0790937178166838</v>
      </c>
      <c r="H150" s="47" t="n">
        <v>170496</v>
      </c>
      <c r="I150" s="238" t="n">
        <v>97.1</v>
      </c>
      <c r="J150" s="238"/>
      <c r="K150" s="51" t="n">
        <v>2155620</v>
      </c>
      <c r="L150" s="59" t="n">
        <f aca="false">M150*H150</f>
        <v>0</v>
      </c>
      <c r="M150" s="240"/>
      <c r="N150" s="200"/>
      <c r="O150" s="201" t="n">
        <f aca="false">N150/H150</f>
        <v>0</v>
      </c>
      <c r="P150" s="200"/>
      <c r="Q150" s="201" t="n">
        <f aca="false">P150/H150</f>
        <v>0</v>
      </c>
      <c r="R150" s="98"/>
      <c r="S150" s="45"/>
      <c r="T150" s="201" t="n">
        <f aca="false">S150/K150</f>
        <v>0</v>
      </c>
      <c r="U150" s="201"/>
      <c r="V150" s="201"/>
      <c r="W150" s="98" t="n">
        <f aca="false">F150+R150+S150</f>
        <v>2155620</v>
      </c>
      <c r="X150" s="203" t="n">
        <f aca="false">H150+L150+N150+P150+U150</f>
        <v>170496</v>
      </c>
      <c r="Y150" s="100" t="n">
        <f aca="false">X150/W150</f>
        <v>0.0790937178166838</v>
      </c>
      <c r="Z150" s="51" t="n">
        <v>2155620</v>
      </c>
      <c r="AA150" s="51" t="n">
        <f aca="false">W150-Z150</f>
        <v>0</v>
      </c>
    </row>
    <row r="151" customFormat="false" ht="14.25" hidden="false" customHeight="false" outlineLevel="0" collapsed="false">
      <c r="A151" s="42" t="n">
        <v>45712</v>
      </c>
      <c r="B151" s="1" t="s">
        <v>10</v>
      </c>
      <c r="C151" s="2" t="s">
        <v>321</v>
      </c>
      <c r="D151" s="236" t="s">
        <v>329</v>
      </c>
      <c r="E151" s="45" t="n">
        <v>20120</v>
      </c>
      <c r="F151" s="45" t="n">
        <f aca="false">E151*I151</f>
        <v>1889268</v>
      </c>
      <c r="G151" s="237" t="n">
        <f aca="false">H151/F151</f>
        <v>0.0858542038503802</v>
      </c>
      <c r="H151" s="47" t="n">
        <v>162201.6</v>
      </c>
      <c r="I151" s="238" t="n">
        <v>93.9</v>
      </c>
      <c r="J151" s="238"/>
      <c r="K151" s="51" t="n">
        <v>1889268</v>
      </c>
      <c r="L151" s="59" t="n">
        <f aca="false">M151*H151</f>
        <v>0</v>
      </c>
      <c r="M151" s="240"/>
      <c r="N151" s="200"/>
      <c r="O151" s="201" t="n">
        <f aca="false">N151/H151</f>
        <v>0</v>
      </c>
      <c r="P151" s="200"/>
      <c r="Q151" s="201" t="n">
        <f aca="false">P151/H151</f>
        <v>0</v>
      </c>
      <c r="R151" s="98"/>
      <c r="S151" s="45"/>
      <c r="T151" s="201" t="n">
        <f aca="false">S151/K151</f>
        <v>0</v>
      </c>
      <c r="U151" s="201"/>
      <c r="V151" s="201"/>
      <c r="W151" s="98" t="n">
        <f aca="false">F151+R151+S151</f>
        <v>1889268</v>
      </c>
      <c r="X151" s="203" t="n">
        <f aca="false">H151+L151+N151+P151+U151</f>
        <v>162201.6</v>
      </c>
      <c r="Y151" s="100" t="n">
        <f aca="false">X151/W151</f>
        <v>0.0858542038503802</v>
      </c>
      <c r="Z151" s="51" t="n">
        <v>1889268</v>
      </c>
      <c r="AA151" s="51" t="n">
        <f aca="false">W151-Z151</f>
        <v>0</v>
      </c>
    </row>
    <row r="152" customFormat="false" ht="14.25" hidden="false" customHeight="false" outlineLevel="0" collapsed="false">
      <c r="A152" s="42" t="n">
        <v>45716</v>
      </c>
      <c r="B152" s="1" t="s">
        <v>10</v>
      </c>
      <c r="C152" s="2" t="s">
        <v>218</v>
      </c>
      <c r="D152" s="236" t="s">
        <v>330</v>
      </c>
      <c r="E152" s="45" t="n">
        <v>8720</v>
      </c>
      <c r="F152" s="45" t="n">
        <f aca="false">E152*I152</f>
        <v>750792</v>
      </c>
      <c r="G152" s="237" t="n">
        <f aca="false">H152/F152</f>
        <v>0.0715920654455562</v>
      </c>
      <c r="H152" s="47" t="n">
        <v>53750.75</v>
      </c>
      <c r="I152" s="238" t="n">
        <v>86.1</v>
      </c>
      <c r="J152" s="238"/>
      <c r="K152" s="51" t="n">
        <v>750792</v>
      </c>
      <c r="L152" s="59" t="n">
        <f aca="false">M152*H152</f>
        <v>0</v>
      </c>
      <c r="M152" s="240"/>
      <c r="N152" s="200"/>
      <c r="O152" s="201" t="n">
        <f aca="false">N152/H152</f>
        <v>0</v>
      </c>
      <c r="P152" s="200"/>
      <c r="Q152" s="201" t="n">
        <f aca="false">P152/H152</f>
        <v>0</v>
      </c>
      <c r="R152" s="98"/>
      <c r="S152" s="45"/>
      <c r="T152" s="201" t="n">
        <f aca="false">S152/K152</f>
        <v>0</v>
      </c>
      <c r="U152" s="201"/>
      <c r="V152" s="201"/>
      <c r="W152" s="98" t="n">
        <f aca="false">F152+R152+S152</f>
        <v>750792</v>
      </c>
      <c r="X152" s="203" t="n">
        <f aca="false">H152+L152+N152+P152+U152</f>
        <v>53750.75</v>
      </c>
      <c r="Y152" s="100" t="n">
        <f aca="false">X152/W152</f>
        <v>0.0715920654455562</v>
      </c>
      <c r="Z152" s="51" t="n">
        <v>750792</v>
      </c>
      <c r="AA152" s="51" t="n">
        <f aca="false">W152-Z152</f>
        <v>0</v>
      </c>
    </row>
    <row r="153" customFormat="false" ht="14.25" hidden="false" customHeight="false" outlineLevel="0" collapsed="false">
      <c r="A153" s="42" t="n">
        <v>45722</v>
      </c>
      <c r="B153" s="1" t="s">
        <v>10</v>
      </c>
      <c r="C153" s="2" t="s">
        <v>239</v>
      </c>
      <c r="D153" s="236" t="s">
        <v>331</v>
      </c>
      <c r="E153" s="45" t="n">
        <v>12640</v>
      </c>
      <c r="F153" s="45" t="n">
        <f aca="false">E153*I153</f>
        <v>1108528</v>
      </c>
      <c r="G153" s="237" t="n">
        <f aca="false">H153/F153</f>
        <v>0.181013019066726</v>
      </c>
      <c r="H153" s="47" t="n">
        <v>200658</v>
      </c>
      <c r="I153" s="238" t="n">
        <v>87.7</v>
      </c>
      <c r="J153" s="238"/>
      <c r="K153" s="51" t="n">
        <v>1108528</v>
      </c>
      <c r="L153" s="59" t="n">
        <f aca="false">M153*H153</f>
        <v>0</v>
      </c>
      <c r="M153" s="240"/>
      <c r="N153" s="200"/>
      <c r="O153" s="201" t="n">
        <f aca="false">N153/H153</f>
        <v>0</v>
      </c>
      <c r="P153" s="200"/>
      <c r="Q153" s="201" t="n">
        <f aca="false">P153/H153</f>
        <v>0</v>
      </c>
      <c r="R153" s="98"/>
      <c r="S153" s="45"/>
      <c r="T153" s="201" t="n">
        <f aca="false">S153/K153</f>
        <v>0</v>
      </c>
      <c r="U153" s="201"/>
      <c r="V153" s="201"/>
      <c r="W153" s="98" t="n">
        <f aca="false">F153+R153+S153</f>
        <v>1108528</v>
      </c>
      <c r="X153" s="203" t="n">
        <f aca="false">H153+L153+N153+P153+U153</f>
        <v>200658</v>
      </c>
      <c r="Y153" s="100" t="n">
        <f aca="false">X153/W153</f>
        <v>0.181013019066726</v>
      </c>
      <c r="Z153" s="51" t="n">
        <v>1108528</v>
      </c>
      <c r="AA153" s="51" t="n">
        <f aca="false">W153-Z153</f>
        <v>0</v>
      </c>
    </row>
    <row r="154" customFormat="false" ht="14.25" hidden="false" customHeight="false" outlineLevel="0" collapsed="false">
      <c r="A154" s="42" t="n">
        <v>45723</v>
      </c>
      <c r="B154" s="1" t="s">
        <v>10</v>
      </c>
      <c r="C154" s="2" t="s">
        <v>239</v>
      </c>
      <c r="D154" s="236" t="s">
        <v>332</v>
      </c>
      <c r="E154" s="45" t="n">
        <v>13940</v>
      </c>
      <c r="F154" s="45" t="n">
        <f aca="false">E154*I154</f>
        <v>1222538</v>
      </c>
      <c r="G154" s="237" t="n">
        <f aca="false">H154/F154</f>
        <v>0.172651075058608</v>
      </c>
      <c r="H154" s="47" t="n">
        <v>211072.5</v>
      </c>
      <c r="I154" s="238" t="n">
        <v>87.7</v>
      </c>
      <c r="J154" s="238"/>
      <c r="K154" s="51" t="n">
        <v>1222538</v>
      </c>
      <c r="L154" s="59" t="n">
        <f aca="false">M154*H154</f>
        <v>0</v>
      </c>
      <c r="M154" s="240"/>
      <c r="N154" s="200"/>
      <c r="O154" s="201" t="n">
        <f aca="false">N154/H154</f>
        <v>0</v>
      </c>
      <c r="P154" s="200"/>
      <c r="Q154" s="201" t="n">
        <f aca="false">P154/H154</f>
        <v>0</v>
      </c>
      <c r="R154" s="98"/>
      <c r="S154" s="45"/>
      <c r="T154" s="201" t="n">
        <f aca="false">S154/K154</f>
        <v>0</v>
      </c>
      <c r="U154" s="201"/>
      <c r="V154" s="201"/>
      <c r="W154" s="98" t="n">
        <f aca="false">F154+R154+S154</f>
        <v>1222538</v>
      </c>
      <c r="X154" s="203" t="n">
        <f aca="false">H154+L154+N154+P154+U154</f>
        <v>211072.5</v>
      </c>
      <c r="Y154" s="100" t="n">
        <f aca="false">X154/W154</f>
        <v>0.172651075058608</v>
      </c>
      <c r="Z154" s="51" t="n">
        <v>1222538</v>
      </c>
      <c r="AA154" s="51" t="n">
        <f aca="false">W154-Z154</f>
        <v>0</v>
      </c>
    </row>
    <row r="155" customFormat="false" ht="14.25" hidden="false" customHeight="false" outlineLevel="0" collapsed="false">
      <c r="A155" s="42" t="n">
        <v>45728</v>
      </c>
      <c r="B155" s="1" t="s">
        <v>6</v>
      </c>
      <c r="C155" s="2" t="s">
        <v>333</v>
      </c>
      <c r="D155" s="236" t="s">
        <v>334</v>
      </c>
      <c r="E155" s="45" t="n">
        <v>2120</v>
      </c>
      <c r="F155" s="45" t="n">
        <f aca="false">E155*I155</f>
        <v>148824</v>
      </c>
      <c r="G155" s="237" t="n">
        <f aca="false">H155/F155</f>
        <v>0.227830188679245</v>
      </c>
      <c r="H155" s="47" t="n">
        <v>33906.6</v>
      </c>
      <c r="I155" s="238" t="n">
        <v>70.2</v>
      </c>
      <c r="J155" s="238"/>
      <c r="K155" s="51" t="n">
        <v>148824</v>
      </c>
      <c r="L155" s="59" t="n">
        <f aca="false">M155*H155</f>
        <v>0</v>
      </c>
      <c r="M155" s="240"/>
      <c r="N155" s="200"/>
      <c r="O155" s="201" t="n">
        <f aca="false">N155/H155</f>
        <v>0</v>
      </c>
      <c r="P155" s="200"/>
      <c r="Q155" s="201" t="n">
        <f aca="false">P155/H155</f>
        <v>0</v>
      </c>
      <c r="R155" s="98"/>
      <c r="S155" s="45"/>
      <c r="T155" s="201" t="n">
        <f aca="false">S155/K155</f>
        <v>0</v>
      </c>
      <c r="U155" s="201"/>
      <c r="V155" s="201"/>
      <c r="W155" s="98" t="n">
        <f aca="false">F155+R155+S155</f>
        <v>148824</v>
      </c>
      <c r="X155" s="203" t="n">
        <f aca="false">H155+L155+N155+P155+U155</f>
        <v>33906.6</v>
      </c>
      <c r="Y155" s="100" t="n">
        <f aca="false">X155/W155</f>
        <v>0.227830188679245</v>
      </c>
      <c r="Z155" s="51" t="n">
        <v>148824</v>
      </c>
      <c r="AA155" s="51" t="n">
        <f aca="false">W155-Z155</f>
        <v>0</v>
      </c>
    </row>
    <row r="156" customFormat="false" ht="14.25" hidden="false" customHeight="false" outlineLevel="0" collapsed="false">
      <c r="A156" s="42" t="n">
        <v>45741</v>
      </c>
      <c r="B156" s="1" t="s">
        <v>6</v>
      </c>
      <c r="C156" s="2" t="s">
        <v>335</v>
      </c>
      <c r="D156" s="236" t="s">
        <v>336</v>
      </c>
      <c r="E156" s="45" t="n">
        <v>1450</v>
      </c>
      <c r="F156" s="45" t="n">
        <f aca="false">E156*I156</f>
        <v>126730</v>
      </c>
      <c r="G156" s="237" t="n">
        <f aca="false">H156/F156</f>
        <v>0.230320366132723</v>
      </c>
      <c r="H156" s="47" t="n">
        <v>29188.5</v>
      </c>
      <c r="I156" s="238" t="n">
        <v>87.4</v>
      </c>
      <c r="J156" s="238"/>
      <c r="K156" s="51" t="n">
        <v>126730</v>
      </c>
      <c r="L156" s="59" t="n">
        <f aca="false">M156*H156</f>
        <v>0</v>
      </c>
      <c r="M156" s="240"/>
      <c r="N156" s="200"/>
      <c r="O156" s="201" t="n">
        <f aca="false">N156/H156</f>
        <v>0</v>
      </c>
      <c r="P156" s="200"/>
      <c r="Q156" s="201" t="n">
        <f aca="false">P156/H156</f>
        <v>0</v>
      </c>
      <c r="R156" s="98"/>
      <c r="S156" s="45"/>
      <c r="T156" s="201" t="n">
        <f aca="false">S156/K156</f>
        <v>0</v>
      </c>
      <c r="U156" s="201"/>
      <c r="V156" s="201"/>
      <c r="W156" s="98" t="n">
        <f aca="false">F156+R156+S156</f>
        <v>126730</v>
      </c>
      <c r="X156" s="203" t="n">
        <f aca="false">H156+L156+N156+P156+U156</f>
        <v>29188.5</v>
      </c>
      <c r="Y156" s="100" t="n">
        <f aca="false">X156/W156</f>
        <v>0.230320366132723</v>
      </c>
      <c r="Z156" s="51" t="n">
        <v>126730</v>
      </c>
      <c r="AA156" s="51" t="n">
        <f aca="false">W156-Z156</f>
        <v>0</v>
      </c>
    </row>
    <row r="157" customFormat="false" ht="14.25" hidden="false" customHeight="false" outlineLevel="0" collapsed="false">
      <c r="A157" s="42" t="n">
        <v>45741</v>
      </c>
      <c r="B157" s="1" t="s">
        <v>6</v>
      </c>
      <c r="C157" s="2" t="s">
        <v>335</v>
      </c>
      <c r="D157" s="236" t="s">
        <v>337</v>
      </c>
      <c r="E157" s="45" t="n">
        <v>550</v>
      </c>
      <c r="F157" s="45" t="n">
        <f aca="false">E157*I157</f>
        <v>48345</v>
      </c>
      <c r="G157" s="237" t="n">
        <f aca="false">H157/F157</f>
        <v>0.22901023890785</v>
      </c>
      <c r="H157" s="47" t="n">
        <v>11071.5</v>
      </c>
      <c r="I157" s="238" t="n">
        <v>87.9</v>
      </c>
      <c r="J157" s="238"/>
      <c r="K157" s="51" t="n">
        <v>48345</v>
      </c>
      <c r="L157" s="59" t="n">
        <f aca="false">M157*H157</f>
        <v>0</v>
      </c>
      <c r="M157" s="240"/>
      <c r="N157" s="200"/>
      <c r="O157" s="201" t="n">
        <f aca="false">N157/H157</f>
        <v>0</v>
      </c>
      <c r="P157" s="200"/>
      <c r="Q157" s="201" t="n">
        <f aca="false">P157/H157</f>
        <v>0</v>
      </c>
      <c r="R157" s="98"/>
      <c r="S157" s="45"/>
      <c r="T157" s="201" t="n">
        <f aca="false">S157/K157</f>
        <v>0</v>
      </c>
      <c r="U157" s="201"/>
      <c r="V157" s="201"/>
      <c r="W157" s="98" t="n">
        <f aca="false">F157+R157+S157</f>
        <v>48345</v>
      </c>
      <c r="X157" s="203" t="n">
        <f aca="false">H157+L157+N157+P157+U157</f>
        <v>11071.5</v>
      </c>
      <c r="Y157" s="100" t="n">
        <f aca="false">X157/W157</f>
        <v>0.22901023890785</v>
      </c>
      <c r="Z157" s="51" t="n">
        <v>48345</v>
      </c>
      <c r="AA157" s="51" t="n">
        <f aca="false">W157-Z157</f>
        <v>0</v>
      </c>
    </row>
    <row r="158" customFormat="false" ht="14.25" hidden="false" customHeight="false" outlineLevel="0" collapsed="false">
      <c r="A158" s="42"/>
      <c r="D158" s="236"/>
      <c r="E158" s="45"/>
      <c r="F158" s="45"/>
      <c r="G158" s="237"/>
      <c r="H158" s="47"/>
      <c r="I158" s="238"/>
      <c r="J158" s="238"/>
      <c r="K158" s="51"/>
      <c r="M158" s="240"/>
      <c r="N158" s="200"/>
      <c r="O158" s="201"/>
      <c r="P158" s="200"/>
      <c r="Q158" s="201"/>
      <c r="R158" s="98"/>
      <c r="S158" s="45"/>
      <c r="T158" s="201"/>
      <c r="U158" s="201"/>
      <c r="V158" s="201"/>
      <c r="W158" s="98"/>
      <c r="X158" s="203"/>
      <c r="Y158" s="100"/>
      <c r="Z158" s="51"/>
      <c r="AA158" s="51"/>
    </row>
    <row r="159" customFormat="false" ht="14.25" hidden="false" customHeight="false" outlineLevel="0" collapsed="false">
      <c r="A159" s="42"/>
      <c r="D159" s="236"/>
      <c r="E159" s="45"/>
      <c r="F159" s="45"/>
      <c r="G159" s="237"/>
      <c r="H159" s="47"/>
      <c r="I159" s="238"/>
      <c r="J159" s="238"/>
      <c r="K159" s="51"/>
      <c r="M159" s="240"/>
      <c r="N159" s="200"/>
      <c r="O159" s="201"/>
      <c r="P159" s="200"/>
      <c r="Q159" s="201"/>
      <c r="R159" s="98"/>
      <c r="S159" s="45"/>
      <c r="T159" s="201"/>
      <c r="U159" s="201"/>
      <c r="V159" s="201"/>
      <c r="W159" s="98"/>
      <c r="X159" s="203"/>
      <c r="Y159" s="100"/>
      <c r="Z159" s="51"/>
      <c r="AA159" s="51"/>
    </row>
    <row r="160" customFormat="false" ht="14.25" hidden="false" customHeight="false" outlineLevel="0" collapsed="false">
      <c r="A160" s="42"/>
      <c r="D160" s="236"/>
      <c r="E160" s="45"/>
      <c r="F160" s="45"/>
      <c r="G160" s="237"/>
      <c r="H160" s="47"/>
      <c r="I160" s="238"/>
      <c r="J160" s="238"/>
      <c r="K160" s="51"/>
      <c r="M160" s="240"/>
      <c r="N160" s="200"/>
      <c r="O160" s="201"/>
      <c r="P160" s="200"/>
      <c r="Q160" s="201"/>
      <c r="R160" s="98"/>
      <c r="S160" s="45"/>
      <c r="T160" s="201"/>
      <c r="U160" s="201"/>
      <c r="V160" s="201"/>
      <c r="W160" s="98"/>
      <c r="X160" s="203"/>
      <c r="Y160" s="100"/>
      <c r="Z160" s="51"/>
      <c r="AA160" s="51"/>
    </row>
    <row r="161" customFormat="false" ht="14.25" hidden="false" customHeight="false" outlineLevel="0" collapsed="false">
      <c r="A161" s="42"/>
      <c r="D161" s="236"/>
      <c r="E161" s="45"/>
      <c r="F161" s="45"/>
      <c r="G161" s="237"/>
      <c r="H161" s="47"/>
      <c r="I161" s="238"/>
      <c r="J161" s="238"/>
      <c r="K161" s="51"/>
      <c r="M161" s="240"/>
      <c r="N161" s="200"/>
      <c r="O161" s="201"/>
      <c r="P161" s="200"/>
      <c r="Q161" s="201"/>
      <c r="R161" s="98"/>
      <c r="S161" s="45"/>
      <c r="T161" s="201"/>
      <c r="U161" s="201"/>
      <c r="V161" s="201"/>
      <c r="W161" s="98"/>
      <c r="X161" s="203"/>
      <c r="Y161" s="100"/>
      <c r="Z161" s="51"/>
      <c r="AA161" s="51"/>
    </row>
    <row r="162" customFormat="false" ht="14.25" hidden="false" customHeight="false" outlineLevel="0" collapsed="false">
      <c r="A162" s="42"/>
      <c r="D162" s="236"/>
      <c r="E162" s="45"/>
      <c r="F162" s="45"/>
      <c r="G162" s="237"/>
      <c r="H162" s="47"/>
      <c r="I162" s="238"/>
      <c r="J162" s="238"/>
      <c r="K162" s="51"/>
      <c r="M162" s="240"/>
      <c r="N162" s="200"/>
      <c r="O162" s="201"/>
      <c r="P162" s="200"/>
      <c r="Q162" s="201"/>
      <c r="R162" s="98"/>
      <c r="S162" s="45"/>
      <c r="T162" s="201"/>
      <c r="U162" s="201"/>
      <c r="V162" s="201"/>
      <c r="W162" s="98"/>
      <c r="X162" s="203"/>
      <c r="Y162" s="100"/>
      <c r="Z162" s="51"/>
      <c r="AA162" s="51"/>
    </row>
    <row r="163" customFormat="false" ht="14.25" hidden="false" customHeight="false" outlineLevel="0" collapsed="false">
      <c r="A163" s="42"/>
      <c r="D163" s="236"/>
      <c r="E163" s="45"/>
      <c r="F163" s="45"/>
      <c r="G163" s="237"/>
      <c r="H163" s="47"/>
      <c r="I163" s="238"/>
      <c r="J163" s="238"/>
      <c r="K163" s="51"/>
      <c r="M163" s="240"/>
      <c r="N163" s="200"/>
      <c r="O163" s="201"/>
      <c r="P163" s="200"/>
      <c r="Q163" s="201"/>
      <c r="R163" s="98"/>
      <c r="S163" s="45"/>
      <c r="T163" s="201"/>
      <c r="U163" s="201"/>
      <c r="V163" s="201"/>
      <c r="W163" s="98"/>
      <c r="X163" s="203"/>
      <c r="Y163" s="100"/>
      <c r="Z163" s="51"/>
      <c r="AA163" s="51"/>
    </row>
    <row r="164" customFormat="false" ht="14.25" hidden="false" customHeight="false" outlineLevel="0" collapsed="false">
      <c r="A164" s="42"/>
      <c r="D164" s="236"/>
      <c r="E164" s="45"/>
      <c r="F164" s="45"/>
      <c r="G164" s="237"/>
      <c r="H164" s="47"/>
      <c r="I164" s="238"/>
      <c r="J164" s="238"/>
      <c r="K164" s="51"/>
      <c r="M164" s="240"/>
      <c r="N164" s="200"/>
      <c r="O164" s="201"/>
      <c r="P164" s="200"/>
      <c r="Q164" s="201"/>
      <c r="R164" s="98"/>
      <c r="S164" s="45"/>
      <c r="T164" s="201"/>
      <c r="U164" s="201"/>
      <c r="V164" s="201"/>
      <c r="W164" s="98"/>
      <c r="X164" s="203"/>
      <c r="Y164" s="100"/>
      <c r="Z164" s="51"/>
      <c r="AA164" s="51"/>
    </row>
    <row r="165" customFormat="false" ht="14.25" hidden="false" customHeight="false" outlineLevel="0" collapsed="false">
      <c r="A165" s="42"/>
      <c r="D165" s="236"/>
      <c r="E165" s="45"/>
      <c r="F165" s="45"/>
      <c r="G165" s="237"/>
      <c r="H165" s="47"/>
      <c r="I165" s="238"/>
      <c r="J165" s="238"/>
      <c r="K165" s="51"/>
      <c r="M165" s="240"/>
      <c r="N165" s="200"/>
      <c r="O165" s="201"/>
      <c r="P165" s="200"/>
      <c r="Q165" s="201"/>
      <c r="R165" s="98"/>
      <c r="S165" s="45"/>
      <c r="T165" s="201"/>
      <c r="U165" s="201"/>
      <c r="V165" s="201"/>
      <c r="W165" s="98"/>
      <c r="X165" s="203"/>
      <c r="Y165" s="100"/>
      <c r="Z165" s="51"/>
      <c r="AA165" s="51"/>
    </row>
    <row r="166" customFormat="false" ht="14.25" hidden="false" customHeight="false" outlineLevel="0" collapsed="false">
      <c r="A166" s="42"/>
      <c r="D166" s="236"/>
      <c r="E166" s="45"/>
      <c r="F166" s="45"/>
      <c r="G166" s="237"/>
      <c r="H166" s="47"/>
      <c r="I166" s="238"/>
      <c r="J166" s="238"/>
      <c r="K166" s="51"/>
      <c r="M166" s="240"/>
      <c r="N166" s="200"/>
      <c r="O166" s="201"/>
      <c r="P166" s="200"/>
      <c r="Q166" s="201"/>
      <c r="R166" s="98"/>
      <c r="S166" s="45"/>
      <c r="T166" s="201"/>
      <c r="U166" s="201"/>
      <c r="V166" s="201"/>
      <c r="W166" s="98"/>
      <c r="X166" s="203"/>
      <c r="Y166" s="100"/>
      <c r="Z166" s="51"/>
      <c r="AA166" s="51"/>
    </row>
    <row r="167" customFormat="false" ht="14.25" hidden="false" customHeight="false" outlineLevel="0" collapsed="false">
      <c r="A167" s="42"/>
      <c r="D167" s="236"/>
      <c r="E167" s="45"/>
      <c r="F167" s="45"/>
      <c r="G167" s="237"/>
      <c r="H167" s="47"/>
      <c r="I167" s="238"/>
      <c r="J167" s="238"/>
      <c r="K167" s="51"/>
      <c r="M167" s="240"/>
      <c r="N167" s="200"/>
      <c r="O167" s="201"/>
      <c r="P167" s="200"/>
      <c r="Q167" s="201"/>
      <c r="R167" s="98"/>
      <c r="S167" s="45"/>
      <c r="T167" s="201"/>
      <c r="U167" s="201"/>
      <c r="V167" s="201"/>
      <c r="W167" s="98"/>
      <c r="X167" s="203"/>
      <c r="Y167" s="100"/>
      <c r="Z167" s="51"/>
      <c r="AA167" s="51"/>
    </row>
    <row r="168" customFormat="false" ht="14.25" hidden="false" customHeight="false" outlineLevel="0" collapsed="false">
      <c r="A168" s="42"/>
      <c r="D168" s="236"/>
      <c r="E168" s="45"/>
      <c r="F168" s="45"/>
      <c r="G168" s="237"/>
      <c r="H168" s="47"/>
      <c r="I168" s="238"/>
      <c r="J168" s="238"/>
      <c r="K168" s="51"/>
      <c r="M168" s="240"/>
      <c r="N168" s="200"/>
      <c r="O168" s="201"/>
      <c r="P168" s="200"/>
      <c r="Q168" s="201"/>
      <c r="R168" s="98"/>
      <c r="S168" s="45"/>
      <c r="T168" s="201"/>
      <c r="U168" s="201"/>
      <c r="V168" s="201"/>
      <c r="W168" s="98"/>
      <c r="X168" s="203"/>
      <c r="Y168" s="100"/>
      <c r="Z168" s="51"/>
      <c r="AA168" s="51"/>
    </row>
    <row r="169" customFormat="false" ht="14.25" hidden="false" customHeight="false" outlineLevel="0" collapsed="false">
      <c r="A169" s="42"/>
      <c r="D169" s="236"/>
      <c r="E169" s="45"/>
      <c r="F169" s="45"/>
      <c r="G169" s="237"/>
      <c r="H169" s="47"/>
      <c r="I169" s="238"/>
      <c r="J169" s="238"/>
      <c r="K169" s="51"/>
      <c r="M169" s="240"/>
      <c r="N169" s="200"/>
      <c r="O169" s="201"/>
      <c r="P169" s="200"/>
      <c r="Q169" s="201"/>
      <c r="R169" s="98"/>
      <c r="S169" s="45"/>
      <c r="T169" s="201"/>
      <c r="U169" s="201"/>
      <c r="V169" s="201"/>
      <c r="W169" s="98"/>
      <c r="X169" s="203"/>
      <c r="Y169" s="100"/>
      <c r="Z169" s="51"/>
      <c r="AA169" s="51"/>
    </row>
    <row r="170" customFormat="false" ht="14.25" hidden="false" customHeight="false" outlineLevel="0" collapsed="false">
      <c r="A170" s="42"/>
      <c r="D170" s="236"/>
      <c r="E170" s="45"/>
      <c r="F170" s="45"/>
      <c r="G170" s="237"/>
      <c r="H170" s="47"/>
      <c r="I170" s="238"/>
      <c r="J170" s="238"/>
      <c r="K170" s="51"/>
      <c r="M170" s="240"/>
      <c r="N170" s="200"/>
      <c r="O170" s="201"/>
      <c r="P170" s="200"/>
      <c r="Q170" s="201"/>
      <c r="R170" s="98"/>
      <c r="S170" s="45"/>
      <c r="T170" s="201"/>
      <c r="U170" s="201"/>
      <c r="V170" s="201"/>
      <c r="W170" s="98"/>
      <c r="X170" s="203"/>
      <c r="Y170" s="100"/>
      <c r="Z170" s="51"/>
      <c r="AA170" s="51"/>
    </row>
    <row r="171" customFormat="false" ht="14.25" hidden="false" customHeight="false" outlineLevel="0" collapsed="false">
      <c r="A171" s="42"/>
      <c r="D171" s="236"/>
      <c r="E171" s="45"/>
      <c r="F171" s="45"/>
      <c r="G171" s="237"/>
      <c r="H171" s="47"/>
      <c r="I171" s="238"/>
      <c r="J171" s="238"/>
      <c r="K171" s="51"/>
      <c r="M171" s="240"/>
      <c r="N171" s="200"/>
      <c r="O171" s="201"/>
      <c r="P171" s="200"/>
      <c r="Q171" s="201"/>
      <c r="R171" s="98"/>
      <c r="S171" s="45"/>
      <c r="T171" s="201"/>
      <c r="U171" s="201"/>
      <c r="V171" s="201"/>
      <c r="W171" s="98"/>
      <c r="X171" s="203"/>
      <c r="Y171" s="100"/>
      <c r="Z171" s="51"/>
      <c r="AA171" s="51"/>
    </row>
    <row r="172" customFormat="false" ht="14.25" hidden="false" customHeight="false" outlineLevel="0" collapsed="false">
      <c r="A172" s="247"/>
      <c r="B172" s="248"/>
      <c r="C172" s="249"/>
      <c r="D172" s="250"/>
      <c r="E172" s="251"/>
      <c r="F172" s="252"/>
      <c r="G172" s="253"/>
      <c r="H172" s="254"/>
      <c r="I172" s="255"/>
      <c r="J172" s="255"/>
      <c r="K172" s="256"/>
      <c r="L172" s="257"/>
      <c r="M172" s="258"/>
      <c r="N172" s="259"/>
      <c r="O172" s="260"/>
      <c r="P172" s="259"/>
      <c r="Q172" s="260"/>
      <c r="R172" s="261"/>
      <c r="S172" s="261"/>
      <c r="T172" s="260"/>
      <c r="U172" s="260"/>
      <c r="V172" s="260"/>
      <c r="W172" s="260"/>
      <c r="X172" s="262"/>
      <c r="Y172" s="263"/>
      <c r="Z172" s="263"/>
      <c r="AA172" s="263"/>
    </row>
    <row r="173" customFormat="false" ht="14.25" hidden="false" customHeight="false" outlineLevel="0" collapsed="false">
      <c r="A173" s="42"/>
      <c r="D173" s="108"/>
      <c r="E173" s="53" t="n">
        <f aca="false">SUBTOTAL(9,E32:E172)</f>
        <v>2233422</v>
      </c>
      <c r="F173" s="264" t="n">
        <f aca="false">SUBTOTAL(9,F32:F172)</f>
        <v>173403969.497399</v>
      </c>
      <c r="G173" s="265" t="n">
        <f aca="false">H173/F173</f>
        <v>0.179373329123625</v>
      </c>
      <c r="H173" s="55" t="n">
        <f aca="false">SUBTOTAL(9,H32:H172)</f>
        <v>31104047.292</v>
      </c>
      <c r="I173" s="213"/>
      <c r="J173" s="213"/>
      <c r="K173" s="53" t="n">
        <f aca="false">SUBTOTAL(9,K32:K172)</f>
        <v>173363991.156</v>
      </c>
      <c r="L173" s="30" t="n">
        <f aca="false">SUBTOTAL(9,L32:L172)</f>
        <v>37944.5409</v>
      </c>
      <c r="M173" s="214" t="n">
        <f aca="false">L173/H173</f>
        <v>0.00121992294262488</v>
      </c>
      <c r="N173" s="55" t="n">
        <f aca="false">SUBTOTAL(9,N32:N172)</f>
        <v>2240</v>
      </c>
      <c r="O173" s="214" t="n">
        <f aca="false">N173/H173</f>
        <v>7.20163514082661E-005</v>
      </c>
      <c r="P173" s="55" t="n">
        <f aca="false">SUBTOTAL(9,P32:P172)</f>
        <v>84073.33</v>
      </c>
      <c r="Q173" s="214" t="n">
        <f aca="false">P173/H173</f>
        <v>0.00270297074881389</v>
      </c>
      <c r="R173" s="266" t="n">
        <f aca="false">SUBTOTAL(9,R32:R172)</f>
        <v>-39977.7</v>
      </c>
      <c r="S173" s="267" t="n">
        <f aca="false">SUBTOTAL(9,S32:S172)</f>
        <v>0</v>
      </c>
      <c r="T173" s="268" t="n">
        <f aca="false">S173/K173</f>
        <v>0</v>
      </c>
      <c r="U173" s="55" t="n">
        <f aca="false">SUBTOTAL(9,U32:U172)</f>
        <v>0</v>
      </c>
      <c r="V173" s="215" t="n">
        <f aca="false">U173/M173</f>
        <v>0</v>
      </c>
      <c r="W173" s="53" t="n">
        <f aca="false">SUBTOTAL(9,W32:W172)</f>
        <v>173363991.797399</v>
      </c>
      <c r="X173" s="216" t="n">
        <f aca="false">SUBTOTAL(9,X32:X172)</f>
        <v>31228305.1629</v>
      </c>
      <c r="Y173" s="106" t="n">
        <f aca="false">X173/W173</f>
        <v>0.180131438132751</v>
      </c>
      <c r="Z173" s="29" t="n">
        <f aca="false">SUBTOTAL(9,Z32:Z172)</f>
        <v>173363991.056</v>
      </c>
      <c r="AA173" s="29" t="n">
        <f aca="false">SUBTOTAL(9,AA32:AA172)</f>
        <v>0.741399359947536</v>
      </c>
    </row>
    <row r="174" customFormat="false" ht="14.25" hidden="false" customHeight="false" outlineLevel="0" collapsed="false">
      <c r="D174" s="108"/>
    </row>
    <row r="175" customFormat="false" ht="14.25" hidden="false" customHeight="false" outlineLevel="0" collapsed="false">
      <c r="A175" s="56"/>
      <c r="D175" s="108"/>
    </row>
    <row r="176" customFormat="false" ht="14.25" hidden="false" customHeight="false" outlineLevel="0" collapsed="false">
      <c r="D176" s="108"/>
    </row>
    <row r="177" customFormat="false" ht="14.25" hidden="false" customHeight="false" outlineLevel="0" collapsed="false">
      <c r="D177" s="108"/>
    </row>
    <row r="178" customFormat="false" ht="14.25" hidden="false" customHeight="false" outlineLevel="0" collapsed="false">
      <c r="D178" s="108"/>
    </row>
    <row r="179" customFormat="false" ht="14.25" hidden="false" customHeight="false" outlineLevel="0" collapsed="false">
      <c r="D179" s="108"/>
    </row>
  </sheetData>
  <autoFilter ref="A31:AA157"/>
  <mergeCells count="3">
    <mergeCell ref="A1:AA1"/>
    <mergeCell ref="G2:I2"/>
    <mergeCell ref="A29:J29"/>
  </mergeCells>
  <printOptions headings="false" gridLines="false" gridLinesSet="true" horizontalCentered="false" verticalCentered="false"/>
  <pageMargins left="0.2" right="0.25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AB160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3" topLeftCell="A1323" activePane="bottomLeft" state="frozen"/>
      <selection pane="topLeft" activeCell="A1" activeCellId="0" sqref="A1"/>
      <selection pane="bottomLeft" activeCell="D1328" activeCellId="0" sqref="D132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40.09"/>
    <col collapsed="false" customWidth="true" hidden="false" outlineLevel="0" max="2" min="2" style="0" width="15.18"/>
    <col collapsed="false" customWidth="true" hidden="false" outlineLevel="0" max="3" min="3" style="0" width="16.09"/>
    <col collapsed="false" customWidth="true" hidden="false" outlineLevel="0" max="4" min="4" style="0" width="14.18"/>
    <col collapsed="false" customWidth="true" hidden="false" outlineLevel="0" max="5" min="5" style="0" width="13.54"/>
    <col collapsed="false" customWidth="true" hidden="false" outlineLevel="0" max="6" min="6" style="0" width="17.18"/>
    <col collapsed="false" customWidth="true" hidden="false" outlineLevel="0" max="7" min="7" style="0" width="15"/>
    <col collapsed="false" customWidth="true" hidden="false" outlineLevel="0" max="9" min="8" style="0" width="13.27"/>
    <col collapsed="false" customWidth="true" hidden="false" outlineLevel="0" max="10" min="10" style="0" width="15.18"/>
    <col collapsed="false" customWidth="true" hidden="false" outlineLevel="0" max="11" min="11" style="0" width="8.82"/>
    <col collapsed="false" customWidth="true" hidden="false" outlineLevel="0" max="12" min="12" style="0" width="15.91"/>
    <col collapsed="false" customWidth="true" hidden="false" outlineLevel="0" max="13" min="13" style="0" width="14.37"/>
    <col collapsed="false" customWidth="true" hidden="false" outlineLevel="0" max="14" min="14" style="0" width="15.27"/>
    <col collapsed="false" customWidth="true" hidden="false" outlineLevel="0" max="15" min="15" style="0" width="15.37"/>
    <col collapsed="false" customWidth="true" hidden="false" outlineLevel="0" max="16" min="16" style="0" width="14.18"/>
    <col collapsed="false" customWidth="true" hidden="false" outlineLevel="0" max="17" min="17" style="0" width="11.82"/>
    <col collapsed="false" customWidth="true" hidden="false" outlineLevel="0" max="18" min="18" style="0" width="12.9"/>
    <col collapsed="false" customWidth="true" hidden="false" outlineLevel="0" max="19" min="19" style="0" width="11.27"/>
    <col collapsed="false" customWidth="true" hidden="false" outlineLevel="0" max="20" min="20" style="0" width="11.45"/>
    <col collapsed="false" customWidth="true" hidden="false" outlineLevel="0" max="21" min="21" style="0" width="8.73"/>
    <col collapsed="false" customWidth="true" hidden="false" outlineLevel="0" max="22" min="22" style="0" width="11.73"/>
    <col collapsed="false" customWidth="true" hidden="false" outlineLevel="0" max="23" min="23" style="0" width="11.64"/>
    <col collapsed="false" customWidth="true" hidden="false" outlineLevel="0" max="24" min="24" style="0" width="12"/>
    <col collapsed="false" customWidth="true" hidden="false" outlineLevel="0" max="25" min="25" style="0" width="16.63"/>
    <col collapsed="false" customWidth="true" hidden="false" outlineLevel="0" max="27" min="27" style="0" width="16.27"/>
  </cols>
  <sheetData>
    <row r="1" customFormat="false" ht="17.35" hidden="false" customHeight="false" outlineLevel="0" collapsed="false">
      <c r="A1" s="269" t="s">
        <v>338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</row>
    <row r="2" customFormat="false" ht="14.25" hidden="false" customHeight="true" outlineLevel="0" collapsed="false"/>
    <row r="3" customFormat="false" ht="14.25" hidden="false" customHeight="false" outlineLevel="0" collapsed="false">
      <c r="A3" s="270" t="s">
        <v>339</v>
      </c>
      <c r="B3" s="271" t="s">
        <v>5</v>
      </c>
      <c r="C3" s="271" t="s">
        <v>6</v>
      </c>
      <c r="D3" s="271" t="s">
        <v>7</v>
      </c>
      <c r="E3" s="271" t="s">
        <v>8</v>
      </c>
      <c r="F3" s="271" t="s">
        <v>10</v>
      </c>
      <c r="G3" s="271" t="s">
        <v>20</v>
      </c>
      <c r="H3" s="271" t="s">
        <v>11</v>
      </c>
      <c r="I3" s="271" t="s">
        <v>12</v>
      </c>
      <c r="J3" s="271" t="s">
        <v>13</v>
      </c>
      <c r="K3" s="271" t="s">
        <v>14</v>
      </c>
      <c r="L3" s="271" t="s">
        <v>15</v>
      </c>
      <c r="M3" s="271" t="s">
        <v>16</v>
      </c>
      <c r="N3" s="271" t="s">
        <v>17</v>
      </c>
      <c r="O3" s="271" t="s">
        <v>18</v>
      </c>
      <c r="P3" s="271" t="s">
        <v>19</v>
      </c>
      <c r="Q3" s="271" t="s">
        <v>74</v>
      </c>
      <c r="R3" s="271" t="s">
        <v>22</v>
      </c>
      <c r="S3" s="271" t="s">
        <v>23</v>
      </c>
      <c r="T3" s="271" t="s">
        <v>21</v>
      </c>
      <c r="U3" s="271" t="s">
        <v>9</v>
      </c>
      <c r="V3" s="271" t="s">
        <v>172</v>
      </c>
      <c r="W3" s="271" t="s">
        <v>340</v>
      </c>
      <c r="X3" s="271" t="s">
        <v>24</v>
      </c>
      <c r="Y3" s="271" t="s">
        <v>341</v>
      </c>
      <c r="Z3" s="271" t="s">
        <v>342</v>
      </c>
    </row>
    <row r="4" customFormat="false" ht="14.25" hidden="false" customHeight="false" outlineLevel="0" collapsed="false">
      <c r="A4" s="272" t="s">
        <v>343</v>
      </c>
      <c r="B4" s="273" t="n">
        <v>-59.4885</v>
      </c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4" t="n">
        <f aca="false">SUM(B4:X4)</f>
        <v>-59.4885</v>
      </c>
      <c r="Z4" s="272"/>
      <c r="AA4" s="275"/>
    </row>
    <row r="5" customFormat="false" ht="14.25" hidden="false" customHeight="false" outlineLevel="0" collapsed="false">
      <c r="A5" s="272" t="s">
        <v>344</v>
      </c>
      <c r="B5" s="273"/>
      <c r="C5" s="273"/>
      <c r="D5" s="273"/>
      <c r="E5" s="273"/>
      <c r="F5" s="273" t="n">
        <v>-288.6</v>
      </c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4" t="n">
        <f aca="false">SUM(B5:X5)</f>
        <v>-288.6</v>
      </c>
      <c r="Z5" s="272"/>
      <c r="AA5" s="275"/>
    </row>
    <row r="6" customFormat="false" ht="14.25" hidden="false" customHeight="false" outlineLevel="0" collapsed="false">
      <c r="A6" s="272" t="s">
        <v>345</v>
      </c>
      <c r="B6" s="273"/>
      <c r="C6" s="273"/>
      <c r="D6" s="273"/>
      <c r="E6" s="273"/>
      <c r="F6" s="273" t="n">
        <v>-176.214</v>
      </c>
      <c r="G6" s="273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4" t="n">
        <f aca="false">SUM(B6:X6)</f>
        <v>-176.214</v>
      </c>
      <c r="Z6" s="272"/>
      <c r="AA6" s="275"/>
    </row>
    <row r="7" customFormat="false" ht="14.25" hidden="false" customHeight="false" outlineLevel="0" collapsed="false">
      <c r="A7" s="272" t="s">
        <v>346</v>
      </c>
      <c r="B7" s="273"/>
      <c r="C7" s="273"/>
      <c r="D7" s="273"/>
      <c r="E7" s="273"/>
      <c r="F7" s="273" t="n">
        <v>-2202.675</v>
      </c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4" t="n">
        <f aca="false">SUM(B7:X7)</f>
        <v>-2202.675</v>
      </c>
      <c r="Z7" s="272"/>
      <c r="AA7" s="275"/>
    </row>
    <row r="8" customFormat="false" ht="14.25" hidden="false" customHeight="false" outlineLevel="0" collapsed="false">
      <c r="A8" s="272" t="s">
        <v>347</v>
      </c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 t="n">
        <v>-78</v>
      </c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4" t="n">
        <f aca="false">SUM(B8:X8)</f>
        <v>-78</v>
      </c>
      <c r="Z8" s="272"/>
      <c r="AA8" s="275"/>
    </row>
    <row r="9" customFormat="false" ht="14.25" hidden="false" customHeight="false" outlineLevel="0" collapsed="false">
      <c r="A9" s="272" t="s">
        <v>348</v>
      </c>
      <c r="B9" s="273"/>
      <c r="C9" s="273"/>
      <c r="D9" s="273"/>
      <c r="E9" s="273"/>
      <c r="F9" s="273" t="n">
        <v>-6853.188</v>
      </c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4" t="n">
        <f aca="false">SUM(B9:X9)</f>
        <v>-6853.188</v>
      </c>
      <c r="Z9" s="272"/>
      <c r="AA9" s="275"/>
    </row>
    <row r="10" customFormat="false" ht="14.25" hidden="false" customHeight="false" outlineLevel="0" collapsed="false">
      <c r="A10" s="272" t="s">
        <v>349</v>
      </c>
      <c r="B10" s="273" t="n">
        <v>-232.5225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4" t="n">
        <f aca="false">SUM(B10:X10)</f>
        <v>-232.5225</v>
      </c>
      <c r="Z10" s="272"/>
      <c r="AA10" s="276"/>
    </row>
    <row r="11" customFormat="false" ht="14.25" hidden="false" customHeight="false" outlineLevel="0" collapsed="false">
      <c r="A11" s="272" t="s">
        <v>350</v>
      </c>
      <c r="B11" s="273"/>
      <c r="C11" s="273"/>
      <c r="D11" s="273"/>
      <c r="E11" s="273"/>
      <c r="F11" s="273"/>
      <c r="G11" s="273"/>
      <c r="H11" s="273"/>
      <c r="I11" s="273"/>
      <c r="J11" s="273" t="n">
        <v>-89.742</v>
      </c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4" t="n">
        <f aca="false">SUM(B11:X11)</f>
        <v>-89.742</v>
      </c>
      <c r="Z11" s="272"/>
      <c r="AA11" s="275"/>
    </row>
    <row r="12" customFormat="false" ht="14.25" hidden="false" customHeight="false" outlineLevel="0" collapsed="false">
      <c r="A12" s="272" t="s">
        <v>351</v>
      </c>
      <c r="B12" s="273"/>
      <c r="C12" s="273"/>
      <c r="D12" s="273"/>
      <c r="E12" s="273"/>
      <c r="F12" s="273"/>
      <c r="G12" s="273"/>
      <c r="H12" s="273"/>
      <c r="I12" s="273"/>
      <c r="J12" s="273" t="n">
        <v>-269.226</v>
      </c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4" t="n">
        <f aca="false">SUM(B12:X12)</f>
        <v>-269.226</v>
      </c>
      <c r="Z12" s="272"/>
      <c r="AA12" s="275"/>
    </row>
    <row r="13" customFormat="false" ht="14.25" hidden="false" customHeight="false" outlineLevel="0" collapsed="false">
      <c r="A13" s="272" t="s">
        <v>352</v>
      </c>
      <c r="B13" s="273" t="n">
        <v>-166.5315</v>
      </c>
      <c r="C13" s="273"/>
      <c r="D13" s="273" t="n">
        <v>-147.076</v>
      </c>
      <c r="E13" s="273"/>
      <c r="F13" s="273"/>
      <c r="G13" s="273"/>
      <c r="H13" s="273"/>
      <c r="I13" s="273"/>
      <c r="J13" s="273" t="n">
        <v>-897.42</v>
      </c>
      <c r="K13" s="273"/>
      <c r="L13" s="273" t="n">
        <v>-840.546</v>
      </c>
      <c r="M13" s="273"/>
      <c r="N13" s="273" t="n">
        <v>-1092</v>
      </c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4" t="n">
        <f aca="false">SUM(B13:X13)</f>
        <v>-3143.5735</v>
      </c>
      <c r="Z13" s="272"/>
      <c r="AA13" s="275"/>
    </row>
    <row r="14" customFormat="false" ht="14.25" hidden="false" customHeight="false" outlineLevel="0" collapsed="false">
      <c r="A14" s="272" t="s">
        <v>353</v>
      </c>
      <c r="B14" s="273"/>
      <c r="C14" s="273"/>
      <c r="D14" s="273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3" t="n">
        <v>55.5</v>
      </c>
      <c r="Q14" s="273"/>
      <c r="R14" s="273"/>
      <c r="S14" s="273"/>
      <c r="T14" s="273"/>
      <c r="U14" s="273"/>
      <c r="V14" s="273"/>
      <c r="W14" s="273"/>
      <c r="X14" s="273"/>
      <c r="Y14" s="274" t="n">
        <f aca="false">SUM(B14:X14)</f>
        <v>55.5</v>
      </c>
      <c r="Z14" s="272"/>
      <c r="AA14" s="275"/>
    </row>
    <row r="15" customFormat="false" ht="14.25" hidden="false" customHeight="false" outlineLevel="0" collapsed="false">
      <c r="A15" s="272" t="s">
        <v>354</v>
      </c>
      <c r="B15" s="273" t="n">
        <v>540</v>
      </c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4" t="n">
        <f aca="false">SUM(B15:X15)</f>
        <v>540</v>
      </c>
      <c r="Z15" s="272"/>
      <c r="AA15" s="275"/>
    </row>
    <row r="16" customFormat="false" ht="14.25" hidden="false" customHeight="false" outlineLevel="0" collapsed="false">
      <c r="A16" s="272" t="s">
        <v>355</v>
      </c>
      <c r="B16" s="273"/>
      <c r="C16" s="273"/>
      <c r="D16" s="273"/>
      <c r="E16" s="273"/>
      <c r="F16" s="273"/>
      <c r="G16" s="273"/>
      <c r="H16" s="273" t="n">
        <v>-30.459</v>
      </c>
      <c r="I16" s="273"/>
      <c r="J16" s="273"/>
      <c r="K16" s="273"/>
      <c r="L16" s="273"/>
      <c r="M16" s="273"/>
      <c r="N16" s="273" t="n">
        <v>-210.888</v>
      </c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4" t="n">
        <f aca="false">SUM(B16:X16)</f>
        <v>-241.347</v>
      </c>
      <c r="Z16" s="272"/>
      <c r="AA16" s="275"/>
    </row>
    <row r="17" customFormat="false" ht="14.25" hidden="false" customHeight="false" outlineLevel="0" collapsed="false">
      <c r="A17" s="272" t="s">
        <v>356</v>
      </c>
      <c r="B17" s="273" t="n">
        <v>-884.1</v>
      </c>
      <c r="C17" s="273"/>
      <c r="D17" s="273" t="n">
        <v>-181.7</v>
      </c>
      <c r="E17" s="273" t="n">
        <v>-1579.2</v>
      </c>
      <c r="F17" s="273"/>
      <c r="G17" s="273"/>
      <c r="H17" s="273" t="n">
        <v>-46.86</v>
      </c>
      <c r="I17" s="273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4" t="n">
        <f aca="false">SUM(B17:X17)</f>
        <v>-2691.86</v>
      </c>
      <c r="Z17" s="272"/>
      <c r="AA17" s="275"/>
    </row>
    <row r="18" customFormat="false" ht="14.25" hidden="false" customHeight="false" outlineLevel="0" collapsed="false">
      <c r="A18" s="272" t="s">
        <v>357</v>
      </c>
      <c r="B18" s="273" t="n">
        <v>-2883.9</v>
      </c>
      <c r="C18" s="273"/>
      <c r="D18" s="273" t="n">
        <v>-109.02</v>
      </c>
      <c r="E18" s="273" t="n">
        <v>-786.24</v>
      </c>
      <c r="F18" s="273"/>
      <c r="G18" s="273"/>
      <c r="H18" s="273" t="n">
        <v>-46.86</v>
      </c>
      <c r="I18" s="273"/>
      <c r="J18" s="273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4" t="n">
        <f aca="false">SUM(B18:X18)</f>
        <v>-3826.02</v>
      </c>
      <c r="Z18" s="272"/>
      <c r="AA18" s="275"/>
    </row>
    <row r="19" customFormat="false" ht="14.25" hidden="false" customHeight="false" outlineLevel="0" collapsed="false">
      <c r="A19" s="272" t="s">
        <v>358</v>
      </c>
      <c r="B19" s="273" t="n">
        <v>-4420.5</v>
      </c>
      <c r="C19" s="273"/>
      <c r="D19" s="273"/>
      <c r="E19" s="273" t="n">
        <v>-5271.15</v>
      </c>
      <c r="F19" s="273"/>
      <c r="G19" s="273"/>
      <c r="H19" s="273" t="n">
        <v>-395.876</v>
      </c>
      <c r="I19" s="273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4" t="n">
        <f aca="false">SUM(B19:X19)</f>
        <v>-10087.526</v>
      </c>
      <c r="Z19" s="272"/>
      <c r="AA19" s="275"/>
    </row>
    <row r="20" customFormat="false" ht="14.25" hidden="false" customHeight="false" outlineLevel="0" collapsed="false">
      <c r="A20" s="272" t="s">
        <v>359</v>
      </c>
      <c r="B20" s="273"/>
      <c r="C20" s="273"/>
      <c r="D20" s="273"/>
      <c r="E20" s="273"/>
      <c r="F20" s="273"/>
      <c r="G20" s="273"/>
      <c r="H20" s="273" t="n">
        <v>-88.25</v>
      </c>
      <c r="I20" s="273"/>
      <c r="J20" s="273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4" t="n">
        <f aca="false">SUM(B20:X20)</f>
        <v>-88.25</v>
      </c>
      <c r="Z20" s="272"/>
      <c r="AA20" s="275"/>
    </row>
    <row r="21" customFormat="false" ht="14.25" hidden="false" customHeight="false" outlineLevel="0" collapsed="false">
      <c r="A21" s="272" t="s">
        <v>360</v>
      </c>
      <c r="B21" s="273" t="n">
        <v>-2883.9</v>
      </c>
      <c r="C21" s="273"/>
      <c r="D21" s="273"/>
      <c r="E21" s="273" t="n">
        <v>-1537.3</v>
      </c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4" t="n">
        <f aca="false">SUM(B21:X21)</f>
        <v>-4421.2</v>
      </c>
      <c r="Z21" s="272"/>
      <c r="AA21" s="275"/>
    </row>
    <row r="22" customFormat="false" ht="14.25" hidden="false" customHeight="false" outlineLevel="0" collapsed="false">
      <c r="A22" s="272" t="s">
        <v>361</v>
      </c>
      <c r="B22" s="273"/>
      <c r="C22" s="273"/>
      <c r="D22" s="273" t="n">
        <v>-2389.362</v>
      </c>
      <c r="E22" s="273" t="n">
        <v>-9223.8</v>
      </c>
      <c r="F22" s="273"/>
      <c r="G22" s="273"/>
      <c r="H22" s="273"/>
      <c r="I22" s="273"/>
      <c r="J22" s="273" t="n">
        <v>-11965.6</v>
      </c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4" t="n">
        <f aca="false">SUM(B22:X22)</f>
        <v>-23578.762</v>
      </c>
      <c r="Z22" s="272"/>
      <c r="AA22" s="275"/>
    </row>
    <row r="23" customFormat="false" ht="14.25" hidden="false" customHeight="false" outlineLevel="0" collapsed="false">
      <c r="A23" s="272" t="s">
        <v>362</v>
      </c>
      <c r="B23" s="273"/>
      <c r="C23" s="273"/>
      <c r="D23" s="273"/>
      <c r="E23" s="273"/>
      <c r="F23" s="273" t="n">
        <v>-974.025</v>
      </c>
      <c r="G23" s="273"/>
      <c r="H23" s="273" t="n">
        <v>-318.8105</v>
      </c>
      <c r="I23" s="273"/>
      <c r="J23" s="273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4" t="n">
        <f aca="false">SUM(B23:X23)</f>
        <v>-1292.8355</v>
      </c>
      <c r="Z23" s="272"/>
      <c r="AA23" s="275"/>
    </row>
    <row r="24" customFormat="false" ht="14.25" hidden="false" customHeight="false" outlineLevel="0" collapsed="false">
      <c r="A24" s="272" t="s">
        <v>363</v>
      </c>
      <c r="B24" s="273" t="n">
        <v>-1110.21</v>
      </c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4" t="n">
        <f aca="false">SUM(B24:X24)</f>
        <v>-1110.21</v>
      </c>
      <c r="Z24" s="272"/>
      <c r="AA24" s="275"/>
    </row>
    <row r="25" customFormat="false" ht="14.25" hidden="false" customHeight="false" outlineLevel="0" collapsed="false">
      <c r="A25" s="272" t="s">
        <v>364</v>
      </c>
      <c r="B25" s="273" t="n">
        <v>-4921.8</v>
      </c>
      <c r="C25" s="273" t="n">
        <v>-3322.4</v>
      </c>
      <c r="D25" s="273" t="n">
        <v>-2180.4</v>
      </c>
      <c r="E25" s="273" t="n">
        <v>-48823.071</v>
      </c>
      <c r="F25" s="273"/>
      <c r="G25" s="273"/>
      <c r="H25" s="273" t="n">
        <v>-1405.8</v>
      </c>
      <c r="I25" s="273"/>
      <c r="J25" s="273"/>
      <c r="K25" s="273"/>
      <c r="L25" s="273"/>
      <c r="M25" s="273"/>
      <c r="N25" s="273" t="n">
        <v>-15816.6</v>
      </c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4" t="n">
        <f aca="false">SUM(B25:X25)</f>
        <v>-76470.071</v>
      </c>
      <c r="Z25" s="272"/>
      <c r="AA25" s="275"/>
    </row>
    <row r="26" customFormat="false" ht="14.25" hidden="false" customHeight="false" outlineLevel="0" collapsed="false">
      <c r="A26" s="272" t="s">
        <v>365</v>
      </c>
      <c r="B26" s="273"/>
      <c r="C26" s="273"/>
      <c r="D26" s="273"/>
      <c r="E26" s="273"/>
      <c r="F26" s="273" t="n">
        <v>-6001.245</v>
      </c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4" t="n">
        <f aca="false">SUM(B26:X26)</f>
        <v>-6001.245</v>
      </c>
      <c r="Z26" s="272"/>
      <c r="AA26" s="275"/>
    </row>
    <row r="27" customFormat="false" ht="14.25" hidden="false" customHeight="false" outlineLevel="0" collapsed="false">
      <c r="A27" s="272" t="s">
        <v>366</v>
      </c>
      <c r="B27" s="273" t="n">
        <v>-4052.2665</v>
      </c>
      <c r="C27" s="273"/>
      <c r="D27" s="273" t="n">
        <v>-196.236</v>
      </c>
      <c r="E27" s="273"/>
      <c r="F27" s="273" t="n">
        <v>-837.57</v>
      </c>
      <c r="G27" s="273"/>
      <c r="H27" s="273"/>
      <c r="I27" s="273"/>
      <c r="J27" s="273" t="n">
        <v>-16582.104</v>
      </c>
      <c r="K27" s="273"/>
      <c r="L27" s="273" t="n">
        <v>-2521.638</v>
      </c>
      <c r="M27" s="273"/>
      <c r="N27" s="273" t="n">
        <v>-7685.598</v>
      </c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4" t="n">
        <f aca="false">SUM(B27:X27)</f>
        <v>-31875.4125</v>
      </c>
      <c r="Z27" s="272"/>
      <c r="AA27" s="275"/>
    </row>
    <row r="28" customFormat="false" ht="14.25" hidden="false" customHeight="false" outlineLevel="0" collapsed="false">
      <c r="A28" s="272" t="s">
        <v>367</v>
      </c>
      <c r="B28" s="273" t="n">
        <v>-487.8675</v>
      </c>
      <c r="C28" s="273"/>
      <c r="D28" s="273" t="n">
        <v>-1490.52</v>
      </c>
      <c r="E28" s="273" t="n">
        <v>-6917.85</v>
      </c>
      <c r="F28" s="273"/>
      <c r="G28" s="273"/>
      <c r="H28" s="273" t="n">
        <v>-140.58</v>
      </c>
      <c r="I28" s="273"/>
      <c r="J28" s="273" t="n">
        <v>-1794.15</v>
      </c>
      <c r="K28" s="273"/>
      <c r="L28" s="273"/>
      <c r="M28" s="273"/>
      <c r="N28" s="273" t="n">
        <v>-3739.89</v>
      </c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4" t="n">
        <f aca="false">SUM(B28:X28)</f>
        <v>-14570.8575</v>
      </c>
      <c r="Z28" s="272"/>
      <c r="AA28" s="275"/>
    </row>
    <row r="29" customFormat="false" ht="14.25" hidden="false" customHeight="false" outlineLevel="0" collapsed="false">
      <c r="A29" s="272" t="s">
        <v>368</v>
      </c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 t="n">
        <v>-2758.92</v>
      </c>
      <c r="P29" s="273"/>
      <c r="Q29" s="273"/>
      <c r="R29" s="273"/>
      <c r="S29" s="273"/>
      <c r="T29" s="273"/>
      <c r="U29" s="273"/>
      <c r="V29" s="273"/>
      <c r="W29" s="273"/>
      <c r="X29" s="273"/>
      <c r="Y29" s="274" t="n">
        <f aca="false">SUM(B29:X29)</f>
        <v>-2758.92</v>
      </c>
      <c r="Z29" s="272"/>
      <c r="AA29" s="275"/>
    </row>
    <row r="30" customFormat="false" ht="14.25" hidden="false" customHeight="false" outlineLevel="0" collapsed="false">
      <c r="A30" s="272" t="s">
        <v>369</v>
      </c>
      <c r="B30" s="273" t="n">
        <v>-4493.7</v>
      </c>
      <c r="C30" s="273" t="n">
        <v>-979.4</v>
      </c>
      <c r="D30" s="273"/>
      <c r="E30" s="273" t="n">
        <v>-3110.418</v>
      </c>
      <c r="F30" s="273"/>
      <c r="G30" s="273"/>
      <c r="H30" s="273" t="n">
        <v>-2497.325</v>
      </c>
      <c r="I30" s="273"/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4" t="n">
        <f aca="false">SUM(B30:X30)</f>
        <v>-11080.843</v>
      </c>
      <c r="Z30" s="272"/>
      <c r="AA30" s="275"/>
    </row>
    <row r="31" customFormat="false" ht="14.25" hidden="false" customHeight="false" outlineLevel="0" collapsed="false">
      <c r="A31" s="272" t="s">
        <v>370</v>
      </c>
      <c r="B31" s="273" t="n">
        <v>-1797.48</v>
      </c>
      <c r="C31" s="273"/>
      <c r="D31" s="273"/>
      <c r="E31" s="273" t="n">
        <v>-9288.6</v>
      </c>
      <c r="F31" s="273"/>
      <c r="G31" s="273"/>
      <c r="H31" s="273" t="n">
        <v>-10597</v>
      </c>
      <c r="I31" s="273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4" t="n">
        <f aca="false">SUM(B31:X31)</f>
        <v>-21683.08</v>
      </c>
      <c r="Z31" s="272"/>
      <c r="AA31" s="275"/>
    </row>
    <row r="32" customFormat="false" ht="14.25" hidden="false" customHeight="false" outlineLevel="0" collapsed="false">
      <c r="A32" s="272" t="s">
        <v>371</v>
      </c>
      <c r="B32" s="273"/>
      <c r="C32" s="273"/>
      <c r="D32" s="273"/>
      <c r="E32" s="273" t="n">
        <v>-495.392</v>
      </c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4" t="n">
        <f aca="false">SUM(B32:X32)</f>
        <v>-495.392</v>
      </c>
      <c r="Z32" s="272"/>
      <c r="AA32" s="275"/>
    </row>
    <row r="33" customFormat="false" ht="14.25" hidden="false" customHeight="false" outlineLevel="0" collapsed="false">
      <c r="A33" s="272" t="s">
        <v>372</v>
      </c>
      <c r="B33" s="273"/>
      <c r="C33" s="273"/>
      <c r="D33" s="273"/>
      <c r="E33" s="273" t="n">
        <v>-255.528</v>
      </c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4" t="n">
        <f aca="false">SUM(B33:X33)</f>
        <v>-255.528</v>
      </c>
      <c r="Z33" s="272"/>
      <c r="AA33" s="275"/>
    </row>
    <row r="34" customFormat="false" ht="14.25" hidden="false" customHeight="false" outlineLevel="0" collapsed="false">
      <c r="A34" s="272" t="s">
        <v>373</v>
      </c>
      <c r="B34" s="273" t="n">
        <v>-304.703</v>
      </c>
      <c r="C34" s="273"/>
      <c r="D34" s="273" t="n">
        <v>-363.4</v>
      </c>
      <c r="E34" s="273"/>
      <c r="F34" s="273"/>
      <c r="G34" s="273"/>
      <c r="H34" s="273" t="n">
        <v>-1366.2</v>
      </c>
      <c r="I34" s="273"/>
      <c r="J34" s="273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4" t="n">
        <f aca="false">SUM(B34:X34)</f>
        <v>-2034.303</v>
      </c>
      <c r="Z34" s="272"/>
      <c r="AA34" s="275"/>
    </row>
    <row r="35" customFormat="false" ht="14.25" hidden="false" customHeight="false" outlineLevel="0" collapsed="false">
      <c r="A35" s="272" t="s">
        <v>374</v>
      </c>
      <c r="B35" s="273" t="n">
        <v>-179.748</v>
      </c>
      <c r="C35" s="273"/>
      <c r="D35" s="273"/>
      <c r="E35" s="273" t="n">
        <v>-1238.48</v>
      </c>
      <c r="F35" s="273"/>
      <c r="G35" s="273"/>
      <c r="H35" s="273" t="n">
        <v>-683.1</v>
      </c>
      <c r="I35" s="273"/>
      <c r="J35" s="273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4" t="n">
        <f aca="false">SUM(B35:X35)</f>
        <v>-2101.328</v>
      </c>
      <c r="Z35" s="272"/>
      <c r="AA35" s="275"/>
    </row>
    <row r="36" customFormat="false" ht="14.25" hidden="false" customHeight="false" outlineLevel="0" collapsed="false">
      <c r="A36" s="272" t="s">
        <v>375</v>
      </c>
      <c r="B36" s="273" t="n">
        <v>-7438.407</v>
      </c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4" t="n">
        <f aca="false">SUM(B36:X36)</f>
        <v>-7438.407</v>
      </c>
      <c r="Z36" s="272"/>
      <c r="AA36" s="275"/>
    </row>
    <row r="37" customFormat="false" ht="14.25" hidden="false" customHeight="false" outlineLevel="0" collapsed="false">
      <c r="A37" s="272" t="s">
        <v>376</v>
      </c>
      <c r="B37" s="273"/>
      <c r="C37" s="273"/>
      <c r="D37" s="273"/>
      <c r="E37" s="273" t="n">
        <v>-393.12</v>
      </c>
      <c r="F37" s="273"/>
      <c r="G37" s="273"/>
      <c r="H37" s="273" t="n">
        <v>-280.812</v>
      </c>
      <c r="I37" s="273"/>
      <c r="J37" s="273"/>
      <c r="K37" s="273"/>
      <c r="L37" s="273"/>
      <c r="M37" s="273"/>
      <c r="N37" s="273" t="n">
        <v>-211.314</v>
      </c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4" t="n">
        <f aca="false">SUM(B37:X37)</f>
        <v>-885.246</v>
      </c>
      <c r="Z37" s="272"/>
      <c r="AA37" s="275"/>
    </row>
    <row r="38" customFormat="false" ht="14.25" hidden="false" customHeight="false" outlineLevel="0" collapsed="false">
      <c r="A38" s="272" t="s">
        <v>377</v>
      </c>
      <c r="B38" s="273" t="n">
        <v>-4941.93</v>
      </c>
      <c r="C38" s="273"/>
      <c r="D38" s="273" t="n">
        <v>-72.68</v>
      </c>
      <c r="E38" s="273" t="n">
        <v>-1655.048</v>
      </c>
      <c r="F38" s="273"/>
      <c r="G38" s="273"/>
      <c r="H38" s="273" t="n">
        <v>-104.85</v>
      </c>
      <c r="I38" s="273"/>
      <c r="J38" s="273"/>
      <c r="K38" s="273"/>
      <c r="L38" s="273"/>
      <c r="M38" s="273"/>
      <c r="N38" s="273" t="n">
        <v>-678.64</v>
      </c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4" t="n">
        <f aca="false">SUM(B38:X38)</f>
        <v>-7453.148</v>
      </c>
      <c r="Z38" s="272"/>
      <c r="AA38" s="275"/>
    </row>
    <row r="39" customFormat="false" ht="14.25" hidden="false" customHeight="false" outlineLevel="0" collapsed="false">
      <c r="A39" s="272" t="s">
        <v>378</v>
      </c>
      <c r="B39" s="273"/>
      <c r="C39" s="273"/>
      <c r="D39" s="273"/>
      <c r="E39" s="273" t="n">
        <v>-786.24</v>
      </c>
      <c r="F39" s="273"/>
      <c r="G39" s="273"/>
      <c r="H39" s="273" t="n">
        <v>-160.464</v>
      </c>
      <c r="I39" s="273"/>
      <c r="J39" s="273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4" t="n">
        <f aca="false">SUM(B39:X39)</f>
        <v>-946.704</v>
      </c>
      <c r="Z39" s="272"/>
      <c r="AA39" s="275"/>
    </row>
    <row r="40" customFormat="false" ht="14.25" hidden="false" customHeight="false" outlineLevel="0" collapsed="false">
      <c r="A40" s="272" t="s">
        <v>379</v>
      </c>
      <c r="B40" s="273"/>
      <c r="C40" s="273"/>
      <c r="D40" s="273"/>
      <c r="E40" s="273" t="n">
        <v>-393.12</v>
      </c>
      <c r="F40" s="273"/>
      <c r="G40" s="273"/>
      <c r="H40" s="273" t="n">
        <v>-283.725</v>
      </c>
      <c r="I40" s="273"/>
      <c r="J40" s="273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4" t="n">
        <f aca="false">SUM(B40:X40)</f>
        <v>-676.845</v>
      </c>
      <c r="Z40" s="272"/>
      <c r="AA40" s="275"/>
    </row>
    <row r="41" customFormat="false" ht="14.25" hidden="false" customHeight="false" outlineLevel="0" collapsed="false">
      <c r="A41" s="272" t="s">
        <v>380</v>
      </c>
      <c r="B41" s="273"/>
      <c r="C41" s="273"/>
      <c r="D41" s="273"/>
      <c r="E41" s="273"/>
      <c r="F41" s="273"/>
      <c r="G41" s="273"/>
      <c r="H41" s="273" t="n">
        <v>-209.7</v>
      </c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4" t="n">
        <f aca="false">SUM(B41:X41)</f>
        <v>-209.7</v>
      </c>
      <c r="Z41" s="272"/>
      <c r="AA41" s="275"/>
    </row>
    <row r="42" customFormat="false" ht="14.25" hidden="false" customHeight="false" outlineLevel="0" collapsed="false">
      <c r="A42" s="272" t="s">
        <v>381</v>
      </c>
      <c r="B42" s="273" t="n">
        <v>-388.3735</v>
      </c>
      <c r="C42" s="273"/>
      <c r="D42" s="273" t="n">
        <v>-2323.026</v>
      </c>
      <c r="E42" s="273" t="n">
        <v>-491.4</v>
      </c>
      <c r="F42" s="273"/>
      <c r="G42" s="273"/>
      <c r="H42" s="273" t="n">
        <v>-284.835</v>
      </c>
      <c r="I42" s="273"/>
      <c r="J42" s="273"/>
      <c r="K42" s="273"/>
      <c r="L42" s="273"/>
      <c r="M42" s="273"/>
      <c r="N42" s="273" t="n">
        <v>-390</v>
      </c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4" t="n">
        <f aca="false">SUM(B42:X42)</f>
        <v>-3877.6345</v>
      </c>
      <c r="Z42" s="272"/>
      <c r="AA42" s="275"/>
    </row>
    <row r="43" customFormat="false" ht="14.25" hidden="false" customHeight="false" outlineLevel="0" collapsed="false">
      <c r="A43" s="272" t="s">
        <v>382</v>
      </c>
      <c r="B43" s="273"/>
      <c r="C43" s="273"/>
      <c r="D43" s="273"/>
      <c r="E43" s="273" t="n">
        <v>-471.744</v>
      </c>
      <c r="F43" s="273"/>
      <c r="G43" s="273"/>
      <c r="H43" s="273" t="n">
        <v>-80.232</v>
      </c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4" t="n">
        <f aca="false">SUM(B43:X43)</f>
        <v>-551.976</v>
      </c>
      <c r="Z43" s="272"/>
      <c r="AA43" s="275"/>
    </row>
    <row r="44" customFormat="false" ht="14.25" hidden="false" customHeight="false" outlineLevel="0" collapsed="false">
      <c r="A44" s="272" t="s">
        <v>383</v>
      </c>
      <c r="B44" s="273"/>
      <c r="C44" s="273"/>
      <c r="D44" s="273" t="n">
        <v>-1348.134</v>
      </c>
      <c r="E44" s="273"/>
      <c r="F44" s="273"/>
      <c r="G44" s="273"/>
      <c r="H44" s="273" t="n">
        <v>-1965.9375</v>
      </c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4" t="n">
        <f aca="false">SUM(B44:X44)</f>
        <v>-3314.0715</v>
      </c>
      <c r="Z44" s="272"/>
      <c r="AA44" s="275"/>
    </row>
    <row r="45" customFormat="false" ht="14.25" hidden="false" customHeight="false" outlineLevel="0" collapsed="false">
      <c r="A45" s="272" t="s">
        <v>384</v>
      </c>
      <c r="B45" s="273" t="n">
        <v>-3686.289</v>
      </c>
      <c r="C45" s="273"/>
      <c r="D45" s="273"/>
      <c r="E45" s="273" t="n">
        <v>285.6</v>
      </c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4" t="n">
        <f aca="false">SUM(B45:X45)</f>
        <v>-3400.689</v>
      </c>
      <c r="Z45" s="272"/>
      <c r="AA45" s="275"/>
    </row>
    <row r="46" customFormat="false" ht="14.25" hidden="false" customHeight="false" outlineLevel="0" collapsed="false">
      <c r="A46" s="272" t="s">
        <v>385</v>
      </c>
      <c r="B46" s="273" t="n">
        <v>-12212.31</v>
      </c>
      <c r="C46" s="273" t="n">
        <v>-4592.277</v>
      </c>
      <c r="D46" s="273"/>
      <c r="E46" s="273"/>
      <c r="F46" s="273"/>
      <c r="G46" s="273"/>
      <c r="H46" s="273"/>
      <c r="I46" s="273"/>
      <c r="J46" s="273" t="n">
        <v>-2542.5225</v>
      </c>
      <c r="K46" s="273"/>
      <c r="L46" s="273"/>
      <c r="M46" s="273"/>
      <c r="N46" s="273" t="n">
        <v>-2377.2825</v>
      </c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4" t="n">
        <f aca="false">SUM(B46:X46)</f>
        <v>-21724.392</v>
      </c>
      <c r="Z46" s="272"/>
      <c r="AA46" s="275"/>
    </row>
    <row r="47" customFormat="false" ht="14.25" hidden="false" customHeight="false" outlineLevel="0" collapsed="false">
      <c r="A47" s="272" t="s">
        <v>386</v>
      </c>
      <c r="B47" s="273" t="n">
        <v>-1221.231</v>
      </c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4" t="n">
        <f aca="false">SUM(B47:X47)</f>
        <v>-1221.231</v>
      </c>
      <c r="Z47" s="272"/>
      <c r="AA47" s="275"/>
    </row>
    <row r="48" customFormat="false" ht="14.25" hidden="false" customHeight="false" outlineLevel="0" collapsed="false">
      <c r="A48" s="272" t="s">
        <v>387</v>
      </c>
      <c r="B48" s="273"/>
      <c r="C48" s="273"/>
      <c r="D48" s="273"/>
      <c r="E48" s="273"/>
      <c r="F48" s="273"/>
      <c r="G48" s="273"/>
      <c r="H48" s="273" t="n">
        <v>-569.67</v>
      </c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4" t="n">
        <f aca="false">SUM(B48:X48)</f>
        <v>-569.67</v>
      </c>
      <c r="Z48" s="272"/>
      <c r="AA48" s="275"/>
    </row>
    <row r="49" customFormat="false" ht="14.25" hidden="false" customHeight="false" outlineLevel="0" collapsed="false">
      <c r="A49" s="272" t="s">
        <v>388</v>
      </c>
      <c r="B49" s="273"/>
      <c r="C49" s="273"/>
      <c r="D49" s="273"/>
      <c r="E49" s="273"/>
      <c r="F49" s="273"/>
      <c r="G49" s="273"/>
      <c r="H49" s="273" t="n">
        <v>-167.55</v>
      </c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4" t="n">
        <f aca="false">SUM(B49:X49)</f>
        <v>-167.55</v>
      </c>
      <c r="Z49" s="272"/>
      <c r="AA49" s="275"/>
    </row>
    <row r="50" customFormat="false" ht="14.25" hidden="false" customHeight="false" outlineLevel="0" collapsed="false">
      <c r="A50" s="272" t="s">
        <v>389</v>
      </c>
      <c r="B50" s="273" t="n">
        <v>-2608.9935</v>
      </c>
      <c r="C50" s="273"/>
      <c r="D50" s="273"/>
      <c r="E50" s="273" t="n">
        <v>-5907.99</v>
      </c>
      <c r="F50" s="273"/>
      <c r="G50" s="273"/>
      <c r="H50" s="273" t="n">
        <v>-4133.982</v>
      </c>
      <c r="I50" s="273"/>
      <c r="J50" s="273" t="n">
        <v>-1130.01</v>
      </c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4" t="n">
        <f aca="false">SUM(B50:X50)</f>
        <v>-13780.9755</v>
      </c>
      <c r="Z50" s="272"/>
      <c r="AA50" s="275"/>
    </row>
    <row r="51" customFormat="false" ht="14.25" hidden="false" customHeight="false" outlineLevel="0" collapsed="false">
      <c r="A51" s="272" t="s">
        <v>390</v>
      </c>
      <c r="B51" s="273"/>
      <c r="C51" s="273"/>
      <c r="D51" s="273"/>
      <c r="E51" s="273" t="n">
        <v>-5319.756</v>
      </c>
      <c r="F51" s="273"/>
      <c r="G51" s="273"/>
      <c r="H51" s="273" t="n">
        <v>-752.55</v>
      </c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4" t="n">
        <f aca="false">SUM(B51:X51)</f>
        <v>-6072.306</v>
      </c>
      <c r="Z51" s="272"/>
      <c r="AA51" s="275"/>
    </row>
    <row r="52" customFormat="false" ht="14.25" hidden="false" customHeight="false" outlineLevel="0" collapsed="false">
      <c r="A52" s="272" t="s">
        <v>391</v>
      </c>
      <c r="B52" s="273" t="n">
        <v>-6093.9585</v>
      </c>
      <c r="C52" s="273"/>
      <c r="D52" s="273"/>
      <c r="E52" s="273"/>
      <c r="F52" s="273"/>
      <c r="G52" s="273"/>
      <c r="H52" s="273" t="n">
        <v>-670.2</v>
      </c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4" t="n">
        <f aca="false">SUM(B52:X52)</f>
        <v>-6764.1585</v>
      </c>
      <c r="Z52" s="272"/>
      <c r="AA52" s="275"/>
    </row>
    <row r="53" customFormat="false" ht="14.25" hidden="false" customHeight="false" outlineLevel="0" collapsed="false">
      <c r="A53" s="272" t="s">
        <v>392</v>
      </c>
      <c r="B53" s="273"/>
      <c r="C53" s="273"/>
      <c r="D53" s="273"/>
      <c r="E53" s="273"/>
      <c r="F53" s="273"/>
      <c r="G53" s="273"/>
      <c r="H53" s="273" t="n">
        <v>-569.67</v>
      </c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4" t="n">
        <f aca="false">SUM(B53:X53)</f>
        <v>-569.67</v>
      </c>
      <c r="Z53" s="272"/>
      <c r="AA53" s="275"/>
    </row>
    <row r="54" customFormat="false" ht="14.25" hidden="false" customHeight="false" outlineLevel="0" collapsed="false">
      <c r="A54" s="272" t="s">
        <v>393</v>
      </c>
      <c r="B54" s="273" t="n">
        <v>-25304.2605</v>
      </c>
      <c r="C54" s="273" t="n">
        <v>-2720.7</v>
      </c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 t="n">
        <v>-5089.8</v>
      </c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4" t="n">
        <f aca="false">SUM(B54:X54)</f>
        <v>-33114.7605</v>
      </c>
      <c r="Z54" s="272"/>
      <c r="AA54" s="275"/>
    </row>
    <row r="55" customFormat="false" ht="14.25" hidden="false" customHeight="false" outlineLevel="0" collapsed="false">
      <c r="A55" s="272" t="s">
        <v>394</v>
      </c>
      <c r="B55" s="273" t="n">
        <v>-147.312</v>
      </c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4" t="n">
        <f aca="false">SUM(B55:X55)</f>
        <v>-147.312</v>
      </c>
      <c r="Z55" s="272"/>
      <c r="AA55" s="275"/>
    </row>
    <row r="56" customFormat="false" ht="14.25" hidden="false" customHeight="false" outlineLevel="0" collapsed="false">
      <c r="A56" s="272" t="s">
        <v>395</v>
      </c>
      <c r="B56" s="273" t="n">
        <v>-11408.4</v>
      </c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 t="n">
        <v>-971.607</v>
      </c>
      <c r="P56" s="273"/>
      <c r="Q56" s="273"/>
      <c r="R56" s="273"/>
      <c r="S56" s="273"/>
      <c r="T56" s="273"/>
      <c r="U56" s="273"/>
      <c r="V56" s="273"/>
      <c r="W56" s="273"/>
      <c r="X56" s="273"/>
      <c r="Y56" s="274" t="n">
        <f aca="false">SUM(B56:X56)</f>
        <v>-12380.007</v>
      </c>
      <c r="Z56" s="272"/>
      <c r="AA56" s="275"/>
    </row>
    <row r="57" customFormat="false" ht="14.25" hidden="false" customHeight="false" outlineLevel="0" collapsed="false">
      <c r="A57" s="272" t="s">
        <v>396</v>
      </c>
      <c r="B57" s="273" t="n">
        <v>-29279.646</v>
      </c>
      <c r="C57" s="273"/>
      <c r="D57" s="273" t="n">
        <v>-5991.303</v>
      </c>
      <c r="E57" s="273"/>
      <c r="F57" s="273" t="n">
        <v>-1792.317</v>
      </c>
      <c r="G57" s="273"/>
      <c r="H57" s="273"/>
      <c r="I57" s="273"/>
      <c r="J57" s="273" t="n">
        <v>-15366.5485</v>
      </c>
      <c r="K57" s="273"/>
      <c r="L57" s="273" t="n">
        <v>-28018.2</v>
      </c>
      <c r="M57" s="273"/>
      <c r="N57" s="273" t="n">
        <v>-1444.08</v>
      </c>
      <c r="O57" s="273" t="n">
        <v>-1586.379</v>
      </c>
      <c r="P57" s="273"/>
      <c r="Q57" s="273"/>
      <c r="R57" s="273"/>
      <c r="S57" s="273"/>
      <c r="T57" s="273"/>
      <c r="U57" s="273"/>
      <c r="V57" s="273"/>
      <c r="W57" s="273"/>
      <c r="X57" s="273"/>
      <c r="Y57" s="274" t="n">
        <f aca="false">SUM(B57:X57)</f>
        <v>-83478.4735</v>
      </c>
      <c r="Z57" s="272"/>
      <c r="AA57" s="275"/>
    </row>
    <row r="58" customFormat="false" ht="14.25" hidden="false" customHeight="false" outlineLevel="0" collapsed="false">
      <c r="A58" s="272" t="s">
        <v>397</v>
      </c>
      <c r="B58" s="273"/>
      <c r="C58" s="273" t="n">
        <v>-5572.2825</v>
      </c>
      <c r="D58" s="273" t="n">
        <v>-4556.937</v>
      </c>
      <c r="E58" s="273"/>
      <c r="F58" s="273" t="n">
        <v>-3731.8755</v>
      </c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4" t="n">
        <f aca="false">SUM(B58:X58)</f>
        <v>-13861.095</v>
      </c>
      <c r="Z58" s="272"/>
      <c r="AA58" s="275"/>
    </row>
    <row r="59" customFormat="false" ht="14.25" hidden="false" customHeight="false" outlineLevel="0" collapsed="false">
      <c r="A59" s="272" t="s">
        <v>398</v>
      </c>
      <c r="B59" s="273" t="n">
        <v>-15518.676</v>
      </c>
      <c r="C59" s="273"/>
      <c r="D59" s="273"/>
      <c r="E59" s="273" t="n">
        <v>-1844.76</v>
      </c>
      <c r="F59" s="273" t="n">
        <v>-10700.4</v>
      </c>
      <c r="G59" s="273"/>
      <c r="H59" s="273"/>
      <c r="I59" s="273"/>
      <c r="J59" s="273" t="n">
        <v>-3588.3</v>
      </c>
      <c r="K59" s="273"/>
      <c r="L59" s="273"/>
      <c r="M59" s="273" t="n">
        <v>-964.26</v>
      </c>
      <c r="N59" s="273" t="n">
        <v>-1526.94</v>
      </c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4" t="n">
        <f aca="false">SUM(B59:X59)</f>
        <v>-34143.336</v>
      </c>
      <c r="Z59" s="272"/>
      <c r="AA59" s="275"/>
    </row>
    <row r="60" customFormat="false" ht="14.25" hidden="false" customHeight="false" outlineLevel="0" collapsed="false">
      <c r="A60" s="272" t="s">
        <v>399</v>
      </c>
      <c r="B60" s="273" t="n">
        <v>-12735.564</v>
      </c>
      <c r="C60" s="273" t="n">
        <v>-1088.28</v>
      </c>
      <c r="D60" s="273"/>
      <c r="E60" s="273"/>
      <c r="F60" s="273"/>
      <c r="G60" s="273"/>
      <c r="H60" s="273"/>
      <c r="I60" s="273"/>
      <c r="J60" s="273" t="n">
        <v>-11961</v>
      </c>
      <c r="K60" s="273"/>
      <c r="L60" s="273" t="n">
        <v>-3904.275</v>
      </c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4" t="n">
        <f aca="false">SUM(B60:X60)</f>
        <v>-29689.119</v>
      </c>
      <c r="Z60" s="272"/>
      <c r="AA60" s="275"/>
    </row>
    <row r="61" customFormat="false" ht="14.25" hidden="false" customHeight="false" outlineLevel="0" collapsed="false">
      <c r="A61" s="272" t="s">
        <v>400</v>
      </c>
      <c r="B61" s="273" t="n">
        <v>-4110.624</v>
      </c>
      <c r="C61" s="273" t="n">
        <v>-816.21</v>
      </c>
      <c r="D61" s="273"/>
      <c r="E61" s="273" t="n">
        <v>-4938.75</v>
      </c>
      <c r="F61" s="273"/>
      <c r="G61" s="273"/>
      <c r="H61" s="273"/>
      <c r="I61" s="273"/>
      <c r="J61" s="273" t="n">
        <v>-1318.455</v>
      </c>
      <c r="K61" s="273"/>
      <c r="L61" s="273"/>
      <c r="M61" s="273" t="n">
        <v>-14811.732</v>
      </c>
      <c r="N61" s="273" t="n">
        <v>-15269.4</v>
      </c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4" t="n">
        <f aca="false">SUM(B61:X61)</f>
        <v>-41265.171</v>
      </c>
      <c r="Z61" s="272"/>
      <c r="AA61" s="275"/>
    </row>
    <row r="62" customFormat="false" ht="14.25" hidden="false" customHeight="false" outlineLevel="0" collapsed="false">
      <c r="A62" s="272" t="s">
        <v>401</v>
      </c>
      <c r="B62" s="273" t="n">
        <v>-3019.896</v>
      </c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4" t="n">
        <f aca="false">SUM(B62:X62)</f>
        <v>-3019.896</v>
      </c>
      <c r="Z62" s="272"/>
      <c r="AA62" s="275"/>
    </row>
    <row r="63" customFormat="false" ht="14.25" hidden="false" customHeight="false" outlineLevel="0" collapsed="false">
      <c r="A63" s="272" t="s">
        <v>402</v>
      </c>
      <c r="B63" s="273" t="n">
        <v>-2504.304</v>
      </c>
      <c r="C63" s="273"/>
      <c r="D63" s="273"/>
      <c r="E63" s="273"/>
      <c r="F63" s="273"/>
      <c r="G63" s="273"/>
      <c r="H63" s="273"/>
      <c r="I63" s="273"/>
      <c r="J63" s="273" t="n">
        <v>-307.6395</v>
      </c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4" t="n">
        <f aca="false">SUM(B63:X63)</f>
        <v>-2811.9435</v>
      </c>
      <c r="Z63" s="272"/>
      <c r="AA63" s="275"/>
    </row>
    <row r="64" customFormat="false" ht="14.25" hidden="false" customHeight="false" outlineLevel="0" collapsed="false">
      <c r="A64" s="272" t="s">
        <v>403</v>
      </c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 t="n">
        <v>4601.628</v>
      </c>
      <c r="P64" s="273"/>
      <c r="Q64" s="273"/>
      <c r="R64" s="273"/>
      <c r="S64" s="273"/>
      <c r="T64" s="273"/>
      <c r="U64" s="273"/>
      <c r="V64" s="273"/>
      <c r="W64" s="273"/>
      <c r="X64" s="273"/>
      <c r="Y64" s="274" t="n">
        <f aca="false">SUM(B64:X64)</f>
        <v>4601.628</v>
      </c>
      <c r="Z64" s="272"/>
      <c r="AA64" s="275"/>
    </row>
    <row r="65" customFormat="false" ht="14.25" hidden="false" customHeight="false" outlineLevel="0" collapsed="false">
      <c r="A65" s="272" t="s">
        <v>404</v>
      </c>
      <c r="B65" s="273" t="n">
        <v>-62318.949</v>
      </c>
      <c r="C65" s="273" t="n">
        <v>-1854.725</v>
      </c>
      <c r="D65" s="273" t="n">
        <v>-13203.783</v>
      </c>
      <c r="E65" s="273" t="n">
        <v>-3682.908</v>
      </c>
      <c r="F65" s="273"/>
      <c r="G65" s="273"/>
      <c r="H65" s="273" t="n">
        <v>-1572.75</v>
      </c>
      <c r="I65" s="273"/>
      <c r="J65" s="273" t="n">
        <v>-1016.2515</v>
      </c>
      <c r="K65" s="273"/>
      <c r="L65" s="273"/>
      <c r="M65" s="273"/>
      <c r="N65" s="273" t="n">
        <v>-8822.3595</v>
      </c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4" t="n">
        <f aca="false">SUM(B65:X65)</f>
        <v>-92471.726</v>
      </c>
      <c r="Z65" s="272"/>
      <c r="AA65" s="275"/>
    </row>
    <row r="66" customFormat="false" ht="14.25" hidden="false" customHeight="false" outlineLevel="0" collapsed="false">
      <c r="A66" s="272" t="s">
        <v>405</v>
      </c>
      <c r="B66" s="273" t="n">
        <v>-570.42</v>
      </c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4" t="n">
        <f aca="false">SUM(B66:X66)</f>
        <v>-570.42</v>
      </c>
      <c r="Z66" s="272"/>
      <c r="AA66" s="275"/>
    </row>
    <row r="67" customFormat="false" ht="14.25" hidden="false" customHeight="false" outlineLevel="0" collapsed="false">
      <c r="A67" s="272" t="s">
        <v>406</v>
      </c>
      <c r="B67" s="273"/>
      <c r="C67" s="273"/>
      <c r="D67" s="273"/>
      <c r="E67" s="273" t="n">
        <v>-1316.7</v>
      </c>
      <c r="F67" s="273"/>
      <c r="G67" s="273"/>
      <c r="H67" s="273" t="n">
        <v>4075.386</v>
      </c>
      <c r="I67" s="273" t="n">
        <v>-19167.9</v>
      </c>
      <c r="J67" s="273" t="n">
        <v>-33764.409</v>
      </c>
      <c r="K67" s="273"/>
      <c r="L67" s="273" t="n">
        <v>-19955.112</v>
      </c>
      <c r="M67" s="273"/>
      <c r="N67" s="273" t="n">
        <v>-6477.42</v>
      </c>
      <c r="O67" s="273"/>
      <c r="P67" s="273" t="n">
        <v>-4822.4925</v>
      </c>
      <c r="Q67" s="273"/>
      <c r="R67" s="273"/>
      <c r="S67" s="273"/>
      <c r="T67" s="273"/>
      <c r="U67" s="273"/>
      <c r="V67" s="273"/>
      <c r="W67" s="273"/>
      <c r="X67" s="273"/>
      <c r="Y67" s="274" t="n">
        <f aca="false">SUM(B67:X67)</f>
        <v>-81428.6475</v>
      </c>
      <c r="Z67" s="272"/>
      <c r="AA67" s="275"/>
    </row>
    <row r="68" customFormat="false" ht="14.25" hidden="false" customHeight="false" outlineLevel="0" collapsed="false">
      <c r="A68" s="272" t="s">
        <v>407</v>
      </c>
      <c r="B68" s="273"/>
      <c r="C68" s="273"/>
      <c r="D68" s="273"/>
      <c r="E68" s="273"/>
      <c r="F68" s="273"/>
      <c r="G68" s="273"/>
      <c r="H68" s="273" t="n">
        <v>2659.23</v>
      </c>
      <c r="I68" s="273"/>
      <c r="J68" s="273"/>
      <c r="K68" s="273"/>
      <c r="L68" s="273"/>
      <c r="M68" s="273"/>
      <c r="N68" s="273" t="n">
        <v>-29685.3325</v>
      </c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4" t="n">
        <f aca="false">SUM(B68:X68)</f>
        <v>-27026.1025</v>
      </c>
      <c r="Z68" s="272"/>
      <c r="AA68" s="275"/>
    </row>
    <row r="69" customFormat="false" ht="14.25" hidden="false" customHeight="false" outlineLevel="0" collapsed="false">
      <c r="A69" s="272" t="s">
        <v>408</v>
      </c>
      <c r="B69" s="273"/>
      <c r="C69" s="273"/>
      <c r="D69" s="273" t="n">
        <v>-2656.617</v>
      </c>
      <c r="E69" s="273"/>
      <c r="F69" s="273"/>
      <c r="G69" s="273"/>
      <c r="H69" s="273" t="n">
        <v>2494.812</v>
      </c>
      <c r="I69" s="273"/>
      <c r="J69" s="273"/>
      <c r="K69" s="273"/>
      <c r="L69" s="273"/>
      <c r="M69" s="273"/>
      <c r="N69" s="273" t="n">
        <v>-1796.169</v>
      </c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4" t="n">
        <f aca="false">SUM(B69:X69)</f>
        <v>-1957.974</v>
      </c>
      <c r="Z69" s="272"/>
      <c r="AA69" s="275"/>
    </row>
    <row r="70" customFormat="false" ht="14.25" hidden="false" customHeight="false" outlineLevel="0" collapsed="false">
      <c r="A70" s="272" t="s">
        <v>409</v>
      </c>
      <c r="B70" s="273"/>
      <c r="C70" s="273"/>
      <c r="D70" s="273" t="n">
        <v>-2872.089</v>
      </c>
      <c r="E70" s="273" t="n">
        <v>-921.69</v>
      </c>
      <c r="F70" s="273"/>
      <c r="G70" s="273"/>
      <c r="H70" s="273" t="n">
        <v>2053.014</v>
      </c>
      <c r="I70" s="273" t="n">
        <v>-12842.493</v>
      </c>
      <c r="J70" s="273" t="n">
        <v>-8789.7</v>
      </c>
      <c r="K70" s="273"/>
      <c r="L70" s="273" t="n">
        <v>-6289.053</v>
      </c>
      <c r="M70" s="273"/>
      <c r="N70" s="273" t="n">
        <v>-2116.125</v>
      </c>
      <c r="O70" s="273"/>
      <c r="P70" s="273" t="n">
        <v>-7620.1695</v>
      </c>
      <c r="Q70" s="273"/>
      <c r="R70" s="273"/>
      <c r="S70" s="273"/>
      <c r="T70" s="273"/>
      <c r="U70" s="273"/>
      <c r="V70" s="273"/>
      <c r="W70" s="273"/>
      <c r="X70" s="273"/>
      <c r="Y70" s="274" t="n">
        <f aca="false">SUM(B70:X70)</f>
        <v>-39398.3055</v>
      </c>
      <c r="Z70" s="272"/>
      <c r="AA70" s="275"/>
    </row>
    <row r="71" customFormat="false" ht="14.25" hidden="false" customHeight="false" outlineLevel="0" collapsed="false">
      <c r="A71" s="272" t="s">
        <v>410</v>
      </c>
      <c r="B71" s="273"/>
      <c r="C71" s="273"/>
      <c r="D71" s="273"/>
      <c r="E71" s="273"/>
      <c r="F71" s="273"/>
      <c r="G71" s="273"/>
      <c r="H71" s="273" t="n">
        <v>2494.812</v>
      </c>
      <c r="I71" s="273"/>
      <c r="J71" s="273"/>
      <c r="K71" s="273"/>
      <c r="L71" s="273"/>
      <c r="M71" s="273"/>
      <c r="N71" s="273" t="n">
        <v>-1796.169</v>
      </c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4" t="n">
        <f aca="false">SUM(B71:X71)</f>
        <v>698.643</v>
      </c>
      <c r="Z71" s="272"/>
      <c r="AA71" s="275"/>
    </row>
    <row r="72" customFormat="false" ht="14.25" hidden="false" customHeight="false" outlineLevel="0" collapsed="false">
      <c r="A72" s="272" t="s">
        <v>411</v>
      </c>
      <c r="B72" s="273"/>
      <c r="C72" s="273"/>
      <c r="D72" s="273" t="n">
        <v>-3965.1</v>
      </c>
      <c r="E72" s="273"/>
      <c r="F72" s="273"/>
      <c r="G72" s="273"/>
      <c r="H72" s="273" t="n">
        <v>2494.812</v>
      </c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4" t="n">
        <f aca="false">SUM(B72:X72)</f>
        <v>-1470.288</v>
      </c>
      <c r="Z72" s="272"/>
      <c r="AA72" s="275"/>
    </row>
    <row r="73" customFormat="false" ht="14.25" hidden="false" customHeight="false" outlineLevel="0" collapsed="false">
      <c r="A73" s="272" t="s">
        <v>412</v>
      </c>
      <c r="B73" s="273" t="n">
        <v>-19666.152</v>
      </c>
      <c r="C73" s="273"/>
      <c r="D73" s="273"/>
      <c r="E73" s="273"/>
      <c r="F73" s="273"/>
      <c r="G73" s="273" t="n">
        <v>-18313.152</v>
      </c>
      <c r="H73" s="273"/>
      <c r="I73" s="273"/>
      <c r="J73" s="273"/>
      <c r="K73" s="273"/>
      <c r="L73" s="273"/>
      <c r="M73" s="273"/>
      <c r="N73" s="273" t="n">
        <v>-7079.019</v>
      </c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4" t="n">
        <f aca="false">SUM(B73:X73)</f>
        <v>-45058.323</v>
      </c>
      <c r="Z73" s="272"/>
      <c r="AA73" s="275"/>
    </row>
    <row r="74" customFormat="false" ht="14.25" hidden="false" customHeight="false" outlineLevel="0" collapsed="false">
      <c r="A74" s="272" t="s">
        <v>413</v>
      </c>
      <c r="B74" s="273" t="n">
        <v>-24601.104</v>
      </c>
      <c r="C74" s="273"/>
      <c r="D74" s="273"/>
      <c r="E74" s="273"/>
      <c r="F74" s="273"/>
      <c r="G74" s="273"/>
      <c r="H74" s="273" t="n">
        <v>1160.097</v>
      </c>
      <c r="I74" s="273"/>
      <c r="J74" s="273"/>
      <c r="K74" s="273"/>
      <c r="L74" s="273"/>
      <c r="M74" s="273"/>
      <c r="N74" s="273" t="n">
        <v>-5084.727</v>
      </c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4" t="n">
        <f aca="false">SUM(B74:X74)</f>
        <v>-28525.734</v>
      </c>
      <c r="Z74" s="272"/>
      <c r="AA74" s="275"/>
    </row>
    <row r="75" customFormat="false" ht="14.25" hidden="false" customHeight="false" outlineLevel="0" collapsed="false">
      <c r="A75" s="272" t="s">
        <v>414</v>
      </c>
      <c r="B75" s="273"/>
      <c r="C75" s="273"/>
      <c r="D75" s="273"/>
      <c r="E75" s="273"/>
      <c r="F75" s="273"/>
      <c r="G75" s="273"/>
      <c r="H75" s="273"/>
      <c r="I75" s="273" t="n">
        <v>-479.1975</v>
      </c>
      <c r="J75" s="273"/>
      <c r="K75" s="273"/>
      <c r="L75" s="273"/>
      <c r="M75" s="273"/>
      <c r="N75" s="273" t="n">
        <v>-1469.3475</v>
      </c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4" t="n">
        <f aca="false">SUM(B75:X75)</f>
        <v>-1948.545</v>
      </c>
      <c r="Z75" s="272"/>
      <c r="AA75" s="275"/>
    </row>
    <row r="76" customFormat="false" ht="14.25" hidden="false" customHeight="false" outlineLevel="0" collapsed="false">
      <c r="A76" s="272" t="s">
        <v>415</v>
      </c>
      <c r="B76" s="273" t="n">
        <v>-14731.2</v>
      </c>
      <c r="C76" s="273"/>
      <c r="D76" s="273"/>
      <c r="E76" s="273"/>
      <c r="F76" s="273"/>
      <c r="G76" s="273"/>
      <c r="H76" s="273" t="n">
        <v>-314.55</v>
      </c>
      <c r="I76" s="273"/>
      <c r="J76" s="273" t="n">
        <v>-18458.37</v>
      </c>
      <c r="K76" s="273"/>
      <c r="L76" s="273" t="n">
        <v>-2381.047</v>
      </c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4" t="n">
        <f aca="false">SUM(B76:X76)</f>
        <v>-35885.167</v>
      </c>
      <c r="Z76" s="272"/>
      <c r="AA76" s="275"/>
    </row>
    <row r="77" customFormat="false" ht="14.25" hidden="false" customHeight="false" outlineLevel="0" collapsed="false">
      <c r="A77" s="272" t="s">
        <v>416</v>
      </c>
      <c r="B77" s="273"/>
      <c r="C77" s="273"/>
      <c r="D77" s="273"/>
      <c r="E77" s="273"/>
      <c r="F77" s="273"/>
      <c r="G77" s="273"/>
      <c r="H77" s="273" t="n">
        <v>335.124</v>
      </c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4" t="n">
        <f aca="false">SUM(B77:X77)</f>
        <v>335.124</v>
      </c>
      <c r="Z77" s="272"/>
      <c r="AA77" s="275"/>
    </row>
    <row r="78" customFormat="false" ht="14.25" hidden="false" customHeight="false" outlineLevel="0" collapsed="false">
      <c r="A78" s="272" t="s">
        <v>417</v>
      </c>
      <c r="B78" s="273"/>
      <c r="C78" s="273"/>
      <c r="D78" s="273" t="n">
        <v>-5202.252</v>
      </c>
      <c r="E78" s="273"/>
      <c r="F78" s="273"/>
      <c r="G78" s="273"/>
      <c r="H78" s="273" t="n">
        <v>2053.014</v>
      </c>
      <c r="I78" s="273" t="n">
        <v>-12842.493</v>
      </c>
      <c r="J78" s="273" t="n">
        <v>-14678.799</v>
      </c>
      <c r="K78" s="273"/>
      <c r="L78" s="273" t="n">
        <v>-6289.053</v>
      </c>
      <c r="M78" s="273"/>
      <c r="N78" s="273" t="n">
        <v>-1384.3875</v>
      </c>
      <c r="O78" s="273"/>
      <c r="P78" s="273" t="n">
        <v>-5970.6045</v>
      </c>
      <c r="Q78" s="273"/>
      <c r="R78" s="273"/>
      <c r="S78" s="273"/>
      <c r="T78" s="273"/>
      <c r="U78" s="273"/>
      <c r="V78" s="273"/>
      <c r="W78" s="273"/>
      <c r="X78" s="273"/>
      <c r="Y78" s="274" t="n">
        <f aca="false">SUM(B78:X78)</f>
        <v>-44314.575</v>
      </c>
      <c r="Z78" s="272"/>
      <c r="AA78" s="275"/>
    </row>
    <row r="79" customFormat="false" ht="14.25" hidden="false" customHeight="false" outlineLevel="0" collapsed="false">
      <c r="A79" s="272" t="s">
        <v>418</v>
      </c>
      <c r="B79" s="273"/>
      <c r="C79" s="273" t="n">
        <v>-425.145</v>
      </c>
      <c r="D79" s="273" t="n">
        <v>-2776.62</v>
      </c>
      <c r="E79" s="273" t="n">
        <v>-460.845</v>
      </c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4" t="n">
        <f aca="false">SUM(B79:X79)</f>
        <v>-3662.61</v>
      </c>
      <c r="Z79" s="272"/>
      <c r="AA79" s="275"/>
    </row>
    <row r="80" customFormat="false" ht="14.25" hidden="false" customHeight="false" outlineLevel="0" collapsed="false">
      <c r="A80" s="272" t="s">
        <v>413</v>
      </c>
      <c r="B80" s="273"/>
      <c r="C80" s="273" t="n">
        <v>-1214.7</v>
      </c>
      <c r="D80" s="273"/>
      <c r="E80" s="273"/>
      <c r="F80" s="273"/>
      <c r="G80" s="273"/>
      <c r="H80" s="273"/>
      <c r="I80" s="273"/>
      <c r="J80" s="273" t="n">
        <v>-8578.479</v>
      </c>
      <c r="K80" s="273"/>
      <c r="L80" s="273"/>
      <c r="M80" s="273"/>
      <c r="N80" s="273"/>
      <c r="O80" s="273"/>
      <c r="P80" s="273" t="n">
        <v>-3029.859</v>
      </c>
      <c r="Q80" s="273"/>
      <c r="R80" s="273"/>
      <c r="S80" s="273"/>
      <c r="T80" s="273"/>
      <c r="U80" s="273"/>
      <c r="V80" s="273"/>
      <c r="W80" s="273"/>
      <c r="X80" s="273"/>
      <c r="Y80" s="274" t="n">
        <f aca="false">SUM(B80:X80)</f>
        <v>-12823.038</v>
      </c>
      <c r="Z80" s="272"/>
      <c r="AA80" s="275"/>
    </row>
    <row r="81" customFormat="false" ht="14.25" hidden="false" customHeight="false" outlineLevel="0" collapsed="false">
      <c r="A81" s="272" t="s">
        <v>419</v>
      </c>
      <c r="B81" s="273" t="n">
        <v>-14731.2</v>
      </c>
      <c r="C81" s="273"/>
      <c r="D81" s="273"/>
      <c r="E81" s="273"/>
      <c r="F81" s="273"/>
      <c r="G81" s="273"/>
      <c r="H81" s="273" t="n">
        <v>796.692</v>
      </c>
      <c r="I81" s="273" t="n">
        <v>-1916.79</v>
      </c>
      <c r="J81" s="273" t="n">
        <v>-14854.275</v>
      </c>
      <c r="K81" s="273"/>
      <c r="L81" s="273"/>
      <c r="M81" s="273"/>
      <c r="N81" s="273" t="n">
        <v>-22315.5</v>
      </c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4" t="n">
        <f aca="false">SUM(B81:X81)</f>
        <v>-53021.073</v>
      </c>
      <c r="Z81" s="272"/>
      <c r="AA81" s="275"/>
    </row>
    <row r="82" customFormat="false" ht="14.25" hidden="false" customHeight="false" outlineLevel="0" collapsed="false">
      <c r="A82" s="272" t="s">
        <v>420</v>
      </c>
      <c r="B82" s="273"/>
      <c r="C82" s="273"/>
      <c r="D82" s="273"/>
      <c r="E82" s="273"/>
      <c r="F82" s="273" t="n">
        <v>45.123</v>
      </c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4" t="n">
        <f aca="false">SUM(B82:X82)</f>
        <v>45.123</v>
      </c>
      <c r="Z82" s="272"/>
      <c r="AA82" s="275"/>
    </row>
    <row r="83" customFormat="false" ht="14.25" hidden="false" customHeight="false" outlineLevel="0" collapsed="false">
      <c r="A83" s="272" t="s">
        <v>421</v>
      </c>
      <c r="B83" s="273"/>
      <c r="C83" s="273"/>
      <c r="D83" s="273"/>
      <c r="E83" s="273"/>
      <c r="F83" s="273" t="n">
        <v>-454.767</v>
      </c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4" t="n">
        <f aca="false">SUM(B83:X83)</f>
        <v>-454.767</v>
      </c>
      <c r="Z83" s="272"/>
      <c r="AA83" s="275"/>
    </row>
    <row r="84" customFormat="false" ht="14.25" hidden="false" customHeight="false" outlineLevel="0" collapsed="false">
      <c r="A84" s="272" t="s">
        <v>422</v>
      </c>
      <c r="B84" s="273"/>
      <c r="C84" s="273"/>
      <c r="D84" s="273"/>
      <c r="E84" s="273"/>
      <c r="F84" s="273"/>
      <c r="G84" s="273"/>
      <c r="H84" s="273" t="n">
        <v>8181.414</v>
      </c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4" t="n">
        <f aca="false">SUM(B84:X84)</f>
        <v>8181.414</v>
      </c>
      <c r="Z84" s="272"/>
      <c r="AA84" s="275"/>
    </row>
    <row r="85" customFormat="false" ht="14.25" hidden="false" customHeight="false" outlineLevel="0" collapsed="false">
      <c r="A85" s="272" t="s">
        <v>423</v>
      </c>
      <c r="B85" s="273" t="n">
        <v>-8765.058</v>
      </c>
      <c r="C85" s="273"/>
      <c r="D85" s="273"/>
      <c r="E85" s="273"/>
      <c r="F85" s="273"/>
      <c r="G85" s="273"/>
      <c r="H85" s="273"/>
      <c r="I85" s="273"/>
      <c r="J85" s="273" t="n">
        <v>-4560.729</v>
      </c>
      <c r="K85" s="273"/>
      <c r="L85" s="273"/>
      <c r="M85" s="273"/>
      <c r="N85" s="273" t="n">
        <v>-7861.0125</v>
      </c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4" t="n">
        <f aca="false">SUM(B85:X85)</f>
        <v>-21186.7995</v>
      </c>
      <c r="Z85" s="272"/>
      <c r="AA85" s="275"/>
    </row>
    <row r="86" customFormat="false" ht="14.25" hidden="false" customHeight="false" outlineLevel="0" collapsed="false">
      <c r="A86" s="272" t="s">
        <v>424</v>
      </c>
      <c r="B86" s="273"/>
      <c r="C86" s="273"/>
      <c r="D86" s="273"/>
      <c r="E86" s="273"/>
      <c r="F86" s="273" t="n">
        <v>-40.1265</v>
      </c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4" t="n">
        <f aca="false">SUM(B86:X86)</f>
        <v>-40.1265</v>
      </c>
      <c r="Z86" s="272"/>
      <c r="AA86" s="275"/>
    </row>
    <row r="87" customFormat="false" ht="14.25" hidden="false" customHeight="false" outlineLevel="0" collapsed="false">
      <c r="A87" s="272" t="s">
        <v>425</v>
      </c>
      <c r="B87" s="273" t="n">
        <v>-7365.6</v>
      </c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4" t="n">
        <f aca="false">SUM(B87:X87)</f>
        <v>-7365.6</v>
      </c>
      <c r="Z87" s="272"/>
      <c r="AA87" s="275"/>
    </row>
    <row r="88" customFormat="false" ht="14.25" hidden="false" customHeight="false" outlineLevel="0" collapsed="false">
      <c r="A88" s="272" t="s">
        <v>426</v>
      </c>
      <c r="B88" s="273"/>
      <c r="C88" s="273"/>
      <c r="D88" s="273"/>
      <c r="E88" s="273" t="n">
        <v>-171.72</v>
      </c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4" t="n">
        <f aca="false">SUM(B88:X88)</f>
        <v>-171.72</v>
      </c>
      <c r="Z88" s="272"/>
      <c r="AA88" s="275"/>
    </row>
    <row r="89" customFormat="false" ht="14.25" hidden="false" customHeight="false" outlineLevel="0" collapsed="false">
      <c r="A89" s="272" t="s">
        <v>427</v>
      </c>
      <c r="B89" s="273"/>
      <c r="C89" s="273"/>
      <c r="D89" s="273"/>
      <c r="E89" s="273"/>
      <c r="F89" s="273" t="n">
        <v>-53.502</v>
      </c>
      <c r="G89" s="273"/>
      <c r="H89" s="273" t="n">
        <v>214.494</v>
      </c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4" t="n">
        <f aca="false">SUM(B89:X89)</f>
        <v>160.992</v>
      </c>
      <c r="Z89" s="272"/>
      <c r="AA89" s="275"/>
    </row>
    <row r="90" customFormat="false" ht="14.25" hidden="false" customHeight="false" outlineLevel="0" collapsed="false">
      <c r="A90" s="272" t="s">
        <v>428</v>
      </c>
      <c r="B90" s="273"/>
      <c r="C90" s="273"/>
      <c r="D90" s="273"/>
      <c r="E90" s="273" t="n">
        <v>51062.559</v>
      </c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4" t="n">
        <f aca="false">SUM(B90:X90)</f>
        <v>51062.559</v>
      </c>
      <c r="Z90" s="272"/>
      <c r="AA90" s="275"/>
    </row>
    <row r="91" customFormat="false" ht="14.25" hidden="false" customHeight="false" outlineLevel="0" collapsed="false">
      <c r="A91" s="272" t="s">
        <v>429</v>
      </c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 t="n">
        <v>-89.1135</v>
      </c>
      <c r="Q91" s="273"/>
      <c r="R91" s="273"/>
      <c r="S91" s="273"/>
      <c r="T91" s="273"/>
      <c r="U91" s="273"/>
      <c r="V91" s="273"/>
      <c r="W91" s="273"/>
      <c r="X91" s="273"/>
      <c r="Y91" s="274" t="n">
        <f aca="false">SUM(B91:X91)</f>
        <v>-89.1135</v>
      </c>
      <c r="Z91" s="272"/>
      <c r="AA91" s="275"/>
    </row>
    <row r="92" customFormat="false" ht="14.25" hidden="false" customHeight="false" outlineLevel="0" collapsed="false">
      <c r="A92" s="272" t="s">
        <v>430</v>
      </c>
      <c r="B92" s="273" t="n">
        <v>-441.936</v>
      </c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4" t="n">
        <f aca="false">SUM(B92:X92)</f>
        <v>-441.936</v>
      </c>
      <c r="Z92" s="272"/>
      <c r="AA92" s="275"/>
    </row>
    <row r="93" customFormat="false" ht="14.25" hidden="false" customHeight="false" outlineLevel="0" collapsed="false">
      <c r="A93" s="272" t="s">
        <v>431</v>
      </c>
      <c r="B93" s="273"/>
      <c r="C93" s="273"/>
      <c r="D93" s="273"/>
      <c r="E93" s="273"/>
      <c r="F93" s="273" t="n">
        <v>-93.6285</v>
      </c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4" t="n">
        <f aca="false">SUM(B93:X93)</f>
        <v>-93.6285</v>
      </c>
      <c r="Z93" s="272"/>
      <c r="AA93" s="275"/>
    </row>
    <row r="94" customFormat="false" ht="14.25" hidden="false" customHeight="false" outlineLevel="0" collapsed="false">
      <c r="A94" s="272" t="s">
        <v>432</v>
      </c>
      <c r="B94" s="273"/>
      <c r="C94" s="273"/>
      <c r="D94" s="273"/>
      <c r="E94" s="273"/>
      <c r="F94" s="273" t="n">
        <v>-83.757</v>
      </c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4" t="n">
        <f aca="false">SUM(B94:X94)</f>
        <v>-83.757</v>
      </c>
      <c r="Z94" s="272"/>
      <c r="AA94" s="275"/>
    </row>
    <row r="95" customFormat="false" ht="14.25" hidden="false" customHeight="false" outlineLevel="0" collapsed="false">
      <c r="A95" s="272" t="s">
        <v>433</v>
      </c>
      <c r="B95" s="273"/>
      <c r="C95" s="273"/>
      <c r="D95" s="273" t="n">
        <v>-5.451</v>
      </c>
      <c r="E95" s="273"/>
      <c r="F95" s="273"/>
      <c r="G95" s="273"/>
      <c r="H95" s="273" t="n">
        <v>23.1375</v>
      </c>
      <c r="I95" s="273"/>
      <c r="J95" s="273"/>
      <c r="K95" s="273"/>
      <c r="L95" s="273"/>
      <c r="M95" s="273"/>
      <c r="N95" s="273" t="n">
        <v>-50.898</v>
      </c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4" t="n">
        <f aca="false">SUM(B95:X95)</f>
        <v>-33.2115</v>
      </c>
      <c r="Z95" s="272"/>
      <c r="AA95" s="275"/>
    </row>
    <row r="96" customFormat="false" ht="14.25" hidden="false" customHeight="false" outlineLevel="0" collapsed="false">
      <c r="A96" s="272" t="s">
        <v>434</v>
      </c>
      <c r="B96" s="273" t="n">
        <v>-11048.4</v>
      </c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4" t="n">
        <f aca="false">SUM(B96:X96)</f>
        <v>-11048.4</v>
      </c>
      <c r="Z96" s="272"/>
      <c r="AA96" s="275"/>
    </row>
    <row r="97" customFormat="false" ht="14.25" hidden="false" customHeight="false" outlineLevel="0" collapsed="false">
      <c r="A97" s="272" t="s">
        <v>435</v>
      </c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 t="n">
        <v>-287.91</v>
      </c>
      <c r="Q97" s="273"/>
      <c r="R97" s="273"/>
      <c r="S97" s="273"/>
      <c r="T97" s="273"/>
      <c r="U97" s="273"/>
      <c r="V97" s="273"/>
      <c r="W97" s="273"/>
      <c r="X97" s="273"/>
      <c r="Y97" s="274" t="n">
        <f aca="false">SUM(B97:X97)</f>
        <v>-287.91</v>
      </c>
      <c r="Z97" s="272"/>
      <c r="AA97" s="275"/>
    </row>
    <row r="98" customFormat="false" ht="14.25" hidden="false" customHeight="false" outlineLevel="0" collapsed="false">
      <c r="A98" s="272" t="s">
        <v>436</v>
      </c>
      <c r="B98" s="273" t="n">
        <v>-7.182</v>
      </c>
      <c r="C98" s="273"/>
      <c r="D98" s="273" t="n">
        <v>65.94</v>
      </c>
      <c r="E98" s="273" t="n">
        <v>45.318</v>
      </c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4" t="n">
        <f aca="false">SUM(B98:X98)</f>
        <v>104.076</v>
      </c>
      <c r="Z98" s="272"/>
      <c r="AA98" s="275"/>
    </row>
    <row r="99" customFormat="false" ht="14.25" hidden="false" customHeight="false" outlineLevel="0" collapsed="false">
      <c r="A99" s="272" t="s">
        <v>392</v>
      </c>
      <c r="B99" s="273"/>
      <c r="C99" s="273"/>
      <c r="D99" s="273"/>
      <c r="E99" s="273"/>
      <c r="F99" s="273"/>
      <c r="G99" s="273"/>
      <c r="H99" s="273" t="n">
        <v>925.5</v>
      </c>
      <c r="I99" s="273"/>
      <c r="J99" s="273" t="n">
        <v>-1280.37</v>
      </c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4" t="n">
        <f aca="false">SUM(B99:X99)</f>
        <v>-354.87</v>
      </c>
      <c r="Z99" s="272"/>
      <c r="AA99" s="275"/>
    </row>
    <row r="100" customFormat="false" ht="14.25" hidden="false" customHeight="false" outlineLevel="0" collapsed="false">
      <c r="A100" s="272" t="s">
        <v>437</v>
      </c>
      <c r="B100" s="273"/>
      <c r="C100" s="273"/>
      <c r="D100" s="273"/>
      <c r="E100" s="273"/>
      <c r="F100" s="273" t="n">
        <v>-209.913</v>
      </c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4" t="n">
        <f aca="false">SUM(B100:X100)</f>
        <v>-209.913</v>
      </c>
      <c r="Z100" s="272"/>
      <c r="AA100" s="275"/>
    </row>
    <row r="101" customFormat="false" ht="14.25" hidden="false" customHeight="false" outlineLevel="0" collapsed="false">
      <c r="A101" s="272" t="s">
        <v>438</v>
      </c>
      <c r="B101" s="273" t="n">
        <v>2892.129</v>
      </c>
      <c r="C101" s="273"/>
      <c r="D101" s="273"/>
      <c r="E101" s="273"/>
      <c r="F101" s="273"/>
      <c r="G101" s="273"/>
      <c r="H101" s="273" t="n">
        <v>1751.952</v>
      </c>
      <c r="I101" s="273" t="n">
        <v>-4856.763</v>
      </c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4" t="n">
        <f aca="false">SUM(B101:X101)</f>
        <v>-212.682</v>
      </c>
      <c r="Z101" s="272"/>
      <c r="AA101" s="275"/>
    </row>
    <row r="102" customFormat="false" ht="14.25" hidden="false" customHeight="false" outlineLevel="0" collapsed="false">
      <c r="A102" s="272" t="s">
        <v>439</v>
      </c>
      <c r="B102" s="273"/>
      <c r="C102" s="273" t="n">
        <v>67.488</v>
      </c>
      <c r="D102" s="273"/>
      <c r="E102" s="273"/>
      <c r="F102" s="273"/>
      <c r="G102" s="273"/>
      <c r="H102" s="273"/>
      <c r="I102" s="273"/>
      <c r="J102" s="273" t="n">
        <v>-192.0555</v>
      </c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4" t="n">
        <f aca="false">SUM(B102:X102)</f>
        <v>-124.5675</v>
      </c>
      <c r="Z102" s="272"/>
      <c r="AA102" s="275"/>
    </row>
    <row r="103" customFormat="false" ht="14.25" hidden="false" customHeight="false" outlineLevel="0" collapsed="false">
      <c r="A103" s="272" t="s">
        <v>440</v>
      </c>
      <c r="B103" s="273" t="n">
        <v>-341.88</v>
      </c>
      <c r="C103" s="273"/>
      <c r="D103" s="273"/>
      <c r="E103" s="273" t="n">
        <v>1826.499</v>
      </c>
      <c r="F103" s="273"/>
      <c r="G103" s="273"/>
      <c r="H103" s="273"/>
      <c r="I103" s="273"/>
      <c r="J103" s="273"/>
      <c r="K103" s="273"/>
      <c r="L103" s="273" t="n">
        <v>-263.613</v>
      </c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4" t="n">
        <f aca="false">SUM(B103:X103)</f>
        <v>1221.006</v>
      </c>
      <c r="Z103" s="272"/>
      <c r="AA103" s="275"/>
    </row>
    <row r="104" customFormat="false" ht="14.25" hidden="false" customHeight="false" outlineLevel="0" collapsed="false">
      <c r="A104" s="272" t="s">
        <v>441</v>
      </c>
      <c r="B104" s="273" t="n">
        <v>-1452.99</v>
      </c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4" t="n">
        <f aca="false">SUM(B104:X104)</f>
        <v>-1452.99</v>
      </c>
      <c r="Z104" s="272"/>
      <c r="AA104" s="275"/>
    </row>
    <row r="105" customFormat="false" ht="14.25" hidden="false" customHeight="false" outlineLevel="0" collapsed="false">
      <c r="A105" s="272" t="s">
        <v>392</v>
      </c>
      <c r="B105" s="273"/>
      <c r="C105" s="273"/>
      <c r="D105" s="273"/>
      <c r="E105" s="273"/>
      <c r="F105" s="273"/>
      <c r="G105" s="273"/>
      <c r="H105" s="273" t="n">
        <v>786.675</v>
      </c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4" t="n">
        <f aca="false">SUM(B105:X105)</f>
        <v>786.675</v>
      </c>
      <c r="Z105" s="272"/>
      <c r="AA105" s="275"/>
    </row>
    <row r="106" customFormat="false" ht="14.25" hidden="false" customHeight="false" outlineLevel="0" collapsed="false">
      <c r="A106" s="272" t="s">
        <v>442</v>
      </c>
      <c r="B106" s="273"/>
      <c r="C106" s="273"/>
      <c r="D106" s="273"/>
      <c r="E106" s="273"/>
      <c r="F106" s="273"/>
      <c r="G106" s="273"/>
      <c r="H106" s="273" t="n">
        <v>2053.014</v>
      </c>
      <c r="I106" s="273" t="n">
        <v>-12842.493</v>
      </c>
      <c r="J106" s="273" t="n">
        <v>-8021.7795</v>
      </c>
      <c r="K106" s="273"/>
      <c r="L106" s="273" t="n">
        <v>-7418.823</v>
      </c>
      <c r="M106" s="273"/>
      <c r="N106" s="273" t="n">
        <v>-681.8625</v>
      </c>
      <c r="O106" s="273"/>
      <c r="P106" s="273" t="n">
        <v>-5919.1965</v>
      </c>
      <c r="Q106" s="273"/>
      <c r="R106" s="273"/>
      <c r="S106" s="273"/>
      <c r="T106" s="273"/>
      <c r="U106" s="273"/>
      <c r="V106" s="273"/>
      <c r="W106" s="273"/>
      <c r="X106" s="273"/>
      <c r="Y106" s="274" t="n">
        <f aca="false">SUM(B106:X106)</f>
        <v>-32831.1405</v>
      </c>
      <c r="Z106" s="272"/>
      <c r="AA106" s="275"/>
    </row>
    <row r="107" customFormat="false" ht="14.25" hidden="false" customHeight="false" outlineLevel="0" collapsed="false">
      <c r="A107" s="272" t="s">
        <v>392</v>
      </c>
      <c r="B107" s="273"/>
      <c r="C107" s="273"/>
      <c r="D107" s="273"/>
      <c r="E107" s="273"/>
      <c r="F107" s="273"/>
      <c r="G107" s="273"/>
      <c r="H107" s="273"/>
      <c r="I107" s="273" t="n">
        <v>-4134.57</v>
      </c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4" t="n">
        <f aca="false">SUM(B107:X107)</f>
        <v>-4134.57</v>
      </c>
      <c r="Z107" s="272"/>
      <c r="AA107" s="275"/>
    </row>
    <row r="108" customFormat="false" ht="14.25" hidden="false" customHeight="false" outlineLevel="0" collapsed="false">
      <c r="A108" s="272" t="s">
        <v>392</v>
      </c>
      <c r="B108" s="273"/>
      <c r="C108" s="273" t="n">
        <v>-88.875</v>
      </c>
      <c r="D108" s="273"/>
      <c r="E108" s="273"/>
      <c r="F108" s="273"/>
      <c r="G108" s="273"/>
      <c r="H108" s="273" t="n">
        <v>1851</v>
      </c>
      <c r="I108" s="273" t="n">
        <v>-617.1</v>
      </c>
      <c r="J108" s="273" t="n">
        <v>-40236.9765</v>
      </c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4" t="n">
        <f aca="false">SUM(B108:X108)</f>
        <v>-39091.9515</v>
      </c>
      <c r="Z108" s="272"/>
      <c r="AA108" s="275"/>
    </row>
    <row r="109" customFormat="false" ht="14.25" hidden="false" customHeight="false" outlineLevel="0" collapsed="false">
      <c r="A109" s="272" t="s">
        <v>443</v>
      </c>
      <c r="B109" s="273"/>
      <c r="C109" s="273"/>
      <c r="D109" s="273"/>
      <c r="E109" s="273"/>
      <c r="F109" s="273"/>
      <c r="G109" s="273"/>
      <c r="H109" s="273" t="n">
        <v>2082.375</v>
      </c>
      <c r="I109" s="273" t="n">
        <v>-1851.3</v>
      </c>
      <c r="J109" s="273" t="n">
        <v>-25327.8</v>
      </c>
      <c r="K109" s="273"/>
      <c r="L109" s="273"/>
      <c r="M109" s="273"/>
      <c r="N109" s="273" t="n">
        <v>-11278.914</v>
      </c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4" t="n">
        <f aca="false">SUM(B109:X109)</f>
        <v>-36375.639</v>
      </c>
      <c r="Z109" s="272"/>
      <c r="AA109" s="275"/>
    </row>
    <row r="110" customFormat="false" ht="14.25" hidden="false" customHeight="false" outlineLevel="0" collapsed="false">
      <c r="A110" s="272" t="s">
        <v>444</v>
      </c>
      <c r="B110" s="273"/>
      <c r="C110" s="273" t="n">
        <v>46.398</v>
      </c>
      <c r="D110" s="273"/>
      <c r="E110" s="273"/>
      <c r="F110" s="273" t="n">
        <v>-711.9345</v>
      </c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4" t="n">
        <f aca="false">SUM(B110:X110)</f>
        <v>-665.5365</v>
      </c>
      <c r="Z110" s="272"/>
      <c r="AA110" s="275"/>
    </row>
    <row r="111" customFormat="false" ht="14.25" hidden="false" customHeight="false" outlineLevel="0" collapsed="false">
      <c r="A111" s="272" t="s">
        <v>445</v>
      </c>
      <c r="B111" s="273"/>
      <c r="C111" s="273"/>
      <c r="D111" s="273"/>
      <c r="E111" s="273" t="n">
        <v>-429.3</v>
      </c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4" t="n">
        <f aca="false">SUM(B111:X111)</f>
        <v>-429.3</v>
      </c>
      <c r="Z111" s="272"/>
      <c r="AA111" s="275"/>
    </row>
    <row r="112" customFormat="false" ht="14.25" hidden="false" customHeight="false" outlineLevel="0" collapsed="false">
      <c r="A112" s="272" t="s">
        <v>446</v>
      </c>
      <c r="B112" s="273" t="n">
        <v>-367.05</v>
      </c>
      <c r="C112" s="273"/>
      <c r="D112" s="273"/>
      <c r="E112" s="273" t="n">
        <v>-343.44</v>
      </c>
      <c r="F112" s="273"/>
      <c r="G112" s="273"/>
      <c r="H112" s="273"/>
      <c r="I112" s="273" t="n">
        <v>-61.71</v>
      </c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4" t="n">
        <f aca="false">SUM(B112:X112)</f>
        <v>-772.2</v>
      </c>
      <c r="Z112" s="272"/>
      <c r="AA112" s="275"/>
    </row>
    <row r="113" customFormat="false" ht="14.25" hidden="false" customHeight="false" outlineLevel="0" collapsed="false">
      <c r="A113" s="272" t="s">
        <v>397</v>
      </c>
      <c r="B113" s="273"/>
      <c r="C113" s="273"/>
      <c r="D113" s="273"/>
      <c r="E113" s="273" t="n">
        <v>-441.3915</v>
      </c>
      <c r="F113" s="273"/>
      <c r="G113" s="273"/>
      <c r="H113" s="273"/>
      <c r="I113" s="273"/>
      <c r="J113" s="273"/>
      <c r="K113" s="273"/>
      <c r="L113" s="273"/>
      <c r="M113" s="273"/>
      <c r="N113" s="273"/>
      <c r="O113" s="273" t="n">
        <v>526.581</v>
      </c>
      <c r="P113" s="273"/>
      <c r="Q113" s="273"/>
      <c r="R113" s="273"/>
      <c r="S113" s="273"/>
      <c r="T113" s="273"/>
      <c r="U113" s="273"/>
      <c r="V113" s="273"/>
      <c r="W113" s="273"/>
      <c r="X113" s="273"/>
      <c r="Y113" s="274" t="n">
        <f aca="false">SUM(B113:X113)</f>
        <v>85.1895</v>
      </c>
      <c r="Z113" s="272"/>
      <c r="AA113" s="275"/>
    </row>
    <row r="114" customFormat="false" ht="14.25" hidden="false" customHeight="false" outlineLevel="0" collapsed="false">
      <c r="A114" s="272" t="s">
        <v>396</v>
      </c>
      <c r="B114" s="273"/>
      <c r="C114" s="273"/>
      <c r="D114" s="273"/>
      <c r="E114" s="273"/>
      <c r="F114" s="273"/>
      <c r="G114" s="273"/>
      <c r="H114" s="273"/>
      <c r="I114" s="273"/>
      <c r="J114" s="273" t="n">
        <v>-4225.221</v>
      </c>
      <c r="K114" s="273"/>
      <c r="L114" s="273"/>
      <c r="M114" s="273"/>
      <c r="N114" s="273"/>
      <c r="O114" s="273" t="n">
        <v>998.753</v>
      </c>
      <c r="P114" s="273"/>
      <c r="Q114" s="273"/>
      <c r="R114" s="273"/>
      <c r="S114" s="273"/>
      <c r="T114" s="273"/>
      <c r="U114" s="273"/>
      <c r="V114" s="273"/>
      <c r="W114" s="273"/>
      <c r="X114" s="273"/>
      <c r="Y114" s="274" t="n">
        <f aca="false">SUM(B114:X114)</f>
        <v>-3226.468</v>
      </c>
      <c r="Z114" s="272"/>
      <c r="AA114" s="275"/>
    </row>
    <row r="115" customFormat="false" ht="14.25" hidden="false" customHeight="false" outlineLevel="0" collapsed="false">
      <c r="A115" s="272" t="s">
        <v>447</v>
      </c>
      <c r="B115" s="273"/>
      <c r="C115" s="273"/>
      <c r="D115" s="273"/>
      <c r="E115" s="273"/>
      <c r="F115" s="273"/>
      <c r="G115" s="273"/>
      <c r="H115" s="273" t="n">
        <v>37.368</v>
      </c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4" t="n">
        <f aca="false">SUM(B115:X115)</f>
        <v>37.368</v>
      </c>
      <c r="Z115" s="272"/>
      <c r="AA115" s="275"/>
    </row>
    <row r="116" customFormat="false" ht="14.25" hidden="false" customHeight="false" outlineLevel="0" collapsed="false">
      <c r="A116" s="272" t="s">
        <v>448</v>
      </c>
      <c r="B116" s="273" t="n">
        <v>-45633.6</v>
      </c>
      <c r="C116" s="273" t="n">
        <v>-7847.163</v>
      </c>
      <c r="D116" s="273"/>
      <c r="E116" s="273"/>
      <c r="F116" s="273"/>
      <c r="G116" s="273"/>
      <c r="H116" s="273"/>
      <c r="I116" s="273"/>
      <c r="J116" s="273" t="n">
        <v>-53261.6175</v>
      </c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4" t="n">
        <f aca="false">SUM(B116:X116)</f>
        <v>-106742.3805</v>
      </c>
      <c r="Z116" s="272"/>
      <c r="AA116" s="275"/>
    </row>
    <row r="117" customFormat="false" ht="14.25" hidden="false" customHeight="false" outlineLevel="0" collapsed="false">
      <c r="A117" s="272" t="s">
        <v>443</v>
      </c>
      <c r="B117" s="273"/>
      <c r="C117" s="273"/>
      <c r="D117" s="273"/>
      <c r="E117" s="273"/>
      <c r="F117" s="273"/>
      <c r="G117" s="273"/>
      <c r="H117" s="273"/>
      <c r="I117" s="273" t="n">
        <v>-617.1</v>
      </c>
      <c r="J117" s="273"/>
      <c r="K117" s="273"/>
      <c r="L117" s="273"/>
      <c r="M117" s="273"/>
      <c r="N117" s="273" t="n">
        <v>-1683.42</v>
      </c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4" t="n">
        <f aca="false">SUM(B117:X117)</f>
        <v>-2300.52</v>
      </c>
      <c r="Z117" s="272"/>
      <c r="AA117" s="275"/>
    </row>
    <row r="118" customFormat="false" ht="14.25" hidden="false" customHeight="false" outlineLevel="0" collapsed="false">
      <c r="A118" s="272" t="s">
        <v>404</v>
      </c>
      <c r="B118" s="273" t="n">
        <v>-83378.592</v>
      </c>
      <c r="C118" s="273"/>
      <c r="D118" s="273" t="n">
        <v>-28549.422</v>
      </c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4" t="n">
        <f aca="false">SUM(B118:X118)</f>
        <v>-111928.014</v>
      </c>
      <c r="Z118" s="272"/>
      <c r="AA118" s="275"/>
    </row>
    <row r="119" customFormat="false" ht="14.25" hidden="false" customHeight="false" outlineLevel="0" collapsed="false">
      <c r="A119" s="272" t="s">
        <v>404</v>
      </c>
      <c r="B119" s="273"/>
      <c r="C119" s="273" t="n">
        <v>-2028.549</v>
      </c>
      <c r="D119" s="273" t="n">
        <v>-4299.723</v>
      </c>
      <c r="E119" s="273" t="n">
        <v>-1821.708</v>
      </c>
      <c r="F119" s="273"/>
      <c r="G119" s="273"/>
      <c r="H119" s="273"/>
      <c r="I119" s="273" t="n">
        <v>-3737.7405</v>
      </c>
      <c r="J119" s="273" t="n">
        <v>-36682.6005</v>
      </c>
      <c r="K119" s="273"/>
      <c r="L119" s="273"/>
      <c r="M119" s="273"/>
      <c r="N119" s="273" t="n">
        <v>-10331.25</v>
      </c>
      <c r="O119" s="273"/>
      <c r="P119" s="273" t="n">
        <v>-29763.909</v>
      </c>
      <c r="Q119" s="273"/>
      <c r="R119" s="273"/>
      <c r="S119" s="273"/>
      <c r="T119" s="273"/>
      <c r="U119" s="273"/>
      <c r="V119" s="273"/>
      <c r="W119" s="273"/>
      <c r="X119" s="273"/>
      <c r="Y119" s="274" t="n">
        <f aca="false">SUM(B119:X119)</f>
        <v>-88665.48</v>
      </c>
      <c r="Z119" s="272"/>
      <c r="AA119" s="275"/>
    </row>
    <row r="120" customFormat="false" ht="14.25" hidden="false" customHeight="false" outlineLevel="0" collapsed="false">
      <c r="A120" s="272" t="s">
        <v>390</v>
      </c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 t="n">
        <v>-1158.4755</v>
      </c>
      <c r="Q120" s="273"/>
      <c r="R120" s="273"/>
      <c r="S120" s="273"/>
      <c r="T120" s="273"/>
      <c r="U120" s="273"/>
      <c r="V120" s="273"/>
      <c r="W120" s="273"/>
      <c r="X120" s="273"/>
      <c r="Y120" s="274" t="n">
        <f aca="false">SUM(B120:X120)</f>
        <v>-1158.4755</v>
      </c>
      <c r="Z120" s="272"/>
      <c r="AA120" s="275"/>
    </row>
    <row r="121" customFormat="false" ht="14.25" hidden="false" customHeight="false" outlineLevel="0" collapsed="false">
      <c r="A121" s="272" t="s">
        <v>449</v>
      </c>
      <c r="B121" s="273"/>
      <c r="C121" s="273"/>
      <c r="D121" s="273"/>
      <c r="E121" s="273"/>
      <c r="F121" s="273"/>
      <c r="G121" s="273" t="n">
        <v>-4734.381</v>
      </c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4" t="n">
        <f aca="false">SUM(B121:X121)</f>
        <v>-4734.381</v>
      </c>
      <c r="Z121" s="272"/>
      <c r="AA121" s="275"/>
    </row>
    <row r="122" customFormat="false" ht="14.25" hidden="false" customHeight="false" outlineLevel="0" collapsed="false">
      <c r="A122" s="272" t="s">
        <v>450</v>
      </c>
      <c r="B122" s="273"/>
      <c r="C122" s="273"/>
      <c r="D122" s="273"/>
      <c r="E122" s="273"/>
      <c r="F122" s="273"/>
      <c r="G122" s="273" t="n">
        <v>11254.3425</v>
      </c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4" t="n">
        <f aca="false">SUM(B122:X122)</f>
        <v>11254.3425</v>
      </c>
      <c r="Z122" s="272"/>
      <c r="AA122" s="275"/>
    </row>
    <row r="123" customFormat="false" ht="14.25" hidden="false" customHeight="false" outlineLevel="0" collapsed="false">
      <c r="A123" s="272" t="s">
        <v>446</v>
      </c>
      <c r="B123" s="273" t="n">
        <v>-7341</v>
      </c>
      <c r="C123" s="273"/>
      <c r="D123" s="273"/>
      <c r="E123" s="273" t="n">
        <v>-200.34</v>
      </c>
      <c r="F123" s="273"/>
      <c r="G123" s="273"/>
      <c r="H123" s="273"/>
      <c r="I123" s="273"/>
      <c r="J123" s="273" t="n">
        <v>-253.278</v>
      </c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4" t="n">
        <f aca="false">SUM(B123:X123)</f>
        <v>-7794.618</v>
      </c>
      <c r="Z123" s="272"/>
      <c r="AA123" s="275"/>
    </row>
    <row r="124" customFormat="false" ht="14.25" hidden="false" customHeight="false" outlineLevel="0" collapsed="false">
      <c r="A124" s="272" t="s">
        <v>450</v>
      </c>
      <c r="B124" s="273"/>
      <c r="C124" s="273"/>
      <c r="D124" s="273"/>
      <c r="E124" s="273"/>
      <c r="F124" s="273"/>
      <c r="G124" s="273" t="n">
        <v>36522.642</v>
      </c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4" t="n">
        <f aca="false">SUM(B124:X124)</f>
        <v>36522.642</v>
      </c>
      <c r="Z124" s="272"/>
      <c r="AA124" s="275"/>
    </row>
    <row r="125" customFormat="false" ht="14.25" hidden="false" customHeight="false" outlineLevel="0" collapsed="false">
      <c r="A125" s="272" t="s">
        <v>451</v>
      </c>
      <c r="B125" s="273" t="n">
        <v>-8632.356</v>
      </c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4" t="n">
        <f aca="false">SUM(B125:X125)</f>
        <v>-8632.356</v>
      </c>
      <c r="Z125" s="272"/>
      <c r="AA125" s="275"/>
    </row>
    <row r="126" customFormat="false" ht="14.25" hidden="false" customHeight="false" outlineLevel="0" collapsed="false">
      <c r="A126" s="272" t="s">
        <v>452</v>
      </c>
      <c r="B126" s="273" t="n">
        <v>-509.288</v>
      </c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4" t="n">
        <f aca="false">SUM(B126:X126)</f>
        <v>-509.288</v>
      </c>
      <c r="Z126" s="272"/>
      <c r="AA126" s="275"/>
    </row>
    <row r="127" customFormat="false" ht="14.25" hidden="false" customHeight="false" outlineLevel="0" collapsed="false">
      <c r="A127" s="272" t="s">
        <v>453</v>
      </c>
      <c r="B127" s="273" t="n">
        <v>-17677.44</v>
      </c>
      <c r="C127" s="273" t="n">
        <v>-6512.948</v>
      </c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4" t="n">
        <f aca="false">SUM(B127:X127)</f>
        <v>-24190.388</v>
      </c>
      <c r="Z127" s="272"/>
      <c r="AA127" s="275"/>
    </row>
    <row r="128" customFormat="false" ht="14.25" hidden="false" customHeight="false" outlineLevel="0" collapsed="false">
      <c r="A128" s="272" t="s">
        <v>454</v>
      </c>
      <c r="B128" s="273"/>
      <c r="C128" s="273"/>
      <c r="D128" s="273"/>
      <c r="E128" s="273"/>
      <c r="F128" s="273"/>
      <c r="G128" s="273"/>
      <c r="H128" s="273"/>
      <c r="I128" s="273"/>
      <c r="J128" s="273" t="n">
        <v>-4410.7295</v>
      </c>
      <c r="K128" s="273"/>
      <c r="L128" s="273" t="n">
        <v>-3748.104</v>
      </c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4" t="n">
        <f aca="false">SUM(B128:X128)</f>
        <v>-8158.8335</v>
      </c>
      <c r="Z128" s="272"/>
      <c r="AA128" s="275"/>
    </row>
    <row r="129" customFormat="false" ht="14.25" hidden="false" customHeight="false" outlineLevel="0" collapsed="false">
      <c r="A129" s="272" t="s">
        <v>455</v>
      </c>
      <c r="B129" s="273" t="n">
        <v>-7269.114</v>
      </c>
      <c r="C129" s="273" t="n">
        <v>-1514.1</v>
      </c>
      <c r="D129" s="273"/>
      <c r="E129" s="273" t="n">
        <v>-572.4</v>
      </c>
      <c r="F129" s="273"/>
      <c r="G129" s="273"/>
      <c r="H129" s="273"/>
      <c r="I129" s="273"/>
      <c r="J129" s="273" t="n">
        <v>-1266.39</v>
      </c>
      <c r="K129" s="273"/>
      <c r="L129" s="273"/>
      <c r="M129" s="273"/>
      <c r="N129" s="273" t="n">
        <v>-1973.076</v>
      </c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4" t="n">
        <f aca="false">SUM(B129:X129)</f>
        <v>-12595.08</v>
      </c>
      <c r="Z129" s="272"/>
      <c r="AA129" s="275"/>
    </row>
    <row r="130" customFormat="false" ht="14.25" hidden="false" customHeight="false" outlineLevel="0" collapsed="false">
      <c r="A130" s="272" t="s">
        <v>456</v>
      </c>
      <c r="B130" s="273"/>
      <c r="C130" s="273"/>
      <c r="D130" s="273"/>
      <c r="E130" s="273" t="n">
        <v>-1112.28</v>
      </c>
      <c r="F130" s="273"/>
      <c r="G130" s="273"/>
      <c r="H130" s="273"/>
      <c r="I130" s="273"/>
      <c r="J130" s="273"/>
      <c r="K130" s="273"/>
      <c r="L130" s="273"/>
      <c r="M130" s="273" t="n">
        <v>-1022.625</v>
      </c>
      <c r="N130" s="273" t="n">
        <v>-1731.794</v>
      </c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4" t="n">
        <f aca="false">SUM(B130:X130)</f>
        <v>-3866.699</v>
      </c>
      <c r="Z130" s="272"/>
      <c r="AA130" s="275"/>
    </row>
    <row r="131" customFormat="false" ht="14.25" hidden="false" customHeight="false" outlineLevel="0" collapsed="false">
      <c r="A131" s="272" t="s">
        <v>457</v>
      </c>
      <c r="B131" s="273"/>
      <c r="C131" s="273"/>
      <c r="D131" s="273"/>
      <c r="E131" s="273" t="n">
        <v>-435.24</v>
      </c>
      <c r="F131" s="273" t="n">
        <v>-882.783</v>
      </c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4" t="n">
        <f aca="false">SUM(B131:X131)</f>
        <v>-1318.023</v>
      </c>
      <c r="Z131" s="272"/>
      <c r="AA131" s="275"/>
    </row>
    <row r="132" customFormat="false" ht="14.25" hidden="false" customHeight="false" outlineLevel="0" collapsed="false">
      <c r="A132" s="272" t="s">
        <v>458</v>
      </c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 t="n">
        <v>-409.05</v>
      </c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4" t="n">
        <f aca="false">SUM(B132:X132)</f>
        <v>-409.05</v>
      </c>
      <c r="Z132" s="272"/>
      <c r="AA132" s="275"/>
    </row>
    <row r="133" customFormat="false" ht="14.25" hidden="false" customHeight="false" outlineLevel="0" collapsed="false">
      <c r="A133" s="272" t="s">
        <v>459</v>
      </c>
      <c r="B133" s="273" t="n">
        <v>-3498.576</v>
      </c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4" t="n">
        <f aca="false">SUM(B133:X133)</f>
        <v>-3498.576</v>
      </c>
      <c r="Z133" s="272"/>
      <c r="AA133" s="275"/>
    </row>
    <row r="134" customFormat="false" ht="14.25" hidden="false" customHeight="false" outlineLevel="0" collapsed="false">
      <c r="A134" s="272" t="s">
        <v>460</v>
      </c>
      <c r="B134" s="273" t="n">
        <v>-874.644</v>
      </c>
      <c r="C134" s="273"/>
      <c r="D134" s="273"/>
      <c r="E134" s="273" t="n">
        <v>-967.2</v>
      </c>
      <c r="F134" s="273"/>
      <c r="G134" s="273"/>
      <c r="H134" s="273"/>
      <c r="I134" s="273"/>
      <c r="J134" s="273" t="n">
        <v>-131.8455</v>
      </c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4" t="n">
        <f aca="false">SUM(B134:X134)</f>
        <v>-1973.6895</v>
      </c>
      <c r="Z134" s="272"/>
      <c r="AA134" s="275"/>
    </row>
    <row r="135" customFormat="false" ht="14.25" hidden="false" customHeight="false" outlineLevel="0" collapsed="false">
      <c r="A135" s="272" t="s">
        <v>461</v>
      </c>
      <c r="B135" s="273"/>
      <c r="C135" s="273"/>
      <c r="D135" s="273"/>
      <c r="E135" s="273" t="n">
        <v>-954</v>
      </c>
      <c r="F135" s="273"/>
      <c r="G135" s="273"/>
      <c r="H135" s="273" t="n">
        <v>274.032</v>
      </c>
      <c r="I135" s="273"/>
      <c r="J135" s="273"/>
      <c r="K135" s="273"/>
      <c r="L135" s="273"/>
      <c r="M135" s="273"/>
      <c r="N135" s="273" t="n">
        <v>-561.14</v>
      </c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4" t="n">
        <f aca="false">SUM(B135:X135)</f>
        <v>-1241.108</v>
      </c>
      <c r="Z135" s="272"/>
      <c r="AA135" s="275"/>
    </row>
    <row r="136" customFormat="false" ht="14.25" hidden="false" customHeight="false" outlineLevel="0" collapsed="false">
      <c r="A136" s="272" t="s">
        <v>462</v>
      </c>
      <c r="B136" s="273"/>
      <c r="C136" s="273"/>
      <c r="D136" s="273"/>
      <c r="E136" s="273"/>
      <c r="F136" s="273" t="n">
        <v>-1466.55</v>
      </c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4" t="n">
        <f aca="false">SUM(B136:X136)</f>
        <v>-1466.55</v>
      </c>
      <c r="Z136" s="272"/>
      <c r="AA136" s="275"/>
    </row>
    <row r="137" customFormat="false" ht="14.25" hidden="false" customHeight="false" outlineLevel="0" collapsed="false">
      <c r="A137" s="272" t="s">
        <v>463</v>
      </c>
      <c r="B137" s="273"/>
      <c r="C137" s="273"/>
      <c r="D137" s="273"/>
      <c r="E137" s="273"/>
      <c r="F137" s="273" t="n">
        <v>-285.9</v>
      </c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4" t="n">
        <f aca="false">SUM(B137:X137)</f>
        <v>-285.9</v>
      </c>
      <c r="Z137" s="272"/>
      <c r="AA137" s="275"/>
    </row>
    <row r="138" customFormat="false" ht="14.25" hidden="false" customHeight="false" outlineLevel="0" collapsed="false">
      <c r="A138" s="272" t="s">
        <v>464</v>
      </c>
      <c r="B138" s="273" t="n">
        <v>-5094.24</v>
      </c>
      <c r="C138" s="273"/>
      <c r="D138" s="273"/>
      <c r="E138" s="273"/>
      <c r="F138" s="273"/>
      <c r="G138" s="273"/>
      <c r="H138" s="273"/>
      <c r="I138" s="273"/>
      <c r="J138" s="273" t="n">
        <v>-2560.74</v>
      </c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4" t="n">
        <f aca="false">SUM(B138:X138)</f>
        <v>-7654.98</v>
      </c>
      <c r="Z138" s="272"/>
      <c r="AA138" s="275"/>
    </row>
    <row r="139" customFormat="false" ht="14.25" hidden="false" customHeight="false" outlineLevel="0" collapsed="false">
      <c r="A139" s="272" t="s">
        <v>465</v>
      </c>
      <c r="B139" s="273" t="n">
        <v>-11462.04</v>
      </c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4" t="n">
        <f aca="false">SUM(B139:X139)</f>
        <v>-11462.04</v>
      </c>
      <c r="Z139" s="272"/>
      <c r="AA139" s="275"/>
    </row>
    <row r="140" customFormat="false" ht="14.25" hidden="false" customHeight="false" outlineLevel="0" collapsed="false">
      <c r="A140" s="272" t="s">
        <v>466</v>
      </c>
      <c r="B140" s="273"/>
      <c r="C140" s="273"/>
      <c r="D140" s="273"/>
      <c r="E140" s="273" t="n">
        <v>-76.32</v>
      </c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4" t="n">
        <f aca="false">SUM(B140:X140)</f>
        <v>-76.32</v>
      </c>
      <c r="Z140" s="272"/>
      <c r="AA140" s="275"/>
    </row>
    <row r="141" customFormat="false" ht="14.25" hidden="false" customHeight="false" outlineLevel="0" collapsed="false">
      <c r="A141" s="272" t="s">
        <v>467</v>
      </c>
      <c r="B141" s="273"/>
      <c r="C141" s="273"/>
      <c r="D141" s="273"/>
      <c r="E141" s="273" t="n">
        <v>-14329.564</v>
      </c>
      <c r="F141" s="273"/>
      <c r="G141" s="273"/>
      <c r="H141" s="273" t="n">
        <v>1868.4</v>
      </c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4" t="n">
        <f aca="false">SUM(B141:X141)</f>
        <v>-12461.164</v>
      </c>
      <c r="Z141" s="272"/>
      <c r="AA141" s="275"/>
    </row>
    <row r="142" customFormat="false" ht="14.25" hidden="false" customHeight="false" outlineLevel="0" collapsed="false">
      <c r="A142" s="272" t="s">
        <v>392</v>
      </c>
      <c r="B142" s="273" t="n">
        <v>-18663.6</v>
      </c>
      <c r="C142" s="273"/>
      <c r="D142" s="273"/>
      <c r="E142" s="273"/>
      <c r="F142" s="273"/>
      <c r="G142" s="273"/>
      <c r="H142" s="273" t="n">
        <v>786.675</v>
      </c>
      <c r="I142" s="273" t="n">
        <v>-462.825</v>
      </c>
      <c r="J142" s="273" t="n">
        <v>-633.195</v>
      </c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4" t="n">
        <f aca="false">SUM(B142:X142)</f>
        <v>-18972.945</v>
      </c>
      <c r="Z142" s="272"/>
      <c r="AA142" s="275"/>
    </row>
    <row r="143" customFormat="false" ht="14.25" hidden="false" customHeight="false" outlineLevel="0" collapsed="false">
      <c r="A143" s="272" t="s">
        <v>392</v>
      </c>
      <c r="B143" s="273" t="n">
        <v>-12457.945</v>
      </c>
      <c r="C143" s="273" t="n">
        <v>-1514.8</v>
      </c>
      <c r="D143" s="273"/>
      <c r="E143" s="273"/>
      <c r="F143" s="273"/>
      <c r="G143" s="273"/>
      <c r="H143" s="273" t="n">
        <v>-2534.8605</v>
      </c>
      <c r="I143" s="273" t="n">
        <v>-3085.5</v>
      </c>
      <c r="J143" s="273" t="n">
        <v>-12663.9005</v>
      </c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4" t="n">
        <f aca="false">SUM(B143:X143)</f>
        <v>-32257.006</v>
      </c>
      <c r="Z143" s="272"/>
      <c r="AA143" s="275"/>
    </row>
    <row r="144" customFormat="false" ht="14.25" hidden="false" customHeight="false" outlineLevel="0" collapsed="false">
      <c r="A144" s="272" t="s">
        <v>468</v>
      </c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 t="n">
        <v>-1380.558</v>
      </c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4" t="n">
        <f aca="false">SUM(B144:X144)</f>
        <v>-1380.558</v>
      </c>
      <c r="Z144" s="272"/>
      <c r="AA144" s="275"/>
    </row>
    <row r="145" customFormat="false" ht="14.25" hidden="false" customHeight="false" outlineLevel="0" collapsed="false">
      <c r="A145" s="272" t="s">
        <v>469</v>
      </c>
      <c r="B145" s="273"/>
      <c r="C145" s="273"/>
      <c r="D145" s="273"/>
      <c r="E145" s="273"/>
      <c r="F145" s="273"/>
      <c r="G145" s="273"/>
      <c r="H145" s="273" t="n">
        <v>2877.336</v>
      </c>
      <c r="I145" s="273" t="n">
        <v>-4531.68</v>
      </c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4" t="n">
        <f aca="false">SUM(B145:X145)</f>
        <v>-1654.344</v>
      </c>
      <c r="Z145" s="272"/>
      <c r="AA145" s="275"/>
    </row>
    <row r="146" customFormat="false" ht="14.25" hidden="false" customHeight="false" outlineLevel="0" collapsed="false">
      <c r="A146" s="272" t="s">
        <v>470</v>
      </c>
      <c r="B146" s="273" t="n">
        <v>-835.515</v>
      </c>
      <c r="C146" s="273"/>
      <c r="D146" s="273"/>
      <c r="E146" s="273"/>
      <c r="F146" s="273"/>
      <c r="G146" s="273"/>
      <c r="H146" s="273"/>
      <c r="I146" s="273"/>
      <c r="J146" s="273" t="n">
        <v>-881.1165</v>
      </c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4" t="n">
        <f aca="false">SUM(B146:X146)</f>
        <v>-1716.6315</v>
      </c>
      <c r="Z146" s="272"/>
      <c r="AA146" s="275"/>
    </row>
    <row r="147" customFormat="false" ht="14.25" hidden="false" customHeight="false" outlineLevel="0" collapsed="false">
      <c r="A147" s="272" t="s">
        <v>396</v>
      </c>
      <c r="B147" s="273" t="n">
        <v>-2815.995</v>
      </c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4" t="n">
        <f aca="false">SUM(B147:X147)</f>
        <v>-2815.995</v>
      </c>
      <c r="Z147" s="272"/>
      <c r="AA147" s="275"/>
    </row>
    <row r="148" customFormat="false" ht="14.25" hidden="false" customHeight="false" outlineLevel="0" collapsed="false">
      <c r="A148" s="272" t="s">
        <v>404</v>
      </c>
      <c r="B148" s="273"/>
      <c r="C148" s="273"/>
      <c r="D148" s="273" t="n">
        <v>2300.4</v>
      </c>
      <c r="E148" s="273"/>
      <c r="F148" s="273"/>
      <c r="G148" s="273"/>
      <c r="H148" s="273" t="n">
        <v>5605.2</v>
      </c>
      <c r="I148" s="273" t="n">
        <v>-14581.404</v>
      </c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4" t="n">
        <f aca="false">SUM(B148:X148)</f>
        <v>-6675.804</v>
      </c>
      <c r="Z148" s="272"/>
      <c r="AA148" s="275"/>
    </row>
    <row r="149" customFormat="false" ht="14.25" hidden="false" customHeight="false" outlineLevel="0" collapsed="false">
      <c r="A149" s="272" t="s">
        <v>471</v>
      </c>
      <c r="B149" s="273" t="n">
        <v>-4641.75</v>
      </c>
      <c r="C149" s="273" t="n">
        <v>-6.074</v>
      </c>
      <c r="D149" s="273"/>
      <c r="E149" s="273"/>
      <c r="F149" s="273"/>
      <c r="G149" s="273"/>
      <c r="H149" s="273" t="n">
        <v>560.52</v>
      </c>
      <c r="I149" s="273"/>
      <c r="J149" s="273" t="n">
        <v>-9612.18</v>
      </c>
      <c r="K149" s="273"/>
      <c r="L149" s="273"/>
      <c r="M149" s="273"/>
      <c r="N149" s="273" t="n">
        <v>-11274.72</v>
      </c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4" t="n">
        <f aca="false">SUM(B149:X149)</f>
        <v>-24974.204</v>
      </c>
      <c r="Z149" s="272"/>
      <c r="AA149" s="275"/>
    </row>
    <row r="150" customFormat="false" ht="14.25" hidden="false" customHeight="false" outlineLevel="0" collapsed="false">
      <c r="A150" s="272" t="s">
        <v>472</v>
      </c>
      <c r="B150" s="273" t="n">
        <v>-9953.92</v>
      </c>
      <c r="C150" s="273"/>
      <c r="D150" s="273"/>
      <c r="E150" s="273"/>
      <c r="F150" s="273"/>
      <c r="G150" s="273"/>
      <c r="H150" s="273"/>
      <c r="I150" s="273"/>
      <c r="J150" s="273" t="n">
        <v>-8486.37</v>
      </c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4" t="n">
        <f aca="false">SUM(B150:X150)</f>
        <v>-18440.29</v>
      </c>
      <c r="Z150" s="272"/>
      <c r="AA150" s="275"/>
    </row>
    <row r="151" customFormat="false" ht="14.25" hidden="false" customHeight="false" outlineLevel="0" collapsed="false">
      <c r="A151" s="272" t="s">
        <v>473</v>
      </c>
      <c r="B151" s="273" t="n">
        <v>-1485.36</v>
      </c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4" t="n">
        <f aca="false">SUM(B151:X151)</f>
        <v>-1485.36</v>
      </c>
      <c r="Z151" s="272"/>
      <c r="AA151" s="275"/>
    </row>
    <row r="152" customFormat="false" ht="14.25" hidden="false" customHeight="false" outlineLevel="0" collapsed="false">
      <c r="A152" s="272" t="s">
        <v>474</v>
      </c>
      <c r="B152" s="273" t="n">
        <v>-2104.26</v>
      </c>
      <c r="C152" s="273"/>
      <c r="D152" s="273"/>
      <c r="E152" s="273" t="n">
        <v>-34.986</v>
      </c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4" t="n">
        <f aca="false">SUM(B152:X152)</f>
        <v>-2139.246</v>
      </c>
      <c r="Z152" s="272"/>
      <c r="AA152" s="275"/>
    </row>
    <row r="153" customFormat="false" ht="14.25" hidden="false" customHeight="false" outlineLevel="0" collapsed="false">
      <c r="A153" s="272" t="s">
        <v>475</v>
      </c>
      <c r="B153" s="273" t="n">
        <v>-618.9</v>
      </c>
      <c r="C153" s="273"/>
      <c r="D153" s="273"/>
      <c r="E153" s="273"/>
      <c r="F153" s="273" t="n">
        <v>-66.8775</v>
      </c>
      <c r="G153" s="273"/>
      <c r="H153" s="273"/>
      <c r="I153" s="273"/>
      <c r="J153" s="273" t="n">
        <v>-480.609</v>
      </c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4" t="n">
        <f aca="false">SUM(B153:X153)</f>
        <v>-1166.3865</v>
      </c>
      <c r="Z153" s="272"/>
      <c r="AA153" s="275"/>
    </row>
    <row r="154" customFormat="false" ht="14.25" hidden="false" customHeight="false" outlineLevel="0" collapsed="false">
      <c r="A154" s="272" t="s">
        <v>476</v>
      </c>
      <c r="B154" s="273" t="n">
        <v>-309.45</v>
      </c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4" t="n">
        <f aca="false">SUM(B154:X154)</f>
        <v>-309.45</v>
      </c>
      <c r="Z154" s="272"/>
      <c r="AA154" s="275"/>
    </row>
    <row r="155" customFormat="false" ht="14.25" hidden="false" customHeight="false" outlineLevel="0" collapsed="false">
      <c r="A155" s="272" t="s">
        <v>477</v>
      </c>
      <c r="B155" s="273" t="n">
        <v>-618.9</v>
      </c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4" t="n">
        <f aca="false">SUM(B155:X155)</f>
        <v>-618.9</v>
      </c>
      <c r="Z155" s="272"/>
      <c r="AA155" s="275"/>
    </row>
    <row r="156" customFormat="false" ht="14.25" hidden="false" customHeight="false" outlineLevel="0" collapsed="false">
      <c r="A156" s="272" t="s">
        <v>478</v>
      </c>
      <c r="B156" s="273" t="n">
        <v>-1052.13</v>
      </c>
      <c r="C156" s="273" t="n">
        <v>-692.9025</v>
      </c>
      <c r="D156" s="273"/>
      <c r="E156" s="273" t="n">
        <v>-71.55</v>
      </c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4" t="n">
        <f aca="false">SUM(B156:X156)</f>
        <v>-1816.5825</v>
      </c>
      <c r="Z156" s="272"/>
      <c r="AA156" s="275"/>
    </row>
    <row r="157" customFormat="false" ht="14.25" hidden="false" customHeight="false" outlineLevel="0" collapsed="false">
      <c r="A157" s="272" t="s">
        <v>479</v>
      </c>
      <c r="B157" s="273"/>
      <c r="C157" s="273"/>
      <c r="D157" s="273"/>
      <c r="E157" s="273"/>
      <c r="F157" s="273" t="n">
        <v>-3905.646</v>
      </c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4" t="n">
        <f aca="false">SUM(B157:X157)</f>
        <v>-3905.646</v>
      </c>
      <c r="Z157" s="272"/>
      <c r="AA157" s="275"/>
    </row>
    <row r="158" customFormat="false" ht="14.25" hidden="false" customHeight="false" outlineLevel="0" collapsed="false">
      <c r="A158" s="272" t="s">
        <v>480</v>
      </c>
      <c r="B158" s="273" t="n">
        <v>-216.615</v>
      </c>
      <c r="C158" s="273" t="n">
        <v>-1385.805</v>
      </c>
      <c r="D158" s="273"/>
      <c r="E158" s="273" t="n">
        <v>-100.17</v>
      </c>
      <c r="F158" s="273"/>
      <c r="G158" s="273"/>
      <c r="H158" s="273" t="n">
        <v>186.84</v>
      </c>
      <c r="I158" s="273" t="n">
        <v>-1132.92</v>
      </c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4" t="n">
        <f aca="false">SUM(B158:X158)</f>
        <v>-2648.67</v>
      </c>
      <c r="Z158" s="272"/>
      <c r="AA158" s="275"/>
    </row>
    <row r="159" customFormat="false" ht="14.25" hidden="false" customHeight="false" outlineLevel="0" collapsed="false">
      <c r="A159" s="272" t="s">
        <v>481</v>
      </c>
      <c r="B159" s="273" t="n">
        <v>-154.725</v>
      </c>
      <c r="C159" s="273"/>
      <c r="D159" s="273"/>
      <c r="E159" s="273"/>
      <c r="F159" s="273"/>
      <c r="G159" s="273"/>
      <c r="H159" s="273" t="n">
        <v>560.52</v>
      </c>
      <c r="I159" s="273" t="n">
        <v>-3398.76</v>
      </c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4" t="n">
        <f aca="false">SUM(B159:X159)</f>
        <v>-2992.965</v>
      </c>
      <c r="Z159" s="272"/>
      <c r="AA159" s="275"/>
    </row>
    <row r="160" customFormat="false" ht="14.25" hidden="false" customHeight="false" outlineLevel="0" collapsed="false">
      <c r="A160" s="272" t="s">
        <v>482</v>
      </c>
      <c r="B160" s="273"/>
      <c r="C160" s="273"/>
      <c r="D160" s="273"/>
      <c r="E160" s="273"/>
      <c r="F160" s="273"/>
      <c r="G160" s="273"/>
      <c r="H160" s="273"/>
      <c r="I160" s="273"/>
      <c r="J160" s="273" t="n">
        <v>-1602.03</v>
      </c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4" t="n">
        <f aca="false">SUM(B160:X160)</f>
        <v>-1602.03</v>
      </c>
      <c r="Z160" s="272"/>
      <c r="AA160" s="275"/>
    </row>
    <row r="161" customFormat="false" ht="14.25" hidden="false" customHeight="false" outlineLevel="0" collapsed="false">
      <c r="A161" s="272" t="s">
        <v>483</v>
      </c>
      <c r="B161" s="273" t="n">
        <v>-185.67</v>
      </c>
      <c r="C161" s="273" t="n">
        <v>-4157.415</v>
      </c>
      <c r="D161" s="273"/>
      <c r="E161" s="273" t="n">
        <v>-286.2</v>
      </c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4" t="n">
        <f aca="false">SUM(B161:X161)</f>
        <v>-4629.285</v>
      </c>
      <c r="Z161" s="272"/>
      <c r="AA161" s="275"/>
    </row>
    <row r="162" customFormat="false" ht="14.25" hidden="false" customHeight="false" outlineLevel="0" collapsed="false">
      <c r="A162" s="272" t="s">
        <v>484</v>
      </c>
      <c r="B162" s="273" t="n">
        <v>-3126.153</v>
      </c>
      <c r="C162" s="273" t="n">
        <v>-8037.669</v>
      </c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4" t="n">
        <f aca="false">SUM(B162:X162)</f>
        <v>-11163.822</v>
      </c>
      <c r="Z162" s="272"/>
      <c r="AA162" s="275"/>
    </row>
    <row r="163" customFormat="false" ht="14.25" hidden="false" customHeight="false" outlineLevel="0" collapsed="false">
      <c r="A163" s="272" t="s">
        <v>485</v>
      </c>
      <c r="B163" s="273"/>
      <c r="C163" s="273" t="n">
        <v>16.632</v>
      </c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4" t="n">
        <f aca="false">SUM(B163:X163)</f>
        <v>16.632</v>
      </c>
      <c r="Z163" s="272"/>
      <c r="AA163" s="275"/>
    </row>
    <row r="164" customFormat="false" ht="14.25" hidden="false" customHeight="false" outlineLevel="0" collapsed="false">
      <c r="A164" s="272" t="s">
        <v>486</v>
      </c>
      <c r="B164" s="273" t="n">
        <v>-4105.992</v>
      </c>
      <c r="C164" s="273" t="n">
        <v>-2521.38</v>
      </c>
      <c r="D164" s="273"/>
      <c r="E164" s="273" t="n">
        <v>-572.4</v>
      </c>
      <c r="F164" s="273"/>
      <c r="G164" s="273"/>
      <c r="H164" s="273"/>
      <c r="I164" s="273"/>
      <c r="J164" s="273"/>
      <c r="K164" s="273"/>
      <c r="L164" s="273"/>
      <c r="M164" s="273"/>
      <c r="N164" s="273" t="n">
        <v>-3282.669</v>
      </c>
      <c r="O164" s="273"/>
      <c r="P164" s="273" t="n">
        <v>-3564.54</v>
      </c>
      <c r="Q164" s="273"/>
      <c r="R164" s="273"/>
      <c r="S164" s="273"/>
      <c r="T164" s="273"/>
      <c r="U164" s="273"/>
      <c r="V164" s="273"/>
      <c r="W164" s="273"/>
      <c r="X164" s="273"/>
      <c r="Y164" s="274" t="n">
        <f aca="false">SUM(B164:X164)</f>
        <v>-14046.981</v>
      </c>
      <c r="Z164" s="272"/>
      <c r="AA164" s="275"/>
    </row>
    <row r="165" customFormat="false" ht="14.25" hidden="false" customHeight="false" outlineLevel="0" collapsed="false">
      <c r="A165" s="272" t="s">
        <v>396</v>
      </c>
      <c r="B165" s="273" t="n">
        <v>-22460.883</v>
      </c>
      <c r="C165" s="273"/>
      <c r="D165" s="273"/>
      <c r="E165" s="273"/>
      <c r="F165" s="273"/>
      <c r="G165" s="273"/>
      <c r="H165" s="273"/>
      <c r="I165" s="273"/>
      <c r="J165" s="273" t="n">
        <v>-2082.639</v>
      </c>
      <c r="K165" s="273"/>
      <c r="L165" s="273"/>
      <c r="M165" s="273"/>
      <c r="N165" s="273" t="n">
        <v>-6207.087</v>
      </c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4" t="n">
        <f aca="false">SUM(B165:X165)</f>
        <v>-30750.609</v>
      </c>
      <c r="Z165" s="272"/>
      <c r="AA165" s="275"/>
    </row>
    <row r="166" customFormat="false" ht="14.25" hidden="false" customHeight="false" outlineLevel="0" collapsed="false">
      <c r="A166" s="272" t="s">
        <v>471</v>
      </c>
      <c r="B166" s="273"/>
      <c r="C166" s="273" t="n">
        <v>-1286.985</v>
      </c>
      <c r="D166" s="273" t="n">
        <v>685.35</v>
      </c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4" t="n">
        <f aca="false">SUM(B166:X166)</f>
        <v>-601.635</v>
      </c>
      <c r="Z166" s="272"/>
      <c r="AA166" s="275"/>
    </row>
    <row r="167" customFormat="false" ht="14.25" hidden="false" customHeight="false" outlineLevel="0" collapsed="false">
      <c r="A167" s="272" t="s">
        <v>487</v>
      </c>
      <c r="B167" s="273"/>
      <c r="C167" s="273" t="n">
        <v>-151.41</v>
      </c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4" t="n">
        <f aca="false">SUM(B167:X167)</f>
        <v>-151.41</v>
      </c>
      <c r="Z167" s="272"/>
      <c r="AA167" s="275"/>
    </row>
    <row r="168" customFormat="false" ht="14.25" hidden="false" customHeight="false" outlineLevel="0" collapsed="false">
      <c r="A168" s="272" t="s">
        <v>488</v>
      </c>
      <c r="B168" s="273" t="n">
        <v>-3452.766</v>
      </c>
      <c r="C168" s="273"/>
      <c r="D168" s="273" t="n">
        <v>13.707</v>
      </c>
      <c r="E168" s="273" t="n">
        <v>-343.44</v>
      </c>
      <c r="F168" s="273"/>
      <c r="G168" s="273"/>
      <c r="H168" s="273"/>
      <c r="I168" s="273"/>
      <c r="J168" s="273"/>
      <c r="K168" s="273"/>
      <c r="L168" s="273"/>
      <c r="M168" s="273"/>
      <c r="N168" s="273"/>
      <c r="O168" s="273" t="n">
        <v>148.92</v>
      </c>
      <c r="P168" s="273"/>
      <c r="Q168" s="273"/>
      <c r="R168" s="273"/>
      <c r="S168" s="273"/>
      <c r="T168" s="273"/>
      <c r="U168" s="273"/>
      <c r="V168" s="273"/>
      <c r="W168" s="273"/>
      <c r="X168" s="273"/>
      <c r="Y168" s="274" t="n">
        <f aca="false">SUM(B168:X168)</f>
        <v>-3633.579</v>
      </c>
      <c r="Z168" s="272"/>
      <c r="AA168" s="275"/>
    </row>
    <row r="169" customFormat="false" ht="14.25" hidden="false" customHeight="false" outlineLevel="0" collapsed="false">
      <c r="A169" s="272" t="s">
        <v>489</v>
      </c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 t="n">
        <v>-891.135</v>
      </c>
      <c r="Q169" s="273"/>
      <c r="R169" s="273"/>
      <c r="S169" s="273"/>
      <c r="T169" s="273"/>
      <c r="U169" s="273"/>
      <c r="V169" s="273"/>
      <c r="W169" s="273"/>
      <c r="X169" s="273"/>
      <c r="Y169" s="274" t="n">
        <f aca="false">SUM(B169:X169)</f>
        <v>-891.135</v>
      </c>
      <c r="Z169" s="272"/>
      <c r="AA169" s="275"/>
    </row>
    <row r="170" customFormat="false" ht="14.25" hidden="false" customHeight="false" outlineLevel="0" collapsed="false">
      <c r="A170" s="272" t="s">
        <v>442</v>
      </c>
      <c r="B170" s="273"/>
      <c r="C170" s="273"/>
      <c r="D170" s="273"/>
      <c r="E170" s="273" t="n">
        <v>-1917.54</v>
      </c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4" t="n">
        <f aca="false">SUM(B170:X170)</f>
        <v>-1917.54</v>
      </c>
      <c r="Z170" s="272"/>
      <c r="AA170" s="275"/>
    </row>
    <row r="171" customFormat="false" ht="14.25" hidden="false" customHeight="false" outlineLevel="0" collapsed="false">
      <c r="A171" s="272" t="s">
        <v>409</v>
      </c>
      <c r="B171" s="273"/>
      <c r="C171" s="273"/>
      <c r="D171" s="273"/>
      <c r="E171" s="273" t="n">
        <v>-858.6</v>
      </c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4" t="n">
        <f aca="false">SUM(B171:X171)</f>
        <v>-858.6</v>
      </c>
      <c r="Z171" s="272"/>
      <c r="AA171" s="275"/>
    </row>
    <row r="172" customFormat="false" ht="14.25" hidden="false" customHeight="false" outlineLevel="0" collapsed="false">
      <c r="A172" s="272" t="s">
        <v>406</v>
      </c>
      <c r="B172" s="273"/>
      <c r="C172" s="273"/>
      <c r="D172" s="273"/>
      <c r="E172" s="273" t="n">
        <v>-225.585</v>
      </c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4" t="n">
        <f aca="false">SUM(B172:X172)</f>
        <v>-225.585</v>
      </c>
      <c r="Z172" s="272"/>
      <c r="AA172" s="275"/>
    </row>
    <row r="173" customFormat="false" ht="14.25" hidden="false" customHeight="false" outlineLevel="0" collapsed="false">
      <c r="A173" s="272" t="s">
        <v>490</v>
      </c>
      <c r="B173" s="273"/>
      <c r="C173" s="273" t="n">
        <v>-12414.963</v>
      </c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4" t="n">
        <f aca="false">SUM(B173:X173)</f>
        <v>-12414.963</v>
      </c>
      <c r="Z173" s="272"/>
      <c r="AA173" s="275"/>
    </row>
    <row r="174" customFormat="false" ht="14.25" hidden="false" customHeight="false" outlineLevel="0" collapsed="false">
      <c r="A174" s="272" t="s">
        <v>417</v>
      </c>
      <c r="B174" s="273"/>
      <c r="C174" s="273"/>
      <c r="D174" s="273"/>
      <c r="E174" s="273" t="n">
        <v>-1917.54</v>
      </c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4" t="n">
        <f aca="false">SUM(B174:X174)</f>
        <v>-1917.54</v>
      </c>
      <c r="Z174" s="272"/>
      <c r="AA174" s="275"/>
    </row>
    <row r="175" customFormat="false" ht="14.25" hidden="false" customHeight="false" outlineLevel="0" collapsed="false">
      <c r="A175" s="272" t="s">
        <v>491</v>
      </c>
      <c r="B175" s="273" t="n">
        <v>-9331.8</v>
      </c>
      <c r="C175" s="273" t="n">
        <v>565.212</v>
      </c>
      <c r="D175" s="273"/>
      <c r="E175" s="273" t="n">
        <v>-672.57</v>
      </c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4" t="n">
        <f aca="false">SUM(B175:X175)</f>
        <v>-9439.158</v>
      </c>
      <c r="Z175" s="272"/>
      <c r="AA175" s="275"/>
    </row>
    <row r="176" customFormat="false" ht="14.25" hidden="false" customHeight="false" outlineLevel="0" collapsed="false">
      <c r="A176" s="272" t="s">
        <v>492</v>
      </c>
      <c r="B176" s="273"/>
      <c r="C176" s="273"/>
      <c r="D176" s="273"/>
      <c r="E176" s="273"/>
      <c r="F176" s="273" t="n">
        <v>-20.013</v>
      </c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4" t="n">
        <f aca="false">SUM(B176:X176)</f>
        <v>-20.013</v>
      </c>
      <c r="Z176" s="272"/>
      <c r="AA176" s="275"/>
    </row>
    <row r="177" customFormat="false" ht="14.25" hidden="false" customHeight="false" outlineLevel="0" collapsed="false">
      <c r="A177" s="272" t="s">
        <v>493</v>
      </c>
      <c r="B177" s="273"/>
      <c r="C177" s="273"/>
      <c r="D177" s="273"/>
      <c r="E177" s="273"/>
      <c r="F177" s="273" t="n">
        <v>-28.59</v>
      </c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4" t="n">
        <f aca="false">SUM(B177:X177)</f>
        <v>-28.59</v>
      </c>
      <c r="Z177" s="272"/>
      <c r="AA177" s="275"/>
    </row>
    <row r="178" customFormat="false" ht="14.25" hidden="false" customHeight="false" outlineLevel="0" collapsed="false">
      <c r="A178" s="272" t="s">
        <v>404</v>
      </c>
      <c r="B178" s="273" t="n">
        <v>-10748.241</v>
      </c>
      <c r="C178" s="273" t="n">
        <v>-9614.535</v>
      </c>
      <c r="D178" s="273" t="n">
        <v>34.992</v>
      </c>
      <c r="E178" s="273" t="n">
        <v>-39737.399</v>
      </c>
      <c r="F178" s="273"/>
      <c r="G178" s="273"/>
      <c r="H178" s="273"/>
      <c r="I178" s="273" t="n">
        <v>-462.825</v>
      </c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4" t="n">
        <f aca="false">SUM(B178:X178)</f>
        <v>-60528.008</v>
      </c>
      <c r="Z178" s="272"/>
      <c r="AA178" s="275"/>
    </row>
    <row r="179" customFormat="false" ht="14.25" hidden="false" customHeight="false" outlineLevel="0" collapsed="false">
      <c r="A179" s="272" t="s">
        <v>494</v>
      </c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 t="n">
        <v>5181.177</v>
      </c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4" t="n">
        <f aca="false">SUM(B179:X179)</f>
        <v>5181.177</v>
      </c>
      <c r="Z179" s="272"/>
      <c r="AA179" s="275"/>
    </row>
    <row r="180" customFormat="false" ht="14.25" hidden="false" customHeight="false" outlineLevel="0" collapsed="false">
      <c r="A180" s="272" t="s">
        <v>495</v>
      </c>
      <c r="B180" s="273" t="n">
        <v>-1629.75</v>
      </c>
      <c r="C180" s="273"/>
      <c r="D180" s="273"/>
      <c r="E180" s="273"/>
      <c r="F180" s="273"/>
      <c r="G180" s="273"/>
      <c r="H180" s="273" t="n">
        <v>934.2</v>
      </c>
      <c r="I180" s="273"/>
      <c r="J180" s="273" t="n">
        <v>-46790.25</v>
      </c>
      <c r="K180" s="273"/>
      <c r="L180" s="273" t="n">
        <v>-2813.875</v>
      </c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4" t="n">
        <f aca="false">SUM(B180:X180)</f>
        <v>-50299.675</v>
      </c>
      <c r="Z180" s="272"/>
      <c r="AA180" s="275"/>
    </row>
    <row r="181" customFormat="false" ht="14.25" hidden="false" customHeight="false" outlineLevel="0" collapsed="false">
      <c r="A181" s="272" t="s">
        <v>468</v>
      </c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 t="n">
        <v>-23684.6745</v>
      </c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4" t="n">
        <f aca="false">SUM(B181:X181)</f>
        <v>-23684.6745</v>
      </c>
      <c r="Z181" s="272"/>
      <c r="AA181" s="275"/>
    </row>
    <row r="182" customFormat="false" ht="14.25" hidden="false" customHeight="false" outlineLevel="0" collapsed="false">
      <c r="A182" s="272" t="s">
        <v>404</v>
      </c>
      <c r="B182" s="273"/>
      <c r="C182" s="273" t="n">
        <v>-7211.525</v>
      </c>
      <c r="D182" s="273" t="n">
        <v>3865.374</v>
      </c>
      <c r="E182" s="273"/>
      <c r="F182" s="273"/>
      <c r="G182" s="273"/>
      <c r="H182" s="273"/>
      <c r="I182" s="273" t="n">
        <v>-8757.7335</v>
      </c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4" t="n">
        <f aca="false">SUM(B182:X182)</f>
        <v>-12103.8845</v>
      </c>
      <c r="Z182" s="272"/>
      <c r="AA182" s="275"/>
    </row>
    <row r="183" customFormat="false" ht="14.25" hidden="false" customHeight="false" outlineLevel="0" collapsed="false">
      <c r="A183" s="272" t="s">
        <v>404</v>
      </c>
      <c r="B183" s="273"/>
      <c r="C183" s="273"/>
      <c r="D183" s="273" t="n">
        <v>-2542.8</v>
      </c>
      <c r="E183" s="273" t="n">
        <v>-192.165</v>
      </c>
      <c r="F183" s="273"/>
      <c r="G183" s="273"/>
      <c r="H183" s="273"/>
      <c r="I183" s="273"/>
      <c r="J183" s="273" t="n">
        <v>-71920.98</v>
      </c>
      <c r="K183" s="273"/>
      <c r="L183" s="273" t="n">
        <v>-4345.7</v>
      </c>
      <c r="M183" s="273"/>
      <c r="N183" s="273" t="n">
        <v>-11821</v>
      </c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4" t="n">
        <f aca="false">SUM(B183:X183)</f>
        <v>-90822.645</v>
      </c>
      <c r="Z183" s="272"/>
      <c r="AA183" s="275"/>
    </row>
    <row r="184" customFormat="false" ht="14.25" hidden="false" customHeight="false" outlineLevel="0" collapsed="false">
      <c r="A184" s="272" t="s">
        <v>496</v>
      </c>
      <c r="B184" s="273" t="n">
        <v>-13997.7</v>
      </c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4" t="n">
        <f aca="false">SUM(B184:X184)</f>
        <v>-13997.7</v>
      </c>
      <c r="Z184" s="272"/>
      <c r="AA184" s="275"/>
    </row>
    <row r="185" customFormat="false" ht="14.25" hidden="false" customHeight="false" outlineLevel="0" collapsed="false">
      <c r="A185" s="272" t="s">
        <v>497</v>
      </c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 t="n">
        <v>-891.135</v>
      </c>
      <c r="Q185" s="273"/>
      <c r="R185" s="273"/>
      <c r="S185" s="273"/>
      <c r="T185" s="273"/>
      <c r="U185" s="273"/>
      <c r="V185" s="273"/>
      <c r="W185" s="273"/>
      <c r="X185" s="273"/>
      <c r="Y185" s="274" t="n">
        <f aca="false">SUM(B185:X185)</f>
        <v>-891.135</v>
      </c>
      <c r="Z185" s="272"/>
      <c r="AA185" s="275"/>
    </row>
    <row r="186" customFormat="false" ht="14.25" hidden="false" customHeight="false" outlineLevel="0" collapsed="false">
      <c r="A186" s="272" t="s">
        <v>498</v>
      </c>
      <c r="B186" s="273" t="n">
        <v>-93.318</v>
      </c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4" t="n">
        <f aca="false">SUM(B186:X186)</f>
        <v>-93.318</v>
      </c>
      <c r="Z186" s="272"/>
      <c r="AA186" s="275"/>
    </row>
    <row r="187" customFormat="false" ht="14.25" hidden="false" customHeight="false" outlineLevel="0" collapsed="false">
      <c r="A187" s="272" t="s">
        <v>499</v>
      </c>
      <c r="B187" s="273"/>
      <c r="C187" s="273" t="n">
        <v>12.654</v>
      </c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 t="n">
        <v>-93.654</v>
      </c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4" t="n">
        <f aca="false">SUM(B187:X187)</f>
        <v>-81</v>
      </c>
      <c r="Z187" s="272"/>
      <c r="AA187" s="275"/>
    </row>
    <row r="188" customFormat="false" ht="14.25" hidden="false" customHeight="false" outlineLevel="0" collapsed="false">
      <c r="A188" s="272" t="s">
        <v>500</v>
      </c>
      <c r="B188" s="273" t="n">
        <v>-5925.693</v>
      </c>
      <c r="C188" s="273"/>
      <c r="D188" s="273" t="n">
        <v>297.6345</v>
      </c>
      <c r="E188" s="273" t="n">
        <v>5161.506</v>
      </c>
      <c r="F188" s="273"/>
      <c r="G188" s="273"/>
      <c r="H188" s="273"/>
      <c r="I188" s="273"/>
      <c r="J188" s="273" t="n">
        <v>-34312.8505</v>
      </c>
      <c r="K188" s="273"/>
      <c r="L188" s="273" t="n">
        <v>-17046.483</v>
      </c>
      <c r="M188" s="273"/>
      <c r="N188" s="273" t="n">
        <v>-24754.8475</v>
      </c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4" t="n">
        <f aca="false">SUM(B188:X188)</f>
        <v>-76580.7335</v>
      </c>
      <c r="Z188" s="272"/>
      <c r="AA188" s="275"/>
    </row>
    <row r="189" customFormat="false" ht="14.25" hidden="false" customHeight="false" outlineLevel="0" collapsed="false">
      <c r="A189" s="272" t="s">
        <v>501</v>
      </c>
      <c r="B189" s="273"/>
      <c r="C189" s="273"/>
      <c r="D189" s="273"/>
      <c r="E189" s="273"/>
      <c r="F189" s="273" t="n">
        <v>-3930.762</v>
      </c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4" t="n">
        <f aca="false">SUM(B189:X189)</f>
        <v>-3930.762</v>
      </c>
      <c r="Z189" s="272"/>
      <c r="AA189" s="275"/>
    </row>
    <row r="190" customFormat="false" ht="14.25" hidden="false" customHeight="false" outlineLevel="0" collapsed="false">
      <c r="A190" s="272" t="s">
        <v>409</v>
      </c>
      <c r="B190" s="273"/>
      <c r="C190" s="273"/>
      <c r="D190" s="273"/>
      <c r="E190" s="273"/>
      <c r="F190" s="273"/>
      <c r="G190" s="273"/>
      <c r="H190" s="273"/>
      <c r="I190" s="273"/>
      <c r="J190" s="273" t="n">
        <v>-9358.05</v>
      </c>
      <c r="K190" s="273"/>
      <c r="L190" s="273" t="n">
        <v>-3844.775</v>
      </c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4" t="n">
        <f aca="false">SUM(B190:X190)</f>
        <v>-13202.825</v>
      </c>
      <c r="Z190" s="272"/>
      <c r="AA190" s="275"/>
    </row>
    <row r="191" customFormat="false" ht="14.25" hidden="false" customHeight="false" outlineLevel="0" collapsed="false">
      <c r="A191" s="272" t="s">
        <v>502</v>
      </c>
      <c r="B191" s="273"/>
      <c r="C191" s="273"/>
      <c r="D191" s="273" t="n">
        <v>126.846</v>
      </c>
      <c r="E191" s="273"/>
      <c r="F191" s="273"/>
      <c r="G191" s="273"/>
      <c r="H191" s="273"/>
      <c r="I191" s="273"/>
      <c r="J191" s="273" t="n">
        <v>-6238.7</v>
      </c>
      <c r="K191" s="273"/>
      <c r="L191" s="273" t="n">
        <v>-3751</v>
      </c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4" t="n">
        <f aca="false">SUM(B191:X191)</f>
        <v>-9862.854</v>
      </c>
      <c r="Z191" s="272"/>
      <c r="AA191" s="275"/>
    </row>
    <row r="192" customFormat="false" ht="14.25" hidden="false" customHeight="false" outlineLevel="0" collapsed="false">
      <c r="A192" s="272" t="s">
        <v>442</v>
      </c>
      <c r="B192" s="273"/>
      <c r="C192" s="273"/>
      <c r="D192" s="273"/>
      <c r="E192" s="273"/>
      <c r="F192" s="273"/>
      <c r="G192" s="273"/>
      <c r="H192" s="273"/>
      <c r="I192" s="273"/>
      <c r="J192" s="273" t="n">
        <v>-12477.4</v>
      </c>
      <c r="K192" s="273"/>
      <c r="L192" s="273" t="n">
        <v>-11253</v>
      </c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4" t="n">
        <f aca="false">SUM(B192:X192)</f>
        <v>-23730.4</v>
      </c>
      <c r="Z192" s="272"/>
      <c r="AA192" s="275"/>
    </row>
    <row r="193" customFormat="false" ht="14.25" hidden="false" customHeight="false" outlineLevel="0" collapsed="false">
      <c r="A193" s="272" t="s">
        <v>503</v>
      </c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 t="n">
        <v>-4099.86</v>
      </c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4" t="n">
        <f aca="false">SUM(B193:X193)</f>
        <v>-4099.86</v>
      </c>
      <c r="Z193" s="272"/>
      <c r="AA193" s="275"/>
    </row>
    <row r="194" customFormat="false" ht="14.25" hidden="false" customHeight="false" outlineLevel="0" collapsed="false">
      <c r="A194" s="272" t="s">
        <v>392</v>
      </c>
      <c r="B194" s="273" t="n">
        <v>-4665.9</v>
      </c>
      <c r="C194" s="273"/>
      <c r="D194" s="273"/>
      <c r="E194" s="273"/>
      <c r="F194" s="273"/>
      <c r="G194" s="273"/>
      <c r="H194" s="273" t="n">
        <v>-869.28</v>
      </c>
      <c r="I194" s="273"/>
      <c r="J194" s="273" t="n">
        <v>-25327.8</v>
      </c>
      <c r="K194" s="273"/>
      <c r="L194" s="273"/>
      <c r="M194" s="273"/>
      <c r="N194" s="273" t="n">
        <v>-2272.617</v>
      </c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4" t="n">
        <f aca="false">SUM(B194:X194)</f>
        <v>-33135.597</v>
      </c>
      <c r="Z194" s="272"/>
      <c r="AA194" s="275"/>
    </row>
    <row r="195" customFormat="false" ht="14.25" hidden="false" customHeight="false" outlineLevel="0" collapsed="false">
      <c r="A195" s="272" t="s">
        <v>504</v>
      </c>
      <c r="B195" s="273" t="n">
        <v>-2192.973</v>
      </c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4" t="n">
        <f aca="false">SUM(B195:X195)</f>
        <v>-2192.973</v>
      </c>
      <c r="Z195" s="272"/>
      <c r="AA195" s="275"/>
    </row>
    <row r="196" customFormat="false" ht="14.25" hidden="false" customHeight="false" outlineLevel="0" collapsed="false">
      <c r="A196" s="272" t="s">
        <v>505</v>
      </c>
      <c r="B196" s="273" t="n">
        <v>-3315</v>
      </c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4" t="n">
        <f aca="false">SUM(B196:X196)</f>
        <v>-3315</v>
      </c>
      <c r="Z196" s="272"/>
      <c r="AA196" s="275"/>
    </row>
    <row r="197" customFormat="false" ht="14.25" hidden="false" customHeight="false" outlineLevel="0" collapsed="false">
      <c r="A197" s="272" t="s">
        <v>506</v>
      </c>
      <c r="B197" s="273" t="n">
        <v>-7418.781</v>
      </c>
      <c r="C197" s="273" t="n">
        <v>-3293.1675</v>
      </c>
      <c r="D197" s="273"/>
      <c r="E197" s="273" t="n">
        <v>-2103.57</v>
      </c>
      <c r="F197" s="273"/>
      <c r="G197" s="273"/>
      <c r="H197" s="273" t="n">
        <v>-434.64</v>
      </c>
      <c r="I197" s="273" t="n">
        <v>-617.1</v>
      </c>
      <c r="J197" s="273" t="n">
        <v>-1266.39</v>
      </c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4" t="n">
        <f aca="false">SUM(B197:X197)</f>
        <v>-15133.6485</v>
      </c>
      <c r="Z197" s="272"/>
      <c r="AA197" s="275"/>
    </row>
    <row r="198" customFormat="false" ht="14.25" hidden="false" customHeight="false" outlineLevel="0" collapsed="false">
      <c r="A198" s="272" t="s">
        <v>392</v>
      </c>
      <c r="B198" s="273" t="n">
        <v>-13064.52</v>
      </c>
      <c r="C198" s="273"/>
      <c r="D198" s="273"/>
      <c r="E198" s="273"/>
      <c r="F198" s="273"/>
      <c r="G198" s="273"/>
      <c r="H198" s="273" t="n">
        <v>-1738.56</v>
      </c>
      <c r="I198" s="273" t="n">
        <v>-617.1</v>
      </c>
      <c r="J198" s="273" t="n">
        <v>-2532.78</v>
      </c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4" t="n">
        <f aca="false">SUM(B198:X198)</f>
        <v>-17952.96</v>
      </c>
      <c r="Z198" s="272"/>
      <c r="AA198" s="275"/>
    </row>
    <row r="199" customFormat="false" ht="14.25" hidden="false" customHeight="false" outlineLevel="0" collapsed="false">
      <c r="A199" s="272" t="s">
        <v>491</v>
      </c>
      <c r="B199" s="273"/>
      <c r="C199" s="273"/>
      <c r="D199" s="273"/>
      <c r="E199" s="273"/>
      <c r="F199" s="273"/>
      <c r="G199" s="273"/>
      <c r="H199" s="273" t="n">
        <v>3736.8</v>
      </c>
      <c r="I199" s="273"/>
      <c r="J199" s="273" t="n">
        <v>-4885.5</v>
      </c>
      <c r="K199" s="273"/>
      <c r="L199" s="273" t="n">
        <v>-2323.254</v>
      </c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4" t="n">
        <f aca="false">SUM(B199:X199)</f>
        <v>-3471.954</v>
      </c>
      <c r="Z199" s="272"/>
      <c r="AA199" s="275"/>
    </row>
    <row r="200" customFormat="false" ht="14.25" hidden="false" customHeight="false" outlineLevel="0" collapsed="false">
      <c r="A200" s="272" t="s">
        <v>507</v>
      </c>
      <c r="B200" s="273"/>
      <c r="C200" s="273"/>
      <c r="D200" s="273"/>
      <c r="E200" s="273"/>
      <c r="F200" s="273" t="n">
        <v>-191.553</v>
      </c>
      <c r="G200" s="273"/>
      <c r="H200" s="273" t="n">
        <v>3279.402</v>
      </c>
      <c r="I200" s="273"/>
      <c r="J200" s="273"/>
      <c r="K200" s="273"/>
      <c r="L200" s="273"/>
      <c r="M200" s="273"/>
      <c r="N200" s="273" t="n">
        <v>-2528.658</v>
      </c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4" t="n">
        <f aca="false">SUM(B200:X200)</f>
        <v>559.191</v>
      </c>
      <c r="Z200" s="272"/>
      <c r="AA200" s="275"/>
    </row>
    <row r="201" customFormat="false" ht="14.25" hidden="false" customHeight="false" outlineLevel="0" collapsed="false">
      <c r="A201" s="272" t="s">
        <v>508</v>
      </c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 t="n">
        <v>-30065.64</v>
      </c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4" t="n">
        <f aca="false">SUM(B201:X201)</f>
        <v>-30065.64</v>
      </c>
      <c r="Z201" s="272"/>
      <c r="AA201" s="275"/>
    </row>
    <row r="202" customFormat="false" ht="14.25" hidden="false" customHeight="false" outlineLevel="0" collapsed="false">
      <c r="A202" s="272" t="s">
        <v>509</v>
      </c>
      <c r="B202" s="273"/>
      <c r="C202" s="273"/>
      <c r="D202" s="273" t="n">
        <v>5.4675</v>
      </c>
      <c r="E202" s="273" t="n">
        <v>-186.03</v>
      </c>
      <c r="F202" s="273"/>
      <c r="G202" s="273"/>
      <c r="H202" s="273"/>
      <c r="I202" s="273"/>
      <c r="J202" s="273"/>
      <c r="K202" s="273"/>
      <c r="L202" s="273"/>
      <c r="M202" s="273"/>
      <c r="N202" s="273" t="n">
        <v>-1010.052</v>
      </c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4" t="n">
        <f aca="false">SUM(B202:X202)</f>
        <v>-1190.6145</v>
      </c>
      <c r="Z202" s="272"/>
      <c r="AA202" s="275"/>
    </row>
    <row r="203" customFormat="false" ht="14.25" hidden="false" customHeight="false" outlineLevel="0" collapsed="false">
      <c r="A203" s="272" t="s">
        <v>510</v>
      </c>
      <c r="B203" s="273"/>
      <c r="C203" s="273" t="n">
        <v>-1874.64</v>
      </c>
      <c r="D203" s="273"/>
      <c r="E203" s="273" t="n">
        <v>-691.785</v>
      </c>
      <c r="F203" s="273" t="n">
        <v>-7979.592</v>
      </c>
      <c r="G203" s="273"/>
      <c r="H203" s="273"/>
      <c r="I203" s="273"/>
      <c r="J203" s="273"/>
      <c r="K203" s="273"/>
      <c r="L203" s="273" t="n">
        <v>-2454.763</v>
      </c>
      <c r="M203" s="273"/>
      <c r="N203" s="273"/>
      <c r="O203" s="273"/>
      <c r="P203" s="273" t="n">
        <v>-542.28</v>
      </c>
      <c r="Q203" s="273"/>
      <c r="R203" s="273"/>
      <c r="S203" s="273"/>
      <c r="T203" s="273"/>
      <c r="U203" s="273"/>
      <c r="V203" s="273"/>
      <c r="W203" s="273"/>
      <c r="X203" s="273"/>
      <c r="Y203" s="274" t="n">
        <f aca="false">SUM(B203:X203)</f>
        <v>-13543.06</v>
      </c>
      <c r="Z203" s="272"/>
      <c r="AA203" s="275"/>
    </row>
    <row r="204" customFormat="false" ht="14.25" hidden="false" customHeight="false" outlineLevel="0" collapsed="false">
      <c r="A204" s="272" t="s">
        <v>511</v>
      </c>
      <c r="B204" s="273" t="n">
        <v>-10001.364</v>
      </c>
      <c r="C204" s="273"/>
      <c r="D204" s="273"/>
      <c r="E204" s="273" t="n">
        <v>-276.714</v>
      </c>
      <c r="F204" s="273" t="n">
        <v>-379.62</v>
      </c>
      <c r="G204" s="273"/>
      <c r="H204" s="273"/>
      <c r="I204" s="273"/>
      <c r="J204" s="273" t="n">
        <v>-835.0215</v>
      </c>
      <c r="K204" s="273"/>
      <c r="L204" s="273"/>
      <c r="M204" s="273"/>
      <c r="N204" s="273" t="n">
        <v>-101.796</v>
      </c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4" t="n">
        <f aca="false">SUM(B204:X204)</f>
        <v>-11594.5155</v>
      </c>
      <c r="Z204" s="272"/>
      <c r="AA204" s="275"/>
    </row>
    <row r="205" customFormat="false" ht="14.25" hidden="false" customHeight="false" outlineLevel="0" collapsed="false">
      <c r="A205" s="272" t="s">
        <v>512</v>
      </c>
      <c r="B205" s="273"/>
      <c r="C205" s="273"/>
      <c r="D205" s="273"/>
      <c r="E205" s="273"/>
      <c r="F205" s="273"/>
      <c r="G205" s="273"/>
      <c r="H205" s="273"/>
      <c r="I205" s="273" t="n">
        <v>-3726.153</v>
      </c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4" t="n">
        <f aca="false">SUM(B205:X205)</f>
        <v>-3726.153</v>
      </c>
      <c r="Z205" s="272"/>
      <c r="AA205" s="275"/>
    </row>
    <row r="206" customFormat="false" ht="14.25" hidden="false" customHeight="false" outlineLevel="0" collapsed="false">
      <c r="A206" s="272" t="s">
        <v>513</v>
      </c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 t="n">
        <v>-6559.776</v>
      </c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4" t="n">
        <f aca="false">SUM(B206:X206)</f>
        <v>-6559.776</v>
      </c>
      <c r="Z206" s="272"/>
      <c r="AA206" s="275"/>
    </row>
    <row r="207" customFormat="false" ht="14.25" hidden="false" customHeight="false" outlineLevel="0" collapsed="false">
      <c r="A207" s="272" t="s">
        <v>514</v>
      </c>
      <c r="B207" s="273"/>
      <c r="C207" s="273"/>
      <c r="D207" s="273"/>
      <c r="E207" s="273"/>
      <c r="F207" s="273"/>
      <c r="G207" s="273"/>
      <c r="H207" s="273"/>
      <c r="I207" s="273" t="n">
        <v>-1132.92</v>
      </c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4" t="n">
        <f aca="false">SUM(B207:X207)</f>
        <v>-1132.92</v>
      </c>
      <c r="Z207" s="272"/>
      <c r="AA207" s="275"/>
    </row>
    <row r="208" customFormat="false" ht="14.25" hidden="false" customHeight="false" outlineLevel="0" collapsed="false">
      <c r="A208" s="272" t="s">
        <v>515</v>
      </c>
      <c r="B208" s="273"/>
      <c r="C208" s="273"/>
      <c r="D208" s="273"/>
      <c r="E208" s="273" t="n">
        <v>-34.986</v>
      </c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4" t="n">
        <f aca="false">SUM(B208:X208)</f>
        <v>-34.986</v>
      </c>
      <c r="Z208" s="272"/>
      <c r="AA208" s="275"/>
    </row>
    <row r="209" customFormat="false" ht="14.25" hidden="false" customHeight="false" outlineLevel="0" collapsed="false">
      <c r="A209" s="272" t="s">
        <v>516</v>
      </c>
      <c r="B209" s="273"/>
      <c r="C209" s="273"/>
      <c r="D209" s="273"/>
      <c r="E209" s="273" t="n">
        <v>-114.48</v>
      </c>
      <c r="F209" s="273"/>
      <c r="G209" s="273"/>
      <c r="H209" s="273"/>
      <c r="I209" s="273"/>
      <c r="J209" s="273" t="n">
        <v>-59.805</v>
      </c>
      <c r="K209" s="273"/>
      <c r="L209" s="273"/>
      <c r="M209" s="273" t="n">
        <v>-340.875</v>
      </c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4" t="n">
        <f aca="false">SUM(B209:X209)</f>
        <v>-515.16</v>
      </c>
      <c r="Z209" s="272"/>
      <c r="AA209" s="275"/>
    </row>
    <row r="210" customFormat="false" ht="14.25" hidden="false" customHeight="false" outlineLevel="0" collapsed="false">
      <c r="A210" s="272" t="s">
        <v>517</v>
      </c>
      <c r="B210" s="273"/>
      <c r="C210" s="273"/>
      <c r="D210" s="273"/>
      <c r="E210" s="273"/>
      <c r="F210" s="273"/>
      <c r="G210" s="273"/>
      <c r="H210" s="273" t="n">
        <v>-2173.2</v>
      </c>
      <c r="I210" s="273" t="n">
        <v>-6171</v>
      </c>
      <c r="J210" s="273" t="n">
        <v>-4242.4065</v>
      </c>
      <c r="K210" s="273"/>
      <c r="L210" s="273"/>
      <c r="M210" s="273"/>
      <c r="N210" s="273"/>
      <c r="O210" s="273"/>
      <c r="P210" s="273" t="n">
        <v>-3564.54</v>
      </c>
      <c r="Q210" s="273"/>
      <c r="R210" s="273"/>
      <c r="S210" s="273"/>
      <c r="T210" s="273"/>
      <c r="U210" s="273"/>
      <c r="V210" s="273"/>
      <c r="W210" s="273"/>
      <c r="X210" s="273"/>
      <c r="Y210" s="274" t="n">
        <f aca="false">SUM(B210:X210)</f>
        <v>-16151.1465</v>
      </c>
      <c r="Z210" s="272"/>
      <c r="AA210" s="275"/>
    </row>
    <row r="211" customFormat="false" ht="14.25" hidden="false" customHeight="false" outlineLevel="0" collapsed="false">
      <c r="A211" s="272" t="s">
        <v>518</v>
      </c>
      <c r="B211" s="273"/>
      <c r="C211" s="273"/>
      <c r="D211" s="273"/>
      <c r="E211" s="273" t="n">
        <v>-143.1</v>
      </c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4" t="n">
        <f aca="false">SUM(B211:X211)</f>
        <v>-143.1</v>
      </c>
      <c r="Z211" s="272"/>
      <c r="AA211" s="275"/>
    </row>
    <row r="212" customFormat="false" ht="14.25" hidden="false" customHeight="false" outlineLevel="0" collapsed="false">
      <c r="A212" s="272" t="s">
        <v>519</v>
      </c>
      <c r="B212" s="273" t="n">
        <v>-684.504</v>
      </c>
      <c r="C212" s="273"/>
      <c r="D212" s="273"/>
      <c r="E212" s="273"/>
      <c r="F212" s="273"/>
      <c r="G212" s="273"/>
      <c r="H212" s="273"/>
      <c r="I212" s="273"/>
      <c r="J212" s="273" t="n">
        <v>-351.588</v>
      </c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4" t="n">
        <f aca="false">SUM(B212:X212)</f>
        <v>-1036.092</v>
      </c>
      <c r="Z212" s="272"/>
      <c r="AA212" s="275"/>
    </row>
    <row r="213" customFormat="false" ht="14.25" hidden="false" customHeight="false" outlineLevel="0" collapsed="false">
      <c r="A213" s="272" t="s">
        <v>520</v>
      </c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 t="n">
        <v>1489.2</v>
      </c>
      <c r="P213" s="273"/>
      <c r="Q213" s="273"/>
      <c r="R213" s="273"/>
      <c r="S213" s="273"/>
      <c r="T213" s="273"/>
      <c r="U213" s="273"/>
      <c r="V213" s="273"/>
      <c r="W213" s="273"/>
      <c r="X213" s="273"/>
      <c r="Y213" s="274" t="n">
        <f aca="false">SUM(B213:X213)</f>
        <v>1489.2</v>
      </c>
      <c r="Z213" s="272"/>
      <c r="AA213" s="275"/>
    </row>
    <row r="214" customFormat="false" ht="14.25" hidden="false" customHeight="false" outlineLevel="0" collapsed="false">
      <c r="A214" s="272" t="s">
        <v>396</v>
      </c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 t="n">
        <v>-18244.377</v>
      </c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4" t="n">
        <f aca="false">SUM(B214:X214)</f>
        <v>-18244.377</v>
      </c>
      <c r="Z214" s="272"/>
      <c r="AA214" s="275"/>
    </row>
    <row r="215" customFormat="false" ht="14.25" hidden="false" customHeight="false" outlineLevel="0" collapsed="false">
      <c r="A215" s="272" t="s">
        <v>521</v>
      </c>
      <c r="B215" s="273"/>
      <c r="C215" s="273"/>
      <c r="D215" s="273"/>
      <c r="E215" s="273"/>
      <c r="F215" s="273" t="n">
        <v>-6659.85</v>
      </c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4" t="n">
        <f aca="false">SUM(B215:X215)</f>
        <v>-6659.85</v>
      </c>
      <c r="Z215" s="272"/>
      <c r="AA215" s="275"/>
    </row>
    <row r="216" customFormat="false" ht="14.25" hidden="false" customHeight="false" outlineLevel="0" collapsed="false">
      <c r="A216" s="272" t="s">
        <v>522</v>
      </c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 t="n">
        <v>-374.616</v>
      </c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4" t="n">
        <f aca="false">SUM(B216:X216)</f>
        <v>-374.616</v>
      </c>
      <c r="Z216" s="272"/>
      <c r="AA216" s="275"/>
    </row>
    <row r="217" customFormat="false" ht="14.25" hidden="false" customHeight="false" outlineLevel="0" collapsed="false">
      <c r="A217" s="272" t="s">
        <v>523</v>
      </c>
      <c r="B217" s="273"/>
      <c r="C217" s="273"/>
      <c r="D217" s="273"/>
      <c r="E217" s="273"/>
      <c r="F217" s="273" t="n">
        <v>-5.718</v>
      </c>
      <c r="G217" s="273"/>
      <c r="H217" s="273"/>
      <c r="I217" s="273"/>
      <c r="J217" s="273"/>
      <c r="K217" s="273"/>
      <c r="L217" s="273" t="n">
        <v>-62.1645</v>
      </c>
      <c r="M217" s="273"/>
      <c r="N217" s="273"/>
      <c r="O217" s="273"/>
      <c r="P217" s="273"/>
      <c r="Q217" s="273"/>
      <c r="R217" s="273"/>
      <c r="S217" s="273"/>
      <c r="T217" s="273"/>
      <c r="U217" s="273"/>
      <c r="V217" s="273" t="n">
        <v>-10</v>
      </c>
      <c r="W217" s="273" t="n">
        <v>-15</v>
      </c>
      <c r="X217" s="273"/>
      <c r="Y217" s="274" t="n">
        <f aca="false">SUM(B217:X217)</f>
        <v>-92.8825</v>
      </c>
      <c r="Z217" s="272"/>
      <c r="AA217" s="275"/>
    </row>
    <row r="218" customFormat="false" ht="14.25" hidden="false" customHeight="false" outlineLevel="0" collapsed="false">
      <c r="A218" s="272" t="s">
        <v>524</v>
      </c>
      <c r="B218" s="273" t="n">
        <v>-54994.587</v>
      </c>
      <c r="C218" s="273"/>
      <c r="D218" s="273"/>
      <c r="E218" s="273"/>
      <c r="F218" s="273"/>
      <c r="G218" s="273"/>
      <c r="H218" s="273"/>
      <c r="I218" s="273"/>
      <c r="J218" s="273"/>
      <c r="K218" s="273"/>
      <c r="L218" s="273" t="n">
        <v>-2323.254</v>
      </c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4" t="n">
        <f aca="false">SUM(B218:X218)</f>
        <v>-57317.841</v>
      </c>
      <c r="Z218" s="272"/>
      <c r="AA218" s="275"/>
    </row>
    <row r="219" customFormat="false" ht="14.25" hidden="false" customHeight="false" outlineLevel="0" collapsed="false">
      <c r="A219" s="272" t="s">
        <v>404</v>
      </c>
      <c r="B219" s="273" t="n">
        <v>-44297.2065</v>
      </c>
      <c r="C219" s="273" t="n">
        <v>-1362.69</v>
      </c>
      <c r="D219" s="273" t="n">
        <v>345.06</v>
      </c>
      <c r="E219" s="273" t="n">
        <v>-2003.4</v>
      </c>
      <c r="F219" s="273"/>
      <c r="G219" s="273"/>
      <c r="H219" s="273"/>
      <c r="I219" s="273"/>
      <c r="J219" s="273" t="n">
        <v>-27651.93</v>
      </c>
      <c r="K219" s="273"/>
      <c r="L219" s="273" t="n">
        <v>-8691.4</v>
      </c>
      <c r="M219" s="273"/>
      <c r="N219" s="273" t="n">
        <v>-6274.818</v>
      </c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4" t="n">
        <f aca="false">SUM(B219:X219)</f>
        <v>-89936.3845</v>
      </c>
      <c r="Z219" s="272"/>
      <c r="AA219" s="275"/>
    </row>
    <row r="220" customFormat="false" ht="14.25" hidden="false" customHeight="false" outlineLevel="0" collapsed="false">
      <c r="A220" s="272" t="s">
        <v>525</v>
      </c>
      <c r="B220" s="273" t="n">
        <v>-1530.693</v>
      </c>
      <c r="C220" s="273"/>
      <c r="D220" s="273"/>
      <c r="E220" s="273"/>
      <c r="F220" s="273" t="n">
        <v>-486.03</v>
      </c>
      <c r="G220" s="273" t="n">
        <v>4280.175</v>
      </c>
      <c r="H220" s="273"/>
      <c r="I220" s="273"/>
      <c r="J220" s="273" t="n">
        <v>-488.55</v>
      </c>
      <c r="K220" s="273"/>
      <c r="L220" s="273" t="n">
        <v>-683.31</v>
      </c>
      <c r="M220" s="273"/>
      <c r="N220" s="273" t="n">
        <v>-468.27</v>
      </c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4" t="n">
        <f aca="false">SUM(B220:X220)</f>
        <v>623.322</v>
      </c>
      <c r="Z220" s="272"/>
      <c r="AA220" s="275"/>
    </row>
    <row r="221" customFormat="false" ht="14.25" hidden="false" customHeight="false" outlineLevel="0" collapsed="false">
      <c r="A221" s="272" t="s">
        <v>526</v>
      </c>
      <c r="B221" s="273" t="n">
        <v>-1709.778</v>
      </c>
      <c r="C221" s="273"/>
      <c r="D221" s="273"/>
      <c r="E221" s="273" t="n">
        <v>-30373.1415</v>
      </c>
      <c r="F221" s="273"/>
      <c r="G221" s="273"/>
      <c r="H221" s="273"/>
      <c r="I221" s="273" t="n">
        <v>153.09</v>
      </c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4" t="n">
        <f aca="false">SUM(B221:X221)</f>
        <v>-31929.8295</v>
      </c>
      <c r="Z221" s="272"/>
      <c r="AA221" s="275"/>
    </row>
    <row r="222" customFormat="false" ht="14.25" hidden="false" customHeight="false" outlineLevel="0" collapsed="false">
      <c r="A222" s="272" t="s">
        <v>404</v>
      </c>
      <c r="B222" s="273"/>
      <c r="C222" s="273"/>
      <c r="D222" s="273"/>
      <c r="E222" s="273"/>
      <c r="F222" s="273"/>
      <c r="G222" s="273"/>
      <c r="H222" s="273"/>
      <c r="I222" s="273"/>
      <c r="J222" s="273" t="n">
        <v>-28140.48</v>
      </c>
      <c r="K222" s="273"/>
      <c r="L222" s="273" t="n">
        <v>-20159.0205</v>
      </c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4" t="n">
        <f aca="false">SUM(B222:X222)</f>
        <v>-48299.5005</v>
      </c>
      <c r="Z222" s="272"/>
      <c r="AA222" s="275"/>
    </row>
    <row r="223" customFormat="false" ht="14.25" hidden="false" customHeight="false" outlineLevel="0" collapsed="false">
      <c r="A223" s="272" t="s">
        <v>527</v>
      </c>
      <c r="B223" s="273"/>
      <c r="C223" s="273"/>
      <c r="D223" s="273"/>
      <c r="E223" s="273" t="n">
        <v>-572.4</v>
      </c>
      <c r="F223" s="273"/>
      <c r="G223" s="273"/>
      <c r="H223" s="273" t="n">
        <v>448.416</v>
      </c>
      <c r="I223" s="273"/>
      <c r="J223" s="273" t="n">
        <v>-3908.4</v>
      </c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4" t="n">
        <f aca="false">SUM(B223:X223)</f>
        <v>-4032.384</v>
      </c>
      <c r="Z223" s="272"/>
      <c r="AA223" s="275"/>
    </row>
    <row r="224" customFormat="false" ht="14.25" hidden="false" customHeight="false" outlineLevel="0" collapsed="false">
      <c r="A224" s="272" t="s">
        <v>528</v>
      </c>
      <c r="B224" s="273"/>
      <c r="C224" s="273" t="n">
        <v>-1400.5425</v>
      </c>
      <c r="D224" s="273"/>
      <c r="E224" s="273" t="n">
        <v>-1917.54</v>
      </c>
      <c r="F224" s="273" t="n">
        <v>-989.787</v>
      </c>
      <c r="G224" s="273"/>
      <c r="H224" s="273" t="n">
        <v>691.308</v>
      </c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4" t="n">
        <f aca="false">SUM(B224:X224)</f>
        <v>-3616.5615</v>
      </c>
      <c r="Z224" s="272"/>
      <c r="AA224" s="275"/>
    </row>
    <row r="225" customFormat="false" ht="14.25" hidden="false" customHeight="false" outlineLevel="0" collapsed="false">
      <c r="A225" s="272" t="s">
        <v>529</v>
      </c>
      <c r="B225" s="273" t="n">
        <v>-1651.2735</v>
      </c>
      <c r="C225" s="273" t="n">
        <v>-946.3125</v>
      </c>
      <c r="D225" s="273"/>
      <c r="E225" s="273" t="n">
        <v>2463.78</v>
      </c>
      <c r="F225" s="273"/>
      <c r="G225" s="273"/>
      <c r="H225" s="273"/>
      <c r="I225" s="273"/>
      <c r="J225" s="273"/>
      <c r="K225" s="273"/>
      <c r="L225" s="273"/>
      <c r="M225" s="273"/>
      <c r="N225" s="273" t="n">
        <v>-5471.115</v>
      </c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4" t="n">
        <f aca="false">SUM(B225:X225)</f>
        <v>-5604.921</v>
      </c>
      <c r="Z225" s="272"/>
      <c r="AA225" s="275"/>
    </row>
    <row r="226" customFormat="false" ht="14.25" hidden="false" customHeight="false" outlineLevel="0" collapsed="false">
      <c r="A226" s="272" t="s">
        <v>530</v>
      </c>
      <c r="B226" s="273"/>
      <c r="C226" s="273"/>
      <c r="D226" s="273"/>
      <c r="E226" s="273" t="n">
        <v>-1531.17</v>
      </c>
      <c r="F226" s="273"/>
      <c r="G226" s="273"/>
      <c r="H226" s="273"/>
      <c r="I226" s="273"/>
      <c r="J226" s="273"/>
      <c r="K226" s="273"/>
      <c r="L226" s="273" t="n">
        <v>-4578.177</v>
      </c>
      <c r="M226" s="273"/>
      <c r="N226" s="273" t="n">
        <v>-336.684</v>
      </c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4" t="n">
        <f aca="false">SUM(B226:X226)</f>
        <v>-6446.031</v>
      </c>
      <c r="Z226" s="272"/>
      <c r="AA226" s="275"/>
    </row>
    <row r="227" customFormat="false" ht="14.25" hidden="false" customHeight="false" outlineLevel="0" collapsed="false">
      <c r="A227" s="272" t="s">
        <v>531</v>
      </c>
      <c r="B227" s="273" t="n">
        <v>-7179.45</v>
      </c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4" t="n">
        <f aca="false">SUM(B227:X227)</f>
        <v>-7179.45</v>
      </c>
      <c r="Z227" s="272"/>
      <c r="AA227" s="275"/>
    </row>
    <row r="228" customFormat="false" ht="14.25" hidden="false" customHeight="false" outlineLevel="0" collapsed="false">
      <c r="A228" s="272" t="s">
        <v>385</v>
      </c>
      <c r="B228" s="273" t="n">
        <v>-27356.448</v>
      </c>
      <c r="C228" s="273" t="n">
        <v>-14043.2775</v>
      </c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 t="n">
        <v>-7491.219</v>
      </c>
      <c r="O228" s="273"/>
      <c r="P228" s="273" t="n">
        <v>-3029.859</v>
      </c>
      <c r="Q228" s="273"/>
      <c r="R228" s="273"/>
      <c r="S228" s="273"/>
      <c r="T228" s="273"/>
      <c r="U228" s="273"/>
      <c r="V228" s="273"/>
      <c r="W228" s="273"/>
      <c r="X228" s="273"/>
      <c r="Y228" s="274" t="n">
        <f aca="false">SUM(B228:X228)</f>
        <v>-51920.8035</v>
      </c>
      <c r="Z228" s="272"/>
      <c r="AA228" s="275"/>
    </row>
    <row r="229" customFormat="false" ht="14.25" hidden="false" customHeight="false" outlineLevel="0" collapsed="false">
      <c r="A229" s="272" t="s">
        <v>532</v>
      </c>
      <c r="B229" s="273" t="n">
        <v>-244.254</v>
      </c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4" t="n">
        <f aca="false">SUM(B229:X229)</f>
        <v>-244.254</v>
      </c>
      <c r="Z229" s="272"/>
      <c r="AA229" s="275"/>
    </row>
    <row r="230" customFormat="false" ht="14.25" hidden="false" customHeight="false" outlineLevel="0" collapsed="false">
      <c r="A230" s="272" t="s">
        <v>533</v>
      </c>
      <c r="B230" s="273"/>
      <c r="C230" s="273"/>
      <c r="D230" s="273"/>
      <c r="E230" s="273"/>
      <c r="F230" s="273" t="n">
        <v>-191.553</v>
      </c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4" t="n">
        <f aca="false">SUM(B230:X230)</f>
        <v>-191.553</v>
      </c>
      <c r="Z230" s="272"/>
      <c r="AA230" s="275"/>
    </row>
    <row r="231" customFormat="false" ht="14.25" hidden="false" customHeight="false" outlineLevel="0" collapsed="false">
      <c r="A231" s="272" t="s">
        <v>534</v>
      </c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 t="n">
        <v>178.704</v>
      </c>
      <c r="P231" s="273"/>
      <c r="Q231" s="273"/>
      <c r="R231" s="273"/>
      <c r="S231" s="273"/>
      <c r="T231" s="273"/>
      <c r="U231" s="273"/>
      <c r="V231" s="273"/>
      <c r="W231" s="273"/>
      <c r="X231" s="273"/>
      <c r="Y231" s="274" t="n">
        <f aca="false">SUM(B231:X231)</f>
        <v>178.704</v>
      </c>
      <c r="Z231" s="272"/>
      <c r="AA231" s="275"/>
    </row>
    <row r="232" customFormat="false" ht="14.25" hidden="false" customHeight="false" outlineLevel="0" collapsed="false">
      <c r="A232" s="272" t="s">
        <v>392</v>
      </c>
      <c r="B232" s="273" t="n">
        <v>-933.18</v>
      </c>
      <c r="C232" s="273"/>
      <c r="D232" s="273"/>
      <c r="E232" s="273"/>
      <c r="F232" s="273"/>
      <c r="G232" s="273"/>
      <c r="H232" s="273" t="n">
        <v>-304.248</v>
      </c>
      <c r="I232" s="273" t="n">
        <v>-431.97</v>
      </c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4" t="n">
        <f aca="false">SUM(B232:X232)</f>
        <v>-1669.398</v>
      </c>
      <c r="Z232" s="272"/>
      <c r="AA232" s="275"/>
    </row>
    <row r="233" customFormat="false" ht="14.25" hidden="false" customHeight="false" outlineLevel="0" collapsed="false">
      <c r="A233" s="272" t="s">
        <v>535</v>
      </c>
      <c r="B233" s="273"/>
      <c r="C233" s="273" t="n">
        <v>-1400.425</v>
      </c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4" t="n">
        <f aca="false">SUM(B233:X233)</f>
        <v>-1400.425</v>
      </c>
      <c r="Z233" s="272"/>
      <c r="AA233" s="275"/>
    </row>
    <row r="234" customFormat="false" ht="14.25" hidden="false" customHeight="false" outlineLevel="0" collapsed="false">
      <c r="A234" s="272" t="s">
        <v>536</v>
      </c>
      <c r="B234" s="273" t="n">
        <v>-5984.223</v>
      </c>
      <c r="C234" s="273"/>
      <c r="D234" s="273"/>
      <c r="E234" s="273" t="n">
        <v>-75553.2</v>
      </c>
      <c r="F234" s="273"/>
      <c r="G234" s="273"/>
      <c r="H234" s="273" t="n">
        <v>-4386.244</v>
      </c>
      <c r="I234" s="273"/>
      <c r="J234" s="273"/>
      <c r="K234" s="273"/>
      <c r="L234" s="273"/>
      <c r="M234" s="273"/>
      <c r="N234" s="273" t="n">
        <v>-19076.307</v>
      </c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4" t="n">
        <f aca="false">SUM(B234:X234)</f>
        <v>-104999.974</v>
      </c>
      <c r="Z234" s="272"/>
      <c r="AA234" s="275"/>
    </row>
    <row r="235" customFormat="false" ht="14.25" hidden="false" customHeight="false" outlineLevel="0" collapsed="false">
      <c r="A235" s="272" t="s">
        <v>537</v>
      </c>
      <c r="B235" s="273"/>
      <c r="C235" s="273"/>
      <c r="D235" s="273"/>
      <c r="E235" s="273" t="n">
        <v>-430.857</v>
      </c>
      <c r="F235" s="273"/>
      <c r="G235" s="273"/>
      <c r="H235" s="273" t="n">
        <v>-413.394</v>
      </c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4" t="n">
        <f aca="false">SUM(B235:X235)</f>
        <v>-844.251</v>
      </c>
      <c r="Z235" s="272"/>
      <c r="AA235" s="275"/>
    </row>
    <row r="236" customFormat="false" ht="14.25" hidden="false" customHeight="false" outlineLevel="0" collapsed="false">
      <c r="A236" s="272" t="s">
        <v>538</v>
      </c>
      <c r="B236" s="273" t="n">
        <v>-5704.2</v>
      </c>
      <c r="C236" s="273"/>
      <c r="D236" s="273" t="n">
        <v>-109.02</v>
      </c>
      <c r="E236" s="273" t="n">
        <v>-4321.895</v>
      </c>
      <c r="F236" s="273"/>
      <c r="G236" s="273"/>
      <c r="H236" s="273"/>
      <c r="I236" s="273"/>
      <c r="J236" s="273"/>
      <c r="K236" s="273"/>
      <c r="L236" s="273"/>
      <c r="M236" s="273"/>
      <c r="N236" s="273" t="n">
        <v>-2625.57</v>
      </c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4" t="n">
        <f aca="false">SUM(B236:X236)</f>
        <v>-12760.685</v>
      </c>
      <c r="Z236" s="272"/>
      <c r="AA236" s="275"/>
    </row>
    <row r="237" customFormat="false" ht="14.25" hidden="false" customHeight="false" outlineLevel="0" collapsed="false">
      <c r="A237" s="272" t="s">
        <v>539</v>
      </c>
      <c r="B237" s="273" t="n">
        <v>-1709.778</v>
      </c>
      <c r="C237" s="273"/>
      <c r="D237" s="273"/>
      <c r="E237" s="273" t="n">
        <v>-1046.367</v>
      </c>
      <c r="F237" s="273"/>
      <c r="G237" s="273"/>
      <c r="H237" s="273" t="n">
        <v>-1033.485</v>
      </c>
      <c r="I237" s="273"/>
      <c r="J237" s="273"/>
      <c r="K237" s="273"/>
      <c r="L237" s="273"/>
      <c r="M237" s="273"/>
      <c r="N237" s="273" t="n">
        <v>-589.197</v>
      </c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4" t="n">
        <f aca="false">SUM(B237:X237)</f>
        <v>-4378.827</v>
      </c>
      <c r="Z237" s="272"/>
      <c r="AA237" s="275"/>
    </row>
    <row r="238" customFormat="false" ht="14.25" hidden="false" customHeight="false" outlineLevel="0" collapsed="false">
      <c r="A238" s="272" t="s">
        <v>540</v>
      </c>
      <c r="B238" s="273"/>
      <c r="C238" s="273"/>
      <c r="D238" s="273"/>
      <c r="E238" s="273" t="n">
        <v>-1231.02</v>
      </c>
      <c r="F238" s="273"/>
      <c r="G238" s="273"/>
      <c r="H238" s="273" t="n">
        <v>-2066.97</v>
      </c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4" t="n">
        <f aca="false">SUM(B238:X238)</f>
        <v>-3297.99</v>
      </c>
      <c r="Z238" s="272"/>
      <c r="AA238" s="275"/>
    </row>
    <row r="239" customFormat="false" ht="14.25" hidden="false" customHeight="false" outlineLevel="0" collapsed="false">
      <c r="A239" s="272" t="s">
        <v>541</v>
      </c>
      <c r="B239" s="273" t="n">
        <v>-732.762</v>
      </c>
      <c r="C239" s="273"/>
      <c r="D239" s="273"/>
      <c r="E239" s="273" t="n">
        <v>-615.51</v>
      </c>
      <c r="F239" s="273"/>
      <c r="G239" s="273"/>
      <c r="H239" s="273" t="n">
        <v>-1377.98</v>
      </c>
      <c r="I239" s="273"/>
      <c r="J239" s="273"/>
      <c r="K239" s="273"/>
      <c r="L239" s="273"/>
      <c r="M239" s="273"/>
      <c r="N239" s="273" t="n">
        <v>-1683.42</v>
      </c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4" t="n">
        <f aca="false">SUM(B239:X239)</f>
        <v>-4409.672</v>
      </c>
      <c r="Z239" s="272"/>
      <c r="AA239" s="275"/>
    </row>
    <row r="240" customFormat="false" ht="14.25" hidden="false" customHeight="false" outlineLevel="0" collapsed="false">
      <c r="A240" s="272" t="s">
        <v>542</v>
      </c>
      <c r="B240" s="273"/>
      <c r="C240" s="273"/>
      <c r="D240" s="273"/>
      <c r="E240" s="273" t="n">
        <v>-1272.054</v>
      </c>
      <c r="F240" s="273" t="n">
        <v>-42.18</v>
      </c>
      <c r="G240" s="273"/>
      <c r="H240" s="273"/>
      <c r="I240" s="273"/>
      <c r="J240" s="273"/>
      <c r="K240" s="273"/>
      <c r="L240" s="273"/>
      <c r="M240" s="273"/>
      <c r="N240" s="273" t="n">
        <v>-962.709</v>
      </c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4" t="n">
        <f aca="false">SUM(B240:X240)</f>
        <v>-2276.943</v>
      </c>
      <c r="Z240" s="272"/>
      <c r="AA240" s="275"/>
    </row>
    <row r="241" customFormat="false" ht="14.25" hidden="false" customHeight="false" outlineLevel="0" collapsed="false">
      <c r="A241" s="272" t="s">
        <v>543</v>
      </c>
      <c r="B241" s="273" t="n">
        <v>-5019.696</v>
      </c>
      <c r="C241" s="273" t="n">
        <v>-587.67</v>
      </c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4" t="n">
        <f aca="false">SUM(B241:X241)</f>
        <v>-5607.366</v>
      </c>
      <c r="Z241" s="272"/>
      <c r="AA241" s="275"/>
    </row>
    <row r="242" customFormat="false" ht="14.25" hidden="false" customHeight="false" outlineLevel="0" collapsed="false">
      <c r="A242" s="272" t="s">
        <v>544</v>
      </c>
      <c r="B242" s="273" t="n">
        <v>-1901.4</v>
      </c>
      <c r="C242" s="273" t="n">
        <v>-4639.5</v>
      </c>
      <c r="D242" s="273"/>
      <c r="E242" s="273" t="n">
        <v>-553.959</v>
      </c>
      <c r="F242" s="273" t="n">
        <v>-891.7</v>
      </c>
      <c r="G242" s="273"/>
      <c r="H242" s="273"/>
      <c r="I242" s="273"/>
      <c r="J242" s="273"/>
      <c r="K242" s="273"/>
      <c r="L242" s="273"/>
      <c r="M242" s="273"/>
      <c r="N242" s="273" t="n">
        <v>-16366.053</v>
      </c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4" t="n">
        <f aca="false">SUM(B242:X242)</f>
        <v>-24352.612</v>
      </c>
      <c r="Z242" s="272"/>
      <c r="AA242" s="275"/>
    </row>
    <row r="243" customFormat="false" ht="14.25" hidden="false" customHeight="false" outlineLevel="0" collapsed="false">
      <c r="A243" s="272" t="s">
        <v>545</v>
      </c>
      <c r="B243" s="273" t="n">
        <v>-50284.155</v>
      </c>
      <c r="C243" s="273" t="n">
        <v>-908.46</v>
      </c>
      <c r="D243" s="273"/>
      <c r="E243" s="273"/>
      <c r="F243" s="273"/>
      <c r="G243" s="273"/>
      <c r="H243" s="273" t="n">
        <v>-2173.2</v>
      </c>
      <c r="I243" s="273" t="n">
        <v>-5283.27</v>
      </c>
      <c r="J243" s="273" t="n">
        <v>-6373.188</v>
      </c>
      <c r="K243" s="273"/>
      <c r="L243" s="273"/>
      <c r="M243" s="273"/>
      <c r="N243" s="273"/>
      <c r="O243" s="273"/>
      <c r="P243" s="273" t="n">
        <v>-5970.6045</v>
      </c>
      <c r="Q243" s="273"/>
      <c r="R243" s="273"/>
      <c r="S243" s="273"/>
      <c r="T243" s="273"/>
      <c r="U243" s="273"/>
      <c r="V243" s="273"/>
      <c r="W243" s="273"/>
      <c r="X243" s="273"/>
      <c r="Y243" s="274" t="n">
        <f aca="false">SUM(B243:X243)</f>
        <v>-70992.8775</v>
      </c>
      <c r="Z243" s="272"/>
      <c r="AA243" s="275"/>
    </row>
    <row r="244" customFormat="false" ht="14.25" hidden="false" customHeight="false" outlineLevel="0" collapsed="false">
      <c r="A244" s="272" t="s">
        <v>546</v>
      </c>
      <c r="B244" s="273"/>
      <c r="C244" s="273"/>
      <c r="D244" s="273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 t="n">
        <v>-1262.565</v>
      </c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4" t="n">
        <f aca="false">SUM(B244:X244)</f>
        <v>-1262.565</v>
      </c>
      <c r="Z244" s="272"/>
      <c r="AA244" s="275"/>
    </row>
    <row r="245" customFormat="false" ht="14.25" hidden="false" customHeight="false" outlineLevel="0" collapsed="false">
      <c r="A245" s="272" t="s">
        <v>547</v>
      </c>
      <c r="B245" s="273"/>
      <c r="C245" s="273"/>
      <c r="D245" s="273"/>
      <c r="E245" s="273"/>
      <c r="F245" s="273"/>
      <c r="G245" s="273"/>
      <c r="H245" s="273" t="n">
        <v>747.36</v>
      </c>
      <c r="I245" s="273"/>
      <c r="J245" s="273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4" t="n">
        <f aca="false">SUM(B245:X245)</f>
        <v>747.36</v>
      </c>
      <c r="Z245" s="272"/>
      <c r="AA245" s="275"/>
    </row>
    <row r="246" customFormat="false" ht="14.25" hidden="false" customHeight="false" outlineLevel="0" collapsed="false">
      <c r="A246" s="272" t="s">
        <v>548</v>
      </c>
      <c r="B246" s="273" t="n">
        <v>-16470.027</v>
      </c>
      <c r="C246" s="273"/>
      <c r="D246" s="273"/>
      <c r="E246" s="273"/>
      <c r="F246" s="273"/>
      <c r="G246" s="273"/>
      <c r="H246" s="273"/>
      <c r="I246" s="273"/>
      <c r="J246" s="273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4" t="n">
        <f aca="false">SUM(B246:X246)</f>
        <v>-16470.027</v>
      </c>
      <c r="Z246" s="272"/>
      <c r="AA246" s="275"/>
    </row>
    <row r="247" customFormat="false" ht="14.25" hidden="false" customHeight="false" outlineLevel="0" collapsed="false">
      <c r="A247" s="272" t="s">
        <v>549</v>
      </c>
      <c r="B247" s="273"/>
      <c r="C247" s="273"/>
      <c r="D247" s="273"/>
      <c r="E247" s="273"/>
      <c r="F247" s="273" t="n">
        <v>-228.72</v>
      </c>
      <c r="G247" s="273"/>
      <c r="H247" s="273"/>
      <c r="I247" s="273"/>
      <c r="J247" s="273"/>
      <c r="K247" s="273"/>
      <c r="L247" s="273"/>
      <c r="M247" s="273"/>
      <c r="N247" s="273" t="n">
        <v>-4401.738</v>
      </c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4" t="n">
        <f aca="false">SUM(B247:X247)</f>
        <v>-4630.458</v>
      </c>
      <c r="Z247" s="272"/>
      <c r="AA247" s="275"/>
    </row>
    <row r="248" customFormat="false" ht="14.25" hidden="false" customHeight="false" outlineLevel="0" collapsed="false">
      <c r="A248" s="272" t="s">
        <v>550</v>
      </c>
      <c r="B248" s="273"/>
      <c r="C248" s="273"/>
      <c r="D248" s="273"/>
      <c r="E248" s="273" t="n">
        <v>-2462.04</v>
      </c>
      <c r="F248" s="273"/>
      <c r="G248" s="273"/>
      <c r="H248" s="273"/>
      <c r="I248" s="273"/>
      <c r="J248" s="273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4" t="n">
        <f aca="false">SUM(B248:X248)</f>
        <v>-2462.04</v>
      </c>
      <c r="Z248" s="272"/>
      <c r="AA248" s="275"/>
    </row>
    <row r="249" customFormat="false" ht="14.25" hidden="false" customHeight="false" outlineLevel="0" collapsed="false">
      <c r="A249" s="272" t="s">
        <v>406</v>
      </c>
      <c r="B249" s="273" t="n">
        <v>-15711.9</v>
      </c>
      <c r="C249" s="273"/>
      <c r="D249" s="273"/>
      <c r="E249" s="273"/>
      <c r="F249" s="273"/>
      <c r="G249" s="273"/>
      <c r="H249" s="273"/>
      <c r="I249" s="273"/>
      <c r="J249" s="273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4" t="n">
        <f aca="false">SUM(B249:X249)</f>
        <v>-15711.9</v>
      </c>
      <c r="Z249" s="272"/>
      <c r="AA249" s="275"/>
    </row>
    <row r="250" customFormat="false" ht="14.25" hidden="false" customHeight="false" outlineLevel="0" collapsed="false">
      <c r="A250" s="272" t="s">
        <v>404</v>
      </c>
      <c r="B250" s="273"/>
      <c r="C250" s="273"/>
      <c r="D250" s="273"/>
      <c r="E250" s="273"/>
      <c r="F250" s="273"/>
      <c r="G250" s="273"/>
      <c r="H250" s="273"/>
      <c r="I250" s="273"/>
      <c r="J250" s="273" t="n">
        <v>-17362.44</v>
      </c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4" t="n">
        <f aca="false">SUM(B250:X250)</f>
        <v>-17362.44</v>
      </c>
      <c r="Z250" s="272"/>
      <c r="AA250" s="275"/>
    </row>
    <row r="251" customFormat="false" ht="14.25" hidden="false" customHeight="false" outlineLevel="0" collapsed="false">
      <c r="A251" s="272" t="s">
        <v>551</v>
      </c>
      <c r="B251" s="273"/>
      <c r="C251" s="273"/>
      <c r="D251" s="273"/>
      <c r="E251" s="273"/>
      <c r="F251" s="273"/>
      <c r="G251" s="273"/>
      <c r="H251" s="273"/>
      <c r="I251" s="273"/>
      <c r="J251" s="273" t="n">
        <v>-1702.2</v>
      </c>
      <c r="K251" s="273"/>
      <c r="L251" s="273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3"/>
      <c r="Y251" s="274" t="n">
        <f aca="false">SUM(B251:X251)</f>
        <v>-1702.2</v>
      </c>
      <c r="Z251" s="272"/>
      <c r="AA251" s="275"/>
    </row>
    <row r="252" customFormat="false" ht="14.25" hidden="false" customHeight="false" outlineLevel="0" collapsed="false">
      <c r="A252" s="272" t="s">
        <v>530</v>
      </c>
      <c r="B252" s="273"/>
      <c r="C252" s="273"/>
      <c r="D252" s="273"/>
      <c r="E252" s="273"/>
      <c r="F252" s="273"/>
      <c r="G252" s="273"/>
      <c r="H252" s="273"/>
      <c r="I252" s="273"/>
      <c r="J252" s="273" t="n">
        <v>-11900.628</v>
      </c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4" t="n">
        <f aca="false">SUM(B252:X252)</f>
        <v>-11900.628</v>
      </c>
      <c r="Z252" s="272"/>
      <c r="AA252" s="275"/>
    </row>
    <row r="253" customFormat="false" ht="14.25" hidden="false" customHeight="false" outlineLevel="0" collapsed="false">
      <c r="A253" s="272" t="s">
        <v>404</v>
      </c>
      <c r="B253" s="273" t="n">
        <v>-52373</v>
      </c>
      <c r="C253" s="273"/>
      <c r="D253" s="273"/>
      <c r="E253" s="273"/>
      <c r="F253" s="273"/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3"/>
      <c r="Y253" s="274" t="n">
        <f aca="false">SUM(B253:X253)</f>
        <v>-52373</v>
      </c>
      <c r="Z253" s="272"/>
      <c r="AA253" s="275"/>
    </row>
    <row r="254" customFormat="false" ht="14.25" hidden="false" customHeight="false" outlineLevel="0" collapsed="false">
      <c r="A254" s="272" t="s">
        <v>547</v>
      </c>
      <c r="B254" s="273"/>
      <c r="C254" s="273"/>
      <c r="D254" s="273"/>
      <c r="E254" s="273"/>
      <c r="F254" s="273"/>
      <c r="G254" s="273"/>
      <c r="H254" s="273"/>
      <c r="I254" s="273"/>
      <c r="J254" s="273" t="n">
        <v>-8511</v>
      </c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4" t="n">
        <f aca="false">SUM(B254:X254)</f>
        <v>-8511</v>
      </c>
      <c r="Z254" s="272"/>
      <c r="AA254" s="275"/>
    </row>
    <row r="255" customFormat="false" ht="14.25" hidden="false" customHeight="false" outlineLevel="0" collapsed="false">
      <c r="A255" s="272" t="s">
        <v>552</v>
      </c>
      <c r="B255" s="273"/>
      <c r="C255" s="273"/>
      <c r="D255" s="273"/>
      <c r="E255" s="273" t="n">
        <v>-923.265</v>
      </c>
      <c r="F255" s="273"/>
      <c r="G255" s="273"/>
      <c r="H255" s="273" t="n">
        <v>-68.899</v>
      </c>
      <c r="I255" s="273"/>
      <c r="J255" s="273" t="n">
        <v>-85.11</v>
      </c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3"/>
      <c r="Y255" s="274" t="n">
        <f aca="false">SUM(B255:X255)</f>
        <v>-1077.274</v>
      </c>
      <c r="Z255" s="272"/>
      <c r="AA255" s="275"/>
    </row>
    <row r="256" customFormat="false" ht="14.25" hidden="false" customHeight="false" outlineLevel="0" collapsed="false">
      <c r="A256" s="272" t="s">
        <v>553</v>
      </c>
      <c r="B256" s="273" t="n">
        <v>-179.289</v>
      </c>
      <c r="C256" s="273"/>
      <c r="D256" s="273"/>
      <c r="E256" s="273"/>
      <c r="F256" s="273"/>
      <c r="G256" s="273"/>
      <c r="H256" s="273"/>
      <c r="I256" s="273"/>
      <c r="J256" s="273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4" t="n">
        <f aca="false">SUM(B256:X256)</f>
        <v>-179.289</v>
      </c>
      <c r="Z256" s="272"/>
      <c r="AA256" s="275"/>
    </row>
    <row r="257" customFormat="false" ht="14.25" hidden="false" customHeight="false" outlineLevel="0" collapsed="false">
      <c r="A257" s="272" t="s">
        <v>541</v>
      </c>
      <c r="B257" s="273"/>
      <c r="C257" s="273"/>
      <c r="D257" s="273"/>
      <c r="E257" s="273"/>
      <c r="F257" s="273"/>
      <c r="G257" s="273"/>
      <c r="H257" s="273"/>
      <c r="I257" s="273"/>
      <c r="J257" s="273" t="n">
        <v>-1702.2</v>
      </c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4" t="n">
        <f aca="false">SUM(B257:X257)</f>
        <v>-1702.2</v>
      </c>
      <c r="Z257" s="272"/>
      <c r="AA257" s="275"/>
    </row>
    <row r="258" customFormat="false" ht="14.25" hidden="false" customHeight="false" outlineLevel="0" collapsed="false">
      <c r="A258" s="272" t="s">
        <v>554</v>
      </c>
      <c r="B258" s="273" t="n">
        <v>-1153.845</v>
      </c>
      <c r="C258" s="273"/>
      <c r="D258" s="273"/>
      <c r="E258" s="273"/>
      <c r="F258" s="273"/>
      <c r="G258" s="273"/>
      <c r="H258" s="273"/>
      <c r="I258" s="273"/>
      <c r="J258" s="273"/>
      <c r="K258" s="273"/>
      <c r="L258" s="273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3"/>
      <c r="Y258" s="274" t="n">
        <f aca="false">SUM(B258:X258)</f>
        <v>-1153.845</v>
      </c>
      <c r="Z258" s="272"/>
      <c r="AA258" s="275"/>
    </row>
    <row r="259" customFormat="false" ht="14.25" hidden="false" customHeight="false" outlineLevel="0" collapsed="false">
      <c r="A259" s="272" t="s">
        <v>555</v>
      </c>
      <c r="B259" s="273"/>
      <c r="C259" s="273"/>
      <c r="D259" s="273"/>
      <c r="E259" s="273"/>
      <c r="F259" s="273"/>
      <c r="G259" s="273"/>
      <c r="H259" s="273"/>
      <c r="I259" s="273"/>
      <c r="J259" s="273"/>
      <c r="K259" s="273"/>
      <c r="L259" s="273"/>
      <c r="M259" s="273"/>
      <c r="N259" s="273"/>
      <c r="O259" s="273"/>
      <c r="P259" s="273"/>
      <c r="Q259" s="273"/>
      <c r="R259" s="273" t="n">
        <v>-2014.974</v>
      </c>
      <c r="S259" s="273"/>
      <c r="T259" s="273"/>
      <c r="U259" s="273"/>
      <c r="V259" s="273"/>
      <c r="W259" s="273"/>
      <c r="X259" s="273"/>
      <c r="Y259" s="274" t="n">
        <f aca="false">SUM(B259:X259)</f>
        <v>-2014.974</v>
      </c>
      <c r="Z259" s="272"/>
      <c r="AA259" s="275"/>
    </row>
    <row r="260" customFormat="false" ht="14.25" hidden="false" customHeight="false" outlineLevel="0" collapsed="false">
      <c r="A260" s="272" t="s">
        <v>556</v>
      </c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3"/>
      <c r="M260" s="273"/>
      <c r="N260" s="273" t="n">
        <v>-13781.925</v>
      </c>
      <c r="O260" s="273"/>
      <c r="P260" s="273"/>
      <c r="Q260" s="273"/>
      <c r="R260" s="273"/>
      <c r="S260" s="273"/>
      <c r="T260" s="273"/>
      <c r="U260" s="273"/>
      <c r="V260" s="273"/>
      <c r="W260" s="273"/>
      <c r="X260" s="273"/>
      <c r="Y260" s="274" t="n">
        <f aca="false">SUM(B260:X260)</f>
        <v>-13781.925</v>
      </c>
      <c r="Z260" s="272"/>
      <c r="AA260" s="275"/>
    </row>
    <row r="261" customFormat="false" ht="14.25" hidden="false" customHeight="false" outlineLevel="0" collapsed="false">
      <c r="A261" s="272" t="s">
        <v>544</v>
      </c>
      <c r="B261" s="273"/>
      <c r="C261" s="273"/>
      <c r="D261" s="273"/>
      <c r="E261" s="273"/>
      <c r="F261" s="273"/>
      <c r="G261" s="273"/>
      <c r="H261" s="273"/>
      <c r="I261" s="273"/>
      <c r="J261" s="273" t="n">
        <v>-2610.04</v>
      </c>
      <c r="K261" s="273"/>
      <c r="L261" s="273"/>
      <c r="M261" s="273"/>
      <c r="N261" s="273" t="n">
        <v>-6921.589</v>
      </c>
      <c r="O261" s="273"/>
      <c r="P261" s="273"/>
      <c r="Q261" s="273"/>
      <c r="R261" s="273"/>
      <c r="S261" s="273"/>
      <c r="T261" s="273"/>
      <c r="U261" s="273"/>
      <c r="V261" s="273"/>
      <c r="W261" s="273"/>
      <c r="X261" s="273"/>
      <c r="Y261" s="274" t="n">
        <f aca="false">SUM(B261:X261)</f>
        <v>-9531.629</v>
      </c>
      <c r="Z261" s="272"/>
      <c r="AA261" s="275"/>
    </row>
    <row r="262" customFormat="false" ht="14.25" hidden="false" customHeight="false" outlineLevel="0" collapsed="false">
      <c r="A262" s="272" t="s">
        <v>557</v>
      </c>
      <c r="B262" s="273"/>
      <c r="C262" s="273" t="n">
        <v>-463.95</v>
      </c>
      <c r="D262" s="273"/>
      <c r="E262" s="273"/>
      <c r="F262" s="273"/>
      <c r="G262" s="273"/>
      <c r="H262" s="273"/>
      <c r="I262" s="273"/>
      <c r="J262" s="273"/>
      <c r="K262" s="273"/>
      <c r="L262" s="273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3"/>
      <c r="Y262" s="274" t="n">
        <f aca="false">SUM(B262:X262)</f>
        <v>-463.95</v>
      </c>
      <c r="Z262" s="272"/>
      <c r="AA262" s="275"/>
    </row>
    <row r="263" customFormat="false" ht="14.25" hidden="false" customHeight="false" outlineLevel="0" collapsed="false">
      <c r="A263" s="272" t="s">
        <v>558</v>
      </c>
      <c r="B263" s="273"/>
      <c r="C263" s="273"/>
      <c r="D263" s="273"/>
      <c r="E263" s="273"/>
      <c r="F263" s="273"/>
      <c r="G263" s="273"/>
      <c r="H263" s="273"/>
      <c r="I263" s="273"/>
      <c r="J263" s="273" t="n">
        <v>-4255.5</v>
      </c>
      <c r="K263" s="273"/>
      <c r="L263" s="273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3"/>
      <c r="Y263" s="274" t="n">
        <f aca="false">SUM(B263:X263)</f>
        <v>-4255.5</v>
      </c>
      <c r="Z263" s="272"/>
      <c r="AA263" s="275"/>
    </row>
    <row r="264" customFormat="false" ht="14.25" hidden="false" customHeight="false" outlineLevel="0" collapsed="false">
      <c r="A264" s="272" t="s">
        <v>559</v>
      </c>
      <c r="B264" s="273"/>
      <c r="C264" s="273"/>
      <c r="D264" s="273"/>
      <c r="E264" s="273"/>
      <c r="F264" s="273"/>
      <c r="G264" s="273"/>
      <c r="H264" s="273" t="n">
        <v>130.788</v>
      </c>
      <c r="I264" s="273"/>
      <c r="J264" s="273" t="n">
        <v>-1680</v>
      </c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3"/>
      <c r="Y264" s="274" t="n">
        <f aca="false">SUM(B264:X264)</f>
        <v>-1549.212</v>
      </c>
      <c r="Z264" s="272"/>
      <c r="AA264" s="275"/>
    </row>
    <row r="265" customFormat="false" ht="14.25" hidden="false" customHeight="false" outlineLevel="0" collapsed="false">
      <c r="A265" s="272" t="s">
        <v>560</v>
      </c>
      <c r="B265" s="273"/>
      <c r="C265" s="273"/>
      <c r="D265" s="273"/>
      <c r="E265" s="273"/>
      <c r="F265" s="273"/>
      <c r="G265" s="273"/>
      <c r="H265" s="273"/>
      <c r="I265" s="273"/>
      <c r="J265" s="273"/>
      <c r="K265" s="273"/>
      <c r="L265" s="273"/>
      <c r="M265" s="273"/>
      <c r="N265" s="273"/>
      <c r="O265" s="273"/>
      <c r="P265" s="273" t="n">
        <v>-1810.854</v>
      </c>
      <c r="Q265" s="273"/>
      <c r="R265" s="273"/>
      <c r="S265" s="273"/>
      <c r="T265" s="273"/>
      <c r="U265" s="273"/>
      <c r="V265" s="273"/>
      <c r="W265" s="273"/>
      <c r="X265" s="273"/>
      <c r="Y265" s="274" t="n">
        <f aca="false">SUM(B265:X265)</f>
        <v>-1810.854</v>
      </c>
      <c r="Z265" s="272"/>
      <c r="AA265" s="275"/>
    </row>
    <row r="266" customFormat="false" ht="14.25" hidden="false" customHeight="false" outlineLevel="0" collapsed="false">
      <c r="A266" s="272" t="s">
        <v>561</v>
      </c>
      <c r="B266" s="273" t="n">
        <v>-4639.416</v>
      </c>
      <c r="C266" s="273" t="n">
        <v>-463.95</v>
      </c>
      <c r="D266" s="273"/>
      <c r="E266" s="273"/>
      <c r="F266" s="273"/>
      <c r="G266" s="273"/>
      <c r="H266" s="273"/>
      <c r="I266" s="273"/>
      <c r="J266" s="273" t="n">
        <v>-17022</v>
      </c>
      <c r="K266" s="273"/>
      <c r="L266" s="273" t="n">
        <v>-364.432</v>
      </c>
      <c r="M266" s="273"/>
      <c r="N266" s="273" t="n">
        <v>-6125.3</v>
      </c>
      <c r="O266" s="273"/>
      <c r="P266" s="273" t="n">
        <v>-1016.775</v>
      </c>
      <c r="Q266" s="273"/>
      <c r="R266" s="273"/>
      <c r="S266" s="273"/>
      <c r="T266" s="273"/>
      <c r="U266" s="273"/>
      <c r="V266" s="273"/>
      <c r="W266" s="273"/>
      <c r="X266" s="273"/>
      <c r="Y266" s="274" t="n">
        <f aca="false">SUM(B266:X266)</f>
        <v>-29631.873</v>
      </c>
      <c r="Z266" s="272"/>
      <c r="AA266" s="275"/>
    </row>
    <row r="267" customFormat="false" ht="14.25" hidden="false" customHeight="false" outlineLevel="0" collapsed="false">
      <c r="A267" s="272" t="s">
        <v>562</v>
      </c>
      <c r="B267" s="273" t="n">
        <v>-48533.082</v>
      </c>
      <c r="C267" s="273"/>
      <c r="D267" s="273"/>
      <c r="E267" s="273"/>
      <c r="F267" s="273" t="n">
        <v>-10362.918</v>
      </c>
      <c r="G267" s="273"/>
      <c r="H267" s="273"/>
      <c r="I267" s="273" t="n">
        <v>-2067.285</v>
      </c>
      <c r="J267" s="273" t="n">
        <v>-3460.38</v>
      </c>
      <c r="K267" s="273"/>
      <c r="L267" s="273"/>
      <c r="M267" s="273"/>
      <c r="N267" s="273"/>
      <c r="O267" s="273"/>
      <c r="P267" s="273"/>
      <c r="Q267" s="273"/>
      <c r="R267" s="273"/>
      <c r="S267" s="273"/>
      <c r="T267" s="273"/>
      <c r="U267" s="273"/>
      <c r="V267" s="273"/>
      <c r="W267" s="273"/>
      <c r="X267" s="273"/>
      <c r="Y267" s="274" t="n">
        <f aca="false">SUM(B267:X267)</f>
        <v>-64423.665</v>
      </c>
      <c r="Z267" s="272"/>
      <c r="AA267" s="275"/>
    </row>
    <row r="268" customFormat="false" ht="14.25" hidden="false" customHeight="false" outlineLevel="0" collapsed="false">
      <c r="A268" s="272" t="s">
        <v>563</v>
      </c>
      <c r="B268" s="273"/>
      <c r="C268" s="273"/>
      <c r="D268" s="273"/>
      <c r="E268" s="273"/>
      <c r="F268" s="273" t="n">
        <v>-205.848</v>
      </c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3"/>
      <c r="Y268" s="274" t="n">
        <f aca="false">SUM(B268:X268)</f>
        <v>-205.848</v>
      </c>
      <c r="Z268" s="272"/>
      <c r="AA268" s="275"/>
    </row>
    <row r="269" customFormat="false" ht="14.25" hidden="false" customHeight="false" outlineLevel="0" collapsed="false">
      <c r="A269" s="272" t="s">
        <v>564</v>
      </c>
      <c r="B269" s="273"/>
      <c r="C269" s="273"/>
      <c r="D269" s="273"/>
      <c r="E269" s="273"/>
      <c r="F269" s="273"/>
      <c r="G269" s="273"/>
      <c r="H269" s="273"/>
      <c r="I269" s="273"/>
      <c r="J269" s="273"/>
      <c r="K269" s="273"/>
      <c r="L269" s="273"/>
      <c r="M269" s="273"/>
      <c r="N269" s="273"/>
      <c r="O269" s="273"/>
      <c r="P269" s="273"/>
      <c r="Q269" s="273"/>
      <c r="R269" s="273" t="n">
        <v>-154.998</v>
      </c>
      <c r="S269" s="273"/>
      <c r="T269" s="273"/>
      <c r="U269" s="273"/>
      <c r="V269" s="273"/>
      <c r="W269" s="273"/>
      <c r="X269" s="273"/>
      <c r="Y269" s="274" t="n">
        <f aca="false">SUM(B269:X269)</f>
        <v>-154.998</v>
      </c>
      <c r="Z269" s="272"/>
      <c r="AA269" s="275"/>
    </row>
    <row r="270" customFormat="false" ht="14.25" hidden="false" customHeight="false" outlineLevel="0" collapsed="false">
      <c r="A270" s="272" t="s">
        <v>397</v>
      </c>
      <c r="B270" s="273"/>
      <c r="C270" s="273"/>
      <c r="D270" s="273"/>
      <c r="E270" s="273"/>
      <c r="F270" s="273"/>
      <c r="G270" s="273"/>
      <c r="H270" s="273"/>
      <c r="I270" s="273"/>
      <c r="J270" s="273" t="n">
        <v>-11404.74</v>
      </c>
      <c r="K270" s="273"/>
      <c r="L270" s="273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3"/>
      <c r="Y270" s="274" t="n">
        <f aca="false">SUM(B270:X270)</f>
        <v>-11404.74</v>
      </c>
      <c r="Z270" s="272"/>
      <c r="AA270" s="275"/>
    </row>
    <row r="271" customFormat="false" ht="14.25" hidden="false" customHeight="false" outlineLevel="0" collapsed="false">
      <c r="A271" s="272" t="s">
        <v>469</v>
      </c>
      <c r="B271" s="273"/>
      <c r="C271" s="273"/>
      <c r="D271" s="273"/>
      <c r="E271" s="273"/>
      <c r="F271" s="273"/>
      <c r="G271" s="273"/>
      <c r="H271" s="273"/>
      <c r="I271" s="273"/>
      <c r="J271" s="273" t="n">
        <v>-2893.74</v>
      </c>
      <c r="K271" s="273"/>
      <c r="L271" s="273"/>
      <c r="M271" s="273"/>
      <c r="N271" s="273"/>
      <c r="O271" s="273"/>
      <c r="P271" s="273"/>
      <c r="Q271" s="273"/>
      <c r="R271" s="273"/>
      <c r="S271" s="273"/>
      <c r="T271" s="273"/>
      <c r="U271" s="273"/>
      <c r="V271" s="273"/>
      <c r="W271" s="273"/>
      <c r="X271" s="273"/>
      <c r="Y271" s="274" t="n">
        <f aca="false">SUM(B271:X271)</f>
        <v>-2893.74</v>
      </c>
      <c r="Z271" s="272"/>
      <c r="AA271" s="275"/>
    </row>
    <row r="272" customFormat="false" ht="14.25" hidden="false" customHeight="false" outlineLevel="0" collapsed="false">
      <c r="A272" s="272" t="s">
        <v>565</v>
      </c>
      <c r="B272" s="273"/>
      <c r="C272" s="273"/>
      <c r="D272" s="273"/>
      <c r="E272" s="273" t="n">
        <v>-14556.8115</v>
      </c>
      <c r="F272" s="273"/>
      <c r="G272" s="273"/>
      <c r="H272" s="273"/>
      <c r="I272" s="273"/>
      <c r="J272" s="273"/>
      <c r="K272" s="273"/>
      <c r="L272" s="273"/>
      <c r="M272" s="273"/>
      <c r="N272" s="273"/>
      <c r="O272" s="273"/>
      <c r="P272" s="273"/>
      <c r="Q272" s="273"/>
      <c r="R272" s="273"/>
      <c r="S272" s="273"/>
      <c r="T272" s="273"/>
      <c r="U272" s="273"/>
      <c r="V272" s="273"/>
      <c r="W272" s="273"/>
      <c r="X272" s="273"/>
      <c r="Y272" s="274" t="n">
        <f aca="false">SUM(B272:X272)</f>
        <v>-14556.8115</v>
      </c>
      <c r="Z272" s="272"/>
      <c r="AA272" s="275"/>
    </row>
    <row r="273" customFormat="false" ht="14.25" hidden="false" customHeight="false" outlineLevel="0" collapsed="false">
      <c r="A273" s="272" t="s">
        <v>566</v>
      </c>
      <c r="B273" s="273"/>
      <c r="C273" s="273"/>
      <c r="D273" s="273"/>
      <c r="E273" s="273" t="n">
        <v>-410.34</v>
      </c>
      <c r="F273" s="273"/>
      <c r="G273" s="273"/>
      <c r="H273" s="273" t="n">
        <v>-688.99</v>
      </c>
      <c r="I273" s="273"/>
      <c r="J273" s="273"/>
      <c r="K273" s="273"/>
      <c r="L273" s="273"/>
      <c r="M273" s="273"/>
      <c r="N273" s="273"/>
      <c r="O273" s="273"/>
      <c r="P273" s="273"/>
      <c r="Q273" s="273"/>
      <c r="R273" s="273"/>
      <c r="S273" s="273"/>
      <c r="T273" s="273"/>
      <c r="U273" s="273"/>
      <c r="V273" s="273"/>
      <c r="W273" s="273"/>
      <c r="X273" s="273"/>
      <c r="Y273" s="274" t="n">
        <f aca="false">SUM(B273:X273)</f>
        <v>-1099.33</v>
      </c>
      <c r="Z273" s="272"/>
      <c r="AA273" s="275"/>
    </row>
    <row r="274" customFormat="false" ht="14.25" hidden="false" customHeight="false" outlineLevel="0" collapsed="false">
      <c r="A274" s="272" t="s">
        <v>461</v>
      </c>
      <c r="B274" s="273"/>
      <c r="C274" s="273"/>
      <c r="D274" s="273" t="n">
        <v>45.69</v>
      </c>
      <c r="E274" s="273"/>
      <c r="F274" s="273"/>
      <c r="G274" s="273"/>
      <c r="H274" s="273" t="n">
        <v>-206.697</v>
      </c>
      <c r="I274" s="273"/>
      <c r="J274" s="273"/>
      <c r="K274" s="273"/>
      <c r="L274" s="273"/>
      <c r="M274" s="273"/>
      <c r="N274" s="273"/>
      <c r="O274" s="273"/>
      <c r="P274" s="273"/>
      <c r="Q274" s="273"/>
      <c r="R274" s="273"/>
      <c r="S274" s="273"/>
      <c r="T274" s="273"/>
      <c r="U274" s="273"/>
      <c r="V274" s="273"/>
      <c r="W274" s="273"/>
      <c r="X274" s="273"/>
      <c r="Y274" s="274" t="n">
        <f aca="false">SUM(B274:X274)</f>
        <v>-161.007</v>
      </c>
      <c r="Z274" s="272"/>
      <c r="AA274" s="275"/>
    </row>
    <row r="275" customFormat="false" ht="14.25" hidden="false" customHeight="false" outlineLevel="0" collapsed="false">
      <c r="A275" s="272" t="s">
        <v>442</v>
      </c>
      <c r="B275" s="273"/>
      <c r="C275" s="273"/>
      <c r="D275" s="273"/>
      <c r="E275" s="273"/>
      <c r="F275" s="273"/>
      <c r="G275" s="273"/>
      <c r="H275" s="273"/>
      <c r="I275" s="273"/>
      <c r="J275" s="273"/>
      <c r="K275" s="273"/>
      <c r="L275" s="273" t="n">
        <v>-11090.2935</v>
      </c>
      <c r="M275" s="273"/>
      <c r="N275" s="273"/>
      <c r="O275" s="273"/>
      <c r="P275" s="273"/>
      <c r="Q275" s="273"/>
      <c r="R275" s="273"/>
      <c r="S275" s="273"/>
      <c r="T275" s="273"/>
      <c r="U275" s="273"/>
      <c r="V275" s="273"/>
      <c r="W275" s="273"/>
      <c r="X275" s="273"/>
      <c r="Y275" s="274" t="n">
        <f aca="false">SUM(B275:X275)</f>
        <v>-11090.2935</v>
      </c>
      <c r="Z275" s="272"/>
      <c r="AA275" s="275"/>
    </row>
    <row r="276" customFormat="false" ht="14.25" hidden="false" customHeight="false" outlineLevel="0" collapsed="false">
      <c r="A276" s="272" t="s">
        <v>417</v>
      </c>
      <c r="B276" s="273"/>
      <c r="C276" s="273"/>
      <c r="D276" s="273"/>
      <c r="E276" s="273"/>
      <c r="F276" s="273"/>
      <c r="G276" s="273"/>
      <c r="H276" s="273"/>
      <c r="I276" s="273"/>
      <c r="J276" s="273"/>
      <c r="K276" s="273"/>
      <c r="L276" s="273" t="n">
        <v>-11970.1425</v>
      </c>
      <c r="M276" s="273"/>
      <c r="N276" s="273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4" t="n">
        <f aca="false">SUM(B276:X276)</f>
        <v>-11970.1425</v>
      </c>
      <c r="Z276" s="272"/>
      <c r="AA276" s="275"/>
    </row>
    <row r="277" customFormat="false" ht="14.25" hidden="false" customHeight="false" outlineLevel="0" collapsed="false">
      <c r="A277" s="272" t="s">
        <v>567</v>
      </c>
      <c r="B277" s="273"/>
      <c r="C277" s="273"/>
      <c r="D277" s="273"/>
      <c r="E277" s="273" t="n">
        <v>-2061.9585</v>
      </c>
      <c r="F277" s="273"/>
      <c r="G277" s="273"/>
      <c r="H277" s="273" t="n">
        <v>1382.616</v>
      </c>
      <c r="I277" s="273"/>
      <c r="J277" s="273"/>
      <c r="K277" s="273"/>
      <c r="L277" s="273" t="n">
        <v>-4018.08</v>
      </c>
      <c r="M277" s="273"/>
      <c r="N277" s="273" t="n">
        <v>-26850.549</v>
      </c>
      <c r="O277" s="273"/>
      <c r="P277" s="273"/>
      <c r="Q277" s="273"/>
      <c r="R277" s="273"/>
      <c r="S277" s="273"/>
      <c r="T277" s="273"/>
      <c r="U277" s="273"/>
      <c r="V277" s="273"/>
      <c r="W277" s="273"/>
      <c r="X277" s="273"/>
      <c r="Y277" s="274" t="n">
        <f aca="false">SUM(B277:X277)</f>
        <v>-31547.9715</v>
      </c>
      <c r="Z277" s="272"/>
      <c r="AA277" s="275"/>
    </row>
    <row r="278" customFormat="false" ht="14.25" hidden="false" customHeight="false" outlineLevel="0" collapsed="false">
      <c r="A278" s="272" t="s">
        <v>568</v>
      </c>
      <c r="B278" s="273"/>
      <c r="C278" s="273"/>
      <c r="D278" s="273"/>
      <c r="E278" s="273"/>
      <c r="F278" s="273" t="n">
        <v>-1623.45</v>
      </c>
      <c r="G278" s="273"/>
      <c r="H278" s="273"/>
      <c r="I278" s="273"/>
      <c r="J278" s="273"/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3"/>
      <c r="X278" s="273"/>
      <c r="Y278" s="274" t="n">
        <f aca="false">SUM(B278:X278)</f>
        <v>-1623.45</v>
      </c>
      <c r="Z278" s="272"/>
      <c r="AA278" s="275"/>
    </row>
    <row r="279" customFormat="false" ht="14.25" hidden="false" customHeight="false" outlineLevel="0" collapsed="false">
      <c r="A279" s="272" t="s">
        <v>569</v>
      </c>
      <c r="B279" s="273"/>
      <c r="C279" s="273"/>
      <c r="D279" s="273"/>
      <c r="E279" s="273"/>
      <c r="F279" s="273"/>
      <c r="G279" s="273"/>
      <c r="H279" s="273"/>
      <c r="I279" s="273"/>
      <c r="J279" s="273" t="n">
        <v>-425.55</v>
      </c>
      <c r="K279" s="273"/>
      <c r="L279" s="273"/>
      <c r="M279" s="273"/>
      <c r="N279" s="273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4" t="n">
        <f aca="false">SUM(B279:X279)</f>
        <v>-425.55</v>
      </c>
      <c r="Z279" s="272"/>
      <c r="AA279" s="275"/>
    </row>
    <row r="280" customFormat="false" ht="14.25" hidden="false" customHeight="false" outlineLevel="0" collapsed="false">
      <c r="A280" s="272" t="s">
        <v>570</v>
      </c>
      <c r="B280" s="273"/>
      <c r="C280" s="273" t="n">
        <v>-394.357</v>
      </c>
      <c r="D280" s="273"/>
      <c r="E280" s="273"/>
      <c r="F280" s="273"/>
      <c r="G280" s="273"/>
      <c r="H280" s="273"/>
      <c r="I280" s="273"/>
      <c r="J280" s="273"/>
      <c r="K280" s="273"/>
      <c r="L280" s="273"/>
      <c r="M280" s="273"/>
      <c r="N280" s="273"/>
      <c r="O280" s="273"/>
      <c r="P280" s="273" t="n">
        <v>-723.8385</v>
      </c>
      <c r="Q280" s="273"/>
      <c r="R280" s="273"/>
      <c r="S280" s="273"/>
      <c r="T280" s="273"/>
      <c r="U280" s="273"/>
      <c r="V280" s="273"/>
      <c r="W280" s="273"/>
      <c r="X280" s="273"/>
      <c r="Y280" s="274" t="n">
        <f aca="false">SUM(B280:X280)</f>
        <v>-1118.1955</v>
      </c>
      <c r="Z280" s="272"/>
      <c r="AA280" s="275"/>
    </row>
    <row r="281" customFormat="false" ht="14.25" hidden="false" customHeight="false" outlineLevel="0" collapsed="false">
      <c r="A281" s="272" t="s">
        <v>571</v>
      </c>
      <c r="B281" s="273"/>
      <c r="C281" s="273"/>
      <c r="D281" s="273"/>
      <c r="E281" s="273"/>
      <c r="F281" s="273"/>
      <c r="G281" s="273"/>
      <c r="H281" s="273"/>
      <c r="I281" s="273"/>
      <c r="J281" s="273"/>
      <c r="K281" s="273"/>
      <c r="L281" s="273" t="n">
        <v>-3139.125</v>
      </c>
      <c r="M281" s="273"/>
      <c r="N281" s="273" t="n">
        <v>-1873.08</v>
      </c>
      <c r="O281" s="273"/>
      <c r="P281" s="273"/>
      <c r="Q281" s="273"/>
      <c r="R281" s="273"/>
      <c r="S281" s="273"/>
      <c r="T281" s="273"/>
      <c r="U281" s="273"/>
      <c r="V281" s="273"/>
      <c r="W281" s="273"/>
      <c r="X281" s="273"/>
      <c r="Y281" s="274" t="n">
        <f aca="false">SUM(B281:X281)</f>
        <v>-5012.205</v>
      </c>
      <c r="Z281" s="272"/>
      <c r="AA281" s="275"/>
    </row>
    <row r="282" customFormat="false" ht="14.25" hidden="false" customHeight="false" outlineLevel="0" collapsed="false">
      <c r="A282" s="272" t="s">
        <v>486</v>
      </c>
      <c r="B282" s="273"/>
      <c r="C282" s="273"/>
      <c r="D282" s="273"/>
      <c r="E282" s="273"/>
      <c r="F282" s="273"/>
      <c r="G282" s="273"/>
      <c r="H282" s="273"/>
      <c r="I282" s="273"/>
      <c r="J282" s="273" t="n">
        <v>-1702.2</v>
      </c>
      <c r="K282" s="273"/>
      <c r="L282" s="273"/>
      <c r="M282" s="273"/>
      <c r="N282" s="273"/>
      <c r="O282" s="273"/>
      <c r="P282" s="273"/>
      <c r="Q282" s="273"/>
      <c r="R282" s="273"/>
      <c r="S282" s="273"/>
      <c r="T282" s="273"/>
      <c r="U282" s="273"/>
      <c r="V282" s="273"/>
      <c r="W282" s="273"/>
      <c r="X282" s="273"/>
      <c r="Y282" s="274" t="n">
        <f aca="false">SUM(B282:X282)</f>
        <v>-1702.2</v>
      </c>
      <c r="Z282" s="272"/>
      <c r="AA282" s="275"/>
    </row>
    <row r="283" customFormat="false" ht="14.25" hidden="false" customHeight="false" outlineLevel="0" collapsed="false">
      <c r="A283" s="272" t="s">
        <v>572</v>
      </c>
      <c r="B283" s="273"/>
      <c r="C283" s="273" t="n">
        <v>9627.42</v>
      </c>
      <c r="D283" s="273"/>
      <c r="E283" s="273" t="n">
        <v>-400.0815</v>
      </c>
      <c r="F283" s="273"/>
      <c r="G283" s="273"/>
      <c r="H283" s="273"/>
      <c r="I283" s="273"/>
      <c r="J283" s="273" t="n">
        <v>-3404.4</v>
      </c>
      <c r="K283" s="273"/>
      <c r="L283" s="273" t="n">
        <v>-3325.9205</v>
      </c>
      <c r="M283" s="273"/>
      <c r="N283" s="273" t="n">
        <v>-25122.3</v>
      </c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4" t="n">
        <f aca="false">SUM(B283:X283)</f>
        <v>-22625.282</v>
      </c>
      <c r="Z283" s="272"/>
      <c r="AA283" s="275"/>
    </row>
    <row r="284" customFormat="false" ht="14.25" hidden="false" customHeight="false" outlineLevel="0" collapsed="false">
      <c r="A284" s="272" t="s">
        <v>573</v>
      </c>
      <c r="B284" s="273"/>
      <c r="C284" s="273"/>
      <c r="D284" s="273"/>
      <c r="E284" s="273"/>
      <c r="F284" s="273" t="n">
        <v>-21672</v>
      </c>
      <c r="G284" s="273"/>
      <c r="H284" s="273"/>
      <c r="I284" s="273"/>
      <c r="J284" s="273"/>
      <c r="K284" s="273"/>
      <c r="L284" s="273"/>
      <c r="M284" s="273"/>
      <c r="N284" s="273"/>
      <c r="O284" s="273"/>
      <c r="P284" s="273"/>
      <c r="Q284" s="273"/>
      <c r="R284" s="273"/>
      <c r="S284" s="273"/>
      <c r="T284" s="273"/>
      <c r="U284" s="273"/>
      <c r="V284" s="273"/>
      <c r="W284" s="273"/>
      <c r="X284" s="273"/>
      <c r="Y284" s="274" t="n">
        <f aca="false">SUM(B284:X284)</f>
        <v>-21672</v>
      </c>
      <c r="Z284" s="272"/>
      <c r="AA284" s="275"/>
    </row>
    <row r="285" customFormat="false" ht="14.25" hidden="false" customHeight="false" outlineLevel="0" collapsed="false">
      <c r="A285" s="272" t="s">
        <v>574</v>
      </c>
      <c r="B285" s="273"/>
      <c r="C285" s="273"/>
      <c r="D285" s="273"/>
      <c r="E285" s="273"/>
      <c r="F285" s="273" t="n">
        <v>-2322</v>
      </c>
      <c r="G285" s="273"/>
      <c r="H285" s="273"/>
      <c r="I285" s="273"/>
      <c r="J285" s="273"/>
      <c r="K285" s="273"/>
      <c r="L285" s="273"/>
      <c r="M285" s="273"/>
      <c r="N285" s="273"/>
      <c r="O285" s="273"/>
      <c r="P285" s="273"/>
      <c r="Q285" s="273"/>
      <c r="R285" s="273"/>
      <c r="S285" s="273"/>
      <c r="T285" s="273"/>
      <c r="U285" s="273"/>
      <c r="V285" s="273"/>
      <c r="W285" s="273"/>
      <c r="X285" s="273"/>
      <c r="Y285" s="274" t="n">
        <f aca="false">SUM(B285:X285)</f>
        <v>-2322</v>
      </c>
      <c r="Z285" s="272"/>
      <c r="AA285" s="275"/>
    </row>
    <row r="286" customFormat="false" ht="14.25" hidden="false" customHeight="false" outlineLevel="0" collapsed="false">
      <c r="A286" s="272" t="s">
        <v>404</v>
      </c>
      <c r="B286" s="273"/>
      <c r="C286" s="273"/>
      <c r="D286" s="273"/>
      <c r="E286" s="273"/>
      <c r="F286" s="273"/>
      <c r="G286" s="273"/>
      <c r="H286" s="273"/>
      <c r="I286" s="273"/>
      <c r="J286" s="273" t="n">
        <v>-40320.768</v>
      </c>
      <c r="K286" s="273"/>
      <c r="L286" s="273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3"/>
      <c r="Y286" s="274" t="n">
        <f aca="false">SUM(B286:X286)</f>
        <v>-40320.768</v>
      </c>
      <c r="Z286" s="272"/>
      <c r="AA286" s="275"/>
    </row>
    <row r="287" customFormat="false" ht="14.25" hidden="false" customHeight="false" outlineLevel="0" collapsed="false">
      <c r="A287" s="272" t="s">
        <v>575</v>
      </c>
      <c r="B287" s="273"/>
      <c r="C287" s="273"/>
      <c r="D287" s="273"/>
      <c r="E287" s="273"/>
      <c r="F287" s="273"/>
      <c r="G287" s="273"/>
      <c r="H287" s="273"/>
      <c r="I287" s="273"/>
      <c r="J287" s="273" t="n">
        <v>-15750.3</v>
      </c>
      <c r="K287" s="273"/>
      <c r="L287" s="273" t="n">
        <v>-1004.52</v>
      </c>
      <c r="M287" s="273"/>
      <c r="N287" s="273"/>
      <c r="O287" s="273"/>
      <c r="P287" s="273"/>
      <c r="Q287" s="273"/>
      <c r="R287" s="273"/>
      <c r="S287" s="273"/>
      <c r="T287" s="273"/>
      <c r="U287" s="273"/>
      <c r="V287" s="273"/>
      <c r="W287" s="273"/>
      <c r="X287" s="273"/>
      <c r="Y287" s="274" t="n">
        <f aca="false">SUM(B287:X287)</f>
        <v>-16754.82</v>
      </c>
      <c r="Z287" s="272"/>
      <c r="AA287" s="275"/>
    </row>
    <row r="288" customFormat="false" ht="14.25" hidden="false" customHeight="false" outlineLevel="0" collapsed="false">
      <c r="A288" s="272" t="s">
        <v>567</v>
      </c>
      <c r="B288" s="273"/>
      <c r="C288" s="273"/>
      <c r="D288" s="273"/>
      <c r="E288" s="273"/>
      <c r="F288" s="273"/>
      <c r="G288" s="273"/>
      <c r="H288" s="273"/>
      <c r="I288" s="273"/>
      <c r="J288" s="273" t="n">
        <v>-40320.769</v>
      </c>
      <c r="K288" s="273"/>
      <c r="L288" s="273" t="n">
        <v>-2260.17</v>
      </c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3"/>
      <c r="Y288" s="274" t="n">
        <f aca="false">SUM(B288:X288)</f>
        <v>-42580.939</v>
      </c>
      <c r="Z288" s="272"/>
      <c r="AA288" s="275"/>
    </row>
    <row r="289" customFormat="false" ht="14.25" hidden="false" customHeight="false" outlineLevel="0" collapsed="false">
      <c r="A289" s="272" t="s">
        <v>576</v>
      </c>
      <c r="B289" s="273" t="n">
        <v>-41566.9125</v>
      </c>
      <c r="C289" s="273"/>
      <c r="D289" s="273" t="n">
        <v>200.205</v>
      </c>
      <c r="E289" s="273"/>
      <c r="F289" s="273"/>
      <c r="G289" s="273"/>
      <c r="H289" s="273"/>
      <c r="I289" s="273"/>
      <c r="J289" s="273" t="n">
        <v>-8282.4</v>
      </c>
      <c r="K289" s="273"/>
      <c r="L289" s="273"/>
      <c r="M289" s="273"/>
      <c r="N289" s="273" t="n">
        <v>-7350.36</v>
      </c>
      <c r="O289" s="273"/>
      <c r="P289" s="273"/>
      <c r="Q289" s="273"/>
      <c r="R289" s="273"/>
      <c r="S289" s="273"/>
      <c r="T289" s="273"/>
      <c r="U289" s="273"/>
      <c r="V289" s="273"/>
      <c r="W289" s="273"/>
      <c r="X289" s="273"/>
      <c r="Y289" s="274" t="n">
        <f aca="false">SUM(B289:X289)</f>
        <v>-56999.4675</v>
      </c>
      <c r="Z289" s="272"/>
      <c r="AA289" s="275"/>
    </row>
    <row r="290" customFormat="false" ht="14.25" hidden="false" customHeight="false" outlineLevel="0" collapsed="false">
      <c r="A290" s="272" t="s">
        <v>541</v>
      </c>
      <c r="B290" s="273" t="n">
        <v>-1369.263</v>
      </c>
      <c r="C290" s="273"/>
      <c r="D290" s="273"/>
      <c r="E290" s="273"/>
      <c r="F290" s="273"/>
      <c r="G290" s="273"/>
      <c r="H290" s="273"/>
      <c r="I290" s="273"/>
      <c r="J290" s="273"/>
      <c r="K290" s="273"/>
      <c r="L290" s="273"/>
      <c r="M290" s="273"/>
      <c r="N290" s="273"/>
      <c r="O290" s="273"/>
      <c r="P290" s="273"/>
      <c r="Q290" s="273"/>
      <c r="R290" s="273"/>
      <c r="S290" s="273"/>
      <c r="T290" s="273"/>
      <c r="U290" s="273"/>
      <c r="V290" s="273"/>
      <c r="W290" s="273"/>
      <c r="X290" s="273"/>
      <c r="Y290" s="274" t="n">
        <f aca="false">SUM(B290:X290)</f>
        <v>-1369.263</v>
      </c>
      <c r="Z290" s="272"/>
      <c r="AA290" s="275"/>
    </row>
    <row r="291" customFormat="false" ht="14.25" hidden="false" customHeight="false" outlineLevel="0" collapsed="false">
      <c r="A291" s="272" t="s">
        <v>577</v>
      </c>
      <c r="B291" s="273" t="n">
        <v>-11149.713</v>
      </c>
      <c r="C291" s="273"/>
      <c r="D291" s="273"/>
      <c r="E291" s="273"/>
      <c r="F291" s="273"/>
      <c r="G291" s="273"/>
      <c r="H291" s="273"/>
      <c r="I291" s="273"/>
      <c r="J291" s="273"/>
      <c r="K291" s="273"/>
      <c r="L291" s="273"/>
      <c r="M291" s="273"/>
      <c r="N291" s="273"/>
      <c r="O291" s="273"/>
      <c r="P291" s="273"/>
      <c r="Q291" s="273"/>
      <c r="R291" s="273"/>
      <c r="S291" s="273"/>
      <c r="T291" s="273"/>
      <c r="U291" s="273"/>
      <c r="V291" s="273"/>
      <c r="W291" s="273"/>
      <c r="X291" s="273"/>
      <c r="Y291" s="274" t="n">
        <f aca="false">SUM(B291:X291)</f>
        <v>-11149.713</v>
      </c>
      <c r="Z291" s="272"/>
      <c r="AA291" s="275"/>
    </row>
    <row r="292" customFormat="false" ht="14.25" hidden="false" customHeight="false" outlineLevel="0" collapsed="false">
      <c r="A292" s="272" t="s">
        <v>578</v>
      </c>
      <c r="B292" s="273"/>
      <c r="C292" s="273"/>
      <c r="D292" s="273"/>
      <c r="E292" s="273" t="n">
        <v>-572.895</v>
      </c>
      <c r="F292" s="273"/>
      <c r="G292" s="273"/>
      <c r="H292" s="273"/>
      <c r="I292" s="273"/>
      <c r="J292" s="273"/>
      <c r="K292" s="273"/>
      <c r="L292" s="273"/>
      <c r="M292" s="273"/>
      <c r="N292" s="273" t="n">
        <v>-458.082</v>
      </c>
      <c r="O292" s="273"/>
      <c r="P292" s="273"/>
      <c r="Q292" s="273"/>
      <c r="R292" s="273"/>
      <c r="S292" s="273"/>
      <c r="T292" s="273"/>
      <c r="U292" s="273"/>
      <c r="V292" s="273"/>
      <c r="W292" s="273"/>
      <c r="X292" s="273"/>
      <c r="Y292" s="274" t="n">
        <f aca="false">SUM(B292:X292)</f>
        <v>-1030.977</v>
      </c>
      <c r="Z292" s="272"/>
      <c r="AA292" s="275"/>
    </row>
    <row r="293" customFormat="false" ht="14.25" hidden="false" customHeight="false" outlineLevel="0" collapsed="false">
      <c r="A293" s="272" t="s">
        <v>579</v>
      </c>
      <c r="B293" s="273"/>
      <c r="C293" s="273"/>
      <c r="D293" s="273"/>
      <c r="E293" s="273"/>
      <c r="F293" s="273"/>
      <c r="G293" s="273"/>
      <c r="H293" s="273"/>
      <c r="I293" s="273"/>
      <c r="J293" s="273" t="n">
        <v>-2041.11</v>
      </c>
      <c r="K293" s="273"/>
      <c r="L293" s="273"/>
      <c r="M293" s="273" t="n">
        <v>-272.7</v>
      </c>
      <c r="N293" s="273"/>
      <c r="O293" s="273"/>
      <c r="P293" s="273"/>
      <c r="Q293" s="273"/>
      <c r="R293" s="273"/>
      <c r="S293" s="273"/>
      <c r="T293" s="273"/>
      <c r="U293" s="273"/>
      <c r="V293" s="273"/>
      <c r="W293" s="273"/>
      <c r="X293" s="273"/>
      <c r="Y293" s="274" t="n">
        <f aca="false">SUM(B293:X293)</f>
        <v>-2313.81</v>
      </c>
      <c r="Z293" s="272"/>
      <c r="AA293" s="275"/>
    </row>
    <row r="294" customFormat="false" ht="14.25" hidden="false" customHeight="false" outlineLevel="0" collapsed="false">
      <c r="A294" s="272" t="s">
        <v>580</v>
      </c>
      <c r="B294" s="273"/>
      <c r="C294" s="273"/>
      <c r="D294" s="273"/>
      <c r="E294" s="273"/>
      <c r="F294" s="273"/>
      <c r="G294" s="273"/>
      <c r="H294" s="273" t="n">
        <v>186.84</v>
      </c>
      <c r="I294" s="273"/>
      <c r="J294" s="273"/>
      <c r="K294" s="273"/>
      <c r="L294" s="273"/>
      <c r="M294" s="273"/>
      <c r="N294" s="273"/>
      <c r="O294" s="273"/>
      <c r="P294" s="273"/>
      <c r="Q294" s="273"/>
      <c r="R294" s="273"/>
      <c r="S294" s="273"/>
      <c r="T294" s="273"/>
      <c r="U294" s="273"/>
      <c r="V294" s="273"/>
      <c r="W294" s="273"/>
      <c r="X294" s="273"/>
      <c r="Y294" s="274" t="n">
        <f aca="false">SUM(B294:X294)</f>
        <v>186.84</v>
      </c>
      <c r="Z294" s="272"/>
      <c r="AA294" s="275"/>
    </row>
    <row r="295" customFormat="false" ht="14.25" hidden="false" customHeight="false" outlineLevel="0" collapsed="false">
      <c r="A295" s="272" t="s">
        <v>581</v>
      </c>
      <c r="B295" s="273"/>
      <c r="C295" s="273"/>
      <c r="D295" s="273" t="n">
        <v>1334.7</v>
      </c>
      <c r="E295" s="273"/>
      <c r="F295" s="273"/>
      <c r="G295" s="273"/>
      <c r="H295" s="273"/>
      <c r="I295" s="273"/>
      <c r="J295" s="273"/>
      <c r="K295" s="273"/>
      <c r="L295" s="273"/>
      <c r="M295" s="273"/>
      <c r="N295" s="273" t="n">
        <v>-9187.95</v>
      </c>
      <c r="O295" s="273"/>
      <c r="P295" s="273"/>
      <c r="Q295" s="273"/>
      <c r="R295" s="273"/>
      <c r="S295" s="273"/>
      <c r="T295" s="273"/>
      <c r="U295" s="273"/>
      <c r="V295" s="273"/>
      <c r="W295" s="273"/>
      <c r="X295" s="273"/>
      <c r="Y295" s="274" t="n">
        <f aca="false">SUM(B295:X295)</f>
        <v>-7853.25</v>
      </c>
      <c r="Z295" s="272"/>
      <c r="AA295" s="275"/>
    </row>
    <row r="296" customFormat="false" ht="14.25" hidden="false" customHeight="false" outlineLevel="0" collapsed="false">
      <c r="A296" s="272" t="s">
        <v>582</v>
      </c>
      <c r="B296" s="273"/>
      <c r="C296" s="273" t="n">
        <v>-788.715</v>
      </c>
      <c r="D296" s="273" t="n">
        <v>894.249</v>
      </c>
      <c r="E296" s="273"/>
      <c r="F296" s="273"/>
      <c r="G296" s="273"/>
      <c r="H296" s="273"/>
      <c r="I296" s="273"/>
      <c r="J296" s="273" t="n">
        <v>-8505.162</v>
      </c>
      <c r="K296" s="273"/>
      <c r="L296" s="273"/>
      <c r="M296" s="273"/>
      <c r="N296" s="273" t="n">
        <v>-6155.9265</v>
      </c>
      <c r="O296" s="273"/>
      <c r="P296" s="273"/>
      <c r="Q296" s="273"/>
      <c r="R296" s="273"/>
      <c r="S296" s="273"/>
      <c r="T296" s="273"/>
      <c r="U296" s="273"/>
      <c r="V296" s="273"/>
      <c r="W296" s="273"/>
      <c r="X296" s="273"/>
      <c r="Y296" s="274" t="n">
        <f aca="false">SUM(B296:X296)</f>
        <v>-14555.5545</v>
      </c>
      <c r="Z296" s="272"/>
      <c r="AA296" s="275"/>
    </row>
    <row r="297" customFormat="false" ht="14.25" hidden="false" customHeight="false" outlineLevel="0" collapsed="false">
      <c r="A297" s="272" t="s">
        <v>385</v>
      </c>
      <c r="B297" s="273"/>
      <c r="C297" s="273"/>
      <c r="D297" s="273"/>
      <c r="E297" s="273"/>
      <c r="F297" s="273" t="n">
        <v>-17842.917</v>
      </c>
      <c r="G297" s="273"/>
      <c r="H297" s="273"/>
      <c r="I297" s="273"/>
      <c r="J297" s="273"/>
      <c r="K297" s="273"/>
      <c r="L297" s="273"/>
      <c r="M297" s="273"/>
      <c r="N297" s="273"/>
      <c r="O297" s="273"/>
      <c r="P297" s="273"/>
      <c r="Q297" s="273"/>
      <c r="R297" s="273"/>
      <c r="S297" s="273"/>
      <c r="T297" s="273"/>
      <c r="U297" s="273"/>
      <c r="V297" s="273"/>
      <c r="W297" s="273"/>
      <c r="X297" s="273"/>
      <c r="Y297" s="274" t="n">
        <f aca="false">SUM(B297:X297)</f>
        <v>-17842.917</v>
      </c>
      <c r="Z297" s="272"/>
      <c r="AA297" s="275"/>
    </row>
    <row r="298" customFormat="false" ht="14.25" hidden="false" customHeight="false" outlineLevel="0" collapsed="false">
      <c r="A298" s="272" t="s">
        <v>583</v>
      </c>
      <c r="B298" s="273"/>
      <c r="C298" s="273"/>
      <c r="D298" s="273" t="n">
        <v>493.839</v>
      </c>
      <c r="E298" s="273"/>
      <c r="F298" s="273"/>
      <c r="G298" s="273"/>
      <c r="H298" s="273"/>
      <c r="I298" s="273"/>
      <c r="J298" s="273"/>
      <c r="K298" s="273"/>
      <c r="L298" s="273"/>
      <c r="M298" s="273"/>
      <c r="N298" s="273"/>
      <c r="O298" s="273"/>
      <c r="P298" s="273"/>
      <c r="Q298" s="273"/>
      <c r="R298" s="273"/>
      <c r="S298" s="273"/>
      <c r="T298" s="273"/>
      <c r="U298" s="273"/>
      <c r="V298" s="273"/>
      <c r="W298" s="273"/>
      <c r="X298" s="273"/>
      <c r="Y298" s="274" t="n">
        <f aca="false">SUM(B298:X298)</f>
        <v>493.839</v>
      </c>
      <c r="Z298" s="272"/>
      <c r="AA298" s="275"/>
    </row>
    <row r="299" customFormat="false" ht="14.25" hidden="false" customHeight="false" outlineLevel="0" collapsed="false">
      <c r="A299" s="272" t="s">
        <v>584</v>
      </c>
      <c r="B299" s="273"/>
      <c r="C299" s="273"/>
      <c r="D299" s="273" t="n">
        <v>2909.646</v>
      </c>
      <c r="E299" s="273"/>
      <c r="F299" s="273"/>
      <c r="G299" s="273"/>
      <c r="H299" s="273"/>
      <c r="I299" s="273"/>
      <c r="J299" s="273"/>
      <c r="K299" s="273"/>
      <c r="L299" s="273"/>
      <c r="M299" s="273"/>
      <c r="N299" s="273"/>
      <c r="O299" s="273"/>
      <c r="P299" s="273"/>
      <c r="Q299" s="273"/>
      <c r="R299" s="273"/>
      <c r="S299" s="273"/>
      <c r="T299" s="273"/>
      <c r="U299" s="273"/>
      <c r="V299" s="273"/>
      <c r="W299" s="273"/>
      <c r="X299" s="273"/>
      <c r="Y299" s="274" t="n">
        <f aca="false">SUM(B299:X299)</f>
        <v>2909.646</v>
      </c>
      <c r="Z299" s="272"/>
      <c r="AA299" s="275"/>
    </row>
    <row r="300" customFormat="false" ht="14.25" hidden="false" customHeight="false" outlineLevel="0" collapsed="false">
      <c r="A300" s="272" t="s">
        <v>559</v>
      </c>
      <c r="B300" s="273"/>
      <c r="C300" s="273" t="n">
        <v>-983.178</v>
      </c>
      <c r="D300" s="273"/>
      <c r="E300" s="273"/>
      <c r="F300" s="273"/>
      <c r="G300" s="273"/>
      <c r="H300" s="273"/>
      <c r="I300" s="273"/>
      <c r="J300" s="273"/>
      <c r="K300" s="273"/>
      <c r="L300" s="273"/>
      <c r="M300" s="273"/>
      <c r="N300" s="273"/>
      <c r="O300" s="273"/>
      <c r="P300" s="273"/>
      <c r="Q300" s="273"/>
      <c r="R300" s="273"/>
      <c r="S300" s="273"/>
      <c r="T300" s="273"/>
      <c r="U300" s="273"/>
      <c r="V300" s="273"/>
      <c r="W300" s="273"/>
      <c r="X300" s="273"/>
      <c r="Y300" s="274" t="n">
        <f aca="false">SUM(B300:X300)</f>
        <v>-983.178</v>
      </c>
      <c r="Z300" s="272"/>
      <c r="AA300" s="275"/>
    </row>
    <row r="301" customFormat="false" ht="14.25" hidden="false" customHeight="false" outlineLevel="0" collapsed="false">
      <c r="A301" s="272" t="s">
        <v>585</v>
      </c>
      <c r="B301" s="273"/>
      <c r="C301" s="273" t="n">
        <v>-12073.698</v>
      </c>
      <c r="D301" s="273"/>
      <c r="E301" s="273"/>
      <c r="F301" s="273"/>
      <c r="G301" s="273"/>
      <c r="H301" s="273"/>
      <c r="I301" s="273"/>
      <c r="J301" s="273"/>
      <c r="K301" s="273"/>
      <c r="L301" s="273"/>
      <c r="M301" s="273"/>
      <c r="N301" s="273"/>
      <c r="O301" s="273"/>
      <c r="P301" s="273"/>
      <c r="Q301" s="273"/>
      <c r="R301" s="273"/>
      <c r="S301" s="273"/>
      <c r="T301" s="273"/>
      <c r="U301" s="273"/>
      <c r="V301" s="273"/>
      <c r="W301" s="273"/>
      <c r="X301" s="273"/>
      <c r="Y301" s="274" t="n">
        <f aca="false">SUM(B301:X301)</f>
        <v>-12073.698</v>
      </c>
      <c r="Z301" s="272"/>
      <c r="AA301" s="275"/>
    </row>
    <row r="302" customFormat="false" ht="14.25" hidden="false" customHeight="false" outlineLevel="0" collapsed="false">
      <c r="A302" s="272" t="s">
        <v>530</v>
      </c>
      <c r="B302" s="273"/>
      <c r="C302" s="273"/>
      <c r="D302" s="273" t="n">
        <v>1494.864</v>
      </c>
      <c r="E302" s="273"/>
      <c r="F302" s="273"/>
      <c r="G302" s="273"/>
      <c r="H302" s="273" t="n">
        <v>18.684</v>
      </c>
      <c r="I302" s="273"/>
      <c r="J302" s="273"/>
      <c r="K302" s="273"/>
      <c r="L302" s="273"/>
      <c r="M302" s="273"/>
      <c r="N302" s="273"/>
      <c r="O302" s="273"/>
      <c r="P302" s="273"/>
      <c r="Q302" s="273"/>
      <c r="R302" s="273"/>
      <c r="S302" s="273"/>
      <c r="T302" s="273"/>
      <c r="U302" s="273"/>
      <c r="V302" s="273"/>
      <c r="W302" s="273"/>
      <c r="X302" s="273"/>
      <c r="Y302" s="274" t="n">
        <f aca="false">SUM(B302:X302)</f>
        <v>1513.548</v>
      </c>
      <c r="Z302" s="272"/>
      <c r="AA302" s="275"/>
    </row>
    <row r="303" customFormat="false" ht="14.25" hidden="false" customHeight="false" outlineLevel="0" collapsed="false">
      <c r="A303" s="272" t="s">
        <v>586</v>
      </c>
      <c r="B303" s="273"/>
      <c r="C303" s="273"/>
      <c r="D303" s="273"/>
      <c r="E303" s="273"/>
      <c r="F303" s="273" t="n">
        <v>-57.18</v>
      </c>
      <c r="G303" s="273"/>
      <c r="H303" s="273"/>
      <c r="I303" s="273"/>
      <c r="J303" s="273"/>
      <c r="K303" s="273"/>
      <c r="L303" s="273"/>
      <c r="M303" s="273"/>
      <c r="N303" s="273"/>
      <c r="O303" s="273"/>
      <c r="P303" s="273"/>
      <c r="Q303" s="273"/>
      <c r="R303" s="273"/>
      <c r="S303" s="273"/>
      <c r="T303" s="273"/>
      <c r="U303" s="273"/>
      <c r="V303" s="273"/>
      <c r="W303" s="273"/>
      <c r="X303" s="273"/>
      <c r="Y303" s="274" t="n">
        <f aca="false">SUM(B303:X303)</f>
        <v>-57.18</v>
      </c>
      <c r="Z303" s="272"/>
      <c r="AA303" s="275"/>
    </row>
    <row r="304" customFormat="false" ht="14.25" hidden="false" customHeight="false" outlineLevel="0" collapsed="false">
      <c r="A304" s="272" t="s">
        <v>587</v>
      </c>
      <c r="B304" s="273"/>
      <c r="C304" s="273" t="n">
        <v>-383.292</v>
      </c>
      <c r="D304" s="273"/>
      <c r="E304" s="273"/>
      <c r="F304" s="273" t="n">
        <v>-17.154</v>
      </c>
      <c r="G304" s="273" t="n">
        <v>-432</v>
      </c>
      <c r="H304" s="273"/>
      <c r="I304" s="273"/>
      <c r="J304" s="273"/>
      <c r="K304" s="273"/>
      <c r="L304" s="273"/>
      <c r="M304" s="273"/>
      <c r="N304" s="273"/>
      <c r="O304" s="273"/>
      <c r="P304" s="273"/>
      <c r="Q304" s="273"/>
      <c r="R304" s="273"/>
      <c r="S304" s="273"/>
      <c r="T304" s="273"/>
      <c r="U304" s="273"/>
      <c r="V304" s="273"/>
      <c r="W304" s="273"/>
      <c r="X304" s="273"/>
      <c r="Y304" s="274" t="n">
        <f aca="false">SUM(B304:X304)</f>
        <v>-832.446</v>
      </c>
      <c r="Z304" s="272"/>
      <c r="AA304" s="275"/>
    </row>
    <row r="305" customFormat="false" ht="14.25" hidden="false" customHeight="false" outlineLevel="0" collapsed="false">
      <c r="A305" s="272" t="s">
        <v>588</v>
      </c>
      <c r="B305" s="273"/>
      <c r="C305" s="273"/>
      <c r="D305" s="273"/>
      <c r="E305" s="273"/>
      <c r="F305" s="273"/>
      <c r="G305" s="273"/>
      <c r="H305" s="273"/>
      <c r="I305" s="273"/>
      <c r="J305" s="273"/>
      <c r="K305" s="273"/>
      <c r="L305" s="273"/>
      <c r="M305" s="273"/>
      <c r="N305" s="273" t="n">
        <v>-306.265</v>
      </c>
      <c r="O305" s="273"/>
      <c r="P305" s="273"/>
      <c r="Q305" s="273"/>
      <c r="R305" s="273"/>
      <c r="S305" s="273"/>
      <c r="T305" s="273"/>
      <c r="U305" s="273"/>
      <c r="V305" s="273"/>
      <c r="W305" s="273"/>
      <c r="X305" s="273"/>
      <c r="Y305" s="274" t="n">
        <f aca="false">SUM(B305:X305)</f>
        <v>-306.265</v>
      </c>
      <c r="Z305" s="272"/>
      <c r="AA305" s="275"/>
    </row>
    <row r="306" customFormat="false" ht="14.25" hidden="false" customHeight="false" outlineLevel="0" collapsed="false">
      <c r="A306" s="272" t="s">
        <v>589</v>
      </c>
      <c r="B306" s="273"/>
      <c r="C306" s="273"/>
      <c r="D306" s="273"/>
      <c r="E306" s="273"/>
      <c r="F306" s="273"/>
      <c r="G306" s="273"/>
      <c r="H306" s="273"/>
      <c r="I306" s="273"/>
      <c r="J306" s="273" t="n">
        <v>-17022</v>
      </c>
      <c r="K306" s="273"/>
      <c r="L306" s="273"/>
      <c r="M306" s="273"/>
      <c r="N306" s="273" t="n">
        <v>-3675.18</v>
      </c>
      <c r="O306" s="273"/>
      <c r="P306" s="273"/>
      <c r="Q306" s="273"/>
      <c r="R306" s="273"/>
      <c r="S306" s="273"/>
      <c r="T306" s="273"/>
      <c r="U306" s="273"/>
      <c r="V306" s="273"/>
      <c r="W306" s="273"/>
      <c r="X306" s="273"/>
      <c r="Y306" s="274" t="n">
        <f aca="false">SUM(B306:X306)</f>
        <v>-20697.18</v>
      </c>
      <c r="Z306" s="272"/>
      <c r="AA306" s="275"/>
    </row>
    <row r="307" customFormat="false" ht="14.25" hidden="false" customHeight="false" outlineLevel="0" collapsed="false">
      <c r="A307" s="272" t="s">
        <v>590</v>
      </c>
      <c r="B307" s="273"/>
      <c r="C307" s="273"/>
      <c r="D307" s="273"/>
      <c r="E307" s="273"/>
      <c r="F307" s="273"/>
      <c r="G307" s="273"/>
      <c r="H307" s="273" t="n">
        <v>-3153.054</v>
      </c>
      <c r="I307" s="273"/>
      <c r="J307" s="273"/>
      <c r="K307" s="273"/>
      <c r="L307" s="273"/>
      <c r="M307" s="273"/>
      <c r="N307" s="273"/>
      <c r="O307" s="273"/>
      <c r="P307" s="273"/>
      <c r="Q307" s="273"/>
      <c r="R307" s="273"/>
      <c r="S307" s="273"/>
      <c r="T307" s="273"/>
      <c r="U307" s="273"/>
      <c r="V307" s="273"/>
      <c r="W307" s="273"/>
      <c r="X307" s="273"/>
      <c r="Y307" s="274" t="n">
        <f aca="false">SUM(B307:X307)</f>
        <v>-3153.054</v>
      </c>
      <c r="Z307" s="272"/>
      <c r="AA307" s="275"/>
    </row>
    <row r="308" customFormat="false" ht="14.25" hidden="false" customHeight="false" outlineLevel="0" collapsed="false">
      <c r="A308" s="272" t="s">
        <v>591</v>
      </c>
      <c r="B308" s="273"/>
      <c r="C308" s="273" t="n">
        <v>-1085.994</v>
      </c>
      <c r="D308" s="273"/>
      <c r="E308" s="273"/>
      <c r="F308" s="273"/>
      <c r="G308" s="273"/>
      <c r="H308" s="273"/>
      <c r="I308" s="273"/>
      <c r="J308" s="273"/>
      <c r="K308" s="273"/>
      <c r="L308" s="273"/>
      <c r="M308" s="273"/>
      <c r="N308" s="273"/>
      <c r="O308" s="273"/>
      <c r="P308" s="273"/>
      <c r="Q308" s="273"/>
      <c r="R308" s="273"/>
      <c r="S308" s="273"/>
      <c r="T308" s="273"/>
      <c r="U308" s="273"/>
      <c r="V308" s="273"/>
      <c r="W308" s="273"/>
      <c r="X308" s="273"/>
      <c r="Y308" s="274" t="n">
        <f aca="false">SUM(B308:X308)</f>
        <v>-1085.994</v>
      </c>
      <c r="Z308" s="272"/>
      <c r="AA308" s="275"/>
    </row>
    <row r="309" customFormat="false" ht="14.25" hidden="false" customHeight="false" outlineLevel="0" collapsed="false">
      <c r="A309" s="272" t="s">
        <v>552</v>
      </c>
      <c r="B309" s="273"/>
      <c r="C309" s="273"/>
      <c r="D309" s="273" t="n">
        <v>26.694</v>
      </c>
      <c r="E309" s="273"/>
      <c r="F309" s="273"/>
      <c r="G309" s="273"/>
      <c r="H309" s="273"/>
      <c r="I309" s="273"/>
      <c r="J309" s="273"/>
      <c r="K309" s="273"/>
      <c r="L309" s="273"/>
      <c r="M309" s="273"/>
      <c r="N309" s="273"/>
      <c r="O309" s="273"/>
      <c r="P309" s="273"/>
      <c r="Q309" s="273"/>
      <c r="R309" s="273"/>
      <c r="S309" s="273"/>
      <c r="T309" s="273"/>
      <c r="U309" s="273"/>
      <c r="V309" s="273"/>
      <c r="W309" s="273"/>
      <c r="X309" s="273"/>
      <c r="Y309" s="274" t="n">
        <f aca="false">SUM(B309:X309)</f>
        <v>26.694</v>
      </c>
      <c r="Z309" s="272"/>
      <c r="AA309" s="275"/>
    </row>
    <row r="310" customFormat="false" ht="14.25" hidden="false" customHeight="false" outlineLevel="0" collapsed="false">
      <c r="A310" s="272" t="s">
        <v>551</v>
      </c>
      <c r="B310" s="273"/>
      <c r="C310" s="273"/>
      <c r="D310" s="273" t="n">
        <v>266.94</v>
      </c>
      <c r="E310" s="273"/>
      <c r="F310" s="273"/>
      <c r="G310" s="273"/>
      <c r="H310" s="273"/>
      <c r="I310" s="273"/>
      <c r="J310" s="273"/>
      <c r="K310" s="273"/>
      <c r="L310" s="273"/>
      <c r="M310" s="273"/>
      <c r="N310" s="273"/>
      <c r="O310" s="273"/>
      <c r="P310" s="273"/>
      <c r="Q310" s="273"/>
      <c r="R310" s="273"/>
      <c r="S310" s="273"/>
      <c r="T310" s="273"/>
      <c r="U310" s="273"/>
      <c r="V310" s="273"/>
      <c r="W310" s="273"/>
      <c r="X310" s="273"/>
      <c r="Y310" s="274" t="n">
        <f aca="false">SUM(B310:X310)</f>
        <v>266.94</v>
      </c>
      <c r="Z310" s="272"/>
      <c r="AA310" s="275"/>
    </row>
    <row r="311" customFormat="false" ht="14.25" hidden="false" customHeight="false" outlineLevel="0" collapsed="false">
      <c r="A311" s="272" t="s">
        <v>592</v>
      </c>
      <c r="B311" s="273"/>
      <c r="C311" s="273"/>
      <c r="D311" s="273"/>
      <c r="E311" s="273"/>
      <c r="F311" s="273" t="n">
        <v>-72342.0555</v>
      </c>
      <c r="G311" s="273"/>
      <c r="H311" s="273"/>
      <c r="I311" s="273"/>
      <c r="J311" s="273"/>
      <c r="K311" s="273"/>
      <c r="L311" s="273"/>
      <c r="M311" s="273"/>
      <c r="N311" s="273"/>
      <c r="O311" s="273"/>
      <c r="P311" s="273"/>
      <c r="Q311" s="273"/>
      <c r="R311" s="273"/>
      <c r="S311" s="273"/>
      <c r="T311" s="273"/>
      <c r="U311" s="273"/>
      <c r="V311" s="273"/>
      <c r="W311" s="273"/>
      <c r="X311" s="273"/>
      <c r="Y311" s="274" t="n">
        <f aca="false">SUM(B311:X311)</f>
        <v>-72342.0555</v>
      </c>
      <c r="Z311" s="272"/>
      <c r="AA311" s="275"/>
    </row>
    <row r="312" customFormat="false" ht="14.25" hidden="false" customHeight="false" outlineLevel="0" collapsed="false">
      <c r="A312" s="272" t="s">
        <v>593</v>
      </c>
      <c r="B312" s="273" t="n">
        <v>-24.4485</v>
      </c>
      <c r="C312" s="273"/>
      <c r="D312" s="273"/>
      <c r="E312" s="273"/>
      <c r="F312" s="273"/>
      <c r="G312" s="273"/>
      <c r="H312" s="273"/>
      <c r="I312" s="273"/>
      <c r="J312" s="273" t="n">
        <v>-340.44</v>
      </c>
      <c r="K312" s="273"/>
      <c r="L312" s="273" t="n">
        <v>-93.1965</v>
      </c>
      <c r="M312" s="273"/>
      <c r="N312" s="273"/>
      <c r="O312" s="273"/>
      <c r="P312" s="273"/>
      <c r="Q312" s="273"/>
      <c r="R312" s="273"/>
      <c r="S312" s="273"/>
      <c r="T312" s="273"/>
      <c r="U312" s="273"/>
      <c r="V312" s="273"/>
      <c r="W312" s="273"/>
      <c r="X312" s="273"/>
      <c r="Y312" s="274" t="n">
        <f aca="false">SUM(B312:X312)</f>
        <v>-458.085</v>
      </c>
      <c r="Z312" s="272"/>
      <c r="AA312" s="275"/>
    </row>
    <row r="313" customFormat="false" ht="14.25" hidden="false" customHeight="false" outlineLevel="0" collapsed="false">
      <c r="A313" s="272" t="s">
        <v>594</v>
      </c>
      <c r="B313" s="273"/>
      <c r="C313" s="273"/>
      <c r="D313" s="273"/>
      <c r="E313" s="273"/>
      <c r="F313" s="273"/>
      <c r="G313" s="273"/>
      <c r="H313" s="273"/>
      <c r="I313" s="273"/>
      <c r="J313" s="273" t="n">
        <v>-828.24</v>
      </c>
      <c r="K313" s="273"/>
      <c r="L313" s="273" t="n">
        <v>-1255.65</v>
      </c>
      <c r="M313" s="273"/>
      <c r="N313" s="273"/>
      <c r="O313" s="273"/>
      <c r="P313" s="273"/>
      <c r="Q313" s="273"/>
      <c r="R313" s="273"/>
      <c r="S313" s="273"/>
      <c r="T313" s="273"/>
      <c r="U313" s="273"/>
      <c r="V313" s="273"/>
      <c r="W313" s="273"/>
      <c r="X313" s="273"/>
      <c r="Y313" s="274" t="n">
        <f aca="false">SUM(B313:X313)</f>
        <v>-2083.89</v>
      </c>
      <c r="Z313" s="272"/>
      <c r="AA313" s="275"/>
    </row>
    <row r="314" customFormat="false" ht="14.25" hidden="false" customHeight="false" outlineLevel="0" collapsed="false">
      <c r="A314" s="272" t="s">
        <v>595</v>
      </c>
      <c r="B314" s="273" t="n">
        <v>-764.3985</v>
      </c>
      <c r="C314" s="273" t="n">
        <v>-638.82</v>
      </c>
      <c r="D314" s="273" t="n">
        <v>-802.47</v>
      </c>
      <c r="E314" s="273"/>
      <c r="F314" s="273"/>
      <c r="G314" s="273"/>
      <c r="H314" s="273"/>
      <c r="I314" s="273"/>
      <c r="J314" s="273"/>
      <c r="K314" s="273"/>
      <c r="L314" s="273"/>
      <c r="M314" s="273"/>
      <c r="N314" s="273"/>
      <c r="O314" s="273"/>
      <c r="P314" s="273"/>
      <c r="Q314" s="273"/>
      <c r="R314" s="273"/>
      <c r="S314" s="273"/>
      <c r="T314" s="273"/>
      <c r="U314" s="273"/>
      <c r="V314" s="273"/>
      <c r="W314" s="273"/>
      <c r="X314" s="273"/>
      <c r="Y314" s="274" t="n">
        <f aca="false">SUM(B314:X314)</f>
        <v>-2205.6885</v>
      </c>
      <c r="Z314" s="272"/>
      <c r="AA314" s="275"/>
    </row>
    <row r="315" customFormat="false" ht="14.25" hidden="false" customHeight="false" outlineLevel="0" collapsed="false">
      <c r="A315" s="272" t="s">
        <v>594</v>
      </c>
      <c r="B315" s="273"/>
      <c r="C315" s="273"/>
      <c r="D315" s="273"/>
      <c r="E315" s="273"/>
      <c r="F315" s="273"/>
      <c r="G315" s="273"/>
      <c r="H315" s="273"/>
      <c r="I315" s="273"/>
      <c r="J315" s="273" t="n">
        <v>-828.24</v>
      </c>
      <c r="K315" s="273"/>
      <c r="L315" s="273"/>
      <c r="M315" s="273"/>
      <c r="N315" s="273"/>
      <c r="O315" s="273"/>
      <c r="P315" s="273"/>
      <c r="Q315" s="273"/>
      <c r="R315" s="273"/>
      <c r="S315" s="273"/>
      <c r="T315" s="273"/>
      <c r="U315" s="273"/>
      <c r="V315" s="273"/>
      <c r="W315" s="273"/>
      <c r="X315" s="273"/>
      <c r="Y315" s="274" t="n">
        <f aca="false">SUM(B315:X315)</f>
        <v>-828.24</v>
      </c>
      <c r="Z315" s="272"/>
      <c r="AA315" s="275"/>
    </row>
    <row r="316" customFormat="false" ht="14.25" hidden="false" customHeight="false" outlineLevel="0" collapsed="false">
      <c r="A316" s="272" t="s">
        <v>392</v>
      </c>
      <c r="B316" s="273"/>
      <c r="C316" s="273"/>
      <c r="D316" s="273"/>
      <c r="E316" s="273"/>
      <c r="F316" s="273"/>
      <c r="G316" s="273"/>
      <c r="H316" s="273"/>
      <c r="I316" s="273"/>
      <c r="J316" s="273"/>
      <c r="K316" s="273"/>
      <c r="L316" s="273"/>
      <c r="M316" s="273"/>
      <c r="N316" s="273"/>
      <c r="O316" s="273"/>
      <c r="P316" s="273" t="n">
        <v>-891.135</v>
      </c>
      <c r="Q316" s="273"/>
      <c r="R316" s="273"/>
      <c r="S316" s="273"/>
      <c r="T316" s="273"/>
      <c r="U316" s="273"/>
      <c r="V316" s="273"/>
      <c r="W316" s="273"/>
      <c r="X316" s="273"/>
      <c r="Y316" s="274" t="n">
        <f aca="false">SUM(B316:X316)</f>
        <v>-891.135</v>
      </c>
      <c r="Z316" s="272"/>
      <c r="AA316" s="275"/>
    </row>
    <row r="317" customFormat="false" ht="14.25" hidden="false" customHeight="false" outlineLevel="0" collapsed="false">
      <c r="A317" s="272" t="s">
        <v>392</v>
      </c>
      <c r="B317" s="273" t="n">
        <v>-8029.626</v>
      </c>
      <c r="C317" s="273"/>
      <c r="D317" s="273"/>
      <c r="E317" s="273"/>
      <c r="F317" s="273"/>
      <c r="G317" s="273"/>
      <c r="H317" s="273"/>
      <c r="I317" s="273"/>
      <c r="J317" s="273"/>
      <c r="K317" s="273"/>
      <c r="L317" s="273"/>
      <c r="M317" s="273"/>
      <c r="N317" s="273"/>
      <c r="O317" s="273"/>
      <c r="P317" s="273"/>
      <c r="Q317" s="273"/>
      <c r="R317" s="273"/>
      <c r="S317" s="273"/>
      <c r="T317" s="273"/>
      <c r="U317" s="273"/>
      <c r="V317" s="273"/>
      <c r="W317" s="273"/>
      <c r="X317" s="273"/>
      <c r="Y317" s="274" t="n">
        <f aca="false">SUM(B317:X317)</f>
        <v>-8029.626</v>
      </c>
      <c r="Z317" s="272"/>
      <c r="AA317" s="275"/>
    </row>
    <row r="318" customFormat="false" ht="14.25" hidden="false" customHeight="false" outlineLevel="0" collapsed="false">
      <c r="A318" s="272" t="s">
        <v>392</v>
      </c>
      <c r="B318" s="273"/>
      <c r="C318" s="273"/>
      <c r="D318" s="273"/>
      <c r="E318" s="273"/>
      <c r="F318" s="273"/>
      <c r="G318" s="273"/>
      <c r="H318" s="273"/>
      <c r="I318" s="273"/>
      <c r="J318" s="273"/>
      <c r="K318" s="273"/>
      <c r="L318" s="273"/>
      <c r="M318" s="273"/>
      <c r="N318" s="273"/>
      <c r="O318" s="273"/>
      <c r="P318" s="273" t="n">
        <v>-1782.27</v>
      </c>
      <c r="Q318" s="273"/>
      <c r="R318" s="273"/>
      <c r="S318" s="273"/>
      <c r="T318" s="273"/>
      <c r="U318" s="273"/>
      <c r="V318" s="273"/>
      <c r="W318" s="273"/>
      <c r="X318" s="273"/>
      <c r="Y318" s="274" t="n">
        <f aca="false">SUM(B318:X318)</f>
        <v>-1782.27</v>
      </c>
      <c r="Z318" s="272"/>
      <c r="AA318" s="275"/>
    </row>
    <row r="319" customFormat="false" ht="14.25" hidden="false" customHeight="false" outlineLevel="0" collapsed="false">
      <c r="A319" s="272" t="s">
        <v>596</v>
      </c>
      <c r="B319" s="273"/>
      <c r="C319" s="273"/>
      <c r="D319" s="273"/>
      <c r="E319" s="273"/>
      <c r="F319" s="273" t="n">
        <v>-15453.9</v>
      </c>
      <c r="G319" s="273"/>
      <c r="H319" s="273"/>
      <c r="I319" s="273"/>
      <c r="J319" s="273"/>
      <c r="K319" s="273"/>
      <c r="L319" s="273"/>
      <c r="M319" s="273"/>
      <c r="N319" s="273"/>
      <c r="O319" s="273"/>
      <c r="P319" s="273"/>
      <c r="Q319" s="273"/>
      <c r="R319" s="273"/>
      <c r="S319" s="273"/>
      <c r="T319" s="273"/>
      <c r="U319" s="273"/>
      <c r="V319" s="273"/>
      <c r="W319" s="273"/>
      <c r="X319" s="273"/>
      <c r="Y319" s="274" t="n">
        <f aca="false">SUM(B319:X319)</f>
        <v>-15453.9</v>
      </c>
      <c r="Z319" s="272"/>
      <c r="AA319" s="275"/>
    </row>
    <row r="320" customFormat="false" ht="14.25" hidden="false" customHeight="false" outlineLevel="0" collapsed="false">
      <c r="A320" s="272" t="s">
        <v>597</v>
      </c>
      <c r="B320" s="273"/>
      <c r="C320" s="273"/>
      <c r="D320" s="273"/>
      <c r="E320" s="273"/>
      <c r="F320" s="273" t="n">
        <v>-12904.0065</v>
      </c>
      <c r="G320" s="273"/>
      <c r="H320" s="273"/>
      <c r="I320" s="273"/>
      <c r="J320" s="273"/>
      <c r="K320" s="273"/>
      <c r="L320" s="273"/>
      <c r="M320" s="273"/>
      <c r="N320" s="273"/>
      <c r="O320" s="273"/>
      <c r="P320" s="273"/>
      <c r="Q320" s="273"/>
      <c r="R320" s="273"/>
      <c r="S320" s="273"/>
      <c r="T320" s="273"/>
      <c r="U320" s="273"/>
      <c r="V320" s="273"/>
      <c r="W320" s="273"/>
      <c r="X320" s="273"/>
      <c r="Y320" s="274" t="n">
        <f aca="false">SUM(B320:X320)</f>
        <v>-12904.0065</v>
      </c>
      <c r="Z320" s="272"/>
      <c r="AA320" s="275"/>
    </row>
    <row r="321" customFormat="false" ht="14.25" hidden="false" customHeight="false" outlineLevel="0" collapsed="false">
      <c r="A321" s="272" t="s">
        <v>598</v>
      </c>
      <c r="B321" s="273"/>
      <c r="C321" s="273"/>
      <c r="D321" s="273"/>
      <c r="E321" s="273"/>
      <c r="F321" s="273" t="n">
        <v>-12904.0065</v>
      </c>
      <c r="G321" s="273"/>
      <c r="H321" s="273"/>
      <c r="I321" s="273"/>
      <c r="J321" s="273"/>
      <c r="K321" s="273"/>
      <c r="L321" s="273"/>
      <c r="M321" s="273"/>
      <c r="N321" s="273"/>
      <c r="O321" s="273"/>
      <c r="P321" s="273"/>
      <c r="Q321" s="273"/>
      <c r="R321" s="273"/>
      <c r="S321" s="273"/>
      <c r="T321" s="273"/>
      <c r="U321" s="273"/>
      <c r="V321" s="273"/>
      <c r="W321" s="273"/>
      <c r="X321" s="273"/>
      <c r="Y321" s="274" t="n">
        <f aca="false">SUM(B321:X321)</f>
        <v>-12904.0065</v>
      </c>
      <c r="Z321" s="272"/>
      <c r="AA321" s="275"/>
    </row>
    <row r="322" customFormat="false" ht="14.25" hidden="false" customHeight="false" outlineLevel="0" collapsed="false">
      <c r="A322" s="272" t="s">
        <v>599</v>
      </c>
      <c r="B322" s="273" t="n">
        <v>-1330.008</v>
      </c>
      <c r="C322" s="273"/>
      <c r="D322" s="273"/>
      <c r="E322" s="273"/>
      <c r="F322" s="273"/>
      <c r="G322" s="273"/>
      <c r="H322" s="273"/>
      <c r="I322" s="273"/>
      <c r="J322" s="273"/>
      <c r="K322" s="273"/>
      <c r="L322" s="273"/>
      <c r="M322" s="273"/>
      <c r="N322" s="273"/>
      <c r="O322" s="273"/>
      <c r="P322" s="273"/>
      <c r="Q322" s="273"/>
      <c r="R322" s="273"/>
      <c r="S322" s="273"/>
      <c r="T322" s="273"/>
      <c r="U322" s="273"/>
      <c r="V322" s="273"/>
      <c r="W322" s="273"/>
      <c r="X322" s="273"/>
      <c r="Y322" s="274" t="n">
        <f aca="false">SUM(B322:X322)</f>
        <v>-1330.008</v>
      </c>
      <c r="Z322" s="272"/>
      <c r="AA322" s="275"/>
    </row>
    <row r="323" customFormat="false" ht="14.25" hidden="false" customHeight="false" outlineLevel="0" collapsed="false">
      <c r="A323" s="272" t="s">
        <v>600</v>
      </c>
      <c r="B323" s="273"/>
      <c r="C323" s="273" t="n">
        <v>-6388.2</v>
      </c>
      <c r="D323" s="273"/>
      <c r="E323" s="273"/>
      <c r="F323" s="273"/>
      <c r="G323" s="273"/>
      <c r="H323" s="273"/>
      <c r="I323" s="273"/>
      <c r="J323" s="273"/>
      <c r="K323" s="273"/>
      <c r="L323" s="273"/>
      <c r="M323" s="273"/>
      <c r="N323" s="273"/>
      <c r="O323" s="273"/>
      <c r="P323" s="273"/>
      <c r="Q323" s="273"/>
      <c r="R323" s="273"/>
      <c r="S323" s="273"/>
      <c r="T323" s="273"/>
      <c r="U323" s="273"/>
      <c r="V323" s="273"/>
      <c r="W323" s="273"/>
      <c r="X323" s="273"/>
      <c r="Y323" s="274" t="n">
        <f aca="false">SUM(B323:X323)</f>
        <v>-6388.2</v>
      </c>
      <c r="Z323" s="272"/>
      <c r="AA323" s="275"/>
    </row>
    <row r="324" customFormat="false" ht="14.25" hidden="false" customHeight="false" outlineLevel="0" collapsed="false">
      <c r="A324" s="272" t="s">
        <v>601</v>
      </c>
      <c r="B324" s="273"/>
      <c r="C324" s="273"/>
      <c r="D324" s="273"/>
      <c r="E324" s="273"/>
      <c r="F324" s="273" t="n">
        <v>-8710.4</v>
      </c>
      <c r="G324" s="273"/>
      <c r="H324" s="273"/>
      <c r="I324" s="273"/>
      <c r="J324" s="273"/>
      <c r="K324" s="273"/>
      <c r="L324" s="273"/>
      <c r="M324" s="273"/>
      <c r="N324" s="273"/>
      <c r="O324" s="273"/>
      <c r="P324" s="273" t="n">
        <v>-695.52</v>
      </c>
      <c r="Q324" s="273"/>
      <c r="R324" s="273"/>
      <c r="S324" s="273"/>
      <c r="T324" s="273"/>
      <c r="U324" s="273"/>
      <c r="V324" s="273"/>
      <c r="W324" s="273"/>
      <c r="X324" s="273"/>
      <c r="Y324" s="274" t="n">
        <f aca="false">SUM(B324:X324)</f>
        <v>-9405.92</v>
      </c>
      <c r="Z324" s="272"/>
      <c r="AA324" s="275"/>
    </row>
    <row r="325" customFormat="false" ht="14.25" hidden="false" customHeight="false" outlineLevel="0" collapsed="false">
      <c r="A325" s="272" t="s">
        <v>602</v>
      </c>
      <c r="B325" s="273"/>
      <c r="C325" s="273"/>
      <c r="D325" s="273"/>
      <c r="E325" s="273" t="n">
        <v>-241.8</v>
      </c>
      <c r="F325" s="273"/>
      <c r="G325" s="273"/>
      <c r="H325" s="273"/>
      <c r="I325" s="273"/>
      <c r="J325" s="273"/>
      <c r="K325" s="273"/>
      <c r="L325" s="273"/>
      <c r="M325" s="273"/>
      <c r="N325" s="273"/>
      <c r="O325" s="273"/>
      <c r="P325" s="273"/>
      <c r="Q325" s="273"/>
      <c r="R325" s="273"/>
      <c r="S325" s="273"/>
      <c r="T325" s="273"/>
      <c r="U325" s="273"/>
      <c r="V325" s="273"/>
      <c r="W325" s="273"/>
      <c r="X325" s="273"/>
      <c r="Y325" s="274" t="n">
        <f aca="false">SUM(B325:X325)</f>
        <v>-241.8</v>
      </c>
      <c r="Z325" s="272"/>
      <c r="AA325" s="275"/>
    </row>
    <row r="326" customFormat="false" ht="14.25" hidden="false" customHeight="false" outlineLevel="0" collapsed="false">
      <c r="A326" s="272" t="s">
        <v>603</v>
      </c>
      <c r="B326" s="273" t="n">
        <v>-8216.25</v>
      </c>
      <c r="C326" s="273" t="n">
        <v>-1546.5</v>
      </c>
      <c r="D326" s="273"/>
      <c r="E326" s="273"/>
      <c r="F326" s="273"/>
      <c r="G326" s="273"/>
      <c r="H326" s="273"/>
      <c r="I326" s="273"/>
      <c r="J326" s="273" t="n">
        <v>-8511</v>
      </c>
      <c r="K326" s="273"/>
      <c r="L326" s="273"/>
      <c r="M326" s="273"/>
      <c r="N326" s="273"/>
      <c r="O326" s="273"/>
      <c r="P326" s="273"/>
      <c r="Q326" s="273"/>
      <c r="R326" s="273"/>
      <c r="S326" s="273"/>
      <c r="T326" s="273"/>
      <c r="U326" s="273"/>
      <c r="V326" s="273"/>
      <c r="W326" s="273"/>
      <c r="X326" s="273"/>
      <c r="Y326" s="274" t="n">
        <f aca="false">SUM(B326:X326)</f>
        <v>-18273.75</v>
      </c>
      <c r="Z326" s="272"/>
      <c r="AA326" s="275"/>
    </row>
    <row r="327" customFormat="false" ht="14.25" hidden="false" customHeight="false" outlineLevel="0" collapsed="false">
      <c r="A327" s="272" t="s">
        <v>604</v>
      </c>
      <c r="B327" s="273" t="n">
        <v>-7011.2</v>
      </c>
      <c r="C327" s="273" t="n">
        <v>-439.575</v>
      </c>
      <c r="D327" s="273"/>
      <c r="E327" s="273"/>
      <c r="F327" s="273"/>
      <c r="G327" s="273"/>
      <c r="H327" s="273"/>
      <c r="I327" s="273"/>
      <c r="J327" s="273" t="n">
        <v>-7543.314</v>
      </c>
      <c r="K327" s="273"/>
      <c r="L327" s="273"/>
      <c r="M327" s="273"/>
      <c r="N327" s="273"/>
      <c r="O327" s="273"/>
      <c r="P327" s="273"/>
      <c r="Q327" s="273"/>
      <c r="R327" s="273"/>
      <c r="S327" s="273"/>
      <c r="T327" s="273"/>
      <c r="U327" s="273"/>
      <c r="V327" s="273"/>
      <c r="W327" s="273"/>
      <c r="X327" s="273"/>
      <c r="Y327" s="274" t="n">
        <f aca="false">SUM(B327:X327)</f>
        <v>-14994.089</v>
      </c>
      <c r="Z327" s="272"/>
      <c r="AA327" s="275"/>
    </row>
    <row r="328" customFormat="false" ht="14.25" hidden="false" customHeight="false" outlineLevel="0" collapsed="false">
      <c r="A328" s="272" t="s">
        <v>605</v>
      </c>
      <c r="B328" s="273"/>
      <c r="C328" s="273"/>
      <c r="D328" s="273"/>
      <c r="E328" s="273"/>
      <c r="F328" s="273"/>
      <c r="G328" s="273"/>
      <c r="H328" s="273"/>
      <c r="I328" s="273"/>
      <c r="J328" s="273"/>
      <c r="K328" s="273"/>
      <c r="L328" s="273"/>
      <c r="M328" s="273"/>
      <c r="N328" s="273"/>
      <c r="O328" s="273"/>
      <c r="P328" s="273" t="n">
        <v>-1798.956</v>
      </c>
      <c r="Q328" s="273"/>
      <c r="R328" s="273"/>
      <c r="S328" s="273"/>
      <c r="T328" s="273"/>
      <c r="U328" s="273"/>
      <c r="V328" s="273"/>
      <c r="W328" s="273"/>
      <c r="X328" s="273"/>
      <c r="Y328" s="274" t="n">
        <f aca="false">SUM(B328:X328)</f>
        <v>-1798.956</v>
      </c>
      <c r="Z328" s="272"/>
      <c r="AA328" s="275"/>
    </row>
    <row r="329" customFormat="false" ht="14.25" hidden="false" customHeight="false" outlineLevel="0" collapsed="false">
      <c r="A329" s="272" t="s">
        <v>606</v>
      </c>
      <c r="B329" s="273"/>
      <c r="C329" s="273"/>
      <c r="D329" s="273"/>
      <c r="E329" s="273"/>
      <c r="F329" s="273"/>
      <c r="G329" s="273"/>
      <c r="H329" s="273"/>
      <c r="I329" s="273"/>
      <c r="J329" s="273"/>
      <c r="K329" s="273"/>
      <c r="L329" s="273"/>
      <c r="M329" s="273"/>
      <c r="N329" s="273" t="n">
        <v>-841.71</v>
      </c>
      <c r="O329" s="273"/>
      <c r="P329" s="273"/>
      <c r="Q329" s="273"/>
      <c r="R329" s="273"/>
      <c r="S329" s="273"/>
      <c r="T329" s="273"/>
      <c r="U329" s="273"/>
      <c r="V329" s="273"/>
      <c r="W329" s="273"/>
      <c r="X329" s="273"/>
      <c r="Y329" s="274" t="n">
        <f aca="false">SUM(B329:X329)</f>
        <v>-841.71</v>
      </c>
      <c r="Z329" s="272"/>
      <c r="AA329" s="275"/>
    </row>
    <row r="330" customFormat="false" ht="14.25" hidden="false" customHeight="false" outlineLevel="0" collapsed="false">
      <c r="A330" s="272" t="s">
        <v>607</v>
      </c>
      <c r="B330" s="273"/>
      <c r="C330" s="273"/>
      <c r="D330" s="273"/>
      <c r="E330" s="273"/>
      <c r="F330" s="273" t="n">
        <v>-95.5365</v>
      </c>
      <c r="G330" s="273"/>
      <c r="H330" s="273"/>
      <c r="I330" s="273"/>
      <c r="J330" s="273"/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3"/>
      <c r="X330" s="273"/>
      <c r="Y330" s="274" t="n">
        <f aca="false">SUM(B330:X330)</f>
        <v>-95.5365</v>
      </c>
      <c r="Z330" s="272"/>
      <c r="AA330" s="275"/>
    </row>
    <row r="331" customFormat="false" ht="14.25" hidden="false" customHeight="false" outlineLevel="0" collapsed="false">
      <c r="A331" s="272" t="s">
        <v>608</v>
      </c>
      <c r="B331" s="273"/>
      <c r="C331" s="273"/>
      <c r="D331" s="273"/>
      <c r="E331" s="273"/>
      <c r="F331" s="273"/>
      <c r="G331" s="273"/>
      <c r="H331" s="273"/>
      <c r="I331" s="273"/>
      <c r="J331" s="273"/>
      <c r="K331" s="273"/>
      <c r="L331" s="273"/>
      <c r="M331" s="273"/>
      <c r="N331" s="273"/>
      <c r="O331" s="273"/>
      <c r="P331" s="273" t="n">
        <v>-3619.1925</v>
      </c>
      <c r="Q331" s="273"/>
      <c r="R331" s="273"/>
      <c r="S331" s="273"/>
      <c r="T331" s="273"/>
      <c r="U331" s="273"/>
      <c r="V331" s="273"/>
      <c r="W331" s="273"/>
      <c r="X331" s="273"/>
      <c r="Y331" s="274" t="n">
        <f aca="false">SUM(B331:X331)</f>
        <v>-3619.1925</v>
      </c>
      <c r="Z331" s="272"/>
      <c r="AA331" s="275"/>
    </row>
    <row r="332" customFormat="false" ht="14.25" hidden="false" customHeight="false" outlineLevel="0" collapsed="false">
      <c r="A332" s="272" t="s">
        <v>609</v>
      </c>
      <c r="B332" s="273"/>
      <c r="C332" s="273"/>
      <c r="D332" s="273"/>
      <c r="E332" s="273"/>
      <c r="F332" s="273"/>
      <c r="G332" s="273"/>
      <c r="H332" s="273"/>
      <c r="I332" s="273"/>
      <c r="J332" s="273"/>
      <c r="K332" s="273"/>
      <c r="L332" s="273" t="n">
        <v>-1056.7975</v>
      </c>
      <c r="M332" s="273"/>
      <c r="N332" s="273"/>
      <c r="O332" s="273"/>
      <c r="P332" s="273"/>
      <c r="Q332" s="273"/>
      <c r="R332" s="273"/>
      <c r="S332" s="273"/>
      <c r="T332" s="273"/>
      <c r="U332" s="273"/>
      <c r="V332" s="273"/>
      <c r="W332" s="273"/>
      <c r="X332" s="273"/>
      <c r="Y332" s="274" t="n">
        <f aca="false">SUM(B332:X332)</f>
        <v>-1056.7975</v>
      </c>
      <c r="Z332" s="272"/>
      <c r="AA332" s="275"/>
    </row>
    <row r="333" customFormat="false" ht="14.25" hidden="false" customHeight="false" outlineLevel="0" collapsed="false">
      <c r="A333" s="272" t="s">
        <v>610</v>
      </c>
      <c r="B333" s="273"/>
      <c r="C333" s="273"/>
      <c r="D333" s="273"/>
      <c r="E333" s="273"/>
      <c r="F333" s="273" t="n">
        <v>-286.6095</v>
      </c>
      <c r="G333" s="273"/>
      <c r="H333" s="273"/>
      <c r="I333" s="273"/>
      <c r="J333" s="273" t="n">
        <v>-46.656</v>
      </c>
      <c r="K333" s="273"/>
      <c r="L333" s="273"/>
      <c r="M333" s="273"/>
      <c r="N333" s="273"/>
      <c r="O333" s="273"/>
      <c r="P333" s="273"/>
      <c r="Q333" s="273"/>
      <c r="R333" s="273"/>
      <c r="S333" s="273"/>
      <c r="T333" s="273"/>
      <c r="U333" s="273"/>
      <c r="V333" s="273"/>
      <c r="W333" s="273"/>
      <c r="X333" s="273"/>
      <c r="Y333" s="274" t="n">
        <f aca="false">SUM(B333:X333)</f>
        <v>-333.2655</v>
      </c>
      <c r="Z333" s="272"/>
      <c r="AA333" s="275"/>
    </row>
    <row r="334" customFormat="false" ht="14.25" hidden="false" customHeight="false" outlineLevel="0" collapsed="false">
      <c r="A334" s="272" t="s">
        <v>561</v>
      </c>
      <c r="B334" s="273" t="n">
        <v>-5587.05</v>
      </c>
      <c r="C334" s="273"/>
      <c r="D334" s="273"/>
      <c r="E334" s="273"/>
      <c r="F334" s="273"/>
      <c r="G334" s="273"/>
      <c r="H334" s="273"/>
      <c r="I334" s="273"/>
      <c r="J334" s="273"/>
      <c r="K334" s="273"/>
      <c r="L334" s="273" t="n">
        <v>-1757.91</v>
      </c>
      <c r="M334" s="273"/>
      <c r="N334" s="273"/>
      <c r="O334" s="273"/>
      <c r="P334" s="273" t="n">
        <v>-115.92</v>
      </c>
      <c r="Q334" s="273"/>
      <c r="R334" s="273"/>
      <c r="S334" s="273"/>
      <c r="T334" s="273"/>
      <c r="U334" s="273"/>
      <c r="V334" s="273"/>
      <c r="W334" s="273"/>
      <c r="X334" s="273"/>
      <c r="Y334" s="274" t="n">
        <f aca="false">SUM(B334:X334)</f>
        <v>-7460.88</v>
      </c>
      <c r="Z334" s="272"/>
      <c r="AA334" s="275"/>
    </row>
    <row r="335" customFormat="false" ht="14.25" hidden="false" customHeight="false" outlineLevel="0" collapsed="false">
      <c r="A335" s="272" t="s">
        <v>611</v>
      </c>
      <c r="B335" s="273"/>
      <c r="C335" s="273" t="n">
        <v>-232.275</v>
      </c>
      <c r="D335" s="273"/>
      <c r="E335" s="273"/>
      <c r="F335" s="273"/>
      <c r="G335" s="273"/>
      <c r="H335" s="273"/>
      <c r="I335" s="273"/>
      <c r="J335" s="273"/>
      <c r="K335" s="273"/>
      <c r="L335" s="273"/>
      <c r="M335" s="273"/>
      <c r="N335" s="273"/>
      <c r="O335" s="273"/>
      <c r="P335" s="273"/>
      <c r="Q335" s="273"/>
      <c r="R335" s="273"/>
      <c r="S335" s="273"/>
      <c r="T335" s="273"/>
      <c r="U335" s="273"/>
      <c r="V335" s="273"/>
      <c r="W335" s="273"/>
      <c r="X335" s="273"/>
      <c r="Y335" s="274" t="n">
        <f aca="false">SUM(B335:X335)</f>
        <v>-232.275</v>
      </c>
      <c r="Z335" s="272"/>
      <c r="AA335" s="275"/>
    </row>
    <row r="336" customFormat="false" ht="14.25" hidden="false" customHeight="false" outlineLevel="0" collapsed="false">
      <c r="A336" s="272" t="s">
        <v>589</v>
      </c>
      <c r="B336" s="273"/>
      <c r="C336" s="273"/>
      <c r="D336" s="273"/>
      <c r="E336" s="273"/>
      <c r="F336" s="273" t="n">
        <v>-2177.6</v>
      </c>
      <c r="G336" s="273"/>
      <c r="H336" s="273"/>
      <c r="I336" s="273"/>
      <c r="J336" s="273"/>
      <c r="K336" s="273"/>
      <c r="L336" s="273"/>
      <c r="M336" s="273" t="n">
        <v>-5215.6</v>
      </c>
      <c r="N336" s="273"/>
      <c r="O336" s="273"/>
      <c r="P336" s="273" t="n">
        <v>-463.68</v>
      </c>
      <c r="Q336" s="273"/>
      <c r="R336" s="273"/>
      <c r="S336" s="273"/>
      <c r="T336" s="273"/>
      <c r="U336" s="273"/>
      <c r="V336" s="273"/>
      <c r="W336" s="273"/>
      <c r="X336" s="273"/>
      <c r="Y336" s="274" t="n">
        <f aca="false">SUM(B336:X336)</f>
        <v>-7856.88</v>
      </c>
      <c r="Z336" s="272"/>
      <c r="AA336" s="275"/>
    </row>
    <row r="337" customFormat="false" ht="14.25" hidden="false" customHeight="false" outlineLevel="0" collapsed="false">
      <c r="A337" s="272" t="s">
        <v>544</v>
      </c>
      <c r="B337" s="273"/>
      <c r="C337" s="273"/>
      <c r="D337" s="273"/>
      <c r="E337" s="273"/>
      <c r="F337" s="273"/>
      <c r="G337" s="273"/>
      <c r="H337" s="273"/>
      <c r="I337" s="273"/>
      <c r="J337" s="273" t="n">
        <v>-3063.9</v>
      </c>
      <c r="K337" s="273"/>
      <c r="L337" s="273"/>
      <c r="M337" s="273" t="n">
        <v>-3911.7</v>
      </c>
      <c r="N337" s="273"/>
      <c r="O337" s="273"/>
      <c r="P337" s="273"/>
      <c r="Q337" s="273"/>
      <c r="R337" s="273"/>
      <c r="S337" s="273"/>
      <c r="T337" s="273"/>
      <c r="U337" s="273"/>
      <c r="V337" s="273"/>
      <c r="W337" s="273"/>
      <c r="X337" s="273"/>
      <c r="Y337" s="274" t="n">
        <f aca="false">SUM(B337:X337)</f>
        <v>-6975.6</v>
      </c>
      <c r="Z337" s="272"/>
      <c r="AA337" s="275"/>
    </row>
    <row r="338" customFormat="false" ht="14.25" hidden="false" customHeight="false" outlineLevel="0" collapsed="false">
      <c r="A338" s="272" t="s">
        <v>612</v>
      </c>
      <c r="B338" s="273"/>
      <c r="C338" s="273"/>
      <c r="D338" s="273"/>
      <c r="E338" s="273"/>
      <c r="F338" s="273"/>
      <c r="G338" s="273"/>
      <c r="H338" s="273"/>
      <c r="I338" s="273"/>
      <c r="J338" s="273"/>
      <c r="K338" s="273"/>
      <c r="L338" s="273"/>
      <c r="M338" s="273"/>
      <c r="N338" s="273"/>
      <c r="O338" s="273"/>
      <c r="P338" s="273" t="n">
        <v>-301.392</v>
      </c>
      <c r="Q338" s="273"/>
      <c r="R338" s="273"/>
      <c r="S338" s="273"/>
      <c r="T338" s="273"/>
      <c r="U338" s="273"/>
      <c r="V338" s="273"/>
      <c r="W338" s="273"/>
      <c r="X338" s="273"/>
      <c r="Y338" s="274" t="n">
        <f aca="false">SUM(B338:X338)</f>
        <v>-301.392</v>
      </c>
      <c r="Z338" s="272"/>
      <c r="AA338" s="275"/>
    </row>
    <row r="339" customFormat="false" ht="14.25" hidden="false" customHeight="false" outlineLevel="0" collapsed="false">
      <c r="A339" s="272" t="s">
        <v>613</v>
      </c>
      <c r="B339" s="273"/>
      <c r="C339" s="273"/>
      <c r="D339" s="273"/>
      <c r="E339" s="273"/>
      <c r="F339" s="273" t="n">
        <v>-1159.0425</v>
      </c>
      <c r="G339" s="273"/>
      <c r="H339" s="273"/>
      <c r="I339" s="273"/>
      <c r="J339" s="273"/>
      <c r="K339" s="273"/>
      <c r="L339" s="273"/>
      <c r="M339" s="273"/>
      <c r="N339" s="273"/>
      <c r="O339" s="273"/>
      <c r="P339" s="273"/>
      <c r="Q339" s="273"/>
      <c r="R339" s="273"/>
      <c r="S339" s="273"/>
      <c r="T339" s="273"/>
      <c r="U339" s="273"/>
      <c r="V339" s="273"/>
      <c r="W339" s="273"/>
      <c r="X339" s="273"/>
      <c r="Y339" s="274" t="n">
        <f aca="false">SUM(B339:X339)</f>
        <v>-1159.0425</v>
      </c>
      <c r="Z339" s="272"/>
      <c r="AA339" s="275"/>
    </row>
    <row r="340" customFormat="false" ht="14.25" hidden="false" customHeight="false" outlineLevel="0" collapsed="false">
      <c r="A340" s="272" t="s">
        <v>614</v>
      </c>
      <c r="B340" s="273"/>
      <c r="C340" s="273"/>
      <c r="D340" s="273"/>
      <c r="E340" s="273"/>
      <c r="F340" s="273" t="n">
        <v>-1159.0425</v>
      </c>
      <c r="G340" s="273"/>
      <c r="H340" s="273"/>
      <c r="I340" s="273"/>
      <c r="J340" s="273"/>
      <c r="K340" s="273"/>
      <c r="L340" s="273"/>
      <c r="M340" s="273"/>
      <c r="N340" s="273"/>
      <c r="O340" s="273"/>
      <c r="P340" s="273"/>
      <c r="Q340" s="273"/>
      <c r="R340" s="273"/>
      <c r="S340" s="273"/>
      <c r="T340" s="273"/>
      <c r="U340" s="273"/>
      <c r="V340" s="273"/>
      <c r="W340" s="273"/>
      <c r="X340" s="273"/>
      <c r="Y340" s="274" t="n">
        <f aca="false">SUM(B340:X340)</f>
        <v>-1159.0425</v>
      </c>
      <c r="Z340" s="272"/>
      <c r="AA340" s="275"/>
    </row>
    <row r="341" customFormat="false" ht="14.25" hidden="false" customHeight="false" outlineLevel="0" collapsed="false">
      <c r="A341" s="272" t="s">
        <v>615</v>
      </c>
      <c r="B341" s="273"/>
      <c r="C341" s="273"/>
      <c r="D341" s="273"/>
      <c r="E341" s="273"/>
      <c r="F341" s="273"/>
      <c r="G341" s="273"/>
      <c r="H341" s="273"/>
      <c r="I341" s="273"/>
      <c r="J341" s="273"/>
      <c r="K341" s="273"/>
      <c r="L341" s="273"/>
      <c r="M341" s="273"/>
      <c r="N341" s="273" t="n">
        <v>-3675.18</v>
      </c>
      <c r="O341" s="273"/>
      <c r="P341" s="273"/>
      <c r="Q341" s="273"/>
      <c r="R341" s="273"/>
      <c r="S341" s="273"/>
      <c r="T341" s="273"/>
      <c r="U341" s="273"/>
      <c r="V341" s="273"/>
      <c r="W341" s="273"/>
      <c r="X341" s="273"/>
      <c r="Y341" s="274" t="n">
        <f aca="false">SUM(B341:X341)</f>
        <v>-3675.18</v>
      </c>
      <c r="Z341" s="272"/>
      <c r="AA341" s="275"/>
    </row>
    <row r="342" customFormat="false" ht="14.25" hidden="false" customHeight="false" outlineLevel="0" collapsed="false">
      <c r="A342" s="272" t="s">
        <v>616</v>
      </c>
      <c r="B342" s="273"/>
      <c r="C342" s="273" t="n">
        <v>-788.715</v>
      </c>
      <c r="D342" s="273"/>
      <c r="E342" s="273"/>
      <c r="F342" s="273"/>
      <c r="G342" s="273"/>
      <c r="H342" s="273"/>
      <c r="I342" s="273"/>
      <c r="J342" s="273"/>
      <c r="K342" s="273"/>
      <c r="L342" s="273"/>
      <c r="M342" s="273"/>
      <c r="N342" s="273"/>
      <c r="O342" s="273"/>
      <c r="P342" s="273"/>
      <c r="Q342" s="273"/>
      <c r="R342" s="273"/>
      <c r="S342" s="273"/>
      <c r="T342" s="273"/>
      <c r="U342" s="273"/>
      <c r="V342" s="273"/>
      <c r="W342" s="273"/>
      <c r="X342" s="273"/>
      <c r="Y342" s="274" t="n">
        <f aca="false">SUM(B342:X342)</f>
        <v>-788.715</v>
      </c>
      <c r="Z342" s="272"/>
      <c r="AA342" s="275"/>
    </row>
    <row r="343" customFormat="false" ht="14.25" hidden="false" customHeight="false" outlineLevel="0" collapsed="false">
      <c r="A343" s="272" t="s">
        <v>617</v>
      </c>
      <c r="B343" s="273" t="n">
        <v>-1444.4985</v>
      </c>
      <c r="C343" s="273"/>
      <c r="D343" s="273"/>
      <c r="E343" s="273"/>
      <c r="F343" s="273"/>
      <c r="G343" s="273"/>
      <c r="H343" s="273"/>
      <c r="I343" s="273"/>
      <c r="J343" s="273"/>
      <c r="K343" s="273"/>
      <c r="L343" s="273"/>
      <c r="M343" s="273"/>
      <c r="N343" s="273"/>
      <c r="O343" s="273"/>
      <c r="P343" s="273"/>
      <c r="Q343" s="273"/>
      <c r="R343" s="273"/>
      <c r="S343" s="273"/>
      <c r="T343" s="273"/>
      <c r="U343" s="273"/>
      <c r="V343" s="273"/>
      <c r="W343" s="273"/>
      <c r="X343" s="273"/>
      <c r="Y343" s="274" t="n">
        <f aca="false">SUM(B343:X343)</f>
        <v>-1444.4985</v>
      </c>
      <c r="Z343" s="272"/>
      <c r="AA343" s="275"/>
    </row>
    <row r="344" customFormat="false" ht="14.25" hidden="false" customHeight="false" outlineLevel="0" collapsed="false">
      <c r="A344" s="272" t="s">
        <v>618</v>
      </c>
      <c r="B344" s="273"/>
      <c r="C344" s="273"/>
      <c r="D344" s="273"/>
      <c r="E344" s="273"/>
      <c r="F344" s="273"/>
      <c r="G344" s="273"/>
      <c r="H344" s="273"/>
      <c r="I344" s="273"/>
      <c r="J344" s="273" t="n">
        <v>-28287.086</v>
      </c>
      <c r="K344" s="273"/>
      <c r="L344" s="273"/>
      <c r="M344" s="273"/>
      <c r="N344" s="273"/>
      <c r="O344" s="273"/>
      <c r="P344" s="273"/>
      <c r="Q344" s="273"/>
      <c r="R344" s="273"/>
      <c r="S344" s="273"/>
      <c r="T344" s="273"/>
      <c r="U344" s="273"/>
      <c r="V344" s="273"/>
      <c r="W344" s="273"/>
      <c r="X344" s="273"/>
      <c r="Y344" s="274" t="n">
        <f aca="false">SUM(B344:X344)</f>
        <v>-28287.086</v>
      </c>
      <c r="Z344" s="272"/>
      <c r="AA344" s="275"/>
    </row>
    <row r="345" customFormat="false" ht="14.25" hidden="false" customHeight="false" outlineLevel="0" collapsed="false">
      <c r="A345" s="272" t="s">
        <v>619</v>
      </c>
      <c r="B345" s="273"/>
      <c r="C345" s="273"/>
      <c r="D345" s="273"/>
      <c r="E345" s="273"/>
      <c r="F345" s="273"/>
      <c r="G345" s="273"/>
      <c r="H345" s="273"/>
      <c r="I345" s="273"/>
      <c r="J345" s="273" t="n">
        <v>-124.416</v>
      </c>
      <c r="K345" s="273"/>
      <c r="L345" s="273"/>
      <c r="M345" s="273"/>
      <c r="N345" s="273"/>
      <c r="O345" s="273"/>
      <c r="P345" s="273"/>
      <c r="Q345" s="273"/>
      <c r="R345" s="273"/>
      <c r="S345" s="273"/>
      <c r="T345" s="273"/>
      <c r="U345" s="273"/>
      <c r="V345" s="273"/>
      <c r="W345" s="273"/>
      <c r="X345" s="273"/>
      <c r="Y345" s="274" t="n">
        <f aca="false">SUM(B345:X345)</f>
        <v>-124.416</v>
      </c>
      <c r="Z345" s="272"/>
      <c r="AA345" s="275"/>
    </row>
    <row r="346" customFormat="false" ht="14.25" hidden="false" customHeight="false" outlineLevel="0" collapsed="false">
      <c r="A346" s="272" t="s">
        <v>620</v>
      </c>
      <c r="B346" s="273" t="n">
        <v>-3666.11</v>
      </c>
      <c r="C346" s="273"/>
      <c r="D346" s="273"/>
      <c r="E346" s="273" t="n">
        <v>-4600.54</v>
      </c>
      <c r="F346" s="273"/>
      <c r="G346" s="273"/>
      <c r="H346" s="273"/>
      <c r="I346" s="273"/>
      <c r="J346" s="273"/>
      <c r="K346" s="273"/>
      <c r="L346" s="273"/>
      <c r="M346" s="273"/>
      <c r="N346" s="273"/>
      <c r="O346" s="273"/>
      <c r="P346" s="273"/>
      <c r="Q346" s="273"/>
      <c r="R346" s="273"/>
      <c r="S346" s="273"/>
      <c r="T346" s="273"/>
      <c r="U346" s="273"/>
      <c r="V346" s="273"/>
      <c r="W346" s="273"/>
      <c r="X346" s="273"/>
      <c r="Y346" s="274" t="n">
        <f aca="false">SUM(B346:X346)</f>
        <v>-8266.65</v>
      </c>
      <c r="Z346" s="272"/>
      <c r="AA346" s="275"/>
    </row>
    <row r="347" customFormat="false" ht="14.25" hidden="false" customHeight="false" outlineLevel="0" collapsed="false">
      <c r="A347" s="272" t="s">
        <v>621</v>
      </c>
      <c r="B347" s="273"/>
      <c r="C347" s="273"/>
      <c r="D347" s="273"/>
      <c r="E347" s="273"/>
      <c r="F347" s="273"/>
      <c r="G347" s="273"/>
      <c r="H347" s="273"/>
      <c r="I347" s="273"/>
      <c r="J347" s="273" t="n">
        <v>-10075.2405</v>
      </c>
      <c r="K347" s="273"/>
      <c r="L347" s="273"/>
      <c r="M347" s="273"/>
      <c r="N347" s="273"/>
      <c r="O347" s="273"/>
      <c r="P347" s="273"/>
      <c r="Q347" s="273"/>
      <c r="R347" s="273"/>
      <c r="S347" s="273"/>
      <c r="T347" s="273"/>
      <c r="U347" s="273"/>
      <c r="V347" s="273"/>
      <c r="W347" s="273"/>
      <c r="X347" s="273"/>
      <c r="Y347" s="274" t="n">
        <f aca="false">SUM(B347:X347)</f>
        <v>-10075.2405</v>
      </c>
      <c r="Z347" s="272"/>
      <c r="AA347" s="275"/>
    </row>
    <row r="348" customFormat="false" ht="14.25" hidden="false" customHeight="false" outlineLevel="0" collapsed="false">
      <c r="A348" s="272" t="s">
        <v>409</v>
      </c>
      <c r="B348" s="273"/>
      <c r="C348" s="273"/>
      <c r="D348" s="273"/>
      <c r="E348" s="273" t="n">
        <v>-10960.11</v>
      </c>
      <c r="F348" s="273"/>
      <c r="G348" s="273"/>
      <c r="H348" s="273"/>
      <c r="I348" s="273"/>
      <c r="J348" s="273"/>
      <c r="K348" s="273"/>
      <c r="L348" s="273"/>
      <c r="M348" s="273"/>
      <c r="N348" s="273"/>
      <c r="O348" s="273"/>
      <c r="P348" s="273"/>
      <c r="Q348" s="273"/>
      <c r="R348" s="273"/>
      <c r="S348" s="273"/>
      <c r="T348" s="273"/>
      <c r="U348" s="273"/>
      <c r="V348" s="273"/>
      <c r="W348" s="273"/>
      <c r="X348" s="273"/>
      <c r="Y348" s="274" t="n">
        <f aca="false">SUM(B348:X348)</f>
        <v>-10960.11</v>
      </c>
      <c r="Z348" s="272"/>
      <c r="AA348" s="275"/>
    </row>
    <row r="349" customFormat="false" ht="14.25" hidden="false" customHeight="false" outlineLevel="0" collapsed="false">
      <c r="A349" s="272" t="s">
        <v>404</v>
      </c>
      <c r="B349" s="273"/>
      <c r="C349" s="273"/>
      <c r="D349" s="273"/>
      <c r="E349" s="273"/>
      <c r="F349" s="273"/>
      <c r="G349" s="273"/>
      <c r="H349" s="273"/>
      <c r="I349" s="273"/>
      <c r="J349" s="273" t="n">
        <v>-35331.3585</v>
      </c>
      <c r="K349" s="273"/>
      <c r="L349" s="273"/>
      <c r="M349" s="273"/>
      <c r="N349" s="273"/>
      <c r="O349" s="273"/>
      <c r="P349" s="273"/>
      <c r="Q349" s="273"/>
      <c r="R349" s="273"/>
      <c r="S349" s="273"/>
      <c r="T349" s="273"/>
      <c r="U349" s="273"/>
      <c r="V349" s="273"/>
      <c r="W349" s="273"/>
      <c r="X349" s="273"/>
      <c r="Y349" s="274" t="n">
        <f aca="false">SUM(B349:X349)</f>
        <v>-35331.3585</v>
      </c>
      <c r="Z349" s="272"/>
      <c r="AA349" s="275"/>
    </row>
    <row r="350" customFormat="false" ht="14.25" hidden="false" customHeight="false" outlineLevel="0" collapsed="false">
      <c r="A350" s="272" t="s">
        <v>417</v>
      </c>
      <c r="B350" s="273"/>
      <c r="C350" s="273"/>
      <c r="D350" s="273"/>
      <c r="E350" s="273" t="n">
        <v>-10960.11</v>
      </c>
      <c r="F350" s="273"/>
      <c r="G350" s="273"/>
      <c r="H350" s="273"/>
      <c r="I350" s="273"/>
      <c r="J350" s="273"/>
      <c r="K350" s="273"/>
      <c r="L350" s="273"/>
      <c r="M350" s="273"/>
      <c r="N350" s="273"/>
      <c r="O350" s="273"/>
      <c r="P350" s="273"/>
      <c r="Q350" s="273"/>
      <c r="R350" s="273"/>
      <c r="S350" s="273"/>
      <c r="T350" s="273"/>
      <c r="U350" s="273"/>
      <c r="V350" s="273"/>
      <c r="W350" s="273"/>
      <c r="X350" s="273"/>
      <c r="Y350" s="274" t="n">
        <f aca="false">SUM(B350:X350)</f>
        <v>-10960.11</v>
      </c>
      <c r="Z350" s="272"/>
      <c r="AA350" s="275"/>
    </row>
    <row r="351" customFormat="false" ht="14.25" hidden="false" customHeight="false" outlineLevel="0" collapsed="false">
      <c r="A351" s="272" t="s">
        <v>622</v>
      </c>
      <c r="B351" s="273"/>
      <c r="C351" s="273"/>
      <c r="D351" s="273"/>
      <c r="E351" s="273"/>
      <c r="F351" s="273"/>
      <c r="G351" s="273"/>
      <c r="H351" s="273"/>
      <c r="I351" s="273"/>
      <c r="J351" s="273"/>
      <c r="K351" s="273"/>
      <c r="L351" s="273"/>
      <c r="M351" s="273"/>
      <c r="N351" s="273" t="n">
        <v>-1256.115</v>
      </c>
      <c r="O351" s="273" t="n">
        <v>74.46</v>
      </c>
      <c r="P351" s="273"/>
      <c r="Q351" s="273"/>
      <c r="R351" s="273"/>
      <c r="S351" s="273"/>
      <c r="T351" s="273"/>
      <c r="U351" s="273"/>
      <c r="V351" s="273"/>
      <c r="W351" s="273"/>
      <c r="X351" s="273"/>
      <c r="Y351" s="274" t="n">
        <f aca="false">SUM(B351:X351)</f>
        <v>-1181.655</v>
      </c>
      <c r="Z351" s="272"/>
      <c r="AA351" s="275"/>
    </row>
    <row r="352" customFormat="false" ht="14.25" hidden="false" customHeight="false" outlineLevel="0" collapsed="false">
      <c r="A352" s="272" t="s">
        <v>623</v>
      </c>
      <c r="B352" s="273"/>
      <c r="C352" s="273"/>
      <c r="D352" s="273"/>
      <c r="E352" s="273" t="n">
        <v>134.5365</v>
      </c>
      <c r="F352" s="273"/>
      <c r="G352" s="273"/>
      <c r="H352" s="273"/>
      <c r="I352" s="273"/>
      <c r="J352" s="273"/>
      <c r="K352" s="273"/>
      <c r="L352" s="273"/>
      <c r="M352" s="273"/>
      <c r="N352" s="273"/>
      <c r="O352" s="273"/>
      <c r="P352" s="273"/>
      <c r="Q352" s="273"/>
      <c r="R352" s="273"/>
      <c r="S352" s="273"/>
      <c r="T352" s="273"/>
      <c r="U352" s="273"/>
      <c r="V352" s="273"/>
      <c r="W352" s="273"/>
      <c r="X352" s="273"/>
      <c r="Y352" s="274" t="n">
        <f aca="false">SUM(B352:X352)</f>
        <v>134.5365</v>
      </c>
      <c r="Z352" s="272"/>
      <c r="AA352" s="275"/>
    </row>
    <row r="353" customFormat="false" ht="14.25" hidden="false" customHeight="false" outlineLevel="0" collapsed="false">
      <c r="A353" s="272" t="s">
        <v>581</v>
      </c>
      <c r="B353" s="273"/>
      <c r="C353" s="273"/>
      <c r="D353" s="273"/>
      <c r="E353" s="273"/>
      <c r="F353" s="273"/>
      <c r="G353" s="273"/>
      <c r="H353" s="273" t="n">
        <v>822.096</v>
      </c>
      <c r="I353" s="273"/>
      <c r="J353" s="273"/>
      <c r="K353" s="273"/>
      <c r="L353" s="273"/>
      <c r="M353" s="273"/>
      <c r="N353" s="273"/>
      <c r="O353" s="273"/>
      <c r="P353" s="273"/>
      <c r="Q353" s="273"/>
      <c r="R353" s="273"/>
      <c r="S353" s="273"/>
      <c r="T353" s="273"/>
      <c r="U353" s="273"/>
      <c r="V353" s="273"/>
      <c r="W353" s="273"/>
      <c r="X353" s="273"/>
      <c r="Y353" s="274" t="n">
        <f aca="false">SUM(B353:X353)</f>
        <v>822.096</v>
      </c>
      <c r="Z353" s="272"/>
      <c r="AA353" s="275"/>
    </row>
    <row r="354" customFormat="false" ht="14.25" hidden="false" customHeight="false" outlineLevel="0" collapsed="false">
      <c r="A354" s="272" t="s">
        <v>624</v>
      </c>
      <c r="B354" s="273"/>
      <c r="C354" s="273"/>
      <c r="D354" s="273"/>
      <c r="E354" s="273" t="n">
        <v>1232.85</v>
      </c>
      <c r="F354" s="273"/>
      <c r="G354" s="273"/>
      <c r="H354" s="273"/>
      <c r="I354" s="273"/>
      <c r="J354" s="273"/>
      <c r="K354" s="273"/>
      <c r="L354" s="273"/>
      <c r="M354" s="273"/>
      <c r="N354" s="273"/>
      <c r="O354" s="273"/>
      <c r="P354" s="273"/>
      <c r="Q354" s="273"/>
      <c r="R354" s="273"/>
      <c r="S354" s="273"/>
      <c r="T354" s="273"/>
      <c r="U354" s="273"/>
      <c r="V354" s="273"/>
      <c r="W354" s="273"/>
      <c r="X354" s="273"/>
      <c r="Y354" s="274" t="n">
        <f aca="false">SUM(B354:X354)</f>
        <v>1232.85</v>
      </c>
      <c r="Z354" s="272"/>
      <c r="AA354" s="275"/>
    </row>
    <row r="355" customFormat="false" ht="14.25" hidden="false" customHeight="false" outlineLevel="0" collapsed="false">
      <c r="A355" s="272" t="s">
        <v>625</v>
      </c>
      <c r="B355" s="273"/>
      <c r="C355" s="273"/>
      <c r="D355" s="273" t="n">
        <v>-109.02</v>
      </c>
      <c r="E355" s="273"/>
      <c r="F355" s="273"/>
      <c r="G355" s="273"/>
      <c r="H355" s="273"/>
      <c r="I355" s="273"/>
      <c r="J355" s="273" t="n">
        <v>-3404.4</v>
      </c>
      <c r="K355" s="273"/>
      <c r="L355" s="273"/>
      <c r="M355" s="273"/>
      <c r="N355" s="273" t="n">
        <v>-4362.963</v>
      </c>
      <c r="O355" s="273"/>
      <c r="P355" s="273"/>
      <c r="Q355" s="273"/>
      <c r="R355" s="273"/>
      <c r="S355" s="273"/>
      <c r="T355" s="273"/>
      <c r="U355" s="273"/>
      <c r="V355" s="273"/>
      <c r="W355" s="273"/>
      <c r="X355" s="273"/>
      <c r="Y355" s="274" t="n">
        <f aca="false">SUM(B355:X355)</f>
        <v>-7876.383</v>
      </c>
      <c r="Z355" s="272"/>
      <c r="AA355" s="275"/>
    </row>
    <row r="356" customFormat="false" ht="14.25" hidden="false" customHeight="false" outlineLevel="0" collapsed="false">
      <c r="A356" s="272" t="s">
        <v>626</v>
      </c>
      <c r="B356" s="273"/>
      <c r="C356" s="273"/>
      <c r="D356" s="273"/>
      <c r="E356" s="273" t="n">
        <v>672.6825</v>
      </c>
      <c r="F356" s="273"/>
      <c r="G356" s="273"/>
      <c r="H356" s="273" t="n">
        <v>56.052</v>
      </c>
      <c r="I356" s="273"/>
      <c r="J356" s="273"/>
      <c r="K356" s="273"/>
      <c r="L356" s="273"/>
      <c r="M356" s="273"/>
      <c r="N356" s="273"/>
      <c r="O356" s="273"/>
      <c r="P356" s="273"/>
      <c r="Q356" s="273"/>
      <c r="R356" s="273"/>
      <c r="S356" s="273"/>
      <c r="T356" s="273"/>
      <c r="U356" s="273"/>
      <c r="V356" s="273"/>
      <c r="W356" s="273"/>
      <c r="X356" s="273"/>
      <c r="Y356" s="274" t="n">
        <f aca="false">SUM(B356:X356)</f>
        <v>728.7345</v>
      </c>
      <c r="Z356" s="272"/>
      <c r="AA356" s="275"/>
    </row>
    <row r="357" customFormat="false" ht="14.25" hidden="false" customHeight="false" outlineLevel="0" collapsed="false">
      <c r="A357" s="272" t="s">
        <v>627</v>
      </c>
      <c r="B357" s="273"/>
      <c r="C357" s="273"/>
      <c r="D357" s="273"/>
      <c r="E357" s="273" t="n">
        <v>134.5365</v>
      </c>
      <c r="F357" s="273"/>
      <c r="G357" s="273"/>
      <c r="H357" s="273" t="n">
        <v>130.788</v>
      </c>
      <c r="I357" s="273"/>
      <c r="J357" s="273"/>
      <c r="K357" s="273"/>
      <c r="L357" s="273"/>
      <c r="M357" s="273"/>
      <c r="N357" s="273"/>
      <c r="O357" s="273"/>
      <c r="P357" s="273"/>
      <c r="Q357" s="273"/>
      <c r="R357" s="273"/>
      <c r="S357" s="273"/>
      <c r="T357" s="273"/>
      <c r="U357" s="273"/>
      <c r="V357" s="273"/>
      <c r="W357" s="273"/>
      <c r="X357" s="273"/>
      <c r="Y357" s="274" t="n">
        <f aca="false">SUM(B357:X357)</f>
        <v>265.3245</v>
      </c>
      <c r="Z357" s="272"/>
      <c r="AA357" s="275"/>
    </row>
    <row r="358" customFormat="false" ht="14.25" hidden="false" customHeight="false" outlineLevel="0" collapsed="false">
      <c r="A358" s="272" t="s">
        <v>628</v>
      </c>
      <c r="B358" s="273"/>
      <c r="C358" s="273" t="n">
        <v>-3651.804</v>
      </c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3"/>
      <c r="P358" s="273"/>
      <c r="Q358" s="273"/>
      <c r="R358" s="273"/>
      <c r="S358" s="273"/>
      <c r="T358" s="273"/>
      <c r="U358" s="273"/>
      <c r="V358" s="273"/>
      <c r="W358" s="273"/>
      <c r="X358" s="273"/>
      <c r="Y358" s="274" t="n">
        <f aca="false">SUM(B358:X358)</f>
        <v>-3651.804</v>
      </c>
      <c r="Z358" s="272"/>
      <c r="AA358" s="275"/>
    </row>
    <row r="359" customFormat="false" ht="14.25" hidden="false" customHeight="false" outlineLevel="0" collapsed="false">
      <c r="A359" s="272" t="s">
        <v>629</v>
      </c>
      <c r="B359" s="273"/>
      <c r="C359" s="273"/>
      <c r="D359" s="273"/>
      <c r="E359" s="273"/>
      <c r="F359" s="273"/>
      <c r="G359" s="273"/>
      <c r="H359" s="273"/>
      <c r="I359" s="273"/>
      <c r="J359" s="273"/>
      <c r="K359" s="273"/>
      <c r="L359" s="273"/>
      <c r="M359" s="273"/>
      <c r="N359" s="273"/>
      <c r="O359" s="273"/>
      <c r="P359" s="273"/>
      <c r="Q359" s="273"/>
      <c r="R359" s="273" t="n">
        <v>-258.33</v>
      </c>
      <c r="S359" s="273"/>
      <c r="T359" s="273"/>
      <c r="U359" s="273"/>
      <c r="V359" s="273"/>
      <c r="W359" s="273"/>
      <c r="X359" s="273"/>
      <c r="Y359" s="274" t="n">
        <f aca="false">SUM(B359:X359)</f>
        <v>-258.33</v>
      </c>
      <c r="Z359" s="272"/>
      <c r="AA359" s="275"/>
    </row>
    <row r="360" customFormat="false" ht="14.25" hidden="false" customHeight="false" outlineLevel="0" collapsed="false">
      <c r="A360" s="272" t="s">
        <v>589</v>
      </c>
      <c r="B360" s="273"/>
      <c r="C360" s="273"/>
      <c r="D360" s="273"/>
      <c r="E360" s="273" t="n">
        <v>410.95</v>
      </c>
      <c r="F360" s="273"/>
      <c r="G360" s="273"/>
      <c r="H360" s="273"/>
      <c r="I360" s="273"/>
      <c r="J360" s="273"/>
      <c r="K360" s="273"/>
      <c r="L360" s="273"/>
      <c r="M360" s="273"/>
      <c r="N360" s="273"/>
      <c r="O360" s="273"/>
      <c r="P360" s="273"/>
      <c r="Q360" s="273"/>
      <c r="R360" s="273"/>
      <c r="S360" s="273"/>
      <c r="T360" s="273"/>
      <c r="U360" s="273"/>
      <c r="V360" s="273"/>
      <c r="W360" s="273"/>
      <c r="X360" s="273"/>
      <c r="Y360" s="274" t="n">
        <f aca="false">SUM(B360:X360)</f>
        <v>410.95</v>
      </c>
      <c r="Z360" s="272"/>
      <c r="AA360" s="275"/>
    </row>
    <row r="361" customFormat="false" ht="14.25" hidden="false" customHeight="false" outlineLevel="0" collapsed="false">
      <c r="A361" s="272" t="s">
        <v>630</v>
      </c>
      <c r="B361" s="273"/>
      <c r="C361" s="273"/>
      <c r="D361" s="273"/>
      <c r="E361" s="273"/>
      <c r="F361" s="273"/>
      <c r="G361" s="273"/>
      <c r="H361" s="273"/>
      <c r="I361" s="273"/>
      <c r="J361" s="273"/>
      <c r="K361" s="273"/>
      <c r="L361" s="273"/>
      <c r="M361" s="273"/>
      <c r="N361" s="273"/>
      <c r="O361" s="273"/>
      <c r="P361" s="273" t="n">
        <v>-827.244</v>
      </c>
      <c r="Q361" s="273"/>
      <c r="R361" s="273"/>
      <c r="S361" s="273"/>
      <c r="T361" s="273"/>
      <c r="U361" s="273"/>
      <c r="V361" s="273"/>
      <c r="W361" s="273"/>
      <c r="X361" s="273"/>
      <c r="Y361" s="274" t="n">
        <f aca="false">SUM(B361:X361)</f>
        <v>-827.244</v>
      </c>
      <c r="Z361" s="272"/>
      <c r="AA361" s="275"/>
    </row>
    <row r="362" customFormat="false" ht="14.25" hidden="false" customHeight="false" outlineLevel="0" collapsed="false">
      <c r="A362" s="272" t="s">
        <v>631</v>
      </c>
      <c r="B362" s="273"/>
      <c r="C362" s="273"/>
      <c r="D362" s="273"/>
      <c r="E362" s="273"/>
      <c r="F362" s="273"/>
      <c r="G362" s="273"/>
      <c r="H362" s="273"/>
      <c r="I362" s="273"/>
      <c r="J362" s="273" t="n">
        <v>973.5795</v>
      </c>
      <c r="K362" s="273"/>
      <c r="L362" s="273"/>
      <c r="M362" s="273"/>
      <c r="N362" s="273"/>
      <c r="O362" s="273"/>
      <c r="P362" s="273"/>
      <c r="Q362" s="273"/>
      <c r="R362" s="273"/>
      <c r="S362" s="273"/>
      <c r="T362" s="273"/>
      <c r="U362" s="273"/>
      <c r="V362" s="273"/>
      <c r="W362" s="273"/>
      <c r="X362" s="273"/>
      <c r="Y362" s="274" t="n">
        <f aca="false">SUM(B362:X362)</f>
        <v>973.5795</v>
      </c>
      <c r="Z362" s="272"/>
      <c r="AA362" s="275"/>
    </row>
    <row r="363" customFormat="false" ht="14.25" hidden="false" customHeight="false" outlineLevel="0" collapsed="false">
      <c r="A363" s="272" t="s">
        <v>632</v>
      </c>
      <c r="B363" s="273"/>
      <c r="C363" s="273"/>
      <c r="D363" s="273"/>
      <c r="E363" s="273"/>
      <c r="F363" s="273"/>
      <c r="G363" s="273"/>
      <c r="H363" s="273"/>
      <c r="I363" s="273"/>
      <c r="J363" s="273" t="n">
        <v>-622.08</v>
      </c>
      <c r="K363" s="273"/>
      <c r="L363" s="273"/>
      <c r="M363" s="273"/>
      <c r="N363" s="273"/>
      <c r="O363" s="273"/>
      <c r="P363" s="273"/>
      <c r="Q363" s="273"/>
      <c r="R363" s="273"/>
      <c r="S363" s="273"/>
      <c r="T363" s="273"/>
      <c r="U363" s="273"/>
      <c r="V363" s="273"/>
      <c r="W363" s="273"/>
      <c r="X363" s="273"/>
      <c r="Y363" s="274" t="n">
        <f aca="false">SUM(B363:X363)</f>
        <v>-622.08</v>
      </c>
      <c r="Z363" s="272"/>
      <c r="AA363" s="275"/>
    </row>
    <row r="364" customFormat="false" ht="14.25" hidden="false" customHeight="false" outlineLevel="0" collapsed="false">
      <c r="A364" s="272" t="s">
        <v>633</v>
      </c>
      <c r="B364" s="273"/>
      <c r="C364" s="273"/>
      <c r="D364" s="273"/>
      <c r="E364" s="273"/>
      <c r="F364" s="273"/>
      <c r="G364" s="273"/>
      <c r="H364" s="273"/>
      <c r="I364" s="273"/>
      <c r="J364" s="273"/>
      <c r="K364" s="273"/>
      <c r="L364" s="273"/>
      <c r="M364" s="273"/>
      <c r="N364" s="273" t="n">
        <v>-655.578</v>
      </c>
      <c r="O364" s="273"/>
      <c r="P364" s="273"/>
      <c r="Q364" s="273"/>
      <c r="R364" s="273"/>
      <c r="S364" s="273"/>
      <c r="T364" s="273"/>
      <c r="U364" s="273"/>
      <c r="V364" s="273"/>
      <c r="W364" s="273"/>
      <c r="X364" s="273"/>
      <c r="Y364" s="274" t="n">
        <f aca="false">SUM(B364:X364)</f>
        <v>-655.578</v>
      </c>
      <c r="Z364" s="272"/>
      <c r="AA364" s="275"/>
    </row>
    <row r="365" customFormat="false" ht="14.25" hidden="false" customHeight="false" outlineLevel="0" collapsed="false">
      <c r="A365" s="272" t="s">
        <v>634</v>
      </c>
      <c r="B365" s="273"/>
      <c r="C365" s="273"/>
      <c r="D365" s="273"/>
      <c r="E365" s="273"/>
      <c r="F365" s="273"/>
      <c r="G365" s="273"/>
      <c r="H365" s="273"/>
      <c r="I365" s="273"/>
      <c r="J365" s="273"/>
      <c r="K365" s="273"/>
      <c r="L365" s="273"/>
      <c r="M365" s="273"/>
      <c r="N365" s="273"/>
      <c r="O365" s="273" t="n">
        <v>1233.639</v>
      </c>
      <c r="P365" s="273"/>
      <c r="Q365" s="273"/>
      <c r="R365" s="273"/>
      <c r="S365" s="273"/>
      <c r="T365" s="273"/>
      <c r="U365" s="273"/>
      <c r="V365" s="273"/>
      <c r="W365" s="273"/>
      <c r="X365" s="273"/>
      <c r="Y365" s="274" t="n">
        <f aca="false">SUM(B365:X365)</f>
        <v>1233.639</v>
      </c>
      <c r="Z365" s="272"/>
      <c r="AA365" s="275"/>
    </row>
    <row r="366" customFormat="false" ht="14.25" hidden="false" customHeight="false" outlineLevel="0" collapsed="false">
      <c r="A366" s="272" t="s">
        <v>392</v>
      </c>
      <c r="B366" s="273" t="n">
        <v>-5504.8875</v>
      </c>
      <c r="C366" s="273"/>
      <c r="D366" s="273"/>
      <c r="E366" s="273"/>
      <c r="F366" s="273"/>
      <c r="G366" s="273"/>
      <c r="H366" s="273"/>
      <c r="I366" s="273"/>
      <c r="J366" s="273"/>
      <c r="K366" s="273"/>
      <c r="L366" s="273"/>
      <c r="M366" s="273"/>
      <c r="N366" s="273"/>
      <c r="O366" s="273"/>
      <c r="P366" s="273"/>
      <c r="Q366" s="273"/>
      <c r="R366" s="273"/>
      <c r="S366" s="273"/>
      <c r="T366" s="273"/>
      <c r="U366" s="273"/>
      <c r="V366" s="273"/>
      <c r="W366" s="273"/>
      <c r="X366" s="273"/>
      <c r="Y366" s="274" t="n">
        <f aca="false">SUM(B366:X366)</f>
        <v>-5504.8875</v>
      </c>
      <c r="Z366" s="272"/>
      <c r="AA366" s="275"/>
    </row>
    <row r="367" customFormat="false" ht="14.25" hidden="false" customHeight="false" outlineLevel="0" collapsed="false">
      <c r="A367" s="272" t="s">
        <v>635</v>
      </c>
      <c r="B367" s="273"/>
      <c r="C367" s="273"/>
      <c r="D367" s="273"/>
      <c r="E367" s="273"/>
      <c r="F367" s="273" t="n">
        <v>-9048.9</v>
      </c>
      <c r="G367" s="273"/>
      <c r="H367" s="273"/>
      <c r="I367" s="273"/>
      <c r="J367" s="273"/>
      <c r="K367" s="273"/>
      <c r="L367" s="273" t="n">
        <v>-9417.375</v>
      </c>
      <c r="M367" s="273"/>
      <c r="N367" s="273"/>
      <c r="O367" s="273"/>
      <c r="P367" s="273"/>
      <c r="Q367" s="273"/>
      <c r="R367" s="273"/>
      <c r="S367" s="273"/>
      <c r="T367" s="273"/>
      <c r="U367" s="273"/>
      <c r="V367" s="273"/>
      <c r="W367" s="273"/>
      <c r="X367" s="273"/>
      <c r="Y367" s="274" t="n">
        <f aca="false">SUM(B367:X367)</f>
        <v>-18466.275</v>
      </c>
      <c r="Z367" s="272"/>
      <c r="AA367" s="275"/>
    </row>
    <row r="368" customFormat="false" ht="14.25" hidden="false" customHeight="false" outlineLevel="0" collapsed="false">
      <c r="A368" s="272" t="s">
        <v>636</v>
      </c>
      <c r="B368" s="273"/>
      <c r="C368" s="273"/>
      <c r="D368" s="273"/>
      <c r="E368" s="273"/>
      <c r="F368" s="273" t="n">
        <v>-9520</v>
      </c>
      <c r="G368" s="273"/>
      <c r="H368" s="273"/>
      <c r="I368" s="273"/>
      <c r="J368" s="273"/>
      <c r="K368" s="273"/>
      <c r="L368" s="273"/>
      <c r="M368" s="273"/>
      <c r="N368" s="273"/>
      <c r="O368" s="273"/>
      <c r="P368" s="273"/>
      <c r="Q368" s="273"/>
      <c r="R368" s="273"/>
      <c r="S368" s="273"/>
      <c r="T368" s="273"/>
      <c r="U368" s="273"/>
      <c r="V368" s="273"/>
      <c r="W368" s="273"/>
      <c r="X368" s="273"/>
      <c r="Y368" s="274" t="n">
        <f aca="false">SUM(B368:X368)</f>
        <v>-9520</v>
      </c>
      <c r="Z368" s="272"/>
      <c r="AA368" s="275"/>
    </row>
    <row r="369" customFormat="false" ht="14.25" hidden="false" customHeight="false" outlineLevel="0" collapsed="false">
      <c r="A369" s="272" t="s">
        <v>581</v>
      </c>
      <c r="B369" s="273" t="n">
        <v>-978.045</v>
      </c>
      <c r="C369" s="273"/>
      <c r="D369" s="273"/>
      <c r="E369" s="273" t="n">
        <v>1941.1695</v>
      </c>
      <c r="F369" s="273"/>
      <c r="G369" s="273"/>
      <c r="H369" s="273"/>
      <c r="I369" s="273"/>
      <c r="J369" s="273"/>
      <c r="K369" s="273"/>
      <c r="L369" s="273"/>
      <c r="M369" s="273"/>
      <c r="N369" s="273"/>
      <c r="O369" s="273"/>
      <c r="P369" s="273"/>
      <c r="Q369" s="273"/>
      <c r="R369" s="273"/>
      <c r="S369" s="273"/>
      <c r="T369" s="273"/>
      <c r="U369" s="273"/>
      <c r="V369" s="273"/>
      <c r="W369" s="273"/>
      <c r="X369" s="273"/>
      <c r="Y369" s="274" t="n">
        <f aca="false">SUM(B369:X369)</f>
        <v>963.1245</v>
      </c>
      <c r="Z369" s="272"/>
      <c r="AA369" s="275"/>
    </row>
    <row r="370" customFormat="false" ht="14.25" hidden="false" customHeight="false" outlineLevel="0" collapsed="false">
      <c r="A370" s="272" t="s">
        <v>637</v>
      </c>
      <c r="B370" s="273"/>
      <c r="C370" s="273"/>
      <c r="D370" s="273"/>
      <c r="E370" s="273" t="n">
        <v>384.39</v>
      </c>
      <c r="F370" s="273"/>
      <c r="G370" s="273"/>
      <c r="H370" s="273"/>
      <c r="I370" s="273"/>
      <c r="J370" s="273"/>
      <c r="K370" s="273"/>
      <c r="L370" s="273"/>
      <c r="M370" s="273"/>
      <c r="N370" s="273"/>
      <c r="O370" s="273"/>
      <c r="P370" s="273"/>
      <c r="Q370" s="273"/>
      <c r="R370" s="273"/>
      <c r="S370" s="273"/>
      <c r="T370" s="273"/>
      <c r="U370" s="273"/>
      <c r="V370" s="273"/>
      <c r="W370" s="273"/>
      <c r="X370" s="273"/>
      <c r="Y370" s="274" t="n">
        <f aca="false">SUM(B370:X370)</f>
        <v>384.39</v>
      </c>
      <c r="Z370" s="272"/>
      <c r="AA370" s="275"/>
    </row>
    <row r="371" customFormat="false" ht="14.25" hidden="false" customHeight="false" outlineLevel="0" collapsed="false">
      <c r="A371" s="272" t="s">
        <v>625</v>
      </c>
      <c r="B371" s="273"/>
      <c r="C371" s="273"/>
      <c r="D371" s="273"/>
      <c r="E371" s="273" t="n">
        <v>1495.858</v>
      </c>
      <c r="F371" s="273"/>
      <c r="G371" s="273"/>
      <c r="H371" s="273"/>
      <c r="I371" s="273"/>
      <c r="J371" s="273"/>
      <c r="K371" s="273"/>
      <c r="L371" s="273"/>
      <c r="M371" s="273"/>
      <c r="N371" s="273"/>
      <c r="O371" s="273"/>
      <c r="P371" s="273"/>
      <c r="Q371" s="273"/>
      <c r="R371" s="273"/>
      <c r="S371" s="273"/>
      <c r="T371" s="273"/>
      <c r="U371" s="273"/>
      <c r="V371" s="273"/>
      <c r="W371" s="273"/>
      <c r="X371" s="273"/>
      <c r="Y371" s="274" t="n">
        <f aca="false">SUM(B371:X371)</f>
        <v>1495.858</v>
      </c>
      <c r="Z371" s="272"/>
      <c r="AA371" s="275"/>
    </row>
    <row r="372" customFormat="false" ht="14.25" hidden="false" customHeight="false" outlineLevel="0" collapsed="false">
      <c r="A372" s="272" t="s">
        <v>638</v>
      </c>
      <c r="B372" s="273"/>
      <c r="C372" s="273" t="n">
        <v>-46.395</v>
      </c>
      <c r="D372" s="273"/>
      <c r="E372" s="273"/>
      <c r="F372" s="273"/>
      <c r="G372" s="273"/>
      <c r="H372" s="273"/>
      <c r="I372" s="273"/>
      <c r="J372" s="273"/>
      <c r="K372" s="273"/>
      <c r="L372" s="273" t="n">
        <v>-93.1965</v>
      </c>
      <c r="M372" s="273"/>
      <c r="N372" s="273"/>
      <c r="O372" s="273"/>
      <c r="P372" s="273"/>
      <c r="Q372" s="273"/>
      <c r="R372" s="273"/>
      <c r="S372" s="273"/>
      <c r="T372" s="273"/>
      <c r="U372" s="273"/>
      <c r="V372" s="273"/>
      <c r="W372" s="273"/>
      <c r="X372" s="273"/>
      <c r="Y372" s="274" t="n">
        <f aca="false">SUM(B372:X372)</f>
        <v>-139.5915</v>
      </c>
      <c r="Z372" s="272"/>
      <c r="AA372" s="275"/>
    </row>
    <row r="373" customFormat="false" ht="14.25" hidden="false" customHeight="false" outlineLevel="0" collapsed="false">
      <c r="A373" s="272" t="s">
        <v>639</v>
      </c>
      <c r="B373" s="273"/>
      <c r="C373" s="273"/>
      <c r="D373" s="273"/>
      <c r="E373" s="273"/>
      <c r="F373" s="273"/>
      <c r="G373" s="273"/>
      <c r="H373" s="273"/>
      <c r="I373" s="273"/>
      <c r="J373" s="273"/>
      <c r="K373" s="273"/>
      <c r="L373" s="273"/>
      <c r="M373" s="273"/>
      <c r="N373" s="273" t="n">
        <v>-251.223</v>
      </c>
      <c r="O373" s="273"/>
      <c r="P373" s="273"/>
      <c r="Q373" s="273"/>
      <c r="R373" s="273"/>
      <c r="S373" s="273"/>
      <c r="T373" s="273"/>
      <c r="U373" s="273"/>
      <c r="V373" s="273"/>
      <c r="W373" s="273"/>
      <c r="X373" s="273"/>
      <c r="Y373" s="274" t="n">
        <f aca="false">SUM(B373:X373)</f>
        <v>-251.223</v>
      </c>
      <c r="Z373" s="272"/>
      <c r="AA373" s="275"/>
    </row>
    <row r="374" customFormat="false" ht="14.25" hidden="false" customHeight="false" outlineLevel="0" collapsed="false">
      <c r="A374" s="272" t="s">
        <v>640</v>
      </c>
      <c r="B374" s="273"/>
      <c r="C374" s="273"/>
      <c r="D374" s="273"/>
      <c r="E374" s="273" t="n">
        <v>369.855</v>
      </c>
      <c r="F374" s="273"/>
      <c r="G374" s="273"/>
      <c r="H374" s="273"/>
      <c r="I374" s="273"/>
      <c r="J374" s="273"/>
      <c r="K374" s="273"/>
      <c r="L374" s="273"/>
      <c r="M374" s="273"/>
      <c r="N374" s="273"/>
      <c r="O374" s="273"/>
      <c r="P374" s="273"/>
      <c r="Q374" s="273"/>
      <c r="R374" s="273"/>
      <c r="S374" s="273"/>
      <c r="T374" s="273"/>
      <c r="U374" s="273"/>
      <c r="V374" s="273"/>
      <c r="W374" s="273"/>
      <c r="X374" s="273"/>
      <c r="Y374" s="274" t="n">
        <f aca="false">SUM(B374:X374)</f>
        <v>369.855</v>
      </c>
      <c r="Z374" s="272"/>
      <c r="AA374" s="275"/>
    </row>
    <row r="375" customFormat="false" ht="14.25" hidden="false" customHeight="false" outlineLevel="0" collapsed="false">
      <c r="A375" s="272" t="s">
        <v>641</v>
      </c>
      <c r="B375" s="273"/>
      <c r="C375" s="273"/>
      <c r="D375" s="273"/>
      <c r="E375" s="273"/>
      <c r="F375" s="273"/>
      <c r="G375" s="273" t="n">
        <v>-84</v>
      </c>
      <c r="H375" s="273"/>
      <c r="I375" s="273"/>
      <c r="J375" s="273"/>
      <c r="K375" s="273"/>
      <c r="L375" s="273"/>
      <c r="M375" s="273"/>
      <c r="N375" s="273"/>
      <c r="O375" s="273"/>
      <c r="P375" s="273"/>
      <c r="Q375" s="273"/>
      <c r="R375" s="273"/>
      <c r="S375" s="273"/>
      <c r="T375" s="273"/>
      <c r="U375" s="273"/>
      <c r="V375" s="273"/>
      <c r="W375" s="273"/>
      <c r="X375" s="273"/>
      <c r="Y375" s="274" t="n">
        <f aca="false">SUM(B375:X375)</f>
        <v>-84</v>
      </c>
      <c r="Z375" s="272"/>
      <c r="AA375" s="275"/>
    </row>
    <row r="376" customFormat="false" ht="14.25" hidden="false" customHeight="false" outlineLevel="0" collapsed="false">
      <c r="A376" s="272" t="s">
        <v>642</v>
      </c>
      <c r="B376" s="273" t="n">
        <v>-4190.2875</v>
      </c>
      <c r="C376" s="273"/>
      <c r="D376" s="273"/>
      <c r="E376" s="273"/>
      <c r="F376" s="273"/>
      <c r="G376" s="273"/>
      <c r="H376" s="273"/>
      <c r="I376" s="273" t="n">
        <v>-1079.925</v>
      </c>
      <c r="J376" s="273"/>
      <c r="K376" s="273"/>
      <c r="L376" s="273"/>
      <c r="M376" s="273"/>
      <c r="N376" s="273" t="n">
        <v>-6064.047</v>
      </c>
      <c r="O376" s="273"/>
      <c r="P376" s="273" t="n">
        <v>-2138.724</v>
      </c>
      <c r="Q376" s="273"/>
      <c r="R376" s="273"/>
      <c r="S376" s="273"/>
      <c r="T376" s="273"/>
      <c r="U376" s="273"/>
      <c r="V376" s="273"/>
      <c r="W376" s="273"/>
      <c r="X376" s="273"/>
      <c r="Y376" s="274" t="n">
        <f aca="false">SUM(B376:X376)</f>
        <v>-13472.9835</v>
      </c>
      <c r="Z376" s="272"/>
      <c r="AA376" s="275"/>
    </row>
    <row r="377" customFormat="false" ht="14.25" hidden="false" customHeight="false" outlineLevel="0" collapsed="false">
      <c r="A377" s="272" t="s">
        <v>643</v>
      </c>
      <c r="B377" s="273" t="n">
        <v>-10.872</v>
      </c>
      <c r="C377" s="273"/>
      <c r="D377" s="273"/>
      <c r="E377" s="273"/>
      <c r="F377" s="273"/>
      <c r="G377" s="273"/>
      <c r="H377" s="273"/>
      <c r="I377" s="273"/>
      <c r="J377" s="273"/>
      <c r="K377" s="273"/>
      <c r="L377" s="273"/>
      <c r="M377" s="273"/>
      <c r="N377" s="273" t="n">
        <v>-826.9155</v>
      </c>
      <c r="O377" s="273"/>
      <c r="P377" s="273"/>
      <c r="Q377" s="273"/>
      <c r="R377" s="273"/>
      <c r="S377" s="273"/>
      <c r="T377" s="273"/>
      <c r="U377" s="273"/>
      <c r="V377" s="273"/>
      <c r="W377" s="273"/>
      <c r="X377" s="273"/>
      <c r="Y377" s="274" t="n">
        <f aca="false">SUM(B377:X377)</f>
        <v>-837.7875</v>
      </c>
      <c r="Z377" s="272"/>
      <c r="AA377" s="275"/>
    </row>
    <row r="378" customFormat="false" ht="14.25" hidden="false" customHeight="false" outlineLevel="0" collapsed="false">
      <c r="A378" s="272" t="s">
        <v>644</v>
      </c>
      <c r="B378" s="273"/>
      <c r="C378" s="273"/>
      <c r="D378" s="273"/>
      <c r="E378" s="273"/>
      <c r="F378" s="273" t="n">
        <v>-56284.665</v>
      </c>
      <c r="G378" s="273"/>
      <c r="H378" s="273"/>
      <c r="I378" s="273"/>
      <c r="J378" s="273"/>
      <c r="K378" s="273"/>
      <c r="L378" s="273"/>
      <c r="M378" s="273"/>
      <c r="N378" s="273"/>
      <c r="O378" s="273"/>
      <c r="P378" s="273"/>
      <c r="Q378" s="273"/>
      <c r="R378" s="273"/>
      <c r="S378" s="273"/>
      <c r="T378" s="273"/>
      <c r="U378" s="273"/>
      <c r="V378" s="273"/>
      <c r="W378" s="273"/>
      <c r="X378" s="273"/>
      <c r="Y378" s="274" t="n">
        <f aca="false">SUM(B378:X378)</f>
        <v>-56284.665</v>
      </c>
      <c r="Z378" s="272"/>
      <c r="AA378" s="275"/>
    </row>
    <row r="379" customFormat="false" ht="14.25" hidden="false" customHeight="false" outlineLevel="0" collapsed="false">
      <c r="A379" s="272" t="s">
        <v>618</v>
      </c>
      <c r="B379" s="273"/>
      <c r="C379" s="273"/>
      <c r="D379" s="273"/>
      <c r="E379" s="273" t="n">
        <v>-11501.35</v>
      </c>
      <c r="F379" s="273"/>
      <c r="G379" s="273"/>
      <c r="H379" s="273"/>
      <c r="I379" s="273"/>
      <c r="J379" s="273"/>
      <c r="K379" s="273"/>
      <c r="L379" s="273"/>
      <c r="M379" s="273"/>
      <c r="N379" s="273"/>
      <c r="O379" s="273"/>
      <c r="P379" s="273"/>
      <c r="Q379" s="273"/>
      <c r="R379" s="273"/>
      <c r="S379" s="273"/>
      <c r="T379" s="273"/>
      <c r="U379" s="273"/>
      <c r="V379" s="273"/>
      <c r="W379" s="273"/>
      <c r="X379" s="273"/>
      <c r="Y379" s="274" t="n">
        <f aca="false">SUM(B379:X379)</f>
        <v>-11501.35</v>
      </c>
      <c r="Z379" s="272"/>
      <c r="AA379" s="275"/>
    </row>
    <row r="380" customFormat="false" ht="14.25" hidden="false" customHeight="false" outlineLevel="0" collapsed="false">
      <c r="A380" s="272" t="s">
        <v>645</v>
      </c>
      <c r="B380" s="273"/>
      <c r="C380" s="273" t="n">
        <v>-63.882</v>
      </c>
      <c r="D380" s="273"/>
      <c r="E380" s="273"/>
      <c r="F380" s="273"/>
      <c r="G380" s="273"/>
      <c r="H380" s="273"/>
      <c r="I380" s="273"/>
      <c r="J380" s="273"/>
      <c r="K380" s="273"/>
      <c r="L380" s="273" t="n">
        <v>-93.1965</v>
      </c>
      <c r="M380" s="273"/>
      <c r="N380" s="273"/>
      <c r="O380" s="273"/>
      <c r="P380" s="273"/>
      <c r="Q380" s="273"/>
      <c r="R380" s="273"/>
      <c r="S380" s="273"/>
      <c r="T380" s="273"/>
      <c r="U380" s="273"/>
      <c r="V380" s="273"/>
      <c r="W380" s="273"/>
      <c r="X380" s="273"/>
      <c r="Y380" s="274" t="n">
        <f aca="false">SUM(B380:X380)</f>
        <v>-157.0785</v>
      </c>
      <c r="Z380" s="272"/>
      <c r="AA380" s="275"/>
    </row>
    <row r="381" customFormat="false" ht="14.25" hidden="false" customHeight="false" outlineLevel="0" collapsed="false">
      <c r="A381" s="272" t="s">
        <v>646</v>
      </c>
      <c r="B381" s="273"/>
      <c r="C381" s="273"/>
      <c r="D381" s="273"/>
      <c r="E381" s="273"/>
      <c r="F381" s="273"/>
      <c r="G381" s="273"/>
      <c r="H381" s="273"/>
      <c r="I381" s="273"/>
      <c r="J381" s="273"/>
      <c r="K381" s="273"/>
      <c r="L381" s="273" t="n">
        <v>-93.1965</v>
      </c>
      <c r="M381" s="273"/>
      <c r="N381" s="273"/>
      <c r="O381" s="273"/>
      <c r="P381" s="273"/>
      <c r="Q381" s="273"/>
      <c r="R381" s="273"/>
      <c r="S381" s="273"/>
      <c r="T381" s="273"/>
      <c r="U381" s="273"/>
      <c r="V381" s="273"/>
      <c r="W381" s="273"/>
      <c r="X381" s="273"/>
      <c r="Y381" s="274" t="n">
        <f aca="false">SUM(B381:X381)</f>
        <v>-93.1965</v>
      </c>
      <c r="Z381" s="272"/>
      <c r="AA381" s="275"/>
    </row>
    <row r="382" customFormat="false" ht="14.25" hidden="false" customHeight="false" outlineLevel="0" collapsed="false">
      <c r="A382" s="272" t="s">
        <v>647</v>
      </c>
      <c r="B382" s="273"/>
      <c r="C382" s="273"/>
      <c r="D382" s="273"/>
      <c r="E382" s="273"/>
      <c r="F382" s="273"/>
      <c r="G382" s="273"/>
      <c r="H382" s="273" t="n">
        <v>-36.78</v>
      </c>
      <c r="I382" s="273"/>
      <c r="J382" s="273"/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3"/>
      <c r="X382" s="273"/>
      <c r="Y382" s="274" t="n">
        <f aca="false">SUM(B382:X382)</f>
        <v>-36.78</v>
      </c>
      <c r="Z382" s="272"/>
      <c r="AA382" s="275"/>
    </row>
    <row r="383" customFormat="false" ht="14.25" hidden="false" customHeight="false" outlineLevel="0" collapsed="false">
      <c r="A383" s="272" t="s">
        <v>648</v>
      </c>
      <c r="B383" s="273"/>
      <c r="C383" s="273"/>
      <c r="D383" s="273"/>
      <c r="E383" s="273"/>
      <c r="F383" s="273"/>
      <c r="G383" s="273"/>
      <c r="H383" s="273"/>
      <c r="I383" s="273"/>
      <c r="J383" s="273"/>
      <c r="K383" s="273"/>
      <c r="L383" s="273"/>
      <c r="M383" s="273"/>
      <c r="N383" s="273"/>
      <c r="O383" s="273"/>
      <c r="P383" s="273" t="n">
        <v>-520.758</v>
      </c>
      <c r="Q383" s="273"/>
      <c r="R383" s="273"/>
      <c r="S383" s="273"/>
      <c r="T383" s="273"/>
      <c r="U383" s="273"/>
      <c r="V383" s="273"/>
      <c r="W383" s="273"/>
      <c r="X383" s="273"/>
      <c r="Y383" s="274" t="n">
        <f aca="false">SUM(B383:X383)</f>
        <v>-520.758</v>
      </c>
      <c r="Z383" s="272"/>
      <c r="AA383" s="275"/>
    </row>
    <row r="384" customFormat="false" ht="14.25" hidden="false" customHeight="false" outlineLevel="0" collapsed="false">
      <c r="A384" s="272" t="s">
        <v>649</v>
      </c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3"/>
      <c r="M384" s="273"/>
      <c r="N384" s="273"/>
      <c r="O384" s="273"/>
      <c r="P384" s="273" t="n">
        <v>-413.622</v>
      </c>
      <c r="Q384" s="273"/>
      <c r="R384" s="273"/>
      <c r="S384" s="273"/>
      <c r="T384" s="273"/>
      <c r="U384" s="273"/>
      <c r="V384" s="273"/>
      <c r="W384" s="273"/>
      <c r="X384" s="273"/>
      <c r="Y384" s="274" t="n">
        <f aca="false">SUM(B384:X384)</f>
        <v>-413.622</v>
      </c>
      <c r="Z384" s="272"/>
      <c r="AA384" s="275"/>
    </row>
    <row r="385" customFormat="false" ht="14.25" hidden="false" customHeight="false" outlineLevel="0" collapsed="false">
      <c r="A385" s="272" t="s">
        <v>650</v>
      </c>
      <c r="B385" s="273"/>
      <c r="C385" s="273" t="n">
        <v>-5557.734</v>
      </c>
      <c r="D385" s="273" t="n">
        <v>1161.189</v>
      </c>
      <c r="E385" s="273"/>
      <c r="F385" s="273"/>
      <c r="G385" s="273" t="n">
        <v>1258.875</v>
      </c>
      <c r="H385" s="273"/>
      <c r="I385" s="273"/>
      <c r="J385" s="273"/>
      <c r="K385" s="273"/>
      <c r="L385" s="273" t="n">
        <v>-2077.062</v>
      </c>
      <c r="M385" s="273"/>
      <c r="N385" s="273" t="n">
        <v>-1873.08</v>
      </c>
      <c r="O385" s="273"/>
      <c r="P385" s="273" t="n">
        <v>-357</v>
      </c>
      <c r="Q385" s="273"/>
      <c r="R385" s="273" t="n">
        <v>-408</v>
      </c>
      <c r="S385" s="273"/>
      <c r="T385" s="273"/>
      <c r="U385" s="273"/>
      <c r="V385" s="273"/>
      <c r="W385" s="273"/>
      <c r="X385" s="273"/>
      <c r="Y385" s="274" t="n">
        <f aca="false">SUM(B385:X385)</f>
        <v>-7852.812</v>
      </c>
      <c r="Z385" s="272"/>
      <c r="AA385" s="275"/>
    </row>
    <row r="386" customFormat="false" ht="14.25" hidden="false" customHeight="false" outlineLevel="0" collapsed="false">
      <c r="A386" s="272" t="s">
        <v>651</v>
      </c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3"/>
      <c r="M386" s="273"/>
      <c r="N386" s="273"/>
      <c r="O386" s="273" t="n">
        <v>2084.88</v>
      </c>
      <c r="P386" s="273"/>
      <c r="Q386" s="273"/>
      <c r="R386" s="273"/>
      <c r="S386" s="273"/>
      <c r="T386" s="273"/>
      <c r="U386" s="273"/>
      <c r="V386" s="273"/>
      <c r="W386" s="273"/>
      <c r="X386" s="273"/>
      <c r="Y386" s="274" t="n">
        <f aca="false">SUM(B386:X386)</f>
        <v>2084.88</v>
      </c>
      <c r="Z386" s="272"/>
      <c r="AA386" s="275"/>
    </row>
    <row r="387" customFormat="false" ht="14.25" hidden="false" customHeight="false" outlineLevel="0" collapsed="false">
      <c r="A387" s="272" t="s">
        <v>652</v>
      </c>
      <c r="B387" s="273"/>
      <c r="C387" s="273"/>
      <c r="D387" s="273"/>
      <c r="E387" s="273"/>
      <c r="F387" s="273"/>
      <c r="G387" s="273"/>
      <c r="H387" s="273" t="n">
        <v>-31.065</v>
      </c>
      <c r="I387" s="273"/>
      <c r="J387" s="273"/>
      <c r="K387" s="273"/>
      <c r="L387" s="273"/>
      <c r="M387" s="273"/>
      <c r="N387" s="273" t="n">
        <v>-89259.723</v>
      </c>
      <c r="O387" s="273"/>
      <c r="P387" s="273"/>
      <c r="Q387" s="273"/>
      <c r="R387" s="273"/>
      <c r="S387" s="273"/>
      <c r="T387" s="273"/>
      <c r="U387" s="273"/>
      <c r="V387" s="273"/>
      <c r="W387" s="273"/>
      <c r="X387" s="273"/>
      <c r="Y387" s="274" t="n">
        <f aca="false">SUM(B387:X387)</f>
        <v>-89290.788</v>
      </c>
      <c r="Z387" s="272"/>
      <c r="AA387" s="275"/>
    </row>
    <row r="388" customFormat="false" ht="14.25" hidden="false" customHeight="false" outlineLevel="0" collapsed="false">
      <c r="A388" s="272" t="s">
        <v>653</v>
      </c>
      <c r="B388" s="273"/>
      <c r="C388" s="273"/>
      <c r="D388" s="273"/>
      <c r="E388" s="273"/>
      <c r="F388" s="273" t="n">
        <v>-21786.888</v>
      </c>
      <c r="G388" s="273"/>
      <c r="H388" s="273"/>
      <c r="I388" s="273"/>
      <c r="J388" s="273"/>
      <c r="K388" s="273"/>
      <c r="L388" s="273"/>
      <c r="M388" s="273"/>
      <c r="N388" s="273"/>
      <c r="O388" s="273"/>
      <c r="P388" s="273"/>
      <c r="Q388" s="273"/>
      <c r="R388" s="273"/>
      <c r="S388" s="273"/>
      <c r="T388" s="273"/>
      <c r="U388" s="273"/>
      <c r="V388" s="273"/>
      <c r="W388" s="273"/>
      <c r="X388" s="273"/>
      <c r="Y388" s="274" t="n">
        <f aca="false">SUM(B388:X388)</f>
        <v>-21786.888</v>
      </c>
      <c r="Z388" s="272"/>
      <c r="AA388" s="275"/>
    </row>
    <row r="389" customFormat="false" ht="14.25" hidden="false" customHeight="false" outlineLevel="0" collapsed="false">
      <c r="A389" s="272" t="s">
        <v>654</v>
      </c>
      <c r="B389" s="273"/>
      <c r="C389" s="273" t="n">
        <v>-7857.486</v>
      </c>
      <c r="D389" s="273"/>
      <c r="E389" s="273"/>
      <c r="F389" s="273" t="n">
        <v>-10365.744</v>
      </c>
      <c r="G389" s="273" t="n">
        <v>5211.7425</v>
      </c>
      <c r="H389" s="273"/>
      <c r="I389" s="273"/>
      <c r="J389" s="273"/>
      <c r="K389" s="273"/>
      <c r="L389" s="273" t="n">
        <v>-5674.421</v>
      </c>
      <c r="M389" s="273"/>
      <c r="N389" s="273" t="n">
        <v>-749.232</v>
      </c>
      <c r="O389" s="273"/>
      <c r="P389" s="273" t="n">
        <v>-327</v>
      </c>
      <c r="Q389" s="273"/>
      <c r="R389" s="273"/>
      <c r="S389" s="273"/>
      <c r="T389" s="273"/>
      <c r="U389" s="273"/>
      <c r="V389" s="273"/>
      <c r="W389" s="273"/>
      <c r="X389" s="273"/>
      <c r="Y389" s="274" t="n">
        <f aca="false">SUM(B389:X389)</f>
        <v>-19762.1405</v>
      </c>
      <c r="Z389" s="272"/>
      <c r="AA389" s="275"/>
    </row>
    <row r="390" customFormat="false" ht="14.25" hidden="false" customHeight="false" outlineLevel="0" collapsed="false">
      <c r="A390" s="272" t="s">
        <v>655</v>
      </c>
      <c r="B390" s="273"/>
      <c r="C390" s="273"/>
      <c r="D390" s="273"/>
      <c r="E390" s="273" t="n">
        <v>-2400</v>
      </c>
      <c r="F390" s="273"/>
      <c r="G390" s="273"/>
      <c r="H390" s="273"/>
      <c r="I390" s="273"/>
      <c r="J390" s="273"/>
      <c r="K390" s="273"/>
      <c r="L390" s="273"/>
      <c r="M390" s="273"/>
      <c r="N390" s="273"/>
      <c r="O390" s="273"/>
      <c r="P390" s="273"/>
      <c r="Q390" s="273"/>
      <c r="R390" s="273"/>
      <c r="S390" s="273"/>
      <c r="T390" s="273"/>
      <c r="U390" s="273"/>
      <c r="V390" s="273"/>
      <c r="W390" s="273"/>
      <c r="X390" s="273"/>
      <c r="Y390" s="274" t="n">
        <f aca="false">SUM(B390:X390)</f>
        <v>-2400</v>
      </c>
      <c r="Z390" s="272"/>
      <c r="AA390" s="275"/>
    </row>
    <row r="391" customFormat="false" ht="14.25" hidden="false" customHeight="false" outlineLevel="0" collapsed="false">
      <c r="A391" s="272" t="s">
        <v>656</v>
      </c>
      <c r="B391" s="273"/>
      <c r="C391" s="273"/>
      <c r="D391" s="273"/>
      <c r="E391" s="273"/>
      <c r="F391" s="273"/>
      <c r="G391" s="273"/>
      <c r="H391" s="273"/>
      <c r="I391" s="273"/>
      <c r="J391" s="273"/>
      <c r="K391" s="273"/>
      <c r="L391" s="273" t="n">
        <v>-372.786</v>
      </c>
      <c r="M391" s="273"/>
      <c r="N391" s="273"/>
      <c r="O391" s="273"/>
      <c r="P391" s="273"/>
      <c r="Q391" s="273"/>
      <c r="R391" s="273"/>
      <c r="S391" s="273"/>
      <c r="T391" s="273"/>
      <c r="U391" s="273"/>
      <c r="V391" s="273"/>
      <c r="W391" s="273"/>
      <c r="X391" s="273"/>
      <c r="Y391" s="274" t="n">
        <f aca="false">SUM(B391:X391)</f>
        <v>-372.786</v>
      </c>
      <c r="Z391" s="272"/>
      <c r="AA391" s="275"/>
    </row>
    <row r="392" customFormat="false" ht="14.25" hidden="false" customHeight="false" outlineLevel="0" collapsed="false">
      <c r="A392" s="272" t="s">
        <v>657</v>
      </c>
      <c r="B392" s="273"/>
      <c r="C392" s="273"/>
      <c r="D392" s="273"/>
      <c r="E392" s="273" t="n">
        <v>-308.25</v>
      </c>
      <c r="F392" s="273"/>
      <c r="G392" s="273"/>
      <c r="H392" s="273"/>
      <c r="I392" s="273"/>
      <c r="J392" s="273"/>
      <c r="K392" s="273"/>
      <c r="L392" s="273"/>
      <c r="M392" s="273"/>
      <c r="N392" s="273"/>
      <c r="O392" s="273"/>
      <c r="P392" s="273"/>
      <c r="Q392" s="273"/>
      <c r="R392" s="273"/>
      <c r="S392" s="273"/>
      <c r="T392" s="273"/>
      <c r="U392" s="273"/>
      <c r="V392" s="273"/>
      <c r="W392" s="273"/>
      <c r="X392" s="273"/>
      <c r="Y392" s="274" t="n">
        <f aca="false">SUM(B392:X392)</f>
        <v>-308.25</v>
      </c>
      <c r="Z392" s="272"/>
      <c r="AA392" s="275"/>
    </row>
    <row r="393" customFormat="false" ht="14.25" hidden="false" customHeight="false" outlineLevel="0" collapsed="false">
      <c r="A393" s="272" t="s">
        <v>658</v>
      </c>
      <c r="B393" s="273"/>
      <c r="C393" s="273"/>
      <c r="D393" s="273"/>
      <c r="E393" s="273" t="n">
        <v>-863.1</v>
      </c>
      <c r="F393" s="273"/>
      <c r="G393" s="273"/>
      <c r="H393" s="273"/>
      <c r="I393" s="273"/>
      <c r="J393" s="273"/>
      <c r="K393" s="273"/>
      <c r="L393" s="273"/>
      <c r="M393" s="273" t="n">
        <v>-409.05</v>
      </c>
      <c r="N393" s="273"/>
      <c r="O393" s="273"/>
      <c r="P393" s="273"/>
      <c r="Q393" s="273"/>
      <c r="R393" s="273"/>
      <c r="S393" s="273"/>
      <c r="T393" s="273"/>
      <c r="U393" s="273"/>
      <c r="V393" s="273"/>
      <c r="W393" s="273"/>
      <c r="X393" s="273"/>
      <c r="Y393" s="274" t="n">
        <f aca="false">SUM(B393:X393)</f>
        <v>-1272.15</v>
      </c>
      <c r="Z393" s="272"/>
      <c r="AA393" s="275"/>
    </row>
    <row r="394" customFormat="false" ht="14.25" hidden="false" customHeight="false" outlineLevel="0" collapsed="false">
      <c r="A394" s="272" t="s">
        <v>659</v>
      </c>
      <c r="B394" s="273"/>
      <c r="C394" s="273"/>
      <c r="D394" s="273"/>
      <c r="E394" s="273" t="n">
        <v>-1112.7825</v>
      </c>
      <c r="F394" s="273"/>
      <c r="G394" s="273"/>
      <c r="H394" s="273"/>
      <c r="I394" s="273"/>
      <c r="J394" s="273"/>
      <c r="K394" s="273"/>
      <c r="L394" s="273"/>
      <c r="M394" s="273"/>
      <c r="N394" s="273"/>
      <c r="O394" s="273"/>
      <c r="P394" s="273"/>
      <c r="Q394" s="273"/>
      <c r="R394" s="273"/>
      <c r="S394" s="273"/>
      <c r="T394" s="273"/>
      <c r="U394" s="273"/>
      <c r="V394" s="273"/>
      <c r="W394" s="273"/>
      <c r="X394" s="273"/>
      <c r="Y394" s="274" t="n">
        <f aca="false">SUM(B394:X394)</f>
        <v>-1112.7825</v>
      </c>
      <c r="Z394" s="272"/>
      <c r="AA394" s="275"/>
    </row>
    <row r="395" customFormat="false" ht="14.25" hidden="false" customHeight="false" outlineLevel="0" collapsed="false">
      <c r="A395" s="272" t="s">
        <v>660</v>
      </c>
      <c r="B395" s="273" t="n">
        <v>-3748.866</v>
      </c>
      <c r="C395" s="273"/>
      <c r="D395" s="273"/>
      <c r="E395" s="273"/>
      <c r="F395" s="273"/>
      <c r="G395" s="273"/>
      <c r="H395" s="273"/>
      <c r="I395" s="273" t="n">
        <v>-138.591</v>
      </c>
      <c r="J395" s="273"/>
      <c r="K395" s="273"/>
      <c r="L395" s="273"/>
      <c r="M395" s="273"/>
      <c r="N395" s="273"/>
      <c r="O395" s="273"/>
      <c r="P395" s="273"/>
      <c r="Q395" s="273"/>
      <c r="R395" s="273"/>
      <c r="S395" s="273"/>
      <c r="T395" s="273"/>
      <c r="U395" s="273"/>
      <c r="V395" s="273"/>
      <c r="W395" s="273"/>
      <c r="X395" s="273"/>
      <c r="Y395" s="274" t="n">
        <f aca="false">SUM(B395:X395)</f>
        <v>-3887.457</v>
      </c>
      <c r="Z395" s="272"/>
      <c r="AA395" s="275"/>
    </row>
    <row r="396" customFormat="false" ht="14.25" hidden="false" customHeight="false" outlineLevel="0" collapsed="false">
      <c r="A396" s="272" t="s">
        <v>661</v>
      </c>
      <c r="B396" s="273" t="n">
        <v>-764.664</v>
      </c>
      <c r="C396" s="273"/>
      <c r="D396" s="273"/>
      <c r="E396" s="273"/>
      <c r="F396" s="273"/>
      <c r="G396" s="273"/>
      <c r="H396" s="273"/>
      <c r="I396" s="273" t="n">
        <v>-256.65</v>
      </c>
      <c r="J396" s="273"/>
      <c r="K396" s="273"/>
      <c r="L396" s="273"/>
      <c r="M396" s="273"/>
      <c r="N396" s="273"/>
      <c r="O396" s="273"/>
      <c r="P396" s="273"/>
      <c r="Q396" s="273"/>
      <c r="R396" s="273"/>
      <c r="S396" s="273"/>
      <c r="T396" s="273"/>
      <c r="U396" s="273"/>
      <c r="V396" s="273"/>
      <c r="W396" s="273"/>
      <c r="X396" s="273"/>
      <c r="Y396" s="274" t="n">
        <f aca="false">SUM(B396:X396)</f>
        <v>-1021.314</v>
      </c>
      <c r="Z396" s="272"/>
      <c r="AA396" s="275"/>
    </row>
    <row r="397" customFormat="false" ht="14.25" hidden="false" customHeight="false" outlineLevel="0" collapsed="false">
      <c r="A397" s="272" t="s">
        <v>662</v>
      </c>
      <c r="B397" s="273"/>
      <c r="C397" s="273"/>
      <c r="D397" s="273"/>
      <c r="E397" s="273"/>
      <c r="F397" s="273" t="n">
        <v>-23580.804</v>
      </c>
      <c r="G397" s="273"/>
      <c r="H397" s="273"/>
      <c r="I397" s="273"/>
      <c r="J397" s="273"/>
      <c r="K397" s="273"/>
      <c r="L397" s="273"/>
      <c r="M397" s="273"/>
      <c r="N397" s="273"/>
      <c r="O397" s="273"/>
      <c r="P397" s="273"/>
      <c r="Q397" s="273"/>
      <c r="R397" s="273"/>
      <c r="S397" s="273"/>
      <c r="T397" s="273"/>
      <c r="U397" s="273"/>
      <c r="V397" s="273"/>
      <c r="W397" s="273"/>
      <c r="X397" s="273"/>
      <c r="Y397" s="274" t="n">
        <f aca="false">SUM(B397:X397)</f>
        <v>-23580.804</v>
      </c>
      <c r="Z397" s="272"/>
      <c r="AA397" s="275"/>
    </row>
    <row r="398" customFormat="false" ht="14.25" hidden="false" customHeight="false" outlineLevel="0" collapsed="false">
      <c r="A398" s="272" t="s">
        <v>663</v>
      </c>
      <c r="B398" s="273"/>
      <c r="C398" s="273"/>
      <c r="D398" s="273"/>
      <c r="E398" s="273"/>
      <c r="F398" s="273"/>
      <c r="G398" s="273"/>
      <c r="H398" s="273"/>
      <c r="I398" s="273"/>
      <c r="J398" s="273" t="n">
        <v>-588</v>
      </c>
      <c r="K398" s="273"/>
      <c r="L398" s="273"/>
      <c r="M398" s="273"/>
      <c r="N398" s="273"/>
      <c r="O398" s="273"/>
      <c r="P398" s="273"/>
      <c r="Q398" s="273"/>
      <c r="R398" s="273"/>
      <c r="S398" s="273"/>
      <c r="T398" s="273"/>
      <c r="U398" s="273"/>
      <c r="V398" s="273"/>
      <c r="W398" s="273"/>
      <c r="X398" s="273"/>
      <c r="Y398" s="274" t="n">
        <f aca="false">SUM(B398:X398)</f>
        <v>-588</v>
      </c>
      <c r="Z398" s="272"/>
      <c r="AA398" s="275"/>
    </row>
    <row r="399" customFormat="false" ht="14.25" hidden="false" customHeight="false" outlineLevel="0" collapsed="false">
      <c r="A399" s="272" t="s">
        <v>664</v>
      </c>
      <c r="B399" s="273"/>
      <c r="C399" s="273"/>
      <c r="D399" s="273"/>
      <c r="E399" s="273"/>
      <c r="F399" s="273"/>
      <c r="G399" s="273"/>
      <c r="H399" s="273"/>
      <c r="I399" s="273"/>
      <c r="J399" s="273" t="n">
        <v>-756</v>
      </c>
      <c r="K399" s="273"/>
      <c r="L399" s="273"/>
      <c r="M399" s="273"/>
      <c r="N399" s="273"/>
      <c r="O399" s="273"/>
      <c r="P399" s="273"/>
      <c r="Q399" s="273"/>
      <c r="R399" s="273"/>
      <c r="S399" s="273"/>
      <c r="T399" s="273"/>
      <c r="U399" s="273"/>
      <c r="V399" s="273"/>
      <c r="W399" s="273"/>
      <c r="X399" s="273"/>
      <c r="Y399" s="274" t="n">
        <f aca="false">SUM(B399:X399)</f>
        <v>-756</v>
      </c>
      <c r="Z399" s="272"/>
      <c r="AA399" s="275"/>
    </row>
    <row r="400" customFormat="false" ht="14.25" hidden="false" customHeight="false" outlineLevel="0" collapsed="false">
      <c r="A400" s="272" t="s">
        <v>665</v>
      </c>
      <c r="B400" s="273" t="n">
        <v>-1194.85</v>
      </c>
      <c r="C400" s="273"/>
      <c r="D400" s="273"/>
      <c r="E400" s="273"/>
      <c r="F400" s="273"/>
      <c r="G400" s="273"/>
      <c r="H400" s="273"/>
      <c r="I400" s="273"/>
      <c r="J400" s="273"/>
      <c r="K400" s="273"/>
      <c r="L400" s="273"/>
      <c r="M400" s="273"/>
      <c r="N400" s="273"/>
      <c r="O400" s="273"/>
      <c r="P400" s="273"/>
      <c r="Q400" s="273"/>
      <c r="R400" s="273"/>
      <c r="S400" s="273"/>
      <c r="T400" s="273"/>
      <c r="U400" s="273"/>
      <c r="V400" s="273"/>
      <c r="W400" s="273"/>
      <c r="X400" s="273"/>
      <c r="Y400" s="274" t="n">
        <f aca="false">SUM(B400:X400)</f>
        <v>-1194.85</v>
      </c>
      <c r="Z400" s="272"/>
      <c r="AA400" s="275"/>
    </row>
    <row r="401" customFormat="false" ht="14.25" hidden="false" customHeight="false" outlineLevel="0" collapsed="false">
      <c r="A401" s="272" t="s">
        <v>666</v>
      </c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3"/>
      <c r="P401" s="273" t="n">
        <v>-310.2165</v>
      </c>
      <c r="Q401" s="273"/>
      <c r="R401" s="273"/>
      <c r="S401" s="273"/>
      <c r="T401" s="273"/>
      <c r="U401" s="273"/>
      <c r="V401" s="273"/>
      <c r="W401" s="273"/>
      <c r="X401" s="273"/>
      <c r="Y401" s="274" t="n">
        <f aca="false">SUM(B401:X401)</f>
        <v>-310.2165</v>
      </c>
      <c r="Z401" s="272"/>
      <c r="AA401" s="275"/>
    </row>
    <row r="402" customFormat="false" ht="14.25" hidden="false" customHeight="false" outlineLevel="0" collapsed="false">
      <c r="A402" s="272" t="s">
        <v>667</v>
      </c>
      <c r="B402" s="273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3"/>
      <c r="P402" s="273" t="n">
        <v>-206.811</v>
      </c>
      <c r="Q402" s="273"/>
      <c r="R402" s="273"/>
      <c r="S402" s="273"/>
      <c r="T402" s="273"/>
      <c r="U402" s="273"/>
      <c r="V402" s="273"/>
      <c r="W402" s="273"/>
      <c r="X402" s="273"/>
      <c r="Y402" s="274" t="n">
        <f aca="false">SUM(B402:X402)</f>
        <v>-206.811</v>
      </c>
      <c r="Z402" s="272"/>
      <c r="AA402" s="275"/>
    </row>
    <row r="403" customFormat="false" ht="14.25" hidden="false" customHeight="false" outlineLevel="0" collapsed="false">
      <c r="A403" s="272" t="s">
        <v>668</v>
      </c>
      <c r="B403" s="273" t="n">
        <v>-238.97</v>
      </c>
      <c r="C403" s="273"/>
      <c r="D403" s="273"/>
      <c r="E403" s="273"/>
      <c r="F403" s="273" t="n">
        <v>-332</v>
      </c>
      <c r="G403" s="273"/>
      <c r="H403" s="273"/>
      <c r="I403" s="273"/>
      <c r="J403" s="273"/>
      <c r="K403" s="273"/>
      <c r="L403" s="273"/>
      <c r="M403" s="273"/>
      <c r="N403" s="273"/>
      <c r="O403" s="273"/>
      <c r="P403" s="273"/>
      <c r="Q403" s="273"/>
      <c r="R403" s="273"/>
      <c r="S403" s="273"/>
      <c r="T403" s="273"/>
      <c r="U403" s="273"/>
      <c r="V403" s="273"/>
      <c r="W403" s="273"/>
      <c r="X403" s="273"/>
      <c r="Y403" s="274" t="n">
        <f aca="false">SUM(B403:X403)</f>
        <v>-570.97</v>
      </c>
      <c r="Z403" s="272"/>
      <c r="AA403" s="275"/>
    </row>
    <row r="404" customFormat="false" ht="14.25" hidden="false" customHeight="false" outlineLevel="0" collapsed="false">
      <c r="A404" s="272" t="s">
        <v>669</v>
      </c>
      <c r="B404" s="273"/>
      <c r="C404" s="273"/>
      <c r="D404" s="273"/>
      <c r="E404" s="273"/>
      <c r="F404" s="273"/>
      <c r="G404" s="273" t="n">
        <v>-504</v>
      </c>
      <c r="H404" s="273"/>
      <c r="I404" s="273"/>
      <c r="J404" s="273"/>
      <c r="K404" s="273"/>
      <c r="L404" s="273"/>
      <c r="M404" s="273"/>
      <c r="N404" s="273"/>
      <c r="O404" s="273"/>
      <c r="P404" s="273"/>
      <c r="Q404" s="273"/>
      <c r="R404" s="273"/>
      <c r="S404" s="273"/>
      <c r="T404" s="273"/>
      <c r="U404" s="273"/>
      <c r="V404" s="273"/>
      <c r="W404" s="273"/>
      <c r="X404" s="273"/>
      <c r="Y404" s="274" t="n">
        <f aca="false">SUM(B404:X404)</f>
        <v>-504</v>
      </c>
      <c r="Z404" s="272"/>
      <c r="AA404" s="275"/>
    </row>
    <row r="405" customFormat="false" ht="14.25" hidden="false" customHeight="false" outlineLevel="0" collapsed="false">
      <c r="A405" s="272" t="s">
        <v>619</v>
      </c>
      <c r="B405" s="273"/>
      <c r="C405" s="273"/>
      <c r="D405" s="273"/>
      <c r="E405" s="273" t="n">
        <v>-4041.5355</v>
      </c>
      <c r="F405" s="273"/>
      <c r="G405" s="273"/>
      <c r="H405" s="273"/>
      <c r="I405" s="273" t="n">
        <v>-89.8275</v>
      </c>
      <c r="J405" s="273"/>
      <c r="K405" s="273"/>
      <c r="L405" s="273"/>
      <c r="M405" s="273"/>
      <c r="N405" s="273"/>
      <c r="O405" s="273"/>
      <c r="P405" s="273"/>
      <c r="Q405" s="273"/>
      <c r="R405" s="273"/>
      <c r="S405" s="273"/>
      <c r="T405" s="273"/>
      <c r="U405" s="273"/>
      <c r="V405" s="273"/>
      <c r="W405" s="273"/>
      <c r="X405" s="273"/>
      <c r="Y405" s="274" t="n">
        <f aca="false">SUM(B405:X405)</f>
        <v>-4131.363</v>
      </c>
      <c r="Z405" s="272"/>
      <c r="AA405" s="275"/>
    </row>
    <row r="406" customFormat="false" ht="14.25" hidden="false" customHeight="false" outlineLevel="0" collapsed="false">
      <c r="A406" s="272" t="s">
        <v>618</v>
      </c>
      <c r="B406" s="273"/>
      <c r="C406" s="273"/>
      <c r="D406" s="273"/>
      <c r="E406" s="273"/>
      <c r="F406" s="273"/>
      <c r="G406" s="273"/>
      <c r="H406" s="273" t="n">
        <v>-576.6</v>
      </c>
      <c r="I406" s="273"/>
      <c r="J406" s="273" t="n">
        <v>17537.31</v>
      </c>
      <c r="K406" s="273"/>
      <c r="L406" s="273"/>
      <c r="M406" s="273"/>
      <c r="N406" s="273"/>
      <c r="O406" s="273"/>
      <c r="P406" s="273"/>
      <c r="Q406" s="273"/>
      <c r="R406" s="273"/>
      <c r="S406" s="273"/>
      <c r="T406" s="273"/>
      <c r="U406" s="273"/>
      <c r="V406" s="273"/>
      <c r="W406" s="273"/>
      <c r="X406" s="273"/>
      <c r="Y406" s="274" t="n">
        <f aca="false">SUM(B406:X406)</f>
        <v>16960.71</v>
      </c>
      <c r="Z406" s="272"/>
      <c r="AA406" s="275"/>
    </row>
    <row r="407" customFormat="false" ht="14.25" hidden="false" customHeight="false" outlineLevel="0" collapsed="false">
      <c r="A407" s="272" t="s">
        <v>670</v>
      </c>
      <c r="B407" s="273"/>
      <c r="C407" s="273" t="n">
        <v>-4639.5</v>
      </c>
      <c r="D407" s="273"/>
      <c r="E407" s="273" t="n">
        <v>-5538.4005</v>
      </c>
      <c r="F407" s="273"/>
      <c r="G407" s="273"/>
      <c r="H407" s="273"/>
      <c r="I407" s="273"/>
      <c r="J407" s="273"/>
      <c r="K407" s="273"/>
      <c r="L407" s="273" t="n">
        <v>-56278.9035</v>
      </c>
      <c r="M407" s="273"/>
      <c r="N407" s="273"/>
      <c r="O407" s="273"/>
      <c r="P407" s="273"/>
      <c r="Q407" s="273"/>
      <c r="R407" s="273"/>
      <c r="S407" s="273"/>
      <c r="T407" s="273"/>
      <c r="U407" s="273"/>
      <c r="V407" s="273"/>
      <c r="W407" s="273"/>
      <c r="X407" s="273"/>
      <c r="Y407" s="274" t="n">
        <f aca="false">SUM(B407:X407)</f>
        <v>-66456.804</v>
      </c>
      <c r="Z407" s="272"/>
      <c r="AA407" s="275"/>
    </row>
    <row r="408" customFormat="false" ht="14.25" hidden="false" customHeight="false" outlineLevel="0" collapsed="false">
      <c r="A408" s="272" t="s">
        <v>671</v>
      </c>
      <c r="B408" s="273"/>
      <c r="C408" s="273" t="n">
        <v>-1786.2075</v>
      </c>
      <c r="D408" s="273"/>
      <c r="E408" s="273"/>
      <c r="F408" s="273"/>
      <c r="G408" s="273"/>
      <c r="H408" s="273" t="n">
        <v>-1164.732</v>
      </c>
      <c r="I408" s="273"/>
      <c r="J408" s="273" t="n">
        <v>-248.472</v>
      </c>
      <c r="K408" s="273"/>
      <c r="L408" s="273" t="n">
        <v>-12556.5</v>
      </c>
      <c r="M408" s="273"/>
      <c r="N408" s="273"/>
      <c r="O408" s="273"/>
      <c r="P408" s="273"/>
      <c r="Q408" s="273"/>
      <c r="R408" s="273"/>
      <c r="S408" s="273"/>
      <c r="T408" s="273"/>
      <c r="U408" s="273"/>
      <c r="V408" s="273"/>
      <c r="W408" s="273"/>
      <c r="X408" s="273"/>
      <c r="Y408" s="274" t="n">
        <f aca="false">SUM(B408:X408)</f>
        <v>-15755.9115</v>
      </c>
      <c r="Z408" s="272"/>
      <c r="AA408" s="275"/>
    </row>
    <row r="409" customFormat="false" ht="14.25" hidden="false" customHeight="false" outlineLevel="0" collapsed="false">
      <c r="A409" s="272" t="s">
        <v>657</v>
      </c>
      <c r="B409" s="273"/>
      <c r="C409" s="273"/>
      <c r="D409" s="273"/>
      <c r="E409" s="273"/>
      <c r="F409" s="273"/>
      <c r="G409" s="273"/>
      <c r="H409" s="273" t="n">
        <v>-930.71</v>
      </c>
      <c r="I409" s="273"/>
      <c r="J409" s="273"/>
      <c r="K409" s="273"/>
      <c r="L409" s="273"/>
      <c r="M409" s="273"/>
      <c r="N409" s="273"/>
      <c r="O409" s="273"/>
      <c r="P409" s="273"/>
      <c r="Q409" s="273"/>
      <c r="R409" s="273"/>
      <c r="S409" s="273"/>
      <c r="T409" s="273"/>
      <c r="U409" s="273"/>
      <c r="V409" s="273"/>
      <c r="W409" s="273"/>
      <c r="X409" s="273"/>
      <c r="Y409" s="274" t="n">
        <f aca="false">SUM(B409:X409)</f>
        <v>-930.71</v>
      </c>
      <c r="Z409" s="272"/>
      <c r="AA409" s="275"/>
    </row>
    <row r="410" customFormat="false" ht="14.25" hidden="false" customHeight="false" outlineLevel="0" collapsed="false">
      <c r="A410" s="272" t="s">
        <v>541</v>
      </c>
      <c r="B410" s="273"/>
      <c r="C410" s="273"/>
      <c r="D410" s="273"/>
      <c r="E410" s="273"/>
      <c r="F410" s="273"/>
      <c r="G410" s="273"/>
      <c r="H410" s="273"/>
      <c r="I410" s="273" t="n">
        <v>-51.33</v>
      </c>
      <c r="J410" s="273"/>
      <c r="K410" s="273"/>
      <c r="L410" s="273"/>
      <c r="M410" s="273"/>
      <c r="N410" s="273"/>
      <c r="O410" s="273"/>
      <c r="P410" s="273"/>
      <c r="Q410" s="273"/>
      <c r="R410" s="273"/>
      <c r="S410" s="273"/>
      <c r="T410" s="273"/>
      <c r="U410" s="273"/>
      <c r="V410" s="273"/>
      <c r="W410" s="273"/>
      <c r="X410" s="273"/>
      <c r="Y410" s="274" t="n">
        <f aca="false">SUM(B410:X410)</f>
        <v>-51.33</v>
      </c>
      <c r="Z410" s="272"/>
      <c r="AA410" s="275"/>
    </row>
    <row r="411" customFormat="false" ht="14.25" hidden="false" customHeight="false" outlineLevel="0" collapsed="false">
      <c r="A411" s="272" t="s">
        <v>637</v>
      </c>
      <c r="B411" s="273"/>
      <c r="C411" s="273"/>
      <c r="D411" s="273"/>
      <c r="E411" s="273"/>
      <c r="F411" s="273"/>
      <c r="G411" s="273"/>
      <c r="H411" s="273" t="n">
        <v>-17.298</v>
      </c>
      <c r="I411" s="273"/>
      <c r="J411" s="273"/>
      <c r="K411" s="273"/>
      <c r="L411" s="273"/>
      <c r="M411" s="273"/>
      <c r="N411" s="273"/>
      <c r="O411" s="273"/>
      <c r="P411" s="273"/>
      <c r="Q411" s="273"/>
      <c r="R411" s="273"/>
      <c r="S411" s="273"/>
      <c r="T411" s="273"/>
      <c r="U411" s="273"/>
      <c r="V411" s="273"/>
      <c r="W411" s="273"/>
      <c r="X411" s="273"/>
      <c r="Y411" s="274" t="n">
        <f aca="false">SUM(B411:X411)</f>
        <v>-17.298</v>
      </c>
      <c r="Z411" s="272"/>
      <c r="AA411" s="275"/>
    </row>
    <row r="412" customFormat="false" ht="14.25" hidden="false" customHeight="false" outlineLevel="0" collapsed="false">
      <c r="A412" s="272" t="s">
        <v>625</v>
      </c>
      <c r="B412" s="273"/>
      <c r="C412" s="273"/>
      <c r="D412" s="273"/>
      <c r="E412" s="273"/>
      <c r="F412" s="273"/>
      <c r="G412" s="273"/>
      <c r="H412" s="273" t="n">
        <v>-2047.5</v>
      </c>
      <c r="I412" s="273"/>
      <c r="J412" s="273"/>
      <c r="K412" s="273"/>
      <c r="L412" s="273"/>
      <c r="M412" s="273"/>
      <c r="N412" s="273"/>
      <c r="O412" s="273"/>
      <c r="P412" s="273"/>
      <c r="Q412" s="273"/>
      <c r="R412" s="273"/>
      <c r="S412" s="273"/>
      <c r="T412" s="273"/>
      <c r="U412" s="273"/>
      <c r="V412" s="273"/>
      <c r="W412" s="273"/>
      <c r="X412" s="273"/>
      <c r="Y412" s="274" t="n">
        <f aca="false">SUM(B412:X412)</f>
        <v>-2047.5</v>
      </c>
      <c r="Z412" s="272"/>
      <c r="AA412" s="275"/>
    </row>
    <row r="413" customFormat="false" ht="14.25" hidden="false" customHeight="false" outlineLevel="0" collapsed="false">
      <c r="A413" s="272" t="s">
        <v>672</v>
      </c>
      <c r="B413" s="273"/>
      <c r="C413" s="273"/>
      <c r="D413" s="273"/>
      <c r="E413" s="273"/>
      <c r="F413" s="273"/>
      <c r="G413" s="273"/>
      <c r="H413" s="273" t="n">
        <v>-11.532</v>
      </c>
      <c r="I413" s="273"/>
      <c r="J413" s="273"/>
      <c r="K413" s="273"/>
      <c r="L413" s="273"/>
      <c r="M413" s="273"/>
      <c r="N413" s="273"/>
      <c r="O413" s="273"/>
      <c r="P413" s="273"/>
      <c r="Q413" s="273"/>
      <c r="R413" s="273"/>
      <c r="S413" s="273"/>
      <c r="T413" s="273"/>
      <c r="U413" s="273"/>
      <c r="V413" s="273"/>
      <c r="W413" s="273"/>
      <c r="X413" s="273"/>
      <c r="Y413" s="274" t="n">
        <f aca="false">SUM(B413:X413)</f>
        <v>-11.532</v>
      </c>
      <c r="Z413" s="272"/>
      <c r="AA413" s="275"/>
    </row>
    <row r="414" customFormat="false" ht="14.25" hidden="false" customHeight="false" outlineLevel="0" collapsed="false">
      <c r="A414" s="272" t="s">
        <v>673</v>
      </c>
      <c r="B414" s="273" t="n">
        <v>-7335.3375</v>
      </c>
      <c r="C414" s="273"/>
      <c r="D414" s="273"/>
      <c r="E414" s="273"/>
      <c r="F414" s="273"/>
      <c r="G414" s="273"/>
      <c r="H414" s="273"/>
      <c r="I414" s="273"/>
      <c r="J414" s="273"/>
      <c r="K414" s="273"/>
      <c r="L414" s="273" t="n">
        <v>-251.13</v>
      </c>
      <c r="M414" s="273"/>
      <c r="N414" s="273"/>
      <c r="O414" s="273"/>
      <c r="P414" s="273"/>
      <c r="Q414" s="273"/>
      <c r="R414" s="273"/>
      <c r="S414" s="273"/>
      <c r="T414" s="273"/>
      <c r="U414" s="273"/>
      <c r="V414" s="273"/>
      <c r="W414" s="273"/>
      <c r="X414" s="273"/>
      <c r="Y414" s="274" t="n">
        <f aca="false">SUM(B414:X414)</f>
        <v>-7586.4675</v>
      </c>
      <c r="Z414" s="272"/>
      <c r="AA414" s="275"/>
    </row>
    <row r="415" customFormat="false" ht="14.25" hidden="false" customHeight="false" outlineLevel="0" collapsed="false">
      <c r="A415" s="272" t="s">
        <v>674</v>
      </c>
      <c r="B415" s="273"/>
      <c r="C415" s="273"/>
      <c r="D415" s="273"/>
      <c r="E415" s="273" t="n">
        <v>-609.7905</v>
      </c>
      <c r="F415" s="273"/>
      <c r="G415" s="273"/>
      <c r="H415" s="273" t="n">
        <v>-80.724</v>
      </c>
      <c r="I415" s="273"/>
      <c r="J415" s="273"/>
      <c r="K415" s="273"/>
      <c r="L415" s="273"/>
      <c r="M415" s="273"/>
      <c r="N415" s="273"/>
      <c r="O415" s="273"/>
      <c r="P415" s="273"/>
      <c r="Q415" s="273"/>
      <c r="R415" s="273"/>
      <c r="S415" s="273"/>
      <c r="T415" s="273"/>
      <c r="U415" s="273"/>
      <c r="V415" s="273"/>
      <c r="W415" s="273"/>
      <c r="X415" s="273"/>
      <c r="Y415" s="274" t="n">
        <f aca="false">SUM(B415:X415)</f>
        <v>-690.5145</v>
      </c>
      <c r="Z415" s="272"/>
      <c r="AA415" s="275"/>
    </row>
    <row r="416" customFormat="false" ht="14.25" hidden="false" customHeight="false" outlineLevel="0" collapsed="false">
      <c r="A416" s="272" t="s">
        <v>581</v>
      </c>
      <c r="B416" s="273"/>
      <c r="C416" s="273"/>
      <c r="D416" s="273"/>
      <c r="E416" s="273" t="n">
        <v>-2695.6205</v>
      </c>
      <c r="F416" s="273"/>
      <c r="G416" s="273"/>
      <c r="H416" s="273" t="n">
        <v>-611.196</v>
      </c>
      <c r="I416" s="273"/>
      <c r="J416" s="273"/>
      <c r="K416" s="273"/>
      <c r="L416" s="273"/>
      <c r="M416" s="273"/>
      <c r="N416" s="273"/>
      <c r="O416" s="273"/>
      <c r="P416" s="273"/>
      <c r="Q416" s="273"/>
      <c r="R416" s="273"/>
      <c r="S416" s="273"/>
      <c r="T416" s="273"/>
      <c r="U416" s="273"/>
      <c r="V416" s="273"/>
      <c r="W416" s="273"/>
      <c r="X416" s="273"/>
      <c r="Y416" s="274" t="n">
        <f aca="false">SUM(B416:X416)</f>
        <v>-3306.8165</v>
      </c>
      <c r="Z416" s="272"/>
      <c r="AA416" s="275"/>
    </row>
    <row r="417" customFormat="false" ht="14.25" hidden="false" customHeight="false" outlineLevel="0" collapsed="false">
      <c r="A417" s="272" t="s">
        <v>675</v>
      </c>
      <c r="B417" s="273"/>
      <c r="C417" s="273"/>
      <c r="D417" s="273"/>
      <c r="E417" s="273" t="n">
        <v>-197.361</v>
      </c>
      <c r="F417" s="273"/>
      <c r="G417" s="273"/>
      <c r="H417" s="273" t="n">
        <v>-9145.5</v>
      </c>
      <c r="I417" s="273"/>
      <c r="J417" s="273"/>
      <c r="K417" s="273"/>
      <c r="L417" s="273"/>
      <c r="M417" s="273"/>
      <c r="N417" s="273"/>
      <c r="O417" s="273"/>
      <c r="P417" s="273"/>
      <c r="Q417" s="273"/>
      <c r="R417" s="273"/>
      <c r="S417" s="273"/>
      <c r="T417" s="273"/>
      <c r="U417" s="273"/>
      <c r="V417" s="273"/>
      <c r="W417" s="273"/>
      <c r="X417" s="273"/>
      <c r="Y417" s="274" t="n">
        <f aca="false">SUM(B417:X417)</f>
        <v>-9342.861</v>
      </c>
      <c r="Z417" s="272"/>
      <c r="AA417" s="275"/>
    </row>
    <row r="418" customFormat="false" ht="14.25" hidden="false" customHeight="false" outlineLevel="0" collapsed="false">
      <c r="A418" s="272" t="s">
        <v>624</v>
      </c>
      <c r="B418" s="273"/>
      <c r="C418" s="273"/>
      <c r="D418" s="273"/>
      <c r="E418" s="273"/>
      <c r="F418" s="273"/>
      <c r="G418" s="273"/>
      <c r="H418" s="273" t="n">
        <v>-1365</v>
      </c>
      <c r="I418" s="273"/>
      <c r="J418" s="273"/>
      <c r="K418" s="273"/>
      <c r="L418" s="273"/>
      <c r="M418" s="273"/>
      <c r="N418" s="273"/>
      <c r="O418" s="273"/>
      <c r="P418" s="273"/>
      <c r="Q418" s="273"/>
      <c r="R418" s="273"/>
      <c r="S418" s="273"/>
      <c r="T418" s="273"/>
      <c r="U418" s="273"/>
      <c r="V418" s="273"/>
      <c r="W418" s="273"/>
      <c r="X418" s="273"/>
      <c r="Y418" s="274" t="n">
        <f aca="false">SUM(B418:X418)</f>
        <v>-1365</v>
      </c>
      <c r="Z418" s="272"/>
      <c r="AA418" s="275"/>
    </row>
    <row r="419" customFormat="false" ht="14.25" hidden="false" customHeight="false" outlineLevel="0" collapsed="false">
      <c r="A419" s="272" t="s">
        <v>676</v>
      </c>
      <c r="B419" s="273"/>
      <c r="C419" s="273"/>
      <c r="D419" s="273"/>
      <c r="E419" s="273"/>
      <c r="F419" s="273"/>
      <c r="G419" s="273"/>
      <c r="H419" s="273" t="n">
        <v>-1365</v>
      </c>
      <c r="I419" s="273"/>
      <c r="J419" s="273"/>
      <c r="K419" s="273"/>
      <c r="L419" s="273"/>
      <c r="M419" s="273"/>
      <c r="N419" s="273"/>
      <c r="O419" s="273"/>
      <c r="P419" s="273"/>
      <c r="Q419" s="273"/>
      <c r="R419" s="273"/>
      <c r="S419" s="273"/>
      <c r="T419" s="273"/>
      <c r="U419" s="273"/>
      <c r="V419" s="273"/>
      <c r="W419" s="273"/>
      <c r="X419" s="273"/>
      <c r="Y419" s="274" t="n">
        <f aca="false">SUM(B419:X419)</f>
        <v>-1365</v>
      </c>
      <c r="Z419" s="272"/>
      <c r="AA419" s="275"/>
    </row>
    <row r="420" customFormat="false" ht="14.25" hidden="false" customHeight="false" outlineLevel="0" collapsed="false">
      <c r="A420" s="272" t="s">
        <v>413</v>
      </c>
      <c r="B420" s="273"/>
      <c r="C420" s="273"/>
      <c r="D420" s="273"/>
      <c r="E420" s="273"/>
      <c r="F420" s="273"/>
      <c r="G420" s="273"/>
      <c r="H420" s="273"/>
      <c r="I420" s="273" t="n">
        <v>-87.261</v>
      </c>
      <c r="J420" s="273"/>
      <c r="K420" s="273"/>
      <c r="L420" s="273"/>
      <c r="M420" s="273"/>
      <c r="N420" s="273"/>
      <c r="O420" s="273"/>
      <c r="P420" s="273"/>
      <c r="Q420" s="273"/>
      <c r="R420" s="273"/>
      <c r="S420" s="273"/>
      <c r="T420" s="273"/>
      <c r="U420" s="273"/>
      <c r="V420" s="273"/>
      <c r="W420" s="273"/>
      <c r="X420" s="273"/>
      <c r="Y420" s="274" t="n">
        <f aca="false">SUM(B420:X420)</f>
        <v>-87.261</v>
      </c>
      <c r="Z420" s="272"/>
      <c r="AA420" s="275"/>
    </row>
    <row r="421" customFormat="false" ht="14.25" hidden="false" customHeight="false" outlineLevel="0" collapsed="false">
      <c r="A421" s="272" t="s">
        <v>404</v>
      </c>
      <c r="B421" s="273"/>
      <c r="C421" s="273" t="n">
        <v>-42106.4595</v>
      </c>
      <c r="D421" s="273" t="n">
        <v>-8888.973</v>
      </c>
      <c r="E421" s="273"/>
      <c r="F421" s="273"/>
      <c r="G421" s="273"/>
      <c r="H421" s="273"/>
      <c r="I421" s="273" t="n">
        <v>-225.852</v>
      </c>
      <c r="J421" s="273" t="n">
        <v>1532.5275</v>
      </c>
      <c r="K421" s="273"/>
      <c r="L421" s="273"/>
      <c r="M421" s="273"/>
      <c r="N421" s="273"/>
      <c r="O421" s="273"/>
      <c r="P421" s="273"/>
      <c r="Q421" s="273"/>
      <c r="R421" s="273"/>
      <c r="S421" s="273"/>
      <c r="T421" s="273"/>
      <c r="U421" s="273"/>
      <c r="V421" s="273"/>
      <c r="W421" s="273"/>
      <c r="X421" s="273"/>
      <c r="Y421" s="274" t="n">
        <f aca="false">SUM(B421:X421)</f>
        <v>-49688.757</v>
      </c>
      <c r="Z421" s="272"/>
      <c r="AA421" s="275"/>
    </row>
    <row r="422" customFormat="false" ht="14.25" hidden="false" customHeight="false" outlineLevel="0" collapsed="false">
      <c r="A422" s="272" t="s">
        <v>677</v>
      </c>
      <c r="B422" s="273"/>
      <c r="C422" s="273"/>
      <c r="D422" s="273"/>
      <c r="E422" s="273"/>
      <c r="F422" s="273"/>
      <c r="G422" s="273"/>
      <c r="H422" s="273"/>
      <c r="I422" s="273" t="n">
        <v>-395.241</v>
      </c>
      <c r="J422" s="273"/>
      <c r="K422" s="273"/>
      <c r="L422" s="273"/>
      <c r="M422" s="273"/>
      <c r="N422" s="273"/>
      <c r="O422" s="273"/>
      <c r="P422" s="273"/>
      <c r="Q422" s="273"/>
      <c r="R422" s="273"/>
      <c r="S422" s="273"/>
      <c r="T422" s="273"/>
      <c r="U422" s="273"/>
      <c r="V422" s="273"/>
      <c r="W422" s="273"/>
      <c r="X422" s="273"/>
      <c r="Y422" s="274" t="n">
        <f aca="false">SUM(B422:X422)</f>
        <v>-395.241</v>
      </c>
      <c r="Z422" s="272"/>
      <c r="AA422" s="275"/>
    </row>
    <row r="423" customFormat="false" ht="14.25" hidden="false" customHeight="false" outlineLevel="0" collapsed="false">
      <c r="A423" s="272" t="s">
        <v>678</v>
      </c>
      <c r="B423" s="273"/>
      <c r="C423" s="273"/>
      <c r="D423" s="273" t="n">
        <v>147.3615</v>
      </c>
      <c r="E423" s="273"/>
      <c r="F423" s="273"/>
      <c r="G423" s="273"/>
      <c r="H423" s="273"/>
      <c r="I423" s="273" t="n">
        <v>-51.33</v>
      </c>
      <c r="J423" s="273"/>
      <c r="K423" s="273"/>
      <c r="L423" s="273"/>
      <c r="M423" s="273"/>
      <c r="N423" s="273"/>
      <c r="O423" s="273"/>
      <c r="P423" s="273"/>
      <c r="Q423" s="273"/>
      <c r="R423" s="273"/>
      <c r="S423" s="273"/>
      <c r="T423" s="273"/>
      <c r="U423" s="273"/>
      <c r="V423" s="273"/>
      <c r="W423" s="273"/>
      <c r="X423" s="273"/>
      <c r="Y423" s="274" t="n">
        <f aca="false">SUM(B423:X423)</f>
        <v>96.0315</v>
      </c>
      <c r="Z423" s="272"/>
      <c r="AA423" s="275"/>
    </row>
    <row r="424" customFormat="false" ht="14.25" hidden="false" customHeight="false" outlineLevel="0" collapsed="false">
      <c r="A424" s="272" t="s">
        <v>635</v>
      </c>
      <c r="B424" s="273"/>
      <c r="C424" s="273"/>
      <c r="D424" s="273" t="n">
        <v>333.665</v>
      </c>
      <c r="E424" s="273" t="n">
        <v>-1238.0595</v>
      </c>
      <c r="F424" s="273"/>
      <c r="G424" s="273"/>
      <c r="H424" s="273"/>
      <c r="I424" s="273"/>
      <c r="J424" s="273"/>
      <c r="K424" s="273"/>
      <c r="L424" s="273"/>
      <c r="M424" s="273"/>
      <c r="N424" s="273"/>
      <c r="O424" s="273"/>
      <c r="P424" s="273"/>
      <c r="Q424" s="273"/>
      <c r="R424" s="273"/>
      <c r="S424" s="273"/>
      <c r="T424" s="273"/>
      <c r="U424" s="273"/>
      <c r="V424" s="273"/>
      <c r="W424" s="273"/>
      <c r="X424" s="273"/>
      <c r="Y424" s="274" t="n">
        <f aca="false">SUM(B424:X424)</f>
        <v>-904.3945</v>
      </c>
      <c r="Z424" s="272"/>
      <c r="AA424" s="275"/>
    </row>
    <row r="425" customFormat="false" ht="14.25" hidden="false" customHeight="false" outlineLevel="0" collapsed="false">
      <c r="A425" s="272" t="s">
        <v>679</v>
      </c>
      <c r="B425" s="273"/>
      <c r="C425" s="273" t="n">
        <v>-115.9875</v>
      </c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 t="n">
        <v>-168.342</v>
      </c>
      <c r="O425" s="273"/>
      <c r="P425" s="273" t="n">
        <v>-299.826</v>
      </c>
      <c r="Q425" s="273"/>
      <c r="R425" s="273"/>
      <c r="S425" s="273"/>
      <c r="T425" s="273"/>
      <c r="U425" s="273"/>
      <c r="V425" s="273"/>
      <c r="W425" s="273"/>
      <c r="X425" s="273"/>
      <c r="Y425" s="274" t="n">
        <f aca="false">SUM(B425:X425)</f>
        <v>-584.1555</v>
      </c>
      <c r="Z425" s="272"/>
      <c r="AA425" s="275"/>
    </row>
    <row r="426" customFormat="false" ht="14.25" hidden="false" customHeight="false" outlineLevel="0" collapsed="false">
      <c r="A426" s="272" t="s">
        <v>680</v>
      </c>
      <c r="B426" s="273"/>
      <c r="C426" s="273"/>
      <c r="D426" s="273"/>
      <c r="E426" s="273" t="n">
        <v>945.185</v>
      </c>
      <c r="F426" s="273"/>
      <c r="G426" s="273"/>
      <c r="H426" s="273"/>
      <c r="I426" s="273"/>
      <c r="J426" s="273"/>
      <c r="K426" s="273"/>
      <c r="L426" s="273"/>
      <c r="M426" s="273"/>
      <c r="N426" s="273"/>
      <c r="O426" s="273"/>
      <c r="P426" s="273" t="n">
        <v>-72.824</v>
      </c>
      <c r="Q426" s="273"/>
      <c r="R426" s="273"/>
      <c r="S426" s="273"/>
      <c r="T426" s="273"/>
      <c r="U426" s="273"/>
      <c r="V426" s="273"/>
      <c r="W426" s="273"/>
      <c r="X426" s="273"/>
      <c r="Y426" s="274" t="n">
        <f aca="false">SUM(B426:X426)</f>
        <v>872.361</v>
      </c>
      <c r="Z426" s="272"/>
      <c r="AA426" s="275"/>
    </row>
    <row r="427" customFormat="false" ht="14.25" hidden="false" customHeight="false" outlineLevel="0" collapsed="false">
      <c r="A427" s="272" t="s">
        <v>681</v>
      </c>
      <c r="B427" s="273" t="n">
        <v>-3.624</v>
      </c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3"/>
      <c r="P427" s="273"/>
      <c r="Q427" s="273"/>
      <c r="R427" s="273"/>
      <c r="S427" s="273"/>
      <c r="T427" s="273"/>
      <c r="U427" s="273"/>
      <c r="V427" s="273"/>
      <c r="W427" s="273"/>
      <c r="X427" s="273"/>
      <c r="Y427" s="274" t="n">
        <f aca="false">SUM(B427:X427)</f>
        <v>-3.624</v>
      </c>
      <c r="Z427" s="272"/>
      <c r="AA427" s="275"/>
    </row>
    <row r="428" customFormat="false" ht="14.25" hidden="false" customHeight="false" outlineLevel="0" collapsed="false">
      <c r="A428" s="272" t="s">
        <v>670</v>
      </c>
      <c r="B428" s="273"/>
      <c r="C428" s="273"/>
      <c r="D428" s="273"/>
      <c r="E428" s="273"/>
      <c r="F428" s="273"/>
      <c r="G428" s="273"/>
      <c r="H428" s="273"/>
      <c r="I428" s="273"/>
      <c r="J428" s="273" t="n">
        <v>7211.7</v>
      </c>
      <c r="K428" s="273"/>
      <c r="L428" s="273"/>
      <c r="M428" s="273"/>
      <c r="N428" s="273"/>
      <c r="O428" s="273"/>
      <c r="P428" s="273"/>
      <c r="Q428" s="273"/>
      <c r="R428" s="273"/>
      <c r="S428" s="273"/>
      <c r="T428" s="273"/>
      <c r="U428" s="273"/>
      <c r="V428" s="273"/>
      <c r="W428" s="273"/>
      <c r="X428" s="273"/>
      <c r="Y428" s="274" t="n">
        <f aca="false">SUM(B428:X428)</f>
        <v>7211.7</v>
      </c>
      <c r="Z428" s="272"/>
      <c r="AA428" s="275"/>
    </row>
    <row r="429" customFormat="false" ht="14.25" hidden="false" customHeight="false" outlineLevel="0" collapsed="false">
      <c r="A429" s="272" t="s">
        <v>621</v>
      </c>
      <c r="B429" s="273"/>
      <c r="C429" s="273"/>
      <c r="D429" s="273" t="n">
        <v>960.984</v>
      </c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3"/>
      <c r="P429" s="273"/>
      <c r="Q429" s="273"/>
      <c r="R429" s="273"/>
      <c r="S429" s="273"/>
      <c r="T429" s="273"/>
      <c r="U429" s="273"/>
      <c r="V429" s="273"/>
      <c r="W429" s="273"/>
      <c r="X429" s="273"/>
      <c r="Y429" s="274" t="n">
        <f aca="false">SUM(B429:X429)</f>
        <v>960.984</v>
      </c>
      <c r="Z429" s="272"/>
      <c r="AA429" s="275"/>
    </row>
    <row r="430" customFormat="false" ht="14.25" hidden="false" customHeight="false" outlineLevel="0" collapsed="false">
      <c r="A430" s="272" t="s">
        <v>682</v>
      </c>
      <c r="B430" s="273"/>
      <c r="C430" s="273"/>
      <c r="D430" s="273" t="n">
        <v>3563.649</v>
      </c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3"/>
      <c r="P430" s="273"/>
      <c r="Q430" s="273"/>
      <c r="R430" s="273"/>
      <c r="S430" s="273"/>
      <c r="T430" s="273"/>
      <c r="U430" s="273"/>
      <c r="V430" s="273"/>
      <c r="W430" s="273"/>
      <c r="X430" s="273"/>
      <c r="Y430" s="274" t="n">
        <f aca="false">SUM(B430:X430)</f>
        <v>3563.649</v>
      </c>
      <c r="Z430" s="272"/>
      <c r="AA430" s="275"/>
    </row>
    <row r="431" customFormat="false" ht="14.25" hidden="false" customHeight="false" outlineLevel="0" collapsed="false">
      <c r="A431" s="272" t="s">
        <v>683</v>
      </c>
      <c r="B431" s="273"/>
      <c r="C431" s="273"/>
      <c r="D431" s="273" t="n">
        <v>51273.3725</v>
      </c>
      <c r="E431" s="273"/>
      <c r="F431" s="273"/>
      <c r="G431" s="273"/>
      <c r="H431" s="273"/>
      <c r="I431" s="273"/>
      <c r="J431" s="273"/>
      <c r="K431" s="273"/>
      <c r="L431" s="273"/>
      <c r="M431" s="273"/>
      <c r="N431" s="273" t="n">
        <v>-40801.391</v>
      </c>
      <c r="O431" s="273"/>
      <c r="P431" s="273"/>
      <c r="Q431" s="273"/>
      <c r="R431" s="273"/>
      <c r="S431" s="273"/>
      <c r="T431" s="273"/>
      <c r="U431" s="273"/>
      <c r="V431" s="273"/>
      <c r="W431" s="273"/>
      <c r="X431" s="273"/>
      <c r="Y431" s="274" t="n">
        <f aca="false">SUM(B431:X431)</f>
        <v>10471.9815</v>
      </c>
      <c r="Z431" s="272"/>
      <c r="AA431" s="275"/>
    </row>
    <row r="432" customFormat="false" ht="14.25" hidden="false" customHeight="false" outlineLevel="0" collapsed="false">
      <c r="A432" s="272" t="s">
        <v>684</v>
      </c>
      <c r="B432" s="273" t="n">
        <v>-1750.7295</v>
      </c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3"/>
      <c r="P432" s="273"/>
      <c r="Q432" s="273"/>
      <c r="R432" s="273"/>
      <c r="S432" s="273"/>
      <c r="T432" s="273"/>
      <c r="U432" s="273"/>
      <c r="V432" s="273"/>
      <c r="W432" s="273"/>
      <c r="X432" s="273"/>
      <c r="Y432" s="274" t="n">
        <f aca="false">SUM(B432:X432)</f>
        <v>-1750.7295</v>
      </c>
      <c r="Z432" s="272"/>
      <c r="AA432" s="275"/>
    </row>
    <row r="433" customFormat="false" ht="14.25" hidden="false" customHeight="false" outlineLevel="0" collapsed="false">
      <c r="A433" s="272" t="s">
        <v>685</v>
      </c>
      <c r="B433" s="273" t="n">
        <v>-173.952</v>
      </c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3"/>
      <c r="P433" s="273"/>
      <c r="Q433" s="273"/>
      <c r="R433" s="273"/>
      <c r="S433" s="273"/>
      <c r="T433" s="273"/>
      <c r="U433" s="273"/>
      <c r="V433" s="273"/>
      <c r="W433" s="273"/>
      <c r="X433" s="273"/>
      <c r="Y433" s="274" t="n">
        <f aca="false">SUM(B433:X433)</f>
        <v>-173.952</v>
      </c>
      <c r="Z433" s="272"/>
      <c r="AA433" s="275"/>
    </row>
    <row r="434" customFormat="false" ht="14.25" hidden="false" customHeight="false" outlineLevel="0" collapsed="false">
      <c r="A434" s="272" t="s">
        <v>686</v>
      </c>
      <c r="B434" s="273"/>
      <c r="C434" s="273"/>
      <c r="D434" s="273" t="n">
        <v>464.412</v>
      </c>
      <c r="E434" s="273"/>
      <c r="F434" s="273" t="n">
        <v>-979.8142</v>
      </c>
      <c r="G434" s="273"/>
      <c r="H434" s="273"/>
      <c r="I434" s="273"/>
      <c r="J434" s="273"/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3"/>
      <c r="X434" s="273"/>
      <c r="Y434" s="274" t="n">
        <f aca="false">SUM(B434:X434)</f>
        <v>-515.4022</v>
      </c>
      <c r="Z434" s="272"/>
      <c r="AA434" s="275"/>
    </row>
    <row r="435" customFormat="false" ht="14.25" hidden="false" customHeight="false" outlineLevel="0" collapsed="false">
      <c r="A435" s="272" t="s">
        <v>687</v>
      </c>
      <c r="B435" s="273"/>
      <c r="C435" s="273"/>
      <c r="D435" s="273"/>
      <c r="E435" s="273"/>
      <c r="F435" s="273"/>
      <c r="G435" s="273"/>
      <c r="H435" s="273"/>
      <c r="I435" s="273" t="n">
        <v>-61.596</v>
      </c>
      <c r="J435" s="273"/>
      <c r="K435" s="273"/>
      <c r="L435" s="273"/>
      <c r="M435" s="273"/>
      <c r="N435" s="273"/>
      <c r="O435" s="273"/>
      <c r="P435" s="273"/>
      <c r="Q435" s="273"/>
      <c r="R435" s="273"/>
      <c r="S435" s="273"/>
      <c r="T435" s="273"/>
      <c r="U435" s="273"/>
      <c r="V435" s="273"/>
      <c r="W435" s="273"/>
      <c r="X435" s="273"/>
      <c r="Y435" s="274" t="n">
        <f aca="false">SUM(B435:X435)</f>
        <v>-61.596</v>
      </c>
      <c r="Z435" s="272"/>
      <c r="AA435" s="275"/>
    </row>
    <row r="436" customFormat="false" ht="14.25" hidden="false" customHeight="false" outlineLevel="0" collapsed="false">
      <c r="A436" s="272" t="s">
        <v>688</v>
      </c>
      <c r="B436" s="273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 t="n">
        <v>-1445.91</v>
      </c>
      <c r="M436" s="273"/>
      <c r="N436" s="273"/>
      <c r="O436" s="273"/>
      <c r="P436" s="273"/>
      <c r="Q436" s="273"/>
      <c r="R436" s="273"/>
      <c r="S436" s="273"/>
      <c r="T436" s="273"/>
      <c r="U436" s="273"/>
      <c r="V436" s="273"/>
      <c r="W436" s="273"/>
      <c r="X436" s="273"/>
      <c r="Y436" s="274" t="n">
        <f aca="false">SUM(B436:X436)</f>
        <v>-1445.91</v>
      </c>
      <c r="Z436" s="272"/>
      <c r="AA436" s="275"/>
    </row>
    <row r="437" customFormat="false" ht="14.25" hidden="false" customHeight="false" outlineLevel="0" collapsed="false">
      <c r="A437" s="272" t="s">
        <v>385</v>
      </c>
      <c r="B437" s="273"/>
      <c r="C437" s="273"/>
      <c r="D437" s="273"/>
      <c r="E437" s="273"/>
      <c r="F437" s="273" t="n">
        <v>-12908.3955</v>
      </c>
      <c r="G437" s="273"/>
      <c r="H437" s="273"/>
      <c r="I437" s="273"/>
      <c r="J437" s="273"/>
      <c r="K437" s="273"/>
      <c r="L437" s="273"/>
      <c r="M437" s="273"/>
      <c r="N437" s="273"/>
      <c r="O437" s="273"/>
      <c r="P437" s="273"/>
      <c r="Q437" s="273"/>
      <c r="R437" s="273"/>
      <c r="S437" s="273"/>
      <c r="T437" s="273"/>
      <c r="U437" s="273"/>
      <c r="V437" s="273"/>
      <c r="W437" s="273"/>
      <c r="X437" s="273"/>
      <c r="Y437" s="274" t="n">
        <f aca="false">SUM(B437:X437)</f>
        <v>-12908.3955</v>
      </c>
      <c r="Z437" s="272"/>
      <c r="AA437" s="275"/>
    </row>
    <row r="438" customFormat="false" ht="14.25" hidden="false" customHeight="false" outlineLevel="0" collapsed="false">
      <c r="A438" s="272" t="s">
        <v>689</v>
      </c>
      <c r="B438" s="273"/>
      <c r="C438" s="273"/>
      <c r="D438" s="273"/>
      <c r="E438" s="273"/>
      <c r="F438" s="273" t="n">
        <v>-12534</v>
      </c>
      <c r="G438" s="273"/>
      <c r="H438" s="273"/>
      <c r="I438" s="273"/>
      <c r="J438" s="273"/>
      <c r="K438" s="273"/>
      <c r="L438" s="273"/>
      <c r="M438" s="273"/>
      <c r="N438" s="273"/>
      <c r="O438" s="273"/>
      <c r="P438" s="273"/>
      <c r="Q438" s="273"/>
      <c r="R438" s="273"/>
      <c r="S438" s="273"/>
      <c r="T438" s="273"/>
      <c r="U438" s="273"/>
      <c r="V438" s="273"/>
      <c r="W438" s="273"/>
      <c r="X438" s="273"/>
      <c r="Y438" s="274" t="n">
        <f aca="false">SUM(B438:X438)</f>
        <v>-12534</v>
      </c>
      <c r="Z438" s="272"/>
      <c r="AA438" s="275"/>
    </row>
    <row r="439" customFormat="false" ht="14.25" hidden="false" customHeight="false" outlineLevel="0" collapsed="false">
      <c r="A439" s="272" t="s">
        <v>690</v>
      </c>
      <c r="B439" s="273" t="n">
        <v>-21.74</v>
      </c>
      <c r="C439" s="273" t="n">
        <v>180.828</v>
      </c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 t="n">
        <v>-12782.163</v>
      </c>
      <c r="O439" s="273"/>
      <c r="P439" s="273"/>
      <c r="Q439" s="273"/>
      <c r="R439" s="273"/>
      <c r="S439" s="273"/>
      <c r="T439" s="273"/>
      <c r="U439" s="273"/>
      <c r="V439" s="273"/>
      <c r="W439" s="273"/>
      <c r="X439" s="273"/>
      <c r="Y439" s="274" t="n">
        <f aca="false">SUM(B439:X439)</f>
        <v>-12623.075</v>
      </c>
      <c r="Z439" s="272"/>
      <c r="AA439" s="275"/>
    </row>
    <row r="440" customFormat="false" ht="14.25" hidden="false" customHeight="false" outlineLevel="0" collapsed="false">
      <c r="A440" s="272" t="s">
        <v>691</v>
      </c>
      <c r="B440" s="273" t="n">
        <v>-141.336</v>
      </c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3"/>
      <c r="P440" s="273"/>
      <c r="Q440" s="273"/>
      <c r="R440" s="273"/>
      <c r="S440" s="273"/>
      <c r="T440" s="273"/>
      <c r="U440" s="273"/>
      <c r="V440" s="273"/>
      <c r="W440" s="273"/>
      <c r="X440" s="273"/>
      <c r="Y440" s="274" t="n">
        <f aca="false">SUM(B440:X440)</f>
        <v>-141.336</v>
      </c>
      <c r="Z440" s="272"/>
      <c r="AA440" s="275"/>
    </row>
    <row r="441" customFormat="false" ht="14.25" hidden="false" customHeight="false" outlineLevel="0" collapsed="false">
      <c r="A441" s="272" t="s">
        <v>572</v>
      </c>
      <c r="B441" s="273"/>
      <c r="C441" s="273"/>
      <c r="D441" s="273"/>
      <c r="E441" s="273"/>
      <c r="F441" s="273" t="n">
        <v>-827.244</v>
      </c>
      <c r="G441" s="273"/>
      <c r="H441" s="273"/>
      <c r="I441" s="273"/>
      <c r="J441" s="273"/>
      <c r="K441" s="273"/>
      <c r="L441" s="273"/>
      <c r="M441" s="273"/>
      <c r="N441" s="273"/>
      <c r="O441" s="273"/>
      <c r="P441" s="273"/>
      <c r="Q441" s="273"/>
      <c r="R441" s="273"/>
      <c r="S441" s="273"/>
      <c r="T441" s="273"/>
      <c r="U441" s="273"/>
      <c r="V441" s="273"/>
      <c r="W441" s="273"/>
      <c r="X441" s="273"/>
      <c r="Y441" s="274" t="n">
        <f aca="false">SUM(B441:X441)</f>
        <v>-827.244</v>
      </c>
      <c r="Z441" s="272"/>
      <c r="AA441" s="275"/>
    </row>
    <row r="442" customFormat="false" ht="14.25" hidden="false" customHeight="false" outlineLevel="0" collapsed="false">
      <c r="A442" s="272" t="s">
        <v>692</v>
      </c>
      <c r="B442" s="273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 t="n">
        <v>-144.591</v>
      </c>
      <c r="M442" s="273" t="n">
        <v>-136.35</v>
      </c>
      <c r="N442" s="273"/>
      <c r="O442" s="273"/>
      <c r="P442" s="273" t="n">
        <v>-138.645</v>
      </c>
      <c r="Q442" s="273"/>
      <c r="R442" s="273"/>
      <c r="S442" s="273"/>
      <c r="T442" s="273"/>
      <c r="U442" s="273"/>
      <c r="V442" s="273"/>
      <c r="W442" s="273"/>
      <c r="X442" s="273"/>
      <c r="Y442" s="274" t="n">
        <f aca="false">SUM(B442:X442)</f>
        <v>-419.586</v>
      </c>
      <c r="Z442" s="272"/>
      <c r="AA442" s="275"/>
    </row>
    <row r="443" customFormat="false" ht="14.25" hidden="false" customHeight="false" outlineLevel="0" collapsed="false">
      <c r="A443" s="272" t="s">
        <v>693</v>
      </c>
      <c r="B443" s="273"/>
      <c r="C443" s="273"/>
      <c r="D443" s="273"/>
      <c r="E443" s="273"/>
      <c r="F443" s="273" t="n">
        <v>-26.6535</v>
      </c>
      <c r="G443" s="273"/>
      <c r="H443" s="273"/>
      <c r="I443" s="273"/>
      <c r="J443" s="273"/>
      <c r="K443" s="273"/>
      <c r="L443" s="273"/>
      <c r="M443" s="273"/>
      <c r="N443" s="273"/>
      <c r="O443" s="273"/>
      <c r="P443" s="273"/>
      <c r="Q443" s="273"/>
      <c r="R443" s="273"/>
      <c r="S443" s="273"/>
      <c r="T443" s="273"/>
      <c r="U443" s="273"/>
      <c r="V443" s="273"/>
      <c r="W443" s="273"/>
      <c r="X443" s="273"/>
      <c r="Y443" s="274" t="n">
        <f aca="false">SUM(B443:X443)</f>
        <v>-26.6535</v>
      </c>
      <c r="Z443" s="272"/>
      <c r="AA443" s="275"/>
    </row>
    <row r="444" customFormat="false" ht="14.25" hidden="false" customHeight="false" outlineLevel="0" collapsed="false">
      <c r="A444" s="272" t="s">
        <v>652</v>
      </c>
      <c r="B444" s="273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 t="n">
        <v>-16645.9095</v>
      </c>
      <c r="O444" s="273"/>
      <c r="P444" s="273"/>
      <c r="Q444" s="273"/>
      <c r="R444" s="273"/>
      <c r="S444" s="273"/>
      <c r="T444" s="273"/>
      <c r="U444" s="273"/>
      <c r="V444" s="273"/>
      <c r="W444" s="273"/>
      <c r="X444" s="273"/>
      <c r="Y444" s="274" t="n">
        <f aca="false">SUM(B444:X444)</f>
        <v>-16645.9095</v>
      </c>
      <c r="Z444" s="272"/>
      <c r="AA444" s="275"/>
    </row>
    <row r="445" customFormat="false" ht="14.25" hidden="false" customHeight="false" outlineLevel="0" collapsed="false">
      <c r="A445" s="272" t="s">
        <v>694</v>
      </c>
      <c r="B445" s="273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 t="n">
        <v>-319.548</v>
      </c>
      <c r="M445" s="273"/>
      <c r="N445" s="273"/>
      <c r="O445" s="273"/>
      <c r="P445" s="273"/>
      <c r="Q445" s="273"/>
      <c r="R445" s="273"/>
      <c r="S445" s="273"/>
      <c r="T445" s="273"/>
      <c r="U445" s="273"/>
      <c r="V445" s="273"/>
      <c r="W445" s="273"/>
      <c r="X445" s="273"/>
      <c r="Y445" s="274" t="n">
        <f aca="false">SUM(B445:X445)</f>
        <v>-319.548</v>
      </c>
      <c r="Z445" s="272"/>
      <c r="AA445" s="275"/>
    </row>
    <row r="446" customFormat="false" ht="14.25" hidden="false" customHeight="false" outlineLevel="0" collapsed="false">
      <c r="A446" s="272" t="s">
        <v>695</v>
      </c>
      <c r="B446" s="273"/>
      <c r="C446" s="273"/>
      <c r="D446" s="273"/>
      <c r="E446" s="273"/>
      <c r="F446" s="273"/>
      <c r="G446" s="273"/>
      <c r="H446" s="273"/>
      <c r="I446" s="273"/>
      <c r="J446" s="273" t="n">
        <v>-23739.12</v>
      </c>
      <c r="K446" s="273"/>
      <c r="L446" s="273"/>
      <c r="M446" s="273"/>
      <c r="N446" s="273"/>
      <c r="O446" s="273"/>
      <c r="P446" s="273"/>
      <c r="Q446" s="273"/>
      <c r="R446" s="273"/>
      <c r="S446" s="273"/>
      <c r="T446" s="273"/>
      <c r="U446" s="273"/>
      <c r="V446" s="273"/>
      <c r="W446" s="273"/>
      <c r="X446" s="273"/>
      <c r="Y446" s="274" t="n">
        <f aca="false">SUM(B446:X446)</f>
        <v>-23739.12</v>
      </c>
      <c r="Z446" s="272"/>
      <c r="AA446" s="275"/>
    </row>
    <row r="447" customFormat="false" ht="14.25" hidden="false" customHeight="false" outlineLevel="0" collapsed="false">
      <c r="A447" s="272" t="s">
        <v>696</v>
      </c>
      <c r="B447" s="273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 t="n">
        <v>-229.2825</v>
      </c>
      <c r="O447" s="273"/>
      <c r="P447" s="273"/>
      <c r="Q447" s="273"/>
      <c r="R447" s="273"/>
      <c r="S447" s="273"/>
      <c r="T447" s="273"/>
      <c r="U447" s="273"/>
      <c r="V447" s="273"/>
      <c r="W447" s="273"/>
      <c r="X447" s="273"/>
      <c r="Y447" s="274" t="n">
        <f aca="false">SUM(B447:X447)</f>
        <v>-229.2825</v>
      </c>
      <c r="Z447" s="272"/>
      <c r="AA447" s="275"/>
    </row>
    <row r="448" customFormat="false" ht="14.25" hidden="false" customHeight="false" outlineLevel="0" collapsed="false">
      <c r="A448" s="272" t="s">
        <v>697</v>
      </c>
      <c r="B448" s="273" t="n">
        <v>-4779.4</v>
      </c>
      <c r="C448" s="273"/>
      <c r="D448" s="273"/>
      <c r="E448" s="273"/>
      <c r="F448" s="273"/>
      <c r="G448" s="273"/>
      <c r="H448" s="273" t="n">
        <v>-1364.625</v>
      </c>
      <c r="I448" s="273"/>
      <c r="J448" s="273" t="n">
        <v>-296739</v>
      </c>
      <c r="K448" s="273"/>
      <c r="L448" s="273" t="n">
        <v>-7229.55</v>
      </c>
      <c r="M448" s="273"/>
      <c r="N448" s="273" t="n">
        <v>-5502.78</v>
      </c>
      <c r="O448" s="273"/>
      <c r="P448" s="273"/>
      <c r="Q448" s="273"/>
      <c r="R448" s="273"/>
      <c r="S448" s="273"/>
      <c r="T448" s="273"/>
      <c r="U448" s="273"/>
      <c r="V448" s="273"/>
      <c r="W448" s="273"/>
      <c r="X448" s="273"/>
      <c r="Y448" s="274" t="n">
        <f aca="false">SUM(B448:X448)</f>
        <v>-315615.355</v>
      </c>
      <c r="Z448" s="272"/>
      <c r="AA448" s="275"/>
    </row>
    <row r="449" customFormat="false" ht="14.25" hidden="false" customHeight="false" outlineLevel="0" collapsed="false">
      <c r="A449" s="272" t="s">
        <v>698</v>
      </c>
      <c r="B449" s="273"/>
      <c r="C449" s="273"/>
      <c r="D449" s="273"/>
      <c r="E449" s="273"/>
      <c r="F449" s="273" t="n">
        <v>-4298.5</v>
      </c>
      <c r="G449" s="273"/>
      <c r="H449" s="273"/>
      <c r="I449" s="273"/>
      <c r="J449" s="273" t="n">
        <v>-113.48</v>
      </c>
      <c r="K449" s="273"/>
      <c r="L449" s="273"/>
      <c r="M449" s="273"/>
      <c r="N449" s="273" t="n">
        <v>-1041.301</v>
      </c>
      <c r="O449" s="273"/>
      <c r="P449" s="273"/>
      <c r="Q449" s="273"/>
      <c r="R449" s="273"/>
      <c r="S449" s="273"/>
      <c r="T449" s="273"/>
      <c r="U449" s="273"/>
      <c r="V449" s="273"/>
      <c r="W449" s="273"/>
      <c r="X449" s="273"/>
      <c r="Y449" s="274" t="n">
        <f aca="false">SUM(B449:X449)</f>
        <v>-5453.281</v>
      </c>
      <c r="Z449" s="272"/>
      <c r="AA449" s="275"/>
    </row>
    <row r="450" customFormat="false" ht="14.25" hidden="false" customHeight="false" outlineLevel="0" collapsed="false">
      <c r="A450" s="272" t="s">
        <v>699</v>
      </c>
      <c r="B450" s="273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3"/>
      <c r="P450" s="273" t="n">
        <v>-693.225</v>
      </c>
      <c r="Q450" s="273"/>
      <c r="R450" s="273"/>
      <c r="S450" s="273"/>
      <c r="T450" s="273"/>
      <c r="U450" s="273"/>
      <c r="V450" s="273"/>
      <c r="W450" s="273"/>
      <c r="X450" s="273"/>
      <c r="Y450" s="274" t="n">
        <f aca="false">SUM(B450:X450)</f>
        <v>-693.225</v>
      </c>
      <c r="Z450" s="272"/>
      <c r="AA450" s="275"/>
    </row>
    <row r="451" customFormat="false" ht="14.25" hidden="false" customHeight="false" outlineLevel="0" collapsed="false">
      <c r="A451" s="272" t="s">
        <v>625</v>
      </c>
      <c r="B451" s="273"/>
      <c r="C451" s="273"/>
      <c r="D451" s="273" t="n">
        <v>-402.075</v>
      </c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3"/>
      <c r="P451" s="273"/>
      <c r="Q451" s="273"/>
      <c r="R451" s="273"/>
      <c r="S451" s="273"/>
      <c r="T451" s="273"/>
      <c r="U451" s="273"/>
      <c r="V451" s="273"/>
      <c r="W451" s="273"/>
      <c r="X451" s="273"/>
      <c r="Y451" s="274" t="n">
        <f aca="false">SUM(B451:X451)</f>
        <v>-402.075</v>
      </c>
      <c r="Z451" s="272"/>
      <c r="AA451" s="275"/>
    </row>
    <row r="452" customFormat="false" ht="14.25" hidden="false" customHeight="false" outlineLevel="0" collapsed="false">
      <c r="A452" s="272" t="s">
        <v>700</v>
      </c>
      <c r="B452" s="273"/>
      <c r="C452" s="273"/>
      <c r="D452" s="273"/>
      <c r="E452" s="273" t="n">
        <v>-203.2635</v>
      </c>
      <c r="F452" s="273"/>
      <c r="G452" s="273"/>
      <c r="H452" s="273"/>
      <c r="I452" s="273"/>
      <c r="J452" s="273"/>
      <c r="K452" s="273"/>
      <c r="L452" s="273"/>
      <c r="M452" s="273"/>
      <c r="N452" s="273"/>
      <c r="O452" s="273"/>
      <c r="P452" s="273"/>
      <c r="Q452" s="273"/>
      <c r="R452" s="273"/>
      <c r="S452" s="273"/>
      <c r="T452" s="273"/>
      <c r="U452" s="273"/>
      <c r="V452" s="273"/>
      <c r="W452" s="273"/>
      <c r="X452" s="273"/>
      <c r="Y452" s="274" t="n">
        <f aca="false">SUM(B452:X452)</f>
        <v>-203.2635</v>
      </c>
      <c r="Z452" s="272"/>
      <c r="AA452" s="275"/>
    </row>
    <row r="453" customFormat="false" ht="14.25" hidden="false" customHeight="false" outlineLevel="0" collapsed="false">
      <c r="A453" s="272" t="s">
        <v>544</v>
      </c>
      <c r="B453" s="273"/>
      <c r="C453" s="273"/>
      <c r="D453" s="273"/>
      <c r="E453" s="273" t="n">
        <v>-14.385</v>
      </c>
      <c r="F453" s="273"/>
      <c r="G453" s="273"/>
      <c r="H453" s="273"/>
      <c r="I453" s="273"/>
      <c r="J453" s="273"/>
      <c r="K453" s="273"/>
      <c r="L453" s="273"/>
      <c r="M453" s="273"/>
      <c r="N453" s="273"/>
      <c r="O453" s="273"/>
      <c r="P453" s="273"/>
      <c r="Q453" s="273"/>
      <c r="R453" s="273"/>
      <c r="S453" s="273"/>
      <c r="T453" s="273"/>
      <c r="U453" s="273"/>
      <c r="V453" s="273"/>
      <c r="W453" s="273"/>
      <c r="X453" s="273"/>
      <c r="Y453" s="274" t="n">
        <f aca="false">SUM(B453:X453)</f>
        <v>-14.385</v>
      </c>
      <c r="Z453" s="272"/>
      <c r="AA453" s="275"/>
    </row>
    <row r="454" customFormat="false" ht="14.25" hidden="false" customHeight="false" outlineLevel="0" collapsed="false">
      <c r="A454" s="272" t="s">
        <v>701</v>
      </c>
      <c r="B454" s="273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 t="n">
        <v>-1559.12</v>
      </c>
      <c r="O454" s="273"/>
      <c r="P454" s="273"/>
      <c r="Q454" s="273"/>
      <c r="R454" s="273"/>
      <c r="S454" s="273"/>
      <c r="T454" s="273"/>
      <c r="U454" s="273"/>
      <c r="V454" s="273"/>
      <c r="W454" s="273"/>
      <c r="X454" s="273"/>
      <c r="Y454" s="274" t="n">
        <f aca="false">SUM(B454:X454)</f>
        <v>-1559.12</v>
      </c>
      <c r="Z454" s="272"/>
      <c r="AA454" s="275"/>
    </row>
    <row r="455" customFormat="false" ht="14.25" hidden="false" customHeight="false" outlineLevel="0" collapsed="false">
      <c r="A455" s="272" t="s">
        <v>702</v>
      </c>
      <c r="B455" s="273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3"/>
      <c r="P455" s="273" t="n">
        <v>-138.645</v>
      </c>
      <c r="Q455" s="273"/>
      <c r="R455" s="273"/>
      <c r="S455" s="273"/>
      <c r="T455" s="273"/>
      <c r="U455" s="273"/>
      <c r="V455" s="273"/>
      <c r="W455" s="273"/>
      <c r="X455" s="273"/>
      <c r="Y455" s="274" t="n">
        <f aca="false">SUM(B455:X455)</f>
        <v>-138.645</v>
      </c>
      <c r="Z455" s="272"/>
      <c r="AA455" s="275"/>
    </row>
    <row r="456" customFormat="false" ht="14.25" hidden="false" customHeight="false" outlineLevel="0" collapsed="false">
      <c r="A456" s="272" t="s">
        <v>703</v>
      </c>
      <c r="B456" s="273"/>
      <c r="C456" s="273"/>
      <c r="D456" s="273"/>
      <c r="E456" s="273"/>
      <c r="F456" s="273"/>
      <c r="G456" s="273" t="n">
        <v>1.242</v>
      </c>
      <c r="H456" s="273"/>
      <c r="I456" s="273"/>
      <c r="J456" s="273"/>
      <c r="K456" s="273"/>
      <c r="L456" s="273"/>
      <c r="M456" s="273"/>
      <c r="N456" s="273"/>
      <c r="O456" s="273"/>
      <c r="P456" s="273"/>
      <c r="Q456" s="273"/>
      <c r="R456" s="273"/>
      <c r="S456" s="273"/>
      <c r="T456" s="273"/>
      <c r="U456" s="273"/>
      <c r="V456" s="273"/>
      <c r="W456" s="273"/>
      <c r="X456" s="273"/>
      <c r="Y456" s="274" t="n">
        <f aca="false">SUM(B456:X456)</f>
        <v>1.242</v>
      </c>
      <c r="Z456" s="272"/>
      <c r="AA456" s="275"/>
    </row>
    <row r="457" customFormat="false" ht="14.25" hidden="false" customHeight="false" outlineLevel="0" collapsed="false">
      <c r="A457" s="272" t="s">
        <v>704</v>
      </c>
      <c r="B457" s="273" t="n">
        <v>-89.854</v>
      </c>
      <c r="C457" s="273"/>
      <c r="D457" s="273" t="n">
        <v>-40.1235</v>
      </c>
      <c r="E457" s="273"/>
      <c r="F457" s="273" t="n">
        <v>-26.6535</v>
      </c>
      <c r="G457" s="273"/>
      <c r="H457" s="273"/>
      <c r="I457" s="273" t="n">
        <v>-2.5665</v>
      </c>
      <c r="J457" s="273" t="n">
        <v>36.0585</v>
      </c>
      <c r="K457" s="273"/>
      <c r="L457" s="273"/>
      <c r="M457" s="273"/>
      <c r="N457" s="273"/>
      <c r="O457" s="273"/>
      <c r="P457" s="273"/>
      <c r="Q457" s="273"/>
      <c r="R457" s="273"/>
      <c r="S457" s="273"/>
      <c r="T457" s="273"/>
      <c r="U457" s="273"/>
      <c r="V457" s="273"/>
      <c r="W457" s="273"/>
      <c r="X457" s="273"/>
      <c r="Y457" s="274" t="n">
        <f aca="false">SUM(B457:X457)</f>
        <v>-123.139</v>
      </c>
      <c r="Z457" s="272"/>
      <c r="AA457" s="275"/>
    </row>
    <row r="458" customFormat="false" ht="14.25" hidden="false" customHeight="false" outlineLevel="0" collapsed="false">
      <c r="A458" s="272" t="s">
        <v>385</v>
      </c>
      <c r="B458" s="273"/>
      <c r="C458" s="273"/>
      <c r="D458" s="273"/>
      <c r="E458" s="273"/>
      <c r="F458" s="273" t="n">
        <v>-13912.746</v>
      </c>
      <c r="G458" s="273"/>
      <c r="H458" s="273"/>
      <c r="I458" s="273"/>
      <c r="J458" s="273"/>
      <c r="K458" s="273"/>
      <c r="L458" s="273"/>
      <c r="M458" s="273"/>
      <c r="N458" s="273"/>
      <c r="O458" s="273"/>
      <c r="P458" s="273"/>
      <c r="Q458" s="273"/>
      <c r="R458" s="273"/>
      <c r="S458" s="273"/>
      <c r="T458" s="273"/>
      <c r="U458" s="273"/>
      <c r="V458" s="273"/>
      <c r="W458" s="273"/>
      <c r="X458" s="273"/>
      <c r="Y458" s="274" t="n">
        <f aca="false">SUM(B458:X458)</f>
        <v>-13912.746</v>
      </c>
      <c r="Z458" s="272"/>
      <c r="AA458" s="275"/>
    </row>
    <row r="459" customFormat="false" ht="14.25" hidden="false" customHeight="false" outlineLevel="0" collapsed="false">
      <c r="A459" s="272" t="s">
        <v>705</v>
      </c>
      <c r="B459" s="273"/>
      <c r="C459" s="273"/>
      <c r="D459" s="273"/>
      <c r="E459" s="273"/>
      <c r="F459" s="273"/>
      <c r="G459" s="273"/>
      <c r="H459" s="273" t="n">
        <v>-41.42</v>
      </c>
      <c r="I459" s="273"/>
      <c r="J459" s="273"/>
      <c r="K459" s="273"/>
      <c r="L459" s="273"/>
      <c r="M459" s="273"/>
      <c r="N459" s="273"/>
      <c r="O459" s="273"/>
      <c r="P459" s="273"/>
      <c r="Q459" s="273"/>
      <c r="R459" s="273"/>
      <c r="S459" s="273"/>
      <c r="T459" s="273"/>
      <c r="U459" s="273"/>
      <c r="V459" s="273"/>
      <c r="W459" s="273"/>
      <c r="X459" s="273"/>
      <c r="Y459" s="274" t="n">
        <f aca="false">SUM(B459:X459)</f>
        <v>-41.42</v>
      </c>
      <c r="Z459" s="272"/>
      <c r="AA459" s="275"/>
    </row>
    <row r="460" customFormat="false" ht="14.25" hidden="false" customHeight="false" outlineLevel="0" collapsed="false">
      <c r="A460" s="272" t="s">
        <v>706</v>
      </c>
      <c r="B460" s="273"/>
      <c r="C460" s="273"/>
      <c r="D460" s="273"/>
      <c r="E460" s="273"/>
      <c r="F460" s="273" t="n">
        <v>-5506.578</v>
      </c>
      <c r="G460" s="273" t="n">
        <v>-420</v>
      </c>
      <c r="H460" s="273"/>
      <c r="I460" s="273"/>
      <c r="J460" s="273"/>
      <c r="K460" s="273"/>
      <c r="L460" s="273"/>
      <c r="M460" s="273"/>
      <c r="N460" s="273"/>
      <c r="O460" s="273"/>
      <c r="P460" s="273"/>
      <c r="Q460" s="273"/>
      <c r="R460" s="273"/>
      <c r="S460" s="273"/>
      <c r="T460" s="273"/>
      <c r="U460" s="273"/>
      <c r="V460" s="273"/>
      <c r="W460" s="273"/>
      <c r="X460" s="273"/>
      <c r="Y460" s="274" t="n">
        <f aca="false">SUM(B460:X460)</f>
        <v>-5926.578</v>
      </c>
      <c r="Z460" s="272"/>
      <c r="AA460" s="275"/>
    </row>
    <row r="461" customFormat="false" ht="14.25" hidden="false" customHeight="false" outlineLevel="0" collapsed="false">
      <c r="A461" s="272" t="s">
        <v>707</v>
      </c>
      <c r="B461" s="273"/>
      <c r="C461" s="273" t="n">
        <v>-371.16</v>
      </c>
      <c r="D461" s="273"/>
      <c r="E461" s="273"/>
      <c r="F461" s="273"/>
      <c r="G461" s="273"/>
      <c r="H461" s="273" t="n">
        <v>-873.36</v>
      </c>
      <c r="I461" s="273"/>
      <c r="J461" s="273"/>
      <c r="K461" s="273"/>
      <c r="L461" s="273"/>
      <c r="M461" s="273"/>
      <c r="N461" s="273"/>
      <c r="O461" s="273"/>
      <c r="P461" s="273"/>
      <c r="Q461" s="273"/>
      <c r="R461" s="273"/>
      <c r="S461" s="273"/>
      <c r="T461" s="273"/>
      <c r="U461" s="273"/>
      <c r="V461" s="273"/>
      <c r="W461" s="273"/>
      <c r="X461" s="273"/>
      <c r="Y461" s="274" t="n">
        <f aca="false">SUM(B461:X461)</f>
        <v>-1244.52</v>
      </c>
      <c r="Z461" s="272"/>
      <c r="AA461" s="275"/>
    </row>
    <row r="462" customFormat="false" ht="14.25" hidden="false" customHeight="false" outlineLevel="0" collapsed="false">
      <c r="A462" s="272" t="s">
        <v>708</v>
      </c>
      <c r="B462" s="273"/>
      <c r="C462" s="273"/>
      <c r="D462" s="273"/>
      <c r="E462" s="273"/>
      <c r="F462" s="273"/>
      <c r="G462" s="273"/>
      <c r="H462" s="273" t="n">
        <v>-1391.9175</v>
      </c>
      <c r="I462" s="273" t="n">
        <v>-138.591</v>
      </c>
      <c r="J462" s="273"/>
      <c r="K462" s="273"/>
      <c r="L462" s="273"/>
      <c r="M462" s="273"/>
      <c r="N462" s="273"/>
      <c r="O462" s="273"/>
      <c r="P462" s="273"/>
      <c r="Q462" s="273"/>
      <c r="R462" s="273"/>
      <c r="S462" s="273"/>
      <c r="T462" s="273"/>
      <c r="U462" s="273"/>
      <c r="V462" s="273"/>
      <c r="W462" s="273"/>
      <c r="X462" s="273"/>
      <c r="Y462" s="274" t="n">
        <f aca="false">SUM(B462:X462)</f>
        <v>-1530.5085</v>
      </c>
      <c r="Z462" s="272"/>
      <c r="AA462" s="275"/>
    </row>
    <row r="463" customFormat="false" ht="14.25" hidden="false" customHeight="false" outlineLevel="0" collapsed="false">
      <c r="A463" s="272" t="s">
        <v>620</v>
      </c>
      <c r="B463" s="273"/>
      <c r="C463" s="273"/>
      <c r="D463" s="273"/>
      <c r="E463" s="273"/>
      <c r="F463" s="273"/>
      <c r="G463" s="273"/>
      <c r="H463" s="273" t="n">
        <v>-1282.7475</v>
      </c>
      <c r="I463" s="273"/>
      <c r="J463" s="273"/>
      <c r="K463" s="273"/>
      <c r="L463" s="273"/>
      <c r="M463" s="273"/>
      <c r="N463" s="273"/>
      <c r="O463" s="273"/>
      <c r="P463" s="273"/>
      <c r="Q463" s="273"/>
      <c r="R463" s="273"/>
      <c r="S463" s="273"/>
      <c r="T463" s="273"/>
      <c r="U463" s="273"/>
      <c r="V463" s="273"/>
      <c r="W463" s="273"/>
      <c r="X463" s="273"/>
      <c r="Y463" s="274" t="n">
        <f aca="false">SUM(B463:X463)</f>
        <v>-1282.7475</v>
      </c>
      <c r="Z463" s="272"/>
      <c r="AA463" s="275"/>
    </row>
    <row r="464" customFormat="false" ht="14.25" hidden="false" customHeight="false" outlineLevel="0" collapsed="false">
      <c r="A464" s="272" t="s">
        <v>621</v>
      </c>
      <c r="B464" s="273"/>
      <c r="C464" s="273"/>
      <c r="D464" s="273" t="n">
        <v>182.689</v>
      </c>
      <c r="E464" s="273"/>
      <c r="F464" s="273"/>
      <c r="G464" s="273"/>
      <c r="H464" s="273" t="n">
        <v>-545.85</v>
      </c>
      <c r="I464" s="273"/>
      <c r="J464" s="273"/>
      <c r="K464" s="273"/>
      <c r="L464" s="273"/>
      <c r="M464" s="273"/>
      <c r="N464" s="273"/>
      <c r="O464" s="273"/>
      <c r="P464" s="273"/>
      <c r="Q464" s="273"/>
      <c r="R464" s="273"/>
      <c r="S464" s="273"/>
      <c r="T464" s="273"/>
      <c r="U464" s="273"/>
      <c r="V464" s="273"/>
      <c r="W464" s="273"/>
      <c r="X464" s="273"/>
      <c r="Y464" s="274" t="n">
        <f aca="false">SUM(B464:X464)</f>
        <v>-363.161</v>
      </c>
      <c r="Z464" s="272"/>
      <c r="AA464" s="275"/>
    </row>
    <row r="465" customFormat="false" ht="14.25" hidden="false" customHeight="false" outlineLevel="0" collapsed="false">
      <c r="A465" s="272" t="s">
        <v>709</v>
      </c>
      <c r="B465" s="273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3"/>
      <c r="P465" s="273" t="n">
        <v>-4644.6075</v>
      </c>
      <c r="Q465" s="273"/>
      <c r="R465" s="273"/>
      <c r="S465" s="273"/>
      <c r="T465" s="273"/>
      <c r="U465" s="273"/>
      <c r="V465" s="273"/>
      <c r="W465" s="273"/>
      <c r="X465" s="273"/>
      <c r="Y465" s="274" t="n">
        <f aca="false">SUM(B465:X465)</f>
        <v>-4644.6075</v>
      </c>
      <c r="Z465" s="272"/>
      <c r="AA465" s="275"/>
    </row>
    <row r="466" customFormat="false" ht="14.25" hidden="false" customHeight="false" outlineLevel="0" collapsed="false">
      <c r="A466" s="272" t="s">
        <v>710</v>
      </c>
      <c r="B466" s="273"/>
      <c r="C466" s="273"/>
      <c r="D466" s="273"/>
      <c r="E466" s="273"/>
      <c r="F466" s="273"/>
      <c r="G466" s="273"/>
      <c r="H466" s="273"/>
      <c r="I466" s="273" t="n">
        <v>-76.995</v>
      </c>
      <c r="J466" s="273"/>
      <c r="K466" s="273"/>
      <c r="L466" s="273" t="n">
        <v>-7012.6635</v>
      </c>
      <c r="M466" s="273"/>
      <c r="N466" s="273"/>
      <c r="O466" s="273"/>
      <c r="P466" s="273"/>
      <c r="Q466" s="273"/>
      <c r="R466" s="273"/>
      <c r="S466" s="273"/>
      <c r="T466" s="273"/>
      <c r="U466" s="273"/>
      <c r="V466" s="273"/>
      <c r="W466" s="273"/>
      <c r="X466" s="273"/>
      <c r="Y466" s="274" t="n">
        <f aca="false">SUM(B466:X466)</f>
        <v>-7089.6585</v>
      </c>
      <c r="Z466" s="272"/>
      <c r="AA466" s="275"/>
    </row>
    <row r="467" customFormat="false" ht="14.25" hidden="false" customHeight="false" outlineLevel="0" collapsed="false">
      <c r="A467" s="272" t="s">
        <v>711</v>
      </c>
      <c r="B467" s="273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 t="n">
        <v>-5869.632</v>
      </c>
      <c r="O467" s="273"/>
      <c r="P467" s="273"/>
      <c r="Q467" s="273"/>
      <c r="R467" s="273"/>
      <c r="S467" s="273"/>
      <c r="T467" s="273"/>
      <c r="U467" s="273"/>
      <c r="V467" s="273"/>
      <c r="W467" s="273"/>
      <c r="X467" s="273"/>
      <c r="Y467" s="274" t="n">
        <f aca="false">SUM(B467:X467)</f>
        <v>-5869.632</v>
      </c>
      <c r="Z467" s="272"/>
      <c r="AA467" s="275"/>
    </row>
    <row r="468" customFormat="false" ht="14.25" hidden="false" customHeight="false" outlineLevel="0" collapsed="false">
      <c r="A468" s="272" t="s">
        <v>712</v>
      </c>
      <c r="B468" s="273"/>
      <c r="C468" s="273"/>
      <c r="D468" s="273"/>
      <c r="E468" s="273"/>
      <c r="F468" s="273" t="n">
        <v>-4264.56</v>
      </c>
      <c r="G468" s="273"/>
      <c r="H468" s="273"/>
      <c r="I468" s="273"/>
      <c r="J468" s="273"/>
      <c r="K468" s="273"/>
      <c r="L468" s="273"/>
      <c r="M468" s="273"/>
      <c r="N468" s="273"/>
      <c r="O468" s="273"/>
      <c r="P468" s="273"/>
      <c r="Q468" s="273"/>
      <c r="R468" s="273"/>
      <c r="S468" s="273"/>
      <c r="T468" s="273"/>
      <c r="U468" s="273"/>
      <c r="V468" s="273"/>
      <c r="W468" s="273"/>
      <c r="X468" s="273"/>
      <c r="Y468" s="274" t="n">
        <f aca="false">SUM(B468:X468)</f>
        <v>-4264.56</v>
      </c>
      <c r="Z468" s="272"/>
      <c r="AA468" s="275"/>
    </row>
    <row r="469" customFormat="false" ht="14.25" hidden="false" customHeight="false" outlineLevel="0" collapsed="false">
      <c r="A469" s="272" t="s">
        <v>713</v>
      </c>
      <c r="B469" s="273"/>
      <c r="C469" s="273"/>
      <c r="D469" s="273"/>
      <c r="E469" s="273"/>
      <c r="F469" s="273"/>
      <c r="G469" s="273"/>
      <c r="H469" s="273"/>
      <c r="I469" s="273" t="n">
        <v>8.748</v>
      </c>
      <c r="J469" s="273"/>
      <c r="K469" s="273"/>
      <c r="L469" s="273" t="n">
        <v>-144.591</v>
      </c>
      <c r="M469" s="273"/>
      <c r="N469" s="273"/>
      <c r="O469" s="273"/>
      <c r="P469" s="273"/>
      <c r="Q469" s="273"/>
      <c r="R469" s="273"/>
      <c r="S469" s="273"/>
      <c r="T469" s="273"/>
      <c r="U469" s="273"/>
      <c r="V469" s="273"/>
      <c r="W469" s="273"/>
      <c r="X469" s="273"/>
      <c r="Y469" s="274" t="n">
        <f aca="false">SUM(B469:X469)</f>
        <v>-135.843</v>
      </c>
      <c r="Z469" s="272"/>
      <c r="AA469" s="275"/>
    </row>
    <row r="470" customFormat="false" ht="14.25" hidden="false" customHeight="false" outlineLevel="0" collapsed="false">
      <c r="A470" s="272" t="s">
        <v>714</v>
      </c>
      <c r="B470" s="273"/>
      <c r="C470" s="273"/>
      <c r="D470" s="273"/>
      <c r="E470" s="273"/>
      <c r="F470" s="273" t="n">
        <v>-59939.8</v>
      </c>
      <c r="G470" s="273"/>
      <c r="H470" s="273"/>
      <c r="I470" s="273"/>
      <c r="J470" s="273"/>
      <c r="K470" s="273"/>
      <c r="L470" s="273"/>
      <c r="M470" s="273"/>
      <c r="N470" s="273"/>
      <c r="O470" s="273"/>
      <c r="P470" s="273"/>
      <c r="Q470" s="273"/>
      <c r="R470" s="273"/>
      <c r="S470" s="273"/>
      <c r="T470" s="273"/>
      <c r="U470" s="273"/>
      <c r="V470" s="273"/>
      <c r="W470" s="273"/>
      <c r="X470" s="273"/>
      <c r="Y470" s="274" t="n">
        <f aca="false">SUM(B470:X470)</f>
        <v>-59939.8</v>
      </c>
      <c r="Z470" s="272"/>
      <c r="AA470" s="275"/>
    </row>
    <row r="471" customFormat="false" ht="14.25" hidden="false" customHeight="false" outlineLevel="0" collapsed="false">
      <c r="A471" s="272" t="s">
        <v>501</v>
      </c>
      <c r="B471" s="273"/>
      <c r="C471" s="273"/>
      <c r="D471" s="273"/>
      <c r="E471" s="273"/>
      <c r="F471" s="273" t="n">
        <v>-7726.95</v>
      </c>
      <c r="G471" s="273"/>
      <c r="H471" s="273"/>
      <c r="I471" s="273"/>
      <c r="J471" s="273"/>
      <c r="K471" s="273"/>
      <c r="L471" s="273"/>
      <c r="M471" s="273"/>
      <c r="N471" s="273"/>
      <c r="O471" s="273"/>
      <c r="P471" s="273"/>
      <c r="Q471" s="273"/>
      <c r="R471" s="273"/>
      <c r="S471" s="273"/>
      <c r="T471" s="273"/>
      <c r="U471" s="273"/>
      <c r="V471" s="273"/>
      <c r="W471" s="273"/>
      <c r="X471" s="273"/>
      <c r="Y471" s="274" t="n">
        <f aca="false">SUM(B471:X471)</f>
        <v>-7726.95</v>
      </c>
      <c r="Z471" s="272"/>
      <c r="AA471" s="275"/>
    </row>
    <row r="472" customFormat="false" ht="14.25" hidden="false" customHeight="false" outlineLevel="0" collapsed="false">
      <c r="A472" s="272" t="s">
        <v>665</v>
      </c>
      <c r="B472" s="273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 t="n">
        <v>756</v>
      </c>
      <c r="O472" s="273"/>
      <c r="P472" s="273"/>
      <c r="Q472" s="273"/>
      <c r="R472" s="273"/>
      <c r="S472" s="273"/>
      <c r="T472" s="273"/>
      <c r="U472" s="273"/>
      <c r="V472" s="273"/>
      <c r="W472" s="273"/>
      <c r="X472" s="273"/>
      <c r="Y472" s="274" t="n">
        <f aca="false">SUM(B472:X472)</f>
        <v>756</v>
      </c>
      <c r="Z472" s="272"/>
      <c r="AA472" s="275"/>
    </row>
    <row r="473" customFormat="false" ht="14.25" hidden="false" customHeight="false" outlineLevel="0" collapsed="false">
      <c r="A473" s="272" t="s">
        <v>715</v>
      </c>
      <c r="B473" s="273" t="n">
        <v>-314.489</v>
      </c>
      <c r="C473" s="273"/>
      <c r="D473" s="273"/>
      <c r="E473" s="273"/>
      <c r="F473" s="273"/>
      <c r="G473" s="273"/>
      <c r="H473" s="273"/>
      <c r="I473" s="273"/>
      <c r="J473" s="273"/>
      <c r="K473" s="273"/>
      <c r="L473" s="273" t="n">
        <v>-361.4775</v>
      </c>
      <c r="M473" s="273"/>
      <c r="N473" s="273"/>
      <c r="O473" s="273"/>
      <c r="P473" s="273"/>
      <c r="Q473" s="273"/>
      <c r="R473" s="273"/>
      <c r="S473" s="273"/>
      <c r="T473" s="273"/>
      <c r="U473" s="273"/>
      <c r="V473" s="273"/>
      <c r="W473" s="273"/>
      <c r="X473" s="273"/>
      <c r="Y473" s="274" t="n">
        <f aca="false">SUM(B473:X473)</f>
        <v>-675.9665</v>
      </c>
      <c r="Z473" s="272"/>
      <c r="AA473" s="275"/>
    </row>
    <row r="474" customFormat="false" ht="14.25" hidden="false" customHeight="false" outlineLevel="0" collapsed="false">
      <c r="A474" s="272" t="s">
        <v>716</v>
      </c>
      <c r="B474" s="273"/>
      <c r="C474" s="273"/>
      <c r="D474" s="273"/>
      <c r="E474" s="273"/>
      <c r="F474" s="273" t="n">
        <v>-124441.68</v>
      </c>
      <c r="G474" s="273"/>
      <c r="H474" s="273"/>
      <c r="I474" s="273"/>
      <c r="J474" s="273"/>
      <c r="K474" s="273"/>
      <c r="L474" s="273"/>
      <c r="M474" s="273"/>
      <c r="N474" s="273"/>
      <c r="O474" s="273"/>
      <c r="P474" s="273"/>
      <c r="Q474" s="273"/>
      <c r="R474" s="273"/>
      <c r="S474" s="273"/>
      <c r="T474" s="273"/>
      <c r="U474" s="273"/>
      <c r="V474" s="273"/>
      <c r="W474" s="273"/>
      <c r="X474" s="273"/>
      <c r="Y474" s="274" t="n">
        <f aca="false">SUM(B474:X474)</f>
        <v>-124441.68</v>
      </c>
      <c r="Z474" s="272"/>
      <c r="AA474" s="275"/>
    </row>
    <row r="475" customFormat="false" ht="14.25" hidden="false" customHeight="false" outlineLevel="0" collapsed="false">
      <c r="A475" s="272" t="s">
        <v>716</v>
      </c>
      <c r="B475" s="273"/>
      <c r="C475" s="273"/>
      <c r="D475" s="273"/>
      <c r="E475" s="273"/>
      <c r="F475" s="273" t="n">
        <v>-197620.56</v>
      </c>
      <c r="G475" s="273"/>
      <c r="H475" s="273"/>
      <c r="I475" s="273"/>
      <c r="J475" s="273"/>
      <c r="K475" s="273"/>
      <c r="L475" s="273"/>
      <c r="M475" s="273"/>
      <c r="N475" s="273"/>
      <c r="O475" s="273"/>
      <c r="P475" s="273"/>
      <c r="Q475" s="273"/>
      <c r="R475" s="273"/>
      <c r="S475" s="273"/>
      <c r="T475" s="273"/>
      <c r="U475" s="273"/>
      <c r="V475" s="273"/>
      <c r="W475" s="273"/>
      <c r="X475" s="273"/>
      <c r="Y475" s="274" t="n">
        <f aca="false">SUM(B475:X475)</f>
        <v>-197620.56</v>
      </c>
      <c r="Z475" s="272"/>
      <c r="AA475" s="275"/>
    </row>
    <row r="476" customFormat="false" ht="14.25" hidden="false" customHeight="false" outlineLevel="0" collapsed="false">
      <c r="A476" s="272" t="s">
        <v>717</v>
      </c>
      <c r="B476" s="273"/>
      <c r="C476" s="273"/>
      <c r="D476" s="273"/>
      <c r="E476" s="273"/>
      <c r="F476" s="273"/>
      <c r="G476" s="273"/>
      <c r="H476" s="273"/>
      <c r="I476" s="273"/>
      <c r="J476" s="273" t="n">
        <v>-170.22</v>
      </c>
      <c r="K476" s="273"/>
      <c r="L476" s="273"/>
      <c r="M476" s="273"/>
      <c r="N476" s="273"/>
      <c r="O476" s="273"/>
      <c r="P476" s="273"/>
      <c r="Q476" s="273"/>
      <c r="R476" s="273"/>
      <c r="S476" s="273"/>
      <c r="T476" s="273"/>
      <c r="U476" s="273"/>
      <c r="V476" s="273"/>
      <c r="W476" s="273"/>
      <c r="X476" s="273"/>
      <c r="Y476" s="274" t="n">
        <f aca="false">SUM(B476:X476)</f>
        <v>-170.22</v>
      </c>
      <c r="Z476" s="272"/>
      <c r="AA476" s="275"/>
    </row>
    <row r="477" customFormat="false" ht="14.25" hidden="false" customHeight="false" outlineLevel="0" collapsed="false">
      <c r="A477" s="272" t="s">
        <v>718</v>
      </c>
      <c r="B477" s="273"/>
      <c r="C477" s="273"/>
      <c r="D477" s="273"/>
      <c r="E477" s="273" t="n">
        <v>145.8945</v>
      </c>
      <c r="F477" s="273"/>
      <c r="G477" s="273"/>
      <c r="H477" s="273"/>
      <c r="I477" s="273"/>
      <c r="J477" s="273"/>
      <c r="K477" s="273"/>
      <c r="L477" s="273" t="n">
        <v>-795.2505</v>
      </c>
      <c r="M477" s="273"/>
      <c r="N477" s="273"/>
      <c r="O477" s="273"/>
      <c r="P477" s="273"/>
      <c r="Q477" s="273"/>
      <c r="R477" s="273"/>
      <c r="S477" s="273"/>
      <c r="T477" s="273"/>
      <c r="U477" s="273"/>
      <c r="V477" s="273"/>
      <c r="W477" s="273"/>
      <c r="X477" s="273"/>
      <c r="Y477" s="274" t="n">
        <f aca="false">SUM(B477:X477)</f>
        <v>-649.356</v>
      </c>
      <c r="Z477" s="272"/>
      <c r="AA477" s="275"/>
    </row>
    <row r="478" customFormat="false" ht="14.25" hidden="false" customHeight="false" outlineLevel="0" collapsed="false">
      <c r="A478" s="272" t="s">
        <v>719</v>
      </c>
      <c r="B478" s="273"/>
      <c r="C478" s="273"/>
      <c r="D478" s="273"/>
      <c r="E478" s="273" t="n">
        <v>81.0525</v>
      </c>
      <c r="F478" s="273"/>
      <c r="G478" s="273"/>
      <c r="H478" s="273"/>
      <c r="I478" s="273"/>
      <c r="J478" s="273"/>
      <c r="K478" s="273"/>
      <c r="L478" s="273"/>
      <c r="M478" s="273"/>
      <c r="N478" s="273" t="n">
        <v>-183.426</v>
      </c>
      <c r="O478" s="273"/>
      <c r="P478" s="273"/>
      <c r="Q478" s="273"/>
      <c r="R478" s="273"/>
      <c r="S478" s="273"/>
      <c r="T478" s="273"/>
      <c r="U478" s="273"/>
      <c r="V478" s="273"/>
      <c r="W478" s="273"/>
      <c r="X478" s="273"/>
      <c r="Y478" s="274" t="n">
        <f aca="false">SUM(B478:X478)</f>
        <v>-102.3735</v>
      </c>
      <c r="Z478" s="272"/>
      <c r="AA478" s="275"/>
    </row>
    <row r="479" customFormat="false" ht="14.25" hidden="false" customHeight="false" outlineLevel="0" collapsed="false">
      <c r="A479" s="272" t="s">
        <v>705</v>
      </c>
      <c r="B479" s="273"/>
      <c r="C479" s="273"/>
      <c r="D479" s="273"/>
      <c r="E479" s="273" t="n">
        <v>-4.11</v>
      </c>
      <c r="F479" s="273"/>
      <c r="G479" s="273"/>
      <c r="H479" s="273"/>
      <c r="I479" s="273"/>
      <c r="J479" s="273"/>
      <c r="K479" s="273"/>
      <c r="L479" s="273"/>
      <c r="M479" s="273"/>
      <c r="N479" s="273"/>
      <c r="O479" s="273"/>
      <c r="P479" s="273"/>
      <c r="Q479" s="273"/>
      <c r="R479" s="273"/>
      <c r="S479" s="273"/>
      <c r="T479" s="273"/>
      <c r="U479" s="273"/>
      <c r="V479" s="273"/>
      <c r="W479" s="273"/>
      <c r="X479" s="273"/>
      <c r="Y479" s="274" t="n">
        <f aca="false">SUM(B479:X479)</f>
        <v>-4.11</v>
      </c>
      <c r="Z479" s="272"/>
      <c r="AA479" s="275"/>
    </row>
    <row r="480" customFormat="false" ht="14.25" hidden="false" customHeight="false" outlineLevel="0" collapsed="false">
      <c r="A480" s="272" t="s">
        <v>720</v>
      </c>
      <c r="B480" s="273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 t="n">
        <v>-506.0685</v>
      </c>
      <c r="M480" s="273"/>
      <c r="N480" s="273"/>
      <c r="O480" s="273"/>
      <c r="P480" s="273"/>
      <c r="Q480" s="273"/>
      <c r="R480" s="273"/>
      <c r="S480" s="273"/>
      <c r="T480" s="273"/>
      <c r="U480" s="273"/>
      <c r="V480" s="273"/>
      <c r="W480" s="273"/>
      <c r="X480" s="273"/>
      <c r="Y480" s="274" t="n">
        <f aca="false">SUM(B480:X480)</f>
        <v>-506.0685</v>
      </c>
      <c r="Z480" s="272"/>
      <c r="AA480" s="275"/>
    </row>
    <row r="481" customFormat="false" ht="14.25" hidden="false" customHeight="false" outlineLevel="0" collapsed="false">
      <c r="A481" s="272" t="s">
        <v>721</v>
      </c>
      <c r="B481" s="273"/>
      <c r="C481" s="273"/>
      <c r="D481" s="273" t="n">
        <v>442.0845</v>
      </c>
      <c r="E481" s="273"/>
      <c r="F481" s="273"/>
      <c r="G481" s="273"/>
      <c r="H481" s="273"/>
      <c r="I481" s="273"/>
      <c r="J481" s="273"/>
      <c r="K481" s="273"/>
      <c r="L481" s="273" t="n">
        <v>-4410.0255</v>
      </c>
      <c r="M481" s="273"/>
      <c r="N481" s="273" t="n">
        <v>-2797.2465</v>
      </c>
      <c r="O481" s="273"/>
      <c r="P481" s="273"/>
      <c r="Q481" s="273"/>
      <c r="R481" s="273"/>
      <c r="S481" s="273"/>
      <c r="T481" s="273"/>
      <c r="U481" s="273"/>
      <c r="V481" s="273"/>
      <c r="W481" s="273"/>
      <c r="X481" s="273"/>
      <c r="Y481" s="274" t="n">
        <f aca="false">SUM(B481:X481)</f>
        <v>-6765.1875</v>
      </c>
      <c r="Z481" s="272"/>
      <c r="AA481" s="275"/>
    </row>
    <row r="482" customFormat="false" ht="14.25" hidden="false" customHeight="false" outlineLevel="0" collapsed="false">
      <c r="A482" s="272" t="s">
        <v>700</v>
      </c>
      <c r="B482" s="273"/>
      <c r="C482" s="273"/>
      <c r="D482" s="273"/>
      <c r="E482" s="273" t="n">
        <v>145.8945</v>
      </c>
      <c r="F482" s="273"/>
      <c r="G482" s="273"/>
      <c r="H482" s="273"/>
      <c r="I482" s="273"/>
      <c r="J482" s="273"/>
      <c r="K482" s="273"/>
      <c r="L482" s="273"/>
      <c r="M482" s="273"/>
      <c r="N482" s="273"/>
      <c r="O482" s="273"/>
      <c r="P482" s="273"/>
      <c r="Q482" s="273"/>
      <c r="R482" s="273"/>
      <c r="S482" s="273"/>
      <c r="T482" s="273"/>
      <c r="U482" s="273"/>
      <c r="V482" s="273"/>
      <c r="W482" s="273"/>
      <c r="X482" s="273"/>
      <c r="Y482" s="274" t="n">
        <f aca="false">SUM(B482:X482)</f>
        <v>145.8945</v>
      </c>
      <c r="Z482" s="272"/>
      <c r="AA482" s="275"/>
    </row>
    <row r="483" customFormat="false" ht="14.25" hidden="false" customHeight="false" outlineLevel="0" collapsed="false">
      <c r="A483" s="272" t="s">
        <v>722</v>
      </c>
      <c r="B483" s="273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 t="n">
        <v>-11192.64</v>
      </c>
      <c r="O483" s="273" t="n">
        <v>722.262</v>
      </c>
      <c r="P483" s="273"/>
      <c r="Q483" s="273"/>
      <c r="R483" s="273"/>
      <c r="S483" s="273"/>
      <c r="T483" s="273"/>
      <c r="U483" s="273"/>
      <c r="V483" s="273"/>
      <c r="W483" s="273"/>
      <c r="X483" s="273"/>
      <c r="Y483" s="274" t="n">
        <f aca="false">SUM(B483:X483)</f>
        <v>-10470.378</v>
      </c>
      <c r="Z483" s="272"/>
      <c r="AA483" s="275"/>
    </row>
    <row r="484" customFormat="false" ht="14.25" hidden="false" customHeight="false" outlineLevel="0" collapsed="false">
      <c r="A484" s="272" t="s">
        <v>723</v>
      </c>
      <c r="B484" s="273"/>
      <c r="C484" s="273" t="n">
        <v>-1554.2325</v>
      </c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 t="n">
        <v>-3197.751</v>
      </c>
      <c r="O484" s="273"/>
      <c r="P484" s="273"/>
      <c r="Q484" s="273"/>
      <c r="R484" s="273"/>
      <c r="S484" s="273"/>
      <c r="T484" s="273"/>
      <c r="U484" s="273"/>
      <c r="V484" s="273"/>
      <c r="W484" s="273"/>
      <c r="X484" s="273"/>
      <c r="Y484" s="274" t="n">
        <f aca="false">SUM(B484:X484)</f>
        <v>-4751.9835</v>
      </c>
      <c r="Z484" s="272"/>
      <c r="AA484" s="275"/>
    </row>
    <row r="485" customFormat="false" ht="14.25" hidden="false" customHeight="false" outlineLevel="0" collapsed="false">
      <c r="A485" s="272" t="s">
        <v>724</v>
      </c>
      <c r="B485" s="273"/>
      <c r="C485" s="273"/>
      <c r="D485" s="273" t="n">
        <v>132.36</v>
      </c>
      <c r="E485" s="273" t="n">
        <v>-1236.9874</v>
      </c>
      <c r="F485" s="273"/>
      <c r="G485" s="273"/>
      <c r="H485" s="273"/>
      <c r="I485" s="273"/>
      <c r="J485" s="273"/>
      <c r="K485" s="273"/>
      <c r="L485" s="273"/>
      <c r="M485" s="273"/>
      <c r="N485" s="273"/>
      <c r="O485" s="273"/>
      <c r="P485" s="273"/>
      <c r="Q485" s="273"/>
      <c r="R485" s="273"/>
      <c r="S485" s="273"/>
      <c r="T485" s="273"/>
      <c r="U485" s="273"/>
      <c r="V485" s="273"/>
      <c r="W485" s="273"/>
      <c r="X485" s="273"/>
      <c r="Y485" s="274" t="n">
        <f aca="false">SUM(B485:X485)</f>
        <v>-1104.6274</v>
      </c>
      <c r="Z485" s="272"/>
      <c r="AA485" s="275"/>
    </row>
    <row r="486" customFormat="false" ht="14.25" hidden="false" customHeight="false" outlineLevel="0" collapsed="false">
      <c r="A486" s="272" t="s">
        <v>725</v>
      </c>
      <c r="B486" s="273"/>
      <c r="C486" s="273"/>
      <c r="D486" s="273" t="n">
        <v>19.854</v>
      </c>
      <c r="E486" s="273"/>
      <c r="F486" s="273"/>
      <c r="G486" s="273"/>
      <c r="H486" s="273"/>
      <c r="I486" s="273"/>
      <c r="J486" s="273"/>
      <c r="K486" s="273"/>
      <c r="L486" s="273" t="n">
        <v>-289.182</v>
      </c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3"/>
      <c r="X486" s="273"/>
      <c r="Y486" s="274" t="n">
        <f aca="false">SUM(B486:X486)</f>
        <v>-269.328</v>
      </c>
      <c r="Z486" s="272"/>
      <c r="AA486" s="275"/>
    </row>
    <row r="487" customFormat="false" ht="14.25" hidden="false" customHeight="false" outlineLevel="0" collapsed="false">
      <c r="A487" s="272" t="s">
        <v>726</v>
      </c>
      <c r="B487" s="273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 t="n">
        <v>-9277.446</v>
      </c>
      <c r="O487" s="273"/>
      <c r="P487" s="273"/>
      <c r="Q487" s="273"/>
      <c r="R487" s="273"/>
      <c r="S487" s="273"/>
      <c r="T487" s="273"/>
      <c r="U487" s="273"/>
      <c r="V487" s="273"/>
      <c r="W487" s="273"/>
      <c r="X487" s="273"/>
      <c r="Y487" s="274" t="n">
        <f aca="false">SUM(B487:X487)</f>
        <v>-9277.446</v>
      </c>
      <c r="Z487" s="272"/>
      <c r="AA487" s="275"/>
    </row>
    <row r="488" customFormat="false" ht="14.25" hidden="false" customHeight="false" outlineLevel="0" collapsed="false">
      <c r="A488" s="272" t="s">
        <v>727</v>
      </c>
      <c r="B488" s="273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 t="n">
        <v>-6578.526</v>
      </c>
      <c r="O488" s="273"/>
      <c r="P488" s="273"/>
      <c r="Q488" s="273"/>
      <c r="R488" s="273"/>
      <c r="S488" s="273"/>
      <c r="T488" s="273"/>
      <c r="U488" s="273"/>
      <c r="V488" s="273"/>
      <c r="W488" s="273"/>
      <c r="X488" s="273"/>
      <c r="Y488" s="274" t="n">
        <f aca="false">SUM(B488:X488)</f>
        <v>-6578.526</v>
      </c>
      <c r="Z488" s="272"/>
      <c r="AA488" s="275"/>
    </row>
    <row r="489" customFormat="false" ht="14.25" hidden="false" customHeight="false" outlineLevel="0" collapsed="false">
      <c r="A489" s="272" t="s">
        <v>728</v>
      </c>
      <c r="B489" s="273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 t="n">
        <v>-6144.771</v>
      </c>
      <c r="O489" s="273"/>
      <c r="P489" s="273"/>
      <c r="Q489" s="273"/>
      <c r="R489" s="273"/>
      <c r="S489" s="273"/>
      <c r="T489" s="273"/>
      <c r="U489" s="273"/>
      <c r="V489" s="273"/>
      <c r="W489" s="273"/>
      <c r="X489" s="273"/>
      <c r="Y489" s="274" t="n">
        <f aca="false">SUM(B489:X489)</f>
        <v>-6144.771</v>
      </c>
      <c r="Z489" s="272"/>
      <c r="AA489" s="275"/>
    </row>
    <row r="490" customFormat="false" ht="14.25" hidden="false" customHeight="false" outlineLevel="0" collapsed="false">
      <c r="A490" s="272" t="s">
        <v>729</v>
      </c>
      <c r="B490" s="273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 t="n">
        <v>-9171.3</v>
      </c>
      <c r="O490" s="273"/>
      <c r="P490" s="273"/>
      <c r="Q490" s="273"/>
      <c r="R490" s="273"/>
      <c r="S490" s="273"/>
      <c r="T490" s="273"/>
      <c r="U490" s="273"/>
      <c r="V490" s="273"/>
      <c r="W490" s="273"/>
      <c r="X490" s="273"/>
      <c r="Y490" s="274" t="n">
        <f aca="false">SUM(B490:X490)</f>
        <v>-9171.3</v>
      </c>
      <c r="Z490" s="272"/>
      <c r="AA490" s="275"/>
    </row>
    <row r="491" customFormat="false" ht="14.25" hidden="false" customHeight="false" outlineLevel="0" collapsed="false">
      <c r="A491" s="272" t="s">
        <v>730</v>
      </c>
      <c r="B491" s="273"/>
      <c r="C491" s="273"/>
      <c r="D491" s="273"/>
      <c r="E491" s="273"/>
      <c r="F491" s="273" t="n">
        <v>-5887.476</v>
      </c>
      <c r="G491" s="273"/>
      <c r="H491" s="273"/>
      <c r="I491" s="273"/>
      <c r="J491" s="273"/>
      <c r="K491" s="273"/>
      <c r="L491" s="273"/>
      <c r="M491" s="273"/>
      <c r="N491" s="273"/>
      <c r="O491" s="273"/>
      <c r="P491" s="273"/>
      <c r="Q491" s="273"/>
      <c r="R491" s="273"/>
      <c r="S491" s="273"/>
      <c r="T491" s="273"/>
      <c r="U491" s="273"/>
      <c r="V491" s="273"/>
      <c r="W491" s="273"/>
      <c r="X491" s="273"/>
      <c r="Y491" s="274" t="n">
        <f aca="false">SUM(B491:X491)</f>
        <v>-5887.476</v>
      </c>
      <c r="Z491" s="272"/>
      <c r="AA491" s="275"/>
    </row>
    <row r="492" customFormat="false" ht="14.25" hidden="false" customHeight="false" outlineLevel="0" collapsed="false">
      <c r="A492" s="272" t="s">
        <v>621</v>
      </c>
      <c r="B492" s="273"/>
      <c r="C492" s="273"/>
      <c r="D492" s="273" t="n">
        <v>668.418</v>
      </c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3"/>
      <c r="P492" s="273"/>
      <c r="Q492" s="273"/>
      <c r="R492" s="273"/>
      <c r="S492" s="273"/>
      <c r="T492" s="273"/>
      <c r="U492" s="273"/>
      <c r="V492" s="273"/>
      <c r="W492" s="273"/>
      <c r="X492" s="273"/>
      <c r="Y492" s="274" t="n">
        <f aca="false">SUM(B492:X492)</f>
        <v>668.418</v>
      </c>
      <c r="Z492" s="272"/>
      <c r="AA492" s="275"/>
    </row>
    <row r="493" customFormat="false" ht="14.25" hidden="false" customHeight="false" outlineLevel="0" collapsed="false">
      <c r="A493" s="272" t="s">
        <v>731</v>
      </c>
      <c r="B493" s="273"/>
      <c r="C493" s="273"/>
      <c r="D493" s="273" t="n">
        <v>-962.964</v>
      </c>
      <c r="E493" s="273"/>
      <c r="F493" s="273"/>
      <c r="G493" s="273"/>
      <c r="H493" s="273"/>
      <c r="I493" s="273" t="n">
        <v>17.496</v>
      </c>
      <c r="J493" s="273"/>
      <c r="K493" s="273"/>
      <c r="L493" s="273"/>
      <c r="M493" s="273"/>
      <c r="N493" s="273"/>
      <c r="O493" s="273"/>
      <c r="P493" s="273"/>
      <c r="Q493" s="273"/>
      <c r="R493" s="273"/>
      <c r="S493" s="273"/>
      <c r="T493" s="273"/>
      <c r="U493" s="273"/>
      <c r="V493" s="273"/>
      <c r="W493" s="273"/>
      <c r="X493" s="273"/>
      <c r="Y493" s="274" t="n">
        <f aca="false">SUM(B493:X493)</f>
        <v>-945.468</v>
      </c>
      <c r="Z493" s="272"/>
      <c r="AA493" s="275"/>
    </row>
    <row r="494" customFormat="false" ht="14.25" hidden="false" customHeight="false" outlineLevel="0" collapsed="false">
      <c r="A494" s="272" t="s">
        <v>732</v>
      </c>
      <c r="B494" s="273"/>
      <c r="C494" s="273"/>
      <c r="D494" s="273"/>
      <c r="E494" s="273" t="n">
        <v>551.157</v>
      </c>
      <c r="F494" s="273"/>
      <c r="G494" s="273"/>
      <c r="H494" s="273"/>
      <c r="I494" s="273"/>
      <c r="J494" s="273"/>
      <c r="K494" s="273"/>
      <c r="L494" s="273" t="n">
        <v>-2054.229</v>
      </c>
      <c r="M494" s="273"/>
      <c r="N494" s="273" t="n">
        <v>-1881.03</v>
      </c>
      <c r="O494" s="273"/>
      <c r="P494" s="273"/>
      <c r="Q494" s="273"/>
      <c r="R494" s="273"/>
      <c r="S494" s="273"/>
      <c r="T494" s="273"/>
      <c r="U494" s="273"/>
      <c r="V494" s="273"/>
      <c r="W494" s="273"/>
      <c r="X494" s="273"/>
      <c r="Y494" s="274" t="n">
        <f aca="false">SUM(B494:X494)</f>
        <v>-3384.102</v>
      </c>
      <c r="Z494" s="272"/>
      <c r="AA494" s="275"/>
    </row>
    <row r="495" customFormat="false" ht="14.25" hidden="false" customHeight="false" outlineLevel="0" collapsed="false">
      <c r="A495" s="272" t="s">
        <v>733</v>
      </c>
      <c r="B495" s="273"/>
      <c r="C495" s="273"/>
      <c r="D495" s="273"/>
      <c r="E495" s="273" t="n">
        <v>648.42</v>
      </c>
      <c r="F495" s="273"/>
      <c r="G495" s="273"/>
      <c r="H495" s="273"/>
      <c r="I495" s="273"/>
      <c r="J495" s="273" t="n">
        <v>-1797.6</v>
      </c>
      <c r="K495" s="273"/>
      <c r="L495" s="273" t="n">
        <v>-6041.85</v>
      </c>
      <c r="M495" s="273"/>
      <c r="N495" s="273"/>
      <c r="O495" s="273"/>
      <c r="P495" s="273" t="n">
        <v>-1247.589</v>
      </c>
      <c r="Q495" s="273"/>
      <c r="R495" s="273"/>
      <c r="S495" s="273"/>
      <c r="T495" s="273"/>
      <c r="U495" s="273"/>
      <c r="V495" s="273"/>
      <c r="W495" s="273"/>
      <c r="X495" s="273"/>
      <c r="Y495" s="274" t="n">
        <f aca="false">SUM(B495:X495)</f>
        <v>-8438.619</v>
      </c>
      <c r="Z495" s="272"/>
      <c r="AA495" s="275"/>
    </row>
    <row r="496" customFormat="false" ht="14.25" hidden="false" customHeight="false" outlineLevel="0" collapsed="false">
      <c r="A496" s="272" t="s">
        <v>721</v>
      </c>
      <c r="B496" s="273"/>
      <c r="C496" s="273"/>
      <c r="D496" s="273" t="n">
        <v>443.406</v>
      </c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3"/>
      <c r="P496" s="273"/>
      <c r="Q496" s="273"/>
      <c r="R496" s="273"/>
      <c r="S496" s="273"/>
      <c r="T496" s="273"/>
      <c r="U496" s="273"/>
      <c r="V496" s="273"/>
      <c r="W496" s="273"/>
      <c r="X496" s="273"/>
      <c r="Y496" s="274" t="n">
        <f aca="false">SUM(B496:X496)</f>
        <v>443.406</v>
      </c>
      <c r="Z496" s="272"/>
      <c r="AA496" s="275"/>
    </row>
    <row r="497" customFormat="false" ht="14.25" hidden="false" customHeight="false" outlineLevel="0" collapsed="false">
      <c r="A497" s="272" t="s">
        <v>734</v>
      </c>
      <c r="B497" s="273"/>
      <c r="C497" s="273"/>
      <c r="D497" s="273"/>
      <c r="E497" s="273"/>
      <c r="F497" s="273"/>
      <c r="G497" s="273"/>
      <c r="H497" s="273"/>
      <c r="I497" s="273"/>
      <c r="J497" s="273" t="n">
        <v>-106.416</v>
      </c>
      <c r="K497" s="273"/>
      <c r="L497" s="273"/>
      <c r="M497" s="273"/>
      <c r="N497" s="273"/>
      <c r="O497" s="273"/>
      <c r="P497" s="273"/>
      <c r="Q497" s="273"/>
      <c r="R497" s="273"/>
      <c r="S497" s="273"/>
      <c r="T497" s="273"/>
      <c r="U497" s="273"/>
      <c r="V497" s="273"/>
      <c r="W497" s="273"/>
      <c r="X497" s="273"/>
      <c r="Y497" s="274" t="n">
        <f aca="false">SUM(B497:X497)</f>
        <v>-106.416</v>
      </c>
      <c r="Z497" s="272"/>
      <c r="AA497" s="275"/>
    </row>
    <row r="498" customFormat="false" ht="14.25" hidden="false" customHeight="false" outlineLevel="0" collapsed="false">
      <c r="A498" s="272" t="s">
        <v>735</v>
      </c>
      <c r="B498" s="273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 t="n">
        <v>-9405.15</v>
      </c>
      <c r="O498" s="273"/>
      <c r="P498" s="273"/>
      <c r="Q498" s="273"/>
      <c r="R498" s="273"/>
      <c r="S498" s="273"/>
      <c r="T498" s="273"/>
      <c r="U498" s="273"/>
      <c r="V498" s="273"/>
      <c r="W498" s="273"/>
      <c r="X498" s="273"/>
      <c r="Y498" s="274" t="n">
        <f aca="false">SUM(B498:X498)</f>
        <v>-9405.15</v>
      </c>
      <c r="Z498" s="272"/>
      <c r="AA498" s="275"/>
    </row>
    <row r="499" customFormat="false" ht="14.25" hidden="false" customHeight="false" outlineLevel="0" collapsed="false">
      <c r="A499" s="272" t="s">
        <v>736</v>
      </c>
      <c r="B499" s="273"/>
      <c r="C499" s="273"/>
      <c r="D499" s="273"/>
      <c r="E499" s="273"/>
      <c r="F499" s="273" t="n">
        <v>-27453.2955</v>
      </c>
      <c r="G499" s="273"/>
      <c r="H499" s="273"/>
      <c r="I499" s="273"/>
      <c r="J499" s="273"/>
      <c r="K499" s="273"/>
      <c r="L499" s="273"/>
      <c r="M499" s="273"/>
      <c r="N499" s="273"/>
      <c r="O499" s="273"/>
      <c r="P499" s="273"/>
      <c r="Q499" s="273"/>
      <c r="R499" s="273"/>
      <c r="S499" s="273"/>
      <c r="T499" s="273"/>
      <c r="U499" s="273"/>
      <c r="V499" s="273"/>
      <c r="W499" s="273"/>
      <c r="X499" s="273"/>
      <c r="Y499" s="274" t="n">
        <f aca="false">SUM(B499:X499)</f>
        <v>-27453.2955</v>
      </c>
      <c r="Z499" s="272"/>
      <c r="AA499" s="275"/>
    </row>
    <row r="500" customFormat="false" ht="14.25" hidden="false" customHeight="false" outlineLevel="0" collapsed="false">
      <c r="A500" s="272" t="s">
        <v>737</v>
      </c>
      <c r="B500" s="273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 t="n">
        <v>9620.181</v>
      </c>
      <c r="M500" s="273"/>
      <c r="N500" s="273"/>
      <c r="O500" s="273"/>
      <c r="P500" s="273"/>
      <c r="Q500" s="273"/>
      <c r="R500" s="273"/>
      <c r="S500" s="273"/>
      <c r="T500" s="273"/>
      <c r="U500" s="273"/>
      <c r="V500" s="273"/>
      <c r="W500" s="273"/>
      <c r="X500" s="273"/>
      <c r="Y500" s="274" t="n">
        <f aca="false">SUM(B500:X500)</f>
        <v>9620.181</v>
      </c>
      <c r="Z500" s="272"/>
      <c r="AA500" s="275"/>
    </row>
    <row r="501" customFormat="false" ht="14.25" hidden="false" customHeight="false" outlineLevel="0" collapsed="false">
      <c r="A501" s="272" t="s">
        <v>738</v>
      </c>
      <c r="B501" s="273"/>
      <c r="C501" s="273"/>
      <c r="D501" s="273"/>
      <c r="E501" s="273"/>
      <c r="F501" s="273"/>
      <c r="G501" s="273" t="n">
        <v>258.285</v>
      </c>
      <c r="H501" s="273"/>
      <c r="I501" s="273"/>
      <c r="J501" s="273"/>
      <c r="K501" s="273"/>
      <c r="L501" s="273"/>
      <c r="M501" s="273"/>
      <c r="N501" s="273" t="n">
        <v>-816</v>
      </c>
      <c r="O501" s="273"/>
      <c r="P501" s="273"/>
      <c r="Q501" s="273"/>
      <c r="R501" s="273"/>
      <c r="S501" s="273"/>
      <c r="T501" s="273"/>
      <c r="U501" s="273"/>
      <c r="V501" s="273"/>
      <c r="W501" s="273"/>
      <c r="X501" s="273"/>
      <c r="Y501" s="274" t="n">
        <f aca="false">SUM(B501:X501)</f>
        <v>-557.715</v>
      </c>
      <c r="Z501" s="272"/>
      <c r="AA501" s="275"/>
    </row>
    <row r="502" customFormat="false" ht="14.25" hidden="false" customHeight="false" outlineLevel="0" collapsed="false">
      <c r="A502" s="272" t="s">
        <v>739</v>
      </c>
      <c r="B502" s="273"/>
      <c r="C502" s="273"/>
      <c r="D502" s="273"/>
      <c r="E502" s="273"/>
      <c r="F502" s="273" t="n">
        <v>-7054.38</v>
      </c>
      <c r="G502" s="273"/>
      <c r="H502" s="273"/>
      <c r="I502" s="273"/>
      <c r="J502" s="273"/>
      <c r="K502" s="273"/>
      <c r="L502" s="273"/>
      <c r="M502" s="273"/>
      <c r="N502" s="273"/>
      <c r="O502" s="273"/>
      <c r="P502" s="273"/>
      <c r="Q502" s="273"/>
      <c r="R502" s="273"/>
      <c r="S502" s="273"/>
      <c r="T502" s="273"/>
      <c r="U502" s="273"/>
      <c r="V502" s="273"/>
      <c r="W502" s="273"/>
      <c r="X502" s="273"/>
      <c r="Y502" s="274" t="n">
        <f aca="false">SUM(B502:X502)</f>
        <v>-7054.38</v>
      </c>
      <c r="Z502" s="272"/>
      <c r="AA502" s="275"/>
    </row>
    <row r="503" customFormat="false" ht="14.25" hidden="false" customHeight="false" outlineLevel="0" collapsed="false">
      <c r="A503" s="272" t="s">
        <v>740</v>
      </c>
      <c r="B503" s="273"/>
      <c r="C503" s="273"/>
      <c r="D503" s="273"/>
      <c r="E503" s="273" t="n">
        <v>-6361.4</v>
      </c>
      <c r="F503" s="273"/>
      <c r="G503" s="273"/>
      <c r="H503" s="273"/>
      <c r="I503" s="273"/>
      <c r="J503" s="273"/>
      <c r="K503" s="273"/>
      <c r="L503" s="273"/>
      <c r="M503" s="273"/>
      <c r="N503" s="273" t="n">
        <v>-4593.61</v>
      </c>
      <c r="O503" s="273"/>
      <c r="P503" s="273"/>
      <c r="Q503" s="273"/>
      <c r="R503" s="273"/>
      <c r="S503" s="273"/>
      <c r="T503" s="273"/>
      <c r="U503" s="273"/>
      <c r="V503" s="273"/>
      <c r="W503" s="273"/>
      <c r="X503" s="273"/>
      <c r="Y503" s="274" t="n">
        <f aca="false">SUM(B503:X503)</f>
        <v>-10955.01</v>
      </c>
      <c r="Z503" s="272"/>
      <c r="AA503" s="275"/>
    </row>
    <row r="504" customFormat="false" ht="14.25" hidden="false" customHeight="false" outlineLevel="0" collapsed="false">
      <c r="A504" s="272" t="s">
        <v>741</v>
      </c>
      <c r="B504" s="273" t="n">
        <v>-11291.3325</v>
      </c>
      <c r="C504" s="273"/>
      <c r="D504" s="273"/>
      <c r="E504" s="273"/>
      <c r="F504" s="273"/>
      <c r="G504" s="273"/>
      <c r="H504" s="273"/>
      <c r="I504" s="273"/>
      <c r="J504" s="273" t="n">
        <v>-11862.6165</v>
      </c>
      <c r="K504" s="273"/>
      <c r="L504" s="273"/>
      <c r="M504" s="273"/>
      <c r="N504" s="273"/>
      <c r="O504" s="273"/>
      <c r="P504" s="273"/>
      <c r="Q504" s="273"/>
      <c r="R504" s="273"/>
      <c r="S504" s="273"/>
      <c r="T504" s="273"/>
      <c r="U504" s="273"/>
      <c r="V504" s="273"/>
      <c r="W504" s="273"/>
      <c r="X504" s="273"/>
      <c r="Y504" s="274" t="n">
        <f aca="false">SUM(B504:X504)</f>
        <v>-23153.949</v>
      </c>
      <c r="Z504" s="272"/>
      <c r="AA504" s="275"/>
    </row>
    <row r="505" customFormat="false" ht="14.25" hidden="false" customHeight="false" outlineLevel="0" collapsed="false">
      <c r="A505" s="272" t="s">
        <v>742</v>
      </c>
      <c r="B505" s="273"/>
      <c r="C505" s="273"/>
      <c r="D505" s="273"/>
      <c r="E505" s="273"/>
      <c r="F505" s="273" t="n">
        <v>-19987.41</v>
      </c>
      <c r="G505" s="273"/>
      <c r="H505" s="273"/>
      <c r="I505" s="273"/>
      <c r="J505" s="273"/>
      <c r="K505" s="273"/>
      <c r="L505" s="273"/>
      <c r="M505" s="273"/>
      <c r="N505" s="273"/>
      <c r="O505" s="273"/>
      <c r="P505" s="273"/>
      <c r="Q505" s="273"/>
      <c r="R505" s="273"/>
      <c r="S505" s="273"/>
      <c r="T505" s="273"/>
      <c r="U505" s="273"/>
      <c r="V505" s="273"/>
      <c r="W505" s="273"/>
      <c r="X505" s="273"/>
      <c r="Y505" s="274" t="n">
        <f aca="false">SUM(B505:X505)</f>
        <v>-19987.41</v>
      </c>
      <c r="Z505" s="272"/>
      <c r="AA505" s="275"/>
    </row>
    <row r="506" customFormat="false" ht="14.25" hidden="false" customHeight="false" outlineLevel="0" collapsed="false">
      <c r="A506" s="272" t="s">
        <v>743</v>
      </c>
      <c r="B506" s="273"/>
      <c r="C506" s="273"/>
      <c r="D506" s="273"/>
      <c r="E506" s="273" t="n">
        <v>1248.2085</v>
      </c>
      <c r="F506" s="273"/>
      <c r="G506" s="273"/>
      <c r="H506" s="273"/>
      <c r="I506" s="273"/>
      <c r="J506" s="273"/>
      <c r="K506" s="273"/>
      <c r="L506" s="273"/>
      <c r="M506" s="273"/>
      <c r="N506" s="273"/>
      <c r="O506" s="273"/>
      <c r="P506" s="273"/>
      <c r="Q506" s="273"/>
      <c r="R506" s="273"/>
      <c r="S506" s="273"/>
      <c r="T506" s="273"/>
      <c r="U506" s="273"/>
      <c r="V506" s="273"/>
      <c r="W506" s="273"/>
      <c r="X506" s="273"/>
      <c r="Y506" s="274" t="n">
        <f aca="false">SUM(B506:X506)</f>
        <v>1248.2085</v>
      </c>
      <c r="Z506" s="272"/>
      <c r="AA506" s="275"/>
    </row>
    <row r="507" customFormat="false" ht="14.25" hidden="false" customHeight="false" outlineLevel="0" collapsed="false">
      <c r="A507" s="272" t="s">
        <v>744</v>
      </c>
      <c r="B507" s="273"/>
      <c r="C507" s="273"/>
      <c r="D507" s="273"/>
      <c r="E507" s="273"/>
      <c r="F507" s="273"/>
      <c r="G507" s="273"/>
      <c r="H507" s="273"/>
      <c r="I507" s="273"/>
      <c r="J507" s="273" t="n">
        <v>100.095</v>
      </c>
      <c r="K507" s="273"/>
      <c r="L507" s="273" t="n">
        <v>-289.182</v>
      </c>
      <c r="M507" s="273"/>
      <c r="N507" s="273"/>
      <c r="O507" s="273"/>
      <c r="P507" s="273" t="n">
        <v>-277.29</v>
      </c>
      <c r="Q507" s="273"/>
      <c r="R507" s="273"/>
      <c r="S507" s="273"/>
      <c r="T507" s="273"/>
      <c r="U507" s="273"/>
      <c r="V507" s="273"/>
      <c r="W507" s="273"/>
      <c r="X507" s="273"/>
      <c r="Y507" s="274" t="n">
        <f aca="false">SUM(B507:X507)</f>
        <v>-466.377</v>
      </c>
      <c r="Z507" s="272"/>
      <c r="AA507" s="275"/>
    </row>
    <row r="508" customFormat="false" ht="14.25" hidden="false" customHeight="false" outlineLevel="0" collapsed="false">
      <c r="A508" s="272" t="s">
        <v>745</v>
      </c>
      <c r="B508" s="273"/>
      <c r="C508" s="273" t="n">
        <v>-96000</v>
      </c>
      <c r="D508" s="273"/>
      <c r="E508" s="273"/>
      <c r="F508" s="273"/>
      <c r="G508" s="273"/>
      <c r="H508" s="273"/>
      <c r="I508" s="273"/>
      <c r="J508" s="273" t="n">
        <v>2547.5</v>
      </c>
      <c r="K508" s="273"/>
      <c r="L508" s="273"/>
      <c r="M508" s="273"/>
      <c r="N508" s="273"/>
      <c r="O508" s="273"/>
      <c r="P508" s="273"/>
      <c r="Q508" s="273"/>
      <c r="R508" s="273"/>
      <c r="S508" s="273"/>
      <c r="T508" s="273"/>
      <c r="U508" s="273"/>
      <c r="V508" s="273"/>
      <c r="W508" s="273"/>
      <c r="X508" s="273"/>
      <c r="Y508" s="274" t="n">
        <f aca="false">SUM(B508:X508)</f>
        <v>-93452.5</v>
      </c>
      <c r="Z508" s="272"/>
      <c r="AA508" s="275"/>
    </row>
    <row r="509" customFormat="false" ht="14.25" hidden="false" customHeight="false" outlineLevel="0" collapsed="false">
      <c r="A509" s="272" t="s">
        <v>746</v>
      </c>
      <c r="B509" s="273" t="n">
        <v>-24.468</v>
      </c>
      <c r="C509" s="273" t="n">
        <v>-23.1975</v>
      </c>
      <c r="D509" s="273"/>
      <c r="E509" s="273" t="n">
        <v>8.219</v>
      </c>
      <c r="F509" s="273" t="n">
        <v>-58.7865</v>
      </c>
      <c r="G509" s="273" t="n">
        <v>-42</v>
      </c>
      <c r="H509" s="273"/>
      <c r="I509" s="273"/>
      <c r="J509" s="273"/>
      <c r="K509" s="273"/>
      <c r="L509" s="273"/>
      <c r="M509" s="273"/>
      <c r="N509" s="273" t="n">
        <v>-94.0515</v>
      </c>
      <c r="O509" s="273" t="n">
        <v>37.383</v>
      </c>
      <c r="P509" s="273" t="n">
        <v>-69.3225</v>
      </c>
      <c r="Q509" s="273"/>
      <c r="R509" s="273" t="n">
        <v>-51.666</v>
      </c>
      <c r="S509" s="273"/>
      <c r="T509" s="273"/>
      <c r="U509" s="273"/>
      <c r="V509" s="273"/>
      <c r="W509" s="273"/>
      <c r="X509" s="273"/>
      <c r="Y509" s="274" t="n">
        <f aca="false">SUM(B509:X509)</f>
        <v>-317.89</v>
      </c>
      <c r="Z509" s="272"/>
      <c r="AA509" s="275"/>
    </row>
    <row r="510" customFormat="false" ht="14.25" hidden="false" customHeight="false" outlineLevel="0" collapsed="false">
      <c r="A510" s="272" t="s">
        <v>747</v>
      </c>
      <c r="B510" s="273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 t="n">
        <v>-272.7</v>
      </c>
      <c r="N510" s="273"/>
      <c r="O510" s="273"/>
      <c r="P510" s="273" t="n">
        <v>-970.515</v>
      </c>
      <c r="Q510" s="273"/>
      <c r="R510" s="273"/>
      <c r="S510" s="273"/>
      <c r="T510" s="273"/>
      <c r="U510" s="273"/>
      <c r="V510" s="273"/>
      <c r="W510" s="273"/>
      <c r="X510" s="273"/>
      <c r="Y510" s="274" t="n">
        <f aca="false">SUM(B510:X510)</f>
        <v>-1243.215</v>
      </c>
      <c r="Z510" s="272"/>
      <c r="AA510" s="275"/>
    </row>
    <row r="511" customFormat="false" ht="14.25" hidden="false" customHeight="false" outlineLevel="0" collapsed="false">
      <c r="A511" s="272" t="s">
        <v>748</v>
      </c>
      <c r="B511" s="273"/>
      <c r="C511" s="273" t="n">
        <v>2712.42</v>
      </c>
      <c r="D511" s="273"/>
      <c r="E511" s="273"/>
      <c r="F511" s="273"/>
      <c r="G511" s="273"/>
      <c r="H511" s="273"/>
      <c r="I511" s="273" t="n">
        <v>-38.4975</v>
      </c>
      <c r="J511" s="273"/>
      <c r="K511" s="273"/>
      <c r="L511" s="273"/>
      <c r="M511" s="273"/>
      <c r="N511" s="273" t="n">
        <v>-13563.69</v>
      </c>
      <c r="O511" s="273"/>
      <c r="P511" s="273"/>
      <c r="Q511" s="273"/>
      <c r="R511" s="273"/>
      <c r="S511" s="273"/>
      <c r="T511" s="273"/>
      <c r="U511" s="273"/>
      <c r="V511" s="273"/>
      <c r="W511" s="273"/>
      <c r="X511" s="273"/>
      <c r="Y511" s="274" t="n">
        <f aca="false">SUM(B511:X511)</f>
        <v>-10889.7675</v>
      </c>
      <c r="Z511" s="272"/>
      <c r="AA511" s="275"/>
    </row>
    <row r="512" customFormat="false" ht="14.25" hidden="false" customHeight="false" outlineLevel="0" collapsed="false">
      <c r="A512" s="272" t="s">
        <v>749</v>
      </c>
      <c r="B512" s="273"/>
      <c r="C512" s="273"/>
      <c r="D512" s="273" t="n">
        <v>2435.424</v>
      </c>
      <c r="E512" s="273"/>
      <c r="F512" s="273"/>
      <c r="G512" s="273"/>
      <c r="H512" s="273"/>
      <c r="I512" s="273"/>
      <c r="J512" s="273" t="n">
        <v>-3353.532</v>
      </c>
      <c r="K512" s="273"/>
      <c r="L512" s="273"/>
      <c r="M512" s="273"/>
      <c r="N512" s="273" t="n">
        <v>-3762.0605</v>
      </c>
      <c r="O512" s="273"/>
      <c r="P512" s="273" t="n">
        <v>-3029.859</v>
      </c>
      <c r="Q512" s="273"/>
      <c r="R512" s="273"/>
      <c r="S512" s="273"/>
      <c r="T512" s="273"/>
      <c r="U512" s="273"/>
      <c r="V512" s="273"/>
      <c r="W512" s="273"/>
      <c r="X512" s="273"/>
      <c r="Y512" s="274" t="n">
        <f aca="false">SUM(B512:X512)</f>
        <v>-7710.0275</v>
      </c>
      <c r="Z512" s="272"/>
      <c r="AA512" s="275"/>
    </row>
    <row r="513" customFormat="false" ht="14.25" hidden="false" customHeight="false" outlineLevel="0" collapsed="false">
      <c r="A513" s="272" t="s">
        <v>750</v>
      </c>
      <c r="B513" s="273"/>
      <c r="C513" s="273"/>
      <c r="D513" s="273"/>
      <c r="E513" s="273"/>
      <c r="F513" s="273"/>
      <c r="G513" s="273"/>
      <c r="H513" s="273"/>
      <c r="I513" s="273"/>
      <c r="J513" s="273" t="n">
        <v>-851.1</v>
      </c>
      <c r="K513" s="273"/>
      <c r="L513" s="273"/>
      <c r="M513" s="273"/>
      <c r="N513" s="273"/>
      <c r="O513" s="273"/>
      <c r="P513" s="273"/>
      <c r="Q513" s="273"/>
      <c r="R513" s="273"/>
      <c r="S513" s="273"/>
      <c r="T513" s="273"/>
      <c r="U513" s="273"/>
      <c r="V513" s="273"/>
      <c r="W513" s="273"/>
      <c r="X513" s="273"/>
      <c r="Y513" s="274" t="n">
        <f aca="false">SUM(B513:X513)</f>
        <v>-851.1</v>
      </c>
      <c r="Z513" s="272"/>
      <c r="AA513" s="275"/>
    </row>
    <row r="514" customFormat="false" ht="14.25" hidden="false" customHeight="false" outlineLevel="0" collapsed="false">
      <c r="A514" s="272" t="s">
        <v>721</v>
      </c>
      <c r="B514" s="273"/>
      <c r="C514" s="273" t="n">
        <v>-3280.1355</v>
      </c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3"/>
      <c r="P514" s="273"/>
      <c r="Q514" s="273"/>
      <c r="R514" s="273"/>
      <c r="S514" s="273"/>
      <c r="T514" s="273"/>
      <c r="U514" s="273"/>
      <c r="V514" s="273"/>
      <c r="W514" s="273"/>
      <c r="X514" s="273"/>
      <c r="Y514" s="274" t="n">
        <f aca="false">SUM(B514:X514)</f>
        <v>-3280.1355</v>
      </c>
      <c r="Z514" s="272"/>
      <c r="AA514" s="275"/>
    </row>
    <row r="515" customFormat="false" ht="14.25" hidden="false" customHeight="false" outlineLevel="0" collapsed="false">
      <c r="A515" s="272" t="s">
        <v>751</v>
      </c>
      <c r="B515" s="273"/>
      <c r="C515" s="273"/>
      <c r="D515" s="273" t="n">
        <v>-134.025</v>
      </c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3"/>
      <c r="P515" s="273" t="n">
        <v>-1092.36</v>
      </c>
      <c r="Q515" s="273"/>
      <c r="R515" s="273"/>
      <c r="S515" s="273"/>
      <c r="T515" s="273"/>
      <c r="U515" s="273"/>
      <c r="V515" s="273"/>
      <c r="W515" s="273"/>
      <c r="X515" s="273"/>
      <c r="Y515" s="274" t="n">
        <f aca="false">SUM(B515:X515)</f>
        <v>-1226.385</v>
      </c>
      <c r="Z515" s="272"/>
      <c r="AA515" s="275"/>
    </row>
    <row r="516" customFormat="false" ht="14.25" hidden="false" customHeight="false" outlineLevel="0" collapsed="false">
      <c r="A516" s="272" t="s">
        <v>752</v>
      </c>
      <c r="B516" s="273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 t="n">
        <v>-2458.047</v>
      </c>
      <c r="M516" s="273"/>
      <c r="N516" s="273"/>
      <c r="O516" s="273"/>
      <c r="P516" s="273"/>
      <c r="Q516" s="273"/>
      <c r="R516" s="273"/>
      <c r="S516" s="273"/>
      <c r="T516" s="273"/>
      <c r="U516" s="273"/>
      <c r="V516" s="273"/>
      <c r="W516" s="273"/>
      <c r="X516" s="273"/>
      <c r="Y516" s="274" t="n">
        <f aca="false">SUM(B516:X516)</f>
        <v>-2458.047</v>
      </c>
      <c r="Z516" s="272"/>
      <c r="AA516" s="275"/>
    </row>
    <row r="517" customFormat="false" ht="14.25" hidden="false" customHeight="false" outlineLevel="0" collapsed="false">
      <c r="A517" s="272" t="s">
        <v>753</v>
      </c>
      <c r="B517" s="273"/>
      <c r="C517" s="273"/>
      <c r="D517" s="273"/>
      <c r="E517" s="273"/>
      <c r="F517" s="273"/>
      <c r="G517" s="273" t="n">
        <v>-168</v>
      </c>
      <c r="H517" s="273"/>
      <c r="I517" s="273"/>
      <c r="J517" s="273"/>
      <c r="K517" s="273"/>
      <c r="L517" s="273" t="n">
        <v>-3831.6615</v>
      </c>
      <c r="M517" s="273"/>
      <c r="N517" s="273"/>
      <c r="O517" s="273"/>
      <c r="P517" s="273"/>
      <c r="Q517" s="273"/>
      <c r="R517" s="273"/>
      <c r="S517" s="273"/>
      <c r="T517" s="273"/>
      <c r="U517" s="273"/>
      <c r="V517" s="273"/>
      <c r="W517" s="273"/>
      <c r="X517" s="273"/>
      <c r="Y517" s="274" t="n">
        <f aca="false">SUM(B517:X517)</f>
        <v>-3999.6615</v>
      </c>
      <c r="Z517" s="272"/>
      <c r="AA517" s="275"/>
    </row>
    <row r="518" customFormat="false" ht="14.25" hidden="false" customHeight="false" outlineLevel="0" collapsed="false">
      <c r="A518" s="272" t="s">
        <v>754</v>
      </c>
      <c r="B518" s="273"/>
      <c r="C518" s="273"/>
      <c r="D518" s="273"/>
      <c r="E518" s="273"/>
      <c r="F518" s="273" t="n">
        <v>-19.758</v>
      </c>
      <c r="G518" s="273"/>
      <c r="H518" s="273"/>
      <c r="I518" s="273"/>
      <c r="J518" s="273"/>
      <c r="K518" s="273"/>
      <c r="L518" s="273"/>
      <c r="M518" s="273"/>
      <c r="N518" s="273"/>
      <c r="O518" s="273"/>
      <c r="P518" s="273"/>
      <c r="Q518" s="273"/>
      <c r="R518" s="273"/>
      <c r="S518" s="273"/>
      <c r="T518" s="273"/>
      <c r="U518" s="273"/>
      <c r="V518" s="273"/>
      <c r="W518" s="273"/>
      <c r="X518" s="273"/>
      <c r="Y518" s="274" t="n">
        <f aca="false">SUM(B518:X518)</f>
        <v>-19.758</v>
      </c>
      <c r="Z518" s="272"/>
      <c r="AA518" s="275"/>
    </row>
    <row r="519" customFormat="false" ht="14.25" hidden="false" customHeight="false" outlineLevel="0" collapsed="false">
      <c r="A519" s="272" t="s">
        <v>755</v>
      </c>
      <c r="B519" s="273"/>
      <c r="C519" s="273" t="n">
        <v>-927.9</v>
      </c>
      <c r="D519" s="273"/>
      <c r="E519" s="273" t="n">
        <v>1153.17</v>
      </c>
      <c r="F519" s="273"/>
      <c r="G519" s="273"/>
      <c r="H519" s="273"/>
      <c r="I519" s="273"/>
      <c r="J519" s="273"/>
      <c r="K519" s="273"/>
      <c r="L519" s="273"/>
      <c r="M519" s="273"/>
      <c r="N519" s="273"/>
      <c r="O519" s="273"/>
      <c r="P519" s="273"/>
      <c r="Q519" s="273"/>
      <c r="R519" s="273"/>
      <c r="S519" s="273"/>
      <c r="T519" s="273"/>
      <c r="U519" s="273"/>
      <c r="V519" s="273"/>
      <c r="W519" s="273"/>
      <c r="X519" s="273"/>
      <c r="Y519" s="274" t="n">
        <f aca="false">SUM(B519:X519)</f>
        <v>225.27</v>
      </c>
      <c r="Z519" s="272"/>
      <c r="AA519" s="275"/>
    </row>
    <row r="520" customFormat="false" ht="14.25" hidden="false" customHeight="false" outlineLevel="0" collapsed="false">
      <c r="A520" s="272" t="s">
        <v>756</v>
      </c>
      <c r="B520" s="273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3"/>
      <c r="P520" s="273"/>
      <c r="Q520" s="273"/>
      <c r="R520" s="273" t="n">
        <v>-309.996</v>
      </c>
      <c r="S520" s="273"/>
      <c r="T520" s="273"/>
      <c r="U520" s="273"/>
      <c r="V520" s="273"/>
      <c r="W520" s="273"/>
      <c r="X520" s="273"/>
      <c r="Y520" s="274" t="n">
        <f aca="false">SUM(B520:X520)</f>
        <v>-309.996</v>
      </c>
      <c r="Z520" s="272"/>
      <c r="AA520" s="275"/>
    </row>
    <row r="521" customFormat="false" ht="14.25" hidden="false" customHeight="false" outlineLevel="0" collapsed="false">
      <c r="A521" s="272" t="s">
        <v>757</v>
      </c>
      <c r="B521" s="273"/>
      <c r="C521" s="273" t="n">
        <v>-5709.8655</v>
      </c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3"/>
      <c r="P521" s="273"/>
      <c r="Q521" s="273"/>
      <c r="R521" s="273"/>
      <c r="S521" s="273"/>
      <c r="T521" s="273"/>
      <c r="U521" s="273"/>
      <c r="V521" s="273"/>
      <c r="W521" s="273"/>
      <c r="X521" s="273"/>
      <c r="Y521" s="274" t="n">
        <f aca="false">SUM(B521:X521)</f>
        <v>-5709.8655</v>
      </c>
      <c r="Z521" s="272"/>
      <c r="AA521" s="275"/>
    </row>
    <row r="522" customFormat="false" ht="14.25" hidden="false" customHeight="false" outlineLevel="0" collapsed="false">
      <c r="A522" s="272" t="s">
        <v>758</v>
      </c>
      <c r="B522" s="273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3"/>
      <c r="P522" s="273" t="n">
        <v>-138.645</v>
      </c>
      <c r="Q522" s="273"/>
      <c r="R522" s="273"/>
      <c r="S522" s="273"/>
      <c r="T522" s="273"/>
      <c r="U522" s="273"/>
      <c r="V522" s="273"/>
      <c r="W522" s="273"/>
      <c r="X522" s="273"/>
      <c r="Y522" s="274" t="n">
        <f aca="false">SUM(B522:X522)</f>
        <v>-138.645</v>
      </c>
      <c r="Z522" s="272"/>
      <c r="AA522" s="275"/>
    </row>
    <row r="523" customFormat="false" ht="14.25" hidden="false" customHeight="false" outlineLevel="0" collapsed="false">
      <c r="A523" s="272" t="s">
        <v>759</v>
      </c>
      <c r="B523" s="273"/>
      <c r="C523" s="273"/>
      <c r="D523" s="273"/>
      <c r="E523" s="273"/>
      <c r="F523" s="273"/>
      <c r="G523" s="273"/>
      <c r="H523" s="273"/>
      <c r="I523" s="273"/>
      <c r="J523" s="273" t="n">
        <v>-567.4</v>
      </c>
      <c r="K523" s="273"/>
      <c r="L523" s="273"/>
      <c r="M523" s="273"/>
      <c r="N523" s="273"/>
      <c r="O523" s="273"/>
      <c r="P523" s="273"/>
      <c r="Q523" s="273"/>
      <c r="R523" s="273"/>
      <c r="S523" s="273"/>
      <c r="T523" s="273"/>
      <c r="U523" s="273"/>
      <c r="V523" s="273"/>
      <c r="W523" s="273"/>
      <c r="X523" s="273"/>
      <c r="Y523" s="274" t="n">
        <f aca="false">SUM(B523:X523)</f>
        <v>-567.4</v>
      </c>
      <c r="Z523" s="272"/>
      <c r="AA523" s="275"/>
    </row>
    <row r="524" customFormat="false" ht="14.25" hidden="false" customHeight="false" outlineLevel="0" collapsed="false">
      <c r="A524" s="272" t="s">
        <v>760</v>
      </c>
      <c r="B524" s="273"/>
      <c r="C524" s="273"/>
      <c r="D524" s="273" t="n">
        <v>225.012</v>
      </c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3"/>
      <c r="P524" s="273"/>
      <c r="Q524" s="273"/>
      <c r="R524" s="273"/>
      <c r="S524" s="273"/>
      <c r="T524" s="273"/>
      <c r="U524" s="273"/>
      <c r="V524" s="273"/>
      <c r="W524" s="273"/>
      <c r="X524" s="273"/>
      <c r="Y524" s="274" t="n">
        <f aca="false">SUM(B524:X524)</f>
        <v>225.012</v>
      </c>
      <c r="Z524" s="272"/>
      <c r="AA524" s="275"/>
    </row>
    <row r="525" customFormat="false" ht="14.25" hidden="false" customHeight="false" outlineLevel="0" collapsed="false">
      <c r="A525" s="272" t="s">
        <v>707</v>
      </c>
      <c r="B525" s="273"/>
      <c r="C525" s="273" t="n">
        <v>-607.4325</v>
      </c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3"/>
      <c r="P525" s="273"/>
      <c r="Q525" s="273"/>
      <c r="R525" s="273"/>
      <c r="S525" s="273"/>
      <c r="T525" s="273"/>
      <c r="U525" s="273"/>
      <c r="V525" s="273"/>
      <c r="W525" s="273"/>
      <c r="X525" s="273"/>
      <c r="Y525" s="274" t="n">
        <f aca="false">SUM(B525:X525)</f>
        <v>-607.4325</v>
      </c>
      <c r="Z525" s="272"/>
      <c r="AA525" s="275"/>
    </row>
    <row r="526" customFormat="false" ht="14.25" hidden="false" customHeight="false" outlineLevel="0" collapsed="false">
      <c r="A526" s="272" t="s">
        <v>761</v>
      </c>
      <c r="B526" s="273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 t="n">
        <v>-470.2575</v>
      </c>
      <c r="O526" s="273"/>
      <c r="P526" s="273"/>
      <c r="Q526" s="273"/>
      <c r="R526" s="273"/>
      <c r="S526" s="273"/>
      <c r="T526" s="273"/>
      <c r="U526" s="273"/>
      <c r="V526" s="273"/>
      <c r="W526" s="273"/>
      <c r="X526" s="273"/>
      <c r="Y526" s="274" t="n">
        <f aca="false">SUM(B526:X526)</f>
        <v>-470.2575</v>
      </c>
      <c r="Z526" s="272"/>
      <c r="AA526" s="275"/>
    </row>
    <row r="527" customFormat="false" ht="14.25" hidden="false" customHeight="false" outlineLevel="0" collapsed="false">
      <c r="A527" s="272" t="s">
        <v>762</v>
      </c>
      <c r="B527" s="273"/>
      <c r="C527" s="273"/>
      <c r="D527" s="273" t="n">
        <v>311.046</v>
      </c>
      <c r="E527" s="273"/>
      <c r="F527" s="273"/>
      <c r="G527" s="273"/>
      <c r="H527" s="273"/>
      <c r="I527" s="273"/>
      <c r="J527" s="273"/>
      <c r="K527" s="273"/>
      <c r="L527" s="273" t="n">
        <v>-2416.74</v>
      </c>
      <c r="M527" s="273"/>
      <c r="N527" s="273"/>
      <c r="O527" s="273"/>
      <c r="P527" s="273"/>
      <c r="Q527" s="273"/>
      <c r="R527" s="273"/>
      <c r="S527" s="273"/>
      <c r="T527" s="273"/>
      <c r="U527" s="273"/>
      <c r="V527" s="273"/>
      <c r="W527" s="273"/>
      <c r="X527" s="273"/>
      <c r="Y527" s="274" t="n">
        <f aca="false">SUM(B527:X527)</f>
        <v>-2105.694</v>
      </c>
      <c r="Z527" s="272"/>
      <c r="AA527" s="275"/>
    </row>
    <row r="528" customFormat="false" ht="14.25" hidden="false" customHeight="false" outlineLevel="0" collapsed="false">
      <c r="A528" s="272" t="s">
        <v>763</v>
      </c>
      <c r="B528" s="273"/>
      <c r="C528" s="273" t="n">
        <v>842.736</v>
      </c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3"/>
      <c r="P528" s="273"/>
      <c r="Q528" s="273"/>
      <c r="R528" s="273"/>
      <c r="S528" s="273"/>
      <c r="T528" s="273"/>
      <c r="U528" s="273"/>
      <c r="V528" s="273"/>
      <c r="W528" s="273"/>
      <c r="X528" s="273"/>
      <c r="Y528" s="274" t="n">
        <f aca="false">SUM(B528:X528)</f>
        <v>842.736</v>
      </c>
      <c r="Z528" s="272"/>
      <c r="AA528" s="275"/>
    </row>
    <row r="529" customFormat="false" ht="14.25" hidden="false" customHeight="false" outlineLevel="0" collapsed="false">
      <c r="A529" s="272" t="s">
        <v>764</v>
      </c>
      <c r="B529" s="273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 t="n">
        <v>-302.0925</v>
      </c>
      <c r="M529" s="273"/>
      <c r="N529" s="273"/>
      <c r="O529" s="273"/>
      <c r="P529" s="273"/>
      <c r="Q529" s="273"/>
      <c r="R529" s="273"/>
      <c r="S529" s="273"/>
      <c r="T529" s="273"/>
      <c r="U529" s="273"/>
      <c r="V529" s="273"/>
      <c r="W529" s="273"/>
      <c r="X529" s="273"/>
      <c r="Y529" s="274" t="n">
        <f aca="false">SUM(B529:X529)</f>
        <v>-302.0925</v>
      </c>
      <c r="Z529" s="272"/>
      <c r="AA529" s="275"/>
    </row>
    <row r="530" customFormat="false" ht="14.25" hidden="false" customHeight="false" outlineLevel="0" collapsed="false">
      <c r="A530" s="272" t="s">
        <v>765</v>
      </c>
      <c r="B530" s="273"/>
      <c r="C530" s="273" t="n">
        <v>-10650</v>
      </c>
      <c r="D530" s="273" t="n">
        <v>-1702</v>
      </c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3"/>
      <c r="P530" s="273"/>
      <c r="Q530" s="273"/>
      <c r="R530" s="273"/>
      <c r="S530" s="273"/>
      <c r="T530" s="273"/>
      <c r="U530" s="273"/>
      <c r="V530" s="273"/>
      <c r="W530" s="273"/>
      <c r="X530" s="273"/>
      <c r="Y530" s="274" t="n">
        <f aca="false">SUM(B530:X530)</f>
        <v>-12352</v>
      </c>
      <c r="Z530" s="272"/>
      <c r="AA530" s="275"/>
    </row>
    <row r="531" customFormat="false" ht="14.25" hidden="false" customHeight="false" outlineLevel="0" collapsed="false">
      <c r="A531" s="272" t="s">
        <v>766</v>
      </c>
      <c r="B531" s="273"/>
      <c r="C531" s="273"/>
      <c r="D531" s="273"/>
      <c r="E531" s="273"/>
      <c r="F531" s="273" t="n">
        <v>-7054.38</v>
      </c>
      <c r="G531" s="273" t="n">
        <v>1007.1</v>
      </c>
      <c r="H531" s="273"/>
      <c r="I531" s="273"/>
      <c r="J531" s="273" t="n">
        <v>-4889.094</v>
      </c>
      <c r="K531" s="273"/>
      <c r="L531" s="273"/>
      <c r="M531" s="273"/>
      <c r="N531" s="273"/>
      <c r="O531" s="273"/>
      <c r="P531" s="273"/>
      <c r="Q531" s="273"/>
      <c r="R531" s="273"/>
      <c r="S531" s="273"/>
      <c r="T531" s="273"/>
      <c r="U531" s="273"/>
      <c r="V531" s="273"/>
      <c r="W531" s="273"/>
      <c r="X531" s="273"/>
      <c r="Y531" s="274" t="n">
        <f aca="false">SUM(B531:X531)</f>
        <v>-10936.374</v>
      </c>
      <c r="Z531" s="272"/>
      <c r="AA531" s="275"/>
    </row>
    <row r="532" customFormat="false" ht="14.25" hidden="false" customHeight="false" outlineLevel="0" collapsed="false">
      <c r="A532" s="272" t="s">
        <v>767</v>
      </c>
      <c r="B532" s="273"/>
      <c r="C532" s="273"/>
      <c r="D532" s="273"/>
      <c r="E532" s="273"/>
      <c r="F532" s="273"/>
      <c r="G532" s="273"/>
      <c r="H532" s="273"/>
      <c r="I532" s="273"/>
      <c r="J532" s="273" t="n">
        <v>-180.36</v>
      </c>
      <c r="K532" s="273"/>
      <c r="L532" s="273"/>
      <c r="M532" s="273"/>
      <c r="N532" s="273"/>
      <c r="O532" s="273"/>
      <c r="P532" s="273"/>
      <c r="Q532" s="273"/>
      <c r="R532" s="273"/>
      <c r="S532" s="273"/>
      <c r="T532" s="273"/>
      <c r="U532" s="273"/>
      <c r="V532" s="273"/>
      <c r="W532" s="273"/>
      <c r="X532" s="273"/>
      <c r="Y532" s="274" t="n">
        <f aca="false">SUM(B532:X532)</f>
        <v>-180.36</v>
      </c>
      <c r="Z532" s="272"/>
      <c r="AA532" s="275"/>
    </row>
    <row r="533" customFormat="false" ht="14.25" hidden="false" customHeight="false" outlineLevel="0" collapsed="false">
      <c r="A533" s="272" t="s">
        <v>768</v>
      </c>
      <c r="B533" s="273" t="n">
        <v>-134.6005</v>
      </c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3"/>
      <c r="P533" s="273"/>
      <c r="Q533" s="273"/>
      <c r="R533" s="273"/>
      <c r="S533" s="273"/>
      <c r="T533" s="273"/>
      <c r="U533" s="273"/>
      <c r="V533" s="273"/>
      <c r="W533" s="273"/>
      <c r="X533" s="273"/>
      <c r="Y533" s="274" t="n">
        <f aca="false">SUM(B533:X533)</f>
        <v>-134.6005</v>
      </c>
      <c r="Z533" s="272"/>
      <c r="AA533" s="275"/>
    </row>
    <row r="534" customFormat="false" ht="14.25" hidden="false" customHeight="false" outlineLevel="0" collapsed="false">
      <c r="A534" s="272" t="s">
        <v>769</v>
      </c>
      <c r="B534" s="273" t="n">
        <v>-1901.9</v>
      </c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3"/>
      <c r="P534" s="273"/>
      <c r="Q534" s="273"/>
      <c r="R534" s="273"/>
      <c r="S534" s="273"/>
      <c r="T534" s="273"/>
      <c r="U534" s="273"/>
      <c r="V534" s="273"/>
      <c r="W534" s="273"/>
      <c r="X534" s="273"/>
      <c r="Y534" s="274" t="n">
        <f aca="false">SUM(B534:X534)</f>
        <v>-1901.9</v>
      </c>
      <c r="Z534" s="272"/>
      <c r="AA534" s="275"/>
    </row>
    <row r="535" customFormat="false" ht="14.25" hidden="false" customHeight="false" outlineLevel="0" collapsed="false">
      <c r="A535" s="272" t="s">
        <v>770</v>
      </c>
      <c r="B535" s="273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3"/>
      <c r="P535" s="273" t="n">
        <v>-138.645</v>
      </c>
      <c r="Q535" s="273"/>
      <c r="R535" s="273"/>
      <c r="S535" s="273"/>
      <c r="T535" s="273"/>
      <c r="U535" s="273"/>
      <c r="V535" s="273"/>
      <c r="W535" s="273"/>
      <c r="X535" s="273"/>
      <c r="Y535" s="274" t="n">
        <f aca="false">SUM(B535:X535)</f>
        <v>-138.645</v>
      </c>
      <c r="Z535" s="272"/>
      <c r="AA535" s="275"/>
    </row>
    <row r="536" customFormat="false" ht="14.25" hidden="false" customHeight="false" outlineLevel="0" collapsed="false">
      <c r="A536" s="272" t="s">
        <v>771</v>
      </c>
      <c r="B536" s="273"/>
      <c r="C536" s="273"/>
      <c r="D536" s="273"/>
      <c r="E536" s="273"/>
      <c r="F536" s="273" t="n">
        <v>-1998.741</v>
      </c>
      <c r="G536" s="273"/>
      <c r="H536" s="273"/>
      <c r="I536" s="273"/>
      <c r="J536" s="273"/>
      <c r="K536" s="273"/>
      <c r="L536" s="273"/>
      <c r="M536" s="273"/>
      <c r="N536" s="273"/>
      <c r="O536" s="273"/>
      <c r="P536" s="273"/>
      <c r="Q536" s="273"/>
      <c r="R536" s="273"/>
      <c r="S536" s="273"/>
      <c r="T536" s="273"/>
      <c r="U536" s="273"/>
      <c r="V536" s="273"/>
      <c r="W536" s="273"/>
      <c r="X536" s="273"/>
      <c r="Y536" s="274" t="n">
        <f aca="false">SUM(B536:X536)</f>
        <v>-1998.741</v>
      </c>
      <c r="Z536" s="272"/>
      <c r="AA536" s="275"/>
    </row>
    <row r="537" customFormat="false" ht="14.25" hidden="false" customHeight="false" outlineLevel="0" collapsed="false">
      <c r="A537" s="272" t="s">
        <v>772</v>
      </c>
      <c r="B537" s="273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3"/>
      <c r="P537" s="273" t="n">
        <v>-277.29</v>
      </c>
      <c r="Q537" s="273"/>
      <c r="R537" s="273"/>
      <c r="S537" s="273"/>
      <c r="T537" s="273"/>
      <c r="U537" s="273"/>
      <c r="V537" s="273"/>
      <c r="W537" s="273"/>
      <c r="X537" s="273"/>
      <c r="Y537" s="274" t="n">
        <f aca="false">SUM(B537:X537)</f>
        <v>-277.29</v>
      </c>
      <c r="Z537" s="272"/>
      <c r="AA537" s="275"/>
    </row>
    <row r="538" customFormat="false" ht="14.25" hidden="false" customHeight="false" outlineLevel="0" collapsed="false">
      <c r="A538" s="272" t="s">
        <v>773</v>
      </c>
      <c r="B538" s="273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3"/>
      <c r="P538" s="273" t="n">
        <v>-831.87</v>
      </c>
      <c r="Q538" s="273"/>
      <c r="R538" s="273"/>
      <c r="S538" s="273"/>
      <c r="T538" s="273"/>
      <c r="U538" s="273"/>
      <c r="V538" s="273"/>
      <c r="W538" s="273"/>
      <c r="X538" s="273"/>
      <c r="Y538" s="274" t="n">
        <f aca="false">SUM(B538:X538)</f>
        <v>-831.87</v>
      </c>
      <c r="Z538" s="272"/>
      <c r="AA538" s="275"/>
    </row>
    <row r="539" customFormat="false" ht="14.25" hidden="false" customHeight="false" outlineLevel="0" collapsed="false">
      <c r="A539" s="272" t="s">
        <v>774</v>
      </c>
      <c r="B539" s="273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 t="n">
        <v>-4898.575</v>
      </c>
      <c r="O539" s="273"/>
      <c r="P539" s="273"/>
      <c r="Q539" s="273"/>
      <c r="R539" s="273"/>
      <c r="S539" s="273"/>
      <c r="T539" s="273"/>
      <c r="U539" s="273"/>
      <c r="V539" s="273"/>
      <c r="W539" s="273"/>
      <c r="X539" s="273"/>
      <c r="Y539" s="274" t="n">
        <f aca="false">SUM(B539:X539)</f>
        <v>-4898.575</v>
      </c>
      <c r="Z539" s="272"/>
      <c r="AA539" s="275"/>
    </row>
    <row r="540" customFormat="false" ht="14.25" hidden="false" customHeight="false" outlineLevel="0" collapsed="false">
      <c r="A540" s="272" t="s">
        <v>775</v>
      </c>
      <c r="B540" s="273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 t="n">
        <v>-18810.3</v>
      </c>
      <c r="O540" s="273"/>
      <c r="P540" s="273"/>
      <c r="Q540" s="273"/>
      <c r="R540" s="273"/>
      <c r="S540" s="273"/>
      <c r="T540" s="273"/>
      <c r="U540" s="273"/>
      <c r="V540" s="273"/>
      <c r="W540" s="273"/>
      <c r="X540" s="273"/>
      <c r="Y540" s="274" t="n">
        <f aca="false">SUM(B540:X540)</f>
        <v>-18810.3</v>
      </c>
      <c r="Z540" s="272"/>
      <c r="AA540" s="275"/>
    </row>
    <row r="541" customFormat="false" ht="14.25" hidden="false" customHeight="false" outlineLevel="0" collapsed="false">
      <c r="A541" s="272" t="s">
        <v>776</v>
      </c>
      <c r="B541" s="273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3"/>
      <c r="P541" s="273" t="n">
        <v>-276.3405</v>
      </c>
      <c r="Q541" s="273"/>
      <c r="R541" s="273"/>
      <c r="S541" s="273"/>
      <c r="T541" s="273"/>
      <c r="U541" s="273"/>
      <c r="V541" s="273"/>
      <c r="W541" s="273"/>
      <c r="X541" s="273"/>
      <c r="Y541" s="274" t="n">
        <f aca="false">SUM(B541:X541)</f>
        <v>-276.3405</v>
      </c>
      <c r="Z541" s="272"/>
      <c r="AA541" s="275"/>
    </row>
    <row r="542" customFormat="false" ht="14.25" hidden="false" customHeight="false" outlineLevel="0" collapsed="false">
      <c r="A542" s="272" t="s">
        <v>777</v>
      </c>
      <c r="B542" s="273" t="n">
        <v>-2442.54</v>
      </c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3"/>
      <c r="P542" s="273"/>
      <c r="Q542" s="273"/>
      <c r="R542" s="273"/>
      <c r="S542" s="273"/>
      <c r="T542" s="273"/>
      <c r="U542" s="273"/>
      <c r="V542" s="273"/>
      <c r="W542" s="273"/>
      <c r="X542" s="273"/>
      <c r="Y542" s="274" t="n">
        <f aca="false">SUM(B542:X542)</f>
        <v>-2442.54</v>
      </c>
      <c r="Z542" s="272"/>
      <c r="AA542" s="275"/>
    </row>
    <row r="543" customFormat="false" ht="14.25" hidden="false" customHeight="false" outlineLevel="0" collapsed="false">
      <c r="A543" s="272" t="s">
        <v>778</v>
      </c>
      <c r="B543" s="273" t="n">
        <v>-610.635</v>
      </c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3"/>
      <c r="P543" s="273"/>
      <c r="Q543" s="273"/>
      <c r="R543" s="273"/>
      <c r="S543" s="273"/>
      <c r="T543" s="273"/>
      <c r="U543" s="273"/>
      <c r="V543" s="273"/>
      <c r="W543" s="273"/>
      <c r="X543" s="273"/>
      <c r="Y543" s="274" t="n">
        <f aca="false">SUM(B543:X543)</f>
        <v>-610.635</v>
      </c>
      <c r="Z543" s="272"/>
      <c r="AA543" s="275"/>
    </row>
    <row r="544" customFormat="false" ht="14.25" hidden="false" customHeight="false" outlineLevel="0" collapsed="false">
      <c r="A544" s="272" t="s">
        <v>779</v>
      </c>
      <c r="B544" s="273" t="n">
        <v>-4307.67</v>
      </c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 t="n">
        <v>-996.524</v>
      </c>
      <c r="O544" s="273"/>
      <c r="P544" s="273"/>
      <c r="Q544" s="273"/>
      <c r="R544" s="273"/>
      <c r="S544" s="273"/>
      <c r="T544" s="273"/>
      <c r="U544" s="273"/>
      <c r="V544" s="273"/>
      <c r="W544" s="273"/>
      <c r="X544" s="273"/>
      <c r="Y544" s="274" t="n">
        <f aca="false">SUM(B544:X544)</f>
        <v>-5304.194</v>
      </c>
      <c r="Z544" s="272"/>
      <c r="AA544" s="275"/>
    </row>
    <row r="545" customFormat="false" ht="14.25" hidden="false" customHeight="false" outlineLevel="0" collapsed="false">
      <c r="A545" s="272" t="s">
        <v>780</v>
      </c>
      <c r="B545" s="273" t="n">
        <v>-1587.651</v>
      </c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3"/>
      <c r="P545" s="273"/>
      <c r="Q545" s="273"/>
      <c r="R545" s="273"/>
      <c r="S545" s="273"/>
      <c r="T545" s="273"/>
      <c r="U545" s="273"/>
      <c r="V545" s="273"/>
      <c r="W545" s="273"/>
      <c r="X545" s="273"/>
      <c r="Y545" s="274" t="n">
        <f aca="false">SUM(B545:X545)</f>
        <v>-1587.651</v>
      </c>
      <c r="Z545" s="272"/>
      <c r="AA545" s="275"/>
    </row>
    <row r="546" customFormat="false" ht="14.25" hidden="false" customHeight="false" outlineLevel="0" collapsed="false">
      <c r="A546" s="272" t="s">
        <v>781</v>
      </c>
      <c r="B546" s="273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3"/>
      <c r="P546" s="273" t="n">
        <v>-89.113</v>
      </c>
      <c r="Q546" s="273"/>
      <c r="R546" s="273"/>
      <c r="S546" s="273"/>
      <c r="T546" s="273"/>
      <c r="U546" s="273"/>
      <c r="V546" s="273"/>
      <c r="W546" s="273"/>
      <c r="X546" s="273"/>
      <c r="Y546" s="274" t="n">
        <f aca="false">SUM(B546:X546)</f>
        <v>-89.113</v>
      </c>
      <c r="Z546" s="272"/>
      <c r="AA546" s="275"/>
    </row>
    <row r="547" customFormat="false" ht="14.25" hidden="false" customHeight="false" outlineLevel="0" collapsed="false">
      <c r="A547" s="272" t="s">
        <v>782</v>
      </c>
      <c r="B547" s="273" t="n">
        <v>-546.0165</v>
      </c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3"/>
      <c r="P547" s="273"/>
      <c r="Q547" s="273"/>
      <c r="R547" s="273"/>
      <c r="S547" s="273"/>
      <c r="T547" s="273"/>
      <c r="U547" s="273"/>
      <c r="V547" s="273"/>
      <c r="W547" s="273"/>
      <c r="X547" s="273"/>
      <c r="Y547" s="274" t="n">
        <f aca="false">SUM(B547:X547)</f>
        <v>-546.0165</v>
      </c>
      <c r="Z547" s="272"/>
      <c r="AA547" s="275"/>
    </row>
    <row r="548" customFormat="false" ht="14.25" hidden="false" customHeight="false" outlineLevel="0" collapsed="false">
      <c r="A548" s="272" t="s">
        <v>783</v>
      </c>
      <c r="B548" s="273"/>
      <c r="C548" s="273"/>
      <c r="D548" s="273"/>
      <c r="E548" s="273"/>
      <c r="F548" s="273"/>
      <c r="G548" s="273"/>
      <c r="H548" s="273" t="n">
        <v>-57.2282</v>
      </c>
      <c r="I548" s="273"/>
      <c r="J548" s="273"/>
      <c r="K548" s="273"/>
      <c r="L548" s="273"/>
      <c r="M548" s="273"/>
      <c r="N548" s="273"/>
      <c r="O548" s="273"/>
      <c r="P548" s="273"/>
      <c r="Q548" s="273"/>
      <c r="R548" s="273"/>
      <c r="S548" s="273"/>
      <c r="T548" s="273"/>
      <c r="U548" s="273"/>
      <c r="V548" s="273"/>
      <c r="W548" s="273"/>
      <c r="X548" s="273"/>
      <c r="Y548" s="274" t="n">
        <f aca="false">SUM(B548:X548)</f>
        <v>-57.2282</v>
      </c>
      <c r="Z548" s="272"/>
      <c r="AA548" s="275"/>
    </row>
    <row r="549" customFormat="false" ht="14.25" hidden="false" customHeight="false" outlineLevel="0" collapsed="false">
      <c r="A549" s="272" t="s">
        <v>784</v>
      </c>
      <c r="B549" s="273"/>
      <c r="C549" s="273"/>
      <c r="D549" s="273"/>
      <c r="E549" s="273"/>
      <c r="F549" s="273"/>
      <c r="G549" s="273"/>
      <c r="H549" s="273" t="n">
        <v>205.524</v>
      </c>
      <c r="I549" s="273"/>
      <c r="J549" s="273" t="n">
        <v>-3275.3175</v>
      </c>
      <c r="K549" s="273"/>
      <c r="L549" s="273"/>
      <c r="M549" s="273"/>
      <c r="N549" s="273"/>
      <c r="O549" s="273"/>
      <c r="P549" s="273"/>
      <c r="Q549" s="273"/>
      <c r="R549" s="273"/>
      <c r="S549" s="273"/>
      <c r="T549" s="273"/>
      <c r="U549" s="273"/>
      <c r="V549" s="273"/>
      <c r="W549" s="273"/>
      <c r="X549" s="273"/>
      <c r="Y549" s="274" t="n">
        <f aca="false">SUM(B549:X549)</f>
        <v>-3069.7935</v>
      </c>
      <c r="Z549" s="272"/>
      <c r="AA549" s="275"/>
    </row>
    <row r="550" customFormat="false" ht="14.25" hidden="false" customHeight="false" outlineLevel="0" collapsed="false">
      <c r="A550" s="272" t="s">
        <v>785</v>
      </c>
      <c r="B550" s="273" t="n">
        <v>-1440.2575</v>
      </c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3"/>
      <c r="P550" s="273"/>
      <c r="Q550" s="273"/>
      <c r="R550" s="273"/>
      <c r="S550" s="273"/>
      <c r="T550" s="273"/>
      <c r="U550" s="273"/>
      <c r="V550" s="273"/>
      <c r="W550" s="273"/>
      <c r="X550" s="273"/>
      <c r="Y550" s="274" t="n">
        <f aca="false">SUM(B550:X550)</f>
        <v>-1440.2575</v>
      </c>
      <c r="Z550" s="272"/>
      <c r="AA550" s="275"/>
    </row>
    <row r="551" customFormat="false" ht="14.25" hidden="false" customHeight="false" outlineLevel="0" collapsed="false">
      <c r="A551" s="272" t="s">
        <v>786</v>
      </c>
      <c r="B551" s="273" t="n">
        <v>-1702.1225</v>
      </c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3"/>
      <c r="P551" s="273"/>
      <c r="Q551" s="273"/>
      <c r="R551" s="273"/>
      <c r="S551" s="273"/>
      <c r="T551" s="273"/>
      <c r="U551" s="273"/>
      <c r="V551" s="273"/>
      <c r="W551" s="273"/>
      <c r="X551" s="273"/>
      <c r="Y551" s="274" t="n">
        <f aca="false">SUM(B551:X551)</f>
        <v>-1702.1225</v>
      </c>
      <c r="Z551" s="272"/>
      <c r="AA551" s="275"/>
    </row>
    <row r="552" customFormat="false" ht="14.25" hidden="false" customHeight="false" outlineLevel="0" collapsed="false">
      <c r="A552" s="272" t="s">
        <v>787</v>
      </c>
      <c r="B552" s="273"/>
      <c r="C552" s="273" t="n">
        <v>-1391.85</v>
      </c>
      <c r="D552" s="273"/>
      <c r="E552" s="273"/>
      <c r="F552" s="273"/>
      <c r="G552" s="273"/>
      <c r="H552" s="273"/>
      <c r="I552" s="273" t="n">
        <v>-10.266</v>
      </c>
      <c r="J552" s="273"/>
      <c r="K552" s="273"/>
      <c r="L552" s="273"/>
      <c r="M552" s="273"/>
      <c r="N552" s="273"/>
      <c r="O552" s="273"/>
      <c r="P552" s="273"/>
      <c r="Q552" s="273"/>
      <c r="R552" s="273"/>
      <c r="S552" s="273"/>
      <c r="T552" s="273"/>
      <c r="U552" s="273"/>
      <c r="V552" s="273"/>
      <c r="W552" s="273"/>
      <c r="X552" s="273"/>
      <c r="Y552" s="274" t="n">
        <f aca="false">SUM(B552:X552)</f>
        <v>-1402.116</v>
      </c>
      <c r="Z552" s="272"/>
      <c r="AA552" s="275"/>
    </row>
    <row r="553" customFormat="false" ht="14.25" hidden="false" customHeight="false" outlineLevel="0" collapsed="false">
      <c r="A553" s="272" t="s">
        <v>788</v>
      </c>
      <c r="B553" s="273"/>
      <c r="C553" s="273"/>
      <c r="D553" s="273"/>
      <c r="E553" s="273"/>
      <c r="F553" s="273"/>
      <c r="G553" s="273"/>
      <c r="H553" s="273"/>
      <c r="I553" s="273" t="n">
        <v>-159.23</v>
      </c>
      <c r="J553" s="273"/>
      <c r="K553" s="273"/>
      <c r="L553" s="273"/>
      <c r="M553" s="273"/>
      <c r="N553" s="273"/>
      <c r="O553" s="273"/>
      <c r="P553" s="273"/>
      <c r="Q553" s="273"/>
      <c r="R553" s="273"/>
      <c r="S553" s="273"/>
      <c r="T553" s="273"/>
      <c r="U553" s="273"/>
      <c r="V553" s="273"/>
      <c r="W553" s="273"/>
      <c r="X553" s="273"/>
      <c r="Y553" s="274" t="n">
        <f aca="false">SUM(B553:X553)</f>
        <v>-159.23</v>
      </c>
      <c r="Z553" s="272"/>
      <c r="AA553" s="275"/>
    </row>
    <row r="554" customFormat="false" ht="14.25" hidden="false" customHeight="false" outlineLevel="0" collapsed="false">
      <c r="A554" s="272" t="s">
        <v>789</v>
      </c>
      <c r="B554" s="273" t="n">
        <v>-130.9325</v>
      </c>
      <c r="C554" s="273"/>
      <c r="D554" s="273"/>
      <c r="E554" s="273"/>
      <c r="F554" s="273"/>
      <c r="G554" s="273"/>
      <c r="H554" s="273"/>
      <c r="I554" s="273"/>
      <c r="J554" s="273"/>
      <c r="K554" s="273"/>
      <c r="L554" s="273" t="n">
        <v>-93.775</v>
      </c>
      <c r="M554" s="273"/>
      <c r="N554" s="273" t="n">
        <v>-595.1825</v>
      </c>
      <c r="O554" s="273"/>
      <c r="P554" s="273"/>
      <c r="Q554" s="273"/>
      <c r="R554" s="273"/>
      <c r="S554" s="273"/>
      <c r="T554" s="273"/>
      <c r="U554" s="273"/>
      <c r="V554" s="273"/>
      <c r="W554" s="273"/>
      <c r="X554" s="273"/>
      <c r="Y554" s="274" t="n">
        <f aca="false">SUM(B554:X554)</f>
        <v>-819.89</v>
      </c>
      <c r="Z554" s="272"/>
      <c r="AA554" s="275"/>
    </row>
    <row r="555" customFormat="false" ht="14.25" hidden="false" customHeight="false" outlineLevel="0" collapsed="false">
      <c r="A555" s="272" t="s">
        <v>790</v>
      </c>
      <c r="B555" s="273"/>
      <c r="C555" s="273" t="n">
        <v>-9327.1</v>
      </c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3"/>
      <c r="P555" s="273"/>
      <c r="Q555" s="273"/>
      <c r="R555" s="273"/>
      <c r="S555" s="273"/>
      <c r="T555" s="273"/>
      <c r="U555" s="273"/>
      <c r="V555" s="273"/>
      <c r="W555" s="273"/>
      <c r="X555" s="273"/>
      <c r="Y555" s="274" t="n">
        <f aca="false">SUM(B555:X555)</f>
        <v>-9327.1</v>
      </c>
      <c r="Z555" s="272"/>
      <c r="AA555" s="275"/>
    </row>
    <row r="556" customFormat="false" ht="14.25" hidden="false" customHeight="false" outlineLevel="0" collapsed="false">
      <c r="A556" s="272" t="s">
        <v>791</v>
      </c>
      <c r="B556" s="273"/>
      <c r="C556" s="273"/>
      <c r="D556" s="273"/>
      <c r="E556" s="273"/>
      <c r="F556" s="273" t="n">
        <v>-4528.698</v>
      </c>
      <c r="G556" s="273"/>
      <c r="H556" s="273"/>
      <c r="I556" s="273"/>
      <c r="J556" s="273"/>
      <c r="K556" s="273"/>
      <c r="L556" s="273"/>
      <c r="M556" s="273"/>
      <c r="N556" s="273"/>
      <c r="O556" s="273"/>
      <c r="P556" s="273"/>
      <c r="Q556" s="273"/>
      <c r="R556" s="273"/>
      <c r="S556" s="273"/>
      <c r="T556" s="273"/>
      <c r="U556" s="273"/>
      <c r="V556" s="273"/>
      <c r="W556" s="273"/>
      <c r="X556" s="273"/>
      <c r="Y556" s="274" t="n">
        <f aca="false">SUM(B556:X556)</f>
        <v>-4528.698</v>
      </c>
      <c r="Z556" s="272"/>
      <c r="AA556" s="275"/>
    </row>
    <row r="557" customFormat="false" ht="14.25" hidden="false" customHeight="false" outlineLevel="0" collapsed="false">
      <c r="A557" s="272" t="s">
        <v>792</v>
      </c>
      <c r="B557" s="273"/>
      <c r="C557" s="273"/>
      <c r="D557" s="273"/>
      <c r="E557" s="273"/>
      <c r="F557" s="273"/>
      <c r="G557" s="273"/>
      <c r="H557" s="273"/>
      <c r="I557" s="273" t="n">
        <v>-69.2955</v>
      </c>
      <c r="J557" s="273"/>
      <c r="K557" s="273"/>
      <c r="L557" s="273"/>
      <c r="M557" s="273"/>
      <c r="N557" s="273"/>
      <c r="O557" s="273"/>
      <c r="P557" s="273"/>
      <c r="Q557" s="273"/>
      <c r="R557" s="273"/>
      <c r="S557" s="273"/>
      <c r="T557" s="273"/>
      <c r="U557" s="273"/>
      <c r="V557" s="273"/>
      <c r="W557" s="273"/>
      <c r="X557" s="273"/>
      <c r="Y557" s="274" t="n">
        <f aca="false">SUM(B557:X557)</f>
        <v>-69.2955</v>
      </c>
      <c r="Z557" s="272"/>
      <c r="AA557" s="275"/>
    </row>
    <row r="558" customFormat="false" ht="14.25" hidden="false" customHeight="false" outlineLevel="0" collapsed="false">
      <c r="A558" s="272" t="s">
        <v>793</v>
      </c>
      <c r="B558" s="273"/>
      <c r="C558" s="273"/>
      <c r="D558" s="273"/>
      <c r="E558" s="273"/>
      <c r="F558" s="273"/>
      <c r="G558" s="273"/>
      <c r="H558" s="273"/>
      <c r="I558" s="273" t="n">
        <v>-69.2955</v>
      </c>
      <c r="J558" s="273"/>
      <c r="K558" s="273"/>
      <c r="L558" s="273"/>
      <c r="M558" s="273"/>
      <c r="N558" s="273"/>
      <c r="O558" s="273"/>
      <c r="P558" s="273"/>
      <c r="Q558" s="273"/>
      <c r="R558" s="273"/>
      <c r="S558" s="273"/>
      <c r="T558" s="273"/>
      <c r="U558" s="273"/>
      <c r="V558" s="273"/>
      <c r="W558" s="273"/>
      <c r="X558" s="273"/>
      <c r="Y558" s="274" t="n">
        <f aca="false">SUM(B558:X558)</f>
        <v>-69.2955</v>
      </c>
      <c r="Z558" s="272"/>
      <c r="AA558" s="275"/>
    </row>
    <row r="559" customFormat="false" ht="14.25" hidden="false" customHeight="false" outlineLevel="0" collapsed="false">
      <c r="A559" s="272" t="s">
        <v>794</v>
      </c>
      <c r="B559" s="273" t="n">
        <v>-3142.38</v>
      </c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3"/>
      <c r="P559" s="273"/>
      <c r="Q559" s="273"/>
      <c r="R559" s="273"/>
      <c r="S559" s="273"/>
      <c r="T559" s="273"/>
      <c r="U559" s="273"/>
      <c r="V559" s="273"/>
      <c r="W559" s="273"/>
      <c r="X559" s="273"/>
      <c r="Y559" s="274" t="n">
        <f aca="false">SUM(B559:X559)</f>
        <v>-3142.38</v>
      </c>
      <c r="Z559" s="272"/>
      <c r="AA559" s="275"/>
    </row>
    <row r="560" customFormat="false" ht="14.25" hidden="false" customHeight="false" outlineLevel="0" collapsed="false">
      <c r="A560" s="272" t="s">
        <v>795</v>
      </c>
      <c r="B560" s="273"/>
      <c r="C560" s="273"/>
      <c r="D560" s="273"/>
      <c r="E560" s="273"/>
      <c r="F560" s="273" t="n">
        <v>-4524.45</v>
      </c>
      <c r="G560" s="273"/>
      <c r="H560" s="273"/>
      <c r="I560" s="273"/>
      <c r="J560" s="273"/>
      <c r="K560" s="273"/>
      <c r="L560" s="273"/>
      <c r="M560" s="273"/>
      <c r="N560" s="273"/>
      <c r="O560" s="273"/>
      <c r="P560" s="273"/>
      <c r="Q560" s="273"/>
      <c r="R560" s="273"/>
      <c r="S560" s="273"/>
      <c r="T560" s="273"/>
      <c r="U560" s="273"/>
      <c r="V560" s="273"/>
      <c r="W560" s="273"/>
      <c r="X560" s="273"/>
      <c r="Y560" s="274" t="n">
        <f aca="false">SUM(B560:X560)</f>
        <v>-4524.45</v>
      </c>
      <c r="Z560" s="272"/>
      <c r="AA560" s="275"/>
    </row>
    <row r="561" customFormat="false" ht="14.25" hidden="false" customHeight="false" outlineLevel="0" collapsed="false">
      <c r="A561" s="272" t="s">
        <v>796</v>
      </c>
      <c r="B561" s="273"/>
      <c r="C561" s="273" t="n">
        <v>-255.17</v>
      </c>
      <c r="D561" s="273"/>
      <c r="E561" s="273"/>
      <c r="F561" s="273"/>
      <c r="G561" s="273"/>
      <c r="H561" s="273"/>
      <c r="I561" s="273" t="n">
        <v>-15.399</v>
      </c>
      <c r="J561" s="273"/>
      <c r="K561" s="273"/>
      <c r="L561" s="273" t="n">
        <v>-1004.52</v>
      </c>
      <c r="M561" s="273"/>
      <c r="N561" s="273"/>
      <c r="O561" s="273"/>
      <c r="P561" s="273"/>
      <c r="Q561" s="273"/>
      <c r="R561" s="273"/>
      <c r="S561" s="273"/>
      <c r="T561" s="273"/>
      <c r="U561" s="273"/>
      <c r="V561" s="273"/>
      <c r="W561" s="273"/>
      <c r="X561" s="273"/>
      <c r="Y561" s="274" t="n">
        <f aca="false">SUM(B561:X561)</f>
        <v>-1275.089</v>
      </c>
      <c r="Z561" s="272"/>
      <c r="AA561" s="275"/>
    </row>
    <row r="562" customFormat="false" ht="14.25" hidden="false" customHeight="false" outlineLevel="0" collapsed="false">
      <c r="A562" s="272" t="s">
        <v>797</v>
      </c>
      <c r="B562" s="273"/>
      <c r="C562" s="273"/>
      <c r="D562" s="273"/>
      <c r="E562" s="273"/>
      <c r="F562" s="273"/>
      <c r="G562" s="273"/>
      <c r="H562" s="273"/>
      <c r="I562" s="273"/>
      <c r="J562" s="273" t="n">
        <v>3245.265</v>
      </c>
      <c r="K562" s="273"/>
      <c r="L562" s="273" t="n">
        <v>-2990.106</v>
      </c>
      <c r="M562" s="273"/>
      <c r="N562" s="273"/>
      <c r="O562" s="273"/>
      <c r="P562" s="273"/>
      <c r="Q562" s="273"/>
      <c r="R562" s="273"/>
      <c r="S562" s="273"/>
      <c r="T562" s="273"/>
      <c r="U562" s="273"/>
      <c r="V562" s="273"/>
      <c r="W562" s="273"/>
      <c r="X562" s="273"/>
      <c r="Y562" s="274" t="n">
        <f aca="false">SUM(B562:X562)</f>
        <v>255.159</v>
      </c>
      <c r="Z562" s="272"/>
      <c r="AA562" s="275"/>
    </row>
    <row r="563" customFormat="false" ht="14.25" hidden="false" customHeight="false" outlineLevel="0" collapsed="false">
      <c r="A563" s="272" t="s">
        <v>798</v>
      </c>
      <c r="B563" s="273" t="n">
        <v>-2356.785</v>
      </c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3"/>
      <c r="P563" s="273"/>
      <c r="Q563" s="273"/>
      <c r="R563" s="273"/>
      <c r="S563" s="273"/>
      <c r="T563" s="273"/>
      <c r="U563" s="273"/>
      <c r="V563" s="273"/>
      <c r="W563" s="273"/>
      <c r="X563" s="273"/>
      <c r="Y563" s="274" t="n">
        <f aca="false">SUM(B563:X563)</f>
        <v>-2356.785</v>
      </c>
      <c r="Z563" s="272"/>
      <c r="AA563" s="275"/>
    </row>
    <row r="564" customFormat="false" ht="14.25" hidden="false" customHeight="false" outlineLevel="0" collapsed="false">
      <c r="A564" s="272" t="s">
        <v>799</v>
      </c>
      <c r="B564" s="273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 t="n">
        <v>-15474.745</v>
      </c>
      <c r="O564" s="273"/>
      <c r="P564" s="273"/>
      <c r="Q564" s="273"/>
      <c r="R564" s="273"/>
      <c r="S564" s="273"/>
      <c r="T564" s="273"/>
      <c r="U564" s="273"/>
      <c r="V564" s="273"/>
      <c r="W564" s="273"/>
      <c r="X564" s="273"/>
      <c r="Y564" s="274" t="n">
        <f aca="false">SUM(B564:X564)</f>
        <v>-15474.745</v>
      </c>
      <c r="Z564" s="272"/>
      <c r="AA564" s="275"/>
    </row>
    <row r="565" customFormat="false" ht="14.25" hidden="false" customHeight="false" outlineLevel="0" collapsed="false">
      <c r="A565" s="272" t="s">
        <v>800</v>
      </c>
      <c r="B565" s="273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 t="n">
        <v>-236.42</v>
      </c>
      <c r="O565" s="273"/>
      <c r="P565" s="273"/>
      <c r="Q565" s="273"/>
      <c r="R565" s="273"/>
      <c r="S565" s="273"/>
      <c r="T565" s="273"/>
      <c r="U565" s="273"/>
      <c r="V565" s="273"/>
      <c r="W565" s="273"/>
      <c r="X565" s="273"/>
      <c r="Y565" s="274" t="n">
        <f aca="false">SUM(B565:X565)</f>
        <v>-236.42</v>
      </c>
      <c r="Z565" s="272"/>
      <c r="AA565" s="275"/>
    </row>
    <row r="566" customFormat="false" ht="14.25" hidden="false" customHeight="false" outlineLevel="0" collapsed="false">
      <c r="A566" s="272" t="s">
        <v>801</v>
      </c>
      <c r="B566" s="273"/>
      <c r="C566" s="273" t="n">
        <v>-1310.76</v>
      </c>
      <c r="D566" s="273"/>
      <c r="E566" s="273" t="n">
        <v>-61.65</v>
      </c>
      <c r="F566" s="273"/>
      <c r="G566" s="273"/>
      <c r="H566" s="273"/>
      <c r="I566" s="273"/>
      <c r="J566" s="273"/>
      <c r="K566" s="273"/>
      <c r="L566" s="273"/>
      <c r="M566" s="273"/>
      <c r="N566" s="273"/>
      <c r="O566" s="273"/>
      <c r="P566" s="273"/>
      <c r="Q566" s="273"/>
      <c r="R566" s="273"/>
      <c r="S566" s="273"/>
      <c r="T566" s="273"/>
      <c r="U566" s="273"/>
      <c r="V566" s="273"/>
      <c r="W566" s="273"/>
      <c r="X566" s="273"/>
      <c r="Y566" s="274" t="n">
        <f aca="false">SUM(B566:X566)</f>
        <v>-1372.41</v>
      </c>
      <c r="Z566" s="272"/>
      <c r="AA566" s="275"/>
    </row>
    <row r="567" customFormat="false" ht="14.25" hidden="false" customHeight="false" outlineLevel="0" collapsed="false">
      <c r="A567" s="272" t="s">
        <v>802</v>
      </c>
      <c r="B567" s="273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 t="n">
        <v>-251.13</v>
      </c>
      <c r="M567" s="273"/>
      <c r="N567" s="273"/>
      <c r="O567" s="273"/>
      <c r="P567" s="273" t="n">
        <v>-554.58</v>
      </c>
      <c r="Q567" s="273"/>
      <c r="R567" s="273"/>
      <c r="S567" s="273"/>
      <c r="T567" s="273"/>
      <c r="U567" s="273"/>
      <c r="V567" s="273"/>
      <c r="W567" s="273"/>
      <c r="X567" s="273"/>
      <c r="Y567" s="274" t="n">
        <f aca="false">SUM(B567:X567)</f>
        <v>-805.71</v>
      </c>
      <c r="Z567" s="272"/>
      <c r="AA567" s="275"/>
    </row>
    <row r="568" customFormat="false" ht="14.25" hidden="false" customHeight="false" outlineLevel="0" collapsed="false">
      <c r="A568" s="272" t="s">
        <v>803</v>
      </c>
      <c r="B568" s="273"/>
      <c r="C568" s="273"/>
      <c r="D568" s="273"/>
      <c r="E568" s="273" t="n">
        <v>-90.42</v>
      </c>
      <c r="F568" s="273"/>
      <c r="G568" s="273"/>
      <c r="H568" s="273"/>
      <c r="I568" s="273"/>
      <c r="J568" s="273" t="n">
        <v>-11671.38</v>
      </c>
      <c r="K568" s="273"/>
      <c r="L568" s="273"/>
      <c r="M568" s="273"/>
      <c r="N568" s="273" t="n">
        <v>-12250.6</v>
      </c>
      <c r="O568" s="273"/>
      <c r="P568" s="273"/>
      <c r="Q568" s="273"/>
      <c r="R568" s="273"/>
      <c r="S568" s="273"/>
      <c r="T568" s="273"/>
      <c r="U568" s="273"/>
      <c r="V568" s="273"/>
      <c r="W568" s="273"/>
      <c r="X568" s="273"/>
      <c r="Y568" s="274" t="n">
        <f aca="false">SUM(B568:X568)</f>
        <v>-24012.4</v>
      </c>
      <c r="Z568" s="272"/>
      <c r="AA568" s="275"/>
    </row>
    <row r="569" customFormat="false" ht="14.25" hidden="false" customHeight="false" outlineLevel="0" collapsed="false">
      <c r="A569" s="272" t="s">
        <v>804</v>
      </c>
      <c r="B569" s="273"/>
      <c r="C569" s="273" t="n">
        <v>5685.726</v>
      </c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3"/>
      <c r="P569" s="273"/>
      <c r="Q569" s="273"/>
      <c r="R569" s="273"/>
      <c r="S569" s="273"/>
      <c r="T569" s="273"/>
      <c r="U569" s="273"/>
      <c r="V569" s="273"/>
      <c r="W569" s="273"/>
      <c r="X569" s="273"/>
      <c r="Y569" s="274" t="n">
        <f aca="false">SUM(B569:X569)</f>
        <v>5685.726</v>
      </c>
      <c r="Z569" s="272"/>
      <c r="AA569" s="275"/>
    </row>
    <row r="570" customFormat="false" ht="14.25" hidden="false" customHeight="false" outlineLevel="0" collapsed="false">
      <c r="A570" s="272" t="s">
        <v>805</v>
      </c>
      <c r="B570" s="273"/>
      <c r="C570" s="273"/>
      <c r="D570" s="273"/>
      <c r="E570" s="273" t="n">
        <v>1086.1035</v>
      </c>
      <c r="F570" s="273"/>
      <c r="G570" s="273"/>
      <c r="H570" s="273"/>
      <c r="I570" s="273"/>
      <c r="J570" s="273" t="n">
        <v>-2820.96</v>
      </c>
      <c r="K570" s="273"/>
      <c r="L570" s="273"/>
      <c r="M570" s="273"/>
      <c r="N570" s="273" t="n">
        <v>-11944.5405</v>
      </c>
      <c r="O570" s="273"/>
      <c r="P570" s="273"/>
      <c r="Q570" s="273"/>
      <c r="R570" s="273"/>
      <c r="S570" s="273"/>
      <c r="T570" s="273"/>
      <c r="U570" s="273"/>
      <c r="V570" s="273"/>
      <c r="W570" s="273"/>
      <c r="X570" s="273"/>
      <c r="Y570" s="274" t="n">
        <f aca="false">SUM(B570:X570)</f>
        <v>-13679.397</v>
      </c>
      <c r="Z570" s="272"/>
      <c r="AA570" s="275"/>
    </row>
    <row r="571" customFormat="false" ht="14.25" hidden="false" customHeight="false" outlineLevel="0" collapsed="false">
      <c r="A571" s="272" t="s">
        <v>806</v>
      </c>
      <c r="B571" s="273"/>
      <c r="C571" s="273" t="n">
        <v>-3932.28</v>
      </c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3"/>
      <c r="P571" s="273"/>
      <c r="Q571" s="273"/>
      <c r="R571" s="273"/>
      <c r="S571" s="273"/>
      <c r="T571" s="273"/>
      <c r="U571" s="273"/>
      <c r="V571" s="273"/>
      <c r="W571" s="273"/>
      <c r="X571" s="273"/>
      <c r="Y571" s="274" t="n">
        <f aca="false">SUM(B571:X571)</f>
        <v>-3932.28</v>
      </c>
      <c r="Z571" s="272"/>
      <c r="AA571" s="275"/>
    </row>
    <row r="572" customFormat="false" ht="14.25" hidden="false" customHeight="false" outlineLevel="0" collapsed="false">
      <c r="A572" s="272" t="s">
        <v>807</v>
      </c>
      <c r="B572" s="273"/>
      <c r="C572" s="273"/>
      <c r="D572" s="273"/>
      <c r="E572" s="273"/>
      <c r="F572" s="273" t="n">
        <v>-58.7865</v>
      </c>
      <c r="G572" s="273"/>
      <c r="H572" s="273"/>
      <c r="I572" s="273"/>
      <c r="J572" s="273"/>
      <c r="K572" s="273"/>
      <c r="L572" s="273"/>
      <c r="M572" s="273"/>
      <c r="N572" s="273"/>
      <c r="O572" s="273"/>
      <c r="P572" s="273"/>
      <c r="Q572" s="273"/>
      <c r="R572" s="273"/>
      <c r="S572" s="273"/>
      <c r="T572" s="273"/>
      <c r="U572" s="273"/>
      <c r="V572" s="273"/>
      <c r="W572" s="273"/>
      <c r="X572" s="273"/>
      <c r="Y572" s="274" t="n">
        <f aca="false">SUM(B572:X572)</f>
        <v>-58.7865</v>
      </c>
      <c r="Z572" s="272"/>
      <c r="AA572" s="275"/>
    </row>
    <row r="573" customFormat="false" ht="14.25" hidden="false" customHeight="false" outlineLevel="0" collapsed="false">
      <c r="A573" s="272" t="s">
        <v>721</v>
      </c>
      <c r="B573" s="273"/>
      <c r="C573" s="273" t="n">
        <v>-2969.28</v>
      </c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3"/>
      <c r="P573" s="273"/>
      <c r="Q573" s="273"/>
      <c r="R573" s="273"/>
      <c r="S573" s="273"/>
      <c r="T573" s="273"/>
      <c r="U573" s="273"/>
      <c r="V573" s="273"/>
      <c r="W573" s="273"/>
      <c r="X573" s="273"/>
      <c r="Y573" s="274" t="n">
        <f aca="false">SUM(B573:X573)</f>
        <v>-2969.28</v>
      </c>
      <c r="Z573" s="272"/>
      <c r="AA573" s="275"/>
    </row>
    <row r="574" customFormat="false" ht="14.25" hidden="false" customHeight="false" outlineLevel="0" collapsed="false">
      <c r="A574" s="272" t="s">
        <v>699</v>
      </c>
      <c r="B574" s="273" t="n">
        <v>-1664.1625</v>
      </c>
      <c r="C574" s="273"/>
      <c r="D574" s="273"/>
      <c r="E574" s="273"/>
      <c r="F574" s="273"/>
      <c r="G574" s="273"/>
      <c r="H574" s="273"/>
      <c r="I574" s="273" t="n">
        <v>8.31</v>
      </c>
      <c r="J574" s="273"/>
      <c r="K574" s="273"/>
      <c r="L574" s="273"/>
      <c r="M574" s="273"/>
      <c r="N574" s="273"/>
      <c r="O574" s="273"/>
      <c r="P574" s="273"/>
      <c r="Q574" s="273"/>
      <c r="R574" s="273"/>
      <c r="S574" s="273"/>
      <c r="T574" s="273"/>
      <c r="U574" s="273"/>
      <c r="V574" s="273"/>
      <c r="W574" s="273"/>
      <c r="X574" s="273"/>
      <c r="Y574" s="274" t="n">
        <f aca="false">SUM(B574:X574)</f>
        <v>-1655.8525</v>
      </c>
      <c r="Z574" s="272"/>
      <c r="AA574" s="275"/>
    </row>
    <row r="575" customFormat="false" ht="14.25" hidden="false" customHeight="false" outlineLevel="0" collapsed="false">
      <c r="A575" s="272" t="s">
        <v>808</v>
      </c>
      <c r="B575" s="273" t="n">
        <v>-5266.776</v>
      </c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3"/>
      <c r="P575" s="273"/>
      <c r="Q575" s="273"/>
      <c r="R575" s="273"/>
      <c r="S575" s="273"/>
      <c r="T575" s="273"/>
      <c r="U575" s="273"/>
      <c r="V575" s="273"/>
      <c r="W575" s="273"/>
      <c r="X575" s="273"/>
      <c r="Y575" s="274" t="n">
        <f aca="false">SUM(B575:X575)</f>
        <v>-5266.776</v>
      </c>
      <c r="Z575" s="272"/>
      <c r="AA575" s="275"/>
    </row>
    <row r="576" customFormat="false" ht="14.25" hidden="false" customHeight="false" outlineLevel="0" collapsed="false">
      <c r="A576" s="272" t="s">
        <v>809</v>
      </c>
      <c r="B576" s="273" t="n">
        <v>-9174.384</v>
      </c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 t="n">
        <v>-1222.84</v>
      </c>
      <c r="O576" s="273"/>
      <c r="P576" s="273"/>
      <c r="Q576" s="273"/>
      <c r="R576" s="273"/>
      <c r="S576" s="273"/>
      <c r="T576" s="273"/>
      <c r="U576" s="273"/>
      <c r="V576" s="273"/>
      <c r="W576" s="273"/>
      <c r="X576" s="273"/>
      <c r="Y576" s="274" t="n">
        <f aca="false">SUM(B576:X576)</f>
        <v>-10397.224</v>
      </c>
      <c r="Z576" s="272"/>
      <c r="AA576" s="275"/>
    </row>
    <row r="577" customFormat="false" ht="14.25" hidden="false" customHeight="false" outlineLevel="0" collapsed="false">
      <c r="A577" s="272" t="s">
        <v>810</v>
      </c>
      <c r="B577" s="273" t="n">
        <v>-27183.36</v>
      </c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3"/>
      <c r="P577" s="273"/>
      <c r="Q577" s="273"/>
      <c r="R577" s="273"/>
      <c r="S577" s="273"/>
      <c r="T577" s="273"/>
      <c r="U577" s="273"/>
      <c r="V577" s="273"/>
      <c r="W577" s="273"/>
      <c r="X577" s="273"/>
      <c r="Y577" s="274" t="n">
        <f aca="false">SUM(B577:X577)</f>
        <v>-27183.36</v>
      </c>
      <c r="Z577" s="272"/>
      <c r="AA577" s="275"/>
    </row>
    <row r="578" customFormat="false" ht="14.25" hidden="false" customHeight="false" outlineLevel="0" collapsed="false">
      <c r="A578" s="272" t="s">
        <v>811</v>
      </c>
      <c r="B578" s="273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3"/>
      <c r="P578" s="273" t="n">
        <v>-277.29</v>
      </c>
      <c r="Q578" s="273"/>
      <c r="R578" s="273"/>
      <c r="S578" s="273"/>
      <c r="T578" s="273"/>
      <c r="U578" s="273"/>
      <c r="V578" s="273"/>
      <c r="W578" s="273"/>
      <c r="X578" s="273"/>
      <c r="Y578" s="274" t="n">
        <f aca="false">SUM(B578:X578)</f>
        <v>-277.29</v>
      </c>
      <c r="Z578" s="272"/>
      <c r="AA578" s="275"/>
    </row>
    <row r="579" customFormat="false" ht="14.25" hidden="false" customHeight="false" outlineLevel="0" collapsed="false">
      <c r="A579" s="272" t="s">
        <v>445</v>
      </c>
      <c r="B579" s="273"/>
      <c r="C579" s="273"/>
      <c r="D579" s="273"/>
      <c r="E579" s="273" t="n">
        <v>1621.05</v>
      </c>
      <c r="F579" s="273"/>
      <c r="G579" s="273"/>
      <c r="H579" s="273"/>
      <c r="I579" s="273"/>
      <c r="J579" s="273"/>
      <c r="K579" s="273"/>
      <c r="L579" s="273"/>
      <c r="M579" s="273"/>
      <c r="N579" s="273"/>
      <c r="O579" s="273"/>
      <c r="P579" s="273"/>
      <c r="Q579" s="273"/>
      <c r="R579" s="273"/>
      <c r="S579" s="273"/>
      <c r="T579" s="273"/>
      <c r="U579" s="273"/>
      <c r="V579" s="273"/>
      <c r="W579" s="273"/>
      <c r="X579" s="273"/>
      <c r="Y579" s="274" t="n">
        <f aca="false">SUM(B579:X579)</f>
        <v>1621.05</v>
      </c>
      <c r="Z579" s="272"/>
      <c r="AA579" s="275"/>
    </row>
    <row r="580" customFormat="false" ht="14.25" hidden="false" customHeight="false" outlineLevel="0" collapsed="false">
      <c r="A580" s="272" t="s">
        <v>749</v>
      </c>
      <c r="B580" s="273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 t="n">
        <v>-1881.03</v>
      </c>
      <c r="O580" s="273"/>
      <c r="P580" s="273" t="n">
        <v>-1426.032</v>
      </c>
      <c r="Q580" s="273"/>
      <c r="R580" s="273"/>
      <c r="S580" s="273"/>
      <c r="T580" s="273"/>
      <c r="U580" s="273"/>
      <c r="V580" s="273"/>
      <c r="W580" s="273"/>
      <c r="X580" s="273"/>
      <c r="Y580" s="274" t="n">
        <f aca="false">SUM(B580:X580)</f>
        <v>-3307.062</v>
      </c>
      <c r="Z580" s="272"/>
      <c r="AA580" s="275"/>
    </row>
    <row r="581" customFormat="false" ht="14.25" hidden="false" customHeight="false" outlineLevel="0" collapsed="false">
      <c r="A581" s="272" t="s">
        <v>632</v>
      </c>
      <c r="B581" s="273"/>
      <c r="C581" s="273"/>
      <c r="D581" s="273"/>
      <c r="E581" s="273"/>
      <c r="F581" s="273" t="n">
        <v>-21321.72</v>
      </c>
      <c r="G581" s="273"/>
      <c r="H581" s="273"/>
      <c r="I581" s="273"/>
      <c r="J581" s="273"/>
      <c r="K581" s="273"/>
      <c r="L581" s="273"/>
      <c r="M581" s="273"/>
      <c r="N581" s="273"/>
      <c r="O581" s="273"/>
      <c r="P581" s="273"/>
      <c r="Q581" s="273"/>
      <c r="R581" s="273"/>
      <c r="S581" s="273"/>
      <c r="T581" s="273"/>
      <c r="U581" s="273"/>
      <c r="V581" s="273"/>
      <c r="W581" s="273"/>
      <c r="X581" s="273"/>
      <c r="Y581" s="274" t="n">
        <f aca="false">SUM(B581:X581)</f>
        <v>-21321.72</v>
      </c>
      <c r="Z581" s="272"/>
      <c r="AA581" s="275"/>
    </row>
    <row r="582" customFormat="false" ht="14.25" hidden="false" customHeight="false" outlineLevel="0" collapsed="false">
      <c r="A582" s="272" t="s">
        <v>812</v>
      </c>
      <c r="B582" s="273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 t="n">
        <v>-10762.108</v>
      </c>
      <c r="O582" s="273"/>
      <c r="P582" s="273"/>
      <c r="Q582" s="273"/>
      <c r="R582" s="273"/>
      <c r="S582" s="273"/>
      <c r="T582" s="273"/>
      <c r="U582" s="273"/>
      <c r="V582" s="273"/>
      <c r="W582" s="273"/>
      <c r="X582" s="273"/>
      <c r="Y582" s="274" t="n">
        <f aca="false">SUM(B582:X582)</f>
        <v>-10762.108</v>
      </c>
      <c r="Z582" s="272"/>
      <c r="AA582" s="275"/>
    </row>
    <row r="583" customFormat="false" ht="14.25" hidden="false" customHeight="false" outlineLevel="0" collapsed="false">
      <c r="A583" s="272" t="s">
        <v>813</v>
      </c>
      <c r="B583" s="273" t="n">
        <v>-3333.45</v>
      </c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3"/>
      <c r="P583" s="273"/>
      <c r="Q583" s="273"/>
      <c r="R583" s="273"/>
      <c r="S583" s="273"/>
      <c r="T583" s="273"/>
      <c r="U583" s="273"/>
      <c r="V583" s="273"/>
      <c r="W583" s="273"/>
      <c r="X583" s="273"/>
      <c r="Y583" s="274" t="n">
        <f aca="false">SUM(B583:X583)</f>
        <v>-3333.45</v>
      </c>
      <c r="Z583" s="272"/>
      <c r="AA583" s="275"/>
    </row>
    <row r="584" customFormat="false" ht="14.25" hidden="false" customHeight="false" outlineLevel="0" collapsed="false">
      <c r="A584" s="272" t="s">
        <v>622</v>
      </c>
      <c r="B584" s="273" t="n">
        <v>-1866.732</v>
      </c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3"/>
      <c r="P584" s="273"/>
      <c r="Q584" s="273"/>
      <c r="R584" s="273"/>
      <c r="S584" s="273"/>
      <c r="T584" s="273"/>
      <c r="U584" s="273"/>
      <c r="V584" s="273"/>
      <c r="W584" s="273"/>
      <c r="X584" s="273"/>
      <c r="Y584" s="274" t="n">
        <f aca="false">SUM(B584:X584)</f>
        <v>-1866.732</v>
      </c>
      <c r="Z584" s="272"/>
      <c r="AA584" s="275"/>
    </row>
    <row r="585" customFormat="false" ht="14.25" hidden="false" customHeight="false" outlineLevel="0" collapsed="false">
      <c r="A585" s="272" t="s">
        <v>814</v>
      </c>
      <c r="B585" s="273"/>
      <c r="C585" s="273"/>
      <c r="D585" s="273"/>
      <c r="E585" s="273" t="n">
        <v>-1408.5</v>
      </c>
      <c r="F585" s="273"/>
      <c r="G585" s="273"/>
      <c r="H585" s="273"/>
      <c r="I585" s="273"/>
      <c r="J585" s="273"/>
      <c r="K585" s="273"/>
      <c r="L585" s="273"/>
      <c r="M585" s="273"/>
      <c r="N585" s="273"/>
      <c r="O585" s="273"/>
      <c r="P585" s="273"/>
      <c r="Q585" s="273"/>
      <c r="R585" s="273"/>
      <c r="S585" s="273"/>
      <c r="T585" s="273"/>
      <c r="U585" s="273"/>
      <c r="V585" s="273"/>
      <c r="W585" s="273"/>
      <c r="X585" s="273"/>
      <c r="Y585" s="274" t="n">
        <f aca="false">SUM(B585:X585)</f>
        <v>-1408.5</v>
      </c>
      <c r="Z585" s="272"/>
      <c r="AA585" s="275"/>
    </row>
    <row r="586" customFormat="false" ht="14.25" hidden="false" customHeight="false" outlineLevel="0" collapsed="false">
      <c r="A586" s="272" t="s">
        <v>815</v>
      </c>
      <c r="B586" s="273" t="n">
        <v>-1878.732</v>
      </c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3"/>
      <c r="P586" s="273"/>
      <c r="Q586" s="273"/>
      <c r="R586" s="273"/>
      <c r="S586" s="273"/>
      <c r="T586" s="273"/>
      <c r="U586" s="273"/>
      <c r="V586" s="273"/>
      <c r="W586" s="273"/>
      <c r="X586" s="273"/>
      <c r="Y586" s="274" t="n">
        <f aca="false">SUM(B586:X586)</f>
        <v>-1878.732</v>
      </c>
      <c r="Z586" s="272"/>
      <c r="AA586" s="275"/>
    </row>
    <row r="587" customFormat="false" ht="14.25" hidden="false" customHeight="false" outlineLevel="0" collapsed="false">
      <c r="A587" s="272" t="s">
        <v>816</v>
      </c>
      <c r="B587" s="273" t="n">
        <v>-782.805</v>
      </c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3"/>
      <c r="P587" s="273"/>
      <c r="Q587" s="273"/>
      <c r="R587" s="273"/>
      <c r="S587" s="273"/>
      <c r="T587" s="273"/>
      <c r="U587" s="273"/>
      <c r="V587" s="273"/>
      <c r="W587" s="273"/>
      <c r="X587" s="273"/>
      <c r="Y587" s="274" t="n">
        <f aca="false">SUM(B587:X587)</f>
        <v>-782.805</v>
      </c>
      <c r="Z587" s="272"/>
      <c r="AA587" s="275"/>
    </row>
    <row r="588" customFormat="false" ht="14.25" hidden="false" customHeight="false" outlineLevel="0" collapsed="false">
      <c r="A588" s="272" t="s">
        <v>773</v>
      </c>
      <c r="B588" s="273" t="n">
        <v>-933.366</v>
      </c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3"/>
      <c r="P588" s="273"/>
      <c r="Q588" s="273"/>
      <c r="R588" s="273"/>
      <c r="S588" s="273"/>
      <c r="T588" s="273"/>
      <c r="U588" s="273"/>
      <c r="V588" s="273"/>
      <c r="W588" s="273"/>
      <c r="X588" s="273"/>
      <c r="Y588" s="274" t="n">
        <f aca="false">SUM(B588:X588)</f>
        <v>-933.366</v>
      </c>
      <c r="Z588" s="272"/>
      <c r="AA588" s="275"/>
    </row>
    <row r="589" customFormat="false" ht="14.25" hidden="false" customHeight="false" outlineLevel="0" collapsed="false">
      <c r="A589" s="272" t="s">
        <v>718</v>
      </c>
      <c r="B589" s="273" t="n">
        <v>-200.007</v>
      </c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3"/>
      <c r="P589" s="273"/>
      <c r="Q589" s="273"/>
      <c r="R589" s="273"/>
      <c r="S589" s="273"/>
      <c r="T589" s="273"/>
      <c r="U589" s="273"/>
      <c r="V589" s="273"/>
      <c r="W589" s="273"/>
      <c r="X589" s="273"/>
      <c r="Y589" s="274" t="n">
        <f aca="false">SUM(B589:X589)</f>
        <v>-200.007</v>
      </c>
      <c r="Z589" s="272"/>
      <c r="AA589" s="275"/>
    </row>
    <row r="590" customFormat="false" ht="14.25" hidden="false" customHeight="false" outlineLevel="0" collapsed="false">
      <c r="A590" s="272" t="s">
        <v>817</v>
      </c>
      <c r="B590" s="273" t="n">
        <v>-24177.012</v>
      </c>
      <c r="C590" s="273"/>
      <c r="D590" s="273"/>
      <c r="E590" s="273"/>
      <c r="F590" s="273"/>
      <c r="G590" s="273"/>
      <c r="H590" s="273"/>
      <c r="I590" s="273"/>
      <c r="J590" s="273" t="n">
        <v>-2737.392</v>
      </c>
      <c r="K590" s="273"/>
      <c r="L590" s="273"/>
      <c r="M590" s="273"/>
      <c r="N590" s="273"/>
      <c r="O590" s="273"/>
      <c r="P590" s="273"/>
      <c r="Q590" s="273"/>
      <c r="R590" s="273"/>
      <c r="S590" s="273"/>
      <c r="T590" s="273"/>
      <c r="U590" s="273"/>
      <c r="V590" s="273"/>
      <c r="W590" s="273"/>
      <c r="X590" s="273"/>
      <c r="Y590" s="274" t="n">
        <f aca="false">SUM(B590:X590)</f>
        <v>-26914.404</v>
      </c>
      <c r="Z590" s="272"/>
      <c r="AA590" s="275"/>
    </row>
    <row r="591" customFormat="false" ht="14.25" hidden="false" customHeight="false" outlineLevel="0" collapsed="false">
      <c r="A591" s="272" t="s">
        <v>818</v>
      </c>
      <c r="B591" s="273"/>
      <c r="C591" s="273"/>
      <c r="D591" s="273"/>
      <c r="E591" s="273"/>
      <c r="F591" s="273" t="n">
        <v>-4340.493</v>
      </c>
      <c r="G591" s="273"/>
      <c r="H591" s="273"/>
      <c r="I591" s="273"/>
      <c r="J591" s="273"/>
      <c r="K591" s="273"/>
      <c r="L591" s="273"/>
      <c r="M591" s="273"/>
      <c r="N591" s="273"/>
      <c r="O591" s="273"/>
      <c r="P591" s="273"/>
      <c r="Q591" s="273"/>
      <c r="R591" s="273"/>
      <c r="S591" s="273"/>
      <c r="T591" s="273"/>
      <c r="U591" s="273"/>
      <c r="V591" s="273"/>
      <c r="W591" s="273"/>
      <c r="X591" s="273"/>
      <c r="Y591" s="274" t="n">
        <f aca="false">SUM(B591:X591)</f>
        <v>-4340.493</v>
      </c>
      <c r="Z591" s="272"/>
      <c r="AA591" s="275"/>
    </row>
    <row r="592" customFormat="false" ht="14.25" hidden="false" customHeight="false" outlineLevel="0" collapsed="false">
      <c r="A592" s="272" t="s">
        <v>819</v>
      </c>
      <c r="B592" s="273"/>
      <c r="C592" s="273" t="n">
        <v>-92.79</v>
      </c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3"/>
      <c r="P592" s="273"/>
      <c r="Q592" s="273"/>
      <c r="R592" s="273"/>
      <c r="S592" s="273"/>
      <c r="T592" s="273"/>
      <c r="U592" s="273"/>
      <c r="V592" s="273"/>
      <c r="W592" s="273"/>
      <c r="X592" s="273"/>
      <c r="Y592" s="274" t="n">
        <f aca="false">SUM(B592:X592)</f>
        <v>-92.79</v>
      </c>
      <c r="Z592" s="272"/>
      <c r="AA592" s="275"/>
    </row>
    <row r="593" customFormat="false" ht="14.25" hidden="false" customHeight="false" outlineLevel="0" collapsed="false">
      <c r="A593" s="272" t="s">
        <v>820</v>
      </c>
      <c r="B593" s="273"/>
      <c r="C593" s="273"/>
      <c r="D593" s="273"/>
      <c r="E593" s="273"/>
      <c r="F593" s="273" t="n">
        <v>-12580.311</v>
      </c>
      <c r="G593" s="273"/>
      <c r="H593" s="273"/>
      <c r="I593" s="273"/>
      <c r="J593" s="273"/>
      <c r="K593" s="273"/>
      <c r="L593" s="273"/>
      <c r="M593" s="273"/>
      <c r="N593" s="273"/>
      <c r="O593" s="273"/>
      <c r="P593" s="273"/>
      <c r="Q593" s="273"/>
      <c r="R593" s="273"/>
      <c r="S593" s="273"/>
      <c r="T593" s="273"/>
      <c r="U593" s="273"/>
      <c r="V593" s="273"/>
      <c r="W593" s="273"/>
      <c r="X593" s="273"/>
      <c r="Y593" s="274" t="n">
        <f aca="false">SUM(B593:X593)</f>
        <v>-12580.311</v>
      </c>
      <c r="Z593" s="272"/>
      <c r="AA593" s="275"/>
    </row>
    <row r="594" customFormat="false" ht="14.25" hidden="false" customHeight="false" outlineLevel="0" collapsed="false">
      <c r="A594" s="272" t="s">
        <v>821</v>
      </c>
      <c r="B594" s="273" t="n">
        <v>-832.5</v>
      </c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3"/>
      <c r="P594" s="273"/>
      <c r="Q594" s="273"/>
      <c r="R594" s="273"/>
      <c r="S594" s="273"/>
      <c r="T594" s="273"/>
      <c r="U594" s="273"/>
      <c r="V594" s="273"/>
      <c r="W594" s="273"/>
      <c r="X594" s="273"/>
      <c r="Y594" s="274" t="n">
        <f aca="false">SUM(B594:X594)</f>
        <v>-832.5</v>
      </c>
      <c r="Z594" s="272"/>
      <c r="AA594" s="275"/>
    </row>
    <row r="595" customFormat="false" ht="14.25" hidden="false" customHeight="false" outlineLevel="0" collapsed="false">
      <c r="A595" s="272" t="s">
        <v>822</v>
      </c>
      <c r="B595" s="273" t="n">
        <v>-14786.01</v>
      </c>
      <c r="C595" s="273"/>
      <c r="D595" s="273"/>
      <c r="E595" s="273"/>
      <c r="F595" s="273"/>
      <c r="G595" s="273"/>
      <c r="H595" s="273"/>
      <c r="I595" s="273"/>
      <c r="J595" s="273" t="n">
        <v>-2566.305</v>
      </c>
      <c r="K595" s="273"/>
      <c r="L595" s="273"/>
      <c r="M595" s="273"/>
      <c r="N595" s="273"/>
      <c r="O595" s="273"/>
      <c r="P595" s="273"/>
      <c r="Q595" s="273"/>
      <c r="R595" s="273"/>
      <c r="S595" s="273"/>
      <c r="T595" s="273"/>
      <c r="U595" s="273"/>
      <c r="V595" s="273"/>
      <c r="W595" s="273"/>
      <c r="X595" s="273"/>
      <c r="Y595" s="274" t="n">
        <f aca="false">SUM(B595:X595)</f>
        <v>-17352.315</v>
      </c>
      <c r="Z595" s="272"/>
      <c r="AA595" s="275"/>
    </row>
    <row r="596" customFormat="false" ht="14.25" hidden="false" customHeight="false" outlineLevel="0" collapsed="false">
      <c r="A596" s="272" t="s">
        <v>670</v>
      </c>
      <c r="B596" s="273"/>
      <c r="C596" s="273"/>
      <c r="D596" s="273"/>
      <c r="E596" s="273"/>
      <c r="F596" s="273"/>
      <c r="G596" s="273"/>
      <c r="H596" s="273"/>
      <c r="I596" s="273" t="n">
        <v>121.326</v>
      </c>
      <c r="J596" s="273"/>
      <c r="K596" s="273"/>
      <c r="L596" s="273"/>
      <c r="M596" s="273"/>
      <c r="N596" s="273"/>
      <c r="O596" s="273"/>
      <c r="P596" s="273"/>
      <c r="Q596" s="273"/>
      <c r="R596" s="273"/>
      <c r="S596" s="273"/>
      <c r="T596" s="273"/>
      <c r="U596" s="273"/>
      <c r="V596" s="273"/>
      <c r="W596" s="273"/>
      <c r="X596" s="273"/>
      <c r="Y596" s="274" t="n">
        <f aca="false">SUM(B596:X596)</f>
        <v>121.326</v>
      </c>
      <c r="Z596" s="272"/>
      <c r="AA596" s="275"/>
    </row>
    <row r="597" customFormat="false" ht="14.25" hidden="false" customHeight="false" outlineLevel="0" collapsed="false">
      <c r="A597" s="272" t="s">
        <v>729</v>
      </c>
      <c r="B597" s="273" t="n">
        <v>-8933.646</v>
      </c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3"/>
      <c r="P597" s="273"/>
      <c r="Q597" s="273"/>
      <c r="R597" s="273"/>
      <c r="S597" s="273"/>
      <c r="T597" s="273"/>
      <c r="U597" s="273"/>
      <c r="V597" s="273"/>
      <c r="W597" s="273"/>
      <c r="X597" s="273"/>
      <c r="Y597" s="274" t="n">
        <f aca="false">SUM(B597:X597)</f>
        <v>-8933.646</v>
      </c>
      <c r="Z597" s="272"/>
      <c r="AA597" s="275"/>
    </row>
    <row r="598" customFormat="false" ht="14.25" hidden="false" customHeight="false" outlineLevel="0" collapsed="false">
      <c r="A598" s="272" t="s">
        <v>823</v>
      </c>
      <c r="B598" s="273" t="n">
        <v>-20979.174</v>
      </c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3"/>
      <c r="P598" s="273"/>
      <c r="Q598" s="273"/>
      <c r="R598" s="273"/>
      <c r="S598" s="273"/>
      <c r="T598" s="273"/>
      <c r="U598" s="273"/>
      <c r="V598" s="273"/>
      <c r="W598" s="273"/>
      <c r="X598" s="273"/>
      <c r="Y598" s="274" t="n">
        <f aca="false">SUM(B598:X598)</f>
        <v>-20979.174</v>
      </c>
      <c r="Z598" s="272"/>
      <c r="AA598" s="275"/>
    </row>
    <row r="599" customFormat="false" ht="14.25" hidden="false" customHeight="false" outlineLevel="0" collapsed="false">
      <c r="A599" s="272" t="s">
        <v>824</v>
      </c>
      <c r="B599" s="273" t="n">
        <v>-15969.222</v>
      </c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3"/>
      <c r="P599" s="273"/>
      <c r="Q599" s="273"/>
      <c r="R599" s="273"/>
      <c r="S599" s="273"/>
      <c r="T599" s="273"/>
      <c r="U599" s="273"/>
      <c r="V599" s="273"/>
      <c r="W599" s="273"/>
      <c r="X599" s="273"/>
      <c r="Y599" s="274" t="n">
        <f aca="false">SUM(B599:X599)</f>
        <v>-15969.222</v>
      </c>
      <c r="Z599" s="272"/>
      <c r="AA599" s="275"/>
    </row>
    <row r="600" customFormat="false" ht="14.25" hidden="false" customHeight="false" outlineLevel="0" collapsed="false">
      <c r="A600" s="272" t="s">
        <v>825</v>
      </c>
      <c r="B600" s="273" t="n">
        <v>-733.359</v>
      </c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3"/>
      <c r="P600" s="273"/>
      <c r="Q600" s="273"/>
      <c r="R600" s="273"/>
      <c r="S600" s="273"/>
      <c r="T600" s="273"/>
      <c r="U600" s="273"/>
      <c r="V600" s="273"/>
      <c r="W600" s="273"/>
      <c r="X600" s="273"/>
      <c r="Y600" s="274" t="n">
        <f aca="false">SUM(B600:X600)</f>
        <v>-733.359</v>
      </c>
      <c r="Z600" s="272"/>
      <c r="AA600" s="275"/>
    </row>
    <row r="601" customFormat="false" ht="14.25" hidden="false" customHeight="false" outlineLevel="0" collapsed="false">
      <c r="A601" s="272" t="s">
        <v>826</v>
      </c>
      <c r="B601" s="273" t="n">
        <v>-533.352</v>
      </c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3"/>
      <c r="P601" s="273"/>
      <c r="Q601" s="273"/>
      <c r="R601" s="273"/>
      <c r="S601" s="273"/>
      <c r="T601" s="273"/>
      <c r="U601" s="273"/>
      <c r="V601" s="273"/>
      <c r="W601" s="273"/>
      <c r="X601" s="273"/>
      <c r="Y601" s="274" t="n">
        <f aca="false">SUM(B601:X601)</f>
        <v>-533.352</v>
      </c>
      <c r="Z601" s="272"/>
      <c r="AA601" s="275"/>
    </row>
    <row r="602" customFormat="false" ht="14.25" hidden="false" customHeight="false" outlineLevel="0" collapsed="false">
      <c r="A602" s="272" t="s">
        <v>827</v>
      </c>
      <c r="B602" s="273" t="n">
        <v>-666.69</v>
      </c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3"/>
      <c r="P602" s="273"/>
      <c r="Q602" s="273"/>
      <c r="R602" s="273"/>
      <c r="S602" s="273"/>
      <c r="T602" s="273"/>
      <c r="U602" s="273"/>
      <c r="V602" s="273"/>
      <c r="W602" s="273"/>
      <c r="X602" s="273"/>
      <c r="Y602" s="274" t="n">
        <f aca="false">SUM(B602:X602)</f>
        <v>-666.69</v>
      </c>
      <c r="Z602" s="272"/>
      <c r="AA602" s="275"/>
    </row>
    <row r="603" customFormat="false" ht="14.25" hidden="false" customHeight="false" outlineLevel="0" collapsed="false">
      <c r="A603" s="272" t="s">
        <v>828</v>
      </c>
      <c r="B603" s="273" t="n">
        <v>-333.345</v>
      </c>
      <c r="C603" s="273"/>
      <c r="D603" s="273" t="n">
        <v>33.09</v>
      </c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3"/>
      <c r="P603" s="273"/>
      <c r="Q603" s="273"/>
      <c r="R603" s="273"/>
      <c r="S603" s="273"/>
      <c r="T603" s="273"/>
      <c r="U603" s="273"/>
      <c r="V603" s="273"/>
      <c r="W603" s="273"/>
      <c r="X603" s="273"/>
      <c r="Y603" s="274" t="n">
        <f aca="false">SUM(B603:X603)</f>
        <v>-300.255</v>
      </c>
      <c r="Z603" s="272"/>
      <c r="AA603" s="275"/>
    </row>
    <row r="604" customFormat="false" ht="14.25" hidden="false" customHeight="false" outlineLevel="0" collapsed="false">
      <c r="A604" s="272" t="s">
        <v>829</v>
      </c>
      <c r="B604" s="273" t="n">
        <v>-66.669</v>
      </c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3"/>
      <c r="P604" s="273" t="n">
        <v>-138.645</v>
      </c>
      <c r="Q604" s="273"/>
      <c r="R604" s="273"/>
      <c r="S604" s="273"/>
      <c r="T604" s="273"/>
      <c r="U604" s="273"/>
      <c r="V604" s="273"/>
      <c r="W604" s="273"/>
      <c r="X604" s="273"/>
      <c r="Y604" s="274" t="n">
        <f aca="false">SUM(B604:X604)</f>
        <v>-205.314</v>
      </c>
      <c r="Z604" s="272"/>
      <c r="AA604" s="275"/>
    </row>
    <row r="605" customFormat="false" ht="14.25" hidden="false" customHeight="false" outlineLevel="0" collapsed="false">
      <c r="A605" s="272" t="s">
        <v>656</v>
      </c>
      <c r="B605" s="273" t="n">
        <v>-266.676</v>
      </c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3"/>
      <c r="P605" s="273"/>
      <c r="Q605" s="273"/>
      <c r="R605" s="273"/>
      <c r="S605" s="273"/>
      <c r="T605" s="273"/>
      <c r="U605" s="273"/>
      <c r="V605" s="273"/>
      <c r="W605" s="273"/>
      <c r="X605" s="273"/>
      <c r="Y605" s="274" t="n">
        <f aca="false">SUM(B605:X605)</f>
        <v>-266.676</v>
      </c>
      <c r="Z605" s="272"/>
      <c r="AA605" s="275"/>
    </row>
    <row r="606" customFormat="false" ht="14.25" hidden="false" customHeight="false" outlineLevel="0" collapsed="false">
      <c r="A606" s="272" t="s">
        <v>830</v>
      </c>
      <c r="B606" s="273"/>
      <c r="C606" s="273"/>
      <c r="D606" s="273"/>
      <c r="E606" s="273"/>
      <c r="F606" s="273" t="n">
        <v>-1998.741</v>
      </c>
      <c r="G606" s="273"/>
      <c r="H606" s="273"/>
      <c r="I606" s="273"/>
      <c r="J606" s="273"/>
      <c r="K606" s="273"/>
      <c r="L606" s="273"/>
      <c r="M606" s="273"/>
      <c r="N606" s="273"/>
      <c r="O606" s="273"/>
      <c r="P606" s="273"/>
      <c r="Q606" s="273"/>
      <c r="R606" s="273"/>
      <c r="S606" s="273"/>
      <c r="T606" s="273"/>
      <c r="U606" s="273"/>
      <c r="V606" s="273"/>
      <c r="W606" s="273"/>
      <c r="X606" s="273"/>
      <c r="Y606" s="274" t="n">
        <f aca="false">SUM(B606:X606)</f>
        <v>-1998.741</v>
      </c>
      <c r="Z606" s="272"/>
      <c r="AA606" s="275"/>
    </row>
    <row r="607" customFormat="false" ht="14.25" hidden="false" customHeight="false" outlineLevel="0" collapsed="false">
      <c r="A607" s="272" t="s">
        <v>831</v>
      </c>
      <c r="B607" s="273"/>
      <c r="C607" s="273" t="n">
        <v>-9775.434</v>
      </c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 t="n">
        <v>-3197.751</v>
      </c>
      <c r="O607" s="273"/>
      <c r="P607" s="273" t="n">
        <v>-928.506</v>
      </c>
      <c r="Q607" s="273"/>
      <c r="R607" s="273"/>
      <c r="S607" s="273"/>
      <c r="T607" s="273"/>
      <c r="U607" s="273"/>
      <c r="V607" s="273"/>
      <c r="W607" s="273"/>
      <c r="X607" s="273"/>
      <c r="Y607" s="274" t="n">
        <f aca="false">SUM(B607:X607)</f>
        <v>-13901.691</v>
      </c>
      <c r="Z607" s="272"/>
      <c r="AA607" s="275"/>
    </row>
    <row r="608" customFormat="false" ht="14.25" hidden="false" customHeight="false" outlineLevel="0" collapsed="false">
      <c r="A608" s="272" t="s">
        <v>832</v>
      </c>
      <c r="B608" s="273"/>
      <c r="C608" s="273" t="n">
        <v>-9434.436</v>
      </c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 t="n">
        <v>-3197.751</v>
      </c>
      <c r="O608" s="273"/>
      <c r="P608" s="273" t="n">
        <v>-928.506</v>
      </c>
      <c r="Q608" s="273"/>
      <c r="R608" s="273"/>
      <c r="S608" s="273"/>
      <c r="T608" s="273"/>
      <c r="U608" s="273"/>
      <c r="V608" s="273"/>
      <c r="W608" s="273"/>
      <c r="X608" s="273"/>
      <c r="Y608" s="274" t="n">
        <f aca="false">SUM(B608:X608)</f>
        <v>-13560.693</v>
      </c>
      <c r="Z608" s="272"/>
      <c r="AA608" s="275"/>
    </row>
    <row r="609" customFormat="false" ht="14.25" hidden="false" customHeight="false" outlineLevel="0" collapsed="false">
      <c r="A609" s="272" t="s">
        <v>833</v>
      </c>
      <c r="B609" s="273"/>
      <c r="C609" s="273" t="n">
        <v>-8782.092</v>
      </c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3"/>
      <c r="P609" s="273" t="n">
        <v>-928.506</v>
      </c>
      <c r="Q609" s="273"/>
      <c r="R609" s="273"/>
      <c r="S609" s="273"/>
      <c r="T609" s="273"/>
      <c r="U609" s="273"/>
      <c r="V609" s="273"/>
      <c r="W609" s="273"/>
      <c r="X609" s="273"/>
      <c r="Y609" s="274" t="n">
        <f aca="false">SUM(B609:X609)</f>
        <v>-9710.598</v>
      </c>
      <c r="Z609" s="272"/>
      <c r="AA609" s="275"/>
    </row>
    <row r="610" customFormat="false" ht="14.25" hidden="false" customHeight="false" outlineLevel="0" collapsed="false">
      <c r="A610" s="272" t="s">
        <v>834</v>
      </c>
      <c r="B610" s="273"/>
      <c r="C610" s="273" t="n">
        <v>-4391.046</v>
      </c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3"/>
      <c r="P610" s="273"/>
      <c r="Q610" s="273"/>
      <c r="R610" s="273"/>
      <c r="S610" s="273"/>
      <c r="T610" s="273"/>
      <c r="U610" s="273"/>
      <c r="V610" s="273"/>
      <c r="W610" s="273"/>
      <c r="X610" s="273"/>
      <c r="Y610" s="274" t="n">
        <f aca="false">SUM(B610:X610)</f>
        <v>-4391.046</v>
      </c>
      <c r="Z610" s="272"/>
      <c r="AA610" s="275"/>
    </row>
    <row r="611" customFormat="false" ht="14.25" hidden="false" customHeight="false" outlineLevel="0" collapsed="false">
      <c r="A611" s="272" t="s">
        <v>835</v>
      </c>
      <c r="B611" s="273" t="n">
        <v>-14615.748</v>
      </c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3"/>
      <c r="P611" s="273"/>
      <c r="Q611" s="273"/>
      <c r="R611" s="273"/>
      <c r="S611" s="273"/>
      <c r="T611" s="273"/>
      <c r="U611" s="273"/>
      <c r="V611" s="273"/>
      <c r="W611" s="273"/>
      <c r="X611" s="273"/>
      <c r="Y611" s="274" t="n">
        <f aca="false">SUM(B611:X611)</f>
        <v>-14615.748</v>
      </c>
      <c r="Z611" s="272"/>
      <c r="AA611" s="275"/>
    </row>
    <row r="612" customFormat="false" ht="14.25" hidden="false" customHeight="false" outlineLevel="0" collapsed="false">
      <c r="A612" s="272" t="s">
        <v>836</v>
      </c>
      <c r="B612" s="273"/>
      <c r="C612" s="273" t="n">
        <v>-12995.196</v>
      </c>
      <c r="D612" s="273"/>
      <c r="E612" s="273"/>
      <c r="F612" s="273"/>
      <c r="G612" s="273"/>
      <c r="H612" s="273"/>
      <c r="I612" s="273" t="n">
        <v>25.761</v>
      </c>
      <c r="J612" s="273"/>
      <c r="K612" s="273"/>
      <c r="L612" s="273"/>
      <c r="M612" s="273"/>
      <c r="N612" s="273"/>
      <c r="O612" s="273"/>
      <c r="P612" s="273"/>
      <c r="Q612" s="273"/>
      <c r="R612" s="273"/>
      <c r="S612" s="273"/>
      <c r="T612" s="273"/>
      <c r="U612" s="273"/>
      <c r="V612" s="273"/>
      <c r="W612" s="273"/>
      <c r="X612" s="273"/>
      <c r="Y612" s="274" t="n">
        <f aca="false">SUM(B612:X612)</f>
        <v>-12969.435</v>
      </c>
      <c r="Z612" s="272"/>
      <c r="AA612" s="275"/>
    </row>
    <row r="613" customFormat="false" ht="14.25" hidden="false" customHeight="false" outlineLevel="0" collapsed="false">
      <c r="A613" s="272" t="s">
        <v>837</v>
      </c>
      <c r="B613" s="273" t="n">
        <v>-7122.45</v>
      </c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3"/>
      <c r="P613" s="273"/>
      <c r="Q613" s="273"/>
      <c r="R613" s="273"/>
      <c r="S613" s="273"/>
      <c r="T613" s="273"/>
      <c r="U613" s="273"/>
      <c r="V613" s="273"/>
      <c r="W613" s="273"/>
      <c r="X613" s="273"/>
      <c r="Y613" s="274" t="n">
        <f aca="false">SUM(B613:X613)</f>
        <v>-7122.45</v>
      </c>
      <c r="Z613" s="272"/>
      <c r="AA613" s="275"/>
    </row>
    <row r="614" customFormat="false" ht="14.25" hidden="false" customHeight="false" outlineLevel="0" collapsed="false">
      <c r="A614" s="272" t="s">
        <v>838</v>
      </c>
      <c r="B614" s="273" t="n">
        <v>-7122.45</v>
      </c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3"/>
      <c r="P614" s="273"/>
      <c r="Q614" s="273"/>
      <c r="R614" s="273"/>
      <c r="S614" s="273"/>
      <c r="T614" s="273"/>
      <c r="U614" s="273"/>
      <c r="V614" s="273"/>
      <c r="W614" s="273"/>
      <c r="X614" s="273"/>
      <c r="Y614" s="274" t="n">
        <f aca="false">SUM(B614:X614)</f>
        <v>-7122.45</v>
      </c>
      <c r="Z614" s="272"/>
      <c r="AA614" s="275"/>
    </row>
    <row r="615" customFormat="false" ht="14.25" hidden="false" customHeight="false" outlineLevel="0" collapsed="false">
      <c r="A615" s="272" t="s">
        <v>839</v>
      </c>
      <c r="B615" s="273" t="n">
        <v>-3169.56</v>
      </c>
      <c r="C615" s="273"/>
      <c r="D615" s="273"/>
      <c r="E615" s="273"/>
      <c r="F615" s="273"/>
      <c r="G615" s="273"/>
      <c r="H615" s="273"/>
      <c r="I615" s="273"/>
      <c r="J615" s="273" t="n">
        <v>-855.435</v>
      </c>
      <c r="K615" s="273"/>
      <c r="L615" s="273"/>
      <c r="M615" s="273"/>
      <c r="N615" s="273"/>
      <c r="O615" s="273"/>
      <c r="P615" s="273"/>
      <c r="Q615" s="273"/>
      <c r="R615" s="273"/>
      <c r="S615" s="273"/>
      <c r="T615" s="273"/>
      <c r="U615" s="273"/>
      <c r="V615" s="273"/>
      <c r="W615" s="273"/>
      <c r="X615" s="273"/>
      <c r="Y615" s="274" t="n">
        <f aca="false">SUM(B615:X615)</f>
        <v>-4024.995</v>
      </c>
      <c r="Z615" s="272"/>
      <c r="AA615" s="275"/>
    </row>
    <row r="616" customFormat="false" ht="14.25" hidden="false" customHeight="false" outlineLevel="0" collapsed="false">
      <c r="A616" s="272" t="s">
        <v>840</v>
      </c>
      <c r="B616" s="273" t="n">
        <v>-7122.45</v>
      </c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3"/>
      <c r="P616" s="273"/>
      <c r="Q616" s="273"/>
      <c r="R616" s="273"/>
      <c r="S616" s="273"/>
      <c r="T616" s="273"/>
      <c r="U616" s="273"/>
      <c r="V616" s="273"/>
      <c r="W616" s="273"/>
      <c r="X616" s="273"/>
      <c r="Y616" s="274" t="n">
        <f aca="false">SUM(B616:X616)</f>
        <v>-7122.45</v>
      </c>
      <c r="Z616" s="272"/>
      <c r="AA616" s="275"/>
    </row>
    <row r="617" customFormat="false" ht="14.25" hidden="false" customHeight="false" outlineLevel="0" collapsed="false">
      <c r="A617" s="272" t="s">
        <v>841</v>
      </c>
      <c r="B617" s="273" t="n">
        <v>-22276.2125</v>
      </c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3"/>
      <c r="P617" s="273"/>
      <c r="Q617" s="273"/>
      <c r="R617" s="273"/>
      <c r="S617" s="273"/>
      <c r="T617" s="273"/>
      <c r="U617" s="273"/>
      <c r="V617" s="273"/>
      <c r="W617" s="273"/>
      <c r="X617" s="273"/>
      <c r="Y617" s="274" t="n">
        <f aca="false">SUM(B617:X617)</f>
        <v>-22276.2125</v>
      </c>
      <c r="Z617" s="272"/>
      <c r="AA617" s="275"/>
    </row>
    <row r="618" customFormat="false" ht="14.25" hidden="false" customHeight="false" outlineLevel="0" collapsed="false">
      <c r="A618" s="272" t="s">
        <v>842</v>
      </c>
      <c r="B618" s="273" t="n">
        <v>-11356.893</v>
      </c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3"/>
      <c r="P618" s="273"/>
      <c r="Q618" s="273"/>
      <c r="R618" s="273"/>
      <c r="S618" s="273"/>
      <c r="T618" s="273"/>
      <c r="U618" s="273"/>
      <c r="V618" s="273"/>
      <c r="W618" s="273"/>
      <c r="X618" s="273"/>
      <c r="Y618" s="274" t="n">
        <f aca="false">SUM(B618:X618)</f>
        <v>-11356.893</v>
      </c>
      <c r="Z618" s="272"/>
      <c r="AA618" s="275"/>
    </row>
    <row r="619" customFormat="false" ht="14.25" hidden="false" customHeight="false" outlineLevel="0" collapsed="false">
      <c r="A619" s="272" t="s">
        <v>699</v>
      </c>
      <c r="B619" s="273" t="n">
        <v>-4066.0125</v>
      </c>
      <c r="C619" s="273"/>
      <c r="D619" s="273"/>
      <c r="E619" s="273"/>
      <c r="F619" s="273"/>
      <c r="G619" s="273"/>
      <c r="H619" s="273"/>
      <c r="I619" s="273"/>
      <c r="J619" s="273" t="n">
        <v>-4277.175</v>
      </c>
      <c r="K619" s="273"/>
      <c r="L619" s="273"/>
      <c r="M619" s="273"/>
      <c r="N619" s="273"/>
      <c r="O619" s="273"/>
      <c r="P619" s="273"/>
      <c r="Q619" s="273"/>
      <c r="R619" s="273"/>
      <c r="S619" s="273"/>
      <c r="T619" s="273"/>
      <c r="U619" s="273"/>
      <c r="V619" s="273"/>
      <c r="W619" s="273"/>
      <c r="X619" s="273"/>
      <c r="Y619" s="274" t="n">
        <f aca="false">SUM(B619:X619)</f>
        <v>-8343.1875</v>
      </c>
      <c r="Z619" s="272"/>
      <c r="AA619" s="275"/>
    </row>
    <row r="620" customFormat="false" ht="14.25" hidden="false" customHeight="false" outlineLevel="0" collapsed="false">
      <c r="A620" s="272" t="s">
        <v>843</v>
      </c>
      <c r="B620" s="273"/>
      <c r="C620" s="273" t="n">
        <v>-46.395</v>
      </c>
      <c r="D620" s="273" t="n">
        <v>109.71</v>
      </c>
      <c r="E620" s="273"/>
      <c r="F620" s="273"/>
      <c r="G620" s="273"/>
      <c r="H620" s="273"/>
      <c r="I620" s="273"/>
      <c r="J620" s="273" t="n">
        <v>-10733.547</v>
      </c>
      <c r="K620" s="273"/>
      <c r="L620" s="273"/>
      <c r="M620" s="273"/>
      <c r="N620" s="273"/>
      <c r="O620" s="273"/>
      <c r="P620" s="273"/>
      <c r="Q620" s="273"/>
      <c r="R620" s="273"/>
      <c r="S620" s="273"/>
      <c r="T620" s="273"/>
      <c r="U620" s="273"/>
      <c r="V620" s="273"/>
      <c r="W620" s="273"/>
      <c r="X620" s="273"/>
      <c r="Y620" s="274" t="n">
        <f aca="false">SUM(B620:X620)</f>
        <v>-10670.232</v>
      </c>
      <c r="Z620" s="272"/>
      <c r="AA620" s="275"/>
    </row>
    <row r="621" customFormat="false" ht="14.25" hidden="false" customHeight="false" outlineLevel="0" collapsed="false">
      <c r="A621" s="272" t="s">
        <v>844</v>
      </c>
      <c r="B621" s="273"/>
      <c r="C621" s="273"/>
      <c r="D621" s="273" t="n">
        <v>1097.1</v>
      </c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3"/>
      <c r="P621" s="273"/>
      <c r="Q621" s="273"/>
      <c r="R621" s="273"/>
      <c r="S621" s="273"/>
      <c r="T621" s="273"/>
      <c r="U621" s="273"/>
      <c r="V621" s="273"/>
      <c r="W621" s="273"/>
      <c r="X621" s="273"/>
      <c r="Y621" s="274" t="n">
        <f aca="false">SUM(B621:X621)</f>
        <v>1097.1</v>
      </c>
      <c r="Z621" s="272"/>
      <c r="AA621" s="275"/>
    </row>
    <row r="622" customFormat="false" ht="14.25" hidden="false" customHeight="false" outlineLevel="0" collapsed="false">
      <c r="A622" s="272" t="s">
        <v>845</v>
      </c>
      <c r="B622" s="273"/>
      <c r="C622" s="273"/>
      <c r="D622" s="273" t="n">
        <v>735.057</v>
      </c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3"/>
      <c r="P622" s="273"/>
      <c r="Q622" s="273"/>
      <c r="R622" s="273"/>
      <c r="S622" s="273"/>
      <c r="T622" s="273"/>
      <c r="U622" s="273"/>
      <c r="V622" s="273"/>
      <c r="W622" s="273"/>
      <c r="X622" s="273"/>
      <c r="Y622" s="274" t="n">
        <f aca="false">SUM(B622:X622)</f>
        <v>735.057</v>
      </c>
      <c r="Z622" s="272"/>
      <c r="AA622" s="275"/>
    </row>
    <row r="623" customFormat="false" ht="14.25" hidden="false" customHeight="false" outlineLevel="0" collapsed="false">
      <c r="A623" s="272" t="s">
        <v>846</v>
      </c>
      <c r="B623" s="273" t="n">
        <v>-355.677</v>
      </c>
      <c r="C623" s="273"/>
      <c r="D623" s="273"/>
      <c r="E623" s="273"/>
      <c r="F623" s="273"/>
      <c r="G623" s="273"/>
      <c r="H623" s="273"/>
      <c r="I623" s="273"/>
      <c r="J623" s="273" t="n">
        <v>-4844.2155</v>
      </c>
      <c r="K623" s="273"/>
      <c r="L623" s="273"/>
      <c r="M623" s="273"/>
      <c r="N623" s="273"/>
      <c r="O623" s="273"/>
      <c r="P623" s="273"/>
      <c r="Q623" s="273"/>
      <c r="R623" s="273"/>
      <c r="S623" s="273"/>
      <c r="T623" s="273"/>
      <c r="U623" s="273"/>
      <c r="V623" s="273"/>
      <c r="W623" s="273"/>
      <c r="X623" s="273"/>
      <c r="Y623" s="274" t="n">
        <f aca="false">SUM(B623:X623)</f>
        <v>-5199.8925</v>
      </c>
      <c r="Z623" s="272"/>
      <c r="AA623" s="275"/>
    </row>
    <row r="624" customFormat="false" ht="14.25" hidden="false" customHeight="false" outlineLevel="0" collapsed="false">
      <c r="A624" s="272" t="s">
        <v>847</v>
      </c>
      <c r="B624" s="273"/>
      <c r="C624" s="273"/>
      <c r="D624" s="273"/>
      <c r="E624" s="273"/>
      <c r="F624" s="273"/>
      <c r="G624" s="273"/>
      <c r="H624" s="273"/>
      <c r="I624" s="273" t="n">
        <v>62.325</v>
      </c>
      <c r="J624" s="273"/>
      <c r="K624" s="273"/>
      <c r="L624" s="273"/>
      <c r="M624" s="273"/>
      <c r="N624" s="273"/>
      <c r="O624" s="273"/>
      <c r="P624" s="273"/>
      <c r="Q624" s="273"/>
      <c r="R624" s="273"/>
      <c r="S624" s="273"/>
      <c r="T624" s="273"/>
      <c r="U624" s="273"/>
      <c r="V624" s="273"/>
      <c r="W624" s="273"/>
      <c r="X624" s="273"/>
      <c r="Y624" s="274" t="n">
        <f aca="false">SUM(B624:X624)</f>
        <v>62.325</v>
      </c>
      <c r="Z624" s="272"/>
      <c r="AA624" s="275"/>
    </row>
    <row r="625" customFormat="false" ht="14.25" hidden="false" customHeight="false" outlineLevel="0" collapsed="false">
      <c r="A625" s="272" t="s">
        <v>700</v>
      </c>
      <c r="B625" s="273" t="n">
        <v>-792.39</v>
      </c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3"/>
      <c r="P625" s="273"/>
      <c r="Q625" s="273"/>
      <c r="R625" s="273"/>
      <c r="S625" s="273"/>
      <c r="T625" s="273"/>
      <c r="U625" s="273"/>
      <c r="V625" s="273"/>
      <c r="W625" s="273"/>
      <c r="X625" s="273"/>
      <c r="Y625" s="274" t="n">
        <f aca="false">SUM(B625:X625)</f>
        <v>-792.39</v>
      </c>
      <c r="Z625" s="272"/>
      <c r="AA625" s="275"/>
    </row>
    <row r="626" customFormat="false" ht="14.25" hidden="false" customHeight="false" outlineLevel="0" collapsed="false">
      <c r="A626" s="272" t="s">
        <v>672</v>
      </c>
      <c r="B626" s="273" t="n">
        <v>-2060.214</v>
      </c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3"/>
      <c r="P626" s="273"/>
      <c r="Q626" s="273"/>
      <c r="R626" s="273"/>
      <c r="S626" s="273"/>
      <c r="T626" s="273"/>
      <c r="U626" s="273"/>
      <c r="V626" s="273"/>
      <c r="W626" s="273"/>
      <c r="X626" s="273"/>
      <c r="Y626" s="274" t="n">
        <f aca="false">SUM(B626:X626)</f>
        <v>-2060.214</v>
      </c>
      <c r="Z626" s="272"/>
      <c r="AA626" s="275"/>
    </row>
    <row r="627" customFormat="false" ht="14.25" hidden="false" customHeight="false" outlineLevel="0" collapsed="false">
      <c r="A627" s="272" t="s">
        <v>848</v>
      </c>
      <c r="B627" s="273" t="n">
        <v>-17353.752</v>
      </c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3"/>
      <c r="P627" s="273"/>
      <c r="Q627" s="273"/>
      <c r="R627" s="273"/>
      <c r="S627" s="273"/>
      <c r="T627" s="273"/>
      <c r="U627" s="273"/>
      <c r="V627" s="273"/>
      <c r="W627" s="273"/>
      <c r="X627" s="273"/>
      <c r="Y627" s="274" t="n">
        <f aca="false">SUM(B627:X627)</f>
        <v>-17353.752</v>
      </c>
      <c r="Z627" s="272"/>
      <c r="AA627" s="275"/>
    </row>
    <row r="628" customFormat="false" ht="14.25" hidden="false" customHeight="false" outlineLevel="0" collapsed="false">
      <c r="A628" s="272" t="s">
        <v>465</v>
      </c>
      <c r="B628" s="273" t="n">
        <v>-12753.561</v>
      </c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3"/>
      <c r="P628" s="273"/>
      <c r="Q628" s="273"/>
      <c r="R628" s="273"/>
      <c r="S628" s="273"/>
      <c r="T628" s="273"/>
      <c r="U628" s="273"/>
      <c r="V628" s="273"/>
      <c r="W628" s="273"/>
      <c r="X628" s="273"/>
      <c r="Y628" s="274" t="n">
        <f aca="false">SUM(B628:X628)</f>
        <v>-12753.561</v>
      </c>
      <c r="Z628" s="272"/>
      <c r="AA628" s="275"/>
    </row>
    <row r="629" customFormat="false" ht="14.25" hidden="false" customHeight="false" outlineLevel="0" collapsed="false">
      <c r="A629" s="272" t="s">
        <v>572</v>
      </c>
      <c r="B629" s="273" t="n">
        <v>-6452.997</v>
      </c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3"/>
      <c r="P629" s="273"/>
      <c r="Q629" s="273"/>
      <c r="R629" s="273"/>
      <c r="S629" s="273"/>
      <c r="T629" s="273"/>
      <c r="U629" s="273"/>
      <c r="V629" s="273"/>
      <c r="W629" s="273"/>
      <c r="X629" s="273"/>
      <c r="Y629" s="274" t="n">
        <f aca="false">SUM(B629:X629)</f>
        <v>-6452.997</v>
      </c>
      <c r="Z629" s="272"/>
      <c r="AA629" s="275"/>
    </row>
    <row r="630" customFormat="false" ht="14.25" hidden="false" customHeight="false" outlineLevel="0" collapsed="false">
      <c r="A630" s="272" t="s">
        <v>691</v>
      </c>
      <c r="B630" s="273" t="n">
        <v>-1730.304</v>
      </c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3"/>
      <c r="P630" s="273"/>
      <c r="Q630" s="273"/>
      <c r="R630" s="273"/>
      <c r="S630" s="273"/>
      <c r="T630" s="273"/>
      <c r="U630" s="273"/>
      <c r="V630" s="273"/>
      <c r="W630" s="273"/>
      <c r="X630" s="273"/>
      <c r="Y630" s="274" t="n">
        <f aca="false">SUM(B630:X630)</f>
        <v>-1730.304</v>
      </c>
      <c r="Z630" s="272"/>
      <c r="AA630" s="275"/>
    </row>
    <row r="631" customFormat="false" ht="14.25" hidden="false" customHeight="false" outlineLevel="0" collapsed="false">
      <c r="A631" s="272" t="s">
        <v>849</v>
      </c>
      <c r="B631" s="273"/>
      <c r="C631" s="273"/>
      <c r="D631" s="273" t="n">
        <v>-17.874</v>
      </c>
      <c r="E631" s="273"/>
      <c r="F631" s="273" t="n">
        <v>-246.975</v>
      </c>
      <c r="G631" s="273"/>
      <c r="H631" s="273"/>
      <c r="I631" s="273"/>
      <c r="J631" s="273"/>
      <c r="K631" s="273"/>
      <c r="L631" s="273"/>
      <c r="M631" s="273"/>
      <c r="N631" s="273"/>
      <c r="O631" s="273"/>
      <c r="P631" s="273"/>
      <c r="Q631" s="273"/>
      <c r="R631" s="273"/>
      <c r="S631" s="273"/>
      <c r="T631" s="273"/>
      <c r="U631" s="273"/>
      <c r="V631" s="273"/>
      <c r="W631" s="273"/>
      <c r="X631" s="273"/>
      <c r="Y631" s="274" t="n">
        <f aca="false">SUM(B631:X631)</f>
        <v>-264.849</v>
      </c>
      <c r="Z631" s="272"/>
      <c r="AA631" s="275"/>
    </row>
    <row r="632" customFormat="false" ht="14.25" hidden="false" customHeight="false" outlineLevel="0" collapsed="false">
      <c r="A632" s="272" t="s">
        <v>850</v>
      </c>
      <c r="B632" s="273" t="n">
        <v>-1225.632</v>
      </c>
      <c r="C632" s="273"/>
      <c r="D632" s="273"/>
      <c r="E632" s="273"/>
      <c r="F632" s="273"/>
      <c r="G632" s="273"/>
      <c r="H632" s="273" t="n">
        <v>-1343.646</v>
      </c>
      <c r="I632" s="273"/>
      <c r="J632" s="273"/>
      <c r="K632" s="273"/>
      <c r="L632" s="273" t="n">
        <v>-3411.4445</v>
      </c>
      <c r="M632" s="273"/>
      <c r="N632" s="273"/>
      <c r="O632" s="273"/>
      <c r="P632" s="273"/>
      <c r="Q632" s="273"/>
      <c r="R632" s="273"/>
      <c r="S632" s="273"/>
      <c r="T632" s="273"/>
      <c r="U632" s="273"/>
      <c r="V632" s="273"/>
      <c r="W632" s="273"/>
      <c r="X632" s="273"/>
      <c r="Y632" s="274" t="n">
        <f aca="false">SUM(B632:X632)</f>
        <v>-5980.7225</v>
      </c>
      <c r="Z632" s="272"/>
      <c r="AA632" s="275"/>
    </row>
    <row r="633" customFormat="false" ht="14.25" hidden="false" customHeight="false" outlineLevel="0" collapsed="false">
      <c r="A633" s="272" t="s">
        <v>763</v>
      </c>
      <c r="B633" s="273"/>
      <c r="C633" s="273" t="n">
        <v>-2293.83</v>
      </c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3"/>
      <c r="P633" s="273"/>
      <c r="Q633" s="273"/>
      <c r="R633" s="273"/>
      <c r="S633" s="273"/>
      <c r="T633" s="273"/>
      <c r="U633" s="273"/>
      <c r="V633" s="273"/>
      <c r="W633" s="273"/>
      <c r="X633" s="273"/>
      <c r="Y633" s="274" t="n">
        <f aca="false">SUM(B633:X633)</f>
        <v>-2293.83</v>
      </c>
      <c r="Z633" s="272"/>
      <c r="AA633" s="275"/>
    </row>
    <row r="634" customFormat="false" ht="14.25" hidden="false" customHeight="false" outlineLevel="0" collapsed="false">
      <c r="A634" s="272" t="s">
        <v>561</v>
      </c>
      <c r="B634" s="273" t="n">
        <v>-34592.832</v>
      </c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3"/>
      <c r="P634" s="273"/>
      <c r="Q634" s="273"/>
      <c r="R634" s="273"/>
      <c r="S634" s="273"/>
      <c r="T634" s="273"/>
      <c r="U634" s="273"/>
      <c r="V634" s="273"/>
      <c r="W634" s="273"/>
      <c r="X634" s="273"/>
      <c r="Y634" s="274" t="n">
        <f aca="false">SUM(B634:X634)</f>
        <v>-34592.832</v>
      </c>
      <c r="Z634" s="272"/>
      <c r="AA634" s="275"/>
    </row>
    <row r="635" customFormat="false" ht="14.25" hidden="false" customHeight="false" outlineLevel="0" collapsed="false">
      <c r="A635" s="272" t="s">
        <v>851</v>
      </c>
      <c r="B635" s="273" t="n">
        <v>-36034.2</v>
      </c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3"/>
      <c r="P635" s="273" t="n">
        <v>-728.24</v>
      </c>
      <c r="Q635" s="273"/>
      <c r="R635" s="273"/>
      <c r="S635" s="273"/>
      <c r="T635" s="273"/>
      <c r="U635" s="273"/>
      <c r="V635" s="273"/>
      <c r="W635" s="273"/>
      <c r="X635" s="273"/>
      <c r="Y635" s="274" t="n">
        <f aca="false">SUM(B635:X635)</f>
        <v>-36762.44</v>
      </c>
      <c r="Z635" s="272"/>
      <c r="AA635" s="275"/>
    </row>
    <row r="636" customFormat="false" ht="14.25" hidden="false" customHeight="false" outlineLevel="0" collapsed="false">
      <c r="A636" s="272" t="s">
        <v>625</v>
      </c>
      <c r="B636" s="273" t="n">
        <v>-2702.565</v>
      </c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3"/>
      <c r="P636" s="273"/>
      <c r="Q636" s="273"/>
      <c r="R636" s="273"/>
      <c r="S636" s="273"/>
      <c r="T636" s="273"/>
      <c r="U636" s="273"/>
      <c r="V636" s="273"/>
      <c r="W636" s="273"/>
      <c r="X636" s="273"/>
      <c r="Y636" s="274" t="n">
        <f aca="false">SUM(B636:X636)</f>
        <v>-2702.565</v>
      </c>
      <c r="Z636" s="272"/>
      <c r="AA636" s="275"/>
    </row>
    <row r="637" customFormat="false" ht="14.25" hidden="false" customHeight="false" outlineLevel="0" collapsed="false">
      <c r="A637" s="272" t="s">
        <v>657</v>
      </c>
      <c r="B637" s="273" t="n">
        <v>-6065.757</v>
      </c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3"/>
      <c r="P637" s="273"/>
      <c r="Q637" s="273"/>
      <c r="R637" s="273"/>
      <c r="S637" s="273"/>
      <c r="T637" s="273"/>
      <c r="U637" s="273"/>
      <c r="V637" s="273"/>
      <c r="W637" s="273"/>
      <c r="X637" s="273"/>
      <c r="Y637" s="274" t="n">
        <f aca="false">SUM(B637:X637)</f>
        <v>-6065.757</v>
      </c>
      <c r="Z637" s="272"/>
      <c r="AA637" s="275"/>
    </row>
    <row r="638" customFormat="false" ht="14.25" hidden="false" customHeight="false" outlineLevel="0" collapsed="false">
      <c r="A638" s="272" t="s">
        <v>624</v>
      </c>
      <c r="B638" s="273" t="n">
        <v>-6065.757</v>
      </c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3"/>
      <c r="P638" s="273"/>
      <c r="Q638" s="273"/>
      <c r="R638" s="273"/>
      <c r="S638" s="273"/>
      <c r="T638" s="273"/>
      <c r="U638" s="273"/>
      <c r="V638" s="273"/>
      <c r="W638" s="273"/>
      <c r="X638" s="273"/>
      <c r="Y638" s="274" t="n">
        <f aca="false">SUM(B638:X638)</f>
        <v>-6065.757</v>
      </c>
      <c r="Z638" s="272"/>
      <c r="AA638" s="275"/>
    </row>
    <row r="639" customFormat="false" ht="14.25" hidden="false" customHeight="false" outlineLevel="0" collapsed="false">
      <c r="A639" s="272" t="s">
        <v>852</v>
      </c>
      <c r="B639" s="273" t="n">
        <v>-39037.05</v>
      </c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 t="n">
        <v>-2956.72</v>
      </c>
      <c r="N639" s="273"/>
      <c r="O639" s="273"/>
      <c r="P639" s="273"/>
      <c r="Q639" s="273"/>
      <c r="R639" s="273"/>
      <c r="S639" s="273"/>
      <c r="T639" s="273"/>
      <c r="U639" s="273"/>
      <c r="V639" s="273"/>
      <c r="W639" s="273"/>
      <c r="X639" s="273"/>
      <c r="Y639" s="274" t="n">
        <f aca="false">SUM(B639:X639)</f>
        <v>-41993.77</v>
      </c>
      <c r="Z639" s="272"/>
      <c r="AA639" s="275"/>
    </row>
    <row r="640" customFormat="false" ht="14.25" hidden="false" customHeight="false" outlineLevel="0" collapsed="false">
      <c r="A640" s="272" t="s">
        <v>853</v>
      </c>
      <c r="B640" s="273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3"/>
      <c r="P640" s="273" t="n">
        <v>-54.618</v>
      </c>
      <c r="Q640" s="273"/>
      <c r="R640" s="273"/>
      <c r="S640" s="273"/>
      <c r="T640" s="273"/>
      <c r="U640" s="273"/>
      <c r="V640" s="273"/>
      <c r="W640" s="273"/>
      <c r="X640" s="273"/>
      <c r="Y640" s="274" t="n">
        <f aca="false">SUM(B640:X640)</f>
        <v>-54.618</v>
      </c>
      <c r="Z640" s="272"/>
      <c r="AA640" s="275"/>
    </row>
    <row r="641" customFormat="false" ht="14.25" hidden="false" customHeight="false" outlineLevel="0" collapsed="false">
      <c r="A641" s="272" t="s">
        <v>854</v>
      </c>
      <c r="B641" s="273"/>
      <c r="C641" s="273"/>
      <c r="D641" s="273"/>
      <c r="E641" s="273" t="n">
        <v>-79.773</v>
      </c>
      <c r="F641" s="273"/>
      <c r="G641" s="273"/>
      <c r="H641" s="273"/>
      <c r="I641" s="273"/>
      <c r="J641" s="273"/>
      <c r="K641" s="273"/>
      <c r="L641" s="273"/>
      <c r="M641" s="273"/>
      <c r="N641" s="273"/>
      <c r="O641" s="273"/>
      <c r="P641" s="273"/>
      <c r="Q641" s="273"/>
      <c r="R641" s="273"/>
      <c r="S641" s="273"/>
      <c r="T641" s="273"/>
      <c r="U641" s="273"/>
      <c r="V641" s="273"/>
      <c r="W641" s="273"/>
      <c r="X641" s="273"/>
      <c r="Y641" s="274" t="n">
        <f aca="false">SUM(B641:X641)</f>
        <v>-79.773</v>
      </c>
      <c r="Z641" s="272"/>
      <c r="AA641" s="275"/>
    </row>
    <row r="642" customFormat="false" ht="14.25" hidden="false" customHeight="false" outlineLevel="0" collapsed="false">
      <c r="A642" s="272" t="s">
        <v>855</v>
      </c>
      <c r="B642" s="273"/>
      <c r="C642" s="273"/>
      <c r="D642" s="273"/>
      <c r="E642" s="273" t="n">
        <v>-79.773</v>
      </c>
      <c r="F642" s="273"/>
      <c r="G642" s="273"/>
      <c r="H642" s="273"/>
      <c r="I642" s="273"/>
      <c r="J642" s="273" t="n">
        <v>-115.0485</v>
      </c>
      <c r="K642" s="273"/>
      <c r="L642" s="273"/>
      <c r="M642" s="273"/>
      <c r="N642" s="273"/>
      <c r="O642" s="273"/>
      <c r="P642" s="273"/>
      <c r="Q642" s="273"/>
      <c r="R642" s="273"/>
      <c r="S642" s="273"/>
      <c r="T642" s="273"/>
      <c r="U642" s="273"/>
      <c r="V642" s="273"/>
      <c r="W642" s="273"/>
      <c r="X642" s="273"/>
      <c r="Y642" s="274" t="n">
        <f aca="false">SUM(B642:X642)</f>
        <v>-194.8215</v>
      </c>
      <c r="Z642" s="272"/>
      <c r="AA642" s="275"/>
    </row>
    <row r="643" customFormat="false" ht="14.25" hidden="false" customHeight="false" outlineLevel="0" collapsed="false">
      <c r="A643" s="272" t="s">
        <v>856</v>
      </c>
      <c r="B643" s="273"/>
      <c r="C643" s="273"/>
      <c r="D643" s="273"/>
      <c r="E643" s="273"/>
      <c r="F643" s="273" t="n">
        <v>-19.758</v>
      </c>
      <c r="G643" s="273"/>
      <c r="H643" s="273"/>
      <c r="I643" s="273"/>
      <c r="J643" s="273"/>
      <c r="K643" s="273"/>
      <c r="L643" s="273"/>
      <c r="M643" s="273"/>
      <c r="N643" s="273"/>
      <c r="O643" s="273"/>
      <c r="P643" s="273"/>
      <c r="Q643" s="273"/>
      <c r="R643" s="273"/>
      <c r="S643" s="273"/>
      <c r="T643" s="273"/>
      <c r="U643" s="273"/>
      <c r="V643" s="273"/>
      <c r="W643" s="273"/>
      <c r="X643" s="273"/>
      <c r="Y643" s="274" t="n">
        <f aca="false">SUM(B643:X643)</f>
        <v>-19.758</v>
      </c>
      <c r="Z643" s="272"/>
      <c r="AA643" s="275"/>
    </row>
    <row r="644" customFormat="false" ht="14.25" hidden="false" customHeight="false" outlineLevel="0" collapsed="false">
      <c r="A644" s="272" t="s">
        <v>857</v>
      </c>
      <c r="B644" s="273"/>
      <c r="C644" s="273"/>
      <c r="D644" s="273"/>
      <c r="E644" s="273"/>
      <c r="F644" s="273" t="n">
        <v>-19.758</v>
      </c>
      <c r="G644" s="273"/>
      <c r="H644" s="273"/>
      <c r="I644" s="273"/>
      <c r="J644" s="273"/>
      <c r="K644" s="273"/>
      <c r="L644" s="273"/>
      <c r="M644" s="273"/>
      <c r="N644" s="273"/>
      <c r="O644" s="273"/>
      <c r="P644" s="273"/>
      <c r="Q644" s="273"/>
      <c r="R644" s="273"/>
      <c r="S644" s="273"/>
      <c r="T644" s="273"/>
      <c r="U644" s="273"/>
      <c r="V644" s="273"/>
      <c r="W644" s="273"/>
      <c r="X644" s="273"/>
      <c r="Y644" s="274" t="n">
        <f aca="false">SUM(B644:X644)</f>
        <v>-19.758</v>
      </c>
      <c r="Z644" s="272"/>
      <c r="AA644" s="275"/>
    </row>
    <row r="645" customFormat="false" ht="14.25" hidden="false" customHeight="false" outlineLevel="0" collapsed="false">
      <c r="A645" s="272" t="s">
        <v>858</v>
      </c>
      <c r="B645" s="273"/>
      <c r="C645" s="273"/>
      <c r="D645" s="273"/>
      <c r="E645" s="273"/>
      <c r="F645" s="273" t="n">
        <v>-137.331</v>
      </c>
      <c r="G645" s="273"/>
      <c r="H645" s="273"/>
      <c r="I645" s="273"/>
      <c r="J645" s="273"/>
      <c r="K645" s="273"/>
      <c r="L645" s="273"/>
      <c r="M645" s="273"/>
      <c r="N645" s="273"/>
      <c r="O645" s="273"/>
      <c r="P645" s="273"/>
      <c r="Q645" s="273"/>
      <c r="R645" s="273"/>
      <c r="S645" s="273"/>
      <c r="T645" s="273"/>
      <c r="U645" s="273"/>
      <c r="V645" s="273"/>
      <c r="W645" s="273"/>
      <c r="X645" s="273"/>
      <c r="Y645" s="274" t="n">
        <f aca="false">SUM(B645:X645)</f>
        <v>-137.331</v>
      </c>
      <c r="Z645" s="272"/>
      <c r="AA645" s="275"/>
    </row>
    <row r="646" customFormat="false" ht="14.25" hidden="false" customHeight="false" outlineLevel="0" collapsed="false">
      <c r="A646" s="272" t="s">
        <v>859</v>
      </c>
      <c r="B646" s="273"/>
      <c r="C646" s="273"/>
      <c r="D646" s="273"/>
      <c r="E646" s="273"/>
      <c r="F646" s="273" t="n">
        <v>-19.758</v>
      </c>
      <c r="G646" s="273"/>
      <c r="H646" s="273"/>
      <c r="I646" s="273"/>
      <c r="J646" s="273"/>
      <c r="K646" s="273"/>
      <c r="L646" s="273"/>
      <c r="M646" s="273"/>
      <c r="N646" s="273"/>
      <c r="O646" s="273"/>
      <c r="P646" s="273"/>
      <c r="Q646" s="273"/>
      <c r="R646" s="273"/>
      <c r="S646" s="273"/>
      <c r="T646" s="273"/>
      <c r="U646" s="273"/>
      <c r="V646" s="273"/>
      <c r="W646" s="273"/>
      <c r="X646" s="273"/>
      <c r="Y646" s="274" t="n">
        <f aca="false">SUM(B646:X646)</f>
        <v>-19.758</v>
      </c>
      <c r="Z646" s="272"/>
      <c r="AA646" s="275"/>
    </row>
    <row r="647" customFormat="false" ht="14.25" hidden="false" customHeight="false" outlineLevel="0" collapsed="false">
      <c r="A647" s="272" t="s">
        <v>860</v>
      </c>
      <c r="B647" s="273"/>
      <c r="C647" s="273"/>
      <c r="D647" s="273"/>
      <c r="E647" s="273"/>
      <c r="F647" s="273" t="n">
        <v>-19.758</v>
      </c>
      <c r="G647" s="273"/>
      <c r="H647" s="273"/>
      <c r="I647" s="273"/>
      <c r="J647" s="273"/>
      <c r="K647" s="273"/>
      <c r="L647" s="273"/>
      <c r="M647" s="273"/>
      <c r="N647" s="273"/>
      <c r="O647" s="273"/>
      <c r="P647" s="273"/>
      <c r="Q647" s="273"/>
      <c r="R647" s="273"/>
      <c r="S647" s="273"/>
      <c r="T647" s="273"/>
      <c r="U647" s="273"/>
      <c r="V647" s="273"/>
      <c r="W647" s="273"/>
      <c r="X647" s="273"/>
      <c r="Y647" s="274" t="n">
        <f aca="false">SUM(B647:X647)</f>
        <v>-19.758</v>
      </c>
      <c r="Z647" s="272"/>
      <c r="AA647" s="275"/>
    </row>
    <row r="648" customFormat="false" ht="14.25" hidden="false" customHeight="false" outlineLevel="0" collapsed="false">
      <c r="A648" s="272" t="s">
        <v>721</v>
      </c>
      <c r="B648" s="273" t="n">
        <v>-59636.601</v>
      </c>
      <c r="C648" s="273"/>
      <c r="D648" s="273"/>
      <c r="E648" s="273" t="n">
        <v>-6940.251</v>
      </c>
      <c r="F648" s="273"/>
      <c r="G648" s="273"/>
      <c r="H648" s="273"/>
      <c r="I648" s="273"/>
      <c r="J648" s="273"/>
      <c r="K648" s="273"/>
      <c r="L648" s="273"/>
      <c r="M648" s="273"/>
      <c r="N648" s="273"/>
      <c r="O648" s="273"/>
      <c r="P648" s="273"/>
      <c r="Q648" s="273"/>
      <c r="R648" s="273"/>
      <c r="S648" s="273"/>
      <c r="T648" s="273"/>
      <c r="U648" s="273"/>
      <c r="V648" s="273"/>
      <c r="W648" s="273"/>
      <c r="X648" s="273"/>
      <c r="Y648" s="274" t="n">
        <f aca="false">SUM(B648:X648)</f>
        <v>-66576.852</v>
      </c>
      <c r="Z648" s="272"/>
      <c r="AA648" s="275"/>
    </row>
    <row r="649" customFormat="false" ht="14.25" hidden="false" customHeight="false" outlineLevel="0" collapsed="false">
      <c r="A649" s="272" t="s">
        <v>861</v>
      </c>
      <c r="B649" s="273" t="n">
        <v>-23182.002</v>
      </c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3"/>
      <c r="P649" s="273"/>
      <c r="Q649" s="273"/>
      <c r="R649" s="273"/>
      <c r="S649" s="273"/>
      <c r="T649" s="273"/>
      <c r="U649" s="273"/>
      <c r="V649" s="273"/>
      <c r="W649" s="273"/>
      <c r="X649" s="273"/>
      <c r="Y649" s="274" t="n">
        <f aca="false">SUM(B649:X649)</f>
        <v>-23182.002</v>
      </c>
      <c r="Z649" s="272"/>
      <c r="AA649" s="275"/>
    </row>
    <row r="650" customFormat="false" ht="14.25" hidden="false" customHeight="false" outlineLevel="0" collapsed="false">
      <c r="A650" s="272" t="s">
        <v>862</v>
      </c>
      <c r="B650" s="273" t="n">
        <v>-28827.36</v>
      </c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3"/>
      <c r="P650" s="273" t="n">
        <v>-6928.1685</v>
      </c>
      <c r="Q650" s="273"/>
      <c r="R650" s="273"/>
      <c r="S650" s="273"/>
      <c r="T650" s="273"/>
      <c r="U650" s="273"/>
      <c r="V650" s="273"/>
      <c r="W650" s="273"/>
      <c r="X650" s="273"/>
      <c r="Y650" s="274" t="n">
        <f aca="false">SUM(B650:X650)</f>
        <v>-35755.5285</v>
      </c>
      <c r="Z650" s="272"/>
      <c r="AA650" s="275"/>
    </row>
    <row r="651" customFormat="false" ht="14.25" hidden="false" customHeight="false" outlineLevel="0" collapsed="false">
      <c r="A651" s="272" t="s">
        <v>862</v>
      </c>
      <c r="B651" s="273" t="n">
        <v>-15044.2785</v>
      </c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3"/>
      <c r="P651" s="273" t="n">
        <v>-2432.938</v>
      </c>
      <c r="Q651" s="273"/>
      <c r="R651" s="273"/>
      <c r="S651" s="273"/>
      <c r="T651" s="273"/>
      <c r="U651" s="273"/>
      <c r="V651" s="273"/>
      <c r="W651" s="273"/>
      <c r="X651" s="273"/>
      <c r="Y651" s="274" t="n">
        <f aca="false">SUM(B651:X651)</f>
        <v>-17477.2165</v>
      </c>
      <c r="Z651" s="272"/>
      <c r="AA651" s="275"/>
    </row>
    <row r="652" customFormat="false" ht="14.25" hidden="false" customHeight="false" outlineLevel="0" collapsed="false">
      <c r="A652" s="272" t="s">
        <v>863</v>
      </c>
      <c r="B652" s="273"/>
      <c r="C652" s="273"/>
      <c r="D652" s="273"/>
      <c r="E652" s="273"/>
      <c r="F652" s="273" t="n">
        <v>-59.274</v>
      </c>
      <c r="G652" s="273" t="n">
        <v>251.775</v>
      </c>
      <c r="H652" s="273"/>
      <c r="I652" s="273"/>
      <c r="J652" s="273" t="n">
        <v>-17257.275</v>
      </c>
      <c r="K652" s="273"/>
      <c r="L652" s="273"/>
      <c r="M652" s="273"/>
      <c r="N652" s="273"/>
      <c r="O652" s="273"/>
      <c r="P652" s="273" t="n">
        <v>-327.708</v>
      </c>
      <c r="Q652" s="273"/>
      <c r="R652" s="273"/>
      <c r="S652" s="273"/>
      <c r="T652" s="273"/>
      <c r="U652" s="273"/>
      <c r="V652" s="273"/>
      <c r="W652" s="273"/>
      <c r="X652" s="273"/>
      <c r="Y652" s="274" t="n">
        <f aca="false">SUM(B652:X652)</f>
        <v>-17392.482</v>
      </c>
      <c r="Z652" s="272"/>
      <c r="AA652" s="275"/>
    </row>
    <row r="653" customFormat="false" ht="14.25" hidden="false" customHeight="false" outlineLevel="0" collapsed="false">
      <c r="A653" s="272" t="s">
        <v>864</v>
      </c>
      <c r="B653" s="273"/>
      <c r="C653" s="273" t="n">
        <v>-28400</v>
      </c>
      <c r="D653" s="273"/>
      <c r="E653" s="273"/>
      <c r="F653" s="273"/>
      <c r="G653" s="273"/>
      <c r="H653" s="273"/>
      <c r="I653" s="273" t="n">
        <v>-308.55</v>
      </c>
      <c r="J653" s="273"/>
      <c r="K653" s="273"/>
      <c r="L653" s="273"/>
      <c r="M653" s="273"/>
      <c r="N653" s="273" t="n">
        <v>-3197.751</v>
      </c>
      <c r="O653" s="273"/>
      <c r="P653" s="273"/>
      <c r="Q653" s="273"/>
      <c r="R653" s="273"/>
      <c r="S653" s="273"/>
      <c r="T653" s="273"/>
      <c r="U653" s="273"/>
      <c r="V653" s="273"/>
      <c r="W653" s="273"/>
      <c r="X653" s="273"/>
      <c r="Y653" s="274" t="n">
        <f aca="false">SUM(B653:X653)</f>
        <v>-31906.301</v>
      </c>
      <c r="Z653" s="272"/>
      <c r="AA653" s="275"/>
    </row>
    <row r="654" customFormat="false" ht="14.25" hidden="false" customHeight="false" outlineLevel="0" collapsed="false">
      <c r="A654" s="272" t="s">
        <v>735</v>
      </c>
      <c r="B654" s="273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 t="n">
        <v>-3933.964</v>
      </c>
      <c r="O654" s="273"/>
      <c r="P654" s="273"/>
      <c r="Q654" s="273"/>
      <c r="R654" s="273"/>
      <c r="S654" s="273"/>
      <c r="T654" s="273"/>
      <c r="U654" s="273"/>
      <c r="V654" s="273"/>
      <c r="W654" s="273"/>
      <c r="X654" s="273"/>
      <c r="Y654" s="274" t="n">
        <f aca="false">SUM(B654:X654)</f>
        <v>-3933.964</v>
      </c>
      <c r="Z654" s="272"/>
      <c r="AA654" s="275"/>
    </row>
    <row r="655" customFormat="false" ht="14.25" hidden="false" customHeight="false" outlineLevel="0" collapsed="false">
      <c r="A655" s="272" t="s">
        <v>865</v>
      </c>
      <c r="B655" s="273" t="n">
        <v>-12071.457</v>
      </c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3"/>
      <c r="P655" s="273"/>
      <c r="Q655" s="273"/>
      <c r="R655" s="273"/>
      <c r="S655" s="273"/>
      <c r="T655" s="273"/>
      <c r="U655" s="273"/>
      <c r="V655" s="273"/>
      <c r="W655" s="273"/>
      <c r="X655" s="273"/>
      <c r="Y655" s="274" t="n">
        <f aca="false">SUM(B655:X655)</f>
        <v>-12071.457</v>
      </c>
      <c r="Z655" s="272"/>
      <c r="AA655" s="275"/>
    </row>
    <row r="656" customFormat="false" ht="14.25" hidden="false" customHeight="false" outlineLevel="0" collapsed="false">
      <c r="A656" s="272" t="s">
        <v>866</v>
      </c>
      <c r="B656" s="273" t="n">
        <v>-8933.646</v>
      </c>
      <c r="C656" s="273" t="n">
        <v>-13552.38</v>
      </c>
      <c r="D656" s="273"/>
      <c r="E656" s="273" t="n">
        <v>3242.1</v>
      </c>
      <c r="F656" s="273" t="n">
        <v>-636.165</v>
      </c>
      <c r="G656" s="273"/>
      <c r="H656" s="273"/>
      <c r="I656" s="273"/>
      <c r="J656" s="273" t="n">
        <v>-111189.88</v>
      </c>
      <c r="K656" s="273"/>
      <c r="L656" s="273"/>
      <c r="M656" s="273" t="n">
        <v>-18516.921</v>
      </c>
      <c r="N656" s="273"/>
      <c r="O656" s="273"/>
      <c r="P656" s="273"/>
      <c r="Q656" s="273"/>
      <c r="R656" s="273"/>
      <c r="S656" s="273"/>
      <c r="T656" s="273"/>
      <c r="U656" s="273"/>
      <c r="V656" s="273"/>
      <c r="W656" s="273"/>
      <c r="X656" s="273"/>
      <c r="Y656" s="274" t="n">
        <f aca="false">SUM(B656:X656)</f>
        <v>-149586.892</v>
      </c>
      <c r="Z656" s="272"/>
      <c r="AA656" s="275"/>
    </row>
    <row r="657" customFormat="false" ht="14.25" hidden="false" customHeight="false" outlineLevel="0" collapsed="false">
      <c r="A657" s="272" t="s">
        <v>867</v>
      </c>
      <c r="B657" s="273"/>
      <c r="C657" s="273"/>
      <c r="D657" s="273"/>
      <c r="E657" s="273" t="n">
        <v>-61.65</v>
      </c>
      <c r="F657" s="273"/>
      <c r="G657" s="273"/>
      <c r="H657" s="273"/>
      <c r="I657" s="273"/>
      <c r="J657" s="273"/>
      <c r="K657" s="273"/>
      <c r="L657" s="273"/>
      <c r="M657" s="273"/>
      <c r="N657" s="273"/>
      <c r="O657" s="273"/>
      <c r="P657" s="273"/>
      <c r="Q657" s="273"/>
      <c r="R657" s="273"/>
      <c r="S657" s="273"/>
      <c r="T657" s="273"/>
      <c r="U657" s="273"/>
      <c r="V657" s="273"/>
      <c r="W657" s="273"/>
      <c r="X657" s="273"/>
      <c r="Y657" s="274" t="n">
        <f aca="false">SUM(B657:X657)</f>
        <v>-61.65</v>
      </c>
      <c r="Z657" s="272"/>
      <c r="AA657" s="275"/>
    </row>
    <row r="658" customFormat="false" ht="14.25" hidden="false" customHeight="false" outlineLevel="0" collapsed="false">
      <c r="A658" s="272" t="s">
        <v>868</v>
      </c>
      <c r="B658" s="273" t="n">
        <v>-1362.555</v>
      </c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3"/>
      <c r="P658" s="273" t="n">
        <v>-3058.608</v>
      </c>
      <c r="Q658" s="273"/>
      <c r="R658" s="273"/>
      <c r="S658" s="273"/>
      <c r="T658" s="273"/>
      <c r="U658" s="273"/>
      <c r="V658" s="273"/>
      <c r="W658" s="273"/>
      <c r="X658" s="273"/>
      <c r="Y658" s="274" t="n">
        <f aca="false">SUM(B658:X658)</f>
        <v>-4421.163</v>
      </c>
      <c r="Z658" s="272"/>
      <c r="AA658" s="275"/>
    </row>
    <row r="659" customFormat="false" ht="14.25" hidden="false" customHeight="false" outlineLevel="0" collapsed="false">
      <c r="A659" s="272" t="s">
        <v>404</v>
      </c>
      <c r="B659" s="273" t="n">
        <v>-18167.4</v>
      </c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3"/>
      <c r="P659" s="273"/>
      <c r="Q659" s="273"/>
      <c r="R659" s="273"/>
      <c r="S659" s="273"/>
      <c r="T659" s="273"/>
      <c r="U659" s="273"/>
      <c r="V659" s="273"/>
      <c r="W659" s="273"/>
      <c r="X659" s="273"/>
      <c r="Y659" s="274" t="n">
        <f aca="false">SUM(B659:X659)</f>
        <v>-18167.4</v>
      </c>
      <c r="Z659" s="272"/>
      <c r="AA659" s="275"/>
    </row>
    <row r="660" customFormat="false" ht="14.25" hidden="false" customHeight="false" outlineLevel="0" collapsed="false">
      <c r="A660" s="272" t="s">
        <v>869</v>
      </c>
      <c r="B660" s="273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 t="n">
        <v>-63604.95</v>
      </c>
      <c r="O660" s="273"/>
      <c r="P660" s="273"/>
      <c r="Q660" s="273"/>
      <c r="R660" s="273"/>
      <c r="S660" s="273"/>
      <c r="T660" s="273"/>
      <c r="U660" s="273"/>
      <c r="V660" s="273"/>
      <c r="W660" s="273"/>
      <c r="X660" s="273"/>
      <c r="Y660" s="274" t="n">
        <f aca="false">SUM(B660:X660)</f>
        <v>-63604.95</v>
      </c>
      <c r="Z660" s="272"/>
      <c r="AA660" s="275"/>
    </row>
    <row r="661" customFormat="false" ht="14.25" hidden="false" customHeight="false" outlineLevel="0" collapsed="false">
      <c r="A661" s="272" t="s">
        <v>870</v>
      </c>
      <c r="B661" s="273" t="n">
        <v>-14109.453</v>
      </c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3"/>
      <c r="P661" s="273"/>
      <c r="Q661" s="273"/>
      <c r="R661" s="273"/>
      <c r="S661" s="273"/>
      <c r="T661" s="273"/>
      <c r="U661" s="273"/>
      <c r="V661" s="273"/>
      <c r="W661" s="273"/>
      <c r="X661" s="273"/>
      <c r="Y661" s="274" t="n">
        <f aca="false">SUM(B661:X661)</f>
        <v>-14109.453</v>
      </c>
      <c r="Z661" s="272"/>
      <c r="AA661" s="275"/>
    </row>
    <row r="662" customFormat="false" ht="14.25" hidden="false" customHeight="false" outlineLevel="0" collapsed="false">
      <c r="A662" s="272" t="s">
        <v>804</v>
      </c>
      <c r="B662" s="273"/>
      <c r="C662" s="273" t="n">
        <v>-66239.022</v>
      </c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3"/>
      <c r="P662" s="273"/>
      <c r="Q662" s="273"/>
      <c r="R662" s="273"/>
      <c r="S662" s="273"/>
      <c r="T662" s="273"/>
      <c r="U662" s="273"/>
      <c r="V662" s="273"/>
      <c r="W662" s="273"/>
      <c r="X662" s="273"/>
      <c r="Y662" s="274" t="n">
        <f aca="false">SUM(B662:X662)</f>
        <v>-66239.022</v>
      </c>
      <c r="Z662" s="272"/>
      <c r="AA662" s="275"/>
    </row>
    <row r="663" customFormat="false" ht="14.25" hidden="false" customHeight="false" outlineLevel="0" collapsed="false">
      <c r="A663" s="272" t="s">
        <v>871</v>
      </c>
      <c r="B663" s="273" t="n">
        <v>-34466.25</v>
      </c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3"/>
      <c r="P663" s="273"/>
      <c r="Q663" s="273"/>
      <c r="R663" s="273"/>
      <c r="S663" s="273"/>
      <c r="T663" s="273"/>
      <c r="U663" s="273"/>
      <c r="V663" s="273"/>
      <c r="W663" s="273"/>
      <c r="X663" s="273"/>
      <c r="Y663" s="274" t="n">
        <f aca="false">SUM(B663:X663)</f>
        <v>-34466.25</v>
      </c>
      <c r="Z663" s="272"/>
      <c r="AA663" s="275"/>
    </row>
    <row r="664" customFormat="false" ht="14.25" hidden="false" customHeight="false" outlineLevel="0" collapsed="false">
      <c r="A664" s="272" t="s">
        <v>872</v>
      </c>
      <c r="B664" s="273" t="n">
        <v>-4687.41</v>
      </c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3"/>
      <c r="P664" s="273"/>
      <c r="Q664" s="273"/>
      <c r="R664" s="273"/>
      <c r="S664" s="273"/>
      <c r="T664" s="273"/>
      <c r="U664" s="273"/>
      <c r="V664" s="273"/>
      <c r="W664" s="273"/>
      <c r="X664" s="273"/>
      <c r="Y664" s="274" t="n">
        <f aca="false">SUM(B664:X664)</f>
        <v>-4687.41</v>
      </c>
      <c r="Z664" s="272"/>
      <c r="AA664" s="275"/>
    </row>
    <row r="665" customFormat="false" ht="14.25" hidden="false" customHeight="false" outlineLevel="0" collapsed="false">
      <c r="A665" s="272" t="s">
        <v>469</v>
      </c>
      <c r="B665" s="273" t="n">
        <v>-4414.1895</v>
      </c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3"/>
      <c r="P665" s="273"/>
      <c r="Q665" s="273"/>
      <c r="R665" s="273"/>
      <c r="S665" s="273"/>
      <c r="T665" s="273"/>
      <c r="U665" s="273"/>
      <c r="V665" s="273"/>
      <c r="W665" s="273"/>
      <c r="X665" s="273"/>
      <c r="Y665" s="274" t="n">
        <f aca="false">SUM(B665:X665)</f>
        <v>-4414.1895</v>
      </c>
      <c r="Z665" s="272"/>
      <c r="AA665" s="275"/>
    </row>
    <row r="666" customFormat="false" ht="14.25" hidden="false" customHeight="false" outlineLevel="0" collapsed="false">
      <c r="A666" s="272" t="s">
        <v>873</v>
      </c>
      <c r="B666" s="273" t="n">
        <v>-6944.9085</v>
      </c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3"/>
      <c r="P666" s="273"/>
      <c r="Q666" s="273"/>
      <c r="R666" s="273"/>
      <c r="S666" s="273"/>
      <c r="T666" s="273"/>
      <c r="U666" s="273"/>
      <c r="V666" s="273"/>
      <c r="W666" s="273"/>
      <c r="X666" s="273"/>
      <c r="Y666" s="274" t="n">
        <f aca="false">SUM(B666:X666)</f>
        <v>-6944.9085</v>
      </c>
      <c r="Z666" s="272"/>
      <c r="AA666" s="275"/>
    </row>
    <row r="667" customFormat="false" ht="14.25" hidden="false" customHeight="false" outlineLevel="0" collapsed="false">
      <c r="A667" s="272" t="s">
        <v>874</v>
      </c>
      <c r="B667" s="273"/>
      <c r="C667" s="273"/>
      <c r="D667" s="273" t="n">
        <v>-1268.64</v>
      </c>
      <c r="E667" s="273"/>
      <c r="F667" s="273"/>
      <c r="G667" s="273"/>
      <c r="H667" s="273"/>
      <c r="I667" s="273"/>
      <c r="J667" s="273" t="n">
        <v>-1410.48</v>
      </c>
      <c r="K667" s="273"/>
      <c r="L667" s="273"/>
      <c r="M667" s="273"/>
      <c r="N667" s="273"/>
      <c r="O667" s="273"/>
      <c r="P667" s="273"/>
      <c r="Q667" s="273"/>
      <c r="R667" s="273"/>
      <c r="S667" s="273"/>
      <c r="T667" s="273"/>
      <c r="U667" s="273"/>
      <c r="V667" s="273"/>
      <c r="W667" s="273"/>
      <c r="X667" s="273"/>
      <c r="Y667" s="274" t="n">
        <f aca="false">SUM(B667:X667)</f>
        <v>-2679.12</v>
      </c>
      <c r="Z667" s="272"/>
      <c r="AA667" s="275"/>
    </row>
    <row r="668" customFormat="false" ht="14.25" hidden="false" customHeight="false" outlineLevel="0" collapsed="false">
      <c r="A668" s="272" t="s">
        <v>875</v>
      </c>
      <c r="B668" s="273" t="n">
        <v>-30330.3</v>
      </c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3"/>
      <c r="P668" s="273"/>
      <c r="Q668" s="273"/>
      <c r="R668" s="273"/>
      <c r="S668" s="273"/>
      <c r="T668" s="273"/>
      <c r="U668" s="273"/>
      <c r="V668" s="273"/>
      <c r="W668" s="273"/>
      <c r="X668" s="273"/>
      <c r="Y668" s="274" t="n">
        <f aca="false">SUM(B668:X668)</f>
        <v>-30330.3</v>
      </c>
      <c r="Z668" s="272"/>
      <c r="AA668" s="275"/>
    </row>
    <row r="669" customFormat="false" ht="14.25" hidden="false" customHeight="false" outlineLevel="0" collapsed="false">
      <c r="A669" s="272" t="s">
        <v>876</v>
      </c>
      <c r="B669" s="273"/>
      <c r="C669" s="273" t="n">
        <v>-1030.485</v>
      </c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3"/>
      <c r="P669" s="273"/>
      <c r="Q669" s="273"/>
      <c r="R669" s="273"/>
      <c r="S669" s="273"/>
      <c r="T669" s="273"/>
      <c r="U669" s="273"/>
      <c r="V669" s="273"/>
      <c r="W669" s="273"/>
      <c r="X669" s="273"/>
      <c r="Y669" s="274" t="n">
        <f aca="false">SUM(B669:X669)</f>
        <v>-1030.485</v>
      </c>
      <c r="Z669" s="272"/>
      <c r="AA669" s="275"/>
    </row>
    <row r="670" customFormat="false" ht="14.25" hidden="false" customHeight="false" outlineLevel="0" collapsed="false">
      <c r="A670" s="272" t="s">
        <v>877</v>
      </c>
      <c r="B670" s="273"/>
      <c r="C670" s="273" t="n">
        <v>-1855.8</v>
      </c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3"/>
      <c r="P670" s="273"/>
      <c r="Q670" s="273"/>
      <c r="R670" s="273"/>
      <c r="S670" s="273"/>
      <c r="T670" s="273"/>
      <c r="U670" s="273"/>
      <c r="V670" s="273"/>
      <c r="W670" s="273"/>
      <c r="X670" s="273"/>
      <c r="Y670" s="274" t="n">
        <f aca="false">SUM(B670:X670)</f>
        <v>-1855.8</v>
      </c>
      <c r="Z670" s="272"/>
      <c r="AA670" s="275"/>
    </row>
    <row r="671" customFormat="false" ht="14.25" hidden="false" customHeight="false" outlineLevel="0" collapsed="false">
      <c r="A671" s="272" t="s">
        <v>572</v>
      </c>
      <c r="B671" s="273" t="n">
        <v>-17499.0075</v>
      </c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3"/>
      <c r="P671" s="273"/>
      <c r="Q671" s="273"/>
      <c r="R671" s="273"/>
      <c r="S671" s="273"/>
      <c r="T671" s="273"/>
      <c r="U671" s="273"/>
      <c r="V671" s="273"/>
      <c r="W671" s="273"/>
      <c r="X671" s="273"/>
      <c r="Y671" s="274" t="n">
        <f aca="false">SUM(B671:X671)</f>
        <v>-17499.0075</v>
      </c>
      <c r="Z671" s="272"/>
      <c r="AA671" s="275"/>
    </row>
    <row r="672" customFormat="false" ht="14.25" hidden="false" customHeight="false" outlineLevel="0" collapsed="false">
      <c r="A672" s="272" t="s">
        <v>385</v>
      </c>
      <c r="B672" s="273"/>
      <c r="C672" s="273"/>
      <c r="D672" s="273"/>
      <c r="E672" s="273"/>
      <c r="F672" s="273" t="n">
        <v>-5081.139</v>
      </c>
      <c r="G672" s="273"/>
      <c r="H672" s="273"/>
      <c r="I672" s="273"/>
      <c r="J672" s="273"/>
      <c r="K672" s="273"/>
      <c r="L672" s="273"/>
      <c r="M672" s="273"/>
      <c r="N672" s="273"/>
      <c r="O672" s="273"/>
      <c r="P672" s="273"/>
      <c r="Q672" s="273"/>
      <c r="R672" s="273"/>
      <c r="S672" s="273"/>
      <c r="T672" s="273"/>
      <c r="U672" s="273"/>
      <c r="V672" s="273"/>
      <c r="W672" s="273"/>
      <c r="X672" s="273"/>
      <c r="Y672" s="274" t="n">
        <f aca="false">SUM(B672:X672)</f>
        <v>-5081.139</v>
      </c>
      <c r="Z672" s="272"/>
      <c r="AA672" s="275"/>
    </row>
    <row r="673" customFormat="false" ht="14.25" hidden="false" customHeight="false" outlineLevel="0" collapsed="false">
      <c r="A673" s="272" t="s">
        <v>878</v>
      </c>
      <c r="B673" s="273"/>
      <c r="C673" s="273"/>
      <c r="D673" s="273" t="n">
        <v>-121.788</v>
      </c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3"/>
      <c r="P673" s="273"/>
      <c r="Q673" s="273"/>
      <c r="R673" s="273"/>
      <c r="S673" s="273"/>
      <c r="T673" s="273"/>
      <c r="U673" s="273"/>
      <c r="V673" s="273"/>
      <c r="W673" s="273"/>
      <c r="X673" s="273"/>
      <c r="Y673" s="274" t="n">
        <f aca="false">SUM(B673:X673)</f>
        <v>-121.788</v>
      </c>
      <c r="Z673" s="272"/>
      <c r="AA673" s="275"/>
    </row>
    <row r="674" customFormat="false" ht="14.25" hidden="false" customHeight="false" outlineLevel="0" collapsed="false">
      <c r="A674" s="272" t="s">
        <v>879</v>
      </c>
      <c r="B674" s="273"/>
      <c r="C674" s="273"/>
      <c r="D674" s="273"/>
      <c r="E674" s="273" t="n">
        <v>-34.935</v>
      </c>
      <c r="F674" s="273"/>
      <c r="G674" s="273"/>
      <c r="H674" s="273"/>
      <c r="I674" s="273"/>
      <c r="J674" s="273"/>
      <c r="K674" s="273"/>
      <c r="L674" s="273"/>
      <c r="M674" s="273"/>
      <c r="N674" s="273"/>
      <c r="O674" s="273"/>
      <c r="P674" s="273"/>
      <c r="Q674" s="273"/>
      <c r="R674" s="273"/>
      <c r="S674" s="273"/>
      <c r="T674" s="273"/>
      <c r="U674" s="273"/>
      <c r="V674" s="273"/>
      <c r="W674" s="273"/>
      <c r="X674" s="273"/>
      <c r="Y674" s="274" t="n">
        <f aca="false">SUM(B674:X674)</f>
        <v>-34.935</v>
      </c>
      <c r="Z674" s="272"/>
      <c r="AA674" s="275"/>
    </row>
    <row r="675" customFormat="false" ht="14.25" hidden="false" customHeight="false" outlineLevel="0" collapsed="false">
      <c r="A675" s="272" t="s">
        <v>880</v>
      </c>
      <c r="B675" s="273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 t="n">
        <v>-208.624</v>
      </c>
      <c r="N675" s="273"/>
      <c r="O675" s="273"/>
      <c r="P675" s="273"/>
      <c r="Q675" s="273"/>
      <c r="R675" s="273"/>
      <c r="S675" s="273"/>
      <c r="T675" s="273"/>
      <c r="U675" s="273"/>
      <c r="V675" s="273"/>
      <c r="W675" s="273"/>
      <c r="X675" s="273"/>
      <c r="Y675" s="274" t="n">
        <f aca="false">SUM(B675:X675)</f>
        <v>-208.624</v>
      </c>
      <c r="Z675" s="272"/>
      <c r="AA675" s="275"/>
    </row>
    <row r="676" customFormat="false" ht="14.25" hidden="false" customHeight="false" outlineLevel="0" collapsed="false">
      <c r="A676" s="272" t="s">
        <v>875</v>
      </c>
      <c r="B676" s="273" t="n">
        <v>-16543.8</v>
      </c>
      <c r="C676" s="273"/>
      <c r="D676" s="273"/>
      <c r="E676" s="273"/>
      <c r="F676" s="273"/>
      <c r="G676" s="273"/>
      <c r="H676" s="273"/>
      <c r="I676" s="273" t="n">
        <v>5.817</v>
      </c>
      <c r="J676" s="273"/>
      <c r="K676" s="273"/>
      <c r="L676" s="273"/>
      <c r="M676" s="273"/>
      <c r="N676" s="273"/>
      <c r="O676" s="273"/>
      <c r="P676" s="273"/>
      <c r="Q676" s="273"/>
      <c r="R676" s="273"/>
      <c r="S676" s="273"/>
      <c r="T676" s="273"/>
      <c r="U676" s="273"/>
      <c r="V676" s="273"/>
      <c r="W676" s="273"/>
      <c r="X676" s="273"/>
      <c r="Y676" s="274" t="n">
        <f aca="false">SUM(B676:X676)</f>
        <v>-16537.983</v>
      </c>
      <c r="Z676" s="272"/>
      <c r="AA676" s="275"/>
    </row>
    <row r="677" customFormat="false" ht="14.25" hidden="false" customHeight="false" outlineLevel="0" collapsed="false">
      <c r="A677" s="272" t="s">
        <v>881</v>
      </c>
      <c r="B677" s="273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3"/>
      <c r="P677" s="273" t="n">
        <v>-218.472</v>
      </c>
      <c r="Q677" s="273"/>
      <c r="R677" s="273"/>
      <c r="S677" s="273"/>
      <c r="T677" s="273"/>
      <c r="U677" s="273"/>
      <c r="V677" s="273"/>
      <c r="W677" s="273"/>
      <c r="X677" s="273"/>
      <c r="Y677" s="274" t="n">
        <f aca="false">SUM(B677:X677)</f>
        <v>-218.472</v>
      </c>
      <c r="Z677" s="272"/>
      <c r="AA677" s="275"/>
    </row>
    <row r="678" customFormat="false" ht="14.25" hidden="false" customHeight="false" outlineLevel="0" collapsed="false">
      <c r="A678" s="272" t="s">
        <v>699</v>
      </c>
      <c r="B678" s="273"/>
      <c r="C678" s="273"/>
      <c r="D678" s="273"/>
      <c r="E678" s="273"/>
      <c r="F678" s="273"/>
      <c r="G678" s="273"/>
      <c r="H678" s="273"/>
      <c r="I678" s="273"/>
      <c r="J678" s="273" t="n">
        <v>-8902.17</v>
      </c>
      <c r="K678" s="273"/>
      <c r="L678" s="273"/>
      <c r="M678" s="273"/>
      <c r="N678" s="273"/>
      <c r="O678" s="273"/>
      <c r="P678" s="273"/>
      <c r="Q678" s="273"/>
      <c r="R678" s="273"/>
      <c r="S678" s="273"/>
      <c r="T678" s="273"/>
      <c r="U678" s="273"/>
      <c r="V678" s="273"/>
      <c r="W678" s="273"/>
      <c r="X678" s="273"/>
      <c r="Y678" s="274" t="n">
        <f aca="false">SUM(B678:X678)</f>
        <v>-8902.17</v>
      </c>
      <c r="Z678" s="272"/>
      <c r="AA678" s="275"/>
    </row>
    <row r="679" customFormat="false" ht="14.25" hidden="false" customHeight="false" outlineLevel="0" collapsed="false">
      <c r="A679" s="272" t="s">
        <v>882</v>
      </c>
      <c r="B679" s="273"/>
      <c r="C679" s="273"/>
      <c r="D679" s="273" t="n">
        <v>367.5285</v>
      </c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3"/>
      <c r="P679" s="273"/>
      <c r="Q679" s="273"/>
      <c r="R679" s="273"/>
      <c r="S679" s="273"/>
      <c r="T679" s="273"/>
      <c r="U679" s="273"/>
      <c r="V679" s="273"/>
      <c r="W679" s="273"/>
      <c r="X679" s="273"/>
      <c r="Y679" s="274" t="n">
        <f aca="false">SUM(B679:X679)</f>
        <v>367.5285</v>
      </c>
      <c r="Z679" s="272"/>
      <c r="AA679" s="275"/>
    </row>
    <row r="680" customFormat="false" ht="14.25" hidden="false" customHeight="false" outlineLevel="0" collapsed="false">
      <c r="A680" s="272" t="s">
        <v>883</v>
      </c>
      <c r="B680" s="273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3" t="n">
        <v>336.447</v>
      </c>
      <c r="P680" s="273"/>
      <c r="Q680" s="273"/>
      <c r="R680" s="273"/>
      <c r="S680" s="273"/>
      <c r="T680" s="273"/>
      <c r="U680" s="273"/>
      <c r="V680" s="273"/>
      <c r="W680" s="273"/>
      <c r="X680" s="273"/>
      <c r="Y680" s="274" t="n">
        <f aca="false">SUM(B680:X680)</f>
        <v>336.447</v>
      </c>
      <c r="Z680" s="272"/>
      <c r="AA680" s="275"/>
    </row>
    <row r="681" customFormat="false" ht="14.25" hidden="false" customHeight="false" outlineLevel="0" collapsed="false">
      <c r="A681" s="272" t="s">
        <v>884</v>
      </c>
      <c r="B681" s="273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3" t="n">
        <v>-1920</v>
      </c>
      <c r="P681" s="273"/>
      <c r="Q681" s="273"/>
      <c r="R681" s="273"/>
      <c r="S681" s="273"/>
      <c r="T681" s="273"/>
      <c r="U681" s="273"/>
      <c r="V681" s="273"/>
      <c r="W681" s="273"/>
      <c r="X681" s="273"/>
      <c r="Y681" s="274" t="n">
        <f aca="false">SUM(B681:X681)</f>
        <v>-1920</v>
      </c>
      <c r="Z681" s="272"/>
      <c r="AA681" s="275"/>
    </row>
    <row r="682" customFormat="false" ht="14.25" hidden="false" customHeight="false" outlineLevel="0" collapsed="false">
      <c r="A682" s="272" t="s">
        <v>721</v>
      </c>
      <c r="B682" s="273"/>
      <c r="C682" s="273" t="n">
        <v>-1043.8875</v>
      </c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3"/>
      <c r="P682" s="273"/>
      <c r="Q682" s="273"/>
      <c r="R682" s="273"/>
      <c r="S682" s="273"/>
      <c r="T682" s="273"/>
      <c r="U682" s="273"/>
      <c r="V682" s="273"/>
      <c r="W682" s="273"/>
      <c r="X682" s="273"/>
      <c r="Y682" s="274" t="n">
        <f aca="false">SUM(B682:X682)</f>
        <v>-1043.8875</v>
      </c>
      <c r="Z682" s="272"/>
      <c r="AA682" s="275"/>
    </row>
    <row r="683" customFormat="false" ht="14.25" hidden="false" customHeight="false" outlineLevel="0" collapsed="false">
      <c r="A683" s="272" t="s">
        <v>885</v>
      </c>
      <c r="B683" s="273" t="n">
        <v>-3062.907</v>
      </c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3"/>
      <c r="P683" s="273"/>
      <c r="Q683" s="273"/>
      <c r="R683" s="273"/>
      <c r="S683" s="273"/>
      <c r="T683" s="273"/>
      <c r="U683" s="273"/>
      <c r="V683" s="273"/>
      <c r="W683" s="273"/>
      <c r="X683" s="273"/>
      <c r="Y683" s="274" t="n">
        <f aca="false">SUM(B683:X683)</f>
        <v>-3062.907</v>
      </c>
      <c r="Z683" s="272"/>
      <c r="AA683" s="275"/>
    </row>
    <row r="684" customFormat="false" ht="14.25" hidden="false" customHeight="false" outlineLevel="0" collapsed="false">
      <c r="A684" s="272" t="s">
        <v>886</v>
      </c>
      <c r="B684" s="273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 t="n">
        <v>37.41</v>
      </c>
      <c r="M684" s="273"/>
      <c r="N684" s="273"/>
      <c r="O684" s="273"/>
      <c r="P684" s="273"/>
      <c r="Q684" s="273"/>
      <c r="R684" s="273"/>
      <c r="S684" s="273"/>
      <c r="T684" s="273"/>
      <c r="U684" s="273"/>
      <c r="V684" s="273"/>
      <c r="W684" s="273"/>
      <c r="X684" s="273"/>
      <c r="Y684" s="274" t="n">
        <f aca="false">SUM(B684:X684)</f>
        <v>37.41</v>
      </c>
      <c r="Z684" s="272"/>
      <c r="AA684" s="275"/>
    </row>
    <row r="685" customFormat="false" ht="14.25" hidden="false" customHeight="false" outlineLevel="0" collapsed="false">
      <c r="A685" s="272" t="s">
        <v>887</v>
      </c>
      <c r="B685" s="273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 t="n">
        <v>299.28</v>
      </c>
      <c r="M685" s="273"/>
      <c r="N685" s="273"/>
      <c r="O685" s="273"/>
      <c r="P685" s="273"/>
      <c r="Q685" s="273"/>
      <c r="R685" s="273"/>
      <c r="S685" s="273"/>
      <c r="T685" s="273"/>
      <c r="U685" s="273"/>
      <c r="V685" s="273"/>
      <c r="W685" s="273"/>
      <c r="X685" s="273"/>
      <c r="Y685" s="274" t="n">
        <f aca="false">SUM(B685:X685)</f>
        <v>299.28</v>
      </c>
      <c r="Z685" s="272"/>
      <c r="AA685" s="275"/>
    </row>
    <row r="686" customFormat="false" ht="14.25" hidden="false" customHeight="false" outlineLevel="0" collapsed="false">
      <c r="A686" s="272" t="s">
        <v>888</v>
      </c>
      <c r="B686" s="273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3"/>
      <c r="P686" s="273" t="n">
        <v>-224.8695</v>
      </c>
      <c r="Q686" s="273"/>
      <c r="R686" s="273"/>
      <c r="S686" s="273"/>
      <c r="T686" s="273"/>
      <c r="U686" s="273"/>
      <c r="V686" s="273"/>
      <c r="W686" s="273"/>
      <c r="X686" s="273"/>
      <c r="Y686" s="274" t="n">
        <f aca="false">SUM(B686:X686)</f>
        <v>-224.8695</v>
      </c>
      <c r="Z686" s="272"/>
      <c r="AA686" s="275"/>
    </row>
    <row r="687" customFormat="false" ht="14.25" hidden="false" customHeight="false" outlineLevel="0" collapsed="false">
      <c r="A687" s="272" t="s">
        <v>889</v>
      </c>
      <c r="B687" s="273"/>
      <c r="C687" s="273"/>
      <c r="D687" s="273"/>
      <c r="E687" s="273"/>
      <c r="F687" s="273"/>
      <c r="G687" s="273"/>
      <c r="H687" s="273"/>
      <c r="I687" s="273"/>
      <c r="J687" s="273" t="n">
        <v>-283.7</v>
      </c>
      <c r="K687" s="273"/>
      <c r="L687" s="273"/>
      <c r="M687" s="273"/>
      <c r="N687" s="273"/>
      <c r="O687" s="273"/>
      <c r="P687" s="273"/>
      <c r="Q687" s="273"/>
      <c r="R687" s="273"/>
      <c r="S687" s="273"/>
      <c r="T687" s="273"/>
      <c r="U687" s="273"/>
      <c r="V687" s="273"/>
      <c r="W687" s="273"/>
      <c r="X687" s="273"/>
      <c r="Y687" s="274" t="n">
        <f aca="false">SUM(B687:X687)</f>
        <v>-283.7</v>
      </c>
      <c r="Z687" s="272"/>
      <c r="AA687" s="275"/>
    </row>
    <row r="688" customFormat="false" ht="14.25" hidden="false" customHeight="false" outlineLevel="0" collapsed="false">
      <c r="A688" s="272" t="s">
        <v>890</v>
      </c>
      <c r="B688" s="273"/>
      <c r="C688" s="273" t="n">
        <v>-394.3575</v>
      </c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3"/>
      <c r="P688" s="273"/>
      <c r="Q688" s="273"/>
      <c r="R688" s="273"/>
      <c r="S688" s="273"/>
      <c r="T688" s="273"/>
      <c r="U688" s="273"/>
      <c r="V688" s="273"/>
      <c r="W688" s="273"/>
      <c r="X688" s="273"/>
      <c r="Y688" s="274" t="n">
        <f aca="false">SUM(B688:X688)</f>
        <v>-394.3575</v>
      </c>
      <c r="Z688" s="272"/>
      <c r="AA688" s="275"/>
    </row>
    <row r="689" customFormat="false" ht="14.25" hidden="false" customHeight="false" outlineLevel="0" collapsed="false">
      <c r="A689" s="272" t="s">
        <v>891</v>
      </c>
      <c r="B689" s="273" t="n">
        <v>-8651.52</v>
      </c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3"/>
      <c r="P689" s="273"/>
      <c r="Q689" s="273"/>
      <c r="R689" s="273"/>
      <c r="S689" s="273"/>
      <c r="T689" s="273"/>
      <c r="U689" s="273"/>
      <c r="V689" s="273"/>
      <c r="W689" s="273"/>
      <c r="X689" s="273"/>
      <c r="Y689" s="274" t="n">
        <f aca="false">SUM(B689:X689)</f>
        <v>-8651.52</v>
      </c>
      <c r="Z689" s="272"/>
      <c r="AA689" s="275"/>
    </row>
    <row r="690" customFormat="false" ht="14.25" hidden="false" customHeight="false" outlineLevel="0" collapsed="false">
      <c r="A690" s="272" t="s">
        <v>690</v>
      </c>
      <c r="B690" s="273" t="n">
        <v>-144.192</v>
      </c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3"/>
      <c r="P690" s="273"/>
      <c r="Q690" s="273"/>
      <c r="R690" s="273"/>
      <c r="S690" s="273"/>
      <c r="T690" s="273"/>
      <c r="U690" s="273"/>
      <c r="V690" s="273"/>
      <c r="W690" s="273"/>
      <c r="X690" s="273"/>
      <c r="Y690" s="274" t="n">
        <f aca="false">SUM(B690:X690)</f>
        <v>-144.192</v>
      </c>
      <c r="Z690" s="272"/>
      <c r="AA690" s="275"/>
    </row>
    <row r="691" customFormat="false" ht="14.25" hidden="false" customHeight="false" outlineLevel="0" collapsed="false">
      <c r="A691" s="272" t="s">
        <v>892</v>
      </c>
      <c r="B691" s="273"/>
      <c r="C691" s="273" t="n">
        <v>-463.95</v>
      </c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3"/>
      <c r="P691" s="273"/>
      <c r="Q691" s="273"/>
      <c r="R691" s="273"/>
      <c r="S691" s="273"/>
      <c r="T691" s="273"/>
      <c r="U691" s="273"/>
      <c r="V691" s="273"/>
      <c r="W691" s="273"/>
      <c r="X691" s="273"/>
      <c r="Y691" s="274" t="n">
        <f aca="false">SUM(B691:X691)</f>
        <v>-463.95</v>
      </c>
      <c r="Z691" s="272"/>
      <c r="AA691" s="275"/>
    </row>
    <row r="692" customFormat="false" ht="14.25" hidden="false" customHeight="false" outlineLevel="0" collapsed="false">
      <c r="A692" s="272" t="s">
        <v>893</v>
      </c>
      <c r="B692" s="273"/>
      <c r="C692" s="273"/>
      <c r="D692" s="273" t="n">
        <v>111.975</v>
      </c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3"/>
      <c r="P692" s="273"/>
      <c r="Q692" s="273"/>
      <c r="R692" s="273"/>
      <c r="S692" s="273"/>
      <c r="T692" s="273"/>
      <c r="U692" s="273"/>
      <c r="V692" s="273"/>
      <c r="W692" s="273"/>
      <c r="X692" s="273"/>
      <c r="Y692" s="274" t="n">
        <f aca="false">SUM(B692:X692)</f>
        <v>111.975</v>
      </c>
      <c r="Z692" s="272"/>
      <c r="AA692" s="275"/>
    </row>
    <row r="693" customFormat="false" ht="14.25" hidden="false" customHeight="false" outlineLevel="0" collapsed="false">
      <c r="A693" s="272" t="s">
        <v>894</v>
      </c>
      <c r="B693" s="273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 t="n">
        <v>-1912.872</v>
      </c>
      <c r="N693" s="273"/>
      <c r="O693" s="273"/>
      <c r="P693" s="273" t="n">
        <v>-1092.36</v>
      </c>
      <c r="Q693" s="273"/>
      <c r="R693" s="273"/>
      <c r="S693" s="273"/>
      <c r="T693" s="273"/>
      <c r="U693" s="273"/>
      <c r="V693" s="273"/>
      <c r="W693" s="273"/>
      <c r="X693" s="273"/>
      <c r="Y693" s="274" t="n">
        <f aca="false">SUM(B693:X693)</f>
        <v>-3005.232</v>
      </c>
      <c r="Z693" s="272"/>
      <c r="AA693" s="275"/>
    </row>
    <row r="694" customFormat="false" ht="14.25" hidden="false" customHeight="false" outlineLevel="0" collapsed="false">
      <c r="A694" s="272" t="s">
        <v>895</v>
      </c>
      <c r="B694" s="273" t="n">
        <v>-120.114</v>
      </c>
      <c r="C694" s="273"/>
      <c r="D694" s="273"/>
      <c r="E694" s="273"/>
      <c r="F694" s="273"/>
      <c r="G694" s="273"/>
      <c r="H694" s="273"/>
      <c r="I694" s="273"/>
      <c r="J694" s="273" t="n">
        <v>-56.74</v>
      </c>
      <c r="K694" s="273"/>
      <c r="L694" s="273"/>
      <c r="M694" s="273"/>
      <c r="N694" s="273"/>
      <c r="O694" s="273"/>
      <c r="P694" s="273" t="n">
        <v>-1092.36</v>
      </c>
      <c r="Q694" s="273"/>
      <c r="R694" s="273"/>
      <c r="S694" s="273"/>
      <c r="T694" s="273"/>
      <c r="U694" s="273"/>
      <c r="V694" s="273"/>
      <c r="W694" s="273"/>
      <c r="X694" s="273"/>
      <c r="Y694" s="274" t="n">
        <f aca="false">SUM(B694:X694)</f>
        <v>-1269.214</v>
      </c>
      <c r="Z694" s="272"/>
      <c r="AA694" s="275"/>
    </row>
    <row r="695" customFormat="false" ht="14.25" hidden="false" customHeight="false" outlineLevel="0" collapsed="false">
      <c r="A695" s="272" t="s">
        <v>719</v>
      </c>
      <c r="B695" s="273" t="n">
        <v>-333.345</v>
      </c>
      <c r="C695" s="273"/>
      <c r="D695" s="273"/>
      <c r="E695" s="273"/>
      <c r="F695" s="273"/>
      <c r="G695" s="273"/>
      <c r="H695" s="273"/>
      <c r="I695" s="273"/>
      <c r="J695" s="273" t="n">
        <v>-342.174</v>
      </c>
      <c r="K695" s="273"/>
      <c r="L695" s="273"/>
      <c r="M695" s="273"/>
      <c r="N695" s="273"/>
      <c r="O695" s="273"/>
      <c r="P695" s="273"/>
      <c r="Q695" s="273"/>
      <c r="R695" s="273"/>
      <c r="S695" s="273"/>
      <c r="T695" s="273"/>
      <c r="U695" s="273"/>
      <c r="V695" s="273"/>
      <c r="W695" s="273"/>
      <c r="X695" s="273"/>
      <c r="Y695" s="274" t="n">
        <f aca="false">SUM(B695:X695)</f>
        <v>-675.519</v>
      </c>
      <c r="Z695" s="272"/>
      <c r="AA695" s="275"/>
    </row>
    <row r="696" customFormat="false" ht="14.25" hidden="false" customHeight="false" outlineLevel="0" collapsed="false">
      <c r="A696" s="272" t="s">
        <v>896</v>
      </c>
      <c r="B696" s="273"/>
      <c r="C696" s="273" t="n">
        <v>-139.185</v>
      </c>
      <c r="D696" s="273"/>
      <c r="E696" s="273"/>
      <c r="F696" s="273"/>
      <c r="G696" s="273"/>
      <c r="H696" s="273"/>
      <c r="I696" s="273"/>
      <c r="J696" s="273" t="n">
        <v>-374.238</v>
      </c>
      <c r="K696" s="273"/>
      <c r="L696" s="273"/>
      <c r="M696" s="273"/>
      <c r="N696" s="273"/>
      <c r="O696" s="273"/>
      <c r="P696" s="273"/>
      <c r="Q696" s="273"/>
      <c r="R696" s="273"/>
      <c r="S696" s="273"/>
      <c r="T696" s="273"/>
      <c r="U696" s="273"/>
      <c r="V696" s="273"/>
      <c r="W696" s="273"/>
      <c r="X696" s="273"/>
      <c r="Y696" s="274" t="n">
        <f aca="false">SUM(B696:X696)</f>
        <v>-513.423</v>
      </c>
      <c r="Z696" s="272"/>
      <c r="AA696" s="275"/>
    </row>
    <row r="697" customFormat="false" ht="14.25" hidden="false" customHeight="false" outlineLevel="0" collapsed="false">
      <c r="A697" s="272" t="s">
        <v>897</v>
      </c>
      <c r="B697" s="273"/>
      <c r="C697" s="273"/>
      <c r="D697" s="273"/>
      <c r="E697" s="273"/>
      <c r="F697" s="273"/>
      <c r="G697" s="273"/>
      <c r="H697" s="273" t="n">
        <v>147.99</v>
      </c>
      <c r="I697" s="273"/>
      <c r="J697" s="273"/>
      <c r="K697" s="273"/>
      <c r="L697" s="273"/>
      <c r="M697" s="273"/>
      <c r="N697" s="273"/>
      <c r="O697" s="273"/>
      <c r="P697" s="273"/>
      <c r="Q697" s="273"/>
      <c r="R697" s="273"/>
      <c r="S697" s="273"/>
      <c r="T697" s="273"/>
      <c r="U697" s="273"/>
      <c r="V697" s="273"/>
      <c r="W697" s="273"/>
      <c r="X697" s="273"/>
      <c r="Y697" s="274" t="n">
        <f aca="false">SUM(B697:X697)</f>
        <v>147.99</v>
      </c>
      <c r="Z697" s="272"/>
      <c r="AA697" s="275"/>
    </row>
    <row r="698" customFormat="false" ht="14.25" hidden="false" customHeight="false" outlineLevel="0" collapsed="false">
      <c r="A698" s="272" t="s">
        <v>898</v>
      </c>
      <c r="B698" s="273" t="n">
        <v>-1378.65</v>
      </c>
      <c r="C698" s="273"/>
      <c r="D698" s="273"/>
      <c r="E698" s="273"/>
      <c r="F698" s="273" t="n">
        <v>-12.8955</v>
      </c>
      <c r="G698" s="273"/>
      <c r="H698" s="273"/>
      <c r="I698" s="273"/>
      <c r="J698" s="273"/>
      <c r="K698" s="273"/>
      <c r="L698" s="273"/>
      <c r="M698" s="273"/>
      <c r="N698" s="273"/>
      <c r="O698" s="273"/>
      <c r="P698" s="273"/>
      <c r="Q698" s="273"/>
      <c r="R698" s="273"/>
      <c r="S698" s="273"/>
      <c r="T698" s="273"/>
      <c r="U698" s="273"/>
      <c r="V698" s="273"/>
      <c r="W698" s="273"/>
      <c r="X698" s="273"/>
      <c r="Y698" s="274" t="n">
        <f aca="false">SUM(B698:X698)</f>
        <v>-1391.5455</v>
      </c>
      <c r="Z698" s="272"/>
      <c r="AA698" s="275"/>
    </row>
    <row r="699" customFormat="false" ht="14.25" hidden="false" customHeight="false" outlineLevel="0" collapsed="false">
      <c r="A699" s="272" t="s">
        <v>899</v>
      </c>
      <c r="B699" s="273"/>
      <c r="C699" s="273"/>
      <c r="D699" s="273"/>
      <c r="E699" s="273"/>
      <c r="F699" s="273" t="n">
        <v>-2627.163</v>
      </c>
      <c r="G699" s="273"/>
      <c r="H699" s="273"/>
      <c r="I699" s="273"/>
      <c r="J699" s="273"/>
      <c r="K699" s="273"/>
      <c r="L699" s="273"/>
      <c r="M699" s="273"/>
      <c r="N699" s="273"/>
      <c r="O699" s="273"/>
      <c r="P699" s="273"/>
      <c r="Q699" s="273"/>
      <c r="R699" s="273"/>
      <c r="S699" s="273"/>
      <c r="T699" s="273"/>
      <c r="U699" s="273"/>
      <c r="V699" s="273"/>
      <c r="W699" s="273"/>
      <c r="X699" s="273"/>
      <c r="Y699" s="274" t="n">
        <f aca="false">SUM(B699:X699)</f>
        <v>-2627.163</v>
      </c>
      <c r="Z699" s="272"/>
      <c r="AA699" s="275"/>
    </row>
    <row r="700" customFormat="false" ht="14.25" hidden="false" customHeight="false" outlineLevel="0" collapsed="false">
      <c r="A700" s="272" t="s">
        <v>900</v>
      </c>
      <c r="B700" s="273"/>
      <c r="C700" s="273"/>
      <c r="D700" s="273"/>
      <c r="E700" s="273"/>
      <c r="F700" s="273"/>
      <c r="G700" s="273"/>
      <c r="H700" s="273" t="n">
        <v>5512.6275</v>
      </c>
      <c r="I700" s="273" t="n">
        <v>-252.765</v>
      </c>
      <c r="J700" s="273"/>
      <c r="K700" s="273"/>
      <c r="L700" s="273"/>
      <c r="M700" s="273"/>
      <c r="N700" s="273"/>
      <c r="O700" s="273"/>
      <c r="P700" s="273"/>
      <c r="Q700" s="273"/>
      <c r="R700" s="273"/>
      <c r="S700" s="273"/>
      <c r="T700" s="273"/>
      <c r="U700" s="273"/>
      <c r="V700" s="273"/>
      <c r="W700" s="273"/>
      <c r="X700" s="273"/>
      <c r="Y700" s="274" t="n">
        <f aca="false">SUM(B700:X700)</f>
        <v>5259.8625</v>
      </c>
      <c r="Z700" s="272"/>
      <c r="AA700" s="275"/>
    </row>
    <row r="701" customFormat="false" ht="14.25" hidden="false" customHeight="false" outlineLevel="0" collapsed="false">
      <c r="A701" s="272" t="s">
        <v>901</v>
      </c>
      <c r="B701" s="273"/>
      <c r="C701" s="273" t="n">
        <v>-1229.4675</v>
      </c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3"/>
      <c r="P701" s="273"/>
      <c r="Q701" s="273"/>
      <c r="R701" s="273"/>
      <c r="S701" s="273"/>
      <c r="T701" s="273"/>
      <c r="U701" s="273"/>
      <c r="V701" s="273"/>
      <c r="W701" s="273"/>
      <c r="X701" s="273"/>
      <c r="Y701" s="274" t="n">
        <f aca="false">SUM(B701:X701)</f>
        <v>-1229.4675</v>
      </c>
      <c r="Z701" s="272"/>
      <c r="AA701" s="275"/>
    </row>
    <row r="702" customFormat="false" ht="14.25" hidden="false" customHeight="false" outlineLevel="0" collapsed="false">
      <c r="A702" s="272" t="s">
        <v>902</v>
      </c>
      <c r="B702" s="273"/>
      <c r="C702" s="273"/>
      <c r="D702" s="273"/>
      <c r="E702" s="273"/>
      <c r="F702" s="273"/>
      <c r="G702" s="273"/>
      <c r="H702" s="273" t="n">
        <v>5438.6325</v>
      </c>
      <c r="I702" s="273"/>
      <c r="J702" s="273"/>
      <c r="K702" s="273"/>
      <c r="L702" s="273"/>
      <c r="M702" s="273"/>
      <c r="N702" s="273"/>
      <c r="O702" s="273"/>
      <c r="P702" s="273"/>
      <c r="Q702" s="273"/>
      <c r="R702" s="273"/>
      <c r="S702" s="273"/>
      <c r="T702" s="273"/>
      <c r="U702" s="273"/>
      <c r="V702" s="273"/>
      <c r="W702" s="273"/>
      <c r="X702" s="273"/>
      <c r="Y702" s="274" t="n">
        <f aca="false">SUM(B702:X702)</f>
        <v>5438.6325</v>
      </c>
      <c r="Z702" s="272"/>
      <c r="AA702" s="275"/>
    </row>
    <row r="703" customFormat="false" ht="14.25" hidden="false" customHeight="false" outlineLevel="0" collapsed="false">
      <c r="A703" s="272" t="s">
        <v>903</v>
      </c>
      <c r="B703" s="273"/>
      <c r="C703" s="273"/>
      <c r="D703" s="273"/>
      <c r="E703" s="273"/>
      <c r="F703" s="273"/>
      <c r="G703" s="273"/>
      <c r="H703" s="273" t="n">
        <v>11099.25</v>
      </c>
      <c r="I703" s="273"/>
      <c r="J703" s="273"/>
      <c r="K703" s="273"/>
      <c r="L703" s="273"/>
      <c r="M703" s="273"/>
      <c r="N703" s="273"/>
      <c r="O703" s="273"/>
      <c r="P703" s="273"/>
      <c r="Q703" s="273"/>
      <c r="R703" s="273"/>
      <c r="S703" s="273"/>
      <c r="T703" s="273"/>
      <c r="U703" s="273"/>
      <c r="V703" s="273"/>
      <c r="W703" s="273"/>
      <c r="X703" s="273"/>
      <c r="Y703" s="274" t="n">
        <f aca="false">SUM(B703:X703)</f>
        <v>11099.25</v>
      </c>
      <c r="Z703" s="272"/>
      <c r="AA703" s="275"/>
    </row>
    <row r="704" customFormat="false" ht="14.25" hidden="false" customHeight="false" outlineLevel="0" collapsed="false">
      <c r="A704" s="272" t="s">
        <v>904</v>
      </c>
      <c r="B704" s="273" t="n">
        <v>-4618.4775</v>
      </c>
      <c r="C704" s="273"/>
      <c r="D704" s="273"/>
      <c r="E704" s="273"/>
      <c r="F704" s="273"/>
      <c r="G704" s="273"/>
      <c r="H704" s="273"/>
      <c r="I704" s="273"/>
      <c r="J704" s="273" t="n">
        <v>-4783.452</v>
      </c>
      <c r="K704" s="273"/>
      <c r="L704" s="273"/>
      <c r="M704" s="273" t="n">
        <v>-6950.594</v>
      </c>
      <c r="N704" s="273"/>
      <c r="O704" s="273"/>
      <c r="P704" s="273"/>
      <c r="Q704" s="273"/>
      <c r="R704" s="273"/>
      <c r="S704" s="273"/>
      <c r="T704" s="273"/>
      <c r="U704" s="273"/>
      <c r="V704" s="273"/>
      <c r="W704" s="273"/>
      <c r="X704" s="273"/>
      <c r="Y704" s="274" t="n">
        <f aca="false">SUM(B704:X704)</f>
        <v>-16352.5235</v>
      </c>
      <c r="Z704" s="272"/>
      <c r="AA704" s="275"/>
    </row>
    <row r="705" customFormat="false" ht="14.25" hidden="false" customHeight="false" outlineLevel="0" collapsed="false">
      <c r="A705" s="272" t="s">
        <v>512</v>
      </c>
      <c r="B705" s="273"/>
      <c r="C705" s="273"/>
      <c r="D705" s="273"/>
      <c r="E705" s="273"/>
      <c r="F705" s="273"/>
      <c r="G705" s="273"/>
      <c r="H705" s="273"/>
      <c r="I705" s="273" t="n">
        <v>8.31</v>
      </c>
      <c r="J705" s="273"/>
      <c r="K705" s="273"/>
      <c r="L705" s="273"/>
      <c r="M705" s="273"/>
      <c r="N705" s="273"/>
      <c r="O705" s="273"/>
      <c r="P705" s="273"/>
      <c r="Q705" s="273"/>
      <c r="R705" s="273"/>
      <c r="S705" s="273"/>
      <c r="T705" s="273"/>
      <c r="U705" s="273"/>
      <c r="V705" s="273"/>
      <c r="W705" s="273"/>
      <c r="X705" s="273"/>
      <c r="Y705" s="274" t="n">
        <f aca="false">SUM(B705:X705)</f>
        <v>8.31</v>
      </c>
      <c r="Z705" s="272"/>
      <c r="AA705" s="275"/>
    </row>
    <row r="706" customFormat="false" ht="14.25" hidden="false" customHeight="false" outlineLevel="0" collapsed="false">
      <c r="A706" s="272" t="s">
        <v>905</v>
      </c>
      <c r="B706" s="273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3"/>
      <c r="P706" s="273" t="n">
        <v>-54.618</v>
      </c>
      <c r="Q706" s="273"/>
      <c r="R706" s="273"/>
      <c r="S706" s="273"/>
      <c r="T706" s="273"/>
      <c r="U706" s="273"/>
      <c r="V706" s="273"/>
      <c r="W706" s="273"/>
      <c r="X706" s="273"/>
      <c r="Y706" s="274" t="n">
        <f aca="false">SUM(B706:X706)</f>
        <v>-54.618</v>
      </c>
      <c r="Z706" s="272"/>
      <c r="AA706" s="275"/>
    </row>
    <row r="707" customFormat="false" ht="14.25" hidden="false" customHeight="false" outlineLevel="0" collapsed="false">
      <c r="A707" s="272" t="s">
        <v>899</v>
      </c>
      <c r="B707" s="273"/>
      <c r="C707" s="273"/>
      <c r="D707" s="273"/>
      <c r="E707" s="273"/>
      <c r="F707" s="273" t="n">
        <v>-618.156</v>
      </c>
      <c r="G707" s="273"/>
      <c r="H707" s="273"/>
      <c r="I707" s="273"/>
      <c r="J707" s="273"/>
      <c r="K707" s="273"/>
      <c r="L707" s="273"/>
      <c r="M707" s="273"/>
      <c r="N707" s="273"/>
      <c r="O707" s="273"/>
      <c r="P707" s="273"/>
      <c r="Q707" s="273"/>
      <c r="R707" s="273"/>
      <c r="S707" s="273"/>
      <c r="T707" s="273"/>
      <c r="U707" s="273"/>
      <c r="V707" s="273"/>
      <c r="W707" s="273"/>
      <c r="X707" s="273"/>
      <c r="Y707" s="274" t="n">
        <f aca="false">SUM(B707:X707)</f>
        <v>-618.156</v>
      </c>
      <c r="Z707" s="272"/>
      <c r="AA707" s="275"/>
    </row>
    <row r="708" customFormat="false" ht="14.25" hidden="false" customHeight="false" outlineLevel="0" collapsed="false">
      <c r="A708" s="272" t="s">
        <v>906</v>
      </c>
      <c r="B708" s="273" t="n">
        <v>-13786.5</v>
      </c>
      <c r="C708" s="273"/>
      <c r="D708" s="273"/>
      <c r="E708" s="273"/>
      <c r="F708" s="273"/>
      <c r="G708" s="273"/>
      <c r="H708" s="273" t="n">
        <v>3594.996</v>
      </c>
      <c r="I708" s="273" t="n">
        <v>11432.169</v>
      </c>
      <c r="J708" s="273" t="n">
        <v>-444589.6875</v>
      </c>
      <c r="K708" s="273"/>
      <c r="L708" s="273"/>
      <c r="M708" s="273"/>
      <c r="N708" s="273"/>
      <c r="O708" s="273"/>
      <c r="P708" s="273"/>
      <c r="Q708" s="273"/>
      <c r="R708" s="273"/>
      <c r="S708" s="273"/>
      <c r="T708" s="273"/>
      <c r="U708" s="273"/>
      <c r="V708" s="273"/>
      <c r="W708" s="273"/>
      <c r="X708" s="273"/>
      <c r="Y708" s="274" t="n">
        <f aca="false">SUM(B708:X708)</f>
        <v>-443349.0225</v>
      </c>
      <c r="Z708" s="272"/>
      <c r="AA708" s="275"/>
    </row>
    <row r="709" customFormat="false" ht="14.25" hidden="false" customHeight="false" outlineLevel="0" collapsed="false">
      <c r="A709" s="272" t="s">
        <v>907</v>
      </c>
      <c r="B709" s="273" t="n">
        <v>-1297.728</v>
      </c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3"/>
      <c r="P709" s="273" t="n">
        <v>-2565</v>
      </c>
      <c r="Q709" s="273"/>
      <c r="R709" s="273"/>
      <c r="S709" s="273"/>
      <c r="T709" s="273"/>
      <c r="U709" s="273"/>
      <c r="V709" s="273"/>
      <c r="W709" s="273"/>
      <c r="X709" s="273"/>
      <c r="Y709" s="274" t="n">
        <f aca="false">SUM(B709:X709)</f>
        <v>-3862.728</v>
      </c>
      <c r="Z709" s="272"/>
      <c r="AA709" s="275"/>
    </row>
    <row r="710" customFormat="false" ht="14.25" hidden="false" customHeight="false" outlineLevel="0" collapsed="false">
      <c r="A710" s="272" t="s">
        <v>908</v>
      </c>
      <c r="B710" s="273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3"/>
      <c r="P710" s="273" t="n">
        <v>-436.944</v>
      </c>
      <c r="Q710" s="273"/>
      <c r="R710" s="273"/>
      <c r="S710" s="273"/>
      <c r="T710" s="273"/>
      <c r="U710" s="273"/>
      <c r="V710" s="273"/>
      <c r="W710" s="273"/>
      <c r="X710" s="273"/>
      <c r="Y710" s="274" t="n">
        <f aca="false">SUM(B710:X710)</f>
        <v>-436.944</v>
      </c>
      <c r="Z710" s="272"/>
      <c r="AA710" s="275"/>
    </row>
    <row r="711" customFormat="false" ht="14.25" hidden="false" customHeight="false" outlineLevel="0" collapsed="false">
      <c r="A711" s="272" t="s">
        <v>909</v>
      </c>
      <c r="B711" s="273" t="n">
        <v>-8065.1025</v>
      </c>
      <c r="C711" s="273"/>
      <c r="D711" s="273"/>
      <c r="E711" s="273"/>
      <c r="F711" s="273"/>
      <c r="G711" s="273"/>
      <c r="H711" s="273"/>
      <c r="I711" s="273"/>
      <c r="J711" s="273" t="n">
        <v>-4231.44</v>
      </c>
      <c r="K711" s="273"/>
      <c r="L711" s="273"/>
      <c r="M711" s="273"/>
      <c r="N711" s="273"/>
      <c r="O711" s="273"/>
      <c r="P711" s="273" t="n">
        <v>-2772.9</v>
      </c>
      <c r="Q711" s="273"/>
      <c r="R711" s="273"/>
      <c r="S711" s="273"/>
      <c r="T711" s="273"/>
      <c r="U711" s="273"/>
      <c r="V711" s="273"/>
      <c r="W711" s="273"/>
      <c r="X711" s="273"/>
      <c r="Y711" s="274" t="n">
        <f aca="false">SUM(B711:X711)</f>
        <v>-15069.4425</v>
      </c>
      <c r="Z711" s="272"/>
      <c r="AA711" s="275"/>
    </row>
    <row r="712" customFormat="false" ht="14.25" hidden="false" customHeight="false" outlineLevel="0" collapsed="false">
      <c r="A712" s="272" t="s">
        <v>910</v>
      </c>
      <c r="B712" s="273"/>
      <c r="C712" s="273"/>
      <c r="D712" s="273"/>
      <c r="E712" s="273"/>
      <c r="F712" s="273" t="n">
        <v>28903.4585</v>
      </c>
      <c r="G712" s="273"/>
      <c r="H712" s="273"/>
      <c r="I712" s="273"/>
      <c r="J712" s="273"/>
      <c r="K712" s="273"/>
      <c r="L712" s="273"/>
      <c r="M712" s="273"/>
      <c r="N712" s="273"/>
      <c r="O712" s="273"/>
      <c r="P712" s="273"/>
      <c r="Q712" s="273"/>
      <c r="R712" s="273"/>
      <c r="S712" s="273"/>
      <c r="T712" s="273"/>
      <c r="U712" s="273"/>
      <c r="V712" s="273"/>
      <c r="W712" s="273"/>
      <c r="X712" s="273"/>
      <c r="Y712" s="274" t="n">
        <f aca="false">SUM(B712:X712)</f>
        <v>28903.4585</v>
      </c>
      <c r="Z712" s="272"/>
      <c r="AA712" s="275"/>
    </row>
    <row r="713" customFormat="false" ht="14.25" hidden="false" customHeight="false" outlineLevel="0" collapsed="false">
      <c r="A713" s="272" t="s">
        <v>911</v>
      </c>
      <c r="B713" s="273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3"/>
      <c r="P713" s="273" t="n">
        <v>-868.0575</v>
      </c>
      <c r="Q713" s="273"/>
      <c r="R713" s="273"/>
      <c r="S713" s="273"/>
      <c r="T713" s="273"/>
      <c r="U713" s="273"/>
      <c r="V713" s="273"/>
      <c r="W713" s="273"/>
      <c r="X713" s="273"/>
      <c r="Y713" s="274" t="n">
        <f aca="false">SUM(B713:X713)</f>
        <v>-868.0575</v>
      </c>
      <c r="Z713" s="272"/>
      <c r="AA713" s="275"/>
    </row>
    <row r="714" customFormat="false" ht="14.25" hidden="false" customHeight="false" outlineLevel="0" collapsed="false">
      <c r="A714" s="272" t="s">
        <v>912</v>
      </c>
      <c r="B714" s="273"/>
      <c r="C714" s="273"/>
      <c r="D714" s="273"/>
      <c r="E714" s="273"/>
      <c r="F714" s="273"/>
      <c r="G714" s="273"/>
      <c r="H714" s="273"/>
      <c r="I714" s="273"/>
      <c r="J714" s="273" t="n">
        <v>-220.14</v>
      </c>
      <c r="K714" s="273"/>
      <c r="L714" s="273" t="n">
        <v>210</v>
      </c>
      <c r="M714" s="273"/>
      <c r="N714" s="273"/>
      <c r="O714" s="273"/>
      <c r="P714" s="273"/>
      <c r="Q714" s="273"/>
      <c r="R714" s="273"/>
      <c r="S714" s="273"/>
      <c r="T714" s="273"/>
      <c r="U714" s="273"/>
      <c r="V714" s="273"/>
      <c r="W714" s="273"/>
      <c r="X714" s="273"/>
      <c r="Y714" s="274" t="n">
        <f aca="false">SUM(B714:X714)</f>
        <v>-10.14</v>
      </c>
      <c r="Z714" s="272"/>
      <c r="AA714" s="275"/>
    </row>
    <row r="715" customFormat="false" ht="14.25" hidden="false" customHeight="false" outlineLevel="0" collapsed="false">
      <c r="A715" s="272" t="s">
        <v>913</v>
      </c>
      <c r="B715" s="273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3"/>
      <c r="P715" s="273" t="n">
        <v>-3659.406</v>
      </c>
      <c r="Q715" s="273"/>
      <c r="R715" s="273"/>
      <c r="S715" s="273"/>
      <c r="T715" s="273"/>
      <c r="U715" s="273"/>
      <c r="V715" s="273"/>
      <c r="W715" s="273"/>
      <c r="X715" s="273"/>
      <c r="Y715" s="274" t="n">
        <f aca="false">SUM(B715:X715)</f>
        <v>-3659.406</v>
      </c>
      <c r="Z715" s="272"/>
      <c r="AA715" s="275"/>
    </row>
    <row r="716" customFormat="false" ht="14.25" hidden="false" customHeight="false" outlineLevel="0" collapsed="false">
      <c r="A716" s="272" t="s">
        <v>914</v>
      </c>
      <c r="B716" s="273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3"/>
      <c r="P716" s="273" t="n">
        <v>-819.27</v>
      </c>
      <c r="Q716" s="273"/>
      <c r="R716" s="273"/>
      <c r="S716" s="273"/>
      <c r="T716" s="273"/>
      <c r="U716" s="273"/>
      <c r="V716" s="273"/>
      <c r="W716" s="273"/>
      <c r="X716" s="273"/>
      <c r="Y716" s="274" t="n">
        <f aca="false">SUM(B716:X716)</f>
        <v>-819.27</v>
      </c>
      <c r="Z716" s="272"/>
      <c r="AA716" s="275"/>
    </row>
    <row r="717" customFormat="false" ht="14.25" hidden="false" customHeight="false" outlineLevel="0" collapsed="false">
      <c r="A717" s="272" t="s">
        <v>915</v>
      </c>
      <c r="B717" s="273"/>
      <c r="C717" s="273"/>
      <c r="D717" s="273"/>
      <c r="E717" s="273"/>
      <c r="F717" s="273"/>
      <c r="G717" s="273"/>
      <c r="H717" s="273" t="n">
        <v>1060.476</v>
      </c>
      <c r="I717" s="273"/>
      <c r="J717" s="273"/>
      <c r="K717" s="273"/>
      <c r="L717" s="273"/>
      <c r="M717" s="273"/>
      <c r="N717" s="273"/>
      <c r="O717" s="273"/>
      <c r="P717" s="273"/>
      <c r="Q717" s="273"/>
      <c r="R717" s="273"/>
      <c r="S717" s="273"/>
      <c r="T717" s="273"/>
      <c r="U717" s="273"/>
      <c r="V717" s="273"/>
      <c r="W717" s="273"/>
      <c r="X717" s="273"/>
      <c r="Y717" s="274" t="n">
        <f aca="false">SUM(B717:X717)</f>
        <v>1060.476</v>
      </c>
      <c r="Z717" s="272"/>
      <c r="AA717" s="275"/>
    </row>
    <row r="718" customFormat="false" ht="14.25" hidden="false" customHeight="false" outlineLevel="0" collapsed="false">
      <c r="A718" s="272" t="s">
        <v>916</v>
      </c>
      <c r="B718" s="273" t="n">
        <v>-386.52</v>
      </c>
      <c r="C718" s="273"/>
      <c r="D718" s="273"/>
      <c r="E718" s="273"/>
      <c r="F718" s="273"/>
      <c r="G718" s="273"/>
      <c r="H718" s="273"/>
      <c r="I718" s="273"/>
      <c r="J718" s="273" t="n">
        <v>-203.1045</v>
      </c>
      <c r="K718" s="273"/>
      <c r="L718" s="273"/>
      <c r="M718" s="273"/>
      <c r="N718" s="273"/>
      <c r="O718" s="273"/>
      <c r="P718" s="273"/>
      <c r="Q718" s="273"/>
      <c r="R718" s="273"/>
      <c r="S718" s="273"/>
      <c r="T718" s="273"/>
      <c r="U718" s="273"/>
      <c r="V718" s="273"/>
      <c r="W718" s="273"/>
      <c r="X718" s="273"/>
      <c r="Y718" s="274" t="n">
        <f aca="false">SUM(B718:X718)</f>
        <v>-589.6245</v>
      </c>
      <c r="Z718" s="272"/>
      <c r="AA718" s="275"/>
    </row>
    <row r="719" customFormat="false" ht="14.25" hidden="false" customHeight="false" outlineLevel="0" collapsed="false">
      <c r="A719" s="272" t="s">
        <v>917</v>
      </c>
      <c r="B719" s="273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 t="n">
        <v>-136.35</v>
      </c>
      <c r="N719" s="273"/>
      <c r="O719" s="273"/>
      <c r="P719" s="273"/>
      <c r="Q719" s="273"/>
      <c r="R719" s="273"/>
      <c r="S719" s="273"/>
      <c r="T719" s="273"/>
      <c r="U719" s="273"/>
      <c r="V719" s="273"/>
      <c r="W719" s="273"/>
      <c r="X719" s="273"/>
      <c r="Y719" s="274" t="n">
        <f aca="false">SUM(B719:X719)</f>
        <v>-136.35</v>
      </c>
      <c r="Z719" s="272"/>
      <c r="AA719" s="275"/>
    </row>
    <row r="720" customFormat="false" ht="14.25" hidden="false" customHeight="false" outlineLevel="0" collapsed="false">
      <c r="A720" s="272" t="s">
        <v>392</v>
      </c>
      <c r="B720" s="273"/>
      <c r="C720" s="273"/>
      <c r="D720" s="273"/>
      <c r="E720" s="273"/>
      <c r="F720" s="273"/>
      <c r="G720" s="273"/>
      <c r="H720" s="273"/>
      <c r="I720" s="273"/>
      <c r="J720" s="273" t="n">
        <v>-2820.96</v>
      </c>
      <c r="K720" s="273"/>
      <c r="L720" s="273"/>
      <c r="M720" s="273"/>
      <c r="N720" s="273"/>
      <c r="O720" s="273"/>
      <c r="P720" s="273"/>
      <c r="Q720" s="273"/>
      <c r="R720" s="273"/>
      <c r="S720" s="273"/>
      <c r="T720" s="273"/>
      <c r="U720" s="273"/>
      <c r="V720" s="273"/>
      <c r="W720" s="273"/>
      <c r="X720" s="273"/>
      <c r="Y720" s="274" t="n">
        <f aca="false">SUM(B720:X720)</f>
        <v>-2820.96</v>
      </c>
      <c r="Z720" s="272"/>
      <c r="AA720" s="275"/>
    </row>
    <row r="721" customFormat="false" ht="14.25" hidden="false" customHeight="false" outlineLevel="0" collapsed="false">
      <c r="A721" s="272" t="s">
        <v>918</v>
      </c>
      <c r="B721" s="273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3"/>
      <c r="P721" s="273" t="n">
        <v>-218.472</v>
      </c>
      <c r="Q721" s="273"/>
      <c r="R721" s="273"/>
      <c r="S721" s="273"/>
      <c r="T721" s="273"/>
      <c r="U721" s="273"/>
      <c r="V721" s="273"/>
      <c r="W721" s="273"/>
      <c r="X721" s="273"/>
      <c r="Y721" s="274" t="n">
        <f aca="false">SUM(B721:X721)</f>
        <v>-218.472</v>
      </c>
      <c r="Z721" s="272"/>
      <c r="AA721" s="275"/>
    </row>
    <row r="722" customFormat="false" ht="14.25" hidden="false" customHeight="false" outlineLevel="0" collapsed="false">
      <c r="A722" s="272" t="s">
        <v>919</v>
      </c>
      <c r="B722" s="273" t="n">
        <v>-7348.5</v>
      </c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3"/>
      <c r="P722" s="273"/>
      <c r="Q722" s="273"/>
      <c r="R722" s="273"/>
      <c r="S722" s="273"/>
      <c r="T722" s="273"/>
      <c r="U722" s="273"/>
      <c r="V722" s="273"/>
      <c r="W722" s="273"/>
      <c r="X722" s="273"/>
      <c r="Y722" s="274" t="n">
        <f aca="false">SUM(B722:X722)</f>
        <v>-7348.5</v>
      </c>
      <c r="Z722" s="272"/>
      <c r="AA722" s="275"/>
    </row>
    <row r="723" customFormat="false" ht="14.25" hidden="false" customHeight="false" outlineLevel="0" collapsed="false">
      <c r="A723" s="272" t="s">
        <v>847</v>
      </c>
      <c r="B723" s="273" t="n">
        <v>-12271.995</v>
      </c>
      <c r="C723" s="273"/>
      <c r="D723" s="273"/>
      <c r="E723" s="273"/>
      <c r="F723" s="273"/>
      <c r="G723" s="273"/>
      <c r="H723" s="273"/>
      <c r="I723" s="273"/>
      <c r="J723" s="273"/>
      <c r="K723" s="273"/>
      <c r="L723" s="273" t="n">
        <v>-37144.8</v>
      </c>
      <c r="M723" s="273"/>
      <c r="N723" s="273"/>
      <c r="O723" s="273"/>
      <c r="P723" s="273"/>
      <c r="Q723" s="273"/>
      <c r="R723" s="273"/>
      <c r="S723" s="273"/>
      <c r="T723" s="273"/>
      <c r="U723" s="273"/>
      <c r="V723" s="273"/>
      <c r="W723" s="273"/>
      <c r="X723" s="273"/>
      <c r="Y723" s="274" t="n">
        <f aca="false">SUM(B723:X723)</f>
        <v>-49416.795</v>
      </c>
      <c r="Z723" s="272"/>
      <c r="AA723" s="275"/>
    </row>
    <row r="724" customFormat="false" ht="14.25" hidden="false" customHeight="false" outlineLevel="0" collapsed="false">
      <c r="A724" s="272" t="s">
        <v>572</v>
      </c>
      <c r="B724" s="273" t="n">
        <v>-7348.5</v>
      </c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3"/>
      <c r="P724" s="273"/>
      <c r="Q724" s="273"/>
      <c r="R724" s="273"/>
      <c r="S724" s="273"/>
      <c r="T724" s="273"/>
      <c r="U724" s="273"/>
      <c r="V724" s="273"/>
      <c r="W724" s="273"/>
      <c r="X724" s="273"/>
      <c r="Y724" s="274" t="n">
        <f aca="false">SUM(B724:X724)</f>
        <v>-7348.5</v>
      </c>
      <c r="Z724" s="272"/>
      <c r="AA724" s="275"/>
    </row>
    <row r="725" customFormat="false" ht="14.25" hidden="false" customHeight="false" outlineLevel="0" collapsed="false">
      <c r="A725" s="272" t="s">
        <v>920</v>
      </c>
      <c r="B725" s="273" t="n">
        <v>-9810.2475</v>
      </c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3"/>
      <c r="P725" s="273"/>
      <c r="Q725" s="273"/>
      <c r="R725" s="273"/>
      <c r="S725" s="273"/>
      <c r="T725" s="273"/>
      <c r="U725" s="273"/>
      <c r="V725" s="273"/>
      <c r="W725" s="273"/>
      <c r="X725" s="273"/>
      <c r="Y725" s="274" t="n">
        <f aca="false">SUM(B725:X725)</f>
        <v>-9810.2475</v>
      </c>
      <c r="Z725" s="272"/>
      <c r="AA725" s="275"/>
    </row>
    <row r="726" customFormat="false" ht="14.25" hidden="false" customHeight="false" outlineLevel="0" collapsed="false">
      <c r="A726" s="272" t="s">
        <v>921</v>
      </c>
      <c r="B726" s="273" t="n">
        <v>-12247.5</v>
      </c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3"/>
      <c r="P726" s="273"/>
      <c r="Q726" s="273"/>
      <c r="R726" s="273"/>
      <c r="S726" s="273"/>
      <c r="T726" s="273"/>
      <c r="U726" s="273"/>
      <c r="V726" s="273"/>
      <c r="W726" s="273"/>
      <c r="X726" s="273"/>
      <c r="Y726" s="274" t="n">
        <f aca="false">SUM(B726:X726)</f>
        <v>-12247.5</v>
      </c>
      <c r="Z726" s="272"/>
      <c r="AA726" s="275"/>
    </row>
    <row r="727" customFormat="false" ht="14.25" hidden="false" customHeight="false" outlineLevel="0" collapsed="false">
      <c r="A727" s="272" t="s">
        <v>922</v>
      </c>
      <c r="B727" s="273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3"/>
      <c r="P727" s="273" t="n">
        <v>-546.18</v>
      </c>
      <c r="Q727" s="273"/>
      <c r="R727" s="273"/>
      <c r="S727" s="273"/>
      <c r="T727" s="273"/>
      <c r="U727" s="273"/>
      <c r="V727" s="273"/>
      <c r="W727" s="273"/>
      <c r="X727" s="273"/>
      <c r="Y727" s="274" t="n">
        <f aca="false">SUM(B727:X727)</f>
        <v>-546.18</v>
      </c>
      <c r="Z727" s="272"/>
      <c r="AA727" s="275"/>
    </row>
    <row r="728" customFormat="false" ht="14.25" hidden="false" customHeight="false" outlineLevel="0" collapsed="false">
      <c r="A728" s="272" t="s">
        <v>923</v>
      </c>
      <c r="B728" s="273" t="n">
        <v>-24495</v>
      </c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3"/>
      <c r="P728" s="273"/>
      <c r="Q728" s="273"/>
      <c r="R728" s="273"/>
      <c r="S728" s="273"/>
      <c r="T728" s="273"/>
      <c r="U728" s="273"/>
      <c r="V728" s="273"/>
      <c r="W728" s="273"/>
      <c r="X728" s="273"/>
      <c r="Y728" s="274" t="n">
        <f aca="false">SUM(B728:X728)</f>
        <v>-24495</v>
      </c>
      <c r="Z728" s="272"/>
      <c r="AA728" s="275"/>
    </row>
    <row r="729" customFormat="false" ht="14.25" hidden="false" customHeight="false" outlineLevel="0" collapsed="false">
      <c r="A729" s="272" t="s">
        <v>924</v>
      </c>
      <c r="B729" s="273" t="n">
        <v>-3674.25</v>
      </c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3"/>
      <c r="P729" s="273"/>
      <c r="Q729" s="273"/>
      <c r="R729" s="273"/>
      <c r="S729" s="273"/>
      <c r="T729" s="273"/>
      <c r="U729" s="273"/>
      <c r="V729" s="273"/>
      <c r="W729" s="273"/>
      <c r="X729" s="273"/>
      <c r="Y729" s="274" t="n">
        <f aca="false">SUM(B729:X729)</f>
        <v>-3674.25</v>
      </c>
      <c r="Z729" s="272"/>
      <c r="AA729" s="275"/>
    </row>
    <row r="730" customFormat="false" ht="14.25" hidden="false" customHeight="false" outlineLevel="0" collapsed="false">
      <c r="A730" s="272" t="s">
        <v>727</v>
      </c>
      <c r="B730" s="273" t="n">
        <v>-7348.5</v>
      </c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3"/>
      <c r="P730" s="273"/>
      <c r="Q730" s="273"/>
      <c r="R730" s="273"/>
      <c r="S730" s="273"/>
      <c r="T730" s="273"/>
      <c r="U730" s="273"/>
      <c r="V730" s="273"/>
      <c r="W730" s="273"/>
      <c r="X730" s="273"/>
      <c r="Y730" s="274" t="n">
        <f aca="false">SUM(B730:X730)</f>
        <v>-7348.5</v>
      </c>
      <c r="Z730" s="272"/>
      <c r="AA730" s="275"/>
    </row>
    <row r="731" customFormat="false" ht="14.25" hidden="false" customHeight="false" outlineLevel="0" collapsed="false">
      <c r="A731" s="272" t="s">
        <v>404</v>
      </c>
      <c r="B731" s="273" t="n">
        <v>-11720.8575</v>
      </c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3"/>
      <c r="P731" s="273"/>
      <c r="Q731" s="273"/>
      <c r="R731" s="273"/>
      <c r="S731" s="273"/>
      <c r="T731" s="273"/>
      <c r="U731" s="273"/>
      <c r="V731" s="273"/>
      <c r="W731" s="273"/>
      <c r="X731" s="273"/>
      <c r="Y731" s="274" t="n">
        <f aca="false">SUM(B731:X731)</f>
        <v>-11720.8575</v>
      </c>
      <c r="Z731" s="272"/>
      <c r="AA731" s="275"/>
    </row>
    <row r="732" customFormat="false" ht="14.25" hidden="false" customHeight="false" outlineLevel="0" collapsed="false">
      <c r="A732" s="272" t="s">
        <v>925</v>
      </c>
      <c r="B732" s="273" t="n">
        <v>-14697</v>
      </c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3"/>
      <c r="P732" s="273"/>
      <c r="Q732" s="273"/>
      <c r="R732" s="273"/>
      <c r="S732" s="273"/>
      <c r="T732" s="273"/>
      <c r="U732" s="273"/>
      <c r="V732" s="273"/>
      <c r="W732" s="273"/>
      <c r="X732" s="273"/>
      <c r="Y732" s="274" t="n">
        <f aca="false">SUM(B732:X732)</f>
        <v>-14697</v>
      </c>
      <c r="Z732" s="272"/>
      <c r="AA732" s="275"/>
    </row>
    <row r="733" customFormat="false" ht="14.25" hidden="false" customHeight="false" outlineLevel="0" collapsed="false">
      <c r="A733" s="272" t="s">
        <v>926</v>
      </c>
      <c r="B733" s="273" t="n">
        <v>-9846.99</v>
      </c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3"/>
      <c r="P733" s="273"/>
      <c r="Q733" s="273"/>
      <c r="R733" s="273"/>
      <c r="S733" s="273"/>
      <c r="T733" s="273"/>
      <c r="U733" s="273"/>
      <c r="V733" s="273"/>
      <c r="W733" s="273"/>
      <c r="X733" s="273"/>
      <c r="Y733" s="274" t="n">
        <f aca="false">SUM(B733:X733)</f>
        <v>-9846.99</v>
      </c>
      <c r="Z733" s="272"/>
      <c r="AA733" s="275"/>
    </row>
    <row r="734" customFormat="false" ht="14.25" hidden="false" customHeight="false" outlineLevel="0" collapsed="false">
      <c r="A734" s="272" t="s">
        <v>894</v>
      </c>
      <c r="B734" s="273" t="n">
        <v>-12247.5</v>
      </c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3"/>
      <c r="P734" s="273"/>
      <c r="Q734" s="273"/>
      <c r="R734" s="273"/>
      <c r="S734" s="273"/>
      <c r="T734" s="273"/>
      <c r="U734" s="273"/>
      <c r="V734" s="273"/>
      <c r="W734" s="273"/>
      <c r="X734" s="273"/>
      <c r="Y734" s="274" t="n">
        <f aca="false">SUM(B734:X734)</f>
        <v>-12247.5</v>
      </c>
      <c r="Z734" s="272"/>
      <c r="AA734" s="275"/>
    </row>
    <row r="735" customFormat="false" ht="14.25" hidden="false" customHeight="false" outlineLevel="0" collapsed="false">
      <c r="A735" s="272" t="s">
        <v>749</v>
      </c>
      <c r="B735" s="273"/>
      <c r="C735" s="273"/>
      <c r="D735" s="273" t="n">
        <v>-158.58</v>
      </c>
      <c r="E735" s="273"/>
      <c r="F735" s="273"/>
      <c r="G735" s="273"/>
      <c r="H735" s="273"/>
      <c r="I735" s="273" t="n">
        <v>1881.963</v>
      </c>
      <c r="J735" s="273"/>
      <c r="K735" s="273"/>
      <c r="L735" s="273" t="n">
        <v>-30787.5</v>
      </c>
      <c r="M735" s="273"/>
      <c r="N735" s="273"/>
      <c r="O735" s="273"/>
      <c r="P735" s="273" t="n">
        <v>-2356.965</v>
      </c>
      <c r="Q735" s="273"/>
      <c r="R735" s="273"/>
      <c r="S735" s="273"/>
      <c r="T735" s="273"/>
      <c r="U735" s="273"/>
      <c r="V735" s="273"/>
      <c r="W735" s="273"/>
      <c r="X735" s="273"/>
      <c r="Y735" s="274" t="n">
        <f aca="false">SUM(B735:X735)</f>
        <v>-31421.082</v>
      </c>
      <c r="Z735" s="272"/>
      <c r="AA735" s="275"/>
    </row>
    <row r="736" customFormat="false" ht="14.25" hidden="false" customHeight="false" outlineLevel="0" collapsed="false">
      <c r="A736" s="272" t="s">
        <v>927</v>
      </c>
      <c r="B736" s="273"/>
      <c r="C736" s="273"/>
      <c r="D736" s="273"/>
      <c r="E736" s="273"/>
      <c r="F736" s="273" t="n">
        <v>-5893.758</v>
      </c>
      <c r="G736" s="273"/>
      <c r="H736" s="273"/>
      <c r="I736" s="273"/>
      <c r="J736" s="273"/>
      <c r="K736" s="273"/>
      <c r="L736" s="273" t="n">
        <v>-18472.68</v>
      </c>
      <c r="M736" s="273"/>
      <c r="N736" s="273"/>
      <c r="O736" s="273"/>
      <c r="P736" s="273"/>
      <c r="Q736" s="273"/>
      <c r="R736" s="273"/>
      <c r="S736" s="273"/>
      <c r="T736" s="273"/>
      <c r="U736" s="273"/>
      <c r="V736" s="273"/>
      <c r="W736" s="273"/>
      <c r="X736" s="273"/>
      <c r="Y736" s="274" t="n">
        <f aca="false">SUM(B736:X736)</f>
        <v>-24366.438</v>
      </c>
      <c r="Z736" s="272"/>
      <c r="AA736" s="275"/>
    </row>
    <row r="737" customFormat="false" ht="14.25" hidden="false" customHeight="false" outlineLevel="0" collapsed="false">
      <c r="A737" s="272" t="s">
        <v>572</v>
      </c>
      <c r="B737" s="273" t="n">
        <v>-13944.8655</v>
      </c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3"/>
      <c r="P737" s="273"/>
      <c r="Q737" s="273"/>
      <c r="R737" s="273"/>
      <c r="S737" s="273"/>
      <c r="T737" s="273"/>
      <c r="U737" s="273"/>
      <c r="V737" s="273"/>
      <c r="W737" s="273"/>
      <c r="X737" s="273"/>
      <c r="Y737" s="274" t="n">
        <f aca="false">SUM(B737:X737)</f>
        <v>-13944.8655</v>
      </c>
      <c r="Z737" s="272"/>
      <c r="AA737" s="275"/>
    </row>
    <row r="738" customFormat="false" ht="14.25" hidden="false" customHeight="false" outlineLevel="0" collapsed="false">
      <c r="A738" s="272" t="s">
        <v>928</v>
      </c>
      <c r="B738" s="273" t="n">
        <v>-14314.05</v>
      </c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3"/>
      <c r="P738" s="273"/>
      <c r="Q738" s="273"/>
      <c r="R738" s="273"/>
      <c r="S738" s="273"/>
      <c r="T738" s="273"/>
      <c r="U738" s="273"/>
      <c r="V738" s="273"/>
      <c r="W738" s="273"/>
      <c r="X738" s="273"/>
      <c r="Y738" s="274" t="n">
        <f aca="false">SUM(B738:X738)</f>
        <v>-14314.05</v>
      </c>
      <c r="Z738" s="272"/>
      <c r="AA738" s="275"/>
    </row>
    <row r="739" customFormat="false" ht="14.25" hidden="false" customHeight="false" outlineLevel="0" collapsed="false">
      <c r="A739" s="272" t="s">
        <v>929</v>
      </c>
      <c r="B739" s="273" t="n">
        <v>-13359.78</v>
      </c>
      <c r="C739" s="273"/>
      <c r="D739" s="273" t="n">
        <v>54.855</v>
      </c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3"/>
      <c r="P739" s="273"/>
      <c r="Q739" s="273"/>
      <c r="R739" s="273"/>
      <c r="S739" s="273"/>
      <c r="T739" s="273"/>
      <c r="U739" s="273"/>
      <c r="V739" s="273"/>
      <c r="W739" s="273"/>
      <c r="X739" s="273"/>
      <c r="Y739" s="274" t="n">
        <f aca="false">SUM(B739:X739)</f>
        <v>-13304.925</v>
      </c>
      <c r="Z739" s="272"/>
      <c r="AA739" s="275"/>
    </row>
    <row r="740" customFormat="false" ht="14.25" hidden="false" customHeight="false" outlineLevel="0" collapsed="false">
      <c r="A740" s="272" t="s">
        <v>930</v>
      </c>
      <c r="B740" s="273" t="n">
        <v>-524.8485</v>
      </c>
      <c r="C740" s="273"/>
      <c r="D740" s="273"/>
      <c r="E740" s="273"/>
      <c r="F740" s="273"/>
      <c r="G740" s="273"/>
      <c r="H740" s="273" t="n">
        <v>33.9165</v>
      </c>
      <c r="I740" s="273"/>
      <c r="J740" s="273"/>
      <c r="K740" s="273"/>
      <c r="L740" s="273"/>
      <c r="M740" s="273"/>
      <c r="N740" s="273"/>
      <c r="O740" s="273"/>
      <c r="P740" s="273"/>
      <c r="Q740" s="273"/>
      <c r="R740" s="273"/>
      <c r="S740" s="273"/>
      <c r="T740" s="273"/>
      <c r="U740" s="273"/>
      <c r="V740" s="273"/>
      <c r="W740" s="273"/>
      <c r="X740" s="273"/>
      <c r="Y740" s="274" t="n">
        <f aca="false">SUM(B740:X740)</f>
        <v>-490.932</v>
      </c>
      <c r="Z740" s="272"/>
      <c r="AA740" s="275"/>
    </row>
    <row r="741" customFormat="false" ht="14.25" hidden="false" customHeight="false" outlineLevel="0" collapsed="false">
      <c r="A741" s="272" t="s">
        <v>721</v>
      </c>
      <c r="B741" s="273" t="n">
        <v>-38409.3675</v>
      </c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3"/>
      <c r="P741" s="273"/>
      <c r="Q741" s="273"/>
      <c r="R741" s="273"/>
      <c r="S741" s="273"/>
      <c r="T741" s="273"/>
      <c r="U741" s="273"/>
      <c r="V741" s="273"/>
      <c r="W741" s="273"/>
      <c r="X741" s="273"/>
      <c r="Y741" s="274" t="n">
        <f aca="false">SUM(B741:X741)</f>
        <v>-38409.3675</v>
      </c>
      <c r="Z741" s="272"/>
      <c r="AA741" s="275"/>
    </row>
    <row r="742" customFormat="false" ht="14.25" hidden="false" customHeight="false" outlineLevel="0" collapsed="false">
      <c r="A742" s="272" t="s">
        <v>385</v>
      </c>
      <c r="B742" s="273" t="n">
        <v>-7347.879</v>
      </c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3"/>
      <c r="P742" s="273"/>
      <c r="Q742" s="273"/>
      <c r="R742" s="273"/>
      <c r="S742" s="273"/>
      <c r="T742" s="273"/>
      <c r="U742" s="273"/>
      <c r="V742" s="273"/>
      <c r="W742" s="273"/>
      <c r="X742" s="273"/>
      <c r="Y742" s="274" t="n">
        <f aca="false">SUM(B742:X742)</f>
        <v>-7347.879</v>
      </c>
      <c r="Z742" s="272"/>
      <c r="AA742" s="275"/>
    </row>
    <row r="743" customFormat="false" ht="14.25" hidden="false" customHeight="false" outlineLevel="0" collapsed="false">
      <c r="A743" s="272" t="s">
        <v>931</v>
      </c>
      <c r="B743" s="273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3"/>
      <c r="P743" s="273" t="n">
        <v>-1474.686</v>
      </c>
      <c r="Q743" s="273"/>
      <c r="R743" s="273"/>
      <c r="S743" s="273"/>
      <c r="T743" s="273"/>
      <c r="U743" s="273"/>
      <c r="V743" s="273"/>
      <c r="W743" s="273"/>
      <c r="X743" s="273"/>
      <c r="Y743" s="274" t="n">
        <f aca="false">SUM(B743:X743)</f>
        <v>-1474.686</v>
      </c>
      <c r="Z743" s="272"/>
      <c r="AA743" s="275"/>
    </row>
    <row r="744" customFormat="false" ht="14.25" hidden="false" customHeight="false" outlineLevel="0" collapsed="false">
      <c r="A744" s="272" t="s">
        <v>932</v>
      </c>
      <c r="B744" s="273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 t="n">
        <v>-6927.255</v>
      </c>
      <c r="M744" s="273"/>
      <c r="N744" s="273"/>
      <c r="O744" s="273"/>
      <c r="P744" s="273"/>
      <c r="Q744" s="273"/>
      <c r="R744" s="273"/>
      <c r="S744" s="273"/>
      <c r="T744" s="273"/>
      <c r="U744" s="273"/>
      <c r="V744" s="273"/>
      <c r="W744" s="273"/>
      <c r="X744" s="273"/>
      <c r="Y744" s="274" t="n">
        <f aca="false">SUM(B744:X744)</f>
        <v>-6927.255</v>
      </c>
      <c r="Z744" s="272"/>
      <c r="AA744" s="275"/>
    </row>
    <row r="745" customFormat="false" ht="14.25" hidden="false" customHeight="false" outlineLevel="0" collapsed="false">
      <c r="A745" s="272" t="s">
        <v>933</v>
      </c>
      <c r="B745" s="273"/>
      <c r="C745" s="273"/>
      <c r="D745" s="273" t="n">
        <v>5.4855</v>
      </c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3"/>
      <c r="P745" s="273"/>
      <c r="Q745" s="273"/>
      <c r="R745" s="273"/>
      <c r="S745" s="273"/>
      <c r="T745" s="273"/>
      <c r="U745" s="273"/>
      <c r="V745" s="273"/>
      <c r="W745" s="273"/>
      <c r="X745" s="273"/>
      <c r="Y745" s="274" t="n">
        <f aca="false">SUM(B745:X745)</f>
        <v>5.4855</v>
      </c>
      <c r="Z745" s="272"/>
      <c r="AA745" s="275"/>
    </row>
    <row r="746" customFormat="false" ht="14.25" hidden="false" customHeight="false" outlineLevel="0" collapsed="false">
      <c r="A746" s="272" t="s">
        <v>934</v>
      </c>
      <c r="B746" s="273" t="n">
        <v>-2941.854</v>
      </c>
      <c r="C746" s="273"/>
      <c r="D746" s="273"/>
      <c r="E746" s="273" t="n">
        <v>-1620</v>
      </c>
      <c r="F746" s="273"/>
      <c r="G746" s="273"/>
      <c r="H746" s="273"/>
      <c r="I746" s="273"/>
      <c r="J746" s="273"/>
      <c r="K746" s="273"/>
      <c r="L746" s="273"/>
      <c r="M746" s="273"/>
      <c r="N746" s="273"/>
      <c r="O746" s="273"/>
      <c r="P746" s="273" t="n">
        <v>-1092.36</v>
      </c>
      <c r="Q746" s="273"/>
      <c r="R746" s="273"/>
      <c r="S746" s="273"/>
      <c r="T746" s="273"/>
      <c r="U746" s="273"/>
      <c r="V746" s="273"/>
      <c r="W746" s="273"/>
      <c r="X746" s="273"/>
      <c r="Y746" s="274" t="n">
        <f aca="false">SUM(B746:X746)</f>
        <v>-5654.214</v>
      </c>
      <c r="Z746" s="272"/>
      <c r="AA746" s="275"/>
    </row>
    <row r="747" customFormat="false" ht="14.25" hidden="false" customHeight="false" outlineLevel="0" collapsed="false">
      <c r="A747" s="272" t="s">
        <v>935</v>
      </c>
      <c r="B747" s="273"/>
      <c r="C747" s="273"/>
      <c r="D747" s="273"/>
      <c r="E747" s="273"/>
      <c r="F747" s="273" t="n">
        <v>-84383.36</v>
      </c>
      <c r="G747" s="273"/>
      <c r="H747" s="273"/>
      <c r="I747" s="273"/>
      <c r="J747" s="273"/>
      <c r="K747" s="273"/>
      <c r="L747" s="273"/>
      <c r="M747" s="273"/>
      <c r="N747" s="273"/>
      <c r="O747" s="273"/>
      <c r="P747" s="273"/>
      <c r="Q747" s="273"/>
      <c r="R747" s="273"/>
      <c r="S747" s="273"/>
      <c r="T747" s="273"/>
      <c r="U747" s="273"/>
      <c r="V747" s="273"/>
      <c r="W747" s="273"/>
      <c r="X747" s="273"/>
      <c r="Y747" s="274" t="n">
        <f aca="false">SUM(B747:X747)</f>
        <v>-84383.36</v>
      </c>
      <c r="Z747" s="272"/>
      <c r="AA747" s="275"/>
    </row>
    <row r="748" customFormat="false" ht="14.25" hidden="false" customHeight="false" outlineLevel="0" collapsed="false">
      <c r="A748" s="272" t="s">
        <v>936</v>
      </c>
      <c r="B748" s="273"/>
      <c r="C748" s="273"/>
      <c r="D748" s="273" t="n">
        <v>-3400.8</v>
      </c>
      <c r="E748" s="273"/>
      <c r="F748" s="273"/>
      <c r="G748" s="273"/>
      <c r="H748" s="273"/>
      <c r="I748" s="273"/>
      <c r="J748" s="273" t="n">
        <v>-53760.2415</v>
      </c>
      <c r="K748" s="273"/>
      <c r="L748" s="273"/>
      <c r="M748" s="273"/>
      <c r="N748" s="273"/>
      <c r="O748" s="273"/>
      <c r="P748" s="273"/>
      <c r="Q748" s="273"/>
      <c r="R748" s="273"/>
      <c r="S748" s="273"/>
      <c r="T748" s="273"/>
      <c r="U748" s="273"/>
      <c r="V748" s="273"/>
      <c r="W748" s="273"/>
      <c r="X748" s="273"/>
      <c r="Y748" s="274" t="n">
        <f aca="false">SUM(B748:X748)</f>
        <v>-57161.0415</v>
      </c>
      <c r="Z748" s="272"/>
      <c r="AA748" s="275"/>
    </row>
    <row r="749" customFormat="false" ht="14.25" hidden="false" customHeight="false" outlineLevel="0" collapsed="false">
      <c r="A749" s="272" t="s">
        <v>935</v>
      </c>
      <c r="B749" s="273"/>
      <c r="C749" s="273"/>
      <c r="D749" s="273"/>
      <c r="E749" s="273"/>
      <c r="F749" s="273" t="n">
        <v>-106896.8</v>
      </c>
      <c r="G749" s="273"/>
      <c r="H749" s="273"/>
      <c r="I749" s="273"/>
      <c r="J749" s="273"/>
      <c r="K749" s="273"/>
      <c r="L749" s="273"/>
      <c r="M749" s="273"/>
      <c r="N749" s="273"/>
      <c r="O749" s="273"/>
      <c r="P749" s="273"/>
      <c r="Q749" s="273"/>
      <c r="R749" s="273"/>
      <c r="S749" s="273"/>
      <c r="T749" s="273"/>
      <c r="U749" s="273"/>
      <c r="V749" s="273"/>
      <c r="W749" s="273"/>
      <c r="X749" s="273"/>
      <c r="Y749" s="274" t="n">
        <f aca="false">SUM(B749:X749)</f>
        <v>-106896.8</v>
      </c>
      <c r="Z749" s="272"/>
      <c r="AA749" s="275"/>
    </row>
    <row r="750" customFormat="false" ht="14.25" hidden="false" customHeight="false" outlineLevel="0" collapsed="false">
      <c r="A750" s="272" t="s">
        <v>937</v>
      </c>
      <c r="B750" s="273" t="n">
        <v>-31809</v>
      </c>
      <c r="C750" s="273"/>
      <c r="D750" s="273"/>
      <c r="E750" s="273"/>
      <c r="F750" s="273"/>
      <c r="G750" s="273"/>
      <c r="H750" s="273"/>
      <c r="I750" s="273"/>
      <c r="J750" s="273"/>
      <c r="K750" s="273"/>
      <c r="L750" s="273" t="n">
        <v>-3078.78</v>
      </c>
      <c r="M750" s="273"/>
      <c r="N750" s="273"/>
      <c r="O750" s="273"/>
      <c r="P750" s="273"/>
      <c r="Q750" s="273"/>
      <c r="R750" s="273"/>
      <c r="S750" s="273"/>
      <c r="T750" s="273"/>
      <c r="U750" s="273"/>
      <c r="V750" s="273"/>
      <c r="W750" s="273"/>
      <c r="X750" s="273"/>
      <c r="Y750" s="274" t="n">
        <f aca="false">SUM(B750:X750)</f>
        <v>-34887.78</v>
      </c>
      <c r="Z750" s="272"/>
      <c r="AA750" s="275"/>
    </row>
    <row r="751" customFormat="false" ht="14.25" hidden="false" customHeight="false" outlineLevel="0" collapsed="false">
      <c r="A751" s="272" t="s">
        <v>938</v>
      </c>
      <c r="B751" s="273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 t="n">
        <v>-923.634</v>
      </c>
      <c r="M751" s="273"/>
      <c r="N751" s="273"/>
      <c r="O751" s="273"/>
      <c r="P751" s="273"/>
      <c r="Q751" s="273"/>
      <c r="R751" s="273"/>
      <c r="S751" s="273"/>
      <c r="T751" s="273"/>
      <c r="U751" s="273"/>
      <c r="V751" s="273"/>
      <c r="W751" s="273"/>
      <c r="X751" s="273"/>
      <c r="Y751" s="274" t="n">
        <f aca="false">SUM(B751:X751)</f>
        <v>-923.634</v>
      </c>
      <c r="Z751" s="272"/>
      <c r="AA751" s="275"/>
    </row>
    <row r="752" customFormat="false" ht="14.25" hidden="false" customHeight="false" outlineLevel="0" collapsed="false">
      <c r="A752" s="272" t="s">
        <v>939</v>
      </c>
      <c r="B752" s="273" t="n">
        <v>-9542.7</v>
      </c>
      <c r="C752" s="273"/>
      <c r="D752" s="273"/>
      <c r="E752" s="273"/>
      <c r="F752" s="273" t="n">
        <v>-7772.94</v>
      </c>
      <c r="G752" s="273"/>
      <c r="H752" s="273"/>
      <c r="I752" s="273"/>
      <c r="J752" s="273"/>
      <c r="K752" s="273"/>
      <c r="L752" s="273"/>
      <c r="M752" s="273"/>
      <c r="N752" s="273"/>
      <c r="O752" s="273"/>
      <c r="P752" s="273"/>
      <c r="Q752" s="273"/>
      <c r="R752" s="273"/>
      <c r="S752" s="273"/>
      <c r="T752" s="273"/>
      <c r="U752" s="273"/>
      <c r="V752" s="273"/>
      <c r="W752" s="273"/>
      <c r="X752" s="273"/>
      <c r="Y752" s="274" t="n">
        <f aca="false">SUM(B752:X752)</f>
        <v>-17315.64</v>
      </c>
      <c r="Z752" s="272"/>
      <c r="AA752" s="275"/>
    </row>
    <row r="753" customFormat="false" ht="14.25" hidden="false" customHeight="false" outlineLevel="0" collapsed="false">
      <c r="A753" s="272" t="s">
        <v>940</v>
      </c>
      <c r="B753" s="273"/>
      <c r="C753" s="273"/>
      <c r="D753" s="273"/>
      <c r="E753" s="273"/>
      <c r="F753" s="273" t="n">
        <v>-629.238</v>
      </c>
      <c r="G753" s="273"/>
      <c r="H753" s="273"/>
      <c r="I753" s="273"/>
      <c r="J753" s="273"/>
      <c r="K753" s="273"/>
      <c r="L753" s="273"/>
      <c r="M753" s="273"/>
      <c r="N753" s="273"/>
      <c r="O753" s="273"/>
      <c r="P753" s="273"/>
      <c r="Q753" s="273"/>
      <c r="R753" s="273"/>
      <c r="S753" s="273"/>
      <c r="T753" s="273"/>
      <c r="U753" s="273"/>
      <c r="V753" s="273"/>
      <c r="W753" s="273"/>
      <c r="X753" s="273"/>
      <c r="Y753" s="274" t="n">
        <f aca="false">SUM(B753:X753)</f>
        <v>-629.238</v>
      </c>
      <c r="Z753" s="272"/>
      <c r="AA753" s="275"/>
    </row>
    <row r="754" customFormat="false" ht="14.25" hidden="false" customHeight="false" outlineLevel="0" collapsed="false">
      <c r="A754" s="272" t="s">
        <v>895</v>
      </c>
      <c r="B754" s="273" t="n">
        <v>-31809</v>
      </c>
      <c r="C754" s="273"/>
      <c r="D754" s="273"/>
      <c r="E754" s="273"/>
      <c r="F754" s="273"/>
      <c r="G754" s="273"/>
      <c r="H754" s="273"/>
      <c r="I754" s="273"/>
      <c r="J754" s="273"/>
      <c r="K754" s="273"/>
      <c r="L754" s="273" t="n">
        <v>-5131.3</v>
      </c>
      <c r="M754" s="273"/>
      <c r="N754" s="273"/>
      <c r="O754" s="273"/>
      <c r="P754" s="273"/>
      <c r="Q754" s="273"/>
      <c r="R754" s="273"/>
      <c r="S754" s="273"/>
      <c r="T754" s="273"/>
      <c r="U754" s="273"/>
      <c r="V754" s="273"/>
      <c r="W754" s="273"/>
      <c r="X754" s="273"/>
      <c r="Y754" s="274" t="n">
        <f aca="false">SUM(B754:X754)</f>
        <v>-36940.3</v>
      </c>
      <c r="Z754" s="272"/>
      <c r="AA754" s="275"/>
    </row>
    <row r="755" customFormat="false" ht="14.25" hidden="false" customHeight="false" outlineLevel="0" collapsed="false">
      <c r="A755" s="272" t="s">
        <v>941</v>
      </c>
      <c r="B755" s="273"/>
      <c r="C755" s="273"/>
      <c r="D755" s="273"/>
      <c r="E755" s="273"/>
      <c r="F755" s="273" t="n">
        <v>-18036.972</v>
      </c>
      <c r="G755" s="273"/>
      <c r="H755" s="273"/>
      <c r="I755" s="273"/>
      <c r="J755" s="273"/>
      <c r="K755" s="273"/>
      <c r="L755" s="273"/>
      <c r="M755" s="273"/>
      <c r="N755" s="273"/>
      <c r="O755" s="273"/>
      <c r="P755" s="273"/>
      <c r="Q755" s="273"/>
      <c r="R755" s="273"/>
      <c r="S755" s="273"/>
      <c r="T755" s="273"/>
      <c r="U755" s="273"/>
      <c r="V755" s="273"/>
      <c r="W755" s="273"/>
      <c r="X755" s="273"/>
      <c r="Y755" s="274" t="n">
        <f aca="false">SUM(B755:X755)</f>
        <v>-18036.972</v>
      </c>
      <c r="Z755" s="272"/>
      <c r="AA755" s="275"/>
    </row>
    <row r="756" customFormat="false" ht="14.25" hidden="false" customHeight="false" outlineLevel="0" collapsed="false">
      <c r="A756" s="272" t="s">
        <v>935</v>
      </c>
      <c r="B756" s="273"/>
      <c r="C756" s="273"/>
      <c r="D756" s="273"/>
      <c r="E756" s="273"/>
      <c r="F756" s="273" t="n">
        <v>-103598.88</v>
      </c>
      <c r="G756" s="273"/>
      <c r="H756" s="273"/>
      <c r="I756" s="273"/>
      <c r="J756" s="273"/>
      <c r="K756" s="273"/>
      <c r="L756" s="273"/>
      <c r="M756" s="273"/>
      <c r="N756" s="273"/>
      <c r="O756" s="273"/>
      <c r="P756" s="273"/>
      <c r="Q756" s="273"/>
      <c r="R756" s="273"/>
      <c r="S756" s="273"/>
      <c r="T756" s="273"/>
      <c r="U756" s="273"/>
      <c r="V756" s="273"/>
      <c r="W756" s="273"/>
      <c r="X756" s="273"/>
      <c r="Y756" s="274" t="n">
        <f aca="false">SUM(B756:X756)</f>
        <v>-103598.88</v>
      </c>
      <c r="Z756" s="272"/>
      <c r="AA756" s="275"/>
    </row>
    <row r="757" customFormat="false" ht="14.25" hidden="false" customHeight="false" outlineLevel="0" collapsed="false">
      <c r="A757" s="272" t="s">
        <v>942</v>
      </c>
      <c r="B757" s="273"/>
      <c r="C757" s="273"/>
      <c r="D757" s="273"/>
      <c r="E757" s="273"/>
      <c r="F757" s="273"/>
      <c r="G757" s="273"/>
      <c r="H757" s="273"/>
      <c r="I757" s="273"/>
      <c r="J757" s="273" t="n">
        <v>-20756.85</v>
      </c>
      <c r="K757" s="273"/>
      <c r="L757" s="273"/>
      <c r="M757" s="273"/>
      <c r="N757" s="273"/>
      <c r="O757" s="273"/>
      <c r="P757" s="273"/>
      <c r="Q757" s="273"/>
      <c r="R757" s="273"/>
      <c r="S757" s="273"/>
      <c r="T757" s="273"/>
      <c r="U757" s="273"/>
      <c r="V757" s="273"/>
      <c r="W757" s="273"/>
      <c r="X757" s="273"/>
      <c r="Y757" s="274" t="n">
        <f aca="false">SUM(B757:X757)</f>
        <v>-20756.85</v>
      </c>
      <c r="Z757" s="272"/>
      <c r="AA757" s="275"/>
    </row>
    <row r="758" customFormat="false" ht="14.25" hidden="false" customHeight="false" outlineLevel="0" collapsed="false">
      <c r="A758" s="272" t="s">
        <v>943</v>
      </c>
      <c r="B758" s="273" t="n">
        <v>-4771.25</v>
      </c>
      <c r="C758" s="273"/>
      <c r="D758" s="273"/>
      <c r="E758" s="273"/>
      <c r="F758" s="273"/>
      <c r="G758" s="273"/>
      <c r="H758" s="273" t="n">
        <v>678.33</v>
      </c>
      <c r="I758" s="273"/>
      <c r="J758" s="273" t="n">
        <v>-8302.74</v>
      </c>
      <c r="K758" s="273"/>
      <c r="L758" s="273"/>
      <c r="M758" s="273"/>
      <c r="N758" s="273"/>
      <c r="O758" s="273"/>
      <c r="P758" s="273"/>
      <c r="Q758" s="273"/>
      <c r="R758" s="273"/>
      <c r="S758" s="273"/>
      <c r="T758" s="273"/>
      <c r="U758" s="273"/>
      <c r="V758" s="273"/>
      <c r="W758" s="273"/>
      <c r="X758" s="273"/>
      <c r="Y758" s="274" t="n">
        <f aca="false">SUM(B758:X758)</f>
        <v>-12395.66</v>
      </c>
      <c r="Z758" s="272"/>
      <c r="AA758" s="275"/>
    </row>
    <row r="759" customFormat="false" ht="14.25" hidden="false" customHeight="false" outlineLevel="0" collapsed="false">
      <c r="A759" s="272" t="s">
        <v>944</v>
      </c>
      <c r="B759" s="273" t="n">
        <v>-7157.025</v>
      </c>
      <c r="C759" s="273"/>
      <c r="D759" s="273"/>
      <c r="E759" s="273"/>
      <c r="F759" s="273"/>
      <c r="G759" s="273"/>
      <c r="H759" s="273" t="n">
        <v>678.33</v>
      </c>
      <c r="I759" s="273"/>
      <c r="J759" s="273" t="n">
        <v>-16605.48</v>
      </c>
      <c r="K759" s="273"/>
      <c r="L759" s="273"/>
      <c r="M759" s="273"/>
      <c r="N759" s="273"/>
      <c r="O759" s="273"/>
      <c r="P759" s="273"/>
      <c r="Q759" s="273"/>
      <c r="R759" s="273"/>
      <c r="S759" s="273"/>
      <c r="T759" s="273"/>
      <c r="U759" s="273"/>
      <c r="V759" s="273"/>
      <c r="W759" s="273"/>
      <c r="X759" s="273"/>
      <c r="Y759" s="274" t="n">
        <f aca="false">SUM(B759:X759)</f>
        <v>-23084.175</v>
      </c>
      <c r="Z759" s="272"/>
      <c r="AA759" s="275"/>
    </row>
    <row r="760" customFormat="false" ht="14.25" hidden="false" customHeight="false" outlineLevel="0" collapsed="false">
      <c r="A760" s="272" t="s">
        <v>945</v>
      </c>
      <c r="B760" s="273" t="n">
        <v>-4771.35</v>
      </c>
      <c r="C760" s="273"/>
      <c r="D760" s="273"/>
      <c r="E760" s="273"/>
      <c r="F760" s="273"/>
      <c r="G760" s="273"/>
      <c r="H760" s="273"/>
      <c r="I760" s="273"/>
      <c r="J760" s="273" t="n">
        <v>-8302.74</v>
      </c>
      <c r="K760" s="273"/>
      <c r="L760" s="273"/>
      <c r="M760" s="273"/>
      <c r="N760" s="273"/>
      <c r="O760" s="273"/>
      <c r="P760" s="273"/>
      <c r="Q760" s="273"/>
      <c r="R760" s="273"/>
      <c r="S760" s="273"/>
      <c r="T760" s="273"/>
      <c r="U760" s="273"/>
      <c r="V760" s="273"/>
      <c r="W760" s="273"/>
      <c r="X760" s="273"/>
      <c r="Y760" s="274" t="n">
        <f aca="false">SUM(B760:X760)</f>
        <v>-13074.09</v>
      </c>
      <c r="Z760" s="272"/>
      <c r="AA760" s="275"/>
    </row>
    <row r="761" customFormat="false" ht="14.25" hidden="false" customHeight="false" outlineLevel="0" collapsed="false">
      <c r="A761" s="272" t="s">
        <v>946</v>
      </c>
      <c r="B761" s="273" t="n">
        <v>-4771.35</v>
      </c>
      <c r="C761" s="273"/>
      <c r="D761" s="273"/>
      <c r="E761" s="273"/>
      <c r="F761" s="273"/>
      <c r="G761" s="273"/>
      <c r="H761" s="273" t="n">
        <v>339.165</v>
      </c>
      <c r="I761" s="273"/>
      <c r="J761" s="273" t="n">
        <v>-16605.48</v>
      </c>
      <c r="K761" s="273"/>
      <c r="L761" s="273" t="n">
        <v>-7696.95</v>
      </c>
      <c r="M761" s="273"/>
      <c r="N761" s="273"/>
      <c r="O761" s="273"/>
      <c r="P761" s="273"/>
      <c r="Q761" s="273"/>
      <c r="R761" s="273"/>
      <c r="S761" s="273"/>
      <c r="T761" s="273"/>
      <c r="U761" s="273"/>
      <c r="V761" s="273"/>
      <c r="W761" s="273"/>
      <c r="X761" s="273"/>
      <c r="Y761" s="274" t="n">
        <f aca="false">SUM(B761:X761)</f>
        <v>-28734.615</v>
      </c>
      <c r="Z761" s="272"/>
      <c r="AA761" s="275"/>
    </row>
    <row r="762" customFormat="false" ht="14.25" hidden="false" customHeight="false" outlineLevel="0" collapsed="false">
      <c r="A762" s="272" t="s">
        <v>385</v>
      </c>
      <c r="B762" s="273"/>
      <c r="C762" s="273"/>
      <c r="D762" s="273"/>
      <c r="E762" s="273"/>
      <c r="F762" s="273"/>
      <c r="G762" s="273"/>
      <c r="H762" s="273"/>
      <c r="I762" s="273"/>
      <c r="J762" s="273" t="n">
        <v>-18473.5965</v>
      </c>
      <c r="K762" s="273"/>
      <c r="L762" s="273"/>
      <c r="M762" s="273"/>
      <c r="N762" s="273"/>
      <c r="O762" s="273"/>
      <c r="P762" s="273"/>
      <c r="Q762" s="273"/>
      <c r="R762" s="273"/>
      <c r="S762" s="273"/>
      <c r="T762" s="273"/>
      <c r="U762" s="273"/>
      <c r="V762" s="273"/>
      <c r="W762" s="273"/>
      <c r="X762" s="273"/>
      <c r="Y762" s="274" t="n">
        <f aca="false">SUM(B762:X762)</f>
        <v>-18473.5965</v>
      </c>
      <c r="Z762" s="272"/>
      <c r="AA762" s="275"/>
    </row>
    <row r="763" customFormat="false" ht="14.25" hidden="false" customHeight="false" outlineLevel="0" collapsed="false">
      <c r="A763" s="272" t="s">
        <v>935</v>
      </c>
      <c r="B763" s="273"/>
      <c r="C763" s="273"/>
      <c r="D763" s="273"/>
      <c r="E763" s="273"/>
      <c r="F763" s="273" t="n">
        <v>-103589.6</v>
      </c>
      <c r="G763" s="273"/>
      <c r="H763" s="273"/>
      <c r="I763" s="273"/>
      <c r="J763" s="273"/>
      <c r="K763" s="273"/>
      <c r="L763" s="273"/>
      <c r="M763" s="273"/>
      <c r="N763" s="273"/>
      <c r="O763" s="273"/>
      <c r="P763" s="273"/>
      <c r="Q763" s="273"/>
      <c r="R763" s="273"/>
      <c r="S763" s="273"/>
      <c r="T763" s="273"/>
      <c r="U763" s="273"/>
      <c r="V763" s="273"/>
      <c r="W763" s="273"/>
      <c r="X763" s="273"/>
      <c r="Y763" s="274" t="n">
        <f aca="false">SUM(B763:X763)</f>
        <v>-103589.6</v>
      </c>
      <c r="Z763" s="272"/>
      <c r="AA763" s="275"/>
    </row>
    <row r="764" customFormat="false" ht="14.25" hidden="false" customHeight="false" outlineLevel="0" collapsed="false">
      <c r="A764" s="272" t="s">
        <v>947</v>
      </c>
      <c r="B764" s="273"/>
      <c r="C764" s="273"/>
      <c r="D764" s="273"/>
      <c r="E764" s="273"/>
      <c r="F764" s="273" t="n">
        <v>-103589.6</v>
      </c>
      <c r="G764" s="273"/>
      <c r="H764" s="273"/>
      <c r="I764" s="273"/>
      <c r="J764" s="273"/>
      <c r="K764" s="273"/>
      <c r="L764" s="273"/>
      <c r="M764" s="273"/>
      <c r="N764" s="273"/>
      <c r="O764" s="273"/>
      <c r="P764" s="273"/>
      <c r="Q764" s="273"/>
      <c r="R764" s="273"/>
      <c r="S764" s="273"/>
      <c r="T764" s="273"/>
      <c r="U764" s="273"/>
      <c r="V764" s="273"/>
      <c r="W764" s="273"/>
      <c r="X764" s="273"/>
      <c r="Y764" s="274" t="n">
        <f aca="false">SUM(B764:X764)</f>
        <v>-103589.6</v>
      </c>
      <c r="Z764" s="272"/>
      <c r="AA764" s="275"/>
    </row>
    <row r="765" customFormat="false" ht="14.25" hidden="false" customHeight="false" outlineLevel="0" collapsed="false">
      <c r="A765" s="272" t="s">
        <v>948</v>
      </c>
      <c r="B765" s="273"/>
      <c r="C765" s="273"/>
      <c r="D765" s="273"/>
      <c r="E765" s="273"/>
      <c r="F765" s="273" t="n">
        <v>-12344.169</v>
      </c>
      <c r="G765" s="273"/>
      <c r="H765" s="273"/>
      <c r="I765" s="273"/>
      <c r="J765" s="273"/>
      <c r="K765" s="273"/>
      <c r="L765" s="273"/>
      <c r="M765" s="273"/>
      <c r="N765" s="273"/>
      <c r="O765" s="273"/>
      <c r="P765" s="273"/>
      <c r="Q765" s="273"/>
      <c r="R765" s="273"/>
      <c r="S765" s="273"/>
      <c r="T765" s="273"/>
      <c r="U765" s="273"/>
      <c r="V765" s="273"/>
      <c r="W765" s="273"/>
      <c r="X765" s="273"/>
      <c r="Y765" s="274" t="n">
        <f aca="false">SUM(B765:X765)</f>
        <v>-12344.169</v>
      </c>
      <c r="Z765" s="272"/>
      <c r="AA765" s="275"/>
    </row>
    <row r="766" customFormat="false" ht="14.25" hidden="false" customHeight="false" outlineLevel="0" collapsed="false">
      <c r="A766" s="272" t="s">
        <v>949</v>
      </c>
      <c r="B766" s="273"/>
      <c r="C766" s="273"/>
      <c r="D766" s="273"/>
      <c r="E766" s="273"/>
      <c r="F766" s="273"/>
      <c r="G766" s="273"/>
      <c r="H766" s="273"/>
      <c r="I766" s="273"/>
      <c r="J766" s="273" t="n">
        <v>-20756.85</v>
      </c>
      <c r="K766" s="273"/>
      <c r="L766" s="273" t="n">
        <v>-9236.34</v>
      </c>
      <c r="M766" s="273"/>
      <c r="N766" s="273"/>
      <c r="O766" s="273"/>
      <c r="P766" s="273"/>
      <c r="Q766" s="273"/>
      <c r="R766" s="273"/>
      <c r="S766" s="273"/>
      <c r="T766" s="273"/>
      <c r="U766" s="273"/>
      <c r="V766" s="273"/>
      <c r="W766" s="273"/>
      <c r="X766" s="273"/>
      <c r="Y766" s="274" t="n">
        <f aca="false">SUM(B766:X766)</f>
        <v>-29993.19</v>
      </c>
      <c r="Z766" s="272"/>
      <c r="AA766" s="275"/>
    </row>
    <row r="767" customFormat="false" ht="14.25" hidden="false" customHeight="false" outlineLevel="0" collapsed="false">
      <c r="A767" s="272" t="s">
        <v>950</v>
      </c>
      <c r="B767" s="273"/>
      <c r="C767" s="273"/>
      <c r="D767" s="273"/>
      <c r="E767" s="273"/>
      <c r="F767" s="273"/>
      <c r="G767" s="273"/>
      <c r="H767" s="273"/>
      <c r="I767" s="273"/>
      <c r="J767" s="273" t="n">
        <v>-20756.85</v>
      </c>
      <c r="K767" s="273"/>
      <c r="L767" s="273" t="n">
        <v>-10313.913</v>
      </c>
      <c r="M767" s="273"/>
      <c r="N767" s="273"/>
      <c r="O767" s="273"/>
      <c r="P767" s="273"/>
      <c r="Q767" s="273"/>
      <c r="R767" s="273"/>
      <c r="S767" s="273"/>
      <c r="T767" s="273"/>
      <c r="U767" s="273"/>
      <c r="V767" s="273"/>
      <c r="W767" s="273"/>
      <c r="X767" s="273"/>
      <c r="Y767" s="274" t="n">
        <f aca="false">SUM(B767:X767)</f>
        <v>-31070.763</v>
      </c>
      <c r="Z767" s="272"/>
      <c r="AA767" s="275"/>
    </row>
    <row r="768" customFormat="false" ht="14.25" hidden="false" customHeight="false" outlineLevel="0" collapsed="false">
      <c r="A768" s="272" t="s">
        <v>404</v>
      </c>
      <c r="B768" s="273"/>
      <c r="C768" s="273"/>
      <c r="D768" s="273"/>
      <c r="E768" s="273"/>
      <c r="F768" s="273"/>
      <c r="G768" s="273"/>
      <c r="H768" s="273"/>
      <c r="I768" s="273"/>
      <c r="J768" s="273" t="n">
        <v>-46287.7755</v>
      </c>
      <c r="K768" s="273"/>
      <c r="L768" s="273"/>
      <c r="M768" s="273"/>
      <c r="N768" s="273"/>
      <c r="O768" s="273"/>
      <c r="P768" s="273"/>
      <c r="Q768" s="273"/>
      <c r="R768" s="273"/>
      <c r="S768" s="273"/>
      <c r="T768" s="273"/>
      <c r="U768" s="273"/>
      <c r="V768" s="273"/>
      <c r="W768" s="273"/>
      <c r="X768" s="273"/>
      <c r="Y768" s="274" t="n">
        <f aca="false">SUM(B768:X768)</f>
        <v>-46287.7755</v>
      </c>
      <c r="Z768" s="272"/>
      <c r="AA768" s="275"/>
    </row>
    <row r="769" customFormat="false" ht="14.25" hidden="false" customHeight="false" outlineLevel="0" collapsed="false">
      <c r="A769" s="272" t="s">
        <v>902</v>
      </c>
      <c r="B769" s="273"/>
      <c r="C769" s="273"/>
      <c r="D769" s="273"/>
      <c r="E769" s="273"/>
      <c r="F769" s="273"/>
      <c r="G769" s="273"/>
      <c r="H769" s="273"/>
      <c r="I769" s="273"/>
      <c r="J769" s="273" t="n">
        <v>-27814.179</v>
      </c>
      <c r="K769" s="273"/>
      <c r="L769" s="273"/>
      <c r="M769" s="273"/>
      <c r="N769" s="273"/>
      <c r="O769" s="273"/>
      <c r="P769" s="273"/>
      <c r="Q769" s="273"/>
      <c r="R769" s="273"/>
      <c r="S769" s="273"/>
      <c r="T769" s="273"/>
      <c r="U769" s="273"/>
      <c r="V769" s="273"/>
      <c r="W769" s="273"/>
      <c r="X769" s="273"/>
      <c r="Y769" s="274" t="n">
        <f aca="false">SUM(B769:X769)</f>
        <v>-27814.179</v>
      </c>
      <c r="Z769" s="272"/>
      <c r="AA769" s="275"/>
    </row>
    <row r="770" customFormat="false" ht="14.25" hidden="false" customHeight="false" outlineLevel="0" collapsed="false">
      <c r="A770" s="272" t="s">
        <v>682</v>
      </c>
      <c r="B770" s="273"/>
      <c r="C770" s="273"/>
      <c r="D770" s="273"/>
      <c r="E770" s="273"/>
      <c r="F770" s="273"/>
      <c r="G770" s="273"/>
      <c r="H770" s="273"/>
      <c r="I770" s="273"/>
      <c r="J770" s="273" t="n">
        <v>-41513.7</v>
      </c>
      <c r="K770" s="273"/>
      <c r="L770" s="273"/>
      <c r="M770" s="273"/>
      <c r="N770" s="273"/>
      <c r="O770" s="273"/>
      <c r="P770" s="273"/>
      <c r="Q770" s="273"/>
      <c r="R770" s="273"/>
      <c r="S770" s="273"/>
      <c r="T770" s="273"/>
      <c r="U770" s="273"/>
      <c r="V770" s="273"/>
      <c r="W770" s="273"/>
      <c r="X770" s="273"/>
      <c r="Y770" s="274" t="n">
        <f aca="false">SUM(B770:X770)</f>
        <v>-41513.7</v>
      </c>
      <c r="Z770" s="272"/>
      <c r="AA770" s="275"/>
    </row>
    <row r="771" customFormat="false" ht="14.25" hidden="false" customHeight="false" outlineLevel="0" collapsed="false">
      <c r="A771" s="272" t="s">
        <v>947</v>
      </c>
      <c r="B771" s="273"/>
      <c r="C771" s="273"/>
      <c r="D771" s="273"/>
      <c r="E771" s="273"/>
      <c r="F771" s="273"/>
      <c r="G771" s="273"/>
      <c r="H771" s="273"/>
      <c r="I771" s="273"/>
      <c r="J771" s="273" t="n">
        <v>-110349.6</v>
      </c>
      <c r="K771" s="273"/>
      <c r="L771" s="273"/>
      <c r="M771" s="273"/>
      <c r="N771" s="273"/>
      <c r="O771" s="273"/>
      <c r="P771" s="273"/>
      <c r="Q771" s="273"/>
      <c r="R771" s="273"/>
      <c r="S771" s="273"/>
      <c r="T771" s="273"/>
      <c r="U771" s="273"/>
      <c r="V771" s="273"/>
      <c r="W771" s="273"/>
      <c r="X771" s="273"/>
      <c r="Y771" s="274" t="n">
        <f aca="false">SUM(B771:X771)</f>
        <v>-110349.6</v>
      </c>
      <c r="Z771" s="272"/>
      <c r="AA771" s="275"/>
    </row>
    <row r="772" customFormat="false" ht="14.25" hidden="false" customHeight="false" outlineLevel="0" collapsed="false">
      <c r="A772" s="272" t="s">
        <v>951</v>
      </c>
      <c r="B772" s="273"/>
      <c r="C772" s="273"/>
      <c r="D772" s="273"/>
      <c r="E772" s="273"/>
      <c r="F772" s="273" t="n">
        <v>-18507</v>
      </c>
      <c r="G772" s="273"/>
      <c r="H772" s="273"/>
      <c r="I772" s="273"/>
      <c r="J772" s="273"/>
      <c r="K772" s="273"/>
      <c r="L772" s="273"/>
      <c r="M772" s="273"/>
      <c r="N772" s="273"/>
      <c r="O772" s="273"/>
      <c r="P772" s="273"/>
      <c r="Q772" s="273"/>
      <c r="R772" s="273"/>
      <c r="S772" s="273"/>
      <c r="T772" s="273"/>
      <c r="U772" s="273"/>
      <c r="V772" s="273"/>
      <c r="W772" s="273"/>
      <c r="X772" s="273"/>
      <c r="Y772" s="274" t="n">
        <f aca="false">SUM(B772:X772)</f>
        <v>-18507</v>
      </c>
      <c r="Z772" s="272"/>
      <c r="AA772" s="275"/>
    </row>
    <row r="773" customFormat="false" ht="14.25" hidden="false" customHeight="false" outlineLevel="0" collapsed="false">
      <c r="A773" s="272" t="s">
        <v>952</v>
      </c>
      <c r="B773" s="273"/>
      <c r="C773" s="273"/>
      <c r="D773" s="273"/>
      <c r="E773" s="273"/>
      <c r="F773" s="273"/>
      <c r="G773" s="273"/>
      <c r="H773" s="273"/>
      <c r="I773" s="273"/>
      <c r="J773" s="273" t="n">
        <v>-8122.35</v>
      </c>
      <c r="K773" s="273"/>
      <c r="L773" s="273" t="n">
        <v>-9824.55</v>
      </c>
      <c r="M773" s="273"/>
      <c r="N773" s="273"/>
      <c r="O773" s="273"/>
      <c r="P773" s="273"/>
      <c r="Q773" s="273"/>
      <c r="R773" s="273"/>
      <c r="S773" s="273"/>
      <c r="T773" s="273"/>
      <c r="U773" s="273"/>
      <c r="V773" s="273"/>
      <c r="W773" s="273"/>
      <c r="X773" s="273"/>
      <c r="Y773" s="274" t="n">
        <f aca="false">SUM(B773:X773)</f>
        <v>-17946.9</v>
      </c>
      <c r="Z773" s="272"/>
      <c r="AA773" s="275"/>
    </row>
    <row r="774" customFormat="false" ht="14.25" hidden="false" customHeight="false" outlineLevel="0" collapsed="false">
      <c r="A774" s="272" t="s">
        <v>953</v>
      </c>
      <c r="B774" s="273"/>
      <c r="C774" s="273"/>
      <c r="D774" s="273"/>
      <c r="E774" s="273"/>
      <c r="F774" s="273"/>
      <c r="G774" s="273"/>
      <c r="H774" s="273"/>
      <c r="I774" s="273" t="n">
        <v>620.19</v>
      </c>
      <c r="J774" s="273"/>
      <c r="K774" s="273"/>
      <c r="L774" s="273" t="n">
        <v>-7696.95</v>
      </c>
      <c r="M774" s="273"/>
      <c r="N774" s="273"/>
      <c r="O774" s="273"/>
      <c r="P774" s="273"/>
      <c r="Q774" s="273"/>
      <c r="R774" s="273"/>
      <c r="S774" s="273"/>
      <c r="T774" s="273"/>
      <c r="U774" s="273"/>
      <c r="V774" s="273"/>
      <c r="W774" s="273"/>
      <c r="X774" s="273"/>
      <c r="Y774" s="274" t="n">
        <f aca="false">SUM(B774:X774)</f>
        <v>-7076.76</v>
      </c>
      <c r="Z774" s="272"/>
      <c r="AA774" s="275"/>
    </row>
    <row r="775" customFormat="false" ht="14.25" hidden="false" customHeight="false" outlineLevel="0" collapsed="false">
      <c r="A775" s="272" t="s">
        <v>954</v>
      </c>
      <c r="B775" s="273"/>
      <c r="C775" s="273"/>
      <c r="D775" s="273"/>
      <c r="E775" s="273"/>
      <c r="F775" s="273" t="n">
        <v>-527257.44</v>
      </c>
      <c r="G775" s="273"/>
      <c r="H775" s="273"/>
      <c r="I775" s="273"/>
      <c r="J775" s="273"/>
      <c r="K775" s="273"/>
      <c r="L775" s="273"/>
      <c r="M775" s="273"/>
      <c r="N775" s="273" t="n">
        <v>-17570.934</v>
      </c>
      <c r="O775" s="273"/>
      <c r="P775" s="273"/>
      <c r="Q775" s="273"/>
      <c r="R775" s="273"/>
      <c r="S775" s="273"/>
      <c r="T775" s="273"/>
      <c r="U775" s="273"/>
      <c r="V775" s="273"/>
      <c r="W775" s="273"/>
      <c r="X775" s="273"/>
      <c r="Y775" s="274" t="n">
        <f aca="false">SUM(B775:X775)</f>
        <v>-544828.374</v>
      </c>
      <c r="Z775" s="272"/>
      <c r="AA775" s="275"/>
    </row>
    <row r="776" customFormat="false" ht="14.25" hidden="false" customHeight="false" outlineLevel="0" collapsed="false">
      <c r="A776" s="272" t="s">
        <v>955</v>
      </c>
      <c r="B776" s="273" t="n">
        <v>-8401.2</v>
      </c>
      <c r="C776" s="273"/>
      <c r="D776" s="273" t="n">
        <v>367.5285</v>
      </c>
      <c r="E776" s="273"/>
      <c r="F776" s="273"/>
      <c r="G776" s="273"/>
      <c r="H776" s="273"/>
      <c r="I776" s="273"/>
      <c r="J776" s="273" t="n">
        <v>-13907.0895</v>
      </c>
      <c r="K776" s="273"/>
      <c r="L776" s="273"/>
      <c r="M776" s="273"/>
      <c r="N776" s="273"/>
      <c r="O776" s="273"/>
      <c r="P776" s="273"/>
      <c r="Q776" s="273"/>
      <c r="R776" s="273"/>
      <c r="S776" s="273"/>
      <c r="T776" s="273"/>
      <c r="U776" s="273"/>
      <c r="V776" s="273"/>
      <c r="W776" s="273"/>
      <c r="X776" s="273"/>
      <c r="Y776" s="274" t="n">
        <f aca="false">SUM(B776:X776)</f>
        <v>-21940.761</v>
      </c>
      <c r="Z776" s="272"/>
      <c r="AA776" s="275"/>
    </row>
    <row r="777" customFormat="false" ht="14.25" hidden="false" customHeight="false" outlineLevel="0" collapsed="false">
      <c r="A777" s="272" t="s">
        <v>876</v>
      </c>
      <c r="B777" s="273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 t="n">
        <v>-6157.56</v>
      </c>
      <c r="M777" s="273"/>
      <c r="N777" s="273"/>
      <c r="O777" s="273"/>
      <c r="P777" s="273"/>
      <c r="Q777" s="273"/>
      <c r="R777" s="273"/>
      <c r="S777" s="273"/>
      <c r="T777" s="273"/>
      <c r="U777" s="273"/>
      <c r="V777" s="273"/>
      <c r="W777" s="273"/>
      <c r="X777" s="273"/>
      <c r="Y777" s="274" t="n">
        <f aca="false">SUM(B777:X777)</f>
        <v>-6157.56</v>
      </c>
      <c r="Z777" s="272"/>
      <c r="AA777" s="275"/>
    </row>
    <row r="778" customFormat="false" ht="14.25" hidden="false" customHeight="false" outlineLevel="0" collapsed="false">
      <c r="A778" s="272" t="s">
        <v>956</v>
      </c>
      <c r="B778" s="273"/>
      <c r="C778" s="273"/>
      <c r="D778" s="273"/>
      <c r="E778" s="273"/>
      <c r="F778" s="273" t="n">
        <v>-246.76</v>
      </c>
      <c r="G778" s="273"/>
      <c r="H778" s="273"/>
      <c r="I778" s="273"/>
      <c r="J778" s="273"/>
      <c r="K778" s="273"/>
      <c r="L778" s="273"/>
      <c r="M778" s="273"/>
      <c r="N778" s="273"/>
      <c r="O778" s="273"/>
      <c r="P778" s="273"/>
      <c r="Q778" s="273"/>
      <c r="R778" s="273"/>
      <c r="S778" s="273"/>
      <c r="T778" s="273"/>
      <c r="U778" s="273"/>
      <c r="V778" s="273"/>
      <c r="W778" s="273"/>
      <c r="X778" s="273"/>
      <c r="Y778" s="274" t="n">
        <f aca="false">SUM(B778:X778)</f>
        <v>-246.76</v>
      </c>
      <c r="Z778" s="272"/>
      <c r="AA778" s="275"/>
    </row>
    <row r="779" customFormat="false" ht="14.25" hidden="false" customHeight="false" outlineLevel="0" collapsed="false">
      <c r="A779" s="272" t="s">
        <v>957</v>
      </c>
      <c r="B779" s="273" t="n">
        <v>-1880.5365</v>
      </c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3"/>
      <c r="P779" s="273"/>
      <c r="Q779" s="273"/>
      <c r="R779" s="273"/>
      <c r="S779" s="273"/>
      <c r="T779" s="273"/>
      <c r="U779" s="273"/>
      <c r="V779" s="273"/>
      <c r="W779" s="273"/>
      <c r="X779" s="273"/>
      <c r="Y779" s="274" t="n">
        <f aca="false">SUM(B779:X779)</f>
        <v>-1880.5365</v>
      </c>
      <c r="Z779" s="272"/>
      <c r="AA779" s="275"/>
    </row>
    <row r="780" customFormat="false" ht="14.25" hidden="false" customHeight="false" outlineLevel="0" collapsed="false">
      <c r="A780" s="272" t="s">
        <v>907</v>
      </c>
      <c r="B780" s="273" t="n">
        <v>-766.1445</v>
      </c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3"/>
      <c r="P780" s="273"/>
      <c r="Q780" s="273"/>
      <c r="R780" s="273"/>
      <c r="S780" s="273"/>
      <c r="T780" s="273"/>
      <c r="U780" s="273"/>
      <c r="V780" s="273"/>
      <c r="W780" s="273"/>
      <c r="X780" s="273"/>
      <c r="Y780" s="274" t="n">
        <f aca="false">SUM(B780:X780)</f>
        <v>-766.1445</v>
      </c>
      <c r="Z780" s="272"/>
      <c r="AA780" s="275"/>
    </row>
    <row r="781" customFormat="false" ht="14.25" hidden="false" customHeight="false" outlineLevel="0" collapsed="false">
      <c r="A781" s="272" t="s">
        <v>958</v>
      </c>
      <c r="B781" s="273"/>
      <c r="C781" s="273"/>
      <c r="D781" s="273"/>
      <c r="E781" s="273"/>
      <c r="F781" s="273" t="n">
        <v>-912.3</v>
      </c>
      <c r="G781" s="273"/>
      <c r="H781" s="273"/>
      <c r="I781" s="273"/>
      <c r="J781" s="273"/>
      <c r="K781" s="273"/>
      <c r="L781" s="273"/>
      <c r="M781" s="273"/>
      <c r="N781" s="273"/>
      <c r="O781" s="273"/>
      <c r="P781" s="273"/>
      <c r="Q781" s="273"/>
      <c r="R781" s="273"/>
      <c r="S781" s="273"/>
      <c r="T781" s="273"/>
      <c r="U781" s="273"/>
      <c r="V781" s="273"/>
      <c r="W781" s="273"/>
      <c r="X781" s="273"/>
      <c r="Y781" s="274" t="n">
        <f aca="false">SUM(B781:X781)</f>
        <v>-912.3</v>
      </c>
      <c r="Z781" s="272"/>
      <c r="AA781" s="275"/>
    </row>
    <row r="782" customFormat="false" ht="14.25" hidden="false" customHeight="false" outlineLevel="0" collapsed="false">
      <c r="A782" s="272" t="s">
        <v>959</v>
      </c>
      <c r="B782" s="273" t="n">
        <v>-168.024</v>
      </c>
      <c r="C782" s="273"/>
      <c r="D782" s="273" t="n">
        <v>21.942</v>
      </c>
      <c r="E782" s="273" t="n">
        <v>-182.46</v>
      </c>
      <c r="F782" s="273" t="n">
        <v>106.11</v>
      </c>
      <c r="G782" s="273"/>
      <c r="H782" s="273"/>
      <c r="I782" s="273"/>
      <c r="J782" s="273"/>
      <c r="K782" s="273"/>
      <c r="L782" s="273"/>
      <c r="M782" s="273"/>
      <c r="N782" s="273"/>
      <c r="O782" s="273"/>
      <c r="P782" s="273"/>
      <c r="Q782" s="273"/>
      <c r="R782" s="273"/>
      <c r="S782" s="273"/>
      <c r="T782" s="273"/>
      <c r="U782" s="273"/>
      <c r="V782" s="273"/>
      <c r="W782" s="273"/>
      <c r="X782" s="273"/>
      <c r="Y782" s="274" t="n">
        <f aca="false">SUM(B782:X782)</f>
        <v>-222.432</v>
      </c>
      <c r="Z782" s="272"/>
      <c r="AA782" s="275"/>
    </row>
    <row r="783" customFormat="false" ht="14.25" hidden="false" customHeight="false" outlineLevel="0" collapsed="false">
      <c r="A783" s="272" t="s">
        <v>960</v>
      </c>
      <c r="B783" s="273"/>
      <c r="C783" s="273"/>
      <c r="D783" s="273"/>
      <c r="E783" s="273" t="n">
        <v>-132.23</v>
      </c>
      <c r="F783" s="273" t="n">
        <v>-185.07</v>
      </c>
      <c r="G783" s="273"/>
      <c r="H783" s="273"/>
      <c r="I783" s="273"/>
      <c r="J783" s="273" t="n">
        <v>-830.274</v>
      </c>
      <c r="K783" s="273"/>
      <c r="L783" s="273"/>
      <c r="M783" s="273"/>
      <c r="N783" s="273"/>
      <c r="O783" s="273"/>
      <c r="P783" s="273"/>
      <c r="Q783" s="273"/>
      <c r="R783" s="273"/>
      <c r="S783" s="273"/>
      <c r="T783" s="273"/>
      <c r="U783" s="273"/>
      <c r="V783" s="273"/>
      <c r="W783" s="273"/>
      <c r="X783" s="273"/>
      <c r="Y783" s="274" t="n">
        <f aca="false">SUM(B783:X783)</f>
        <v>-1147.574</v>
      </c>
      <c r="Z783" s="272"/>
      <c r="AA783" s="275"/>
    </row>
    <row r="784" customFormat="false" ht="14.25" hidden="false" customHeight="false" outlineLevel="0" collapsed="false">
      <c r="A784" s="272" t="s">
        <v>961</v>
      </c>
      <c r="B784" s="273"/>
      <c r="C784" s="273"/>
      <c r="D784" s="273"/>
      <c r="E784" s="273" t="n">
        <v>-228.075</v>
      </c>
      <c r="F784" s="273" t="n">
        <v>-92.535</v>
      </c>
      <c r="G784" s="273"/>
      <c r="H784" s="273"/>
      <c r="I784" s="273"/>
      <c r="J784" s="273" t="n">
        <v>-66.042</v>
      </c>
      <c r="K784" s="273"/>
      <c r="L784" s="273"/>
      <c r="M784" s="273"/>
      <c r="N784" s="273"/>
      <c r="O784" s="273"/>
      <c r="P784" s="273"/>
      <c r="Q784" s="273"/>
      <c r="R784" s="273"/>
      <c r="S784" s="273"/>
      <c r="T784" s="273"/>
      <c r="U784" s="273"/>
      <c r="V784" s="273"/>
      <c r="W784" s="273"/>
      <c r="X784" s="273"/>
      <c r="Y784" s="274" t="n">
        <f aca="false">SUM(B784:X784)</f>
        <v>-386.652</v>
      </c>
      <c r="Z784" s="272"/>
      <c r="AA784" s="275"/>
    </row>
    <row r="785" customFormat="false" ht="14.25" hidden="false" customHeight="false" outlineLevel="0" collapsed="false">
      <c r="A785" s="272" t="s">
        <v>962</v>
      </c>
      <c r="B785" s="273" t="n">
        <v>-210.03</v>
      </c>
      <c r="C785" s="273"/>
      <c r="D785" s="273"/>
      <c r="E785" s="273"/>
      <c r="F785" s="273"/>
      <c r="G785" s="273"/>
      <c r="H785" s="273"/>
      <c r="I785" s="273"/>
      <c r="J785" s="273" t="n">
        <v>-12910.314</v>
      </c>
      <c r="K785" s="273"/>
      <c r="L785" s="273" t="n">
        <v>-923.634</v>
      </c>
      <c r="M785" s="273"/>
      <c r="N785" s="273"/>
      <c r="O785" s="273"/>
      <c r="P785" s="273"/>
      <c r="Q785" s="273"/>
      <c r="R785" s="273"/>
      <c r="S785" s="273"/>
      <c r="T785" s="273"/>
      <c r="U785" s="273"/>
      <c r="V785" s="273"/>
      <c r="W785" s="273"/>
      <c r="X785" s="273"/>
      <c r="Y785" s="274" t="n">
        <f aca="false">SUM(B785:X785)</f>
        <v>-14043.978</v>
      </c>
      <c r="Z785" s="272"/>
      <c r="AA785" s="275"/>
    </row>
    <row r="786" customFormat="false" ht="14.25" hidden="false" customHeight="false" outlineLevel="0" collapsed="false">
      <c r="A786" s="272" t="s">
        <v>963</v>
      </c>
      <c r="B786" s="273"/>
      <c r="C786" s="273"/>
      <c r="D786" s="273"/>
      <c r="E786" s="273"/>
      <c r="F786" s="273" t="n">
        <v>-65223.2</v>
      </c>
      <c r="G786" s="273"/>
      <c r="H786" s="273"/>
      <c r="I786" s="273"/>
      <c r="J786" s="273"/>
      <c r="K786" s="273"/>
      <c r="L786" s="273"/>
      <c r="M786" s="273"/>
      <c r="N786" s="273"/>
      <c r="O786" s="273"/>
      <c r="P786" s="273"/>
      <c r="Q786" s="273"/>
      <c r="R786" s="273"/>
      <c r="S786" s="273"/>
      <c r="T786" s="273"/>
      <c r="U786" s="273"/>
      <c r="V786" s="273"/>
      <c r="W786" s="273"/>
      <c r="X786" s="273"/>
      <c r="Y786" s="274" t="n">
        <f aca="false">SUM(B786:X786)</f>
        <v>-65223.2</v>
      </c>
      <c r="Z786" s="272"/>
      <c r="AA786" s="275"/>
    </row>
    <row r="787" customFormat="false" ht="14.25" hidden="false" customHeight="false" outlineLevel="0" collapsed="false">
      <c r="A787" s="272" t="s">
        <v>964</v>
      </c>
      <c r="B787" s="273"/>
      <c r="C787" s="273"/>
      <c r="D787" s="273"/>
      <c r="E787" s="273"/>
      <c r="F787" s="273" t="n">
        <v>-150013.36</v>
      </c>
      <c r="G787" s="273"/>
      <c r="H787" s="273"/>
      <c r="I787" s="273"/>
      <c r="J787" s="273"/>
      <c r="K787" s="273"/>
      <c r="L787" s="273"/>
      <c r="M787" s="273"/>
      <c r="N787" s="273"/>
      <c r="O787" s="273"/>
      <c r="P787" s="273"/>
      <c r="Q787" s="273"/>
      <c r="R787" s="273"/>
      <c r="S787" s="273"/>
      <c r="T787" s="273"/>
      <c r="U787" s="273"/>
      <c r="V787" s="273"/>
      <c r="W787" s="273"/>
      <c r="X787" s="273"/>
      <c r="Y787" s="274" t="n">
        <f aca="false">SUM(B787:X787)</f>
        <v>-150013.36</v>
      </c>
      <c r="Z787" s="272"/>
      <c r="AA787" s="275"/>
    </row>
    <row r="788" customFormat="false" ht="14.25" hidden="false" customHeight="false" outlineLevel="0" collapsed="false">
      <c r="A788" s="272" t="s">
        <v>965</v>
      </c>
      <c r="B788" s="273"/>
      <c r="C788" s="273"/>
      <c r="D788" s="273"/>
      <c r="E788" s="273"/>
      <c r="F788" s="273"/>
      <c r="G788" s="273" t="n">
        <v>-29.106</v>
      </c>
      <c r="H788" s="273"/>
      <c r="I788" s="273"/>
      <c r="J788" s="273"/>
      <c r="K788" s="273"/>
      <c r="L788" s="273"/>
      <c r="M788" s="273"/>
      <c r="N788" s="273"/>
      <c r="O788" s="273"/>
      <c r="P788" s="273"/>
      <c r="Q788" s="273"/>
      <c r="R788" s="273"/>
      <c r="S788" s="273"/>
      <c r="T788" s="273"/>
      <c r="U788" s="273"/>
      <c r="V788" s="273"/>
      <c r="W788" s="273"/>
      <c r="X788" s="273"/>
      <c r="Y788" s="274" t="n">
        <f aca="false">SUM(B788:X788)</f>
        <v>-29.106</v>
      </c>
      <c r="Z788" s="272"/>
      <c r="AA788" s="275"/>
    </row>
    <row r="789" customFormat="false" ht="14.25" hidden="false" customHeight="false" outlineLevel="0" collapsed="false">
      <c r="A789" s="272" t="s">
        <v>385</v>
      </c>
      <c r="B789" s="273" t="n">
        <v>-2898.414</v>
      </c>
      <c r="C789" s="273"/>
      <c r="D789" s="273"/>
      <c r="E789" s="273"/>
      <c r="F789" s="273" t="n">
        <v>-425.661</v>
      </c>
      <c r="G789" s="273"/>
      <c r="H789" s="273"/>
      <c r="I789" s="273"/>
      <c r="J789" s="273"/>
      <c r="K789" s="273"/>
      <c r="L789" s="273"/>
      <c r="M789" s="273"/>
      <c r="N789" s="273"/>
      <c r="O789" s="273"/>
      <c r="P789" s="273"/>
      <c r="Q789" s="273"/>
      <c r="R789" s="273"/>
      <c r="S789" s="273"/>
      <c r="T789" s="273"/>
      <c r="U789" s="273"/>
      <c r="V789" s="273"/>
      <c r="W789" s="273"/>
      <c r="X789" s="273"/>
      <c r="Y789" s="274" t="n">
        <f aca="false">SUM(B789:X789)</f>
        <v>-3324.075</v>
      </c>
      <c r="Z789" s="272"/>
      <c r="AA789" s="275"/>
    </row>
    <row r="790" customFormat="false" ht="14.25" hidden="false" customHeight="false" outlineLevel="0" collapsed="false">
      <c r="A790" s="272" t="s">
        <v>966</v>
      </c>
      <c r="B790" s="273" t="n">
        <v>-1260.18</v>
      </c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3"/>
      <c r="P790" s="273"/>
      <c r="Q790" s="273"/>
      <c r="R790" s="273"/>
      <c r="S790" s="273"/>
      <c r="T790" s="273"/>
      <c r="U790" s="273"/>
      <c r="V790" s="273"/>
      <c r="W790" s="273"/>
      <c r="X790" s="273"/>
      <c r="Y790" s="274" t="n">
        <f aca="false">SUM(B790:X790)</f>
        <v>-1260.18</v>
      </c>
      <c r="Z790" s="272"/>
      <c r="AA790" s="275"/>
    </row>
    <row r="791" customFormat="false" ht="14.25" hidden="false" customHeight="false" outlineLevel="0" collapsed="false">
      <c r="A791" s="272" t="s">
        <v>967</v>
      </c>
      <c r="B791" s="273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 t="n">
        <v>-3082.62</v>
      </c>
      <c r="O791" s="273"/>
      <c r="P791" s="273"/>
      <c r="Q791" s="273"/>
      <c r="R791" s="273"/>
      <c r="S791" s="273"/>
      <c r="T791" s="273"/>
      <c r="U791" s="273"/>
      <c r="V791" s="273"/>
      <c r="W791" s="273"/>
      <c r="X791" s="273"/>
      <c r="Y791" s="274" t="n">
        <f aca="false">SUM(B791:X791)</f>
        <v>-3082.62</v>
      </c>
      <c r="Z791" s="272"/>
      <c r="AA791" s="275"/>
    </row>
    <row r="792" customFormat="false" ht="14.25" hidden="false" customHeight="false" outlineLevel="0" collapsed="false">
      <c r="A792" s="272" t="s">
        <v>721</v>
      </c>
      <c r="B792" s="273"/>
      <c r="C792" s="273"/>
      <c r="D792" s="273"/>
      <c r="E792" s="273" t="n">
        <v>2026.08</v>
      </c>
      <c r="F792" s="273"/>
      <c r="G792" s="273"/>
      <c r="H792" s="273"/>
      <c r="I792" s="273"/>
      <c r="J792" s="273"/>
      <c r="K792" s="273"/>
      <c r="L792" s="273"/>
      <c r="M792" s="273"/>
      <c r="N792" s="273"/>
      <c r="O792" s="273"/>
      <c r="P792" s="273"/>
      <c r="Q792" s="273"/>
      <c r="R792" s="273"/>
      <c r="S792" s="273"/>
      <c r="T792" s="273"/>
      <c r="U792" s="273"/>
      <c r="V792" s="273"/>
      <c r="W792" s="273"/>
      <c r="X792" s="273"/>
      <c r="Y792" s="274" t="n">
        <f aca="false">SUM(B792:X792)</f>
        <v>2026.08</v>
      </c>
      <c r="Z792" s="272"/>
      <c r="AA792" s="275"/>
    </row>
    <row r="793" customFormat="false" ht="14.25" hidden="false" customHeight="false" outlineLevel="0" collapsed="false">
      <c r="A793" s="272" t="s">
        <v>968</v>
      </c>
      <c r="B793" s="273"/>
      <c r="C793" s="273"/>
      <c r="D793" s="273"/>
      <c r="E793" s="273" t="n">
        <v>582.498</v>
      </c>
      <c r="F793" s="273"/>
      <c r="G793" s="273"/>
      <c r="H793" s="273"/>
      <c r="I793" s="273"/>
      <c r="J793" s="273"/>
      <c r="K793" s="273"/>
      <c r="L793" s="273"/>
      <c r="M793" s="273"/>
      <c r="N793" s="273" t="n">
        <v>-490.578</v>
      </c>
      <c r="O793" s="273"/>
      <c r="P793" s="273"/>
      <c r="Q793" s="273"/>
      <c r="R793" s="273"/>
      <c r="S793" s="273"/>
      <c r="T793" s="273"/>
      <c r="U793" s="273"/>
      <c r="V793" s="273"/>
      <c r="W793" s="273"/>
      <c r="X793" s="273"/>
      <c r="Y793" s="274" t="n">
        <f aca="false">SUM(B793:X793)</f>
        <v>91.9200000000001</v>
      </c>
      <c r="Z793" s="272"/>
      <c r="AA793" s="275"/>
    </row>
    <row r="794" customFormat="false" ht="14.25" hidden="false" customHeight="false" outlineLevel="0" collapsed="false">
      <c r="A794" s="272" t="s">
        <v>878</v>
      </c>
      <c r="B794" s="273" t="n">
        <v>-1899.52</v>
      </c>
      <c r="C794" s="273"/>
      <c r="D794" s="273"/>
      <c r="E794" s="273" t="n">
        <v>1646.19</v>
      </c>
      <c r="F794" s="273"/>
      <c r="G794" s="273"/>
      <c r="H794" s="273"/>
      <c r="I794" s="273"/>
      <c r="J794" s="273"/>
      <c r="K794" s="273"/>
      <c r="L794" s="273"/>
      <c r="M794" s="273"/>
      <c r="N794" s="273"/>
      <c r="O794" s="273"/>
      <c r="P794" s="273"/>
      <c r="Q794" s="273"/>
      <c r="R794" s="273"/>
      <c r="S794" s="273"/>
      <c r="T794" s="273"/>
      <c r="U794" s="273"/>
      <c r="V794" s="273"/>
      <c r="W794" s="273"/>
      <c r="X794" s="273"/>
      <c r="Y794" s="274" t="n">
        <f aca="false">SUM(B794:X794)</f>
        <v>-253.33</v>
      </c>
      <c r="Z794" s="272"/>
      <c r="AA794" s="275"/>
    </row>
    <row r="795" customFormat="false" ht="14.25" hidden="false" customHeight="false" outlineLevel="0" collapsed="false">
      <c r="A795" s="272" t="s">
        <v>969</v>
      </c>
      <c r="B795" s="273"/>
      <c r="C795" s="273"/>
      <c r="D795" s="273" t="n">
        <v>-83.4685</v>
      </c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3"/>
      <c r="P795" s="273"/>
      <c r="Q795" s="273"/>
      <c r="R795" s="273"/>
      <c r="S795" s="273"/>
      <c r="T795" s="273"/>
      <c r="U795" s="273"/>
      <c r="V795" s="273"/>
      <c r="W795" s="273"/>
      <c r="X795" s="273"/>
      <c r="Y795" s="274" t="n">
        <f aca="false">SUM(B795:X795)</f>
        <v>-83.4685</v>
      </c>
      <c r="Z795" s="272"/>
      <c r="AA795" s="275"/>
    </row>
    <row r="796" customFormat="false" ht="14.25" hidden="false" customHeight="false" outlineLevel="0" collapsed="false">
      <c r="A796" s="272" t="s">
        <v>970</v>
      </c>
      <c r="B796" s="273" t="n">
        <v>-3492.744</v>
      </c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3"/>
      <c r="P796" s="273"/>
      <c r="Q796" s="273"/>
      <c r="R796" s="273"/>
      <c r="S796" s="273"/>
      <c r="T796" s="273"/>
      <c r="U796" s="273"/>
      <c r="V796" s="273"/>
      <c r="W796" s="273"/>
      <c r="X796" s="273"/>
      <c r="Y796" s="274" t="n">
        <f aca="false">SUM(B796:X796)</f>
        <v>-3492.744</v>
      </c>
      <c r="Z796" s="272"/>
      <c r="AA796" s="275"/>
    </row>
    <row r="797" customFormat="false" ht="14.25" hidden="false" customHeight="false" outlineLevel="0" collapsed="false">
      <c r="A797" s="272" t="s">
        <v>971</v>
      </c>
      <c r="B797" s="273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 t="n">
        <v>-153.939</v>
      </c>
      <c r="M797" s="273"/>
      <c r="N797" s="273"/>
      <c r="O797" s="273"/>
      <c r="P797" s="273"/>
      <c r="Q797" s="273"/>
      <c r="R797" s="273"/>
      <c r="S797" s="273"/>
      <c r="T797" s="273"/>
      <c r="U797" s="273"/>
      <c r="V797" s="273"/>
      <c r="W797" s="273"/>
      <c r="X797" s="273"/>
      <c r="Y797" s="274" t="n">
        <f aca="false">SUM(B797:X797)</f>
        <v>-153.939</v>
      </c>
      <c r="Z797" s="272"/>
      <c r="AA797" s="275"/>
    </row>
    <row r="798" customFormat="false" ht="14.25" hidden="false" customHeight="false" outlineLevel="0" collapsed="false">
      <c r="A798" s="272" t="s">
        <v>972</v>
      </c>
      <c r="B798" s="273"/>
      <c r="C798" s="273"/>
      <c r="D798" s="273"/>
      <c r="E798" s="273"/>
      <c r="F798" s="273" t="n">
        <v>901.935</v>
      </c>
      <c r="G798" s="273"/>
      <c r="H798" s="273"/>
      <c r="I798" s="273"/>
      <c r="J798" s="273"/>
      <c r="K798" s="273"/>
      <c r="L798" s="273"/>
      <c r="M798" s="273"/>
      <c r="N798" s="273"/>
      <c r="O798" s="273"/>
      <c r="P798" s="273"/>
      <c r="Q798" s="273"/>
      <c r="R798" s="273"/>
      <c r="S798" s="273"/>
      <c r="T798" s="273"/>
      <c r="U798" s="273"/>
      <c r="V798" s="273"/>
      <c r="W798" s="273"/>
      <c r="X798" s="273"/>
      <c r="Y798" s="274" t="n">
        <f aca="false">SUM(B798:X798)</f>
        <v>901.935</v>
      </c>
      <c r="Z798" s="272"/>
      <c r="AA798" s="275"/>
    </row>
    <row r="799" customFormat="false" ht="14.25" hidden="false" customHeight="false" outlineLevel="0" collapsed="false">
      <c r="A799" s="272" t="s">
        <v>973</v>
      </c>
      <c r="B799" s="273" t="n">
        <v>-840.12</v>
      </c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3"/>
      <c r="P799" s="273"/>
      <c r="Q799" s="273"/>
      <c r="R799" s="273"/>
      <c r="S799" s="273"/>
      <c r="T799" s="273"/>
      <c r="U799" s="273"/>
      <c r="V799" s="273"/>
      <c r="W799" s="273"/>
      <c r="X799" s="273"/>
      <c r="Y799" s="274" t="n">
        <f aca="false">SUM(B799:X799)</f>
        <v>-840.12</v>
      </c>
      <c r="Z799" s="272"/>
      <c r="AA799" s="275"/>
    </row>
    <row r="800" customFormat="false" ht="14.25" hidden="false" customHeight="false" outlineLevel="0" collapsed="false">
      <c r="A800" s="272" t="s">
        <v>974</v>
      </c>
      <c r="B800" s="273"/>
      <c r="C800" s="273"/>
      <c r="D800" s="273"/>
      <c r="E800" s="273" t="n">
        <v>430.542</v>
      </c>
      <c r="F800" s="273"/>
      <c r="G800" s="273"/>
      <c r="H800" s="273"/>
      <c r="I800" s="273"/>
      <c r="J800" s="273"/>
      <c r="K800" s="273"/>
      <c r="L800" s="273"/>
      <c r="M800" s="273"/>
      <c r="N800" s="273"/>
      <c r="O800" s="273"/>
      <c r="P800" s="273"/>
      <c r="Q800" s="273"/>
      <c r="R800" s="273"/>
      <c r="S800" s="273"/>
      <c r="T800" s="273"/>
      <c r="U800" s="273"/>
      <c r="V800" s="273"/>
      <c r="W800" s="273"/>
      <c r="X800" s="273"/>
      <c r="Y800" s="274" t="n">
        <f aca="false">SUM(B800:X800)</f>
        <v>430.542</v>
      </c>
      <c r="Z800" s="272"/>
      <c r="AA800" s="275"/>
    </row>
    <row r="801" customFormat="false" ht="14.25" hidden="false" customHeight="false" outlineLevel="0" collapsed="false">
      <c r="A801" s="272" t="s">
        <v>975</v>
      </c>
      <c r="B801" s="273"/>
      <c r="C801" s="273"/>
      <c r="D801" s="273"/>
      <c r="E801" s="273"/>
      <c r="F801" s="273" t="n">
        <v>1061.1</v>
      </c>
      <c r="G801" s="273"/>
      <c r="H801" s="273"/>
      <c r="I801" s="273"/>
      <c r="J801" s="273"/>
      <c r="K801" s="273"/>
      <c r="L801" s="273"/>
      <c r="M801" s="273"/>
      <c r="N801" s="273"/>
      <c r="O801" s="273"/>
      <c r="P801" s="273"/>
      <c r="Q801" s="273"/>
      <c r="R801" s="273"/>
      <c r="S801" s="273"/>
      <c r="T801" s="273"/>
      <c r="U801" s="273"/>
      <c r="V801" s="273"/>
      <c r="W801" s="273"/>
      <c r="X801" s="273"/>
      <c r="Y801" s="274" t="n">
        <f aca="false">SUM(B801:X801)</f>
        <v>1061.1</v>
      </c>
      <c r="Z801" s="272"/>
      <c r="AA801" s="275"/>
    </row>
    <row r="802" customFormat="false" ht="14.25" hidden="false" customHeight="false" outlineLevel="0" collapsed="false">
      <c r="A802" s="272" t="s">
        <v>976</v>
      </c>
      <c r="B802" s="273" t="n">
        <v>-36120.843</v>
      </c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3"/>
      <c r="P802" s="273"/>
      <c r="Q802" s="273"/>
      <c r="R802" s="273"/>
      <c r="S802" s="273"/>
      <c r="T802" s="273"/>
      <c r="U802" s="273"/>
      <c r="V802" s="273"/>
      <c r="W802" s="273"/>
      <c r="X802" s="273"/>
      <c r="Y802" s="274" t="n">
        <f aca="false">SUM(B802:X802)</f>
        <v>-36120.843</v>
      </c>
      <c r="Z802" s="272"/>
      <c r="AA802" s="275"/>
    </row>
    <row r="803" customFormat="false" ht="14.25" hidden="false" customHeight="false" outlineLevel="0" collapsed="false">
      <c r="A803" s="272" t="s">
        <v>572</v>
      </c>
      <c r="B803" s="273"/>
      <c r="C803" s="273"/>
      <c r="D803" s="273"/>
      <c r="E803" s="273" t="n">
        <v>633.15</v>
      </c>
      <c r="F803" s="273" t="n">
        <v>-1579.14</v>
      </c>
      <c r="G803" s="273" t="n">
        <v>91.908</v>
      </c>
      <c r="H803" s="273"/>
      <c r="I803" s="273"/>
      <c r="J803" s="273"/>
      <c r="K803" s="273"/>
      <c r="L803" s="273"/>
      <c r="M803" s="273"/>
      <c r="N803" s="273" t="n">
        <v>-7706.55</v>
      </c>
      <c r="O803" s="273"/>
      <c r="P803" s="273"/>
      <c r="Q803" s="273"/>
      <c r="R803" s="273"/>
      <c r="S803" s="273"/>
      <c r="T803" s="273"/>
      <c r="U803" s="273"/>
      <c r="V803" s="273"/>
      <c r="W803" s="273"/>
      <c r="X803" s="273"/>
      <c r="Y803" s="274" t="n">
        <f aca="false">SUM(B803:X803)</f>
        <v>-8560.632</v>
      </c>
      <c r="Z803" s="272"/>
      <c r="AA803" s="275"/>
    </row>
    <row r="804" customFormat="false" ht="14.25" hidden="false" customHeight="false" outlineLevel="0" collapsed="false">
      <c r="A804" s="272" t="s">
        <v>921</v>
      </c>
      <c r="B804" s="273"/>
      <c r="C804" s="273"/>
      <c r="D804" s="273"/>
      <c r="E804" s="273" t="n">
        <v>1252.65</v>
      </c>
      <c r="F804" s="273"/>
      <c r="G804" s="273"/>
      <c r="H804" s="273"/>
      <c r="I804" s="273"/>
      <c r="J804" s="273"/>
      <c r="K804" s="273"/>
      <c r="L804" s="273"/>
      <c r="M804" s="273"/>
      <c r="N804" s="273"/>
      <c r="O804" s="273"/>
      <c r="P804" s="273"/>
      <c r="Q804" s="273"/>
      <c r="R804" s="273"/>
      <c r="S804" s="273"/>
      <c r="T804" s="273"/>
      <c r="U804" s="273"/>
      <c r="V804" s="273"/>
      <c r="W804" s="273"/>
      <c r="X804" s="273"/>
      <c r="Y804" s="274" t="n">
        <f aca="false">SUM(B804:X804)</f>
        <v>1252.65</v>
      </c>
      <c r="Z804" s="272"/>
      <c r="AA804" s="275"/>
    </row>
    <row r="805" customFormat="false" ht="14.25" hidden="false" customHeight="false" outlineLevel="0" collapsed="false">
      <c r="A805" s="272" t="s">
        <v>879</v>
      </c>
      <c r="B805" s="273"/>
      <c r="C805" s="273"/>
      <c r="D805" s="273"/>
      <c r="E805" s="273" t="n">
        <v>325.689</v>
      </c>
      <c r="F805" s="273"/>
      <c r="G805" s="273"/>
      <c r="H805" s="273"/>
      <c r="I805" s="273"/>
      <c r="J805" s="273"/>
      <c r="K805" s="273"/>
      <c r="L805" s="273"/>
      <c r="M805" s="273"/>
      <c r="N805" s="273"/>
      <c r="O805" s="273"/>
      <c r="P805" s="273"/>
      <c r="Q805" s="273"/>
      <c r="R805" s="273"/>
      <c r="S805" s="273"/>
      <c r="T805" s="273"/>
      <c r="U805" s="273"/>
      <c r="V805" s="273"/>
      <c r="W805" s="273"/>
      <c r="X805" s="273"/>
      <c r="Y805" s="274" t="n">
        <f aca="false">SUM(B805:X805)</f>
        <v>325.689</v>
      </c>
      <c r="Z805" s="272"/>
      <c r="AA805" s="275"/>
    </row>
    <row r="806" customFormat="false" ht="14.25" hidden="false" customHeight="false" outlineLevel="0" collapsed="false">
      <c r="A806" s="272" t="s">
        <v>889</v>
      </c>
      <c r="B806" s="273"/>
      <c r="C806" s="273"/>
      <c r="D806" s="273"/>
      <c r="E806" s="273" t="n">
        <v>501.06</v>
      </c>
      <c r="F806" s="273"/>
      <c r="G806" s="273"/>
      <c r="H806" s="273"/>
      <c r="I806" s="273"/>
      <c r="J806" s="273"/>
      <c r="K806" s="273"/>
      <c r="L806" s="273"/>
      <c r="M806" s="273"/>
      <c r="N806" s="273"/>
      <c r="O806" s="273"/>
      <c r="P806" s="273"/>
      <c r="Q806" s="273"/>
      <c r="R806" s="273"/>
      <c r="S806" s="273"/>
      <c r="T806" s="273"/>
      <c r="U806" s="273"/>
      <c r="V806" s="273"/>
      <c r="W806" s="273"/>
      <c r="X806" s="273"/>
      <c r="Y806" s="274" t="n">
        <f aca="false">SUM(B806:X806)</f>
        <v>501.06</v>
      </c>
      <c r="Z806" s="272"/>
      <c r="AA806" s="275"/>
    </row>
    <row r="807" customFormat="false" ht="14.25" hidden="false" customHeight="false" outlineLevel="0" collapsed="false">
      <c r="A807" s="272" t="s">
        <v>894</v>
      </c>
      <c r="B807" s="273"/>
      <c r="C807" s="273"/>
      <c r="D807" s="273"/>
      <c r="E807" s="273" t="n">
        <v>5010.6</v>
      </c>
      <c r="F807" s="273"/>
      <c r="G807" s="273"/>
      <c r="H807" s="273"/>
      <c r="I807" s="273"/>
      <c r="J807" s="273"/>
      <c r="K807" s="273"/>
      <c r="L807" s="273"/>
      <c r="M807" s="273"/>
      <c r="N807" s="273"/>
      <c r="O807" s="273"/>
      <c r="P807" s="273"/>
      <c r="Q807" s="273"/>
      <c r="R807" s="273"/>
      <c r="S807" s="273"/>
      <c r="T807" s="273"/>
      <c r="U807" s="273"/>
      <c r="V807" s="273"/>
      <c r="W807" s="273"/>
      <c r="X807" s="273"/>
      <c r="Y807" s="274" t="n">
        <f aca="false">SUM(B807:X807)</f>
        <v>5010.6</v>
      </c>
      <c r="Z807" s="272"/>
      <c r="AA807" s="275"/>
    </row>
    <row r="808" customFormat="false" ht="14.25" hidden="false" customHeight="false" outlineLevel="0" collapsed="false">
      <c r="A808" s="272" t="s">
        <v>904</v>
      </c>
      <c r="B808" s="273"/>
      <c r="C808" s="273"/>
      <c r="D808" s="273" t="n">
        <v>-360.4935</v>
      </c>
      <c r="E808" s="273"/>
      <c r="F808" s="273"/>
      <c r="G808" s="273"/>
      <c r="H808" s="273"/>
      <c r="I808" s="273"/>
      <c r="J808" s="273"/>
      <c r="K808" s="273"/>
      <c r="L808" s="273"/>
      <c r="M808" s="273"/>
      <c r="N808" s="273" t="n">
        <v>-30826.2</v>
      </c>
      <c r="O808" s="273"/>
      <c r="P808" s="273"/>
      <c r="Q808" s="273"/>
      <c r="R808" s="273"/>
      <c r="S808" s="273"/>
      <c r="T808" s="273"/>
      <c r="U808" s="273"/>
      <c r="V808" s="273"/>
      <c r="W808" s="273"/>
      <c r="X808" s="273"/>
      <c r="Y808" s="274" t="n">
        <f aca="false">SUM(B808:X808)</f>
        <v>-31186.6935</v>
      </c>
      <c r="Z808" s="272"/>
      <c r="AA808" s="275"/>
    </row>
    <row r="809" customFormat="false" ht="14.25" hidden="false" customHeight="false" outlineLevel="0" collapsed="false">
      <c r="A809" s="272" t="s">
        <v>977</v>
      </c>
      <c r="B809" s="273"/>
      <c r="C809" s="273"/>
      <c r="D809" s="273"/>
      <c r="E809" s="273" t="n">
        <v>44.664</v>
      </c>
      <c r="F809" s="273"/>
      <c r="G809" s="273"/>
      <c r="H809" s="273"/>
      <c r="I809" s="273"/>
      <c r="J809" s="273"/>
      <c r="K809" s="273"/>
      <c r="L809" s="273"/>
      <c r="M809" s="273"/>
      <c r="N809" s="273"/>
      <c r="O809" s="273"/>
      <c r="P809" s="273"/>
      <c r="Q809" s="273"/>
      <c r="R809" s="273"/>
      <c r="S809" s="273"/>
      <c r="T809" s="273"/>
      <c r="U809" s="273"/>
      <c r="V809" s="273"/>
      <c r="W809" s="273"/>
      <c r="X809" s="273"/>
      <c r="Y809" s="274" t="n">
        <f aca="false">SUM(B809:X809)</f>
        <v>44.664</v>
      </c>
      <c r="Z809" s="272"/>
      <c r="AA809" s="275"/>
    </row>
    <row r="810" customFormat="false" ht="14.25" hidden="false" customHeight="false" outlineLevel="0" collapsed="false">
      <c r="A810" s="272" t="s">
        <v>978</v>
      </c>
      <c r="B810" s="273"/>
      <c r="C810" s="273"/>
      <c r="D810" s="273"/>
      <c r="E810" s="273"/>
      <c r="F810" s="273" t="n">
        <v>-1228.236</v>
      </c>
      <c r="G810" s="273"/>
      <c r="H810" s="273"/>
      <c r="I810" s="273"/>
      <c r="J810" s="273"/>
      <c r="K810" s="273"/>
      <c r="L810" s="273"/>
      <c r="M810" s="273"/>
      <c r="N810" s="273"/>
      <c r="O810" s="273"/>
      <c r="P810" s="273"/>
      <c r="Q810" s="273"/>
      <c r="R810" s="273"/>
      <c r="S810" s="273"/>
      <c r="T810" s="273"/>
      <c r="U810" s="273"/>
      <c r="V810" s="273"/>
      <c r="W810" s="273"/>
      <c r="X810" s="273"/>
      <c r="Y810" s="274" t="n">
        <f aca="false">SUM(B810:X810)</f>
        <v>-1228.236</v>
      </c>
      <c r="Z810" s="272"/>
      <c r="AA810" s="275"/>
    </row>
    <row r="811" customFormat="false" ht="14.25" hidden="false" customHeight="false" outlineLevel="0" collapsed="false">
      <c r="A811" s="272" t="s">
        <v>979</v>
      </c>
      <c r="B811" s="273"/>
      <c r="C811" s="273"/>
      <c r="D811" s="273"/>
      <c r="E811" s="273" t="n">
        <v>2423.313</v>
      </c>
      <c r="F811" s="273"/>
      <c r="G811" s="273"/>
      <c r="H811" s="273"/>
      <c r="I811" s="273"/>
      <c r="J811" s="273"/>
      <c r="K811" s="273"/>
      <c r="L811" s="273" t="n">
        <v>-12968.406</v>
      </c>
      <c r="M811" s="273"/>
      <c r="N811" s="273"/>
      <c r="O811" s="273"/>
      <c r="P811" s="273"/>
      <c r="Q811" s="273"/>
      <c r="R811" s="273"/>
      <c r="S811" s="273"/>
      <c r="T811" s="273"/>
      <c r="U811" s="273"/>
      <c r="V811" s="273"/>
      <c r="W811" s="273"/>
      <c r="X811" s="273"/>
      <c r="Y811" s="274" t="n">
        <f aca="false">SUM(B811:X811)</f>
        <v>-10545.093</v>
      </c>
      <c r="Z811" s="272"/>
      <c r="AA811" s="275"/>
    </row>
    <row r="812" customFormat="false" ht="14.25" hidden="false" customHeight="false" outlineLevel="0" collapsed="false">
      <c r="A812" s="272" t="s">
        <v>845</v>
      </c>
      <c r="B812" s="273"/>
      <c r="C812" s="273"/>
      <c r="D812" s="273"/>
      <c r="E812" s="273" t="n">
        <v>2255.823</v>
      </c>
      <c r="F812" s="273"/>
      <c r="G812" s="273"/>
      <c r="H812" s="273"/>
      <c r="I812" s="273"/>
      <c r="J812" s="273"/>
      <c r="K812" s="273"/>
      <c r="L812" s="273"/>
      <c r="M812" s="273"/>
      <c r="N812" s="273"/>
      <c r="O812" s="273"/>
      <c r="P812" s="273"/>
      <c r="Q812" s="273"/>
      <c r="R812" s="273"/>
      <c r="S812" s="273"/>
      <c r="T812" s="273"/>
      <c r="U812" s="273"/>
      <c r="V812" s="273"/>
      <c r="W812" s="273"/>
      <c r="X812" s="273"/>
      <c r="Y812" s="274" t="n">
        <f aca="false">SUM(B812:X812)</f>
        <v>2255.823</v>
      </c>
      <c r="Z812" s="272"/>
      <c r="AA812" s="275"/>
    </row>
    <row r="813" customFormat="false" ht="14.25" hidden="false" customHeight="false" outlineLevel="0" collapsed="false">
      <c r="A813" s="272" t="s">
        <v>980</v>
      </c>
      <c r="B813" s="273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 t="n">
        <v>-69557.814</v>
      </c>
      <c r="M813" s="273"/>
      <c r="N813" s="273"/>
      <c r="O813" s="273"/>
      <c r="P813" s="273"/>
      <c r="Q813" s="273"/>
      <c r="R813" s="273"/>
      <c r="S813" s="273"/>
      <c r="T813" s="273"/>
      <c r="U813" s="273"/>
      <c r="V813" s="273"/>
      <c r="W813" s="273"/>
      <c r="X813" s="273"/>
      <c r="Y813" s="274" t="n">
        <f aca="false">SUM(B813:X813)</f>
        <v>-69557.814</v>
      </c>
      <c r="Z813" s="272"/>
      <c r="AA813" s="275"/>
    </row>
    <row r="814" customFormat="false" ht="14.25" hidden="false" customHeight="false" outlineLevel="0" collapsed="false">
      <c r="A814" s="272" t="s">
        <v>981</v>
      </c>
      <c r="B814" s="273" t="n">
        <v>-69.375</v>
      </c>
      <c r="C814" s="273"/>
      <c r="D814" s="273"/>
      <c r="E814" s="273"/>
      <c r="F814" s="273"/>
      <c r="G814" s="273"/>
      <c r="H814" s="273"/>
      <c r="I814" s="273"/>
      <c r="J814" s="273" t="n">
        <v>-4673.484</v>
      </c>
      <c r="K814" s="273"/>
      <c r="L814" s="273"/>
      <c r="M814" s="273"/>
      <c r="N814" s="273"/>
      <c r="O814" s="273"/>
      <c r="P814" s="273"/>
      <c r="Q814" s="273"/>
      <c r="R814" s="273"/>
      <c r="S814" s="273"/>
      <c r="T814" s="273"/>
      <c r="U814" s="273"/>
      <c r="V814" s="273"/>
      <c r="W814" s="273"/>
      <c r="X814" s="273"/>
      <c r="Y814" s="274" t="n">
        <f aca="false">SUM(B814:X814)</f>
        <v>-4742.859</v>
      </c>
      <c r="Z814" s="272"/>
      <c r="AA814" s="275"/>
    </row>
    <row r="815" customFormat="false" ht="14.25" hidden="false" customHeight="false" outlineLevel="0" collapsed="false">
      <c r="A815" s="272" t="s">
        <v>982</v>
      </c>
      <c r="B815" s="273" t="n">
        <v>-2984.1</v>
      </c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3"/>
      <c r="P815" s="273"/>
      <c r="Q815" s="273"/>
      <c r="R815" s="273"/>
      <c r="S815" s="273"/>
      <c r="T815" s="273"/>
      <c r="U815" s="273"/>
      <c r="V815" s="273"/>
      <c r="W815" s="273"/>
      <c r="X815" s="273"/>
      <c r="Y815" s="274" t="n">
        <f aca="false">SUM(B815:X815)</f>
        <v>-2984.1</v>
      </c>
      <c r="Z815" s="272"/>
      <c r="AA815" s="275"/>
    </row>
    <row r="816" customFormat="false" ht="14.25" hidden="false" customHeight="false" outlineLevel="0" collapsed="false">
      <c r="A816" s="272" t="s">
        <v>983</v>
      </c>
      <c r="B816" s="273" t="n">
        <v>-2387.28</v>
      </c>
      <c r="C816" s="273"/>
      <c r="D816" s="273"/>
      <c r="E816" s="273"/>
      <c r="F816" s="273"/>
      <c r="G816" s="273"/>
      <c r="H816" s="273"/>
      <c r="I816" s="273"/>
      <c r="J816" s="273"/>
      <c r="K816" s="273"/>
      <c r="L816" s="273" t="n">
        <v>-982.455</v>
      </c>
      <c r="M816" s="273"/>
      <c r="N816" s="273"/>
      <c r="O816" s="273"/>
      <c r="P816" s="273"/>
      <c r="Q816" s="273"/>
      <c r="R816" s="273"/>
      <c r="S816" s="273"/>
      <c r="T816" s="273"/>
      <c r="U816" s="273"/>
      <c r="V816" s="273"/>
      <c r="W816" s="273"/>
      <c r="X816" s="273"/>
      <c r="Y816" s="274" t="n">
        <f aca="false">SUM(B816:X816)</f>
        <v>-3369.735</v>
      </c>
      <c r="Z816" s="272"/>
      <c r="AA816" s="275"/>
    </row>
    <row r="817" customFormat="false" ht="14.25" hidden="false" customHeight="false" outlineLevel="0" collapsed="false">
      <c r="A817" s="272" t="s">
        <v>984</v>
      </c>
      <c r="B817" s="273" t="n">
        <v>-2387.28</v>
      </c>
      <c r="C817" s="273"/>
      <c r="D817" s="273"/>
      <c r="E817" s="273"/>
      <c r="F817" s="273"/>
      <c r="G817" s="273"/>
      <c r="H817" s="273" t="n">
        <v>339.165</v>
      </c>
      <c r="I817" s="273"/>
      <c r="J817" s="273" t="n">
        <v>-568.565</v>
      </c>
      <c r="K817" s="273"/>
      <c r="L817" s="273"/>
      <c r="M817" s="273"/>
      <c r="N817" s="273" t="n">
        <v>-7706.55</v>
      </c>
      <c r="O817" s="273"/>
      <c r="P817" s="273"/>
      <c r="Q817" s="273"/>
      <c r="R817" s="273"/>
      <c r="S817" s="273"/>
      <c r="T817" s="273"/>
      <c r="U817" s="273"/>
      <c r="V817" s="273"/>
      <c r="W817" s="273"/>
      <c r="X817" s="273"/>
      <c r="Y817" s="274" t="n">
        <f aca="false">SUM(B817:X817)</f>
        <v>-10323.23</v>
      </c>
      <c r="Z817" s="272"/>
      <c r="AA817" s="275"/>
    </row>
    <row r="818" customFormat="false" ht="14.25" hidden="false" customHeight="false" outlineLevel="0" collapsed="false">
      <c r="A818" s="272" t="s">
        <v>985</v>
      </c>
      <c r="B818" s="273" t="n">
        <v>-5968.2</v>
      </c>
      <c r="C818" s="273"/>
      <c r="D818" s="273"/>
      <c r="E818" s="273"/>
      <c r="F818" s="273"/>
      <c r="G818" s="273"/>
      <c r="H818" s="273" t="n">
        <v>339.165</v>
      </c>
      <c r="I818" s="273"/>
      <c r="J818" s="273" t="n">
        <v>-9482.7375</v>
      </c>
      <c r="K818" s="273"/>
      <c r="L818" s="273"/>
      <c r="M818" s="273"/>
      <c r="N818" s="273" t="n">
        <v>-15413.1</v>
      </c>
      <c r="O818" s="273"/>
      <c r="P818" s="273"/>
      <c r="Q818" s="273"/>
      <c r="R818" s="273"/>
      <c r="S818" s="273"/>
      <c r="T818" s="273"/>
      <c r="U818" s="273"/>
      <c r="V818" s="273"/>
      <c r="W818" s="273"/>
      <c r="X818" s="273"/>
      <c r="Y818" s="274" t="n">
        <f aca="false">SUM(B818:X818)</f>
        <v>-30524.8725</v>
      </c>
      <c r="Z818" s="272"/>
      <c r="AA818" s="275"/>
    </row>
    <row r="819" customFormat="false" ht="14.25" hidden="false" customHeight="false" outlineLevel="0" collapsed="false">
      <c r="A819" s="272" t="s">
        <v>986</v>
      </c>
      <c r="B819" s="273"/>
      <c r="C819" s="273"/>
      <c r="D819" s="273"/>
      <c r="E819" s="273"/>
      <c r="F819" s="273"/>
      <c r="G819" s="273" t="n">
        <v>-67.268</v>
      </c>
      <c r="H819" s="273"/>
      <c r="I819" s="273"/>
      <c r="J819" s="273"/>
      <c r="K819" s="273"/>
      <c r="L819" s="273"/>
      <c r="M819" s="273"/>
      <c r="N819" s="273"/>
      <c r="O819" s="273"/>
      <c r="P819" s="273"/>
      <c r="Q819" s="273"/>
      <c r="R819" s="273"/>
      <c r="S819" s="273"/>
      <c r="T819" s="273"/>
      <c r="U819" s="273"/>
      <c r="V819" s="273"/>
      <c r="W819" s="273"/>
      <c r="X819" s="273"/>
      <c r="Y819" s="274" t="n">
        <f aca="false">SUM(B819:X819)</f>
        <v>-67.268</v>
      </c>
      <c r="Z819" s="272"/>
      <c r="AA819" s="275"/>
    </row>
    <row r="820" customFormat="false" ht="14.25" hidden="false" customHeight="false" outlineLevel="0" collapsed="false">
      <c r="A820" s="272" t="s">
        <v>987</v>
      </c>
      <c r="B820" s="273"/>
      <c r="C820" s="273"/>
      <c r="D820" s="273"/>
      <c r="E820" s="273"/>
      <c r="F820" s="273" t="n">
        <v>-1500.183</v>
      </c>
      <c r="G820" s="273" t="n">
        <v>-118.188</v>
      </c>
      <c r="H820" s="273"/>
      <c r="I820" s="273"/>
      <c r="J820" s="273"/>
      <c r="K820" s="273"/>
      <c r="L820" s="273"/>
      <c r="M820" s="273"/>
      <c r="N820" s="273"/>
      <c r="O820" s="273"/>
      <c r="P820" s="273"/>
      <c r="Q820" s="273"/>
      <c r="R820" s="273"/>
      <c r="S820" s="273"/>
      <c r="T820" s="273"/>
      <c r="U820" s="273"/>
      <c r="V820" s="273"/>
      <c r="W820" s="273"/>
      <c r="X820" s="273"/>
      <c r="Y820" s="274" t="n">
        <f aca="false">SUM(B820:X820)</f>
        <v>-1618.371</v>
      </c>
      <c r="Z820" s="272"/>
      <c r="AA820" s="275"/>
    </row>
    <row r="821" customFormat="false" ht="14.25" hidden="false" customHeight="false" outlineLevel="0" collapsed="false">
      <c r="A821" s="272" t="s">
        <v>988</v>
      </c>
      <c r="B821" s="273"/>
      <c r="C821" s="273"/>
      <c r="D821" s="273"/>
      <c r="E821" s="273"/>
      <c r="F821" s="273" t="n">
        <v>-5136.327</v>
      </c>
      <c r="G821" s="273"/>
      <c r="H821" s="273"/>
      <c r="I821" s="273"/>
      <c r="J821" s="273"/>
      <c r="K821" s="273"/>
      <c r="L821" s="273"/>
      <c r="M821" s="273"/>
      <c r="N821" s="273"/>
      <c r="O821" s="273"/>
      <c r="P821" s="273"/>
      <c r="Q821" s="273"/>
      <c r="R821" s="273"/>
      <c r="S821" s="273"/>
      <c r="T821" s="273"/>
      <c r="U821" s="273"/>
      <c r="V821" s="273"/>
      <c r="W821" s="273"/>
      <c r="X821" s="273"/>
      <c r="Y821" s="274" t="n">
        <f aca="false">SUM(B821:X821)</f>
        <v>-5136.327</v>
      </c>
      <c r="Z821" s="272"/>
      <c r="AA821" s="275"/>
    </row>
    <row r="822" customFormat="false" ht="14.25" hidden="false" customHeight="false" outlineLevel="0" collapsed="false">
      <c r="A822" s="272" t="s">
        <v>960</v>
      </c>
      <c r="B822" s="273"/>
      <c r="C822" s="273"/>
      <c r="D822" s="273"/>
      <c r="E822" s="273" t="n">
        <v>639.711</v>
      </c>
      <c r="F822" s="273"/>
      <c r="G822" s="273"/>
      <c r="H822" s="273"/>
      <c r="I822" s="273"/>
      <c r="J822" s="273"/>
      <c r="K822" s="273"/>
      <c r="L822" s="273"/>
      <c r="M822" s="273"/>
      <c r="N822" s="273" t="n">
        <v>-1783.92</v>
      </c>
      <c r="O822" s="273"/>
      <c r="P822" s="273"/>
      <c r="Q822" s="273"/>
      <c r="R822" s="273"/>
      <c r="S822" s="273"/>
      <c r="T822" s="273"/>
      <c r="U822" s="273"/>
      <c r="V822" s="273"/>
      <c r="W822" s="273"/>
      <c r="X822" s="273"/>
      <c r="Y822" s="274" t="n">
        <f aca="false">SUM(B822:X822)</f>
        <v>-1144.209</v>
      </c>
      <c r="Z822" s="272"/>
      <c r="AA822" s="275"/>
    </row>
    <row r="823" customFormat="false" ht="14.25" hidden="false" customHeight="false" outlineLevel="0" collapsed="false">
      <c r="A823" s="272" t="s">
        <v>445</v>
      </c>
      <c r="B823" s="273"/>
      <c r="C823" s="273"/>
      <c r="D823" s="273"/>
      <c r="E823" s="273" t="n">
        <v>1761.2365</v>
      </c>
      <c r="F823" s="273"/>
      <c r="G823" s="273"/>
      <c r="H823" s="273"/>
      <c r="I823" s="273"/>
      <c r="J823" s="273"/>
      <c r="K823" s="273"/>
      <c r="L823" s="273"/>
      <c r="M823" s="273"/>
      <c r="N823" s="273"/>
      <c r="O823" s="273"/>
      <c r="P823" s="273"/>
      <c r="Q823" s="273"/>
      <c r="R823" s="273"/>
      <c r="S823" s="273"/>
      <c r="T823" s="273"/>
      <c r="U823" s="273"/>
      <c r="V823" s="273"/>
      <c r="W823" s="273"/>
      <c r="X823" s="273"/>
      <c r="Y823" s="274" t="n">
        <f aca="false">SUM(B823:X823)</f>
        <v>1761.2365</v>
      </c>
      <c r="Z823" s="272"/>
      <c r="AA823" s="275"/>
    </row>
    <row r="824" customFormat="false" ht="14.25" hidden="false" customHeight="false" outlineLevel="0" collapsed="false">
      <c r="A824" s="272" t="s">
        <v>989</v>
      </c>
      <c r="B824" s="273"/>
      <c r="C824" s="273"/>
      <c r="D824" s="273"/>
      <c r="E824" s="273" t="n">
        <v>3545.64</v>
      </c>
      <c r="F824" s="273"/>
      <c r="G824" s="273"/>
      <c r="H824" s="273"/>
      <c r="I824" s="273" t="n">
        <v>806.247</v>
      </c>
      <c r="J824" s="273"/>
      <c r="K824" s="273"/>
      <c r="L824" s="273"/>
      <c r="M824" s="273"/>
      <c r="N824" s="273"/>
      <c r="O824" s="273"/>
      <c r="P824" s="273"/>
      <c r="Q824" s="273"/>
      <c r="R824" s="273"/>
      <c r="S824" s="273"/>
      <c r="T824" s="273"/>
      <c r="U824" s="273"/>
      <c r="V824" s="273"/>
      <c r="W824" s="273"/>
      <c r="X824" s="273"/>
      <c r="Y824" s="274" t="n">
        <f aca="false">SUM(B824:X824)</f>
        <v>4351.887</v>
      </c>
      <c r="Z824" s="272"/>
      <c r="AA824" s="275"/>
    </row>
    <row r="825" customFormat="false" ht="14.25" hidden="false" customHeight="false" outlineLevel="0" collapsed="false">
      <c r="A825" s="272" t="s">
        <v>990</v>
      </c>
      <c r="B825" s="273"/>
      <c r="C825" s="273"/>
      <c r="D825" s="273"/>
      <c r="E825" s="273" t="n">
        <v>589.2075</v>
      </c>
      <c r="F825" s="273"/>
      <c r="G825" s="273"/>
      <c r="H825" s="273"/>
      <c r="I825" s="273"/>
      <c r="J825" s="273"/>
      <c r="K825" s="273"/>
      <c r="L825" s="273"/>
      <c r="M825" s="273"/>
      <c r="N825" s="273" t="n">
        <v>-15413.1</v>
      </c>
      <c r="O825" s="273"/>
      <c r="P825" s="273"/>
      <c r="Q825" s="273"/>
      <c r="R825" s="273"/>
      <c r="S825" s="273"/>
      <c r="T825" s="273"/>
      <c r="U825" s="273"/>
      <c r="V825" s="273"/>
      <c r="W825" s="273"/>
      <c r="X825" s="273"/>
      <c r="Y825" s="274" t="n">
        <f aca="false">SUM(B825:X825)</f>
        <v>-14823.8925</v>
      </c>
      <c r="Z825" s="272"/>
      <c r="AA825" s="275"/>
    </row>
    <row r="826" customFormat="false" ht="14.25" hidden="false" customHeight="false" outlineLevel="0" collapsed="false">
      <c r="A826" s="272" t="s">
        <v>991</v>
      </c>
      <c r="B826" s="273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 t="n">
        <v>-308.262</v>
      </c>
      <c r="O826" s="273"/>
      <c r="P826" s="273"/>
      <c r="Q826" s="273"/>
      <c r="R826" s="273"/>
      <c r="S826" s="273"/>
      <c r="T826" s="273"/>
      <c r="U826" s="273"/>
      <c r="V826" s="273"/>
      <c r="W826" s="273"/>
      <c r="X826" s="273"/>
      <c r="Y826" s="274" t="n">
        <f aca="false">SUM(B826:X826)</f>
        <v>-308.262</v>
      </c>
      <c r="Z826" s="272"/>
      <c r="AA826" s="275"/>
    </row>
    <row r="827" customFormat="false" ht="14.25" hidden="false" customHeight="false" outlineLevel="0" collapsed="false">
      <c r="A827" s="272" t="s">
        <v>992</v>
      </c>
      <c r="B827" s="273"/>
      <c r="C827" s="273"/>
      <c r="D827" s="273"/>
      <c r="E827" s="273" t="n">
        <v>572.373</v>
      </c>
      <c r="F827" s="273"/>
      <c r="G827" s="273"/>
      <c r="H827" s="273"/>
      <c r="I827" s="273"/>
      <c r="J827" s="273"/>
      <c r="K827" s="273"/>
      <c r="L827" s="273"/>
      <c r="M827" s="273"/>
      <c r="N827" s="273"/>
      <c r="O827" s="273"/>
      <c r="P827" s="273" t="n">
        <v>-382.326</v>
      </c>
      <c r="Q827" s="273"/>
      <c r="R827" s="273"/>
      <c r="S827" s="273"/>
      <c r="T827" s="273"/>
      <c r="U827" s="273"/>
      <c r="V827" s="273"/>
      <c r="W827" s="273"/>
      <c r="X827" s="273"/>
      <c r="Y827" s="274" t="n">
        <f aca="false">SUM(B827:X827)</f>
        <v>190.047</v>
      </c>
      <c r="Z827" s="272"/>
      <c r="AA827" s="275"/>
    </row>
    <row r="828" customFormat="false" ht="14.25" hidden="false" customHeight="false" outlineLevel="0" collapsed="false">
      <c r="A828" s="272" t="s">
        <v>993</v>
      </c>
      <c r="B828" s="273" t="n">
        <v>-2984.1</v>
      </c>
      <c r="C828" s="273"/>
      <c r="D828" s="273"/>
      <c r="E828" s="273"/>
      <c r="F828" s="273" t="n">
        <v>-925.35</v>
      </c>
      <c r="G828" s="273"/>
      <c r="H828" s="273"/>
      <c r="I828" s="273" t="n">
        <v>413.46</v>
      </c>
      <c r="J828" s="273"/>
      <c r="K828" s="273"/>
      <c r="L828" s="273"/>
      <c r="M828" s="273"/>
      <c r="N828" s="273"/>
      <c r="O828" s="273"/>
      <c r="P828" s="273"/>
      <c r="Q828" s="273"/>
      <c r="R828" s="273"/>
      <c r="S828" s="273"/>
      <c r="T828" s="273"/>
      <c r="U828" s="273"/>
      <c r="V828" s="273"/>
      <c r="W828" s="273"/>
      <c r="X828" s="273"/>
      <c r="Y828" s="274" t="n">
        <f aca="false">SUM(B828:X828)</f>
        <v>-3495.99</v>
      </c>
      <c r="Z828" s="272"/>
      <c r="AA828" s="275"/>
    </row>
    <row r="829" customFormat="false" ht="14.25" hidden="false" customHeight="false" outlineLevel="0" collapsed="false">
      <c r="A829" s="272" t="s">
        <v>994</v>
      </c>
      <c r="B829" s="273"/>
      <c r="C829" s="273"/>
      <c r="D829" s="273"/>
      <c r="E829" s="273"/>
      <c r="F829" s="273" t="n">
        <v>1777.3425</v>
      </c>
      <c r="G829" s="273"/>
      <c r="H829" s="273" t="n">
        <v>184.9875</v>
      </c>
      <c r="I829" s="273"/>
      <c r="J829" s="273"/>
      <c r="K829" s="273"/>
      <c r="L829" s="273"/>
      <c r="M829" s="273"/>
      <c r="N829" s="273"/>
      <c r="O829" s="273"/>
      <c r="P829" s="273"/>
      <c r="Q829" s="273"/>
      <c r="R829" s="273"/>
      <c r="S829" s="273"/>
      <c r="T829" s="273"/>
      <c r="U829" s="273"/>
      <c r="V829" s="273"/>
      <c r="W829" s="273"/>
      <c r="X829" s="273"/>
      <c r="Y829" s="274" t="n">
        <f aca="false">SUM(B829:X829)</f>
        <v>1962.33</v>
      </c>
      <c r="Z829" s="272"/>
      <c r="AA829" s="275"/>
    </row>
    <row r="830" customFormat="false" ht="14.25" hidden="false" customHeight="false" outlineLevel="0" collapsed="false">
      <c r="A830" s="272" t="s">
        <v>995</v>
      </c>
      <c r="B830" s="273" t="n">
        <v>-153693</v>
      </c>
      <c r="C830" s="273"/>
      <c r="D830" s="273"/>
      <c r="E830" s="273"/>
      <c r="F830" s="273" t="n">
        <v>60634</v>
      </c>
      <c r="G830" s="273"/>
      <c r="H830" s="273"/>
      <c r="I830" s="273"/>
      <c r="J830" s="273"/>
      <c r="K830" s="273"/>
      <c r="L830" s="273"/>
      <c r="M830" s="273"/>
      <c r="N830" s="273"/>
      <c r="O830" s="273"/>
      <c r="P830" s="273"/>
      <c r="Q830" s="273"/>
      <c r="R830" s="273"/>
      <c r="S830" s="273"/>
      <c r="T830" s="273"/>
      <c r="U830" s="273"/>
      <c r="V830" s="273"/>
      <c r="W830" s="273"/>
      <c r="X830" s="273"/>
      <c r="Y830" s="274" t="n">
        <f aca="false">SUM(B830:X830)</f>
        <v>-93059</v>
      </c>
      <c r="Z830" s="272"/>
      <c r="AA830" s="275"/>
    </row>
    <row r="831" customFormat="false" ht="14.25" hidden="false" customHeight="false" outlineLevel="0" collapsed="false">
      <c r="A831" s="272" t="s">
        <v>996</v>
      </c>
      <c r="B831" s="273" t="n">
        <v>-31577.52</v>
      </c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3"/>
      <c r="P831" s="273"/>
      <c r="Q831" s="273"/>
      <c r="R831" s="273"/>
      <c r="S831" s="273"/>
      <c r="T831" s="273"/>
      <c r="U831" s="273"/>
      <c r="V831" s="273"/>
      <c r="W831" s="273"/>
      <c r="X831" s="273"/>
      <c r="Y831" s="274" t="n">
        <f aca="false">SUM(B831:X831)</f>
        <v>-31577.52</v>
      </c>
      <c r="Z831" s="272"/>
      <c r="AA831" s="275"/>
    </row>
    <row r="832" customFormat="false" ht="14.25" hidden="false" customHeight="false" outlineLevel="0" collapsed="false">
      <c r="A832" s="272" t="s">
        <v>997</v>
      </c>
      <c r="B832" s="273" t="n">
        <v>-1085.49</v>
      </c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3"/>
      <c r="P832" s="273"/>
      <c r="Q832" s="273"/>
      <c r="R832" s="273"/>
      <c r="S832" s="273"/>
      <c r="T832" s="273"/>
      <c r="U832" s="273"/>
      <c r="V832" s="273"/>
      <c r="W832" s="273"/>
      <c r="X832" s="273"/>
      <c r="Y832" s="274" t="n">
        <f aca="false">SUM(B832:X832)</f>
        <v>-1085.49</v>
      </c>
      <c r="Z832" s="272"/>
      <c r="AA832" s="275"/>
    </row>
    <row r="833" customFormat="false" ht="14.25" hidden="false" customHeight="false" outlineLevel="0" collapsed="false">
      <c r="A833" s="272" t="s">
        <v>998</v>
      </c>
      <c r="B833" s="273"/>
      <c r="C833" s="273"/>
      <c r="D833" s="273"/>
      <c r="E833" s="273"/>
      <c r="F833" s="273" t="n">
        <v>16156.2475</v>
      </c>
      <c r="G833" s="273"/>
      <c r="H833" s="273"/>
      <c r="I833" s="273"/>
      <c r="J833" s="273"/>
      <c r="K833" s="273"/>
      <c r="L833" s="273"/>
      <c r="M833" s="273"/>
      <c r="N833" s="273"/>
      <c r="O833" s="273"/>
      <c r="P833" s="273"/>
      <c r="Q833" s="273"/>
      <c r="R833" s="273"/>
      <c r="S833" s="273"/>
      <c r="T833" s="273"/>
      <c r="U833" s="273"/>
      <c r="V833" s="273"/>
      <c r="W833" s="273"/>
      <c r="X833" s="273"/>
      <c r="Y833" s="274" t="n">
        <f aca="false">SUM(B833:X833)</f>
        <v>16156.2475</v>
      </c>
      <c r="Z833" s="272"/>
      <c r="AA833" s="275"/>
    </row>
    <row r="834" customFormat="false" ht="14.25" hidden="false" customHeight="false" outlineLevel="0" collapsed="false">
      <c r="A834" s="272" t="s">
        <v>915</v>
      </c>
      <c r="B834" s="273"/>
      <c r="C834" s="273"/>
      <c r="D834" s="273"/>
      <c r="E834" s="273" t="n">
        <v>673.38</v>
      </c>
      <c r="F834" s="273"/>
      <c r="G834" s="273"/>
      <c r="H834" s="273"/>
      <c r="I834" s="273"/>
      <c r="J834" s="273"/>
      <c r="K834" s="273"/>
      <c r="L834" s="273"/>
      <c r="M834" s="273"/>
      <c r="N834" s="273"/>
      <c r="O834" s="273"/>
      <c r="P834" s="273"/>
      <c r="Q834" s="273"/>
      <c r="R834" s="273"/>
      <c r="S834" s="273"/>
      <c r="T834" s="273"/>
      <c r="U834" s="273"/>
      <c r="V834" s="273"/>
      <c r="W834" s="273"/>
      <c r="X834" s="273"/>
      <c r="Y834" s="274" t="n">
        <f aca="false">SUM(B834:X834)</f>
        <v>673.38</v>
      </c>
      <c r="Z834" s="272"/>
      <c r="AA834" s="275"/>
    </row>
    <row r="835" customFormat="false" ht="14.25" hidden="false" customHeight="false" outlineLevel="0" collapsed="false">
      <c r="A835" s="272" t="s">
        <v>999</v>
      </c>
      <c r="B835" s="273"/>
      <c r="C835" s="273"/>
      <c r="D835" s="273"/>
      <c r="E835" s="273"/>
      <c r="F835" s="273" t="n">
        <v>1777.3425</v>
      </c>
      <c r="G835" s="273"/>
      <c r="H835" s="273"/>
      <c r="I835" s="273"/>
      <c r="J835" s="273"/>
      <c r="K835" s="273"/>
      <c r="L835" s="273"/>
      <c r="M835" s="273"/>
      <c r="N835" s="273"/>
      <c r="O835" s="273"/>
      <c r="P835" s="273"/>
      <c r="Q835" s="273"/>
      <c r="R835" s="273"/>
      <c r="S835" s="273"/>
      <c r="T835" s="273"/>
      <c r="U835" s="273"/>
      <c r="V835" s="273"/>
      <c r="W835" s="273"/>
      <c r="X835" s="273"/>
      <c r="Y835" s="274" t="n">
        <f aca="false">SUM(B835:X835)</f>
        <v>1777.3425</v>
      </c>
      <c r="Z835" s="272"/>
      <c r="AA835" s="275"/>
    </row>
    <row r="836" customFormat="false" ht="14.25" hidden="false" customHeight="false" outlineLevel="0" collapsed="false">
      <c r="A836" s="272" t="s">
        <v>530</v>
      </c>
      <c r="B836" s="273" t="n">
        <v>-1611.414</v>
      </c>
      <c r="C836" s="273"/>
      <c r="D836" s="273"/>
      <c r="E836" s="273" t="n">
        <v>454.5315</v>
      </c>
      <c r="F836" s="273" t="n">
        <v>-370.14</v>
      </c>
      <c r="G836" s="273"/>
      <c r="H836" s="273"/>
      <c r="I836" s="273"/>
      <c r="J836" s="273"/>
      <c r="K836" s="273"/>
      <c r="L836" s="273"/>
      <c r="M836" s="273"/>
      <c r="N836" s="273" t="n">
        <v>-3082.62</v>
      </c>
      <c r="O836" s="273"/>
      <c r="P836" s="273"/>
      <c r="Q836" s="273"/>
      <c r="R836" s="273"/>
      <c r="S836" s="273"/>
      <c r="T836" s="273"/>
      <c r="U836" s="273"/>
      <c r="V836" s="273"/>
      <c r="W836" s="273"/>
      <c r="X836" s="273"/>
      <c r="Y836" s="274" t="n">
        <f aca="false">SUM(B836:X836)</f>
        <v>-4609.6425</v>
      </c>
      <c r="Z836" s="272"/>
      <c r="AA836" s="275"/>
    </row>
    <row r="837" customFormat="false" ht="14.25" hidden="false" customHeight="false" outlineLevel="0" collapsed="false">
      <c r="A837" s="272" t="s">
        <v>1000</v>
      </c>
      <c r="B837" s="273"/>
      <c r="C837" s="273"/>
      <c r="D837" s="273"/>
      <c r="E837" s="273" t="n">
        <v>-954.21</v>
      </c>
      <c r="F837" s="273" t="n">
        <v>-2146.812</v>
      </c>
      <c r="G837" s="273"/>
      <c r="H837" s="273"/>
      <c r="I837" s="273"/>
      <c r="J837" s="273" t="n">
        <v>-13834.5825</v>
      </c>
      <c r="K837" s="273"/>
      <c r="L837" s="273"/>
      <c r="M837" s="273"/>
      <c r="N837" s="273"/>
      <c r="O837" s="273"/>
      <c r="P837" s="273"/>
      <c r="Q837" s="273"/>
      <c r="R837" s="273"/>
      <c r="S837" s="273"/>
      <c r="T837" s="273"/>
      <c r="U837" s="273"/>
      <c r="V837" s="273"/>
      <c r="W837" s="273"/>
      <c r="X837" s="273"/>
      <c r="Y837" s="274" t="n">
        <f aca="false">SUM(B837:X837)</f>
        <v>-16935.6045</v>
      </c>
      <c r="Z837" s="272"/>
      <c r="AA837" s="275"/>
    </row>
    <row r="838" customFormat="false" ht="14.25" hidden="false" customHeight="false" outlineLevel="0" collapsed="false">
      <c r="A838" s="272" t="s">
        <v>1001</v>
      </c>
      <c r="B838" s="273"/>
      <c r="C838" s="273"/>
      <c r="D838" s="273"/>
      <c r="E838" s="273"/>
      <c r="F838" s="273" t="n">
        <v>-3372.363</v>
      </c>
      <c r="G838" s="273"/>
      <c r="H838" s="273"/>
      <c r="I838" s="273"/>
      <c r="J838" s="273"/>
      <c r="K838" s="273"/>
      <c r="L838" s="273"/>
      <c r="M838" s="273"/>
      <c r="N838" s="273"/>
      <c r="O838" s="273"/>
      <c r="P838" s="273"/>
      <c r="Q838" s="273"/>
      <c r="R838" s="273"/>
      <c r="S838" s="273"/>
      <c r="T838" s="273"/>
      <c r="U838" s="273"/>
      <c r="V838" s="273"/>
      <c r="W838" s="273"/>
      <c r="X838" s="273"/>
      <c r="Y838" s="274" t="n">
        <f aca="false">SUM(B838:X838)</f>
        <v>-3372.363</v>
      </c>
      <c r="Z838" s="272"/>
      <c r="AA838" s="275"/>
    </row>
    <row r="839" customFormat="false" ht="14.25" hidden="false" customHeight="false" outlineLevel="0" collapsed="false">
      <c r="A839" s="272" t="s">
        <v>1002</v>
      </c>
      <c r="B839" s="273"/>
      <c r="C839" s="273"/>
      <c r="D839" s="273"/>
      <c r="E839" s="273"/>
      <c r="F839" s="273" t="n">
        <v>-14193.831</v>
      </c>
      <c r="G839" s="273"/>
      <c r="H839" s="273"/>
      <c r="I839" s="273"/>
      <c r="J839" s="273"/>
      <c r="K839" s="273"/>
      <c r="L839" s="273"/>
      <c r="M839" s="273"/>
      <c r="N839" s="273"/>
      <c r="O839" s="273"/>
      <c r="P839" s="273"/>
      <c r="Q839" s="273"/>
      <c r="R839" s="273"/>
      <c r="S839" s="273"/>
      <c r="T839" s="273"/>
      <c r="U839" s="273"/>
      <c r="V839" s="273"/>
      <c r="W839" s="273"/>
      <c r="X839" s="273"/>
      <c r="Y839" s="274" t="n">
        <f aca="false">SUM(B839:X839)</f>
        <v>-14193.831</v>
      </c>
      <c r="Z839" s="272"/>
      <c r="AA839" s="275"/>
    </row>
    <row r="840" customFormat="false" ht="14.25" hidden="false" customHeight="false" outlineLevel="0" collapsed="false">
      <c r="A840" s="272" t="s">
        <v>1003</v>
      </c>
      <c r="B840" s="273"/>
      <c r="C840" s="273"/>
      <c r="D840" s="273"/>
      <c r="E840" s="273"/>
      <c r="F840" s="273" t="n">
        <v>6700.59</v>
      </c>
      <c r="G840" s="273"/>
      <c r="H840" s="273"/>
      <c r="I840" s="273"/>
      <c r="J840" s="273"/>
      <c r="K840" s="273"/>
      <c r="L840" s="273"/>
      <c r="M840" s="273"/>
      <c r="N840" s="273"/>
      <c r="O840" s="273"/>
      <c r="P840" s="273"/>
      <c r="Q840" s="273"/>
      <c r="R840" s="273"/>
      <c r="S840" s="273"/>
      <c r="T840" s="273"/>
      <c r="U840" s="273"/>
      <c r="V840" s="273"/>
      <c r="W840" s="273"/>
      <c r="X840" s="273"/>
      <c r="Y840" s="274" t="n">
        <f aca="false">SUM(B840:X840)</f>
        <v>6700.59</v>
      </c>
      <c r="Z840" s="272"/>
      <c r="AA840" s="275"/>
    </row>
    <row r="841" customFormat="false" ht="14.25" hidden="false" customHeight="false" outlineLevel="0" collapsed="false">
      <c r="A841" s="272" t="s">
        <v>1004</v>
      </c>
      <c r="B841" s="273"/>
      <c r="C841" s="273"/>
      <c r="D841" s="273"/>
      <c r="E841" s="273"/>
      <c r="F841" s="273" t="n">
        <v>13257.156</v>
      </c>
      <c r="G841" s="273"/>
      <c r="H841" s="273"/>
      <c r="I841" s="273"/>
      <c r="J841" s="273"/>
      <c r="K841" s="273"/>
      <c r="L841" s="273"/>
      <c r="M841" s="273"/>
      <c r="N841" s="273"/>
      <c r="O841" s="273"/>
      <c r="P841" s="273"/>
      <c r="Q841" s="273"/>
      <c r="R841" s="273"/>
      <c r="S841" s="273"/>
      <c r="T841" s="273"/>
      <c r="U841" s="273"/>
      <c r="V841" s="273"/>
      <c r="W841" s="273"/>
      <c r="X841" s="273"/>
      <c r="Y841" s="274" t="n">
        <f aca="false">SUM(B841:X841)</f>
        <v>13257.156</v>
      </c>
      <c r="Z841" s="272"/>
      <c r="AA841" s="275"/>
    </row>
    <row r="842" customFormat="false" ht="14.25" hidden="false" customHeight="false" outlineLevel="0" collapsed="false">
      <c r="A842" s="272" t="s">
        <v>1005</v>
      </c>
      <c r="B842" s="273" t="n">
        <v>-222.042</v>
      </c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3"/>
      <c r="P842" s="273"/>
      <c r="Q842" s="273"/>
      <c r="R842" s="273"/>
      <c r="S842" s="273"/>
      <c r="T842" s="273"/>
      <c r="U842" s="273"/>
      <c r="V842" s="273"/>
      <c r="W842" s="273"/>
      <c r="X842" s="273"/>
      <c r="Y842" s="274" t="n">
        <f aca="false">SUM(B842:X842)</f>
        <v>-222.042</v>
      </c>
      <c r="Z842" s="272"/>
      <c r="AA842" s="275"/>
    </row>
    <row r="843" customFormat="false" ht="14.25" hidden="false" customHeight="false" outlineLevel="0" collapsed="false">
      <c r="A843" s="272" t="s">
        <v>735</v>
      </c>
      <c r="B843" s="273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 t="n">
        <v>-8793.9005</v>
      </c>
      <c r="O843" s="273"/>
      <c r="P843" s="273"/>
      <c r="Q843" s="273"/>
      <c r="R843" s="273"/>
      <c r="S843" s="273"/>
      <c r="T843" s="273"/>
      <c r="U843" s="273"/>
      <c r="V843" s="273"/>
      <c r="W843" s="273"/>
      <c r="X843" s="273"/>
      <c r="Y843" s="274" t="n">
        <f aca="false">SUM(B843:X843)</f>
        <v>-8793.9005</v>
      </c>
      <c r="Z843" s="272"/>
      <c r="AA843" s="275"/>
    </row>
    <row r="844" customFormat="false" ht="14.25" hidden="false" customHeight="false" outlineLevel="0" collapsed="false">
      <c r="A844" s="272" t="s">
        <v>1006</v>
      </c>
      <c r="B844" s="273"/>
      <c r="C844" s="273"/>
      <c r="D844" s="273"/>
      <c r="E844" s="273" t="n">
        <v>25719.9555</v>
      </c>
      <c r="F844" s="273"/>
      <c r="G844" s="273"/>
      <c r="H844" s="273"/>
      <c r="I844" s="273"/>
      <c r="J844" s="273" t="n">
        <v>-8105.1</v>
      </c>
      <c r="K844" s="273"/>
      <c r="L844" s="273"/>
      <c r="M844" s="273"/>
      <c r="N844" s="273"/>
      <c r="O844" s="273"/>
      <c r="P844" s="273"/>
      <c r="Q844" s="273"/>
      <c r="R844" s="273"/>
      <c r="S844" s="273"/>
      <c r="T844" s="273"/>
      <c r="U844" s="273"/>
      <c r="V844" s="273"/>
      <c r="W844" s="273"/>
      <c r="X844" s="273"/>
      <c r="Y844" s="274" t="n">
        <f aca="false">SUM(B844:X844)</f>
        <v>17614.8555</v>
      </c>
      <c r="Z844" s="272"/>
      <c r="AA844" s="275"/>
    </row>
    <row r="845" customFormat="false" ht="14.25" hidden="false" customHeight="false" outlineLevel="0" collapsed="false">
      <c r="A845" s="272" t="s">
        <v>845</v>
      </c>
      <c r="B845" s="273"/>
      <c r="C845" s="273"/>
      <c r="D845" s="273"/>
      <c r="E845" s="273"/>
      <c r="F845" s="273"/>
      <c r="G845" s="273"/>
      <c r="H845" s="273"/>
      <c r="I845" s="273"/>
      <c r="J845" s="273" t="n">
        <v>-29795.6625</v>
      </c>
      <c r="K845" s="273"/>
      <c r="L845" s="273"/>
      <c r="M845" s="273"/>
      <c r="N845" s="273"/>
      <c r="O845" s="273"/>
      <c r="P845" s="273"/>
      <c r="Q845" s="273"/>
      <c r="R845" s="273"/>
      <c r="S845" s="273"/>
      <c r="T845" s="273"/>
      <c r="U845" s="273"/>
      <c r="V845" s="273"/>
      <c r="W845" s="273"/>
      <c r="X845" s="273"/>
      <c r="Y845" s="274" t="n">
        <f aca="false">SUM(B845:X845)</f>
        <v>-29795.6625</v>
      </c>
      <c r="Z845" s="272"/>
      <c r="AA845" s="275"/>
    </row>
    <row r="846" customFormat="false" ht="14.25" hidden="false" customHeight="false" outlineLevel="0" collapsed="false">
      <c r="A846" s="272" t="s">
        <v>901</v>
      </c>
      <c r="B846" s="273"/>
      <c r="C846" s="273"/>
      <c r="D846" s="273"/>
      <c r="E846" s="273"/>
      <c r="F846" s="273"/>
      <c r="G846" s="273"/>
      <c r="H846" s="273"/>
      <c r="I846" s="273"/>
      <c r="J846" s="273" t="n">
        <v>-65905.149</v>
      </c>
      <c r="K846" s="273"/>
      <c r="L846" s="273"/>
      <c r="M846" s="273"/>
      <c r="N846" s="273"/>
      <c r="O846" s="273"/>
      <c r="P846" s="273"/>
      <c r="Q846" s="273"/>
      <c r="R846" s="273"/>
      <c r="S846" s="273"/>
      <c r="T846" s="273"/>
      <c r="U846" s="273"/>
      <c r="V846" s="273"/>
      <c r="W846" s="273"/>
      <c r="X846" s="273"/>
      <c r="Y846" s="274" t="n">
        <f aca="false">SUM(B846:X846)</f>
        <v>-65905.149</v>
      </c>
      <c r="Z846" s="272"/>
      <c r="AA846" s="275"/>
    </row>
    <row r="847" customFormat="false" ht="14.25" hidden="false" customHeight="false" outlineLevel="0" collapsed="false">
      <c r="A847" s="272" t="s">
        <v>955</v>
      </c>
      <c r="B847" s="273"/>
      <c r="C847" s="273"/>
      <c r="D847" s="273"/>
      <c r="E847" s="273" t="n">
        <v>1127.92</v>
      </c>
      <c r="F847" s="273"/>
      <c r="G847" s="273"/>
      <c r="H847" s="273"/>
      <c r="I847" s="273"/>
      <c r="J847" s="273" t="n">
        <v>-79521.717</v>
      </c>
      <c r="K847" s="273"/>
      <c r="L847" s="273" t="n">
        <v>-12381.6</v>
      </c>
      <c r="M847" s="273"/>
      <c r="N847" s="273"/>
      <c r="O847" s="273"/>
      <c r="P847" s="273"/>
      <c r="Q847" s="273"/>
      <c r="R847" s="273"/>
      <c r="S847" s="273"/>
      <c r="T847" s="273"/>
      <c r="U847" s="273"/>
      <c r="V847" s="273"/>
      <c r="W847" s="273"/>
      <c r="X847" s="273"/>
      <c r="Y847" s="274" t="n">
        <f aca="false">SUM(B847:X847)</f>
        <v>-90775.397</v>
      </c>
      <c r="Z847" s="272"/>
      <c r="AA847" s="275"/>
    </row>
    <row r="848" customFormat="false" ht="14.25" hidden="false" customHeight="false" outlineLevel="0" collapsed="false">
      <c r="A848" s="272" t="s">
        <v>1007</v>
      </c>
      <c r="B848" s="273"/>
      <c r="C848" s="273"/>
      <c r="D848" s="273"/>
      <c r="E848" s="273"/>
      <c r="F848" s="273" t="n">
        <v>-123.38</v>
      </c>
      <c r="G848" s="273"/>
      <c r="H848" s="273"/>
      <c r="I848" s="273"/>
      <c r="J848" s="273"/>
      <c r="K848" s="273"/>
      <c r="L848" s="273"/>
      <c r="M848" s="273"/>
      <c r="N848" s="273"/>
      <c r="O848" s="273"/>
      <c r="P848" s="273"/>
      <c r="Q848" s="273"/>
      <c r="R848" s="273"/>
      <c r="S848" s="273"/>
      <c r="T848" s="273"/>
      <c r="U848" s="273"/>
      <c r="V848" s="273"/>
      <c r="W848" s="273"/>
      <c r="X848" s="273"/>
      <c r="Y848" s="274" t="n">
        <f aca="false">SUM(B848:X848)</f>
        <v>-123.38</v>
      </c>
      <c r="Z848" s="272"/>
      <c r="AA848" s="275"/>
    </row>
    <row r="849" customFormat="false" ht="14.25" hidden="false" customHeight="false" outlineLevel="0" collapsed="false">
      <c r="A849" s="272" t="s">
        <v>1008</v>
      </c>
      <c r="B849" s="273" t="n">
        <v>-179.289</v>
      </c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3"/>
      <c r="P849" s="273"/>
      <c r="Q849" s="273"/>
      <c r="R849" s="273"/>
      <c r="S849" s="273"/>
      <c r="T849" s="273"/>
      <c r="U849" s="273"/>
      <c r="V849" s="273"/>
      <c r="W849" s="273"/>
      <c r="X849" s="273"/>
      <c r="Y849" s="274" t="n">
        <f aca="false">SUM(B849:X849)</f>
        <v>-179.289</v>
      </c>
      <c r="Z849" s="272"/>
      <c r="AA849" s="275"/>
    </row>
    <row r="850" customFormat="false" ht="14.25" hidden="false" customHeight="false" outlineLevel="0" collapsed="false">
      <c r="A850" s="272" t="s">
        <v>1009</v>
      </c>
      <c r="B850" s="273"/>
      <c r="C850" s="273" t="n">
        <v>-57.819</v>
      </c>
      <c r="D850" s="273"/>
      <c r="E850" s="273" t="n">
        <v>448.3857</v>
      </c>
      <c r="F850" s="273"/>
      <c r="G850" s="273"/>
      <c r="H850" s="273"/>
      <c r="I850" s="273"/>
      <c r="J850" s="273"/>
      <c r="K850" s="273"/>
      <c r="L850" s="273"/>
      <c r="M850" s="273"/>
      <c r="N850" s="273" t="n">
        <v>-851.199</v>
      </c>
      <c r="O850" s="273"/>
      <c r="P850" s="273"/>
      <c r="Q850" s="273"/>
      <c r="R850" s="273"/>
      <c r="S850" s="273"/>
      <c r="T850" s="273"/>
      <c r="U850" s="273"/>
      <c r="V850" s="273"/>
      <c r="W850" s="273"/>
      <c r="X850" s="273"/>
      <c r="Y850" s="274" t="n">
        <f aca="false">SUM(B850:X850)</f>
        <v>-460.6323</v>
      </c>
      <c r="Z850" s="272"/>
      <c r="AA850" s="275"/>
    </row>
    <row r="851" customFormat="false" ht="14.25" hidden="false" customHeight="false" outlineLevel="0" collapsed="false">
      <c r="A851" s="272" t="s">
        <v>1010</v>
      </c>
      <c r="B851" s="273" t="n">
        <v>-298.41</v>
      </c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3"/>
      <c r="P851" s="273"/>
      <c r="Q851" s="273"/>
      <c r="R851" s="273"/>
      <c r="S851" s="273"/>
      <c r="T851" s="273"/>
      <c r="U851" s="273"/>
      <c r="V851" s="273"/>
      <c r="W851" s="273"/>
      <c r="X851" s="273"/>
      <c r="Y851" s="274" t="n">
        <f aca="false">SUM(B851:X851)</f>
        <v>-298.41</v>
      </c>
      <c r="Z851" s="272"/>
      <c r="AA851" s="275"/>
    </row>
    <row r="852" customFormat="false" ht="14.25" hidden="false" customHeight="false" outlineLevel="0" collapsed="false">
      <c r="A852" s="272" t="s">
        <v>847</v>
      </c>
      <c r="B852" s="273"/>
      <c r="C852" s="273" t="n">
        <v>-10661.781</v>
      </c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3"/>
      <c r="P852" s="273"/>
      <c r="Q852" s="273"/>
      <c r="R852" s="273"/>
      <c r="S852" s="273"/>
      <c r="T852" s="273"/>
      <c r="U852" s="273"/>
      <c r="V852" s="273"/>
      <c r="W852" s="273"/>
      <c r="X852" s="273"/>
      <c r="Y852" s="274" t="n">
        <f aca="false">SUM(B852:X852)</f>
        <v>-10661.781</v>
      </c>
      <c r="Z852" s="272"/>
      <c r="AA852" s="275"/>
    </row>
    <row r="853" customFormat="false" ht="14.25" hidden="false" customHeight="false" outlineLevel="0" collapsed="false">
      <c r="A853" s="272" t="s">
        <v>955</v>
      </c>
      <c r="B853" s="273"/>
      <c r="C853" s="273" t="n">
        <v>-5362.812</v>
      </c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3"/>
      <c r="P853" s="273"/>
      <c r="Q853" s="273"/>
      <c r="R853" s="273"/>
      <c r="S853" s="273"/>
      <c r="T853" s="273"/>
      <c r="U853" s="273"/>
      <c r="V853" s="273"/>
      <c r="W853" s="273"/>
      <c r="X853" s="273"/>
      <c r="Y853" s="274" t="n">
        <f aca="false">SUM(B853:X853)</f>
        <v>-5362.812</v>
      </c>
      <c r="Z853" s="272"/>
      <c r="AA853" s="275"/>
    </row>
    <row r="854" customFormat="false" ht="14.25" hidden="false" customHeight="false" outlineLevel="0" collapsed="false">
      <c r="A854" s="272" t="s">
        <v>1011</v>
      </c>
      <c r="B854" s="273" t="n">
        <v>-1193.64</v>
      </c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3"/>
      <c r="P854" s="273"/>
      <c r="Q854" s="273"/>
      <c r="R854" s="273"/>
      <c r="S854" s="273"/>
      <c r="T854" s="273"/>
      <c r="U854" s="273"/>
      <c r="V854" s="273"/>
      <c r="W854" s="273"/>
      <c r="X854" s="273"/>
      <c r="Y854" s="274" t="n">
        <f aca="false">SUM(B854:X854)</f>
        <v>-1193.64</v>
      </c>
      <c r="Z854" s="272"/>
      <c r="AA854" s="275"/>
    </row>
    <row r="855" customFormat="false" ht="14.25" hidden="false" customHeight="false" outlineLevel="0" collapsed="false">
      <c r="A855" s="272" t="s">
        <v>1012</v>
      </c>
      <c r="B855" s="273"/>
      <c r="C855" s="273" t="n">
        <v>-118053.41</v>
      </c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3"/>
      <c r="P855" s="273"/>
      <c r="Q855" s="273"/>
      <c r="R855" s="273"/>
      <c r="S855" s="273"/>
      <c r="T855" s="273"/>
      <c r="U855" s="273"/>
      <c r="V855" s="273"/>
      <c r="W855" s="273"/>
      <c r="X855" s="273"/>
      <c r="Y855" s="274" t="n">
        <f aca="false">SUM(B855:X855)</f>
        <v>-118053.41</v>
      </c>
      <c r="Z855" s="272"/>
      <c r="AA855" s="275"/>
    </row>
    <row r="856" customFormat="false" ht="14.25" hidden="false" customHeight="false" outlineLevel="0" collapsed="false">
      <c r="A856" s="272" t="s">
        <v>1013</v>
      </c>
      <c r="B856" s="273"/>
      <c r="C856" s="273" t="n">
        <v>-1506.795</v>
      </c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3"/>
      <c r="P856" s="273"/>
      <c r="Q856" s="273"/>
      <c r="R856" s="273"/>
      <c r="S856" s="273"/>
      <c r="T856" s="273"/>
      <c r="U856" s="273"/>
      <c r="V856" s="273"/>
      <c r="W856" s="273"/>
      <c r="X856" s="273"/>
      <c r="Y856" s="274" t="n">
        <f aca="false">SUM(B856:X856)</f>
        <v>-1506.795</v>
      </c>
      <c r="Z856" s="272"/>
      <c r="AA856" s="275"/>
    </row>
    <row r="857" customFormat="false" ht="14.25" hidden="false" customHeight="false" outlineLevel="0" collapsed="false">
      <c r="A857" s="272" t="s">
        <v>1014</v>
      </c>
      <c r="B857" s="273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 t="n">
        <v>-36695.676</v>
      </c>
      <c r="O857" s="273"/>
      <c r="P857" s="273"/>
      <c r="Q857" s="273"/>
      <c r="R857" s="273"/>
      <c r="S857" s="273"/>
      <c r="T857" s="273"/>
      <c r="U857" s="273"/>
      <c r="V857" s="273"/>
      <c r="W857" s="273"/>
      <c r="X857" s="273"/>
      <c r="Y857" s="274" t="n">
        <f aca="false">SUM(B857:X857)</f>
        <v>-36695.676</v>
      </c>
      <c r="Z857" s="272"/>
      <c r="AA857" s="275"/>
    </row>
    <row r="858" customFormat="false" ht="14.25" hidden="false" customHeight="false" outlineLevel="0" collapsed="false">
      <c r="A858" s="272" t="s">
        <v>762</v>
      </c>
      <c r="B858" s="273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 t="n">
        <v>977.865</v>
      </c>
      <c r="M858" s="273"/>
      <c r="N858" s="273" t="n">
        <v>-1806.381</v>
      </c>
      <c r="O858" s="273"/>
      <c r="P858" s="273" t="n">
        <v>-1871.7075</v>
      </c>
      <c r="Q858" s="273"/>
      <c r="R858" s="273"/>
      <c r="S858" s="273"/>
      <c r="T858" s="273"/>
      <c r="U858" s="273"/>
      <c r="V858" s="273"/>
      <c r="W858" s="273"/>
      <c r="X858" s="273"/>
      <c r="Y858" s="274" t="n">
        <f aca="false">SUM(B858:X858)</f>
        <v>-2700.2235</v>
      </c>
      <c r="Z858" s="272"/>
      <c r="AA858" s="275"/>
    </row>
    <row r="859" customFormat="false" ht="14.25" hidden="false" customHeight="false" outlineLevel="0" collapsed="false">
      <c r="A859" s="272" t="s">
        <v>762</v>
      </c>
      <c r="B859" s="273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 t="n">
        <v>291.9</v>
      </c>
      <c r="M859" s="273"/>
      <c r="N859" s="273"/>
      <c r="O859" s="273"/>
      <c r="P859" s="273"/>
      <c r="Q859" s="273"/>
      <c r="R859" s="273"/>
      <c r="S859" s="273"/>
      <c r="T859" s="273"/>
      <c r="U859" s="273"/>
      <c r="V859" s="273"/>
      <c r="W859" s="273"/>
      <c r="X859" s="273"/>
      <c r="Y859" s="274" t="n">
        <f aca="false">SUM(B859:X859)</f>
        <v>291.9</v>
      </c>
      <c r="Z859" s="272"/>
      <c r="AA859" s="275"/>
    </row>
    <row r="860" customFormat="false" ht="14.25" hidden="false" customHeight="false" outlineLevel="0" collapsed="false">
      <c r="A860" s="272" t="s">
        <v>1015</v>
      </c>
      <c r="B860" s="273"/>
      <c r="C860" s="273" t="n">
        <v>-1064.05</v>
      </c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3"/>
      <c r="P860" s="273"/>
      <c r="Q860" s="273"/>
      <c r="R860" s="273"/>
      <c r="S860" s="273"/>
      <c r="T860" s="273"/>
      <c r="U860" s="273"/>
      <c r="V860" s="273"/>
      <c r="W860" s="273"/>
      <c r="X860" s="273"/>
      <c r="Y860" s="274" t="n">
        <f aca="false">SUM(B860:X860)</f>
        <v>-1064.05</v>
      </c>
      <c r="Z860" s="272"/>
      <c r="AA860" s="275"/>
    </row>
    <row r="861" customFormat="false" ht="14.25" hidden="false" customHeight="false" outlineLevel="0" collapsed="false">
      <c r="A861" s="272" t="s">
        <v>1016</v>
      </c>
      <c r="B861" s="273"/>
      <c r="C861" s="273" t="n">
        <v>-1064.05</v>
      </c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3"/>
      <c r="P861" s="273"/>
      <c r="Q861" s="273"/>
      <c r="R861" s="273"/>
      <c r="S861" s="273"/>
      <c r="T861" s="273"/>
      <c r="U861" s="273"/>
      <c r="V861" s="273"/>
      <c r="W861" s="273"/>
      <c r="X861" s="273"/>
      <c r="Y861" s="274" t="n">
        <f aca="false">SUM(B861:X861)</f>
        <v>-1064.05</v>
      </c>
      <c r="Z861" s="272"/>
      <c r="AA861" s="275"/>
    </row>
    <row r="862" customFormat="false" ht="14.25" hidden="false" customHeight="false" outlineLevel="0" collapsed="false">
      <c r="A862" s="272" t="s">
        <v>1017</v>
      </c>
      <c r="B862" s="273"/>
      <c r="C862" s="273" t="n">
        <v>-4256.2</v>
      </c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3"/>
      <c r="P862" s="273"/>
      <c r="Q862" s="273"/>
      <c r="R862" s="273"/>
      <c r="S862" s="273"/>
      <c r="T862" s="273"/>
      <c r="U862" s="273"/>
      <c r="V862" s="273"/>
      <c r="W862" s="273"/>
      <c r="X862" s="273"/>
      <c r="Y862" s="274" t="n">
        <f aca="false">SUM(B862:X862)</f>
        <v>-4256.2</v>
      </c>
      <c r="Z862" s="272"/>
      <c r="AA862" s="275"/>
    </row>
    <row r="863" customFormat="false" ht="14.25" hidden="false" customHeight="false" outlineLevel="0" collapsed="false">
      <c r="A863" s="272" t="s">
        <v>1018</v>
      </c>
      <c r="B863" s="273"/>
      <c r="C863" s="273"/>
      <c r="D863" s="273" t="n">
        <v>-396.45</v>
      </c>
      <c r="E863" s="273" t="n">
        <v>1379.703</v>
      </c>
      <c r="F863" s="273"/>
      <c r="G863" s="273"/>
      <c r="H863" s="273"/>
      <c r="I863" s="273" t="n">
        <v>477.513</v>
      </c>
      <c r="J863" s="273"/>
      <c r="K863" s="273"/>
      <c r="L863" s="273" t="n">
        <v>496.23</v>
      </c>
      <c r="M863" s="273"/>
      <c r="N863" s="273" t="n">
        <v>-2274.702</v>
      </c>
      <c r="O863" s="273"/>
      <c r="P863" s="273" t="n">
        <v>-2356.965</v>
      </c>
      <c r="Q863" s="273"/>
      <c r="R863" s="273"/>
      <c r="S863" s="273"/>
      <c r="T863" s="273"/>
      <c r="U863" s="273"/>
      <c r="V863" s="273"/>
      <c r="W863" s="273"/>
      <c r="X863" s="273"/>
      <c r="Y863" s="274" t="n">
        <f aca="false">SUM(B863:X863)</f>
        <v>-2674.671</v>
      </c>
      <c r="Z863" s="272"/>
      <c r="AA863" s="275"/>
    </row>
    <row r="864" customFormat="false" ht="14.25" hidden="false" customHeight="false" outlineLevel="0" collapsed="false">
      <c r="A864" s="272" t="s">
        <v>863</v>
      </c>
      <c r="B864" s="273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 t="n">
        <v>-469.35</v>
      </c>
      <c r="O864" s="273"/>
      <c r="P864" s="273"/>
      <c r="Q864" s="273"/>
      <c r="R864" s="273"/>
      <c r="S864" s="273"/>
      <c r="T864" s="273"/>
      <c r="U864" s="273"/>
      <c r="V864" s="273"/>
      <c r="W864" s="273"/>
      <c r="X864" s="273"/>
      <c r="Y864" s="274" t="n">
        <f aca="false">SUM(B864:X864)</f>
        <v>-469.35</v>
      </c>
      <c r="Z864" s="272"/>
      <c r="AA864" s="275"/>
    </row>
    <row r="865" customFormat="false" ht="14.25" hidden="false" customHeight="false" outlineLevel="0" collapsed="false">
      <c r="A865" s="272" t="s">
        <v>1019</v>
      </c>
      <c r="B865" s="273"/>
      <c r="C865" s="273" t="n">
        <v>-1064.05</v>
      </c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3"/>
      <c r="P865" s="273"/>
      <c r="Q865" s="273"/>
      <c r="R865" s="273"/>
      <c r="S865" s="273"/>
      <c r="T865" s="273"/>
      <c r="U865" s="273"/>
      <c r="V865" s="273"/>
      <c r="W865" s="273"/>
      <c r="X865" s="273"/>
      <c r="Y865" s="274" t="n">
        <f aca="false">SUM(B865:X865)</f>
        <v>-1064.05</v>
      </c>
      <c r="Z865" s="272"/>
      <c r="AA865" s="275"/>
    </row>
    <row r="866" customFormat="false" ht="14.25" hidden="false" customHeight="false" outlineLevel="0" collapsed="false">
      <c r="A866" s="272" t="s">
        <v>1020</v>
      </c>
      <c r="B866" s="273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 t="n">
        <v>-3096.93</v>
      </c>
      <c r="M866" s="273"/>
      <c r="N866" s="273"/>
      <c r="O866" s="273"/>
      <c r="P866" s="273"/>
      <c r="Q866" s="273"/>
      <c r="R866" s="273"/>
      <c r="S866" s="273"/>
      <c r="T866" s="273"/>
      <c r="U866" s="273"/>
      <c r="V866" s="273"/>
      <c r="W866" s="273"/>
      <c r="X866" s="273"/>
      <c r="Y866" s="274" t="n">
        <f aca="false">SUM(B866:X866)</f>
        <v>-3096.93</v>
      </c>
      <c r="Z866" s="272"/>
      <c r="AA866" s="275"/>
    </row>
    <row r="867" customFormat="false" ht="14.25" hidden="false" customHeight="false" outlineLevel="0" collapsed="false">
      <c r="A867" s="272" t="s">
        <v>955</v>
      </c>
      <c r="B867" s="273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 t="n">
        <v>-9713.496</v>
      </c>
      <c r="M867" s="273"/>
      <c r="N867" s="273"/>
      <c r="O867" s="273"/>
      <c r="P867" s="273"/>
      <c r="Q867" s="273"/>
      <c r="R867" s="273"/>
      <c r="S867" s="273"/>
      <c r="T867" s="273"/>
      <c r="U867" s="273"/>
      <c r="V867" s="273"/>
      <c r="W867" s="273"/>
      <c r="X867" s="273"/>
      <c r="Y867" s="274" t="n">
        <f aca="false">SUM(B867:X867)</f>
        <v>-9713.496</v>
      </c>
      <c r="Z867" s="272"/>
      <c r="AA867" s="275"/>
    </row>
    <row r="868" customFormat="false" ht="14.25" hidden="false" customHeight="false" outlineLevel="0" collapsed="false">
      <c r="A868" s="272" t="s">
        <v>1021</v>
      </c>
      <c r="B868" s="273"/>
      <c r="C868" s="273"/>
      <c r="D868" s="273"/>
      <c r="E868" s="273"/>
      <c r="F868" s="273"/>
      <c r="G868" s="273"/>
      <c r="H868" s="273"/>
      <c r="I868" s="273"/>
      <c r="J868" s="273" t="n">
        <v>-23647.005</v>
      </c>
      <c r="K868" s="273"/>
      <c r="L868" s="273" t="n">
        <v>-5984.0295</v>
      </c>
      <c r="M868" s="273"/>
      <c r="N868" s="273"/>
      <c r="O868" s="273"/>
      <c r="P868" s="273"/>
      <c r="Q868" s="273"/>
      <c r="R868" s="273"/>
      <c r="S868" s="273"/>
      <c r="T868" s="273"/>
      <c r="U868" s="273"/>
      <c r="V868" s="273"/>
      <c r="W868" s="273"/>
      <c r="X868" s="273"/>
      <c r="Y868" s="274" t="n">
        <f aca="false">SUM(B868:X868)</f>
        <v>-29631.0345</v>
      </c>
      <c r="Z868" s="272"/>
      <c r="AA868" s="275"/>
    </row>
    <row r="869" customFormat="false" ht="14.25" hidden="false" customHeight="false" outlineLevel="0" collapsed="false">
      <c r="A869" s="272" t="s">
        <v>1022</v>
      </c>
      <c r="B869" s="273" t="n">
        <v>-8354.208</v>
      </c>
      <c r="C869" s="273" t="n">
        <v>-14120.3016</v>
      </c>
      <c r="D869" s="273"/>
      <c r="E869" s="273" t="n">
        <v>2117.4264</v>
      </c>
      <c r="F869" s="273"/>
      <c r="G869" s="273"/>
      <c r="H869" s="273"/>
      <c r="I869" s="273"/>
      <c r="J869" s="273"/>
      <c r="K869" s="273"/>
      <c r="L869" s="273"/>
      <c r="M869" s="273" t="n">
        <v>-7101.7632</v>
      </c>
      <c r="N869" s="273" t="n">
        <v>-9737.0566</v>
      </c>
      <c r="O869" s="273"/>
      <c r="P869" s="273" t="n">
        <v>-3659.406</v>
      </c>
      <c r="Q869" s="273"/>
      <c r="R869" s="273"/>
      <c r="S869" s="273"/>
      <c r="T869" s="273"/>
      <c r="U869" s="273"/>
      <c r="V869" s="273"/>
      <c r="W869" s="273"/>
      <c r="X869" s="273"/>
      <c r="Y869" s="274" t="n">
        <f aca="false">SUM(B869:X869)</f>
        <v>-40855.309</v>
      </c>
      <c r="Z869" s="272"/>
      <c r="AA869" s="275"/>
    </row>
    <row r="870" customFormat="false" ht="14.25" hidden="false" customHeight="false" outlineLevel="0" collapsed="false">
      <c r="A870" s="272" t="s">
        <v>445</v>
      </c>
      <c r="B870" s="273"/>
      <c r="C870" s="273"/>
      <c r="D870" s="273"/>
      <c r="E870" s="273" t="n">
        <v>6070.245</v>
      </c>
      <c r="F870" s="273"/>
      <c r="G870" s="273"/>
      <c r="H870" s="273"/>
      <c r="I870" s="273"/>
      <c r="J870" s="273"/>
      <c r="K870" s="273"/>
      <c r="L870" s="273"/>
      <c r="M870" s="273"/>
      <c r="N870" s="273"/>
      <c r="O870" s="273"/>
      <c r="P870" s="273"/>
      <c r="Q870" s="273"/>
      <c r="R870" s="273"/>
      <c r="S870" s="273"/>
      <c r="T870" s="273"/>
      <c r="U870" s="273"/>
      <c r="V870" s="273"/>
      <c r="W870" s="273"/>
      <c r="X870" s="273"/>
      <c r="Y870" s="274" t="n">
        <f aca="false">SUM(B870:X870)</f>
        <v>6070.245</v>
      </c>
      <c r="Z870" s="272"/>
      <c r="AA870" s="275"/>
    </row>
    <row r="871" customFormat="false" ht="14.25" hidden="false" customHeight="false" outlineLevel="0" collapsed="false">
      <c r="A871" s="272" t="s">
        <v>1023</v>
      </c>
      <c r="B871" s="273" t="n">
        <v>-3879</v>
      </c>
      <c r="C871" s="273"/>
      <c r="D871" s="273"/>
      <c r="E871" s="273"/>
      <c r="F871" s="273"/>
      <c r="G871" s="273"/>
      <c r="H871" s="273"/>
      <c r="I871" s="273"/>
      <c r="J871" s="273" t="n">
        <v>-56389.87</v>
      </c>
      <c r="K871" s="273"/>
      <c r="L871" s="273"/>
      <c r="M871" s="273"/>
      <c r="N871" s="273"/>
      <c r="O871" s="273"/>
      <c r="P871" s="273"/>
      <c r="Q871" s="273"/>
      <c r="R871" s="273"/>
      <c r="S871" s="273"/>
      <c r="T871" s="273"/>
      <c r="U871" s="273"/>
      <c r="V871" s="273"/>
      <c r="W871" s="273"/>
      <c r="X871" s="273"/>
      <c r="Y871" s="274" t="n">
        <f aca="false">SUM(B871:X871)</f>
        <v>-60268.87</v>
      </c>
      <c r="Z871" s="272"/>
      <c r="AA871" s="275"/>
    </row>
    <row r="872" customFormat="false" ht="14.25" hidden="false" customHeight="false" outlineLevel="0" collapsed="false">
      <c r="A872" s="272" t="s">
        <v>985</v>
      </c>
      <c r="B872" s="273"/>
      <c r="C872" s="273"/>
      <c r="D872" s="273"/>
      <c r="E872" s="273"/>
      <c r="F872" s="273"/>
      <c r="G872" s="273"/>
      <c r="H872" s="273"/>
      <c r="I872" s="273"/>
      <c r="J872" s="273" t="n">
        <v>-8649.9</v>
      </c>
      <c r="K872" s="273"/>
      <c r="L872" s="273" t="n">
        <v>-7742.35</v>
      </c>
      <c r="M872" s="273"/>
      <c r="N872" s="273"/>
      <c r="O872" s="273"/>
      <c r="P872" s="273"/>
      <c r="Q872" s="273"/>
      <c r="R872" s="273"/>
      <c r="S872" s="273"/>
      <c r="T872" s="273"/>
      <c r="U872" s="273"/>
      <c r="V872" s="273"/>
      <c r="W872" s="273"/>
      <c r="X872" s="273"/>
      <c r="Y872" s="274" t="n">
        <f aca="false">SUM(B872:X872)</f>
        <v>-16392.25</v>
      </c>
      <c r="Z872" s="272"/>
      <c r="AA872" s="275"/>
    </row>
    <row r="873" customFormat="false" ht="14.25" hidden="false" customHeight="false" outlineLevel="0" collapsed="false">
      <c r="A873" s="272" t="s">
        <v>1024</v>
      </c>
      <c r="B873" s="273" t="n">
        <v>-7370.1</v>
      </c>
      <c r="C873" s="273"/>
      <c r="D873" s="273"/>
      <c r="E873" s="273"/>
      <c r="F873" s="273"/>
      <c r="G873" s="273"/>
      <c r="H873" s="273"/>
      <c r="I873" s="273"/>
      <c r="J873" s="273" t="n">
        <v>-38900.225</v>
      </c>
      <c r="K873" s="273"/>
      <c r="L873" s="273"/>
      <c r="M873" s="273"/>
      <c r="N873" s="273" t="n">
        <v>-3129</v>
      </c>
      <c r="O873" s="273"/>
      <c r="P873" s="273"/>
      <c r="Q873" s="273"/>
      <c r="R873" s="273"/>
      <c r="S873" s="273"/>
      <c r="T873" s="273"/>
      <c r="U873" s="273"/>
      <c r="V873" s="273"/>
      <c r="W873" s="273"/>
      <c r="X873" s="273"/>
      <c r="Y873" s="274" t="n">
        <f aca="false">SUM(B873:X873)</f>
        <v>-49399.325</v>
      </c>
      <c r="Z873" s="272"/>
      <c r="AA873" s="275"/>
    </row>
    <row r="874" customFormat="false" ht="14.25" hidden="false" customHeight="false" outlineLevel="0" collapsed="false">
      <c r="A874" s="272" t="s">
        <v>1025</v>
      </c>
      <c r="B874" s="273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 t="n">
        <v>-270.45</v>
      </c>
      <c r="N874" s="273"/>
      <c r="O874" s="273" t="n">
        <v>-112.149</v>
      </c>
      <c r="P874" s="273"/>
      <c r="Q874" s="273"/>
      <c r="R874" s="273"/>
      <c r="S874" s="273"/>
      <c r="T874" s="273"/>
      <c r="U874" s="273"/>
      <c r="V874" s="273"/>
      <c r="W874" s="273"/>
      <c r="X874" s="273"/>
      <c r="Y874" s="274" t="n">
        <f aca="false">SUM(B874:X874)</f>
        <v>-382.599</v>
      </c>
      <c r="Z874" s="272"/>
      <c r="AA874" s="275"/>
    </row>
    <row r="875" customFormat="false" ht="14.25" hidden="false" customHeight="false" outlineLevel="0" collapsed="false">
      <c r="A875" s="272" t="s">
        <v>1026</v>
      </c>
      <c r="B875" s="273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 t="n">
        <v>-2473.05</v>
      </c>
      <c r="M875" s="273"/>
      <c r="N875" s="273"/>
      <c r="O875" s="273"/>
      <c r="P875" s="273"/>
      <c r="Q875" s="273"/>
      <c r="R875" s="273"/>
      <c r="S875" s="273"/>
      <c r="T875" s="273"/>
      <c r="U875" s="273"/>
      <c r="V875" s="273"/>
      <c r="W875" s="273"/>
      <c r="X875" s="273"/>
      <c r="Y875" s="274" t="n">
        <f aca="false">SUM(B875:X875)</f>
        <v>-2473.05</v>
      </c>
      <c r="Z875" s="272"/>
      <c r="AA875" s="275"/>
    </row>
    <row r="876" customFormat="false" ht="14.25" hidden="false" customHeight="false" outlineLevel="0" collapsed="false">
      <c r="A876" s="272" t="s">
        <v>1027</v>
      </c>
      <c r="B876" s="273"/>
      <c r="C876" s="273"/>
      <c r="D876" s="273"/>
      <c r="E876" s="273"/>
      <c r="F876" s="273" t="n">
        <v>-236624.4</v>
      </c>
      <c r="G876" s="273"/>
      <c r="H876" s="273"/>
      <c r="I876" s="273"/>
      <c r="J876" s="273"/>
      <c r="K876" s="273"/>
      <c r="L876" s="273"/>
      <c r="M876" s="273"/>
      <c r="N876" s="273"/>
      <c r="O876" s="273"/>
      <c r="P876" s="273"/>
      <c r="Q876" s="273"/>
      <c r="R876" s="273"/>
      <c r="S876" s="273"/>
      <c r="T876" s="273"/>
      <c r="U876" s="273"/>
      <c r="V876" s="273"/>
      <c r="W876" s="273"/>
      <c r="X876" s="273"/>
      <c r="Y876" s="274" t="n">
        <f aca="false">SUM(B876:X876)</f>
        <v>-236624.4</v>
      </c>
      <c r="Z876" s="272"/>
      <c r="AA876" s="275"/>
    </row>
    <row r="877" customFormat="false" ht="14.25" hidden="false" customHeight="false" outlineLevel="0" collapsed="false">
      <c r="A877" s="272" t="s">
        <v>1028</v>
      </c>
      <c r="B877" s="273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3"/>
      <c r="P877" s="273" t="n">
        <v>-1474.686</v>
      </c>
      <c r="Q877" s="273"/>
      <c r="R877" s="273"/>
      <c r="S877" s="273"/>
      <c r="T877" s="273"/>
      <c r="U877" s="273"/>
      <c r="V877" s="273"/>
      <c r="W877" s="273"/>
      <c r="X877" s="273"/>
      <c r="Y877" s="274" t="n">
        <f aca="false">SUM(B877:X877)</f>
        <v>-1474.686</v>
      </c>
      <c r="Z877" s="272"/>
      <c r="AA877" s="275"/>
    </row>
    <row r="878" customFormat="false" ht="14.25" hidden="false" customHeight="false" outlineLevel="0" collapsed="false">
      <c r="A878" s="272" t="s">
        <v>1029</v>
      </c>
      <c r="B878" s="273"/>
      <c r="C878" s="273"/>
      <c r="D878" s="273"/>
      <c r="E878" s="273"/>
      <c r="F878" s="273" t="n">
        <v>-3006.3</v>
      </c>
      <c r="G878" s="273"/>
      <c r="H878" s="273"/>
      <c r="I878" s="273"/>
      <c r="J878" s="273"/>
      <c r="K878" s="273"/>
      <c r="L878" s="273"/>
      <c r="M878" s="273"/>
      <c r="N878" s="273"/>
      <c r="O878" s="273"/>
      <c r="P878" s="273"/>
      <c r="Q878" s="273"/>
      <c r="R878" s="273"/>
      <c r="S878" s="273"/>
      <c r="T878" s="273"/>
      <c r="U878" s="273"/>
      <c r="V878" s="273"/>
      <c r="W878" s="273"/>
      <c r="X878" s="273"/>
      <c r="Y878" s="274" t="n">
        <f aca="false">SUM(B878:X878)</f>
        <v>-3006.3</v>
      </c>
      <c r="Z878" s="272"/>
      <c r="AA878" s="275"/>
    </row>
    <row r="879" customFormat="false" ht="14.25" hidden="false" customHeight="false" outlineLevel="0" collapsed="false">
      <c r="A879" s="272" t="s">
        <v>1030</v>
      </c>
      <c r="B879" s="273" t="n">
        <v>-1551.6</v>
      </c>
      <c r="C879" s="273"/>
      <c r="D879" s="273"/>
      <c r="E879" s="273"/>
      <c r="F879" s="273"/>
      <c r="G879" s="273"/>
      <c r="H879" s="273"/>
      <c r="I879" s="273"/>
      <c r="J879" s="273"/>
      <c r="K879" s="273"/>
      <c r="L879" s="273" t="n">
        <v>-150.3525</v>
      </c>
      <c r="M879" s="273"/>
      <c r="N879" s="273"/>
      <c r="O879" s="273"/>
      <c r="P879" s="273"/>
      <c r="Q879" s="273"/>
      <c r="R879" s="273"/>
      <c r="S879" s="273"/>
      <c r="T879" s="273"/>
      <c r="U879" s="273"/>
      <c r="V879" s="273"/>
      <c r="W879" s="273"/>
      <c r="X879" s="273"/>
      <c r="Y879" s="274" t="n">
        <f aca="false">SUM(B879:X879)</f>
        <v>-1701.9525</v>
      </c>
      <c r="Z879" s="272"/>
      <c r="AA879" s="275"/>
    </row>
    <row r="880" customFormat="false" ht="14.25" hidden="false" customHeight="false" outlineLevel="0" collapsed="false">
      <c r="A880" s="272" t="s">
        <v>1031</v>
      </c>
      <c r="B880" s="273"/>
      <c r="C880" s="273"/>
      <c r="D880" s="273"/>
      <c r="E880" s="273"/>
      <c r="F880" s="273"/>
      <c r="G880" s="273"/>
      <c r="H880" s="273"/>
      <c r="I880" s="273"/>
      <c r="J880" s="273" t="n">
        <v>-22439.1625</v>
      </c>
      <c r="K880" s="273"/>
      <c r="L880" s="273" t="n">
        <v>-601.41</v>
      </c>
      <c r="M880" s="273"/>
      <c r="N880" s="273"/>
      <c r="O880" s="273"/>
      <c r="P880" s="273"/>
      <c r="Q880" s="273"/>
      <c r="R880" s="273"/>
      <c r="S880" s="273"/>
      <c r="T880" s="273"/>
      <c r="U880" s="273"/>
      <c r="V880" s="273"/>
      <c r="W880" s="273"/>
      <c r="X880" s="273"/>
      <c r="Y880" s="274" t="n">
        <f aca="false">SUM(B880:X880)</f>
        <v>-23040.5725</v>
      </c>
      <c r="Z880" s="272"/>
      <c r="AA880" s="276"/>
    </row>
    <row r="881" customFormat="false" ht="14.25" hidden="false" customHeight="false" outlineLevel="0" collapsed="false">
      <c r="A881" s="272" t="s">
        <v>1032</v>
      </c>
      <c r="B881" s="273"/>
      <c r="C881" s="273"/>
      <c r="D881" s="273"/>
      <c r="E881" s="273"/>
      <c r="F881" s="273"/>
      <c r="G881" s="273" t="n">
        <v>-166.428</v>
      </c>
      <c r="H881" s="273"/>
      <c r="I881" s="273"/>
      <c r="J881" s="273"/>
      <c r="K881" s="273"/>
      <c r="L881" s="273"/>
      <c r="M881" s="273"/>
      <c r="N881" s="273"/>
      <c r="O881" s="273"/>
      <c r="P881" s="273"/>
      <c r="Q881" s="273"/>
      <c r="R881" s="273"/>
      <c r="S881" s="273"/>
      <c r="T881" s="273"/>
      <c r="U881" s="273"/>
      <c r="V881" s="273"/>
      <c r="W881" s="273"/>
      <c r="X881" s="273"/>
      <c r="Y881" s="274" t="n">
        <f aca="false">SUM(B881:X881)</f>
        <v>-166.428</v>
      </c>
      <c r="Z881" s="272"/>
      <c r="AA881" s="276"/>
    </row>
    <row r="882" customFormat="false" ht="14.25" hidden="false" customHeight="false" outlineLevel="0" collapsed="false">
      <c r="A882" s="272" t="s">
        <v>960</v>
      </c>
      <c r="B882" s="273"/>
      <c r="C882" s="273" t="n">
        <v>-1647</v>
      </c>
      <c r="D882" s="273"/>
      <c r="E882" s="273"/>
      <c r="F882" s="273"/>
      <c r="G882" s="273"/>
      <c r="H882" s="273"/>
      <c r="I882" s="273"/>
      <c r="J882" s="273" t="n">
        <v>-247.14</v>
      </c>
      <c r="K882" s="273"/>
      <c r="L882" s="273"/>
      <c r="M882" s="273"/>
      <c r="N882" s="273"/>
      <c r="O882" s="273"/>
      <c r="P882" s="273"/>
      <c r="Q882" s="273"/>
      <c r="R882" s="273"/>
      <c r="S882" s="273"/>
      <c r="T882" s="273"/>
      <c r="U882" s="273"/>
      <c r="V882" s="273"/>
      <c r="W882" s="273"/>
      <c r="X882" s="273"/>
      <c r="Y882" s="274" t="n">
        <f aca="false">SUM(B882:X882)</f>
        <v>-1894.14</v>
      </c>
      <c r="Z882" s="272"/>
      <c r="AA882" s="276"/>
    </row>
    <row r="883" customFormat="false" ht="14.25" hidden="false" customHeight="false" outlineLevel="0" collapsed="false">
      <c r="A883" s="272" t="s">
        <v>1033</v>
      </c>
      <c r="B883" s="273"/>
      <c r="C883" s="273"/>
      <c r="D883" s="273" t="n">
        <v>-161.415</v>
      </c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3"/>
      <c r="P883" s="273" t="n">
        <v>-163.854</v>
      </c>
      <c r="Q883" s="273"/>
      <c r="R883" s="273"/>
      <c r="S883" s="273"/>
      <c r="T883" s="273"/>
      <c r="U883" s="273"/>
      <c r="V883" s="273"/>
      <c r="W883" s="273"/>
      <c r="X883" s="273"/>
      <c r="Y883" s="274" t="n">
        <f aca="false">SUM(B883:X883)</f>
        <v>-325.269</v>
      </c>
      <c r="Z883" s="272"/>
      <c r="AA883" s="276"/>
    </row>
    <row r="884" customFormat="false" ht="14.25" hidden="false" customHeight="false" outlineLevel="0" collapsed="false">
      <c r="A884" s="272" t="s">
        <v>953</v>
      </c>
      <c r="B884" s="273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 t="n">
        <v>-20130.045</v>
      </c>
      <c r="M884" s="273"/>
      <c r="N884" s="273"/>
      <c r="O884" s="273"/>
      <c r="P884" s="273"/>
      <c r="Q884" s="273"/>
      <c r="R884" s="273"/>
      <c r="S884" s="273"/>
      <c r="T884" s="273"/>
      <c r="U884" s="273"/>
      <c r="V884" s="273"/>
      <c r="W884" s="273"/>
      <c r="X884" s="273"/>
      <c r="Y884" s="274" t="n">
        <f aca="false">SUM(B884:X884)</f>
        <v>-20130.045</v>
      </c>
      <c r="Z884" s="272"/>
      <c r="AA884" s="276"/>
    </row>
    <row r="885" customFormat="false" ht="14.25" hidden="false" customHeight="false" outlineLevel="0" collapsed="false">
      <c r="A885" s="272" t="s">
        <v>1034</v>
      </c>
      <c r="B885" s="273"/>
      <c r="C885" s="273"/>
      <c r="D885" s="273"/>
      <c r="E885" s="273"/>
      <c r="F885" s="273"/>
      <c r="G885" s="273"/>
      <c r="H885" s="273"/>
      <c r="I885" s="273" t="n">
        <v>413.46</v>
      </c>
      <c r="J885" s="273" t="n">
        <v>-7414.2</v>
      </c>
      <c r="K885" s="273"/>
      <c r="L885" s="273" t="n">
        <v>-4176.362</v>
      </c>
      <c r="M885" s="273"/>
      <c r="N885" s="273"/>
      <c r="O885" s="273"/>
      <c r="P885" s="273"/>
      <c r="Q885" s="273"/>
      <c r="R885" s="273"/>
      <c r="S885" s="273"/>
      <c r="T885" s="273"/>
      <c r="U885" s="273"/>
      <c r="V885" s="273"/>
      <c r="W885" s="273"/>
      <c r="X885" s="273"/>
      <c r="Y885" s="274" t="n">
        <f aca="false">SUM(B885:X885)</f>
        <v>-11177.102</v>
      </c>
      <c r="Z885" s="272"/>
      <c r="AA885" s="276"/>
    </row>
    <row r="886" customFormat="false" ht="14.25" hidden="false" customHeight="false" outlineLevel="0" collapsed="false">
      <c r="A886" s="272" t="s">
        <v>1035</v>
      </c>
      <c r="B886" s="273"/>
      <c r="C886" s="273"/>
      <c r="D886" s="273"/>
      <c r="E886" s="273"/>
      <c r="F886" s="273"/>
      <c r="G886" s="273" t="n">
        <v>42.228</v>
      </c>
      <c r="H886" s="273"/>
      <c r="I886" s="273"/>
      <c r="J886" s="273"/>
      <c r="K886" s="273"/>
      <c r="L886" s="273"/>
      <c r="M886" s="273"/>
      <c r="N886" s="273"/>
      <c r="O886" s="273"/>
      <c r="P886" s="273"/>
      <c r="Q886" s="273"/>
      <c r="R886" s="273"/>
      <c r="S886" s="273"/>
      <c r="T886" s="273"/>
      <c r="U886" s="273"/>
      <c r="V886" s="273"/>
      <c r="W886" s="273"/>
      <c r="X886" s="273"/>
      <c r="Y886" s="274" t="n">
        <f aca="false">SUM(B886:X886)</f>
        <v>42.228</v>
      </c>
      <c r="Z886" s="272"/>
      <c r="AA886" s="276"/>
    </row>
    <row r="887" customFormat="false" ht="14.25" hidden="false" customHeight="false" outlineLevel="0" collapsed="false">
      <c r="A887" s="272" t="s">
        <v>1036</v>
      </c>
      <c r="B887" s="273"/>
      <c r="C887" s="273"/>
      <c r="D887" s="273" t="n">
        <v>-53.805</v>
      </c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3"/>
      <c r="P887" s="273"/>
      <c r="Q887" s="273"/>
      <c r="R887" s="273"/>
      <c r="S887" s="273"/>
      <c r="T887" s="273"/>
      <c r="U887" s="273"/>
      <c r="V887" s="273"/>
      <c r="W887" s="273"/>
      <c r="X887" s="273"/>
      <c r="Y887" s="274" t="n">
        <f aca="false">SUM(B887:X887)</f>
        <v>-53.805</v>
      </c>
      <c r="Z887" s="272"/>
      <c r="AA887" s="276"/>
    </row>
    <row r="888" customFormat="false" ht="14.25" hidden="false" customHeight="false" outlineLevel="0" collapsed="false">
      <c r="A888" s="272" t="s">
        <v>1037</v>
      </c>
      <c r="B888" s="273"/>
      <c r="C888" s="273"/>
      <c r="D888" s="273"/>
      <c r="E888" s="273"/>
      <c r="F888" s="273" t="n">
        <v>-795.801</v>
      </c>
      <c r="G888" s="273"/>
      <c r="H888" s="273"/>
      <c r="I888" s="273"/>
      <c r="J888" s="273"/>
      <c r="K888" s="273"/>
      <c r="L888" s="273"/>
      <c r="M888" s="273"/>
      <c r="N888" s="273"/>
      <c r="O888" s="273"/>
      <c r="P888" s="273"/>
      <c r="Q888" s="273"/>
      <c r="R888" s="273"/>
      <c r="S888" s="273"/>
      <c r="T888" s="273"/>
      <c r="U888" s="273"/>
      <c r="V888" s="273"/>
      <c r="W888" s="273"/>
      <c r="X888" s="273"/>
      <c r="Y888" s="274" t="n">
        <f aca="false">SUM(B888:X888)</f>
        <v>-795.801</v>
      </c>
      <c r="Z888" s="272"/>
      <c r="AA888" s="276"/>
    </row>
    <row r="889" customFormat="false" ht="14.25" hidden="false" customHeight="false" outlineLevel="0" collapsed="false">
      <c r="A889" s="272" t="s">
        <v>1038</v>
      </c>
      <c r="B889" s="273"/>
      <c r="C889" s="273"/>
      <c r="D889" s="273"/>
      <c r="E889" s="273"/>
      <c r="F889" s="273"/>
      <c r="G889" s="273"/>
      <c r="H889" s="273" t="n">
        <v>135.666</v>
      </c>
      <c r="I889" s="273"/>
      <c r="J889" s="273"/>
      <c r="K889" s="273"/>
      <c r="L889" s="273"/>
      <c r="M889" s="273"/>
      <c r="N889" s="273"/>
      <c r="O889" s="273"/>
      <c r="P889" s="273"/>
      <c r="Q889" s="273"/>
      <c r="R889" s="273"/>
      <c r="S889" s="273"/>
      <c r="T889" s="273"/>
      <c r="U889" s="273"/>
      <c r="V889" s="273"/>
      <c r="W889" s="273"/>
      <c r="X889" s="273"/>
      <c r="Y889" s="274" t="n">
        <f aca="false">SUM(B889:X889)</f>
        <v>135.666</v>
      </c>
      <c r="Z889" s="272"/>
      <c r="AA889" s="276"/>
    </row>
    <row r="890" customFormat="false" ht="14.25" hidden="false" customHeight="false" outlineLevel="0" collapsed="false">
      <c r="A890" s="272" t="s">
        <v>1039</v>
      </c>
      <c r="B890" s="273"/>
      <c r="C890" s="273"/>
      <c r="D890" s="273"/>
      <c r="E890" s="273"/>
      <c r="F890" s="273" t="n">
        <v>7660.32</v>
      </c>
      <c r="G890" s="273"/>
      <c r="H890" s="273"/>
      <c r="I890" s="273"/>
      <c r="J890" s="273"/>
      <c r="K890" s="273"/>
      <c r="L890" s="273"/>
      <c r="M890" s="273"/>
      <c r="N890" s="273"/>
      <c r="O890" s="273"/>
      <c r="P890" s="273"/>
      <c r="Q890" s="273"/>
      <c r="R890" s="273"/>
      <c r="S890" s="273"/>
      <c r="T890" s="273"/>
      <c r="U890" s="273"/>
      <c r="V890" s="273"/>
      <c r="W890" s="273"/>
      <c r="X890" s="273"/>
      <c r="Y890" s="274" t="n">
        <f aca="false">SUM(B890:X890)</f>
        <v>7660.32</v>
      </c>
      <c r="Z890" s="272"/>
      <c r="AA890" s="276"/>
    </row>
    <row r="891" customFormat="false" ht="14.25" hidden="false" customHeight="false" outlineLevel="0" collapsed="false">
      <c r="A891" s="272" t="s">
        <v>1040</v>
      </c>
      <c r="B891" s="273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 t="n">
        <v>-3911.25</v>
      </c>
      <c r="O891" s="273"/>
      <c r="P891" s="273"/>
      <c r="Q891" s="273"/>
      <c r="R891" s="273"/>
      <c r="S891" s="273"/>
      <c r="T891" s="273"/>
      <c r="U891" s="273"/>
      <c r="V891" s="273"/>
      <c r="W891" s="273"/>
      <c r="X891" s="273"/>
      <c r="Y891" s="274" t="n">
        <f aca="false">SUM(B891:X891)</f>
        <v>-3911.25</v>
      </c>
      <c r="Z891" s="272"/>
      <c r="AA891" s="276"/>
    </row>
    <row r="892" customFormat="false" ht="14.25" hidden="false" customHeight="false" outlineLevel="0" collapsed="false">
      <c r="A892" s="272" t="s">
        <v>1041</v>
      </c>
      <c r="B892" s="273" t="n">
        <v>-6172.74</v>
      </c>
      <c r="C892" s="273"/>
      <c r="D892" s="273"/>
      <c r="E892" s="273"/>
      <c r="F892" s="273"/>
      <c r="G892" s="273"/>
      <c r="H892" s="273"/>
      <c r="I892" s="273" t="n">
        <v>421.335</v>
      </c>
      <c r="J892" s="273"/>
      <c r="K892" s="273"/>
      <c r="L892" s="273" t="n">
        <v>1167.6</v>
      </c>
      <c r="M892" s="273"/>
      <c r="N892" s="273"/>
      <c r="O892" s="273"/>
      <c r="P892" s="273"/>
      <c r="Q892" s="273"/>
      <c r="R892" s="273"/>
      <c r="S892" s="273"/>
      <c r="T892" s="273"/>
      <c r="U892" s="273"/>
      <c r="V892" s="273"/>
      <c r="W892" s="273"/>
      <c r="X892" s="273"/>
      <c r="Y892" s="274" t="n">
        <f aca="false">SUM(B892:X892)</f>
        <v>-4583.805</v>
      </c>
      <c r="Z892" s="272"/>
      <c r="AA892" s="276"/>
    </row>
    <row r="893" customFormat="false" ht="14.25" hidden="false" customHeight="false" outlineLevel="0" collapsed="false">
      <c r="A893" s="272" t="s">
        <v>1042</v>
      </c>
      <c r="B893" s="273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3"/>
      <c r="P893" s="273"/>
      <c r="Q893" s="273"/>
      <c r="R893" s="273" t="n">
        <v>-8742.57</v>
      </c>
      <c r="S893" s="273"/>
      <c r="T893" s="273"/>
      <c r="U893" s="273"/>
      <c r="V893" s="273"/>
      <c r="W893" s="273"/>
      <c r="X893" s="273"/>
      <c r="Y893" s="274" t="n">
        <f aca="false">SUM(B893:X893)</f>
        <v>-8742.57</v>
      </c>
      <c r="Z893" s="272"/>
      <c r="AA893" s="276"/>
    </row>
    <row r="894" customFormat="false" ht="14.25" hidden="false" customHeight="false" outlineLevel="0" collapsed="false">
      <c r="A894" s="272" t="s">
        <v>1043</v>
      </c>
      <c r="B894" s="273"/>
      <c r="C894" s="273"/>
      <c r="D894" s="273"/>
      <c r="E894" s="273" t="n">
        <v>184.239</v>
      </c>
      <c r="F894" s="273"/>
      <c r="G894" s="273"/>
      <c r="H894" s="273"/>
      <c r="I894" s="273"/>
      <c r="J894" s="273"/>
      <c r="K894" s="273"/>
      <c r="L894" s="273"/>
      <c r="M894" s="273"/>
      <c r="N894" s="273"/>
      <c r="O894" s="273"/>
      <c r="P894" s="273"/>
      <c r="Q894" s="273"/>
      <c r="R894" s="273"/>
      <c r="S894" s="273"/>
      <c r="T894" s="273"/>
      <c r="U894" s="273"/>
      <c r="V894" s="273"/>
      <c r="W894" s="273"/>
      <c r="X894" s="273"/>
      <c r="Y894" s="274" t="n">
        <f aca="false">SUM(B894:X894)</f>
        <v>184.239</v>
      </c>
      <c r="Z894" s="272"/>
      <c r="AA894" s="276"/>
    </row>
    <row r="895" customFormat="false" ht="14.25" hidden="false" customHeight="false" outlineLevel="0" collapsed="false">
      <c r="A895" s="272" t="s">
        <v>1044</v>
      </c>
      <c r="B895" s="273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3"/>
      <c r="P895" s="273" t="n">
        <v>-1349.217</v>
      </c>
      <c r="Q895" s="273"/>
      <c r="R895" s="273"/>
      <c r="S895" s="273"/>
      <c r="T895" s="273"/>
      <c r="U895" s="273"/>
      <c r="V895" s="273"/>
      <c r="W895" s="273"/>
      <c r="X895" s="273"/>
      <c r="Y895" s="274" t="n">
        <f aca="false">SUM(B895:X895)</f>
        <v>-1349.217</v>
      </c>
      <c r="Z895" s="272"/>
      <c r="AA895" s="276"/>
    </row>
    <row r="896" customFormat="false" ht="14.25" hidden="false" customHeight="false" outlineLevel="0" collapsed="false">
      <c r="A896" s="272" t="s">
        <v>1045</v>
      </c>
      <c r="B896" s="273"/>
      <c r="C896" s="273"/>
      <c r="D896" s="273"/>
      <c r="E896" s="273"/>
      <c r="F896" s="273" t="n">
        <v>7863.129</v>
      </c>
      <c r="G896" s="273"/>
      <c r="H896" s="273"/>
      <c r="I896" s="273"/>
      <c r="J896" s="273"/>
      <c r="K896" s="273"/>
      <c r="L896" s="273"/>
      <c r="M896" s="273"/>
      <c r="N896" s="273"/>
      <c r="O896" s="273"/>
      <c r="P896" s="273"/>
      <c r="Q896" s="273"/>
      <c r="R896" s="273"/>
      <c r="S896" s="273"/>
      <c r="T896" s="273"/>
      <c r="U896" s="273"/>
      <c r="V896" s="273"/>
      <c r="W896" s="273"/>
      <c r="X896" s="273"/>
      <c r="Y896" s="274" t="n">
        <f aca="false">SUM(B896:X896)</f>
        <v>7863.129</v>
      </c>
      <c r="Z896" s="272"/>
      <c r="AA896" s="276"/>
    </row>
    <row r="897" customFormat="false" ht="14.25" hidden="false" customHeight="false" outlineLevel="0" collapsed="false">
      <c r="A897" s="272" t="s">
        <v>804</v>
      </c>
      <c r="B897" s="273"/>
      <c r="C897" s="273" t="n">
        <v>-58363.524</v>
      </c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3"/>
      <c r="P897" s="273"/>
      <c r="Q897" s="273"/>
      <c r="R897" s="273"/>
      <c r="S897" s="273"/>
      <c r="T897" s="273"/>
      <c r="U897" s="273"/>
      <c r="V897" s="273"/>
      <c r="W897" s="273"/>
      <c r="X897" s="273"/>
      <c r="Y897" s="274" t="n">
        <f aca="false">SUM(B897:X897)</f>
        <v>-58363.524</v>
      </c>
      <c r="Z897" s="272"/>
      <c r="AA897" s="276"/>
    </row>
    <row r="898" customFormat="false" ht="14.25" hidden="false" customHeight="false" outlineLevel="0" collapsed="false">
      <c r="A898" s="272" t="s">
        <v>749</v>
      </c>
      <c r="B898" s="273"/>
      <c r="C898" s="273"/>
      <c r="D898" s="273"/>
      <c r="E898" s="273"/>
      <c r="F898" s="273"/>
      <c r="G898" s="273"/>
      <c r="H898" s="273"/>
      <c r="I898" s="273" t="n">
        <v>940.9815</v>
      </c>
      <c r="J898" s="273" t="n">
        <v>-4482.501</v>
      </c>
      <c r="K898" s="273"/>
      <c r="L898" s="273" t="n">
        <v>1167.6</v>
      </c>
      <c r="M898" s="273"/>
      <c r="N898" s="273"/>
      <c r="O898" s="273"/>
      <c r="P898" s="273"/>
      <c r="Q898" s="273"/>
      <c r="R898" s="273"/>
      <c r="S898" s="273"/>
      <c r="T898" s="273"/>
      <c r="U898" s="273"/>
      <c r="V898" s="273"/>
      <c r="W898" s="273"/>
      <c r="X898" s="273"/>
      <c r="Y898" s="274" t="n">
        <f aca="false">SUM(B898:X898)</f>
        <v>-2373.9195</v>
      </c>
      <c r="Z898" s="272"/>
      <c r="AA898" s="276"/>
    </row>
    <row r="899" customFormat="false" ht="14.25" hidden="false" customHeight="false" outlineLevel="0" collapsed="false">
      <c r="A899" s="272" t="s">
        <v>1046</v>
      </c>
      <c r="B899" s="273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 t="n">
        <v>1459.5</v>
      </c>
      <c r="M899" s="273"/>
      <c r="N899" s="273" t="n">
        <v>-6617.22</v>
      </c>
      <c r="O899" s="273"/>
      <c r="P899" s="273" t="n">
        <v>-970.515</v>
      </c>
      <c r="Q899" s="273"/>
      <c r="R899" s="273"/>
      <c r="S899" s="273"/>
      <c r="T899" s="273"/>
      <c r="U899" s="273"/>
      <c r="V899" s="273"/>
      <c r="W899" s="273"/>
      <c r="X899" s="273"/>
      <c r="Y899" s="274" t="n">
        <f aca="false">SUM(B899:X899)</f>
        <v>-6128.235</v>
      </c>
      <c r="Z899" s="272"/>
      <c r="AA899" s="276"/>
    </row>
    <row r="900" customFormat="false" ht="14.25" hidden="false" customHeight="false" outlineLevel="0" collapsed="false">
      <c r="A900" s="272" t="s">
        <v>1047</v>
      </c>
      <c r="B900" s="273"/>
      <c r="C900" s="273" t="n">
        <v>-55915.002</v>
      </c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3"/>
      <c r="P900" s="273" t="n">
        <v>-2548.52</v>
      </c>
      <c r="Q900" s="273"/>
      <c r="R900" s="273"/>
      <c r="S900" s="273"/>
      <c r="T900" s="273"/>
      <c r="U900" s="273"/>
      <c r="V900" s="273"/>
      <c r="W900" s="273"/>
      <c r="X900" s="273"/>
      <c r="Y900" s="274" t="n">
        <f aca="false">SUM(B900:X900)</f>
        <v>-58463.522</v>
      </c>
      <c r="Z900" s="272"/>
      <c r="AA900" s="276"/>
    </row>
    <row r="901" customFormat="false" ht="14.25" hidden="false" customHeight="false" outlineLevel="0" collapsed="false">
      <c r="A901" s="272" t="s">
        <v>1048</v>
      </c>
      <c r="B901" s="273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 t="n">
        <v>-866.52</v>
      </c>
      <c r="N901" s="273"/>
      <c r="O901" s="273"/>
      <c r="P901" s="273"/>
      <c r="Q901" s="273"/>
      <c r="R901" s="273"/>
      <c r="S901" s="273"/>
      <c r="T901" s="273"/>
      <c r="U901" s="273"/>
      <c r="V901" s="273"/>
      <c r="W901" s="273"/>
      <c r="X901" s="273"/>
      <c r="Y901" s="274" t="n">
        <f aca="false">SUM(B901:X901)</f>
        <v>-866.52</v>
      </c>
      <c r="Z901" s="272"/>
      <c r="AA901" s="276"/>
    </row>
    <row r="902" customFormat="false" ht="14.25" hidden="false" customHeight="false" outlineLevel="0" collapsed="false">
      <c r="A902" s="272" t="s">
        <v>1049</v>
      </c>
      <c r="B902" s="273"/>
      <c r="C902" s="273" t="n">
        <v>854.556</v>
      </c>
      <c r="D902" s="273"/>
      <c r="E902" s="273"/>
      <c r="F902" s="273" t="n">
        <v>-38322.426</v>
      </c>
      <c r="G902" s="273"/>
      <c r="H902" s="273"/>
      <c r="I902" s="273"/>
      <c r="J902" s="273"/>
      <c r="K902" s="273"/>
      <c r="L902" s="273"/>
      <c r="M902" s="273"/>
      <c r="N902" s="273" t="n">
        <v>-2369.6895</v>
      </c>
      <c r="O902" s="273"/>
      <c r="P902" s="273"/>
      <c r="Q902" s="273"/>
      <c r="R902" s="273"/>
      <c r="S902" s="273"/>
      <c r="T902" s="273"/>
      <c r="U902" s="273"/>
      <c r="V902" s="273"/>
      <c r="W902" s="273"/>
      <c r="X902" s="273"/>
      <c r="Y902" s="274" t="n">
        <f aca="false">SUM(B902:X902)</f>
        <v>-39837.5595</v>
      </c>
      <c r="Z902" s="272"/>
      <c r="AA902" s="276"/>
    </row>
    <row r="903" customFormat="false" ht="14.25" hidden="false" customHeight="false" outlineLevel="0" collapsed="false">
      <c r="A903" s="272" t="s">
        <v>1050</v>
      </c>
      <c r="B903" s="273"/>
      <c r="C903" s="273"/>
      <c r="D903" s="273"/>
      <c r="E903" s="273"/>
      <c r="F903" s="273" t="n">
        <v>2408.808</v>
      </c>
      <c r="G903" s="273"/>
      <c r="H903" s="273"/>
      <c r="I903" s="273"/>
      <c r="J903" s="273"/>
      <c r="K903" s="273"/>
      <c r="L903" s="273"/>
      <c r="M903" s="273"/>
      <c r="N903" s="273"/>
      <c r="O903" s="273"/>
      <c r="P903" s="273"/>
      <c r="Q903" s="273"/>
      <c r="R903" s="273"/>
      <c r="S903" s="273"/>
      <c r="T903" s="273"/>
      <c r="U903" s="273"/>
      <c r="V903" s="273"/>
      <c r="W903" s="273"/>
      <c r="X903" s="273"/>
      <c r="Y903" s="274" t="n">
        <f aca="false">SUM(B903:X903)</f>
        <v>2408.808</v>
      </c>
      <c r="Z903" s="272"/>
      <c r="AA903" s="276"/>
    </row>
    <row r="904" customFormat="false" ht="14.25" hidden="false" customHeight="false" outlineLevel="0" collapsed="false">
      <c r="A904" s="272" t="s">
        <v>1051</v>
      </c>
      <c r="B904" s="273"/>
      <c r="C904" s="273"/>
      <c r="D904" s="273"/>
      <c r="E904" s="273"/>
      <c r="F904" s="273" t="n">
        <v>2408.808</v>
      </c>
      <c r="G904" s="273"/>
      <c r="H904" s="273"/>
      <c r="I904" s="273"/>
      <c r="J904" s="273"/>
      <c r="K904" s="273"/>
      <c r="L904" s="273"/>
      <c r="M904" s="273"/>
      <c r="N904" s="273"/>
      <c r="O904" s="273"/>
      <c r="P904" s="273"/>
      <c r="Q904" s="273"/>
      <c r="R904" s="273"/>
      <c r="S904" s="273"/>
      <c r="T904" s="273"/>
      <c r="U904" s="273"/>
      <c r="V904" s="273"/>
      <c r="W904" s="273"/>
      <c r="X904" s="273"/>
      <c r="Y904" s="274" t="n">
        <f aca="false">SUM(B904:X904)</f>
        <v>2408.808</v>
      </c>
      <c r="Z904" s="272"/>
      <c r="AA904" s="276"/>
    </row>
    <row r="905" customFormat="false" ht="14.25" hidden="false" customHeight="false" outlineLevel="0" collapsed="false">
      <c r="A905" s="272" t="s">
        <v>1001</v>
      </c>
      <c r="B905" s="273"/>
      <c r="C905" s="273"/>
      <c r="D905" s="273"/>
      <c r="E905" s="273"/>
      <c r="F905" s="273" t="n">
        <v>462.4605</v>
      </c>
      <c r="G905" s="273"/>
      <c r="H905" s="273"/>
      <c r="I905" s="273"/>
      <c r="J905" s="273"/>
      <c r="K905" s="273"/>
      <c r="L905" s="273"/>
      <c r="M905" s="273"/>
      <c r="N905" s="273"/>
      <c r="O905" s="273"/>
      <c r="P905" s="273"/>
      <c r="Q905" s="273"/>
      <c r="R905" s="273"/>
      <c r="S905" s="273"/>
      <c r="T905" s="273"/>
      <c r="U905" s="273"/>
      <c r="V905" s="273"/>
      <c r="W905" s="273"/>
      <c r="X905" s="273"/>
      <c r="Y905" s="274" t="n">
        <f aca="false">SUM(B905:X905)</f>
        <v>462.4605</v>
      </c>
      <c r="Z905" s="272"/>
      <c r="AA905" s="276"/>
    </row>
    <row r="906" customFormat="false" ht="14.25" hidden="false" customHeight="false" outlineLevel="0" collapsed="false">
      <c r="A906" s="272" t="s">
        <v>1052</v>
      </c>
      <c r="B906" s="273"/>
      <c r="C906" s="273"/>
      <c r="D906" s="273"/>
      <c r="E906" s="273"/>
      <c r="F906" s="273" t="n">
        <v>2408.808</v>
      </c>
      <c r="G906" s="273"/>
      <c r="H906" s="273"/>
      <c r="I906" s="273"/>
      <c r="J906" s="273"/>
      <c r="K906" s="273"/>
      <c r="L906" s="273"/>
      <c r="M906" s="273"/>
      <c r="N906" s="273"/>
      <c r="O906" s="273"/>
      <c r="P906" s="273"/>
      <c r="Q906" s="273"/>
      <c r="R906" s="273"/>
      <c r="S906" s="273"/>
      <c r="T906" s="273"/>
      <c r="U906" s="273"/>
      <c r="V906" s="273"/>
      <c r="W906" s="273"/>
      <c r="X906" s="273"/>
      <c r="Y906" s="274" t="n">
        <f aca="false">SUM(B906:X906)</f>
        <v>2408.808</v>
      </c>
      <c r="Z906" s="272"/>
      <c r="AA906" s="276"/>
    </row>
    <row r="907" customFormat="false" ht="14.25" hidden="false" customHeight="false" outlineLevel="0" collapsed="false">
      <c r="A907" s="272" t="s">
        <v>1053</v>
      </c>
      <c r="B907" s="273"/>
      <c r="C907" s="273"/>
      <c r="D907" s="273"/>
      <c r="E907" s="273"/>
      <c r="F907" s="273" t="n">
        <v>173.088</v>
      </c>
      <c r="G907" s="273"/>
      <c r="H907" s="273"/>
      <c r="I907" s="273"/>
      <c r="J907" s="273"/>
      <c r="K907" s="273"/>
      <c r="L907" s="273"/>
      <c r="M907" s="273"/>
      <c r="N907" s="273"/>
      <c r="O907" s="273"/>
      <c r="P907" s="273"/>
      <c r="Q907" s="273"/>
      <c r="R907" s="273"/>
      <c r="S907" s="273"/>
      <c r="T907" s="273"/>
      <c r="U907" s="273"/>
      <c r="V907" s="273"/>
      <c r="W907" s="273"/>
      <c r="X907" s="273"/>
      <c r="Y907" s="274" t="n">
        <f aca="false">SUM(B907:X907)</f>
        <v>173.088</v>
      </c>
      <c r="Z907" s="272"/>
      <c r="AA907" s="276"/>
    </row>
    <row r="908" customFormat="false" ht="14.25" hidden="false" customHeight="false" outlineLevel="0" collapsed="false">
      <c r="A908" s="272" t="s">
        <v>1054</v>
      </c>
      <c r="B908" s="273" t="n">
        <v>-2461.7475</v>
      </c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3"/>
      <c r="P908" s="273" t="n">
        <v>-2356.965</v>
      </c>
      <c r="Q908" s="273"/>
      <c r="R908" s="273"/>
      <c r="S908" s="273"/>
      <c r="T908" s="273"/>
      <c r="U908" s="273"/>
      <c r="V908" s="273"/>
      <c r="W908" s="273"/>
      <c r="X908" s="273"/>
      <c r="Y908" s="274" t="n">
        <f aca="false">SUM(B908:X908)</f>
        <v>-4818.7125</v>
      </c>
      <c r="Z908" s="272"/>
      <c r="AA908" s="276"/>
    </row>
    <row r="909" customFormat="false" ht="14.25" hidden="false" customHeight="false" outlineLevel="0" collapsed="false">
      <c r="A909" s="272" t="s">
        <v>1055</v>
      </c>
      <c r="B909" s="273"/>
      <c r="C909" s="273"/>
      <c r="D909" s="273"/>
      <c r="E909" s="273"/>
      <c r="F909" s="273" t="n">
        <v>-9312.8</v>
      </c>
      <c r="G909" s="273"/>
      <c r="H909" s="273"/>
      <c r="I909" s="273"/>
      <c r="J909" s="273"/>
      <c r="K909" s="273"/>
      <c r="L909" s="273"/>
      <c r="M909" s="273"/>
      <c r="N909" s="273"/>
      <c r="O909" s="273"/>
      <c r="P909" s="273"/>
      <c r="Q909" s="273"/>
      <c r="R909" s="273"/>
      <c r="S909" s="273"/>
      <c r="T909" s="273"/>
      <c r="U909" s="273"/>
      <c r="V909" s="273"/>
      <c r="W909" s="273"/>
      <c r="X909" s="273"/>
      <c r="Y909" s="274" t="n">
        <f aca="false">SUM(B909:X909)</f>
        <v>-9312.8</v>
      </c>
      <c r="Z909" s="272"/>
      <c r="AA909" s="276"/>
    </row>
    <row r="910" customFormat="false" ht="14.25" hidden="false" customHeight="false" outlineLevel="0" collapsed="false">
      <c r="A910" s="272" t="s">
        <v>574</v>
      </c>
      <c r="B910" s="273"/>
      <c r="C910" s="273"/>
      <c r="D910" s="273"/>
      <c r="E910" s="273"/>
      <c r="F910" s="273" t="n">
        <v>-28809</v>
      </c>
      <c r="G910" s="273"/>
      <c r="H910" s="273"/>
      <c r="I910" s="273"/>
      <c r="J910" s="273"/>
      <c r="K910" s="273"/>
      <c r="L910" s="273"/>
      <c r="M910" s="273"/>
      <c r="N910" s="273"/>
      <c r="O910" s="273"/>
      <c r="P910" s="273"/>
      <c r="Q910" s="273"/>
      <c r="R910" s="273"/>
      <c r="S910" s="273"/>
      <c r="T910" s="273"/>
      <c r="U910" s="273"/>
      <c r="V910" s="273"/>
      <c r="W910" s="273"/>
      <c r="X910" s="273"/>
      <c r="Y910" s="274" t="n">
        <f aca="false">SUM(B910:X910)</f>
        <v>-28809</v>
      </c>
      <c r="Z910" s="272"/>
      <c r="AA910" s="276"/>
    </row>
    <row r="911" customFormat="false" ht="14.25" hidden="false" customHeight="false" outlineLevel="0" collapsed="false">
      <c r="A911" s="272" t="s">
        <v>1056</v>
      </c>
      <c r="B911" s="273"/>
      <c r="C911" s="273"/>
      <c r="D911" s="273"/>
      <c r="E911" s="273"/>
      <c r="F911" s="273" t="n">
        <v>-11474.055</v>
      </c>
      <c r="G911" s="273"/>
      <c r="H911" s="273"/>
      <c r="I911" s="273"/>
      <c r="J911" s="273"/>
      <c r="K911" s="273"/>
      <c r="L911" s="273"/>
      <c r="M911" s="273"/>
      <c r="N911" s="273" t="n">
        <v>-36134.925</v>
      </c>
      <c r="O911" s="273"/>
      <c r="P911" s="273"/>
      <c r="Q911" s="273"/>
      <c r="R911" s="273"/>
      <c r="S911" s="273"/>
      <c r="T911" s="273"/>
      <c r="U911" s="273"/>
      <c r="V911" s="273"/>
      <c r="W911" s="273"/>
      <c r="X911" s="273"/>
      <c r="Y911" s="274" t="n">
        <f aca="false">SUM(B911:X911)</f>
        <v>-47608.98</v>
      </c>
      <c r="Z911" s="272"/>
      <c r="AA911" s="276"/>
    </row>
    <row r="912" customFormat="false" ht="14.25" hidden="false" customHeight="false" outlineLevel="0" collapsed="false">
      <c r="A912" s="272" t="s">
        <v>1057</v>
      </c>
      <c r="B912" s="273"/>
      <c r="C912" s="273"/>
      <c r="D912" s="273"/>
      <c r="E912" s="273"/>
      <c r="F912" s="273" t="n">
        <v>-1980</v>
      </c>
      <c r="G912" s="273"/>
      <c r="H912" s="273"/>
      <c r="I912" s="273"/>
      <c r="J912" s="273"/>
      <c r="K912" s="273"/>
      <c r="L912" s="273"/>
      <c r="M912" s="273"/>
      <c r="N912" s="273"/>
      <c r="O912" s="273"/>
      <c r="P912" s="273"/>
      <c r="Q912" s="273"/>
      <c r="R912" s="273"/>
      <c r="S912" s="273"/>
      <c r="T912" s="273"/>
      <c r="U912" s="273"/>
      <c r="V912" s="273"/>
      <c r="W912" s="273"/>
      <c r="X912" s="273"/>
      <c r="Y912" s="274" t="n">
        <f aca="false">SUM(B912:X912)</f>
        <v>-1980</v>
      </c>
      <c r="Z912" s="272"/>
      <c r="AA912" s="276"/>
    </row>
    <row r="913" customFormat="false" ht="14.25" hidden="false" customHeight="false" outlineLevel="0" collapsed="false">
      <c r="A913" s="272" t="s">
        <v>940</v>
      </c>
      <c r="B913" s="273"/>
      <c r="C913" s="273"/>
      <c r="D913" s="273"/>
      <c r="E913" s="273"/>
      <c r="F913" s="273" t="n">
        <v>-71573.721</v>
      </c>
      <c r="G913" s="273"/>
      <c r="H913" s="273"/>
      <c r="I913" s="273"/>
      <c r="J913" s="273"/>
      <c r="K913" s="273"/>
      <c r="L913" s="273"/>
      <c r="M913" s="273"/>
      <c r="N913" s="273"/>
      <c r="O913" s="273"/>
      <c r="P913" s="273"/>
      <c r="Q913" s="273"/>
      <c r="R913" s="273"/>
      <c r="S913" s="273"/>
      <c r="T913" s="273"/>
      <c r="U913" s="273"/>
      <c r="V913" s="273"/>
      <c r="W913" s="273"/>
      <c r="X913" s="273"/>
      <c r="Y913" s="274" t="n">
        <f aca="false">SUM(B913:X913)</f>
        <v>-71573.721</v>
      </c>
      <c r="Z913" s="272"/>
      <c r="AA913" s="276"/>
    </row>
    <row r="914" customFormat="false" ht="14.25" hidden="false" customHeight="false" outlineLevel="0" collapsed="false">
      <c r="A914" s="272" t="s">
        <v>1058</v>
      </c>
      <c r="B914" s="273"/>
      <c r="C914" s="273" t="n">
        <v>4197.378</v>
      </c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3"/>
      <c r="P914" s="273"/>
      <c r="Q914" s="273"/>
      <c r="R914" s="273"/>
      <c r="S914" s="273"/>
      <c r="T914" s="273"/>
      <c r="U914" s="273"/>
      <c r="V914" s="273"/>
      <c r="W914" s="273"/>
      <c r="X914" s="273"/>
      <c r="Y914" s="274" t="n">
        <f aca="false">SUM(B914:X914)</f>
        <v>4197.378</v>
      </c>
      <c r="Z914" s="272"/>
      <c r="AA914" s="276"/>
    </row>
    <row r="915" customFormat="false" ht="14.25" hidden="false" customHeight="false" outlineLevel="0" collapsed="false">
      <c r="A915" s="272" t="s">
        <v>1037</v>
      </c>
      <c r="B915" s="273"/>
      <c r="C915" s="273" t="n">
        <v>276.474</v>
      </c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3"/>
      <c r="P915" s="273"/>
      <c r="Q915" s="273"/>
      <c r="R915" s="273"/>
      <c r="S915" s="273"/>
      <c r="T915" s="273"/>
      <c r="U915" s="273"/>
      <c r="V915" s="273"/>
      <c r="W915" s="273"/>
      <c r="X915" s="273"/>
      <c r="Y915" s="274" t="n">
        <f aca="false">SUM(B915:X915)</f>
        <v>276.474</v>
      </c>
      <c r="Z915" s="272"/>
      <c r="AA915" s="276"/>
    </row>
    <row r="916" customFormat="false" ht="14.25" hidden="false" customHeight="false" outlineLevel="0" collapsed="false">
      <c r="A916" s="272" t="s">
        <v>1038</v>
      </c>
      <c r="B916" s="273"/>
      <c r="C916" s="273"/>
      <c r="D916" s="273"/>
      <c r="E916" s="273"/>
      <c r="F916" s="273"/>
      <c r="G916" s="273"/>
      <c r="H916" s="273" t="n">
        <v>135.666</v>
      </c>
      <c r="I916" s="273"/>
      <c r="J916" s="273"/>
      <c r="K916" s="273"/>
      <c r="L916" s="273"/>
      <c r="M916" s="273"/>
      <c r="N916" s="273"/>
      <c r="O916" s="273"/>
      <c r="P916" s="273"/>
      <c r="Q916" s="273"/>
      <c r="R916" s="273"/>
      <c r="S916" s="273"/>
      <c r="T916" s="273"/>
      <c r="U916" s="273"/>
      <c r="V916" s="273"/>
      <c r="W916" s="273"/>
      <c r="X916" s="273"/>
      <c r="Y916" s="274" t="n">
        <f aca="false">SUM(B916:X916)</f>
        <v>135.666</v>
      </c>
      <c r="Z916" s="272"/>
      <c r="AA916" s="276"/>
    </row>
    <row r="917" customFormat="false" ht="14.25" hidden="false" customHeight="false" outlineLevel="0" collapsed="false">
      <c r="A917" s="272" t="s">
        <v>392</v>
      </c>
      <c r="B917" s="273" t="n">
        <v>-201.1875</v>
      </c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3"/>
      <c r="P917" s="273"/>
      <c r="Q917" s="273"/>
      <c r="R917" s="273"/>
      <c r="S917" s="273"/>
      <c r="T917" s="273"/>
      <c r="U917" s="273"/>
      <c r="V917" s="273"/>
      <c r="W917" s="273"/>
      <c r="X917" s="273"/>
      <c r="Y917" s="274" t="n">
        <f aca="false">SUM(B917:X917)</f>
        <v>-201.1875</v>
      </c>
      <c r="Z917" s="272"/>
      <c r="AA917" s="276"/>
    </row>
    <row r="918" customFormat="false" ht="14.25" hidden="false" customHeight="false" outlineLevel="0" collapsed="false">
      <c r="A918" s="272" t="s">
        <v>1059</v>
      </c>
      <c r="B918" s="273"/>
      <c r="C918" s="273"/>
      <c r="D918" s="273" t="n">
        <v>-1982.25</v>
      </c>
      <c r="E918" s="273" t="n">
        <v>11137.896</v>
      </c>
      <c r="F918" s="273"/>
      <c r="G918" s="273"/>
      <c r="H918" s="273"/>
      <c r="I918" s="273"/>
      <c r="J918" s="273" t="n">
        <v>-494.28</v>
      </c>
      <c r="K918" s="273"/>
      <c r="L918" s="273"/>
      <c r="M918" s="273"/>
      <c r="N918" s="273" t="n">
        <v>-9152.325</v>
      </c>
      <c r="O918" s="273"/>
      <c r="P918" s="273"/>
      <c r="Q918" s="273"/>
      <c r="R918" s="273"/>
      <c r="S918" s="273"/>
      <c r="T918" s="273"/>
      <c r="U918" s="273"/>
      <c r="V918" s="273"/>
      <c r="W918" s="273"/>
      <c r="X918" s="273"/>
      <c r="Y918" s="274" t="n">
        <f aca="false">SUM(B918:X918)</f>
        <v>-490.959000000001</v>
      </c>
      <c r="Z918" s="272"/>
      <c r="AA918" s="276"/>
    </row>
    <row r="919" customFormat="false" ht="14.25" hidden="false" customHeight="false" outlineLevel="0" collapsed="false">
      <c r="A919" s="272" t="s">
        <v>1060</v>
      </c>
      <c r="B919" s="273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 t="n">
        <v>131.355</v>
      </c>
      <c r="M919" s="273"/>
      <c r="N919" s="273" t="n">
        <v>-5241.075</v>
      </c>
      <c r="O919" s="273"/>
      <c r="P919" s="273"/>
      <c r="Q919" s="273"/>
      <c r="R919" s="273"/>
      <c r="S919" s="273"/>
      <c r="T919" s="273"/>
      <c r="U919" s="273"/>
      <c r="V919" s="273"/>
      <c r="W919" s="273"/>
      <c r="X919" s="273"/>
      <c r="Y919" s="274" t="n">
        <f aca="false">SUM(B919:X919)</f>
        <v>-5109.72</v>
      </c>
      <c r="Z919" s="272"/>
      <c r="AA919" s="276"/>
    </row>
    <row r="920" customFormat="false" ht="14.25" hidden="false" customHeight="false" outlineLevel="0" collapsed="false">
      <c r="A920" s="272" t="s">
        <v>1061</v>
      </c>
      <c r="B920" s="273"/>
      <c r="C920" s="273"/>
      <c r="D920" s="273"/>
      <c r="E920" s="273"/>
      <c r="F920" s="273" t="n">
        <v>5873.655</v>
      </c>
      <c r="G920" s="273"/>
      <c r="H920" s="273"/>
      <c r="I920" s="273"/>
      <c r="J920" s="273"/>
      <c r="K920" s="273"/>
      <c r="L920" s="273"/>
      <c r="M920" s="273"/>
      <c r="N920" s="273"/>
      <c r="O920" s="273"/>
      <c r="P920" s="273"/>
      <c r="Q920" s="273"/>
      <c r="R920" s="273"/>
      <c r="S920" s="273"/>
      <c r="T920" s="273"/>
      <c r="U920" s="273"/>
      <c r="V920" s="273"/>
      <c r="W920" s="273"/>
      <c r="X920" s="273"/>
      <c r="Y920" s="274" t="n">
        <f aca="false">SUM(B920:X920)</f>
        <v>5873.655</v>
      </c>
      <c r="Z920" s="272"/>
      <c r="AA920" s="276"/>
    </row>
    <row r="921" customFormat="false" ht="14.25" hidden="false" customHeight="false" outlineLevel="0" collapsed="false">
      <c r="A921" s="272" t="s">
        <v>1062</v>
      </c>
      <c r="B921" s="273"/>
      <c r="C921" s="273"/>
      <c r="D921" s="273"/>
      <c r="E921" s="273"/>
      <c r="F921" s="273" t="n">
        <v>-6693.369</v>
      </c>
      <c r="G921" s="273"/>
      <c r="H921" s="273"/>
      <c r="I921" s="273"/>
      <c r="J921" s="273"/>
      <c r="K921" s="273"/>
      <c r="L921" s="273"/>
      <c r="M921" s="273"/>
      <c r="N921" s="273"/>
      <c r="O921" s="273"/>
      <c r="P921" s="273"/>
      <c r="Q921" s="273"/>
      <c r="R921" s="273"/>
      <c r="S921" s="273"/>
      <c r="T921" s="273"/>
      <c r="U921" s="273"/>
      <c r="V921" s="273"/>
      <c r="W921" s="273"/>
      <c r="X921" s="273"/>
      <c r="Y921" s="274" t="n">
        <f aca="false">SUM(B921:X921)</f>
        <v>-6693.369</v>
      </c>
      <c r="Z921" s="272"/>
      <c r="AA921" s="276"/>
    </row>
    <row r="922" customFormat="false" ht="14.25" hidden="false" customHeight="false" outlineLevel="0" collapsed="false">
      <c r="A922" s="272" t="s">
        <v>1063</v>
      </c>
      <c r="B922" s="273"/>
      <c r="C922" s="273"/>
      <c r="D922" s="273"/>
      <c r="E922" s="273"/>
      <c r="F922" s="273" t="n">
        <v>-14527.8</v>
      </c>
      <c r="G922" s="273"/>
      <c r="H922" s="273"/>
      <c r="I922" s="273"/>
      <c r="J922" s="273"/>
      <c r="K922" s="273"/>
      <c r="L922" s="273"/>
      <c r="M922" s="273"/>
      <c r="N922" s="273"/>
      <c r="O922" s="273"/>
      <c r="P922" s="273"/>
      <c r="Q922" s="273"/>
      <c r="R922" s="273"/>
      <c r="S922" s="273"/>
      <c r="T922" s="273"/>
      <c r="U922" s="273"/>
      <c r="V922" s="273"/>
      <c r="W922" s="273"/>
      <c r="X922" s="273"/>
      <c r="Y922" s="274" t="n">
        <f aca="false">SUM(B922:X922)</f>
        <v>-14527.8</v>
      </c>
      <c r="Z922" s="272"/>
      <c r="AA922" s="276"/>
    </row>
    <row r="923" customFormat="false" ht="14.25" hidden="false" customHeight="false" outlineLevel="0" collapsed="false">
      <c r="A923" s="272" t="s">
        <v>1064</v>
      </c>
      <c r="B923" s="273"/>
      <c r="C923" s="273"/>
      <c r="D923" s="273"/>
      <c r="E923" s="273"/>
      <c r="F923" s="273" t="n">
        <v>-9733.626</v>
      </c>
      <c r="G923" s="273"/>
      <c r="H923" s="273"/>
      <c r="I923" s="273"/>
      <c r="J923" s="273"/>
      <c r="K923" s="273"/>
      <c r="L923" s="273"/>
      <c r="M923" s="273"/>
      <c r="N923" s="273"/>
      <c r="O923" s="273"/>
      <c r="P923" s="273"/>
      <c r="Q923" s="273"/>
      <c r="R923" s="273"/>
      <c r="S923" s="273"/>
      <c r="T923" s="273"/>
      <c r="U923" s="273"/>
      <c r="V923" s="273"/>
      <c r="W923" s="273"/>
      <c r="X923" s="273"/>
      <c r="Y923" s="274" t="n">
        <f aca="false">SUM(B923:X923)</f>
        <v>-9733.626</v>
      </c>
      <c r="Z923" s="272"/>
      <c r="AA923" s="276"/>
    </row>
    <row r="924" customFormat="false" ht="14.25" hidden="false" customHeight="false" outlineLevel="0" collapsed="false">
      <c r="A924" s="272" t="s">
        <v>1065</v>
      </c>
      <c r="B924" s="273"/>
      <c r="C924" s="273"/>
      <c r="D924" s="273"/>
      <c r="E924" s="273"/>
      <c r="F924" s="273" t="n">
        <v>37273.0035</v>
      </c>
      <c r="G924" s="273"/>
      <c r="H924" s="273"/>
      <c r="I924" s="273"/>
      <c r="J924" s="273"/>
      <c r="K924" s="273"/>
      <c r="L924" s="273"/>
      <c r="M924" s="273"/>
      <c r="N924" s="273"/>
      <c r="O924" s="273"/>
      <c r="P924" s="273"/>
      <c r="Q924" s="273"/>
      <c r="R924" s="273"/>
      <c r="S924" s="273"/>
      <c r="T924" s="273"/>
      <c r="U924" s="273"/>
      <c r="V924" s="273"/>
      <c r="W924" s="273"/>
      <c r="X924" s="273"/>
      <c r="Y924" s="274" t="n">
        <f aca="false">SUM(B924:X924)</f>
        <v>37273.0035</v>
      </c>
      <c r="Z924" s="272"/>
      <c r="AA924" s="276"/>
    </row>
    <row r="925" customFormat="false" ht="14.25" hidden="false" customHeight="false" outlineLevel="0" collapsed="false">
      <c r="A925" s="272" t="s">
        <v>1066</v>
      </c>
      <c r="B925" s="273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3"/>
      <c r="P925" s="273" t="n">
        <v>-54.618</v>
      </c>
      <c r="Q925" s="273"/>
      <c r="R925" s="273"/>
      <c r="S925" s="273"/>
      <c r="T925" s="273"/>
      <c r="U925" s="273"/>
      <c r="V925" s="273"/>
      <c r="W925" s="273"/>
      <c r="X925" s="273"/>
      <c r="Y925" s="274" t="n">
        <f aca="false">SUM(B925:X925)</f>
        <v>-54.618</v>
      </c>
      <c r="Z925" s="272"/>
      <c r="AA925" s="276"/>
    </row>
    <row r="926" customFormat="false" ht="14.25" hidden="false" customHeight="false" outlineLevel="0" collapsed="false">
      <c r="A926" s="272" t="s">
        <v>1067</v>
      </c>
      <c r="B926" s="273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 t="n">
        <v>-7573.615</v>
      </c>
      <c r="O926" s="273"/>
      <c r="P926" s="273"/>
      <c r="Q926" s="273"/>
      <c r="R926" s="273"/>
      <c r="S926" s="273"/>
      <c r="T926" s="273"/>
      <c r="U926" s="273"/>
      <c r="V926" s="273"/>
      <c r="W926" s="273"/>
      <c r="X926" s="273"/>
      <c r="Y926" s="274" t="n">
        <f aca="false">SUM(B926:X926)</f>
        <v>-7573.615</v>
      </c>
      <c r="Z926" s="272"/>
      <c r="AA926" s="276"/>
    </row>
    <row r="927" customFormat="false" ht="14.25" hidden="false" customHeight="false" outlineLevel="0" collapsed="false">
      <c r="A927" s="272" t="s">
        <v>940</v>
      </c>
      <c r="B927" s="273"/>
      <c r="C927" s="273"/>
      <c r="D927" s="273"/>
      <c r="E927" s="273"/>
      <c r="F927" s="273" t="n">
        <v>-48850.02</v>
      </c>
      <c r="G927" s="273"/>
      <c r="H927" s="273"/>
      <c r="I927" s="273"/>
      <c r="J927" s="273"/>
      <c r="K927" s="273"/>
      <c r="L927" s="273"/>
      <c r="M927" s="273"/>
      <c r="N927" s="273"/>
      <c r="O927" s="273"/>
      <c r="P927" s="273"/>
      <c r="Q927" s="273"/>
      <c r="R927" s="273"/>
      <c r="S927" s="273"/>
      <c r="T927" s="273"/>
      <c r="U927" s="273"/>
      <c r="V927" s="273"/>
      <c r="W927" s="273"/>
      <c r="X927" s="273"/>
      <c r="Y927" s="274" t="n">
        <f aca="false">SUM(B927:X927)</f>
        <v>-48850.02</v>
      </c>
      <c r="Z927" s="272"/>
      <c r="AA927" s="276"/>
    </row>
    <row r="928" customFormat="false" ht="14.25" hidden="false" customHeight="false" outlineLevel="0" collapsed="false">
      <c r="A928" s="272" t="s">
        <v>1068</v>
      </c>
      <c r="B928" s="273"/>
      <c r="C928" s="273"/>
      <c r="D928" s="273"/>
      <c r="E928" s="273"/>
      <c r="F928" s="273" t="n">
        <v>11076</v>
      </c>
      <c r="G928" s="273"/>
      <c r="H928" s="273"/>
      <c r="I928" s="273"/>
      <c r="J928" s="273"/>
      <c r="K928" s="273"/>
      <c r="L928" s="273"/>
      <c r="M928" s="273"/>
      <c r="N928" s="273"/>
      <c r="O928" s="273"/>
      <c r="P928" s="273"/>
      <c r="Q928" s="273"/>
      <c r="R928" s="273"/>
      <c r="S928" s="273"/>
      <c r="T928" s="273"/>
      <c r="U928" s="273"/>
      <c r="V928" s="273"/>
      <c r="W928" s="273"/>
      <c r="X928" s="273"/>
      <c r="Y928" s="274" t="n">
        <f aca="false">SUM(B928:X928)</f>
        <v>11076</v>
      </c>
      <c r="Z928" s="272"/>
      <c r="AA928" s="276"/>
    </row>
    <row r="929" customFormat="false" ht="14.25" hidden="false" customHeight="false" outlineLevel="0" collapsed="false">
      <c r="A929" s="272" t="s">
        <v>1069</v>
      </c>
      <c r="B929" s="273"/>
      <c r="C929" s="273" t="n">
        <v>2010.72</v>
      </c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3"/>
      <c r="P929" s="273"/>
      <c r="Q929" s="273"/>
      <c r="R929" s="273"/>
      <c r="S929" s="273"/>
      <c r="T929" s="273"/>
      <c r="U929" s="273"/>
      <c r="V929" s="273"/>
      <c r="W929" s="273"/>
      <c r="X929" s="273"/>
      <c r="Y929" s="274" t="n">
        <f aca="false">SUM(B929:X929)</f>
        <v>2010.72</v>
      </c>
      <c r="Z929" s="272"/>
      <c r="AA929" s="276"/>
    </row>
    <row r="930" customFormat="false" ht="14.25" hidden="false" customHeight="false" outlineLevel="0" collapsed="false">
      <c r="A930" s="272" t="s">
        <v>1070</v>
      </c>
      <c r="B930" s="273"/>
      <c r="C930" s="273" t="n">
        <v>4197.378</v>
      </c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3"/>
      <c r="P930" s="273"/>
      <c r="Q930" s="273"/>
      <c r="R930" s="273"/>
      <c r="S930" s="273"/>
      <c r="T930" s="273"/>
      <c r="U930" s="273"/>
      <c r="V930" s="273"/>
      <c r="W930" s="273"/>
      <c r="X930" s="273"/>
      <c r="Y930" s="274" t="n">
        <f aca="false">SUM(B930:X930)</f>
        <v>4197.378</v>
      </c>
      <c r="Z930" s="272"/>
      <c r="AA930" s="276"/>
    </row>
    <row r="931" customFormat="false" ht="14.25" hidden="false" customHeight="false" outlineLevel="0" collapsed="false">
      <c r="A931" s="272" t="s">
        <v>1071</v>
      </c>
      <c r="B931" s="273"/>
      <c r="C931" s="273"/>
      <c r="D931" s="273"/>
      <c r="E931" s="273"/>
      <c r="F931" s="273" t="n">
        <v>-35636.49</v>
      </c>
      <c r="G931" s="273"/>
      <c r="H931" s="273"/>
      <c r="I931" s="273"/>
      <c r="J931" s="273"/>
      <c r="K931" s="273"/>
      <c r="L931" s="273"/>
      <c r="M931" s="273"/>
      <c r="N931" s="273"/>
      <c r="O931" s="273"/>
      <c r="P931" s="273"/>
      <c r="Q931" s="273"/>
      <c r="R931" s="273"/>
      <c r="S931" s="273"/>
      <c r="T931" s="273"/>
      <c r="U931" s="273"/>
      <c r="V931" s="273"/>
      <c r="W931" s="273"/>
      <c r="X931" s="273"/>
      <c r="Y931" s="274" t="n">
        <f aca="false">SUM(B931:X931)</f>
        <v>-35636.49</v>
      </c>
      <c r="Z931" s="272"/>
      <c r="AA931" s="276"/>
    </row>
    <row r="932" customFormat="false" ht="14.25" hidden="false" customHeight="false" outlineLevel="0" collapsed="false">
      <c r="A932" s="272" t="s">
        <v>1061</v>
      </c>
      <c r="B932" s="273"/>
      <c r="C932" s="273"/>
      <c r="D932" s="273"/>
      <c r="E932" s="273"/>
      <c r="F932" s="273" t="n">
        <v>6740.955</v>
      </c>
      <c r="G932" s="273"/>
      <c r="H932" s="273"/>
      <c r="I932" s="273"/>
      <c r="J932" s="273"/>
      <c r="K932" s="273"/>
      <c r="L932" s="273"/>
      <c r="M932" s="273"/>
      <c r="N932" s="273"/>
      <c r="O932" s="273"/>
      <c r="P932" s="273"/>
      <c r="Q932" s="273"/>
      <c r="R932" s="273"/>
      <c r="S932" s="273"/>
      <c r="T932" s="273"/>
      <c r="U932" s="273"/>
      <c r="V932" s="273"/>
      <c r="W932" s="273"/>
      <c r="X932" s="273"/>
      <c r="Y932" s="274" t="n">
        <f aca="false">SUM(B932:X932)</f>
        <v>6740.955</v>
      </c>
      <c r="Z932" s="272"/>
      <c r="AA932" s="276"/>
    </row>
    <row r="933" customFormat="false" ht="14.25" hidden="false" customHeight="false" outlineLevel="0" collapsed="false">
      <c r="A933" s="272" t="s">
        <v>1072</v>
      </c>
      <c r="B933" s="273"/>
      <c r="C933" s="273"/>
      <c r="D933" s="273"/>
      <c r="E933" s="273"/>
      <c r="F933" s="273" t="n">
        <v>12850.903</v>
      </c>
      <c r="G933" s="273"/>
      <c r="H933" s="273"/>
      <c r="I933" s="273"/>
      <c r="J933" s="273"/>
      <c r="K933" s="273"/>
      <c r="L933" s="273"/>
      <c r="M933" s="273"/>
      <c r="N933" s="273"/>
      <c r="O933" s="273"/>
      <c r="P933" s="273"/>
      <c r="Q933" s="273"/>
      <c r="R933" s="273"/>
      <c r="S933" s="273"/>
      <c r="T933" s="273"/>
      <c r="U933" s="273"/>
      <c r="V933" s="273"/>
      <c r="W933" s="273"/>
      <c r="X933" s="273"/>
      <c r="Y933" s="274" t="n">
        <f aca="false">SUM(B933:X933)</f>
        <v>12850.903</v>
      </c>
      <c r="Z933" s="272"/>
      <c r="AA933" s="276"/>
    </row>
    <row r="934" customFormat="false" ht="14.25" hidden="false" customHeight="false" outlineLevel="0" collapsed="false">
      <c r="A934" s="272" t="s">
        <v>1051</v>
      </c>
      <c r="B934" s="273"/>
      <c r="C934" s="273"/>
      <c r="D934" s="273"/>
      <c r="E934" s="273"/>
      <c r="F934" s="273" t="n">
        <v>6740.955</v>
      </c>
      <c r="G934" s="273"/>
      <c r="H934" s="273"/>
      <c r="I934" s="273"/>
      <c r="J934" s="273"/>
      <c r="K934" s="273"/>
      <c r="L934" s="273"/>
      <c r="M934" s="273"/>
      <c r="N934" s="273"/>
      <c r="O934" s="273"/>
      <c r="P934" s="273"/>
      <c r="Q934" s="273"/>
      <c r="R934" s="273"/>
      <c r="S934" s="273"/>
      <c r="T934" s="273"/>
      <c r="U934" s="273"/>
      <c r="V934" s="273"/>
      <c r="W934" s="273"/>
      <c r="X934" s="273"/>
      <c r="Y934" s="274" t="n">
        <f aca="false">SUM(B934:X934)</f>
        <v>6740.955</v>
      </c>
      <c r="Z934" s="272"/>
      <c r="AA934" s="276"/>
    </row>
    <row r="935" customFormat="false" ht="14.25" hidden="false" customHeight="false" outlineLevel="0" collapsed="false">
      <c r="A935" s="272" t="s">
        <v>1050</v>
      </c>
      <c r="B935" s="273"/>
      <c r="C935" s="273"/>
      <c r="D935" s="273"/>
      <c r="E935" s="273"/>
      <c r="F935" s="273" t="n">
        <v>6740.955</v>
      </c>
      <c r="G935" s="273"/>
      <c r="H935" s="273"/>
      <c r="I935" s="273"/>
      <c r="J935" s="273"/>
      <c r="K935" s="273"/>
      <c r="L935" s="273"/>
      <c r="M935" s="273"/>
      <c r="N935" s="273"/>
      <c r="O935" s="273"/>
      <c r="P935" s="273"/>
      <c r="Q935" s="273"/>
      <c r="R935" s="273"/>
      <c r="S935" s="273"/>
      <c r="T935" s="273"/>
      <c r="U935" s="273"/>
      <c r="V935" s="273"/>
      <c r="W935" s="273"/>
      <c r="X935" s="273"/>
      <c r="Y935" s="274" t="n">
        <f aca="false">SUM(B935:X935)</f>
        <v>6740.955</v>
      </c>
      <c r="Z935" s="272"/>
      <c r="AA935" s="276"/>
    </row>
    <row r="936" customFormat="false" ht="14.25" hidden="false" customHeight="false" outlineLevel="0" collapsed="false">
      <c r="A936" s="272" t="s">
        <v>1073</v>
      </c>
      <c r="B936" s="273"/>
      <c r="C936" s="273"/>
      <c r="D936" s="273"/>
      <c r="E936" s="273"/>
      <c r="F936" s="273" t="n">
        <v>6740.955</v>
      </c>
      <c r="G936" s="273"/>
      <c r="H936" s="273"/>
      <c r="I936" s="273"/>
      <c r="J936" s="273"/>
      <c r="K936" s="273"/>
      <c r="L936" s="273"/>
      <c r="M936" s="273"/>
      <c r="N936" s="273"/>
      <c r="O936" s="273"/>
      <c r="P936" s="273"/>
      <c r="Q936" s="273"/>
      <c r="R936" s="273"/>
      <c r="S936" s="273"/>
      <c r="T936" s="273"/>
      <c r="U936" s="273"/>
      <c r="V936" s="273"/>
      <c r="W936" s="273"/>
      <c r="X936" s="273"/>
      <c r="Y936" s="274" t="n">
        <f aca="false">SUM(B936:X936)</f>
        <v>6740.955</v>
      </c>
      <c r="Z936" s="272"/>
      <c r="AA936" s="276"/>
    </row>
    <row r="937" customFormat="false" ht="14.25" hidden="false" customHeight="false" outlineLevel="0" collapsed="false">
      <c r="A937" s="272" t="s">
        <v>1001</v>
      </c>
      <c r="B937" s="273"/>
      <c r="C937" s="273"/>
      <c r="D937" s="273"/>
      <c r="E937" s="273"/>
      <c r="F937" s="273" t="n">
        <v>1372.41</v>
      </c>
      <c r="G937" s="273"/>
      <c r="H937" s="273"/>
      <c r="I937" s="273"/>
      <c r="J937" s="273"/>
      <c r="K937" s="273"/>
      <c r="L937" s="273"/>
      <c r="M937" s="273"/>
      <c r="N937" s="273"/>
      <c r="O937" s="273"/>
      <c r="P937" s="273"/>
      <c r="Q937" s="273"/>
      <c r="R937" s="273"/>
      <c r="S937" s="273"/>
      <c r="T937" s="273"/>
      <c r="U937" s="273"/>
      <c r="V937" s="273"/>
      <c r="W937" s="273"/>
      <c r="X937" s="273"/>
      <c r="Y937" s="274" t="n">
        <f aca="false">SUM(B937:X937)</f>
        <v>1372.41</v>
      </c>
      <c r="Z937" s="272"/>
      <c r="AA937" s="276"/>
    </row>
    <row r="938" customFormat="false" ht="14.25" hidden="false" customHeight="false" outlineLevel="0" collapsed="false">
      <c r="A938" s="272" t="s">
        <v>1012</v>
      </c>
      <c r="B938" s="273"/>
      <c r="C938" s="273"/>
      <c r="D938" s="273"/>
      <c r="E938" s="273" t="n">
        <v>30424</v>
      </c>
      <c r="F938" s="273"/>
      <c r="G938" s="273"/>
      <c r="H938" s="273"/>
      <c r="I938" s="273"/>
      <c r="J938" s="273"/>
      <c r="K938" s="273"/>
      <c r="L938" s="273"/>
      <c r="M938" s="273"/>
      <c r="N938" s="273"/>
      <c r="O938" s="273"/>
      <c r="P938" s="273"/>
      <c r="Q938" s="273"/>
      <c r="R938" s="273"/>
      <c r="S938" s="273"/>
      <c r="T938" s="273"/>
      <c r="U938" s="273"/>
      <c r="V938" s="273"/>
      <c r="W938" s="273"/>
      <c r="X938" s="273"/>
      <c r="Y938" s="274" t="n">
        <f aca="false">SUM(B938:X938)</f>
        <v>30424</v>
      </c>
      <c r="Z938" s="272"/>
      <c r="AA938" s="276"/>
    </row>
    <row r="939" customFormat="false" ht="14.25" hidden="false" customHeight="false" outlineLevel="0" collapsed="false">
      <c r="A939" s="272" t="s">
        <v>1012</v>
      </c>
      <c r="B939" s="273"/>
      <c r="C939" s="273"/>
      <c r="D939" s="273"/>
      <c r="E939" s="273" t="n">
        <v>30424</v>
      </c>
      <c r="F939" s="273"/>
      <c r="G939" s="273"/>
      <c r="H939" s="273"/>
      <c r="I939" s="273"/>
      <c r="J939" s="273"/>
      <c r="K939" s="273"/>
      <c r="L939" s="273"/>
      <c r="M939" s="273"/>
      <c r="N939" s="273"/>
      <c r="O939" s="273"/>
      <c r="P939" s="273"/>
      <c r="Q939" s="273"/>
      <c r="R939" s="273"/>
      <c r="S939" s="273"/>
      <c r="T939" s="273"/>
      <c r="U939" s="273"/>
      <c r="V939" s="273"/>
      <c r="W939" s="273"/>
      <c r="X939" s="273"/>
      <c r="Y939" s="274" t="n">
        <f aca="false">SUM(B939:X939)</f>
        <v>30424</v>
      </c>
      <c r="Z939" s="272"/>
      <c r="AA939" s="276"/>
    </row>
    <row r="940" customFormat="false" ht="14.25" hidden="false" customHeight="false" outlineLevel="0" collapsed="false">
      <c r="A940" s="272" t="s">
        <v>1004</v>
      </c>
      <c r="B940" s="273"/>
      <c r="C940" s="273"/>
      <c r="D940" s="273"/>
      <c r="E940" s="273"/>
      <c r="F940" s="273" t="n">
        <v>-18572.85</v>
      </c>
      <c r="G940" s="273"/>
      <c r="H940" s="273"/>
      <c r="I940" s="273"/>
      <c r="J940" s="273"/>
      <c r="K940" s="273"/>
      <c r="L940" s="273"/>
      <c r="M940" s="273"/>
      <c r="N940" s="273"/>
      <c r="O940" s="273"/>
      <c r="P940" s="273"/>
      <c r="Q940" s="273"/>
      <c r="R940" s="273"/>
      <c r="S940" s="273"/>
      <c r="T940" s="273"/>
      <c r="U940" s="273"/>
      <c r="V940" s="273"/>
      <c r="W940" s="273"/>
      <c r="X940" s="273"/>
      <c r="Y940" s="274" t="n">
        <f aca="false">SUM(B940:X940)</f>
        <v>-18572.85</v>
      </c>
      <c r="Z940" s="272"/>
      <c r="AA940" s="276"/>
    </row>
    <row r="941" customFormat="false" ht="14.25" hidden="false" customHeight="false" outlineLevel="0" collapsed="false">
      <c r="A941" s="272" t="s">
        <v>1074</v>
      </c>
      <c r="B941" s="273"/>
      <c r="C941" s="273"/>
      <c r="D941" s="273"/>
      <c r="E941" s="273"/>
      <c r="F941" s="273" t="n">
        <v>6740.955</v>
      </c>
      <c r="G941" s="273"/>
      <c r="H941" s="273"/>
      <c r="I941" s="273"/>
      <c r="J941" s="273"/>
      <c r="K941" s="273"/>
      <c r="L941" s="273"/>
      <c r="M941" s="273"/>
      <c r="N941" s="273"/>
      <c r="O941" s="273"/>
      <c r="P941" s="273"/>
      <c r="Q941" s="273"/>
      <c r="R941" s="273"/>
      <c r="S941" s="273"/>
      <c r="T941" s="273"/>
      <c r="U941" s="273"/>
      <c r="V941" s="273"/>
      <c r="W941" s="273"/>
      <c r="X941" s="273"/>
      <c r="Y941" s="274" t="n">
        <f aca="false">SUM(B941:X941)</f>
        <v>6740.955</v>
      </c>
      <c r="Z941" s="272"/>
      <c r="AA941" s="276"/>
    </row>
    <row r="942" customFormat="false" ht="14.25" hidden="false" customHeight="false" outlineLevel="0" collapsed="false">
      <c r="A942" s="272" t="s">
        <v>1075</v>
      </c>
      <c r="B942" s="273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3"/>
      <c r="P942" s="273" t="n">
        <v>-546.18</v>
      </c>
      <c r="Q942" s="273"/>
      <c r="R942" s="273"/>
      <c r="S942" s="273"/>
      <c r="T942" s="273"/>
      <c r="U942" s="273"/>
      <c r="V942" s="273"/>
      <c r="W942" s="273"/>
      <c r="X942" s="273"/>
      <c r="Y942" s="274" t="n">
        <f aca="false">SUM(B942:X942)</f>
        <v>-546.18</v>
      </c>
      <c r="Z942" s="272"/>
      <c r="AA942" s="276"/>
    </row>
    <row r="943" customFormat="false" ht="14.25" hidden="false" customHeight="false" outlineLevel="0" collapsed="false">
      <c r="A943" s="272" t="s">
        <v>1076</v>
      </c>
      <c r="B943" s="273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 t="n">
        <v>-2512.908</v>
      </c>
      <c r="N943" s="273" t="n">
        <v>-3698.7945</v>
      </c>
      <c r="O943" s="273"/>
      <c r="P943" s="273"/>
      <c r="Q943" s="273"/>
      <c r="R943" s="273"/>
      <c r="S943" s="273"/>
      <c r="T943" s="273"/>
      <c r="U943" s="273"/>
      <c r="V943" s="273"/>
      <c r="W943" s="273"/>
      <c r="X943" s="273"/>
      <c r="Y943" s="274" t="n">
        <f aca="false">SUM(B943:X943)</f>
        <v>-6211.7025</v>
      </c>
      <c r="Z943" s="272"/>
      <c r="AA943" s="276"/>
    </row>
    <row r="944" customFormat="false" ht="14.25" hidden="false" customHeight="false" outlineLevel="0" collapsed="false">
      <c r="A944" s="272" t="s">
        <v>1074</v>
      </c>
      <c r="B944" s="273"/>
      <c r="C944" s="273"/>
      <c r="D944" s="273"/>
      <c r="E944" s="273"/>
      <c r="F944" s="273" t="n">
        <v>329.13</v>
      </c>
      <c r="G944" s="273"/>
      <c r="H944" s="273"/>
      <c r="I944" s="273"/>
      <c r="J944" s="273"/>
      <c r="K944" s="273"/>
      <c r="L944" s="273"/>
      <c r="M944" s="273"/>
      <c r="N944" s="273"/>
      <c r="O944" s="273"/>
      <c r="P944" s="273"/>
      <c r="Q944" s="273"/>
      <c r="R944" s="273"/>
      <c r="S944" s="273"/>
      <c r="T944" s="273"/>
      <c r="U944" s="273"/>
      <c r="V944" s="273"/>
      <c r="W944" s="273"/>
      <c r="X944" s="273"/>
      <c r="Y944" s="274" t="n">
        <f aca="false">SUM(B944:X944)</f>
        <v>329.13</v>
      </c>
      <c r="Z944" s="272"/>
      <c r="AA944" s="276"/>
    </row>
    <row r="945" customFormat="false" ht="14.25" hidden="false" customHeight="false" outlineLevel="0" collapsed="false">
      <c r="A945" s="272" t="s">
        <v>818</v>
      </c>
      <c r="B945" s="273"/>
      <c r="C945" s="273"/>
      <c r="D945" s="273"/>
      <c r="E945" s="273"/>
      <c r="F945" s="273" t="n">
        <v>524.7</v>
      </c>
      <c r="G945" s="273"/>
      <c r="H945" s="273"/>
      <c r="I945" s="273"/>
      <c r="J945" s="273"/>
      <c r="K945" s="273"/>
      <c r="L945" s="273"/>
      <c r="M945" s="273"/>
      <c r="N945" s="273"/>
      <c r="O945" s="273"/>
      <c r="P945" s="273"/>
      <c r="Q945" s="273"/>
      <c r="R945" s="273"/>
      <c r="S945" s="273"/>
      <c r="T945" s="273"/>
      <c r="U945" s="273"/>
      <c r="V945" s="273"/>
      <c r="W945" s="273"/>
      <c r="X945" s="273"/>
      <c r="Y945" s="274" t="n">
        <f aca="false">SUM(B945:X945)</f>
        <v>524.7</v>
      </c>
      <c r="Z945" s="272"/>
      <c r="AA945" s="276"/>
    </row>
    <row r="946" customFormat="false" ht="14.25" hidden="false" customHeight="false" outlineLevel="0" collapsed="false">
      <c r="A946" s="272" t="s">
        <v>1061</v>
      </c>
      <c r="B946" s="273"/>
      <c r="C946" s="273"/>
      <c r="D946" s="273"/>
      <c r="E946" s="273"/>
      <c r="F946" s="273" t="n">
        <v>1274.9625</v>
      </c>
      <c r="G946" s="273"/>
      <c r="H946" s="273"/>
      <c r="I946" s="273"/>
      <c r="J946" s="273"/>
      <c r="K946" s="273"/>
      <c r="L946" s="273"/>
      <c r="M946" s="273"/>
      <c r="N946" s="273"/>
      <c r="O946" s="273"/>
      <c r="P946" s="273"/>
      <c r="Q946" s="273"/>
      <c r="R946" s="273"/>
      <c r="S946" s="273"/>
      <c r="T946" s="273"/>
      <c r="U946" s="273"/>
      <c r="V946" s="273"/>
      <c r="W946" s="273"/>
      <c r="X946" s="273"/>
      <c r="Y946" s="274" t="n">
        <f aca="false">SUM(B946:X946)</f>
        <v>1274.9625</v>
      </c>
      <c r="Z946" s="272"/>
      <c r="AA946" s="276"/>
    </row>
    <row r="947" customFormat="false" ht="14.25" hidden="false" customHeight="false" outlineLevel="0" collapsed="false">
      <c r="A947" s="272" t="s">
        <v>1077</v>
      </c>
      <c r="B947" s="273"/>
      <c r="C947" s="273"/>
      <c r="D947" s="273"/>
      <c r="E947" s="273"/>
      <c r="F947" s="273"/>
      <c r="G947" s="273" t="n">
        <v>-12.348</v>
      </c>
      <c r="H947" s="273"/>
      <c r="I947" s="273"/>
      <c r="J947" s="273"/>
      <c r="K947" s="273"/>
      <c r="L947" s="273"/>
      <c r="M947" s="273"/>
      <c r="N947" s="273"/>
      <c r="O947" s="273"/>
      <c r="P947" s="273"/>
      <c r="Q947" s="273"/>
      <c r="R947" s="273"/>
      <c r="S947" s="273"/>
      <c r="T947" s="273"/>
      <c r="U947" s="273"/>
      <c r="V947" s="273"/>
      <c r="W947" s="273"/>
      <c r="X947" s="273"/>
      <c r="Y947" s="274" t="n">
        <f aca="false">SUM(B947:X947)</f>
        <v>-12.348</v>
      </c>
      <c r="Z947" s="272"/>
      <c r="AA947" s="276"/>
    </row>
    <row r="948" customFormat="false" ht="14.25" hidden="false" customHeight="false" outlineLevel="0" collapsed="false">
      <c r="A948" s="272" t="s">
        <v>1012</v>
      </c>
      <c r="B948" s="273"/>
      <c r="C948" s="273"/>
      <c r="D948" s="273"/>
      <c r="E948" s="273" t="n">
        <v>114241.21</v>
      </c>
      <c r="F948" s="273"/>
      <c r="G948" s="273"/>
      <c r="H948" s="273"/>
      <c r="I948" s="273"/>
      <c r="J948" s="273"/>
      <c r="K948" s="273"/>
      <c r="L948" s="273"/>
      <c r="M948" s="273"/>
      <c r="N948" s="273"/>
      <c r="O948" s="273"/>
      <c r="P948" s="273"/>
      <c r="Q948" s="273"/>
      <c r="R948" s="273"/>
      <c r="S948" s="273"/>
      <c r="T948" s="273"/>
      <c r="U948" s="273"/>
      <c r="V948" s="273"/>
      <c r="W948" s="273"/>
      <c r="X948" s="273"/>
      <c r="Y948" s="274" t="n">
        <f aca="false">SUM(B948:X948)</f>
        <v>114241.21</v>
      </c>
      <c r="Z948" s="272"/>
      <c r="AA948" s="276"/>
    </row>
    <row r="949" customFormat="false" ht="14.25" hidden="false" customHeight="false" outlineLevel="0" collapsed="false">
      <c r="A949" s="272" t="s">
        <v>1078</v>
      </c>
      <c r="B949" s="273"/>
      <c r="C949" s="273"/>
      <c r="D949" s="273"/>
      <c r="E949" s="273"/>
      <c r="F949" s="273" t="n">
        <v>1352.2275</v>
      </c>
      <c r="G949" s="273"/>
      <c r="H949" s="273"/>
      <c r="I949" s="273"/>
      <c r="J949" s="273"/>
      <c r="K949" s="273"/>
      <c r="L949" s="273"/>
      <c r="M949" s="273"/>
      <c r="N949" s="273"/>
      <c r="O949" s="273"/>
      <c r="P949" s="273"/>
      <c r="Q949" s="273"/>
      <c r="R949" s="273"/>
      <c r="S949" s="273"/>
      <c r="T949" s="273"/>
      <c r="U949" s="273"/>
      <c r="V949" s="273"/>
      <c r="W949" s="273"/>
      <c r="X949" s="273"/>
      <c r="Y949" s="274" t="n">
        <f aca="false">SUM(B949:X949)</f>
        <v>1352.2275</v>
      </c>
      <c r="Z949" s="272"/>
      <c r="AA949" s="276"/>
    </row>
    <row r="950" customFormat="false" ht="14.25" hidden="false" customHeight="false" outlineLevel="0" collapsed="false">
      <c r="A950" s="272" t="s">
        <v>1079</v>
      </c>
      <c r="B950" s="273"/>
      <c r="C950" s="273"/>
      <c r="D950" s="273"/>
      <c r="E950" s="273"/>
      <c r="F950" s="273" t="n">
        <v>1352.2275</v>
      </c>
      <c r="G950" s="273"/>
      <c r="H950" s="273"/>
      <c r="I950" s="273"/>
      <c r="J950" s="273"/>
      <c r="K950" s="273"/>
      <c r="L950" s="273"/>
      <c r="M950" s="273"/>
      <c r="N950" s="273"/>
      <c r="O950" s="273"/>
      <c r="P950" s="273"/>
      <c r="Q950" s="273"/>
      <c r="R950" s="273"/>
      <c r="S950" s="273"/>
      <c r="T950" s="273"/>
      <c r="U950" s="273"/>
      <c r="V950" s="273"/>
      <c r="W950" s="273"/>
      <c r="X950" s="273"/>
      <c r="Y950" s="274" t="n">
        <f aca="false">SUM(B950:X950)</f>
        <v>1352.2275</v>
      </c>
      <c r="Z950" s="272"/>
      <c r="AA950" s="276"/>
    </row>
    <row r="951" customFormat="false" ht="14.25" hidden="false" customHeight="false" outlineLevel="0" collapsed="false">
      <c r="A951" s="272" t="s">
        <v>1080</v>
      </c>
      <c r="B951" s="273"/>
      <c r="C951" s="273" t="n">
        <v>1005.36</v>
      </c>
      <c r="D951" s="273"/>
      <c r="E951" s="273"/>
      <c r="F951" s="273" t="n">
        <v>1089.855</v>
      </c>
      <c r="G951" s="273" t="n">
        <v>-35.28</v>
      </c>
      <c r="H951" s="273"/>
      <c r="I951" s="273"/>
      <c r="J951" s="273"/>
      <c r="K951" s="273"/>
      <c r="L951" s="273"/>
      <c r="M951" s="273"/>
      <c r="N951" s="273"/>
      <c r="O951" s="273"/>
      <c r="P951" s="273"/>
      <c r="Q951" s="273"/>
      <c r="R951" s="273"/>
      <c r="S951" s="273"/>
      <c r="T951" s="273"/>
      <c r="U951" s="273"/>
      <c r="V951" s="273"/>
      <c r="W951" s="273"/>
      <c r="X951" s="273"/>
      <c r="Y951" s="274" t="n">
        <f aca="false">SUM(B951:X951)</f>
        <v>2059.935</v>
      </c>
      <c r="Z951" s="272"/>
      <c r="AA951" s="276"/>
    </row>
    <row r="952" customFormat="false" ht="14.25" hidden="false" customHeight="false" outlineLevel="0" collapsed="false">
      <c r="A952" s="272" t="s">
        <v>1004</v>
      </c>
      <c r="B952" s="273"/>
      <c r="C952" s="273"/>
      <c r="D952" s="273"/>
      <c r="E952" s="273"/>
      <c r="F952" s="273" t="n">
        <v>796.59</v>
      </c>
      <c r="G952" s="273"/>
      <c r="H952" s="273"/>
      <c r="I952" s="273"/>
      <c r="J952" s="273"/>
      <c r="K952" s="273"/>
      <c r="L952" s="273"/>
      <c r="M952" s="273"/>
      <c r="N952" s="273"/>
      <c r="O952" s="273"/>
      <c r="P952" s="273"/>
      <c r="Q952" s="273"/>
      <c r="R952" s="273"/>
      <c r="S952" s="273"/>
      <c r="T952" s="273"/>
      <c r="U952" s="273"/>
      <c r="V952" s="273"/>
      <c r="W952" s="273"/>
      <c r="X952" s="273"/>
      <c r="Y952" s="274" t="n">
        <f aca="false">SUM(B952:X952)</f>
        <v>796.59</v>
      </c>
      <c r="Z952" s="272"/>
      <c r="AA952" s="276"/>
    </row>
    <row r="953" customFormat="false" ht="14.25" hidden="false" customHeight="false" outlineLevel="0" collapsed="false">
      <c r="A953" s="272" t="s">
        <v>1081</v>
      </c>
      <c r="B953" s="273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3"/>
      <c r="P953" s="273" t="n">
        <v>-2403.192</v>
      </c>
      <c r="Q953" s="273"/>
      <c r="R953" s="273"/>
      <c r="S953" s="273"/>
      <c r="T953" s="273"/>
      <c r="U953" s="273"/>
      <c r="V953" s="273"/>
      <c r="W953" s="273"/>
      <c r="X953" s="273"/>
      <c r="Y953" s="274" t="n">
        <f aca="false">SUM(B953:X953)</f>
        <v>-2403.192</v>
      </c>
      <c r="Z953" s="272"/>
      <c r="AA953" s="276"/>
    </row>
    <row r="954" customFormat="false" ht="14.25" hidden="false" customHeight="false" outlineLevel="0" collapsed="false">
      <c r="A954" s="272" t="s">
        <v>1082</v>
      </c>
      <c r="B954" s="273"/>
      <c r="C954" s="273" t="n">
        <v>-988.2</v>
      </c>
      <c r="D954" s="273"/>
      <c r="E954" s="273"/>
      <c r="F954" s="273" t="n">
        <v>-8050.89</v>
      </c>
      <c r="G954" s="273"/>
      <c r="H954" s="273"/>
      <c r="I954" s="273"/>
      <c r="J954" s="273"/>
      <c r="K954" s="273"/>
      <c r="L954" s="273"/>
      <c r="M954" s="273"/>
      <c r="N954" s="273"/>
      <c r="O954" s="273"/>
      <c r="P954" s="273"/>
      <c r="Q954" s="273"/>
      <c r="R954" s="273"/>
      <c r="S954" s="273"/>
      <c r="T954" s="273"/>
      <c r="U954" s="273"/>
      <c r="V954" s="273"/>
      <c r="W954" s="273"/>
      <c r="X954" s="273"/>
      <c r="Y954" s="274" t="n">
        <f aca="false">SUM(B954:X954)</f>
        <v>-9039.09</v>
      </c>
      <c r="Z954" s="272"/>
      <c r="AA954" s="276"/>
    </row>
    <row r="955" customFormat="false" ht="14.25" hidden="false" customHeight="false" outlineLevel="0" collapsed="false">
      <c r="A955" s="272" t="s">
        <v>1083</v>
      </c>
      <c r="B955" s="273"/>
      <c r="C955" s="273"/>
      <c r="D955" s="273"/>
      <c r="E955" s="273"/>
      <c r="F955" s="273" t="n">
        <v>5792.3775</v>
      </c>
      <c r="G955" s="273"/>
      <c r="H955" s="273"/>
      <c r="I955" s="273"/>
      <c r="J955" s="273"/>
      <c r="K955" s="273"/>
      <c r="L955" s="273"/>
      <c r="M955" s="273"/>
      <c r="N955" s="273"/>
      <c r="O955" s="273"/>
      <c r="P955" s="273"/>
      <c r="Q955" s="273"/>
      <c r="R955" s="273"/>
      <c r="S955" s="273"/>
      <c r="T955" s="273"/>
      <c r="U955" s="273"/>
      <c r="V955" s="273"/>
      <c r="W955" s="273"/>
      <c r="X955" s="273"/>
      <c r="Y955" s="274" t="n">
        <f aca="false">SUM(B955:X955)</f>
        <v>5792.3775</v>
      </c>
      <c r="Z955" s="272"/>
      <c r="AA955" s="276"/>
    </row>
    <row r="956" customFormat="false" ht="14.25" hidden="false" customHeight="false" outlineLevel="0" collapsed="false">
      <c r="A956" s="272" t="s">
        <v>1084</v>
      </c>
      <c r="B956" s="273"/>
      <c r="C956" s="273"/>
      <c r="D956" s="273"/>
      <c r="E956" s="273"/>
      <c r="F956" s="273" t="n">
        <v>6740.955</v>
      </c>
      <c r="G956" s="273"/>
      <c r="H956" s="273"/>
      <c r="I956" s="273"/>
      <c r="J956" s="273"/>
      <c r="K956" s="273"/>
      <c r="L956" s="273"/>
      <c r="M956" s="273"/>
      <c r="N956" s="273"/>
      <c r="O956" s="273"/>
      <c r="P956" s="273"/>
      <c r="Q956" s="273"/>
      <c r="R956" s="273"/>
      <c r="S956" s="273"/>
      <c r="T956" s="273"/>
      <c r="U956" s="273"/>
      <c r="V956" s="273"/>
      <c r="W956" s="273"/>
      <c r="X956" s="273"/>
      <c r="Y956" s="274" t="n">
        <f aca="false">SUM(B956:X956)</f>
        <v>6740.955</v>
      </c>
      <c r="Z956" s="272"/>
      <c r="AA956" s="276"/>
    </row>
    <row r="957" customFormat="false" ht="14.25" hidden="false" customHeight="false" outlineLevel="0" collapsed="false">
      <c r="A957" s="272" t="s">
        <v>1085</v>
      </c>
      <c r="B957" s="273"/>
      <c r="C957" s="273"/>
      <c r="D957" s="273"/>
      <c r="E957" s="273"/>
      <c r="F957" s="273" t="n">
        <v>-20330.5695</v>
      </c>
      <c r="G957" s="273"/>
      <c r="H957" s="273"/>
      <c r="I957" s="273"/>
      <c r="J957" s="273"/>
      <c r="K957" s="273"/>
      <c r="L957" s="273"/>
      <c r="M957" s="273"/>
      <c r="N957" s="273"/>
      <c r="O957" s="273"/>
      <c r="P957" s="273"/>
      <c r="Q957" s="273"/>
      <c r="R957" s="273"/>
      <c r="S957" s="273"/>
      <c r="T957" s="273"/>
      <c r="U957" s="273"/>
      <c r="V957" s="273"/>
      <c r="W957" s="273"/>
      <c r="X957" s="273"/>
      <c r="Y957" s="274" t="n">
        <f aca="false">SUM(B957:X957)</f>
        <v>-20330.5695</v>
      </c>
      <c r="Z957" s="272"/>
      <c r="AA957" s="276"/>
    </row>
    <row r="958" customFormat="false" ht="14.25" hidden="false" customHeight="false" outlineLevel="0" collapsed="false">
      <c r="A958" s="272" t="s">
        <v>1086</v>
      </c>
      <c r="B958" s="273" t="n">
        <v>-8.1495</v>
      </c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3"/>
      <c r="P958" s="273"/>
      <c r="Q958" s="273"/>
      <c r="R958" s="273"/>
      <c r="S958" s="273"/>
      <c r="T958" s="273"/>
      <c r="U958" s="273"/>
      <c r="V958" s="273"/>
      <c r="W958" s="273"/>
      <c r="X958" s="273"/>
      <c r="Y958" s="274" t="n">
        <f aca="false">SUM(B958:X958)</f>
        <v>-8.1495</v>
      </c>
      <c r="Z958" s="272"/>
      <c r="AA958" s="276"/>
    </row>
    <row r="959" customFormat="false" ht="14.25" hidden="false" customHeight="false" outlineLevel="0" collapsed="false">
      <c r="A959" s="272" t="s">
        <v>1087</v>
      </c>
      <c r="B959" s="273" t="n">
        <v>-969.75</v>
      </c>
      <c r="C959" s="273"/>
      <c r="D959" s="273"/>
      <c r="E959" s="273"/>
      <c r="F959" s="273"/>
      <c r="G959" s="273"/>
      <c r="H959" s="273"/>
      <c r="I959" s="273"/>
      <c r="J959" s="273"/>
      <c r="K959" s="273"/>
      <c r="L959" s="273" t="n">
        <v>-27600.75</v>
      </c>
      <c r="M959" s="273"/>
      <c r="N959" s="273" t="n">
        <v>-9808.905</v>
      </c>
      <c r="O959" s="273"/>
      <c r="P959" s="273"/>
      <c r="Q959" s="273"/>
      <c r="R959" s="273"/>
      <c r="S959" s="273"/>
      <c r="T959" s="273"/>
      <c r="U959" s="273"/>
      <c r="V959" s="273"/>
      <c r="W959" s="273"/>
      <c r="X959" s="273"/>
      <c r="Y959" s="274" t="n">
        <f aca="false">SUM(B959:X959)</f>
        <v>-38379.405</v>
      </c>
      <c r="Z959" s="272"/>
      <c r="AA959" s="276"/>
    </row>
    <row r="960" customFormat="false" ht="14.25" hidden="false" customHeight="false" outlineLevel="0" collapsed="false">
      <c r="A960" s="272" t="s">
        <v>1088</v>
      </c>
      <c r="B960" s="273" t="n">
        <v>-969.75</v>
      </c>
      <c r="C960" s="273"/>
      <c r="D960" s="273"/>
      <c r="E960" s="273"/>
      <c r="F960" s="273"/>
      <c r="G960" s="273"/>
      <c r="H960" s="273"/>
      <c r="I960" s="273"/>
      <c r="J960" s="273"/>
      <c r="K960" s="273"/>
      <c r="L960" s="273" t="n">
        <v>-14720.4</v>
      </c>
      <c r="M960" s="273"/>
      <c r="N960" s="273" t="n">
        <v>-4018.86</v>
      </c>
      <c r="O960" s="273"/>
      <c r="P960" s="273"/>
      <c r="Q960" s="273"/>
      <c r="R960" s="273"/>
      <c r="S960" s="273"/>
      <c r="T960" s="273"/>
      <c r="U960" s="273"/>
      <c r="V960" s="273"/>
      <c r="W960" s="273"/>
      <c r="X960" s="273"/>
      <c r="Y960" s="274" t="n">
        <f aca="false">SUM(B960:X960)</f>
        <v>-19709.01</v>
      </c>
      <c r="Z960" s="272"/>
      <c r="AA960" s="276"/>
    </row>
    <row r="961" customFormat="false" ht="14.25" hidden="false" customHeight="false" outlineLevel="0" collapsed="false">
      <c r="A961" s="272" t="s">
        <v>1089</v>
      </c>
      <c r="B961" s="273"/>
      <c r="C961" s="273"/>
      <c r="D961" s="273"/>
      <c r="E961" s="273"/>
      <c r="F961" s="273"/>
      <c r="G961" s="273"/>
      <c r="H961" s="273" t="n">
        <v>678.33</v>
      </c>
      <c r="I961" s="273"/>
      <c r="J961" s="273"/>
      <c r="K961" s="273"/>
      <c r="L961" s="273" t="n">
        <v>-14720.4</v>
      </c>
      <c r="M961" s="273"/>
      <c r="N961" s="273" t="n">
        <v>-4510.725</v>
      </c>
      <c r="O961" s="273"/>
      <c r="P961" s="273"/>
      <c r="Q961" s="273"/>
      <c r="R961" s="273"/>
      <c r="S961" s="273"/>
      <c r="T961" s="273"/>
      <c r="U961" s="273"/>
      <c r="V961" s="273"/>
      <c r="W961" s="273"/>
      <c r="X961" s="273"/>
      <c r="Y961" s="274" t="n">
        <f aca="false">SUM(B961:X961)</f>
        <v>-18552.795</v>
      </c>
      <c r="Z961" s="272"/>
      <c r="AA961" s="276"/>
    </row>
    <row r="962" customFormat="false" ht="14.25" hidden="false" customHeight="false" outlineLevel="0" collapsed="false">
      <c r="A962" s="272" t="s">
        <v>1090</v>
      </c>
      <c r="B962" s="273" t="n">
        <v>-969.75</v>
      </c>
      <c r="C962" s="273"/>
      <c r="D962" s="273"/>
      <c r="E962" s="273"/>
      <c r="F962" s="273"/>
      <c r="G962" s="273"/>
      <c r="H962" s="273"/>
      <c r="I962" s="273"/>
      <c r="J962" s="273"/>
      <c r="K962" s="273"/>
      <c r="L962" s="273" t="n">
        <v>-5520.15</v>
      </c>
      <c r="M962" s="273"/>
      <c r="N962" s="273" t="n">
        <v>-4522.425</v>
      </c>
      <c r="O962" s="273"/>
      <c r="P962" s="273"/>
      <c r="Q962" s="273"/>
      <c r="R962" s="273"/>
      <c r="S962" s="273"/>
      <c r="T962" s="273"/>
      <c r="U962" s="273"/>
      <c r="V962" s="273"/>
      <c r="W962" s="273"/>
      <c r="X962" s="273"/>
      <c r="Y962" s="274" t="n">
        <f aca="false">SUM(B962:X962)</f>
        <v>-11012.325</v>
      </c>
      <c r="Z962" s="272"/>
      <c r="AA962" s="276"/>
    </row>
    <row r="963" customFormat="false" ht="14.25" hidden="false" customHeight="false" outlineLevel="0" collapsed="false">
      <c r="A963" s="272" t="s">
        <v>1091</v>
      </c>
      <c r="B963" s="273" t="n">
        <v>-1008.54</v>
      </c>
      <c r="C963" s="273"/>
      <c r="D963" s="273"/>
      <c r="E963" s="273"/>
      <c r="F963" s="273"/>
      <c r="G963" s="273"/>
      <c r="H963" s="273"/>
      <c r="I963" s="273"/>
      <c r="J963" s="273"/>
      <c r="K963" s="273"/>
      <c r="L963" s="273" t="n">
        <v>-3680.1</v>
      </c>
      <c r="M963" s="273"/>
      <c r="N963" s="273" t="n">
        <v>-3129</v>
      </c>
      <c r="O963" s="273"/>
      <c r="P963" s="273"/>
      <c r="Q963" s="273"/>
      <c r="R963" s="273"/>
      <c r="S963" s="273"/>
      <c r="T963" s="273"/>
      <c r="U963" s="273"/>
      <c r="V963" s="273"/>
      <c r="W963" s="273"/>
      <c r="X963" s="273"/>
      <c r="Y963" s="274" t="n">
        <f aca="false">SUM(B963:X963)</f>
        <v>-7817.64</v>
      </c>
      <c r="Z963" s="272"/>
      <c r="AA963" s="276"/>
    </row>
    <row r="964" customFormat="false" ht="14.25" hidden="false" customHeight="false" outlineLevel="0" collapsed="false">
      <c r="A964" s="272" t="s">
        <v>1092</v>
      </c>
      <c r="B964" s="273"/>
      <c r="C964" s="273"/>
      <c r="D964" s="273"/>
      <c r="E964" s="273"/>
      <c r="F964" s="273" t="n">
        <v>948.5775</v>
      </c>
      <c r="G964" s="273"/>
      <c r="H964" s="273"/>
      <c r="I964" s="273"/>
      <c r="J964" s="273"/>
      <c r="K964" s="273"/>
      <c r="L964" s="273"/>
      <c r="M964" s="273"/>
      <c r="N964" s="273"/>
      <c r="O964" s="273"/>
      <c r="P964" s="273"/>
      <c r="Q964" s="273"/>
      <c r="R964" s="273"/>
      <c r="S964" s="273"/>
      <c r="T964" s="273"/>
      <c r="U964" s="273"/>
      <c r="V964" s="273"/>
      <c r="W964" s="273"/>
      <c r="X964" s="273"/>
      <c r="Y964" s="274" t="n">
        <f aca="false">SUM(B964:X964)</f>
        <v>948.5775</v>
      </c>
      <c r="Z964" s="272"/>
      <c r="AA964" s="276"/>
    </row>
    <row r="965" customFormat="false" ht="14.25" hidden="false" customHeight="false" outlineLevel="0" collapsed="false">
      <c r="A965" s="272" t="s">
        <v>762</v>
      </c>
      <c r="B965" s="273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3"/>
      <c r="P965" s="273" t="n">
        <v>-3743.415</v>
      </c>
      <c r="Q965" s="273"/>
      <c r="R965" s="273"/>
      <c r="S965" s="273"/>
      <c r="T965" s="273"/>
      <c r="U965" s="273"/>
      <c r="V965" s="273"/>
      <c r="W965" s="273"/>
      <c r="X965" s="273"/>
      <c r="Y965" s="274" t="n">
        <f aca="false">SUM(B965:X965)</f>
        <v>-3743.415</v>
      </c>
      <c r="Z965" s="272"/>
      <c r="AA965" s="276"/>
    </row>
    <row r="966" customFormat="false" ht="14.25" hidden="false" customHeight="false" outlineLevel="0" collapsed="false">
      <c r="A966" s="272" t="s">
        <v>1061</v>
      </c>
      <c r="B966" s="273"/>
      <c r="C966" s="273"/>
      <c r="D966" s="273"/>
      <c r="E966" s="273"/>
      <c r="F966" s="273" t="n">
        <v>-5277.858</v>
      </c>
      <c r="G966" s="273"/>
      <c r="H966" s="273"/>
      <c r="I966" s="273"/>
      <c r="J966" s="273"/>
      <c r="K966" s="273"/>
      <c r="L966" s="273"/>
      <c r="M966" s="273"/>
      <c r="N966" s="273"/>
      <c r="O966" s="273"/>
      <c r="P966" s="273"/>
      <c r="Q966" s="273"/>
      <c r="R966" s="273"/>
      <c r="S966" s="273"/>
      <c r="T966" s="273"/>
      <c r="U966" s="273"/>
      <c r="V966" s="273"/>
      <c r="W966" s="273"/>
      <c r="X966" s="273"/>
      <c r="Y966" s="274" t="n">
        <f aca="false">SUM(B966:X966)</f>
        <v>-5277.858</v>
      </c>
      <c r="Z966" s="272"/>
      <c r="AA966" s="276"/>
    </row>
    <row r="967" customFormat="false" ht="14.25" hidden="false" customHeight="false" outlineLevel="0" collapsed="false">
      <c r="A967" s="272" t="s">
        <v>1045</v>
      </c>
      <c r="B967" s="273"/>
      <c r="C967" s="273"/>
      <c r="D967" s="273"/>
      <c r="E967" s="273"/>
      <c r="F967" s="273" t="n">
        <v>-5824.782</v>
      </c>
      <c r="G967" s="273"/>
      <c r="H967" s="273"/>
      <c r="I967" s="273"/>
      <c r="J967" s="273"/>
      <c r="K967" s="273"/>
      <c r="L967" s="273"/>
      <c r="M967" s="273"/>
      <c r="N967" s="273"/>
      <c r="O967" s="273"/>
      <c r="P967" s="273"/>
      <c r="Q967" s="273"/>
      <c r="R967" s="273"/>
      <c r="S967" s="273"/>
      <c r="T967" s="273"/>
      <c r="U967" s="273"/>
      <c r="V967" s="273"/>
      <c r="W967" s="273"/>
      <c r="X967" s="273"/>
      <c r="Y967" s="274" t="n">
        <f aca="false">SUM(B967:X967)</f>
        <v>-5824.782</v>
      </c>
      <c r="Z967" s="272"/>
      <c r="AA967" s="276"/>
    </row>
    <row r="968" customFormat="false" ht="14.25" hidden="false" customHeight="false" outlineLevel="0" collapsed="false">
      <c r="A968" s="272" t="s">
        <v>1093</v>
      </c>
      <c r="B968" s="273"/>
      <c r="C968" s="273"/>
      <c r="D968" s="273"/>
      <c r="E968" s="273"/>
      <c r="F968" s="273" t="n">
        <v>-28892.07</v>
      </c>
      <c r="G968" s="273"/>
      <c r="H968" s="273"/>
      <c r="I968" s="273"/>
      <c r="J968" s="273"/>
      <c r="K968" s="273"/>
      <c r="L968" s="273"/>
      <c r="M968" s="273"/>
      <c r="N968" s="273"/>
      <c r="O968" s="273"/>
      <c r="P968" s="273"/>
      <c r="Q968" s="273"/>
      <c r="R968" s="273"/>
      <c r="S968" s="273"/>
      <c r="T968" s="273"/>
      <c r="U968" s="273"/>
      <c r="V968" s="273"/>
      <c r="W968" s="273"/>
      <c r="X968" s="273"/>
      <c r="Y968" s="274" t="n">
        <f aca="false">SUM(B968:X968)</f>
        <v>-28892.07</v>
      </c>
      <c r="Z968" s="272"/>
      <c r="AA968" s="276"/>
    </row>
    <row r="969" customFormat="false" ht="14.25" hidden="false" customHeight="false" outlineLevel="0" collapsed="false">
      <c r="A969" s="272" t="s">
        <v>1094</v>
      </c>
      <c r="B969" s="273"/>
      <c r="C969" s="273"/>
      <c r="D969" s="273"/>
      <c r="E969" s="273"/>
      <c r="F969" s="273" t="n">
        <v>-5277.858</v>
      </c>
      <c r="G969" s="273"/>
      <c r="H969" s="273"/>
      <c r="I969" s="273"/>
      <c r="J969" s="273"/>
      <c r="K969" s="273"/>
      <c r="L969" s="273"/>
      <c r="M969" s="273"/>
      <c r="N969" s="273"/>
      <c r="O969" s="273"/>
      <c r="P969" s="273"/>
      <c r="Q969" s="273"/>
      <c r="R969" s="273"/>
      <c r="S969" s="273"/>
      <c r="T969" s="273"/>
      <c r="U969" s="273"/>
      <c r="V969" s="273"/>
      <c r="W969" s="273"/>
      <c r="X969" s="273"/>
      <c r="Y969" s="274" t="n">
        <f aca="false">SUM(B969:X969)</f>
        <v>-5277.858</v>
      </c>
      <c r="Z969" s="272"/>
      <c r="AA969" s="276"/>
    </row>
    <row r="970" customFormat="false" ht="14.25" hidden="false" customHeight="false" outlineLevel="0" collapsed="false">
      <c r="A970" s="272" t="s">
        <v>1095</v>
      </c>
      <c r="B970" s="273"/>
      <c r="C970" s="273"/>
      <c r="D970" s="273"/>
      <c r="E970" s="273"/>
      <c r="F970" s="273" t="n">
        <v>-5277.858</v>
      </c>
      <c r="G970" s="273" t="n">
        <v>42.228</v>
      </c>
      <c r="H970" s="273"/>
      <c r="I970" s="273"/>
      <c r="J970" s="273"/>
      <c r="K970" s="273"/>
      <c r="L970" s="273"/>
      <c r="M970" s="273"/>
      <c r="N970" s="273"/>
      <c r="O970" s="273"/>
      <c r="P970" s="273"/>
      <c r="Q970" s="273"/>
      <c r="R970" s="273"/>
      <c r="S970" s="273"/>
      <c r="T970" s="273"/>
      <c r="U970" s="273"/>
      <c r="V970" s="273"/>
      <c r="W970" s="273"/>
      <c r="X970" s="273"/>
      <c r="Y970" s="274" t="n">
        <f aca="false">SUM(B970:X970)</f>
        <v>-5235.63</v>
      </c>
      <c r="Z970" s="272"/>
      <c r="AA970" s="276"/>
    </row>
    <row r="971" customFormat="false" ht="14.25" hidden="false" customHeight="false" outlineLevel="0" collapsed="false">
      <c r="A971" s="272" t="s">
        <v>1074</v>
      </c>
      <c r="B971" s="273"/>
      <c r="C971" s="273"/>
      <c r="D971" s="273"/>
      <c r="E971" s="273"/>
      <c r="F971" s="273" t="n">
        <v>-6932.112</v>
      </c>
      <c r="G971" s="273"/>
      <c r="H971" s="273"/>
      <c r="I971" s="273"/>
      <c r="J971" s="273"/>
      <c r="K971" s="273"/>
      <c r="L971" s="273"/>
      <c r="M971" s="273"/>
      <c r="N971" s="273"/>
      <c r="O971" s="273"/>
      <c r="P971" s="273"/>
      <c r="Q971" s="273"/>
      <c r="R971" s="273"/>
      <c r="S971" s="273"/>
      <c r="T971" s="273"/>
      <c r="U971" s="273"/>
      <c r="V971" s="273"/>
      <c r="W971" s="273"/>
      <c r="X971" s="273"/>
      <c r="Y971" s="274" t="n">
        <f aca="false">SUM(B971:X971)</f>
        <v>-6932.112</v>
      </c>
      <c r="Z971" s="272"/>
      <c r="AA971" s="276"/>
    </row>
    <row r="972" customFormat="false" ht="14.25" hidden="false" customHeight="false" outlineLevel="0" collapsed="false">
      <c r="A972" s="272" t="s">
        <v>1096</v>
      </c>
      <c r="B972" s="273"/>
      <c r="C972" s="273"/>
      <c r="D972" s="273"/>
      <c r="E972" s="273"/>
      <c r="F972" s="273" t="n">
        <v>-20992.74</v>
      </c>
      <c r="G972" s="273"/>
      <c r="H972" s="273"/>
      <c r="I972" s="273"/>
      <c r="J972" s="273"/>
      <c r="K972" s="273"/>
      <c r="L972" s="273"/>
      <c r="M972" s="273"/>
      <c r="N972" s="273"/>
      <c r="O972" s="273"/>
      <c r="P972" s="273"/>
      <c r="Q972" s="273"/>
      <c r="R972" s="273"/>
      <c r="S972" s="273"/>
      <c r="T972" s="273"/>
      <c r="U972" s="273"/>
      <c r="V972" s="273"/>
      <c r="W972" s="273"/>
      <c r="X972" s="273"/>
      <c r="Y972" s="274" t="n">
        <f aca="false">SUM(B972:X972)</f>
        <v>-20992.74</v>
      </c>
      <c r="Z972" s="272"/>
      <c r="AA972" s="276"/>
    </row>
    <row r="973" customFormat="false" ht="14.25" hidden="false" customHeight="false" outlineLevel="0" collapsed="false">
      <c r="A973" s="272" t="s">
        <v>1097</v>
      </c>
      <c r="B973" s="273"/>
      <c r="C973" s="273"/>
      <c r="D973" s="273"/>
      <c r="E973" s="273"/>
      <c r="F973" s="273" t="n">
        <v>-11362.05</v>
      </c>
      <c r="G973" s="273"/>
      <c r="H973" s="273"/>
      <c r="I973" s="273"/>
      <c r="J973" s="273"/>
      <c r="K973" s="273"/>
      <c r="L973" s="273"/>
      <c r="M973" s="273"/>
      <c r="N973" s="273"/>
      <c r="O973" s="273"/>
      <c r="P973" s="273"/>
      <c r="Q973" s="273"/>
      <c r="R973" s="273"/>
      <c r="S973" s="273"/>
      <c r="T973" s="273"/>
      <c r="U973" s="273"/>
      <c r="V973" s="273"/>
      <c r="W973" s="273"/>
      <c r="X973" s="273"/>
      <c r="Y973" s="274" t="n">
        <f aca="false">SUM(B973:X973)</f>
        <v>-11362.05</v>
      </c>
      <c r="Z973" s="272"/>
      <c r="AA973" s="276"/>
    </row>
    <row r="974" customFormat="false" ht="14.25" hidden="false" customHeight="false" outlineLevel="0" collapsed="false">
      <c r="A974" s="272" t="s">
        <v>1098</v>
      </c>
      <c r="B974" s="273"/>
      <c r="C974" s="273"/>
      <c r="D974" s="273"/>
      <c r="E974" s="273"/>
      <c r="F974" s="273" t="n">
        <v>-21642</v>
      </c>
      <c r="G974" s="273"/>
      <c r="H974" s="273"/>
      <c r="I974" s="273"/>
      <c r="J974" s="273"/>
      <c r="K974" s="273"/>
      <c r="L974" s="273"/>
      <c r="M974" s="273"/>
      <c r="N974" s="273"/>
      <c r="O974" s="273"/>
      <c r="P974" s="273"/>
      <c r="Q974" s="273"/>
      <c r="R974" s="273"/>
      <c r="S974" s="273"/>
      <c r="T974" s="273"/>
      <c r="U974" s="273"/>
      <c r="V974" s="273"/>
      <c r="W974" s="273"/>
      <c r="X974" s="273"/>
      <c r="Y974" s="274" t="n">
        <f aca="false">SUM(B974:X974)</f>
        <v>-21642</v>
      </c>
      <c r="Z974" s="272"/>
      <c r="AA974" s="276"/>
    </row>
    <row r="975" customFormat="false" ht="14.25" hidden="false" customHeight="false" outlineLevel="0" collapsed="false">
      <c r="A975" s="272" t="s">
        <v>1099</v>
      </c>
      <c r="B975" s="273"/>
      <c r="C975" s="273" t="n">
        <v>1332.102</v>
      </c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3"/>
      <c r="P975" s="273"/>
      <c r="Q975" s="273"/>
      <c r="R975" s="273"/>
      <c r="S975" s="273"/>
      <c r="T975" s="273"/>
      <c r="U975" s="273"/>
      <c r="V975" s="273"/>
      <c r="W975" s="273"/>
      <c r="X975" s="273"/>
      <c r="Y975" s="274" t="n">
        <f aca="false">SUM(B975:X975)</f>
        <v>1332.102</v>
      </c>
      <c r="Z975" s="272"/>
      <c r="AA975" s="276"/>
    </row>
    <row r="976" customFormat="false" ht="14.25" hidden="false" customHeight="false" outlineLevel="0" collapsed="false">
      <c r="A976" s="272" t="s">
        <v>1100</v>
      </c>
      <c r="B976" s="273"/>
      <c r="C976" s="273"/>
      <c r="D976" s="273"/>
      <c r="E976" s="273"/>
      <c r="F976" s="273" t="n">
        <v>414.99</v>
      </c>
      <c r="G976" s="273" t="n">
        <v>-1628.43</v>
      </c>
      <c r="H976" s="273"/>
      <c r="I976" s="273"/>
      <c r="J976" s="273"/>
      <c r="K976" s="273"/>
      <c r="L976" s="273"/>
      <c r="M976" s="273"/>
      <c r="N976" s="273" t="n">
        <v>-9021.45</v>
      </c>
      <c r="O976" s="273"/>
      <c r="P976" s="273" t="n">
        <v>-2403.192</v>
      </c>
      <c r="Q976" s="273"/>
      <c r="R976" s="273"/>
      <c r="S976" s="273"/>
      <c r="T976" s="273"/>
      <c r="U976" s="273"/>
      <c r="V976" s="273"/>
      <c r="W976" s="273"/>
      <c r="X976" s="273"/>
      <c r="Y976" s="274" t="n">
        <f aca="false">SUM(B976:X976)</f>
        <v>-12638.082</v>
      </c>
      <c r="Z976" s="272"/>
      <c r="AA976" s="276"/>
    </row>
    <row r="977" customFormat="false" ht="14.25" hidden="false" customHeight="false" outlineLevel="0" collapsed="false">
      <c r="A977" s="272" t="s">
        <v>1101</v>
      </c>
      <c r="B977" s="273"/>
      <c r="C977" s="273" t="n">
        <v>-6732</v>
      </c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3"/>
      <c r="P977" s="273"/>
      <c r="Q977" s="273"/>
      <c r="R977" s="273"/>
      <c r="S977" s="273"/>
      <c r="T977" s="273"/>
      <c r="U977" s="273"/>
      <c r="V977" s="273"/>
      <c r="W977" s="273"/>
      <c r="X977" s="273"/>
      <c r="Y977" s="274" t="n">
        <f aca="false">SUM(B977:X977)</f>
        <v>-6732</v>
      </c>
      <c r="Z977" s="272"/>
      <c r="AA977" s="276"/>
    </row>
    <row r="978" customFormat="false" ht="14.25" hidden="false" customHeight="false" outlineLevel="0" collapsed="false">
      <c r="A978" s="272" t="s">
        <v>1102</v>
      </c>
      <c r="B978" s="273"/>
      <c r="C978" s="273" t="n">
        <v>-5940</v>
      </c>
      <c r="D978" s="273"/>
      <c r="E978" s="273"/>
      <c r="F978" s="273"/>
      <c r="G978" s="273" t="n">
        <v>29.808</v>
      </c>
      <c r="H978" s="273"/>
      <c r="I978" s="273"/>
      <c r="J978" s="273"/>
      <c r="K978" s="273"/>
      <c r="L978" s="273"/>
      <c r="M978" s="273"/>
      <c r="N978" s="273"/>
      <c r="O978" s="273"/>
      <c r="P978" s="273"/>
      <c r="Q978" s="273"/>
      <c r="R978" s="273"/>
      <c r="S978" s="273"/>
      <c r="T978" s="273"/>
      <c r="U978" s="273"/>
      <c r="V978" s="273"/>
      <c r="W978" s="273"/>
      <c r="X978" s="273"/>
      <c r="Y978" s="274" t="n">
        <f aca="false">SUM(B978:X978)</f>
        <v>-5910.192</v>
      </c>
      <c r="Z978" s="272"/>
      <c r="AA978" s="276"/>
    </row>
    <row r="979" customFormat="false" ht="14.25" hidden="false" customHeight="false" outlineLevel="0" collapsed="false">
      <c r="A979" s="272" t="s">
        <v>1103</v>
      </c>
      <c r="B979" s="273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 t="n">
        <v>-5503.5792</v>
      </c>
      <c r="N979" s="273"/>
      <c r="O979" s="273"/>
      <c r="P979" s="273"/>
      <c r="Q979" s="273"/>
      <c r="R979" s="273"/>
      <c r="S979" s="273"/>
      <c r="T979" s="273"/>
      <c r="U979" s="273"/>
      <c r="V979" s="273"/>
      <c r="W979" s="273"/>
      <c r="X979" s="273"/>
      <c r="Y979" s="274" t="n">
        <f aca="false">SUM(B979:X979)</f>
        <v>-5503.5792</v>
      </c>
      <c r="Z979" s="272"/>
      <c r="AA979" s="276"/>
    </row>
    <row r="980" customFormat="false" ht="14.25" hidden="false" customHeight="false" outlineLevel="0" collapsed="false">
      <c r="A980" s="272" t="s">
        <v>1055</v>
      </c>
      <c r="B980" s="273"/>
      <c r="C980" s="273"/>
      <c r="D980" s="273"/>
      <c r="E980" s="273"/>
      <c r="F980" s="273" t="n">
        <v>-5533.72</v>
      </c>
      <c r="G980" s="273"/>
      <c r="H980" s="273"/>
      <c r="I980" s="273"/>
      <c r="J980" s="273"/>
      <c r="K980" s="273"/>
      <c r="L980" s="273"/>
      <c r="M980" s="273"/>
      <c r="N980" s="273"/>
      <c r="O980" s="273"/>
      <c r="P980" s="273"/>
      <c r="Q980" s="273"/>
      <c r="R980" s="273"/>
      <c r="S980" s="273"/>
      <c r="T980" s="273"/>
      <c r="U980" s="273"/>
      <c r="V980" s="273"/>
      <c r="W980" s="273"/>
      <c r="X980" s="273"/>
      <c r="Y980" s="274" t="n">
        <f aca="false">SUM(B980:X980)</f>
        <v>-5533.72</v>
      </c>
      <c r="Z980" s="272"/>
      <c r="AA980" s="276"/>
    </row>
    <row r="981" customFormat="false" ht="14.25" hidden="false" customHeight="false" outlineLevel="0" collapsed="false">
      <c r="A981" s="272" t="s">
        <v>1104</v>
      </c>
      <c r="B981" s="273"/>
      <c r="C981" s="273"/>
      <c r="D981" s="273"/>
      <c r="E981" s="273" t="n">
        <v>5879.88</v>
      </c>
      <c r="F981" s="273"/>
      <c r="G981" s="273"/>
      <c r="H981" s="273"/>
      <c r="I981" s="273"/>
      <c r="J981" s="273"/>
      <c r="K981" s="273"/>
      <c r="L981" s="273"/>
      <c r="M981" s="273"/>
      <c r="N981" s="273"/>
      <c r="O981" s="273"/>
      <c r="P981" s="273"/>
      <c r="Q981" s="273"/>
      <c r="R981" s="273"/>
      <c r="S981" s="273"/>
      <c r="T981" s="273"/>
      <c r="U981" s="273"/>
      <c r="V981" s="273"/>
      <c r="W981" s="273"/>
      <c r="X981" s="273"/>
      <c r="Y981" s="274" t="n">
        <f aca="false">SUM(B981:X981)</f>
        <v>5879.88</v>
      </c>
      <c r="Z981" s="272"/>
      <c r="AA981" s="276"/>
    </row>
    <row r="982" customFormat="false" ht="14.25" hidden="false" customHeight="false" outlineLevel="0" collapsed="false">
      <c r="A982" s="272" t="s">
        <v>1105</v>
      </c>
      <c r="B982" s="273"/>
      <c r="C982" s="273" t="n">
        <v>-19800</v>
      </c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3"/>
      <c r="P982" s="273"/>
      <c r="Q982" s="273"/>
      <c r="R982" s="273"/>
      <c r="S982" s="273"/>
      <c r="T982" s="273"/>
      <c r="U982" s="273"/>
      <c r="V982" s="273"/>
      <c r="W982" s="273"/>
      <c r="X982" s="273"/>
      <c r="Y982" s="274" t="n">
        <f aca="false">SUM(B982:X982)</f>
        <v>-19800</v>
      </c>
      <c r="Z982" s="272"/>
      <c r="AA982" s="276"/>
    </row>
    <row r="983" customFormat="false" ht="14.25" hidden="false" customHeight="false" outlineLevel="0" collapsed="false">
      <c r="A983" s="272" t="s">
        <v>1106</v>
      </c>
      <c r="B983" s="273"/>
      <c r="C983" s="273" t="n">
        <v>-13860</v>
      </c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3"/>
      <c r="P983" s="273"/>
      <c r="Q983" s="273"/>
      <c r="R983" s="273"/>
      <c r="S983" s="273"/>
      <c r="T983" s="273"/>
      <c r="U983" s="273"/>
      <c r="V983" s="273"/>
      <c r="W983" s="273"/>
      <c r="X983" s="273"/>
      <c r="Y983" s="274" t="n">
        <f aca="false">SUM(B983:X983)</f>
        <v>-13860</v>
      </c>
      <c r="Z983" s="272"/>
      <c r="AA983" s="276"/>
    </row>
    <row r="984" customFormat="false" ht="14.25" hidden="false" customHeight="false" outlineLevel="0" collapsed="false">
      <c r="A984" s="272" t="s">
        <v>1002</v>
      </c>
      <c r="B984" s="273"/>
      <c r="C984" s="273"/>
      <c r="D984" s="273"/>
      <c r="E984" s="273"/>
      <c r="F984" s="273" t="n">
        <v>-17155.305</v>
      </c>
      <c r="G984" s="273"/>
      <c r="H984" s="273"/>
      <c r="I984" s="273"/>
      <c r="J984" s="273"/>
      <c r="K984" s="273"/>
      <c r="L984" s="273"/>
      <c r="M984" s="273"/>
      <c r="N984" s="273"/>
      <c r="O984" s="273"/>
      <c r="P984" s="273"/>
      <c r="Q984" s="273"/>
      <c r="R984" s="273"/>
      <c r="S984" s="273"/>
      <c r="T984" s="273"/>
      <c r="U984" s="273"/>
      <c r="V984" s="273"/>
      <c r="W984" s="273"/>
      <c r="X984" s="273"/>
      <c r="Y984" s="274" t="n">
        <f aca="false">SUM(B984:X984)</f>
        <v>-17155.305</v>
      </c>
      <c r="Z984" s="272"/>
      <c r="AA984" s="276"/>
    </row>
    <row r="985" customFormat="false" ht="14.25" hidden="false" customHeight="false" outlineLevel="0" collapsed="false">
      <c r="A985" s="272" t="s">
        <v>1107</v>
      </c>
      <c r="B985" s="273" t="n">
        <v>-2775.525</v>
      </c>
      <c r="C985" s="273"/>
      <c r="D985" s="273" t="n">
        <v>-16.1415</v>
      </c>
      <c r="E985" s="273"/>
      <c r="F985" s="273"/>
      <c r="G985" s="273"/>
      <c r="H985" s="273"/>
      <c r="I985" s="273"/>
      <c r="J985" s="273" t="n">
        <v>30.498</v>
      </c>
      <c r="K985" s="273"/>
      <c r="L985" s="273"/>
      <c r="M985" s="273"/>
      <c r="N985" s="273"/>
      <c r="O985" s="273"/>
      <c r="P985" s="273"/>
      <c r="Q985" s="273"/>
      <c r="R985" s="273"/>
      <c r="S985" s="273"/>
      <c r="T985" s="273"/>
      <c r="U985" s="273"/>
      <c r="V985" s="273"/>
      <c r="W985" s="273"/>
      <c r="X985" s="273"/>
      <c r="Y985" s="274" t="n">
        <f aca="false">SUM(B985:X985)</f>
        <v>-2761.1685</v>
      </c>
      <c r="Z985" s="272"/>
      <c r="AA985" s="276"/>
    </row>
    <row r="986" customFormat="false" ht="14.25" hidden="false" customHeight="false" outlineLevel="0" collapsed="false">
      <c r="A986" s="272" t="s">
        <v>960</v>
      </c>
      <c r="B986" s="273"/>
      <c r="C986" s="273"/>
      <c r="D986" s="273"/>
      <c r="E986" s="273"/>
      <c r="F986" s="273"/>
      <c r="G986" s="273"/>
      <c r="H986" s="273"/>
      <c r="I986" s="273"/>
      <c r="J986" s="273" t="n">
        <v>114.3675</v>
      </c>
      <c r="K986" s="273"/>
      <c r="L986" s="273"/>
      <c r="M986" s="273"/>
      <c r="N986" s="273"/>
      <c r="O986" s="273"/>
      <c r="P986" s="273"/>
      <c r="Q986" s="273"/>
      <c r="R986" s="273"/>
      <c r="S986" s="273"/>
      <c r="T986" s="273"/>
      <c r="U986" s="273"/>
      <c r="V986" s="273"/>
      <c r="W986" s="273"/>
      <c r="X986" s="273"/>
      <c r="Y986" s="274" t="n">
        <f aca="false">SUM(B986:X986)</f>
        <v>114.3675</v>
      </c>
      <c r="Z986" s="272"/>
      <c r="AA986" s="276"/>
    </row>
    <row r="987" customFormat="false" ht="14.25" hidden="false" customHeight="false" outlineLevel="0" collapsed="false">
      <c r="A987" s="272" t="s">
        <v>1108</v>
      </c>
      <c r="B987" s="273"/>
      <c r="C987" s="273" t="n">
        <v>68906.96</v>
      </c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3"/>
      <c r="P987" s="273"/>
      <c r="Q987" s="273"/>
      <c r="R987" s="273"/>
      <c r="S987" s="273"/>
      <c r="T987" s="273"/>
      <c r="U987" s="273"/>
      <c r="V987" s="273"/>
      <c r="W987" s="273"/>
      <c r="X987" s="273"/>
      <c r="Y987" s="274" t="n">
        <f aca="false">SUM(B987:X987)</f>
        <v>68906.96</v>
      </c>
      <c r="Z987" s="272"/>
      <c r="AA987" s="276"/>
    </row>
    <row r="988" customFormat="false" ht="14.25" hidden="false" customHeight="false" outlineLevel="0" collapsed="false">
      <c r="A988" s="272" t="s">
        <v>762</v>
      </c>
      <c r="B988" s="273"/>
      <c r="C988" s="273"/>
      <c r="D988" s="273"/>
      <c r="E988" s="273"/>
      <c r="F988" s="273"/>
      <c r="G988" s="273"/>
      <c r="H988" s="273"/>
      <c r="I988" s="273"/>
      <c r="J988" s="273" t="n">
        <v>3841.2</v>
      </c>
      <c r="K988" s="273"/>
      <c r="L988" s="273"/>
      <c r="M988" s="273"/>
      <c r="N988" s="273"/>
      <c r="O988" s="273"/>
      <c r="P988" s="273"/>
      <c r="Q988" s="273"/>
      <c r="R988" s="273"/>
      <c r="S988" s="273"/>
      <c r="T988" s="273"/>
      <c r="U988" s="273"/>
      <c r="V988" s="273"/>
      <c r="W988" s="273"/>
      <c r="X988" s="273"/>
      <c r="Y988" s="274" t="n">
        <f aca="false">SUM(B988:X988)</f>
        <v>3841.2</v>
      </c>
      <c r="Z988" s="272"/>
      <c r="AA988" s="276"/>
    </row>
    <row r="989" customFormat="false" ht="14.25" hidden="false" customHeight="false" outlineLevel="0" collapsed="false">
      <c r="A989" s="272" t="s">
        <v>1055</v>
      </c>
      <c r="B989" s="273"/>
      <c r="C989" s="273"/>
      <c r="D989" s="273"/>
      <c r="E989" s="273"/>
      <c r="F989" s="273" t="n">
        <v>2441.12</v>
      </c>
      <c r="G989" s="273"/>
      <c r="H989" s="273"/>
      <c r="I989" s="273"/>
      <c r="J989" s="273"/>
      <c r="K989" s="273"/>
      <c r="L989" s="273"/>
      <c r="M989" s="273"/>
      <c r="N989" s="273"/>
      <c r="O989" s="273"/>
      <c r="P989" s="273"/>
      <c r="Q989" s="273"/>
      <c r="R989" s="273"/>
      <c r="S989" s="273"/>
      <c r="T989" s="273"/>
      <c r="U989" s="273"/>
      <c r="V989" s="273"/>
      <c r="W989" s="273"/>
      <c r="X989" s="273"/>
      <c r="Y989" s="274" t="n">
        <f aca="false">SUM(B989:X989)</f>
        <v>2441.12</v>
      </c>
      <c r="Z989" s="272"/>
      <c r="AA989" s="276"/>
    </row>
    <row r="990" customFormat="false" ht="14.25" hidden="false" customHeight="false" outlineLevel="0" collapsed="false">
      <c r="A990" s="272" t="s">
        <v>1004</v>
      </c>
      <c r="B990" s="273"/>
      <c r="C990" s="273"/>
      <c r="D990" s="273"/>
      <c r="E990" s="273"/>
      <c r="F990" s="273" t="n">
        <v>-590.4675</v>
      </c>
      <c r="G990" s="273"/>
      <c r="H990" s="273"/>
      <c r="I990" s="273"/>
      <c r="J990" s="273"/>
      <c r="K990" s="273"/>
      <c r="L990" s="273"/>
      <c r="M990" s="273"/>
      <c r="N990" s="273"/>
      <c r="O990" s="273"/>
      <c r="P990" s="273"/>
      <c r="Q990" s="273"/>
      <c r="R990" s="273"/>
      <c r="S990" s="273"/>
      <c r="T990" s="273"/>
      <c r="U990" s="273"/>
      <c r="V990" s="273"/>
      <c r="W990" s="273"/>
      <c r="X990" s="273"/>
      <c r="Y990" s="274" t="n">
        <f aca="false">SUM(B990:X990)</f>
        <v>-590.4675</v>
      </c>
      <c r="Z990" s="272"/>
      <c r="AA990" s="276"/>
    </row>
    <row r="991" customFormat="false" ht="14.25" hidden="false" customHeight="false" outlineLevel="0" collapsed="false">
      <c r="A991" s="272" t="s">
        <v>1109</v>
      </c>
      <c r="B991" s="273"/>
      <c r="C991" s="273" t="n">
        <v>-38911.545</v>
      </c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3"/>
      <c r="P991" s="273"/>
      <c r="Q991" s="273"/>
      <c r="R991" s="273"/>
      <c r="S991" s="273"/>
      <c r="T991" s="273"/>
      <c r="U991" s="273"/>
      <c r="V991" s="273"/>
      <c r="W991" s="273"/>
      <c r="X991" s="273"/>
      <c r="Y991" s="274" t="n">
        <f aca="false">SUM(B991:X991)</f>
        <v>-38911.545</v>
      </c>
      <c r="Z991" s="272"/>
      <c r="AA991" s="276"/>
    </row>
    <row r="992" customFormat="false" ht="14.25" hidden="false" customHeight="false" outlineLevel="0" collapsed="false">
      <c r="A992" s="272" t="s">
        <v>1110</v>
      </c>
      <c r="B992" s="273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3"/>
      <c r="P992" s="273" t="n">
        <v>-3277.08</v>
      </c>
      <c r="Q992" s="273"/>
      <c r="R992" s="273"/>
      <c r="S992" s="273"/>
      <c r="T992" s="273"/>
      <c r="U992" s="273"/>
      <c r="V992" s="273"/>
      <c r="W992" s="273"/>
      <c r="X992" s="273"/>
      <c r="Y992" s="274" t="n">
        <f aca="false">SUM(B992:X992)</f>
        <v>-3277.08</v>
      </c>
      <c r="Z992" s="272"/>
      <c r="AA992" s="276"/>
    </row>
    <row r="993" customFormat="false" ht="14.25" hidden="false" customHeight="false" outlineLevel="0" collapsed="false">
      <c r="A993" s="272" t="s">
        <v>1089</v>
      </c>
      <c r="B993" s="273" t="n">
        <v>-12893.25</v>
      </c>
      <c r="C993" s="273"/>
      <c r="D993" s="273"/>
      <c r="E993" s="273"/>
      <c r="F993" s="273"/>
      <c r="G993" s="273"/>
      <c r="H993" s="273"/>
      <c r="I993" s="273"/>
      <c r="J993" s="273" t="n">
        <v>-4684.38</v>
      </c>
      <c r="K993" s="273"/>
      <c r="L993" s="273"/>
      <c r="M993" s="273"/>
      <c r="N993" s="273"/>
      <c r="O993" s="273"/>
      <c r="P993" s="273"/>
      <c r="Q993" s="273"/>
      <c r="R993" s="273"/>
      <c r="S993" s="273"/>
      <c r="T993" s="273"/>
      <c r="U993" s="273"/>
      <c r="V993" s="273"/>
      <c r="W993" s="273"/>
      <c r="X993" s="273"/>
      <c r="Y993" s="274" t="n">
        <f aca="false">SUM(B993:X993)</f>
        <v>-17577.63</v>
      </c>
      <c r="Z993" s="272"/>
      <c r="AA993" s="276"/>
    </row>
    <row r="994" customFormat="false" ht="14.25" hidden="false" customHeight="false" outlineLevel="0" collapsed="false">
      <c r="A994" s="272" t="s">
        <v>1091</v>
      </c>
      <c r="B994" s="273" t="n">
        <v>-9541.005</v>
      </c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3"/>
      <c r="P994" s="273"/>
      <c r="Q994" s="273"/>
      <c r="R994" s="273"/>
      <c r="S994" s="273"/>
      <c r="T994" s="273"/>
      <c r="U994" s="273"/>
      <c r="V994" s="273"/>
      <c r="W994" s="273"/>
      <c r="X994" s="273"/>
      <c r="Y994" s="274" t="n">
        <f aca="false">SUM(B994:X994)</f>
        <v>-9541.005</v>
      </c>
      <c r="Z994" s="272"/>
      <c r="AA994" s="276"/>
    </row>
    <row r="995" customFormat="false" ht="14.25" hidden="false" customHeight="false" outlineLevel="0" collapsed="false">
      <c r="A995" s="272" t="s">
        <v>1090</v>
      </c>
      <c r="B995" s="273" t="n">
        <v>-1933.9875</v>
      </c>
      <c r="C995" s="273"/>
      <c r="D995" s="273"/>
      <c r="E995" s="273"/>
      <c r="F995" s="273"/>
      <c r="G995" s="273"/>
      <c r="H995" s="273"/>
      <c r="I995" s="273"/>
      <c r="J995" s="273" t="n">
        <v>2359.8</v>
      </c>
      <c r="K995" s="273"/>
      <c r="L995" s="273"/>
      <c r="M995" s="273"/>
      <c r="N995" s="273"/>
      <c r="O995" s="273"/>
      <c r="P995" s="273"/>
      <c r="Q995" s="273"/>
      <c r="R995" s="273"/>
      <c r="S995" s="273"/>
      <c r="T995" s="273"/>
      <c r="U995" s="273"/>
      <c r="V995" s="273"/>
      <c r="W995" s="273"/>
      <c r="X995" s="273"/>
      <c r="Y995" s="274" t="n">
        <f aca="false">SUM(B995:X995)</f>
        <v>425.8125</v>
      </c>
      <c r="Z995" s="272"/>
      <c r="AA995" s="276"/>
    </row>
    <row r="996" customFormat="false" ht="14.25" hidden="false" customHeight="false" outlineLevel="0" collapsed="false">
      <c r="A996" s="272" t="s">
        <v>1088</v>
      </c>
      <c r="B996" s="273" t="n">
        <v>-9669.9375</v>
      </c>
      <c r="C996" s="273"/>
      <c r="D996" s="273"/>
      <c r="E996" s="273"/>
      <c r="F996" s="273"/>
      <c r="G996" s="273"/>
      <c r="H996" s="273"/>
      <c r="I996" s="273"/>
      <c r="J996" s="273" t="n">
        <v>-16975.3</v>
      </c>
      <c r="K996" s="273"/>
      <c r="L996" s="273"/>
      <c r="M996" s="273"/>
      <c r="N996" s="273"/>
      <c r="O996" s="273"/>
      <c r="P996" s="273"/>
      <c r="Q996" s="273"/>
      <c r="R996" s="273"/>
      <c r="S996" s="273"/>
      <c r="T996" s="273"/>
      <c r="U996" s="273"/>
      <c r="V996" s="273"/>
      <c r="W996" s="273"/>
      <c r="X996" s="273"/>
      <c r="Y996" s="274" t="n">
        <f aca="false">SUM(B996:X996)</f>
        <v>-26645.2375</v>
      </c>
      <c r="Z996" s="272"/>
      <c r="AA996" s="276"/>
    </row>
    <row r="997" customFormat="false" ht="14.25" hidden="false" customHeight="false" outlineLevel="0" collapsed="false">
      <c r="A997" s="272" t="s">
        <v>1087</v>
      </c>
      <c r="B997" s="273" t="n">
        <v>-35456.4375</v>
      </c>
      <c r="C997" s="273"/>
      <c r="D997" s="273"/>
      <c r="E997" s="273"/>
      <c r="F997" s="273"/>
      <c r="G997" s="273"/>
      <c r="H997" s="273"/>
      <c r="I997" s="273"/>
      <c r="J997" s="273" t="n">
        <v>-25860.6315</v>
      </c>
      <c r="K997" s="273"/>
      <c r="L997" s="273"/>
      <c r="M997" s="273"/>
      <c r="N997" s="273"/>
      <c r="O997" s="273"/>
      <c r="P997" s="273"/>
      <c r="Q997" s="273"/>
      <c r="R997" s="273"/>
      <c r="S997" s="273"/>
      <c r="T997" s="273"/>
      <c r="U997" s="273"/>
      <c r="V997" s="273"/>
      <c r="W997" s="273"/>
      <c r="X997" s="273"/>
      <c r="Y997" s="274" t="n">
        <f aca="false">SUM(B997:X997)</f>
        <v>-61317.069</v>
      </c>
      <c r="Z997" s="272"/>
      <c r="AA997" s="276"/>
    </row>
    <row r="998" customFormat="false" ht="14.25" hidden="false" customHeight="false" outlineLevel="0" collapsed="false">
      <c r="A998" s="272" t="s">
        <v>1111</v>
      </c>
      <c r="B998" s="273" t="n">
        <v>-1436.1315</v>
      </c>
      <c r="C998" s="273"/>
      <c r="D998" s="273"/>
      <c r="E998" s="273"/>
      <c r="F998" s="273"/>
      <c r="G998" s="273"/>
      <c r="H998" s="273"/>
      <c r="I998" s="273" t="n">
        <v>20.673</v>
      </c>
      <c r="J998" s="273" t="n">
        <v>153.387</v>
      </c>
      <c r="K998" s="273"/>
      <c r="L998" s="273"/>
      <c r="M998" s="273"/>
      <c r="N998" s="273"/>
      <c r="O998" s="273"/>
      <c r="P998" s="273" t="n">
        <v>-54.618</v>
      </c>
      <c r="Q998" s="273"/>
      <c r="R998" s="273"/>
      <c r="S998" s="273"/>
      <c r="T998" s="273"/>
      <c r="U998" s="273"/>
      <c r="V998" s="273"/>
      <c r="W998" s="273"/>
      <c r="X998" s="273"/>
      <c r="Y998" s="274" t="n">
        <f aca="false">SUM(B998:X998)</f>
        <v>-1316.6895</v>
      </c>
      <c r="Z998" s="272"/>
      <c r="AA998" s="276"/>
    </row>
    <row r="999" customFormat="false" ht="14.25" hidden="false" customHeight="false" outlineLevel="0" collapsed="false">
      <c r="A999" s="272" t="s">
        <v>1112</v>
      </c>
      <c r="B999" s="273"/>
      <c r="C999" s="273"/>
      <c r="D999" s="273"/>
      <c r="E999" s="273"/>
      <c r="F999" s="273" t="n">
        <v>-15754.8</v>
      </c>
      <c r="G999" s="273"/>
      <c r="H999" s="273"/>
      <c r="I999" s="273"/>
      <c r="J999" s="273"/>
      <c r="K999" s="273"/>
      <c r="L999" s="273"/>
      <c r="M999" s="273"/>
      <c r="N999" s="273"/>
      <c r="O999" s="273"/>
      <c r="P999" s="273"/>
      <c r="Q999" s="273"/>
      <c r="R999" s="273"/>
      <c r="S999" s="273"/>
      <c r="T999" s="273"/>
      <c r="U999" s="273"/>
      <c r="V999" s="273"/>
      <c r="W999" s="273"/>
      <c r="X999" s="273"/>
      <c r="Y999" s="274" t="n">
        <f aca="false">SUM(B999:X999)</f>
        <v>-15754.8</v>
      </c>
      <c r="Z999" s="272"/>
      <c r="AA999" s="276"/>
    </row>
    <row r="1000" customFormat="false" ht="14.25" hidden="false" customHeight="false" outlineLevel="0" collapsed="false">
      <c r="A1000" s="272" t="s">
        <v>1113</v>
      </c>
      <c r="B1000" s="273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3" t="n">
        <v>-945.54</v>
      </c>
      <c r="P1000" s="273"/>
      <c r="Q1000" s="273"/>
      <c r="R1000" s="273"/>
      <c r="S1000" s="273"/>
      <c r="T1000" s="273"/>
      <c r="U1000" s="273"/>
      <c r="V1000" s="273"/>
      <c r="W1000" s="273"/>
      <c r="X1000" s="273"/>
      <c r="Y1000" s="274" t="n">
        <f aca="false">SUM(B1000:X1000)</f>
        <v>-945.54</v>
      </c>
      <c r="Z1000" s="272"/>
      <c r="AA1000" s="276"/>
    </row>
    <row r="1001" customFormat="false" ht="14.25" hidden="false" customHeight="false" outlineLevel="0" collapsed="false">
      <c r="A1001" s="272" t="s">
        <v>1114</v>
      </c>
      <c r="B1001" s="273"/>
      <c r="C1001" s="273"/>
      <c r="D1001" s="273"/>
      <c r="E1001" s="273"/>
      <c r="F1001" s="273" t="n">
        <v>1454.85</v>
      </c>
      <c r="G1001" s="273"/>
      <c r="H1001" s="273"/>
      <c r="I1001" s="273"/>
      <c r="J1001" s="273"/>
      <c r="K1001" s="273"/>
      <c r="L1001" s="273"/>
      <c r="M1001" s="273"/>
      <c r="N1001" s="273"/>
      <c r="O1001" s="273"/>
      <c r="P1001" s="273"/>
      <c r="Q1001" s="273"/>
      <c r="R1001" s="273"/>
      <c r="S1001" s="273"/>
      <c r="T1001" s="273"/>
      <c r="U1001" s="273"/>
      <c r="V1001" s="273"/>
      <c r="W1001" s="273"/>
      <c r="X1001" s="273"/>
      <c r="Y1001" s="274" t="n">
        <f aca="false">SUM(B1001:X1001)</f>
        <v>1454.85</v>
      </c>
      <c r="Z1001" s="272"/>
      <c r="AA1001" s="276"/>
    </row>
    <row r="1002" customFormat="false" ht="14.25" hidden="false" customHeight="false" outlineLevel="0" collapsed="false">
      <c r="A1002" s="272" t="s">
        <v>1108</v>
      </c>
      <c r="B1002" s="273"/>
      <c r="C1002" s="273" t="n">
        <v>72312</v>
      </c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3"/>
      <c r="P1002" s="273"/>
      <c r="Q1002" s="273"/>
      <c r="R1002" s="273"/>
      <c r="S1002" s="273"/>
      <c r="T1002" s="273"/>
      <c r="U1002" s="273"/>
      <c r="V1002" s="273"/>
      <c r="W1002" s="273"/>
      <c r="X1002" s="273"/>
      <c r="Y1002" s="274" t="n">
        <f aca="false">SUM(B1002:X1002)</f>
        <v>72312</v>
      </c>
      <c r="Z1002" s="272"/>
      <c r="AA1002" s="276"/>
    </row>
    <row r="1003" customFormat="false" ht="14.25" hidden="false" customHeight="false" outlineLevel="0" collapsed="false">
      <c r="A1003" s="272" t="s">
        <v>1003</v>
      </c>
      <c r="B1003" s="273"/>
      <c r="C1003" s="273"/>
      <c r="D1003" s="273"/>
      <c r="E1003" s="273"/>
      <c r="F1003" s="273" t="n">
        <v>8729.1</v>
      </c>
      <c r="G1003" s="273"/>
      <c r="H1003" s="273"/>
      <c r="I1003" s="273"/>
      <c r="J1003" s="273"/>
      <c r="K1003" s="273"/>
      <c r="L1003" s="273"/>
      <c r="M1003" s="273"/>
      <c r="N1003" s="273"/>
      <c r="O1003" s="273"/>
      <c r="P1003" s="273"/>
      <c r="Q1003" s="273"/>
      <c r="R1003" s="273"/>
      <c r="S1003" s="273"/>
      <c r="T1003" s="273"/>
      <c r="U1003" s="273"/>
      <c r="V1003" s="273"/>
      <c r="W1003" s="273"/>
      <c r="X1003" s="273"/>
      <c r="Y1003" s="274" t="n">
        <f aca="false">SUM(B1003:X1003)</f>
        <v>8729.1</v>
      </c>
      <c r="Z1003" s="272"/>
      <c r="AA1003" s="276"/>
    </row>
    <row r="1004" customFormat="false" ht="14.25" hidden="false" customHeight="false" outlineLevel="0" collapsed="false">
      <c r="A1004" s="272" t="s">
        <v>1090</v>
      </c>
      <c r="B1004" s="273" t="n">
        <v>-2668.5</v>
      </c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3"/>
      <c r="P1004" s="273"/>
      <c r="Q1004" s="273"/>
      <c r="R1004" s="273"/>
      <c r="S1004" s="273"/>
      <c r="T1004" s="273"/>
      <c r="U1004" s="273"/>
      <c r="V1004" s="273"/>
      <c r="W1004" s="273"/>
      <c r="X1004" s="273"/>
      <c r="Y1004" s="274" t="n">
        <f aca="false">SUM(B1004:X1004)</f>
        <v>-2668.5</v>
      </c>
      <c r="Z1004" s="272"/>
      <c r="AA1004" s="276"/>
    </row>
    <row r="1005" customFormat="false" ht="14.25" hidden="false" customHeight="false" outlineLevel="0" collapsed="false">
      <c r="A1005" s="272" t="s">
        <v>981</v>
      </c>
      <c r="B1005" s="273" t="n">
        <v>-10674</v>
      </c>
      <c r="C1005" s="273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 t="n">
        <v>-3129</v>
      </c>
      <c r="O1005" s="273"/>
      <c r="P1005" s="273"/>
      <c r="Q1005" s="273"/>
      <c r="R1005" s="273"/>
      <c r="S1005" s="273"/>
      <c r="T1005" s="273"/>
      <c r="U1005" s="273"/>
      <c r="V1005" s="273"/>
      <c r="W1005" s="273"/>
      <c r="X1005" s="273"/>
      <c r="Y1005" s="274" t="n">
        <f aca="false">SUM(B1005:X1005)</f>
        <v>-13803</v>
      </c>
      <c r="Z1005" s="272"/>
      <c r="AA1005" s="276"/>
    </row>
    <row r="1006" customFormat="false" ht="14.25" hidden="false" customHeight="false" outlineLevel="0" collapsed="false">
      <c r="A1006" s="272" t="s">
        <v>1115</v>
      </c>
      <c r="B1006" s="273" t="n">
        <v>-9293.825</v>
      </c>
      <c r="C1006" s="273"/>
      <c r="D1006" s="273"/>
      <c r="E1006" s="273"/>
      <c r="F1006" s="273"/>
      <c r="G1006" s="273"/>
      <c r="H1006" s="273"/>
      <c r="I1006" s="273"/>
      <c r="J1006" s="273" t="n">
        <v>-7942.9</v>
      </c>
      <c r="K1006" s="273"/>
      <c r="L1006" s="273"/>
      <c r="M1006" s="273"/>
      <c r="N1006" s="273"/>
      <c r="O1006" s="273"/>
      <c r="P1006" s="273"/>
      <c r="Q1006" s="273"/>
      <c r="R1006" s="273"/>
      <c r="S1006" s="273"/>
      <c r="T1006" s="273"/>
      <c r="U1006" s="273"/>
      <c r="V1006" s="273"/>
      <c r="W1006" s="273"/>
      <c r="X1006" s="273"/>
      <c r="Y1006" s="274" t="n">
        <f aca="false">SUM(B1006:X1006)</f>
        <v>-17236.725</v>
      </c>
      <c r="Z1006" s="272"/>
      <c r="AA1006" s="276"/>
    </row>
    <row r="1007" customFormat="false" ht="14.25" hidden="false" customHeight="false" outlineLevel="0" collapsed="false">
      <c r="A1007" s="272" t="s">
        <v>1091</v>
      </c>
      <c r="B1007" s="273" t="n">
        <v>-7401.0435</v>
      </c>
      <c r="C1007" s="273"/>
      <c r="D1007" s="273"/>
      <c r="E1007" s="273"/>
      <c r="F1007" s="273"/>
      <c r="G1007" s="273"/>
      <c r="H1007" s="273"/>
      <c r="I1007" s="273"/>
      <c r="J1007" s="273" t="n">
        <v>1179.9</v>
      </c>
      <c r="K1007" s="273"/>
      <c r="L1007" s="273"/>
      <c r="M1007" s="273"/>
      <c r="N1007" s="273"/>
      <c r="O1007" s="273"/>
      <c r="P1007" s="273"/>
      <c r="Q1007" s="273"/>
      <c r="R1007" s="273"/>
      <c r="S1007" s="273"/>
      <c r="T1007" s="273"/>
      <c r="U1007" s="273"/>
      <c r="V1007" s="273"/>
      <c r="W1007" s="273"/>
      <c r="X1007" s="273"/>
      <c r="Y1007" s="274" t="n">
        <f aca="false">SUM(B1007:X1007)</f>
        <v>-6221.1435</v>
      </c>
      <c r="Z1007" s="272"/>
      <c r="AA1007" s="276"/>
    </row>
    <row r="1008" customFormat="false" ht="14.25" hidden="false" customHeight="false" outlineLevel="0" collapsed="false">
      <c r="A1008" s="272" t="s">
        <v>1088</v>
      </c>
      <c r="B1008" s="273" t="n">
        <v>-6919.65</v>
      </c>
      <c r="C1008" s="273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3"/>
      <c r="P1008" s="273"/>
      <c r="Q1008" s="273"/>
      <c r="R1008" s="273"/>
      <c r="S1008" s="273"/>
      <c r="T1008" s="273"/>
      <c r="U1008" s="273"/>
      <c r="V1008" s="273"/>
      <c r="W1008" s="273"/>
      <c r="X1008" s="273"/>
      <c r="Y1008" s="274" t="n">
        <f aca="false">SUM(B1008:X1008)</f>
        <v>-6919.65</v>
      </c>
      <c r="Z1008" s="272"/>
      <c r="AA1008" s="276"/>
    </row>
    <row r="1009" customFormat="false" ht="14.25" hidden="false" customHeight="false" outlineLevel="0" collapsed="false">
      <c r="A1009" s="272" t="s">
        <v>1116</v>
      </c>
      <c r="B1009" s="273"/>
      <c r="C1009" s="273" t="n">
        <v>39984</v>
      </c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3"/>
      <c r="P1009" s="273"/>
      <c r="Q1009" s="273"/>
      <c r="R1009" s="273"/>
      <c r="S1009" s="273"/>
      <c r="T1009" s="273"/>
      <c r="U1009" s="273"/>
      <c r="V1009" s="273"/>
      <c r="W1009" s="273"/>
      <c r="X1009" s="273"/>
      <c r="Y1009" s="274" t="n">
        <f aca="false">SUM(B1009:X1009)</f>
        <v>39984</v>
      </c>
      <c r="Z1009" s="272"/>
      <c r="AA1009" s="276"/>
    </row>
    <row r="1010" customFormat="false" ht="14.25" hidden="false" customHeight="false" outlineLevel="0" collapsed="false">
      <c r="A1010" s="272" t="s">
        <v>1117</v>
      </c>
      <c r="B1010" s="273"/>
      <c r="C1010" s="273" t="n">
        <v>71568</v>
      </c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3"/>
      <c r="P1010" s="273"/>
      <c r="Q1010" s="273"/>
      <c r="R1010" s="273"/>
      <c r="S1010" s="273"/>
      <c r="T1010" s="273"/>
      <c r="U1010" s="273"/>
      <c r="V1010" s="273"/>
      <c r="W1010" s="273"/>
      <c r="X1010" s="273"/>
      <c r="Y1010" s="274" t="n">
        <f aca="false">SUM(B1010:X1010)</f>
        <v>71568</v>
      </c>
      <c r="Z1010" s="272"/>
      <c r="AA1010" s="276"/>
    </row>
    <row r="1011" customFormat="false" ht="14.25" hidden="false" customHeight="false" outlineLevel="0" collapsed="false">
      <c r="A1011" s="272" t="s">
        <v>814</v>
      </c>
      <c r="B1011" s="273"/>
      <c r="C1011" s="273"/>
      <c r="D1011" s="273"/>
      <c r="E1011" s="273" t="n">
        <v>-547.75</v>
      </c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3"/>
      <c r="P1011" s="273"/>
      <c r="Q1011" s="273"/>
      <c r="R1011" s="273"/>
      <c r="S1011" s="273"/>
      <c r="T1011" s="273"/>
      <c r="U1011" s="273"/>
      <c r="V1011" s="273"/>
      <c r="W1011" s="273"/>
      <c r="X1011" s="273"/>
      <c r="Y1011" s="274" t="n">
        <f aca="false">SUM(B1011:X1011)</f>
        <v>-547.75</v>
      </c>
      <c r="Z1011" s="272"/>
      <c r="AA1011" s="276"/>
    </row>
    <row r="1012" customFormat="false" ht="14.25" hidden="false" customHeight="false" outlineLevel="0" collapsed="false">
      <c r="A1012" s="272" t="s">
        <v>1118</v>
      </c>
      <c r="B1012" s="273" t="n">
        <v>-531.5565</v>
      </c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3"/>
      <c r="P1012" s="273"/>
      <c r="Q1012" s="273"/>
      <c r="R1012" s="273"/>
      <c r="S1012" s="273"/>
      <c r="T1012" s="273"/>
      <c r="U1012" s="273"/>
      <c r="V1012" s="273"/>
      <c r="W1012" s="273"/>
      <c r="X1012" s="273"/>
      <c r="Y1012" s="274" t="n">
        <f aca="false">SUM(B1012:X1012)</f>
        <v>-531.5565</v>
      </c>
      <c r="Z1012" s="272"/>
      <c r="AA1012" s="276"/>
    </row>
    <row r="1013" customFormat="false" ht="14.25" hidden="false" customHeight="false" outlineLevel="0" collapsed="false">
      <c r="A1013" s="272" t="s">
        <v>1119</v>
      </c>
      <c r="B1013" s="273"/>
      <c r="C1013" s="273"/>
      <c r="D1013" s="273"/>
      <c r="E1013" s="273"/>
      <c r="F1013" s="273"/>
      <c r="G1013" s="273"/>
      <c r="H1013" s="273"/>
      <c r="I1013" s="273"/>
      <c r="J1013" s="273" t="n">
        <v>304.98</v>
      </c>
      <c r="K1013" s="273"/>
      <c r="L1013" s="273"/>
      <c r="M1013" s="273"/>
      <c r="N1013" s="273"/>
      <c r="O1013" s="273"/>
      <c r="P1013" s="273"/>
      <c r="Q1013" s="273"/>
      <c r="R1013" s="273"/>
      <c r="S1013" s="273"/>
      <c r="T1013" s="273"/>
      <c r="U1013" s="273"/>
      <c r="V1013" s="273"/>
      <c r="W1013" s="273"/>
      <c r="X1013" s="273"/>
      <c r="Y1013" s="274" t="n">
        <f aca="false">SUM(B1013:X1013)</f>
        <v>304.98</v>
      </c>
      <c r="Z1013" s="272"/>
      <c r="AA1013" s="276"/>
    </row>
    <row r="1014" customFormat="false" ht="14.25" hidden="false" customHeight="false" outlineLevel="0" collapsed="false">
      <c r="A1014" s="272" t="s">
        <v>1120</v>
      </c>
      <c r="B1014" s="273"/>
      <c r="C1014" s="273"/>
      <c r="D1014" s="273" t="n">
        <v>-107.61</v>
      </c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3"/>
      <c r="P1014" s="273"/>
      <c r="Q1014" s="273"/>
      <c r="R1014" s="273"/>
      <c r="S1014" s="273"/>
      <c r="T1014" s="273"/>
      <c r="U1014" s="273"/>
      <c r="V1014" s="273"/>
      <c r="W1014" s="273"/>
      <c r="X1014" s="273"/>
      <c r="Y1014" s="274" t="n">
        <f aca="false">SUM(B1014:X1014)</f>
        <v>-107.61</v>
      </c>
      <c r="Z1014" s="272"/>
      <c r="AA1014" s="276"/>
    </row>
    <row r="1015" customFormat="false" ht="14.25" hidden="false" customHeight="false" outlineLevel="0" collapsed="false">
      <c r="A1015" s="272" t="s">
        <v>1121</v>
      </c>
      <c r="B1015" s="273" t="n">
        <v>-11585.76</v>
      </c>
      <c r="C1015" s="273"/>
      <c r="D1015" s="273"/>
      <c r="E1015" s="273"/>
      <c r="F1015" s="273"/>
      <c r="G1015" s="273"/>
      <c r="H1015" s="273"/>
      <c r="I1015" s="273"/>
      <c r="J1015" s="273" t="n">
        <v>259.233</v>
      </c>
      <c r="K1015" s="273"/>
      <c r="L1015" s="273"/>
      <c r="M1015" s="273"/>
      <c r="N1015" s="273"/>
      <c r="O1015" s="273"/>
      <c r="P1015" s="273"/>
      <c r="Q1015" s="273"/>
      <c r="R1015" s="273"/>
      <c r="S1015" s="273"/>
      <c r="T1015" s="273"/>
      <c r="U1015" s="273"/>
      <c r="V1015" s="273"/>
      <c r="W1015" s="273"/>
      <c r="X1015" s="273"/>
      <c r="Y1015" s="274" t="n">
        <f aca="false">SUM(B1015:X1015)</f>
        <v>-11326.527</v>
      </c>
      <c r="Z1015" s="272"/>
      <c r="AA1015" s="276"/>
    </row>
    <row r="1016" customFormat="false" ht="14.25" hidden="false" customHeight="false" outlineLevel="0" collapsed="false">
      <c r="A1016" s="272" t="s">
        <v>1061</v>
      </c>
      <c r="B1016" s="273"/>
      <c r="C1016" s="273"/>
      <c r="D1016" s="273"/>
      <c r="E1016" s="273"/>
      <c r="F1016" s="273" t="n">
        <v>-21728.448</v>
      </c>
      <c r="G1016" s="273"/>
      <c r="H1016" s="273"/>
      <c r="I1016" s="273"/>
      <c r="J1016" s="273"/>
      <c r="K1016" s="273"/>
      <c r="L1016" s="273"/>
      <c r="M1016" s="273"/>
      <c r="N1016" s="273"/>
      <c r="O1016" s="273"/>
      <c r="P1016" s="273"/>
      <c r="Q1016" s="273"/>
      <c r="R1016" s="273"/>
      <c r="S1016" s="273"/>
      <c r="T1016" s="273"/>
      <c r="U1016" s="273"/>
      <c r="V1016" s="273"/>
      <c r="W1016" s="273"/>
      <c r="X1016" s="273"/>
      <c r="Y1016" s="274" t="n">
        <f aca="false">SUM(B1016:X1016)</f>
        <v>-21728.448</v>
      </c>
      <c r="Z1016" s="272"/>
      <c r="AA1016" s="276"/>
    </row>
    <row r="1017" customFormat="false" ht="14.25" hidden="false" customHeight="false" outlineLevel="0" collapsed="false">
      <c r="A1017" s="272" t="s">
        <v>1061</v>
      </c>
      <c r="B1017" s="273"/>
      <c r="C1017" s="273"/>
      <c r="D1017" s="273"/>
      <c r="E1017" s="273"/>
      <c r="F1017" s="273" t="n">
        <v>-21599.112</v>
      </c>
      <c r="G1017" s="273"/>
      <c r="H1017" s="273"/>
      <c r="I1017" s="273"/>
      <c r="J1017" s="273"/>
      <c r="K1017" s="273"/>
      <c r="L1017" s="273"/>
      <c r="M1017" s="273"/>
      <c r="N1017" s="273"/>
      <c r="O1017" s="273"/>
      <c r="P1017" s="273"/>
      <c r="Q1017" s="273"/>
      <c r="R1017" s="273"/>
      <c r="S1017" s="273"/>
      <c r="T1017" s="273"/>
      <c r="U1017" s="273"/>
      <c r="V1017" s="273"/>
      <c r="W1017" s="273"/>
      <c r="X1017" s="273"/>
      <c r="Y1017" s="274" t="n">
        <f aca="false">SUM(B1017:X1017)</f>
        <v>-21599.112</v>
      </c>
      <c r="Z1017" s="272"/>
      <c r="AA1017" s="276"/>
    </row>
    <row r="1018" customFormat="false" ht="14.25" hidden="false" customHeight="false" outlineLevel="0" collapsed="false">
      <c r="A1018" s="272" t="s">
        <v>1122</v>
      </c>
      <c r="B1018" s="273" t="n">
        <v>3741.1608</v>
      </c>
      <c r="C1018" s="273"/>
      <c r="D1018" s="273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3"/>
      <c r="P1018" s="273"/>
      <c r="Q1018" s="273"/>
      <c r="R1018" s="273"/>
      <c r="S1018" s="273"/>
      <c r="T1018" s="273"/>
      <c r="U1018" s="273"/>
      <c r="V1018" s="273"/>
      <c r="W1018" s="273"/>
      <c r="X1018" s="273"/>
      <c r="Y1018" s="274" t="n">
        <f aca="false">SUM(B1018:X1018)</f>
        <v>3741.1608</v>
      </c>
      <c r="Z1018" s="272"/>
      <c r="AA1018" s="276"/>
    </row>
    <row r="1019" customFormat="false" ht="14.25" hidden="false" customHeight="false" outlineLevel="0" collapsed="false">
      <c r="A1019" s="272" t="s">
        <v>1123</v>
      </c>
      <c r="B1019" s="273"/>
      <c r="C1019" s="273" t="n">
        <v>-31400.16</v>
      </c>
      <c r="D1019" s="273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3"/>
      <c r="P1019" s="273"/>
      <c r="Q1019" s="273"/>
      <c r="R1019" s="273"/>
      <c r="S1019" s="273"/>
      <c r="T1019" s="273"/>
      <c r="U1019" s="273"/>
      <c r="V1019" s="273"/>
      <c r="W1019" s="273"/>
      <c r="X1019" s="273"/>
      <c r="Y1019" s="274" t="n">
        <f aca="false">SUM(B1019:X1019)</f>
        <v>-31400.16</v>
      </c>
      <c r="Z1019" s="272"/>
      <c r="AA1019" s="276"/>
    </row>
    <row r="1020" customFormat="false" ht="14.25" hidden="false" customHeight="false" outlineLevel="0" collapsed="false">
      <c r="A1020" s="272" t="s">
        <v>1124</v>
      </c>
      <c r="B1020" s="273" t="n">
        <v>-16641</v>
      </c>
      <c r="C1020" s="273" t="n">
        <v>-4554</v>
      </c>
      <c r="D1020" s="273"/>
      <c r="E1020" s="273"/>
      <c r="F1020" s="273" t="n">
        <v>-5432.112</v>
      </c>
      <c r="G1020" s="273"/>
      <c r="H1020" s="273"/>
      <c r="I1020" s="273"/>
      <c r="J1020" s="273"/>
      <c r="K1020" s="273"/>
      <c r="L1020" s="273"/>
      <c r="M1020" s="273"/>
      <c r="N1020" s="273"/>
      <c r="O1020" s="273"/>
      <c r="P1020" s="273" t="n">
        <v>-2398.608</v>
      </c>
      <c r="Q1020" s="273"/>
      <c r="R1020" s="273"/>
      <c r="S1020" s="273"/>
      <c r="T1020" s="273"/>
      <c r="U1020" s="273"/>
      <c r="V1020" s="273"/>
      <c r="W1020" s="273"/>
      <c r="X1020" s="273"/>
      <c r="Y1020" s="274" t="n">
        <f aca="false">SUM(B1020:X1020)</f>
        <v>-29025.72</v>
      </c>
      <c r="Z1020" s="272"/>
      <c r="AA1020" s="276"/>
    </row>
    <row r="1021" customFormat="false" ht="14.25" hidden="false" customHeight="false" outlineLevel="0" collapsed="false">
      <c r="A1021" s="272" t="s">
        <v>567</v>
      </c>
      <c r="B1021" s="273" t="n">
        <v>-39792.4785</v>
      </c>
      <c r="C1021" s="273"/>
      <c r="D1021" s="273"/>
      <c r="E1021" s="273"/>
      <c r="F1021" s="273"/>
      <c r="G1021" s="273"/>
      <c r="H1021" s="273"/>
      <c r="I1021" s="273"/>
      <c r="J1021" s="273" t="n">
        <v>2348.346</v>
      </c>
      <c r="K1021" s="273"/>
      <c r="L1021" s="273"/>
      <c r="M1021" s="273"/>
      <c r="N1021" s="273"/>
      <c r="O1021" s="273"/>
      <c r="P1021" s="273"/>
      <c r="Q1021" s="273"/>
      <c r="R1021" s="273"/>
      <c r="S1021" s="273"/>
      <c r="T1021" s="273"/>
      <c r="U1021" s="273"/>
      <c r="V1021" s="273"/>
      <c r="W1021" s="273"/>
      <c r="X1021" s="273"/>
      <c r="Y1021" s="274" t="n">
        <f aca="false">SUM(B1021:X1021)</f>
        <v>-37444.1325</v>
      </c>
      <c r="Z1021" s="272"/>
      <c r="AA1021" s="276"/>
    </row>
    <row r="1022" customFormat="false" ht="14.25" hidden="false" customHeight="false" outlineLevel="0" collapsed="false">
      <c r="A1022" s="272" t="s">
        <v>1125</v>
      </c>
      <c r="B1022" s="273"/>
      <c r="C1022" s="273"/>
      <c r="D1022" s="273"/>
      <c r="E1022" s="273"/>
      <c r="F1022" s="273" t="n">
        <v>196.95</v>
      </c>
      <c r="G1022" s="273"/>
      <c r="H1022" s="273"/>
      <c r="I1022" s="273"/>
      <c r="J1022" s="273"/>
      <c r="K1022" s="273"/>
      <c r="L1022" s="273"/>
      <c r="M1022" s="273"/>
      <c r="N1022" s="273"/>
      <c r="O1022" s="273"/>
      <c r="P1022" s="273"/>
      <c r="Q1022" s="273"/>
      <c r="R1022" s="273"/>
      <c r="S1022" s="273"/>
      <c r="T1022" s="273"/>
      <c r="U1022" s="273"/>
      <c r="V1022" s="273"/>
      <c r="W1022" s="273"/>
      <c r="X1022" s="273"/>
      <c r="Y1022" s="274" t="n">
        <f aca="false">SUM(B1022:X1022)</f>
        <v>196.95</v>
      </c>
      <c r="Z1022" s="272"/>
      <c r="AA1022" s="276"/>
    </row>
    <row r="1023" customFormat="false" ht="14.25" hidden="false" customHeight="false" outlineLevel="0" collapsed="false">
      <c r="A1023" s="272" t="s">
        <v>1126</v>
      </c>
      <c r="B1023" s="273"/>
      <c r="C1023" s="273"/>
      <c r="D1023" s="273"/>
      <c r="E1023" s="273"/>
      <c r="F1023" s="273"/>
      <c r="G1023" s="273" t="n">
        <v>-118.188</v>
      </c>
      <c r="H1023" s="273"/>
      <c r="I1023" s="273"/>
      <c r="J1023" s="273"/>
      <c r="K1023" s="273"/>
      <c r="L1023" s="273"/>
      <c r="M1023" s="273"/>
      <c r="N1023" s="273"/>
      <c r="O1023" s="273"/>
      <c r="P1023" s="273"/>
      <c r="Q1023" s="273"/>
      <c r="R1023" s="273"/>
      <c r="S1023" s="273"/>
      <c r="T1023" s="273"/>
      <c r="U1023" s="273"/>
      <c r="V1023" s="273"/>
      <c r="W1023" s="273"/>
      <c r="X1023" s="273"/>
      <c r="Y1023" s="274" t="n">
        <f aca="false">SUM(B1023:X1023)</f>
        <v>-118.188</v>
      </c>
      <c r="Z1023" s="272"/>
      <c r="AA1023" s="276"/>
    </row>
    <row r="1024" customFormat="false" ht="14.25" hidden="false" customHeight="false" outlineLevel="0" collapsed="false">
      <c r="A1024" s="272" t="s">
        <v>1127</v>
      </c>
      <c r="B1024" s="273"/>
      <c r="C1024" s="273"/>
      <c r="D1024" s="273"/>
      <c r="E1024" s="273"/>
      <c r="F1024" s="273"/>
      <c r="G1024" s="273"/>
      <c r="H1024" s="273"/>
      <c r="I1024" s="273"/>
      <c r="J1024" s="273" t="n">
        <v>-21786.24</v>
      </c>
      <c r="K1024" s="273"/>
      <c r="L1024" s="273"/>
      <c r="M1024" s="273"/>
      <c r="N1024" s="273"/>
      <c r="O1024" s="273"/>
      <c r="P1024" s="273"/>
      <c r="Q1024" s="273"/>
      <c r="R1024" s="273"/>
      <c r="S1024" s="273"/>
      <c r="T1024" s="273"/>
      <c r="U1024" s="273"/>
      <c r="V1024" s="273"/>
      <c r="W1024" s="273"/>
      <c r="X1024" s="273"/>
      <c r="Y1024" s="274" t="n">
        <f aca="false">SUM(B1024:X1024)</f>
        <v>-21786.24</v>
      </c>
      <c r="Z1024" s="272"/>
      <c r="AA1024" s="276"/>
    </row>
    <row r="1025" customFormat="false" ht="14.25" hidden="false" customHeight="false" outlineLevel="0" collapsed="false">
      <c r="A1025" s="272" t="s">
        <v>1128</v>
      </c>
      <c r="B1025" s="273"/>
      <c r="C1025" s="273"/>
      <c r="D1025" s="273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 t="n">
        <v>-4705.0035</v>
      </c>
      <c r="O1025" s="273"/>
      <c r="P1025" s="273"/>
      <c r="Q1025" s="273"/>
      <c r="R1025" s="273"/>
      <c r="S1025" s="273"/>
      <c r="T1025" s="273"/>
      <c r="U1025" s="273"/>
      <c r="V1025" s="273"/>
      <c r="W1025" s="273"/>
      <c r="X1025" s="273"/>
      <c r="Y1025" s="274" t="n">
        <f aca="false">SUM(B1025:X1025)</f>
        <v>-4705.0035</v>
      </c>
      <c r="Z1025" s="272"/>
      <c r="AA1025" s="276"/>
    </row>
    <row r="1026" customFormat="false" ht="14.25" hidden="false" customHeight="false" outlineLevel="0" collapsed="false">
      <c r="A1026" s="272" t="s">
        <v>1122</v>
      </c>
      <c r="B1026" s="273"/>
      <c r="C1026" s="273"/>
      <c r="D1026" s="273"/>
      <c r="E1026" s="273"/>
      <c r="F1026" s="273"/>
      <c r="G1026" s="273"/>
      <c r="H1026" s="273"/>
      <c r="I1026" s="273"/>
      <c r="J1026" s="273" t="n">
        <v>7040.736</v>
      </c>
      <c r="K1026" s="273"/>
      <c r="L1026" s="273"/>
      <c r="M1026" s="273"/>
      <c r="N1026" s="273"/>
      <c r="O1026" s="273"/>
      <c r="P1026" s="273"/>
      <c r="Q1026" s="273"/>
      <c r="R1026" s="273"/>
      <c r="S1026" s="273"/>
      <c r="T1026" s="273"/>
      <c r="U1026" s="273"/>
      <c r="V1026" s="273"/>
      <c r="W1026" s="273"/>
      <c r="X1026" s="273"/>
      <c r="Y1026" s="274" t="n">
        <f aca="false">SUM(B1026:X1026)</f>
        <v>7040.736</v>
      </c>
      <c r="Z1026" s="272"/>
      <c r="AA1026" s="276"/>
    </row>
    <row r="1027" customFormat="false" ht="14.25" hidden="false" customHeight="false" outlineLevel="0" collapsed="false">
      <c r="A1027" s="272" t="s">
        <v>1129</v>
      </c>
      <c r="B1027" s="273"/>
      <c r="C1027" s="273" t="n">
        <v>-755.685</v>
      </c>
      <c r="D1027" s="273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3"/>
      <c r="P1027" s="273"/>
      <c r="Q1027" s="273"/>
      <c r="R1027" s="273"/>
      <c r="S1027" s="273"/>
      <c r="T1027" s="273"/>
      <c r="U1027" s="273"/>
      <c r="V1027" s="273"/>
      <c r="W1027" s="273"/>
      <c r="X1027" s="273"/>
      <c r="Y1027" s="274" t="n">
        <f aca="false">SUM(B1027:X1027)</f>
        <v>-755.685</v>
      </c>
      <c r="Z1027" s="272"/>
      <c r="AA1027" s="276"/>
    </row>
    <row r="1028" customFormat="false" ht="14.25" hidden="false" customHeight="false" outlineLevel="0" collapsed="false">
      <c r="A1028" s="272" t="s">
        <v>1130</v>
      </c>
      <c r="B1028" s="273"/>
      <c r="C1028" s="273" t="n">
        <v>3.306</v>
      </c>
      <c r="D1028" s="273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3"/>
      <c r="P1028" s="273"/>
      <c r="Q1028" s="273"/>
      <c r="R1028" s="273"/>
      <c r="S1028" s="273"/>
      <c r="T1028" s="273"/>
      <c r="U1028" s="273"/>
      <c r="V1028" s="273"/>
      <c r="W1028" s="273"/>
      <c r="X1028" s="273"/>
      <c r="Y1028" s="274" t="n">
        <f aca="false">SUM(B1028:X1028)</f>
        <v>3.306</v>
      </c>
      <c r="Z1028" s="272"/>
      <c r="AA1028" s="276"/>
    </row>
    <row r="1029" customFormat="false" ht="14.25" hidden="false" customHeight="false" outlineLevel="0" collapsed="false">
      <c r="A1029" s="272" t="s">
        <v>1051</v>
      </c>
      <c r="B1029" s="273"/>
      <c r="C1029" s="273"/>
      <c r="D1029" s="273"/>
      <c r="E1029" s="273"/>
      <c r="F1029" s="273" t="n">
        <v>-15672.384</v>
      </c>
      <c r="G1029" s="273"/>
      <c r="H1029" s="273"/>
      <c r="I1029" s="273"/>
      <c r="J1029" s="273"/>
      <c r="K1029" s="273"/>
      <c r="L1029" s="273"/>
      <c r="M1029" s="273"/>
      <c r="N1029" s="273"/>
      <c r="O1029" s="273"/>
      <c r="P1029" s="273"/>
      <c r="Q1029" s="273"/>
      <c r="R1029" s="273"/>
      <c r="S1029" s="273"/>
      <c r="T1029" s="273"/>
      <c r="U1029" s="273"/>
      <c r="V1029" s="273"/>
      <c r="W1029" s="273"/>
      <c r="X1029" s="273"/>
      <c r="Y1029" s="274" t="n">
        <f aca="false">SUM(B1029:X1029)</f>
        <v>-15672.384</v>
      </c>
      <c r="Z1029" s="272"/>
      <c r="AA1029" s="276"/>
    </row>
    <row r="1030" customFormat="false" ht="14.25" hidden="false" customHeight="false" outlineLevel="0" collapsed="false">
      <c r="A1030" s="272" t="s">
        <v>1061</v>
      </c>
      <c r="B1030" s="273"/>
      <c r="C1030" s="273"/>
      <c r="D1030" s="273"/>
      <c r="E1030" s="273"/>
      <c r="F1030" s="273" t="n">
        <v>-12157.584</v>
      </c>
      <c r="G1030" s="273"/>
      <c r="H1030" s="273"/>
      <c r="I1030" s="273"/>
      <c r="J1030" s="273"/>
      <c r="K1030" s="273"/>
      <c r="L1030" s="273"/>
      <c r="M1030" s="273"/>
      <c r="N1030" s="273"/>
      <c r="O1030" s="273"/>
      <c r="P1030" s="273"/>
      <c r="Q1030" s="273"/>
      <c r="R1030" s="273"/>
      <c r="S1030" s="273"/>
      <c r="T1030" s="273"/>
      <c r="U1030" s="273"/>
      <c r="V1030" s="273"/>
      <c r="W1030" s="273"/>
      <c r="X1030" s="273"/>
      <c r="Y1030" s="274" t="n">
        <f aca="false">SUM(B1030:X1030)</f>
        <v>-12157.584</v>
      </c>
      <c r="Z1030" s="272"/>
      <c r="AA1030" s="276"/>
    </row>
    <row r="1031" customFormat="false" ht="14.25" hidden="false" customHeight="false" outlineLevel="0" collapsed="false">
      <c r="A1031" s="272" t="s">
        <v>1131</v>
      </c>
      <c r="B1031" s="273"/>
      <c r="C1031" s="273"/>
      <c r="D1031" s="273"/>
      <c r="E1031" s="273"/>
      <c r="F1031" s="273" t="n">
        <v>-8794.848</v>
      </c>
      <c r="G1031" s="273"/>
      <c r="H1031" s="273"/>
      <c r="I1031" s="273"/>
      <c r="J1031" s="273"/>
      <c r="K1031" s="273"/>
      <c r="L1031" s="273"/>
      <c r="M1031" s="273"/>
      <c r="N1031" s="273"/>
      <c r="O1031" s="273"/>
      <c r="P1031" s="273"/>
      <c r="Q1031" s="273"/>
      <c r="R1031" s="273"/>
      <c r="S1031" s="273"/>
      <c r="T1031" s="273"/>
      <c r="U1031" s="273"/>
      <c r="V1031" s="273"/>
      <c r="W1031" s="273"/>
      <c r="X1031" s="273"/>
      <c r="Y1031" s="274" t="n">
        <f aca="false">SUM(B1031:X1031)</f>
        <v>-8794.848</v>
      </c>
      <c r="Z1031" s="272"/>
      <c r="AA1031" s="276"/>
    </row>
    <row r="1032" customFormat="false" ht="14.25" hidden="false" customHeight="false" outlineLevel="0" collapsed="false">
      <c r="A1032" s="272" t="s">
        <v>1132</v>
      </c>
      <c r="B1032" s="273"/>
      <c r="C1032" s="273" t="n">
        <v>-20280.81</v>
      </c>
      <c r="D1032" s="273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3"/>
      <c r="P1032" s="273"/>
      <c r="Q1032" s="273"/>
      <c r="R1032" s="273"/>
      <c r="S1032" s="273"/>
      <c r="T1032" s="273"/>
      <c r="U1032" s="273"/>
      <c r="V1032" s="273"/>
      <c r="W1032" s="273"/>
      <c r="X1032" s="273"/>
      <c r="Y1032" s="274" t="n">
        <f aca="false">SUM(B1032:X1032)</f>
        <v>-20280.81</v>
      </c>
      <c r="Z1032" s="272"/>
      <c r="AA1032" s="276"/>
    </row>
    <row r="1033" customFormat="false" ht="14.25" hidden="false" customHeight="false" outlineLevel="0" collapsed="false">
      <c r="A1033" s="272" t="s">
        <v>1133</v>
      </c>
      <c r="B1033" s="273" t="n">
        <v>2537.022</v>
      </c>
      <c r="C1033" s="273"/>
      <c r="D1033" s="273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3"/>
      <c r="P1033" s="273"/>
      <c r="Q1033" s="273"/>
      <c r="R1033" s="273"/>
      <c r="S1033" s="273"/>
      <c r="T1033" s="273"/>
      <c r="U1033" s="273"/>
      <c r="V1033" s="273"/>
      <c r="W1033" s="273"/>
      <c r="X1033" s="273"/>
      <c r="Y1033" s="274" t="n">
        <f aca="false">SUM(B1033:X1033)</f>
        <v>2537.022</v>
      </c>
      <c r="Z1033" s="272"/>
      <c r="AA1033" s="276"/>
    </row>
    <row r="1034" customFormat="false" ht="14.25" hidden="false" customHeight="false" outlineLevel="0" collapsed="false">
      <c r="A1034" s="272" t="s">
        <v>1134</v>
      </c>
      <c r="B1034" s="273" t="n">
        <v>-968.751</v>
      </c>
      <c r="C1034" s="273"/>
      <c r="D1034" s="273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3"/>
      <c r="P1034" s="273"/>
      <c r="Q1034" s="273"/>
      <c r="R1034" s="273"/>
      <c r="S1034" s="273"/>
      <c r="T1034" s="273"/>
      <c r="U1034" s="273"/>
      <c r="V1034" s="273"/>
      <c r="W1034" s="273"/>
      <c r="X1034" s="273"/>
      <c r="Y1034" s="274" t="n">
        <f aca="false">SUM(B1034:X1034)</f>
        <v>-968.751</v>
      </c>
      <c r="Z1034" s="272"/>
      <c r="AA1034" s="276"/>
    </row>
    <row r="1035" customFormat="false" ht="14.25" hidden="false" customHeight="false" outlineLevel="0" collapsed="false">
      <c r="A1035" s="272" t="s">
        <v>1059</v>
      </c>
      <c r="B1035" s="273"/>
      <c r="C1035" s="273"/>
      <c r="D1035" s="273"/>
      <c r="E1035" s="273" t="n">
        <v>-24168.468</v>
      </c>
      <c r="F1035" s="273"/>
      <c r="G1035" s="273"/>
      <c r="H1035" s="273"/>
      <c r="I1035" s="273"/>
      <c r="J1035" s="273"/>
      <c r="K1035" s="273"/>
      <c r="L1035" s="273"/>
      <c r="M1035" s="273"/>
      <c r="N1035" s="273" t="n">
        <v>-25530.7035</v>
      </c>
      <c r="O1035" s="273"/>
      <c r="P1035" s="273"/>
      <c r="Q1035" s="273"/>
      <c r="R1035" s="273"/>
      <c r="S1035" s="273"/>
      <c r="T1035" s="273"/>
      <c r="U1035" s="273"/>
      <c r="V1035" s="273"/>
      <c r="W1035" s="273"/>
      <c r="X1035" s="273"/>
      <c r="Y1035" s="274" t="n">
        <f aca="false">SUM(B1035:X1035)</f>
        <v>-49699.1715</v>
      </c>
      <c r="Z1035" s="272"/>
      <c r="AA1035" s="276"/>
    </row>
    <row r="1036" customFormat="false" ht="14.25" hidden="false" customHeight="false" outlineLevel="0" collapsed="false">
      <c r="A1036" s="272" t="s">
        <v>1135</v>
      </c>
      <c r="B1036" s="273"/>
      <c r="C1036" s="273"/>
      <c r="D1036" s="273"/>
      <c r="E1036" s="273"/>
      <c r="F1036" s="273" t="n">
        <v>-22633.8</v>
      </c>
      <c r="G1036" s="273"/>
      <c r="H1036" s="273"/>
      <c r="I1036" s="273"/>
      <c r="J1036" s="273"/>
      <c r="K1036" s="273"/>
      <c r="L1036" s="273"/>
      <c r="M1036" s="273"/>
      <c r="N1036" s="273"/>
      <c r="O1036" s="273"/>
      <c r="P1036" s="273"/>
      <c r="Q1036" s="273"/>
      <c r="R1036" s="273"/>
      <c r="S1036" s="273"/>
      <c r="T1036" s="273"/>
      <c r="U1036" s="273"/>
      <c r="V1036" s="273"/>
      <c r="W1036" s="273"/>
      <c r="X1036" s="273"/>
      <c r="Y1036" s="274" t="n">
        <f aca="false">SUM(B1036:X1036)</f>
        <v>-22633.8</v>
      </c>
      <c r="Z1036" s="272"/>
      <c r="AA1036" s="276"/>
    </row>
    <row r="1037" customFormat="false" ht="14.25" hidden="false" customHeight="false" outlineLevel="0" collapsed="false">
      <c r="A1037" s="272" t="s">
        <v>1136</v>
      </c>
      <c r="B1037" s="273"/>
      <c r="C1037" s="273"/>
      <c r="D1037" s="273"/>
      <c r="E1037" s="273"/>
      <c r="F1037" s="273" t="n">
        <v>-6337.464</v>
      </c>
      <c r="G1037" s="273"/>
      <c r="H1037" s="273"/>
      <c r="I1037" s="273"/>
      <c r="J1037" s="273"/>
      <c r="K1037" s="273"/>
      <c r="L1037" s="273"/>
      <c r="M1037" s="273"/>
      <c r="N1037" s="273"/>
      <c r="O1037" s="273"/>
      <c r="P1037" s="273"/>
      <c r="Q1037" s="273"/>
      <c r="R1037" s="273"/>
      <c r="S1037" s="273"/>
      <c r="T1037" s="273"/>
      <c r="U1037" s="273"/>
      <c r="V1037" s="273"/>
      <c r="W1037" s="273"/>
      <c r="X1037" s="273"/>
      <c r="Y1037" s="274" t="n">
        <f aca="false">SUM(B1037:X1037)</f>
        <v>-6337.464</v>
      </c>
      <c r="Z1037" s="272"/>
      <c r="AA1037" s="276"/>
    </row>
    <row r="1038" customFormat="false" ht="14.25" hidden="false" customHeight="false" outlineLevel="0" collapsed="false">
      <c r="A1038" s="272" t="s">
        <v>1137</v>
      </c>
      <c r="B1038" s="273"/>
      <c r="C1038" s="273"/>
      <c r="D1038" s="273"/>
      <c r="E1038" s="273"/>
      <c r="F1038" s="273" t="n">
        <v>-13400.382</v>
      </c>
      <c r="G1038" s="273"/>
      <c r="H1038" s="273"/>
      <c r="I1038" s="273"/>
      <c r="J1038" s="273"/>
      <c r="K1038" s="273"/>
      <c r="L1038" s="273"/>
      <c r="M1038" s="273"/>
      <c r="N1038" s="273"/>
      <c r="O1038" s="273"/>
      <c r="P1038" s="273"/>
      <c r="Q1038" s="273"/>
      <c r="R1038" s="273"/>
      <c r="S1038" s="273"/>
      <c r="T1038" s="273"/>
      <c r="U1038" s="273"/>
      <c r="V1038" s="273"/>
      <c r="W1038" s="273"/>
      <c r="X1038" s="273"/>
      <c r="Y1038" s="274" t="n">
        <f aca="false">SUM(B1038:X1038)</f>
        <v>-13400.382</v>
      </c>
      <c r="Z1038" s="272"/>
      <c r="AA1038" s="276"/>
    </row>
    <row r="1039" customFormat="false" ht="14.25" hidden="false" customHeight="false" outlineLevel="0" collapsed="false">
      <c r="A1039" s="272" t="s">
        <v>1138</v>
      </c>
      <c r="B1039" s="273"/>
      <c r="C1039" s="273"/>
      <c r="D1039" s="273"/>
      <c r="E1039" s="273"/>
      <c r="F1039" s="273" t="n">
        <v>-4656.096</v>
      </c>
      <c r="G1039" s="273"/>
      <c r="H1039" s="273"/>
      <c r="I1039" s="273"/>
      <c r="J1039" s="273"/>
      <c r="K1039" s="273"/>
      <c r="L1039" s="273"/>
      <c r="M1039" s="273"/>
      <c r="N1039" s="273"/>
      <c r="O1039" s="273"/>
      <c r="P1039" s="273"/>
      <c r="Q1039" s="273"/>
      <c r="R1039" s="273"/>
      <c r="S1039" s="273"/>
      <c r="T1039" s="273"/>
      <c r="U1039" s="273"/>
      <c r="V1039" s="273"/>
      <c r="W1039" s="273"/>
      <c r="X1039" s="273"/>
      <c r="Y1039" s="274" t="n">
        <f aca="false">SUM(B1039:X1039)</f>
        <v>-4656.096</v>
      </c>
      <c r="Z1039" s="272"/>
      <c r="AA1039" s="276"/>
    </row>
    <row r="1040" customFormat="false" ht="14.25" hidden="false" customHeight="false" outlineLevel="0" collapsed="false">
      <c r="A1040" s="272" t="s">
        <v>392</v>
      </c>
      <c r="B1040" s="273"/>
      <c r="C1040" s="273"/>
      <c r="D1040" s="273"/>
      <c r="E1040" s="273"/>
      <c r="F1040" s="273"/>
      <c r="G1040" s="273"/>
      <c r="H1040" s="273"/>
      <c r="I1040" s="273" t="n">
        <v>477.513</v>
      </c>
      <c r="J1040" s="273"/>
      <c r="K1040" s="273"/>
      <c r="L1040" s="273"/>
      <c r="M1040" s="273"/>
      <c r="N1040" s="273"/>
      <c r="O1040" s="273"/>
      <c r="P1040" s="273"/>
      <c r="Q1040" s="273"/>
      <c r="R1040" s="273"/>
      <c r="S1040" s="273"/>
      <c r="T1040" s="273"/>
      <c r="U1040" s="273"/>
      <c r="V1040" s="273"/>
      <c r="W1040" s="273"/>
      <c r="X1040" s="273"/>
      <c r="Y1040" s="274" t="n">
        <f aca="false">SUM(B1040:X1040)</f>
        <v>477.513</v>
      </c>
      <c r="Z1040" s="272"/>
      <c r="AA1040" s="276"/>
    </row>
    <row r="1041" customFormat="false" ht="14.25" hidden="false" customHeight="false" outlineLevel="0" collapsed="false">
      <c r="A1041" s="272" t="s">
        <v>1139</v>
      </c>
      <c r="B1041" s="273"/>
      <c r="C1041" s="273" t="n">
        <v>-4110.975</v>
      </c>
      <c r="D1041" s="273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3"/>
      <c r="P1041" s="273"/>
      <c r="Q1041" s="273"/>
      <c r="R1041" s="273"/>
      <c r="S1041" s="273"/>
      <c r="T1041" s="273"/>
      <c r="U1041" s="273"/>
      <c r="V1041" s="273"/>
      <c r="W1041" s="273"/>
      <c r="X1041" s="273"/>
      <c r="Y1041" s="274" t="n">
        <f aca="false">SUM(B1041:X1041)</f>
        <v>-4110.975</v>
      </c>
      <c r="Z1041" s="272"/>
      <c r="AA1041" s="276"/>
    </row>
    <row r="1042" customFormat="false" ht="14.25" hidden="false" customHeight="false" outlineLevel="0" collapsed="false">
      <c r="A1042" s="272" t="s">
        <v>1140</v>
      </c>
      <c r="B1042" s="273"/>
      <c r="C1042" s="273"/>
      <c r="D1042" s="273"/>
      <c r="E1042" s="273"/>
      <c r="F1042" s="273" t="n">
        <v>-22633.8</v>
      </c>
      <c r="G1042" s="273"/>
      <c r="H1042" s="273"/>
      <c r="I1042" s="273"/>
      <c r="J1042" s="273"/>
      <c r="K1042" s="273"/>
      <c r="L1042" s="273"/>
      <c r="M1042" s="273"/>
      <c r="N1042" s="273"/>
      <c r="O1042" s="273"/>
      <c r="P1042" s="273"/>
      <c r="Q1042" s="273"/>
      <c r="R1042" s="273"/>
      <c r="S1042" s="273"/>
      <c r="T1042" s="273"/>
      <c r="U1042" s="273"/>
      <c r="V1042" s="273"/>
      <c r="W1042" s="273"/>
      <c r="X1042" s="273"/>
      <c r="Y1042" s="274" t="n">
        <f aca="false">SUM(B1042:X1042)</f>
        <v>-22633.8</v>
      </c>
      <c r="Z1042" s="272"/>
      <c r="AA1042" s="276"/>
    </row>
    <row r="1043" customFormat="false" ht="14.25" hidden="false" customHeight="false" outlineLevel="0" collapsed="false">
      <c r="A1043" s="272" t="s">
        <v>1141</v>
      </c>
      <c r="B1043" s="273"/>
      <c r="C1043" s="273"/>
      <c r="D1043" s="273"/>
      <c r="E1043" s="273"/>
      <c r="F1043" s="273"/>
      <c r="G1043" s="273"/>
      <c r="H1043" s="273"/>
      <c r="I1043" s="273"/>
      <c r="J1043" s="273" t="n">
        <v>-7715.96</v>
      </c>
      <c r="K1043" s="273"/>
      <c r="L1043" s="273" t="n">
        <v>-3496.095</v>
      </c>
      <c r="M1043" s="273"/>
      <c r="N1043" s="273"/>
      <c r="O1043" s="273"/>
      <c r="P1043" s="273"/>
      <c r="Q1043" s="273"/>
      <c r="R1043" s="273"/>
      <c r="S1043" s="273"/>
      <c r="T1043" s="273"/>
      <c r="U1043" s="273"/>
      <c r="V1043" s="273"/>
      <c r="W1043" s="273"/>
      <c r="X1043" s="273"/>
      <c r="Y1043" s="274" t="n">
        <f aca="false">SUM(B1043:X1043)</f>
        <v>-11212.055</v>
      </c>
      <c r="Z1043" s="272"/>
      <c r="AA1043" s="276"/>
    </row>
    <row r="1044" customFormat="false" ht="14.25" hidden="false" customHeight="false" outlineLevel="0" collapsed="false">
      <c r="A1044" s="272" t="s">
        <v>1142</v>
      </c>
      <c r="B1044" s="273"/>
      <c r="C1044" s="273"/>
      <c r="D1044" s="273"/>
      <c r="E1044" s="273"/>
      <c r="F1044" s="273" t="n">
        <v>-14730.3</v>
      </c>
      <c r="G1044" s="273"/>
      <c r="H1044" s="273"/>
      <c r="I1044" s="273"/>
      <c r="J1044" s="273"/>
      <c r="K1044" s="273"/>
      <c r="L1044" s="273"/>
      <c r="M1044" s="273"/>
      <c r="N1044" s="273"/>
      <c r="O1044" s="273"/>
      <c r="P1044" s="273"/>
      <c r="Q1044" s="273"/>
      <c r="R1044" s="273"/>
      <c r="S1044" s="273"/>
      <c r="T1044" s="273"/>
      <c r="U1044" s="273"/>
      <c r="V1044" s="273"/>
      <c r="W1044" s="273"/>
      <c r="X1044" s="273"/>
      <c r="Y1044" s="274" t="n">
        <f aca="false">SUM(B1044:X1044)</f>
        <v>-14730.3</v>
      </c>
      <c r="Z1044" s="272"/>
      <c r="AA1044" s="276"/>
    </row>
    <row r="1045" customFormat="false" ht="14.25" hidden="false" customHeight="false" outlineLevel="0" collapsed="false">
      <c r="A1045" s="272" t="s">
        <v>1143</v>
      </c>
      <c r="B1045" s="273"/>
      <c r="C1045" s="273"/>
      <c r="D1045" s="273"/>
      <c r="E1045" s="273"/>
      <c r="F1045" s="273" t="n">
        <v>-24961.848</v>
      </c>
      <c r="G1045" s="273"/>
      <c r="H1045" s="273"/>
      <c r="I1045" s="273"/>
      <c r="J1045" s="273"/>
      <c r="K1045" s="273"/>
      <c r="L1045" s="273"/>
      <c r="M1045" s="273"/>
      <c r="N1045" s="273"/>
      <c r="O1045" s="273"/>
      <c r="P1045" s="273"/>
      <c r="Q1045" s="273"/>
      <c r="R1045" s="273"/>
      <c r="S1045" s="273"/>
      <c r="T1045" s="273"/>
      <c r="U1045" s="273"/>
      <c r="V1045" s="273"/>
      <c r="W1045" s="273"/>
      <c r="X1045" s="273"/>
      <c r="Y1045" s="274" t="n">
        <f aca="false">SUM(B1045:X1045)</f>
        <v>-24961.848</v>
      </c>
      <c r="Z1045" s="272"/>
      <c r="AA1045" s="276"/>
    </row>
    <row r="1046" customFormat="false" ht="14.25" hidden="false" customHeight="false" outlineLevel="0" collapsed="false">
      <c r="A1046" s="272" t="s">
        <v>1144</v>
      </c>
      <c r="B1046" s="273"/>
      <c r="C1046" s="273"/>
      <c r="D1046" s="273"/>
      <c r="E1046" s="273"/>
      <c r="F1046" s="273" t="n">
        <v>-14183.706</v>
      </c>
      <c r="G1046" s="273"/>
      <c r="H1046" s="273"/>
      <c r="I1046" s="273"/>
      <c r="J1046" s="273"/>
      <c r="K1046" s="273"/>
      <c r="L1046" s="273"/>
      <c r="M1046" s="273"/>
      <c r="N1046" s="273"/>
      <c r="O1046" s="273"/>
      <c r="P1046" s="273"/>
      <c r="Q1046" s="273"/>
      <c r="R1046" s="273"/>
      <c r="S1046" s="273"/>
      <c r="T1046" s="273"/>
      <c r="U1046" s="273"/>
      <c r="V1046" s="273"/>
      <c r="W1046" s="273"/>
      <c r="X1046" s="273"/>
      <c r="Y1046" s="274" t="n">
        <f aca="false">SUM(B1046:X1046)</f>
        <v>-14183.706</v>
      </c>
      <c r="Z1046" s="272"/>
      <c r="AA1046" s="276"/>
    </row>
    <row r="1047" customFormat="false" ht="14.25" hidden="false" customHeight="false" outlineLevel="0" collapsed="false">
      <c r="A1047" s="272" t="s">
        <v>1145</v>
      </c>
      <c r="B1047" s="273" t="n">
        <v>2537.022</v>
      </c>
      <c r="C1047" s="273"/>
      <c r="D1047" s="273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3"/>
      <c r="P1047" s="273"/>
      <c r="Q1047" s="273"/>
      <c r="R1047" s="273"/>
      <c r="S1047" s="273"/>
      <c r="T1047" s="273"/>
      <c r="U1047" s="273"/>
      <c r="V1047" s="273"/>
      <c r="W1047" s="273"/>
      <c r="X1047" s="273"/>
      <c r="Y1047" s="274" t="n">
        <f aca="false">SUM(B1047:X1047)</f>
        <v>2537.022</v>
      </c>
      <c r="Z1047" s="272"/>
      <c r="AA1047" s="276"/>
    </row>
    <row r="1048" customFormat="false" ht="14.25" hidden="false" customHeight="false" outlineLevel="0" collapsed="false">
      <c r="A1048" s="272" t="s">
        <v>1146</v>
      </c>
      <c r="B1048" s="273" t="n">
        <v>3786.6</v>
      </c>
      <c r="C1048" s="273"/>
      <c r="D1048" s="273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3"/>
      <c r="P1048" s="273"/>
      <c r="Q1048" s="273"/>
      <c r="R1048" s="273"/>
      <c r="S1048" s="273"/>
      <c r="T1048" s="273"/>
      <c r="U1048" s="273"/>
      <c r="V1048" s="273"/>
      <c r="W1048" s="273"/>
      <c r="X1048" s="273"/>
      <c r="Y1048" s="274" t="n">
        <f aca="false">SUM(B1048:X1048)</f>
        <v>3786.6</v>
      </c>
      <c r="Z1048" s="272"/>
      <c r="AA1048" s="276"/>
    </row>
    <row r="1049" customFormat="false" ht="14.25" hidden="false" customHeight="false" outlineLevel="0" collapsed="false">
      <c r="A1049" s="272" t="s">
        <v>1147</v>
      </c>
      <c r="B1049" s="273"/>
      <c r="C1049" s="273"/>
      <c r="D1049" s="273"/>
      <c r="E1049" s="273"/>
      <c r="F1049" s="273" t="n">
        <v>-2464.098</v>
      </c>
      <c r="G1049" s="273"/>
      <c r="H1049" s="273"/>
      <c r="I1049" s="273"/>
      <c r="J1049" s="273"/>
      <c r="K1049" s="273"/>
      <c r="L1049" s="273"/>
      <c r="M1049" s="273"/>
      <c r="N1049" s="273"/>
      <c r="O1049" s="273"/>
      <c r="P1049" s="273"/>
      <c r="Q1049" s="273"/>
      <c r="R1049" s="273"/>
      <c r="S1049" s="273"/>
      <c r="T1049" s="273"/>
      <c r="U1049" s="273"/>
      <c r="V1049" s="273"/>
      <c r="W1049" s="273"/>
      <c r="X1049" s="273"/>
      <c r="Y1049" s="274" t="n">
        <f aca="false">SUM(B1049:X1049)</f>
        <v>-2464.098</v>
      </c>
      <c r="Z1049" s="272"/>
      <c r="AA1049" s="276"/>
    </row>
    <row r="1050" customFormat="false" ht="14.25" hidden="false" customHeight="false" outlineLevel="0" collapsed="false">
      <c r="A1050" s="272" t="s">
        <v>1147</v>
      </c>
      <c r="B1050" s="273"/>
      <c r="C1050" s="273"/>
      <c r="D1050" s="273"/>
      <c r="E1050" s="273"/>
      <c r="F1050" s="273" t="n">
        <v>-2504.151</v>
      </c>
      <c r="G1050" s="273"/>
      <c r="H1050" s="273"/>
      <c r="I1050" s="273"/>
      <c r="J1050" s="273"/>
      <c r="K1050" s="273"/>
      <c r="L1050" s="273"/>
      <c r="M1050" s="273"/>
      <c r="N1050" s="273"/>
      <c r="O1050" s="273"/>
      <c r="P1050" s="273"/>
      <c r="Q1050" s="273"/>
      <c r="R1050" s="273"/>
      <c r="S1050" s="273"/>
      <c r="T1050" s="273"/>
      <c r="U1050" s="273"/>
      <c r="V1050" s="273"/>
      <c r="W1050" s="273"/>
      <c r="X1050" s="273"/>
      <c r="Y1050" s="274" t="n">
        <f aca="false">SUM(B1050:X1050)</f>
        <v>-2504.151</v>
      </c>
      <c r="Z1050" s="272"/>
      <c r="AA1050" s="276"/>
    </row>
    <row r="1051" customFormat="false" ht="14.25" hidden="false" customHeight="false" outlineLevel="0" collapsed="false">
      <c r="A1051" s="272" t="s">
        <v>1148</v>
      </c>
      <c r="B1051" s="273"/>
      <c r="C1051" s="273"/>
      <c r="D1051" s="273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3"/>
      <c r="P1051" s="273" t="n">
        <v>-54.618</v>
      </c>
      <c r="Q1051" s="273"/>
      <c r="R1051" s="273"/>
      <c r="S1051" s="273"/>
      <c r="T1051" s="273"/>
      <c r="U1051" s="273"/>
      <c r="V1051" s="273"/>
      <c r="W1051" s="273"/>
      <c r="X1051" s="273"/>
      <c r="Y1051" s="274" t="n">
        <f aca="false">SUM(B1051:X1051)</f>
        <v>-54.618</v>
      </c>
      <c r="Z1051" s="272"/>
      <c r="AA1051" s="276"/>
    </row>
    <row r="1052" customFormat="false" ht="14.25" hidden="false" customHeight="false" outlineLevel="0" collapsed="false">
      <c r="A1052" s="272" t="s">
        <v>1149</v>
      </c>
      <c r="B1052" s="273"/>
      <c r="C1052" s="273"/>
      <c r="D1052" s="273"/>
      <c r="E1052" s="273"/>
      <c r="F1052" s="273" t="n">
        <v>-34468.902</v>
      </c>
      <c r="G1052" s="273"/>
      <c r="H1052" s="273"/>
      <c r="I1052" s="273"/>
      <c r="J1052" s="273"/>
      <c r="K1052" s="273"/>
      <c r="L1052" s="273"/>
      <c r="M1052" s="273"/>
      <c r="N1052" s="273"/>
      <c r="O1052" s="273"/>
      <c r="P1052" s="273"/>
      <c r="Q1052" s="273"/>
      <c r="R1052" s="273"/>
      <c r="S1052" s="273"/>
      <c r="T1052" s="273"/>
      <c r="U1052" s="273"/>
      <c r="V1052" s="273"/>
      <c r="W1052" s="273"/>
      <c r="X1052" s="273"/>
      <c r="Y1052" s="274" t="n">
        <f aca="false">SUM(B1052:X1052)</f>
        <v>-34468.902</v>
      </c>
      <c r="Z1052" s="272"/>
      <c r="AA1052" s="276"/>
    </row>
    <row r="1053" customFormat="false" ht="14.25" hidden="false" customHeight="false" outlineLevel="0" collapsed="false">
      <c r="A1053" s="272" t="s">
        <v>1150</v>
      </c>
      <c r="B1053" s="273"/>
      <c r="C1053" s="273"/>
      <c r="D1053" s="273"/>
      <c r="E1053" s="273" t="n">
        <v>25.053</v>
      </c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3"/>
      <c r="P1053" s="273"/>
      <c r="Q1053" s="273"/>
      <c r="R1053" s="273"/>
      <c r="S1053" s="273"/>
      <c r="T1053" s="273"/>
      <c r="U1053" s="273"/>
      <c r="V1053" s="273"/>
      <c r="W1053" s="273"/>
      <c r="X1053" s="273"/>
      <c r="Y1053" s="274" t="n">
        <f aca="false">SUM(B1053:X1053)</f>
        <v>25.053</v>
      </c>
      <c r="Z1053" s="272"/>
      <c r="AA1053" s="276"/>
    </row>
    <row r="1054" customFormat="false" ht="14.25" hidden="false" customHeight="false" outlineLevel="0" collapsed="false">
      <c r="A1054" s="272" t="s">
        <v>1151</v>
      </c>
      <c r="B1054" s="273" t="n">
        <v>595.9425</v>
      </c>
      <c r="C1054" s="273"/>
      <c r="D1054" s="273"/>
      <c r="E1054" s="273"/>
      <c r="F1054" s="273"/>
      <c r="G1054" s="273"/>
      <c r="H1054" s="273"/>
      <c r="I1054" s="273"/>
      <c r="J1054" s="273" t="n">
        <v>204.864</v>
      </c>
      <c r="K1054" s="273"/>
      <c r="L1054" s="273" t="n">
        <v>-1472.04</v>
      </c>
      <c r="M1054" s="273"/>
      <c r="N1054" s="273"/>
      <c r="O1054" s="273"/>
      <c r="P1054" s="273"/>
      <c r="Q1054" s="273"/>
      <c r="R1054" s="273"/>
      <c r="S1054" s="273"/>
      <c r="T1054" s="273"/>
      <c r="U1054" s="273"/>
      <c r="V1054" s="273"/>
      <c r="W1054" s="273"/>
      <c r="X1054" s="273"/>
      <c r="Y1054" s="274" t="n">
        <f aca="false">SUM(B1054:X1054)</f>
        <v>-671.2335</v>
      </c>
      <c r="Z1054" s="272"/>
      <c r="AA1054" s="276"/>
    </row>
    <row r="1055" customFormat="false" ht="14.25" hidden="false" customHeight="false" outlineLevel="0" collapsed="false">
      <c r="A1055" s="272" t="s">
        <v>1152</v>
      </c>
      <c r="B1055" s="273"/>
      <c r="C1055" s="273"/>
      <c r="D1055" s="273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3"/>
      <c r="P1055" s="273" t="n">
        <v>-8047.052</v>
      </c>
      <c r="Q1055" s="273"/>
      <c r="R1055" s="273"/>
      <c r="S1055" s="273"/>
      <c r="T1055" s="273"/>
      <c r="U1055" s="273"/>
      <c r="V1055" s="273"/>
      <c r="W1055" s="273"/>
      <c r="X1055" s="273"/>
      <c r="Y1055" s="274" t="n">
        <f aca="false">SUM(B1055:X1055)</f>
        <v>-8047.052</v>
      </c>
      <c r="Z1055" s="272"/>
      <c r="AA1055" s="276"/>
    </row>
    <row r="1056" customFormat="false" ht="14.25" hidden="false" customHeight="false" outlineLevel="0" collapsed="false">
      <c r="A1056" s="272" t="s">
        <v>1153</v>
      </c>
      <c r="B1056" s="273"/>
      <c r="C1056" s="273"/>
      <c r="D1056" s="273"/>
      <c r="E1056" s="273"/>
      <c r="F1056" s="273" t="n">
        <v>-24599.601</v>
      </c>
      <c r="G1056" s="273"/>
      <c r="H1056" s="273"/>
      <c r="I1056" s="273"/>
      <c r="J1056" s="273"/>
      <c r="K1056" s="273"/>
      <c r="L1056" s="273"/>
      <c r="M1056" s="273"/>
      <c r="N1056" s="273"/>
      <c r="O1056" s="273"/>
      <c r="P1056" s="273"/>
      <c r="Q1056" s="273"/>
      <c r="R1056" s="273"/>
      <c r="S1056" s="273"/>
      <c r="T1056" s="273"/>
      <c r="U1056" s="273"/>
      <c r="V1056" s="273"/>
      <c r="W1056" s="273"/>
      <c r="X1056" s="273"/>
      <c r="Y1056" s="274" t="n">
        <f aca="false">SUM(B1056:X1056)</f>
        <v>-24599.601</v>
      </c>
      <c r="Z1056" s="272"/>
      <c r="AA1056" s="276"/>
    </row>
    <row r="1057" customFormat="false" ht="14.25" hidden="false" customHeight="false" outlineLevel="0" collapsed="false">
      <c r="A1057" s="272" t="s">
        <v>1154</v>
      </c>
      <c r="B1057" s="273"/>
      <c r="C1057" s="273"/>
      <c r="D1057" s="273"/>
      <c r="E1057" s="273"/>
      <c r="F1057" s="273" t="n">
        <v>-53642.922</v>
      </c>
      <c r="G1057" s="273"/>
      <c r="H1057" s="273"/>
      <c r="I1057" s="273"/>
      <c r="J1057" s="273"/>
      <c r="K1057" s="273"/>
      <c r="L1057" s="273"/>
      <c r="M1057" s="273"/>
      <c r="N1057" s="273"/>
      <c r="O1057" s="273"/>
      <c r="P1057" s="273"/>
      <c r="Q1057" s="273"/>
      <c r="R1057" s="273"/>
      <c r="S1057" s="273"/>
      <c r="T1057" s="273"/>
      <c r="U1057" s="273"/>
      <c r="V1057" s="273"/>
      <c r="W1057" s="273"/>
      <c r="X1057" s="273"/>
      <c r="Y1057" s="274" t="n">
        <f aca="false">SUM(B1057:X1057)</f>
        <v>-53642.922</v>
      </c>
      <c r="Z1057" s="272"/>
      <c r="AA1057" s="276"/>
    </row>
    <row r="1058" customFormat="false" ht="14.25" hidden="false" customHeight="false" outlineLevel="0" collapsed="false">
      <c r="A1058" s="272" t="s">
        <v>1131</v>
      </c>
      <c r="B1058" s="273"/>
      <c r="C1058" s="273"/>
      <c r="D1058" s="273"/>
      <c r="E1058" s="273"/>
      <c r="F1058" s="273" t="n">
        <v>-10659.936</v>
      </c>
      <c r="G1058" s="273"/>
      <c r="H1058" s="273"/>
      <c r="I1058" s="273"/>
      <c r="J1058" s="273"/>
      <c r="K1058" s="273"/>
      <c r="L1058" s="273"/>
      <c r="M1058" s="273"/>
      <c r="N1058" s="273"/>
      <c r="O1058" s="273"/>
      <c r="P1058" s="273"/>
      <c r="Q1058" s="273"/>
      <c r="R1058" s="273"/>
      <c r="S1058" s="273"/>
      <c r="T1058" s="273"/>
      <c r="U1058" s="273"/>
      <c r="V1058" s="273"/>
      <c r="W1058" s="273"/>
      <c r="X1058" s="273"/>
      <c r="Y1058" s="274" t="n">
        <f aca="false">SUM(B1058:X1058)</f>
        <v>-10659.936</v>
      </c>
      <c r="Z1058" s="272"/>
      <c r="AA1058" s="276"/>
    </row>
    <row r="1059" customFormat="false" ht="14.25" hidden="false" customHeight="false" outlineLevel="0" collapsed="false">
      <c r="A1059" s="272" t="s">
        <v>1142</v>
      </c>
      <c r="B1059" s="273"/>
      <c r="C1059" s="273"/>
      <c r="D1059" s="273"/>
      <c r="E1059" s="273"/>
      <c r="F1059" s="273" t="n">
        <v>-39844.974</v>
      </c>
      <c r="G1059" s="273"/>
      <c r="H1059" s="273"/>
      <c r="I1059" s="273"/>
      <c r="J1059" s="273"/>
      <c r="K1059" s="273"/>
      <c r="L1059" s="273"/>
      <c r="M1059" s="273"/>
      <c r="N1059" s="273"/>
      <c r="O1059" s="273"/>
      <c r="P1059" s="273"/>
      <c r="Q1059" s="273"/>
      <c r="R1059" s="273"/>
      <c r="S1059" s="273"/>
      <c r="T1059" s="273"/>
      <c r="U1059" s="273"/>
      <c r="V1059" s="273"/>
      <c r="W1059" s="273"/>
      <c r="X1059" s="273"/>
      <c r="Y1059" s="274" t="n">
        <f aca="false">SUM(B1059:X1059)</f>
        <v>-39844.974</v>
      </c>
      <c r="Z1059" s="272"/>
      <c r="AA1059" s="276"/>
    </row>
    <row r="1060" customFormat="false" ht="14.25" hidden="false" customHeight="false" outlineLevel="0" collapsed="false">
      <c r="A1060" s="272" t="s">
        <v>1051</v>
      </c>
      <c r="B1060" s="273"/>
      <c r="C1060" s="273"/>
      <c r="D1060" s="273"/>
      <c r="E1060" s="273"/>
      <c r="F1060" s="273" t="n">
        <v>448.101</v>
      </c>
      <c r="G1060" s="273"/>
      <c r="H1060" s="273"/>
      <c r="I1060" s="273"/>
      <c r="J1060" s="273"/>
      <c r="K1060" s="273"/>
      <c r="L1060" s="273"/>
      <c r="M1060" s="273"/>
      <c r="N1060" s="273"/>
      <c r="O1060" s="273"/>
      <c r="P1060" s="273"/>
      <c r="Q1060" s="273"/>
      <c r="R1060" s="273"/>
      <c r="S1060" s="273"/>
      <c r="T1060" s="273"/>
      <c r="U1060" s="273"/>
      <c r="V1060" s="273"/>
      <c r="W1060" s="273"/>
      <c r="X1060" s="273"/>
      <c r="Y1060" s="274" t="n">
        <f aca="false">SUM(B1060:X1060)</f>
        <v>448.101</v>
      </c>
      <c r="Z1060" s="272"/>
      <c r="AA1060" s="276"/>
    </row>
    <row r="1061" customFormat="false" ht="14.25" hidden="false" customHeight="false" outlineLevel="0" collapsed="false">
      <c r="A1061" s="272" t="s">
        <v>1155</v>
      </c>
      <c r="B1061" s="273"/>
      <c r="C1061" s="273"/>
      <c r="D1061" s="273"/>
      <c r="E1061" s="273"/>
      <c r="F1061" s="273"/>
      <c r="G1061" s="273"/>
      <c r="H1061" s="273"/>
      <c r="I1061" s="273"/>
      <c r="J1061" s="273" t="n">
        <v>8527.464</v>
      </c>
      <c r="K1061" s="273"/>
      <c r="L1061" s="273"/>
      <c r="M1061" s="273"/>
      <c r="N1061" s="273"/>
      <c r="O1061" s="273"/>
      <c r="P1061" s="273"/>
      <c r="Q1061" s="273"/>
      <c r="R1061" s="273"/>
      <c r="S1061" s="273"/>
      <c r="T1061" s="273"/>
      <c r="U1061" s="273"/>
      <c r="V1061" s="273"/>
      <c r="W1061" s="273"/>
      <c r="X1061" s="273"/>
      <c r="Y1061" s="274" t="n">
        <f aca="false">SUM(B1061:X1061)</f>
        <v>8527.464</v>
      </c>
      <c r="Z1061" s="272"/>
      <c r="AA1061" s="276"/>
    </row>
    <row r="1062" customFormat="false" ht="14.25" hidden="false" customHeight="false" outlineLevel="0" collapsed="false">
      <c r="A1062" s="272" t="s">
        <v>1156</v>
      </c>
      <c r="B1062" s="273"/>
      <c r="C1062" s="273" t="n">
        <v>24903.09</v>
      </c>
      <c r="D1062" s="273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3"/>
      <c r="P1062" s="273"/>
      <c r="Q1062" s="273"/>
      <c r="R1062" s="273"/>
      <c r="S1062" s="273"/>
      <c r="T1062" s="273"/>
      <c r="U1062" s="273"/>
      <c r="V1062" s="273"/>
      <c r="W1062" s="273"/>
      <c r="X1062" s="273"/>
      <c r="Y1062" s="274" t="n">
        <f aca="false">SUM(B1062:X1062)</f>
        <v>24903.09</v>
      </c>
      <c r="Z1062" s="272"/>
      <c r="AA1062" s="276"/>
    </row>
    <row r="1063" customFormat="false" ht="14.25" hidden="false" customHeight="false" outlineLevel="0" collapsed="false">
      <c r="A1063" s="272" t="s">
        <v>1157</v>
      </c>
      <c r="B1063" s="273"/>
      <c r="C1063" s="273"/>
      <c r="D1063" s="273"/>
      <c r="E1063" s="273"/>
      <c r="F1063" s="273" t="n">
        <v>-18029.4</v>
      </c>
      <c r="G1063" s="273"/>
      <c r="H1063" s="273"/>
      <c r="I1063" s="273"/>
      <c r="J1063" s="273"/>
      <c r="K1063" s="273"/>
      <c r="L1063" s="273"/>
      <c r="M1063" s="273"/>
      <c r="N1063" s="273"/>
      <c r="O1063" s="273"/>
      <c r="P1063" s="273"/>
      <c r="Q1063" s="273"/>
      <c r="R1063" s="273"/>
      <c r="S1063" s="273"/>
      <c r="T1063" s="273"/>
      <c r="U1063" s="273"/>
      <c r="V1063" s="273"/>
      <c r="W1063" s="273"/>
      <c r="X1063" s="273"/>
      <c r="Y1063" s="274" t="n">
        <f aca="false">SUM(B1063:X1063)</f>
        <v>-18029.4</v>
      </c>
      <c r="Z1063" s="272"/>
      <c r="AA1063" s="276"/>
    </row>
    <row r="1064" customFormat="false" ht="14.25" hidden="false" customHeight="false" outlineLevel="0" collapsed="false">
      <c r="A1064" s="272" t="s">
        <v>1158</v>
      </c>
      <c r="B1064" s="273"/>
      <c r="C1064" s="273"/>
      <c r="D1064" s="273"/>
      <c r="E1064" s="273"/>
      <c r="F1064" s="273" t="n">
        <v>-24159.396</v>
      </c>
      <c r="G1064" s="273"/>
      <c r="H1064" s="273"/>
      <c r="I1064" s="273"/>
      <c r="J1064" s="273"/>
      <c r="K1064" s="273"/>
      <c r="L1064" s="273"/>
      <c r="M1064" s="273"/>
      <c r="N1064" s="273"/>
      <c r="O1064" s="273"/>
      <c r="P1064" s="273"/>
      <c r="Q1064" s="273"/>
      <c r="R1064" s="273"/>
      <c r="S1064" s="273"/>
      <c r="T1064" s="273"/>
      <c r="U1064" s="273"/>
      <c r="V1064" s="273"/>
      <c r="W1064" s="273"/>
      <c r="X1064" s="273"/>
      <c r="Y1064" s="274" t="n">
        <f aca="false">SUM(B1064:X1064)</f>
        <v>-24159.396</v>
      </c>
      <c r="Z1064" s="272"/>
      <c r="AA1064" s="276"/>
    </row>
    <row r="1065" customFormat="false" ht="14.25" hidden="false" customHeight="false" outlineLevel="0" collapsed="false">
      <c r="A1065" s="272" t="s">
        <v>1147</v>
      </c>
      <c r="B1065" s="273"/>
      <c r="C1065" s="273"/>
      <c r="D1065" s="273"/>
      <c r="E1065" s="273"/>
      <c r="F1065" s="273" t="n">
        <v>-6039.423</v>
      </c>
      <c r="G1065" s="273"/>
      <c r="H1065" s="273"/>
      <c r="I1065" s="273"/>
      <c r="J1065" s="273"/>
      <c r="K1065" s="273"/>
      <c r="L1065" s="273"/>
      <c r="M1065" s="273"/>
      <c r="N1065" s="273"/>
      <c r="O1065" s="273"/>
      <c r="P1065" s="273"/>
      <c r="Q1065" s="273"/>
      <c r="R1065" s="273"/>
      <c r="S1065" s="273"/>
      <c r="T1065" s="273"/>
      <c r="U1065" s="273"/>
      <c r="V1065" s="273"/>
      <c r="W1065" s="273"/>
      <c r="X1065" s="273"/>
      <c r="Y1065" s="274" t="n">
        <f aca="false">SUM(B1065:X1065)</f>
        <v>-6039.423</v>
      </c>
      <c r="Z1065" s="272"/>
      <c r="AA1065" s="276"/>
    </row>
    <row r="1066" customFormat="false" ht="14.25" hidden="false" customHeight="false" outlineLevel="0" collapsed="false">
      <c r="A1066" s="272" t="s">
        <v>1159</v>
      </c>
      <c r="B1066" s="273"/>
      <c r="C1066" s="273"/>
      <c r="D1066" s="273"/>
      <c r="E1066" s="273"/>
      <c r="F1066" s="273" t="n">
        <v>-6186.726</v>
      </c>
      <c r="G1066" s="273"/>
      <c r="H1066" s="273"/>
      <c r="I1066" s="273"/>
      <c r="J1066" s="273"/>
      <c r="K1066" s="273"/>
      <c r="L1066" s="273"/>
      <c r="M1066" s="273"/>
      <c r="N1066" s="273"/>
      <c r="O1066" s="273"/>
      <c r="P1066" s="273"/>
      <c r="Q1066" s="273"/>
      <c r="R1066" s="273"/>
      <c r="S1066" s="273"/>
      <c r="T1066" s="273"/>
      <c r="U1066" s="273"/>
      <c r="V1066" s="273"/>
      <c r="W1066" s="273"/>
      <c r="X1066" s="273"/>
      <c r="Y1066" s="274" t="n">
        <f aca="false">SUM(B1066:X1066)</f>
        <v>-6186.726</v>
      </c>
      <c r="Z1066" s="272"/>
      <c r="AA1066" s="276"/>
    </row>
    <row r="1067" customFormat="false" ht="14.25" hidden="false" customHeight="false" outlineLevel="0" collapsed="false">
      <c r="A1067" s="272" t="s">
        <v>1034</v>
      </c>
      <c r="B1067" s="273" t="n">
        <v>-1467.45</v>
      </c>
      <c r="C1067" s="273"/>
      <c r="D1067" s="273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3"/>
      <c r="P1067" s="273"/>
      <c r="Q1067" s="273"/>
      <c r="R1067" s="273"/>
      <c r="S1067" s="273"/>
      <c r="T1067" s="273"/>
      <c r="U1067" s="273"/>
      <c r="V1067" s="273"/>
      <c r="W1067" s="273"/>
      <c r="X1067" s="273"/>
      <c r="Y1067" s="274" t="n">
        <f aca="false">SUM(B1067:X1067)</f>
        <v>-1467.45</v>
      </c>
      <c r="Z1067" s="272"/>
      <c r="AA1067" s="276"/>
    </row>
    <row r="1068" customFormat="false" ht="14.25" hidden="false" customHeight="false" outlineLevel="0" collapsed="false">
      <c r="A1068" s="272" t="s">
        <v>1160</v>
      </c>
      <c r="B1068" s="273" t="n">
        <v>-3668.625</v>
      </c>
      <c r="C1068" s="273"/>
      <c r="D1068" s="273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3"/>
      <c r="P1068" s="273"/>
      <c r="Q1068" s="273"/>
      <c r="R1068" s="273"/>
      <c r="S1068" s="273"/>
      <c r="T1068" s="273"/>
      <c r="U1068" s="273"/>
      <c r="V1068" s="273"/>
      <c r="W1068" s="273"/>
      <c r="X1068" s="273"/>
      <c r="Y1068" s="274" t="n">
        <f aca="false">SUM(B1068:X1068)</f>
        <v>-3668.625</v>
      </c>
      <c r="Z1068" s="272"/>
      <c r="AA1068" s="276"/>
    </row>
    <row r="1069" customFormat="false" ht="14.25" hidden="false" customHeight="false" outlineLevel="0" collapsed="false">
      <c r="A1069" s="272" t="s">
        <v>1059</v>
      </c>
      <c r="B1069" s="273" t="n">
        <v>-65152.872</v>
      </c>
      <c r="C1069" s="273"/>
      <c r="D1069" s="273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3"/>
      <c r="P1069" s="273"/>
      <c r="Q1069" s="273"/>
      <c r="R1069" s="273"/>
      <c r="S1069" s="273"/>
      <c r="T1069" s="273"/>
      <c r="U1069" s="273"/>
      <c r="V1069" s="273"/>
      <c r="W1069" s="273"/>
      <c r="X1069" s="273"/>
      <c r="Y1069" s="274" t="n">
        <f aca="false">SUM(B1069:X1069)</f>
        <v>-65152.872</v>
      </c>
      <c r="Z1069" s="272"/>
      <c r="AA1069" s="276"/>
    </row>
    <row r="1070" customFormat="false" ht="14.25" hidden="false" customHeight="false" outlineLevel="0" collapsed="false">
      <c r="A1070" s="272" t="s">
        <v>1161</v>
      </c>
      <c r="B1070" s="273"/>
      <c r="C1070" s="273"/>
      <c r="D1070" s="273"/>
      <c r="E1070" s="273"/>
      <c r="F1070" s="273" t="n">
        <v>-589.212</v>
      </c>
      <c r="G1070" s="273"/>
      <c r="H1070" s="273"/>
      <c r="I1070" s="273"/>
      <c r="J1070" s="273"/>
      <c r="K1070" s="273"/>
      <c r="L1070" s="273"/>
      <c r="M1070" s="273"/>
      <c r="N1070" s="273"/>
      <c r="O1070" s="273"/>
      <c r="P1070" s="273"/>
      <c r="Q1070" s="273"/>
      <c r="R1070" s="273"/>
      <c r="S1070" s="273"/>
      <c r="T1070" s="273"/>
      <c r="U1070" s="273"/>
      <c r="V1070" s="273"/>
      <c r="W1070" s="273"/>
      <c r="X1070" s="273"/>
      <c r="Y1070" s="274" t="n">
        <f aca="false">SUM(B1070:X1070)</f>
        <v>-589.212</v>
      </c>
      <c r="Z1070" s="272"/>
      <c r="AA1070" s="276"/>
    </row>
    <row r="1071" customFormat="false" ht="14.25" hidden="false" customHeight="false" outlineLevel="0" collapsed="false">
      <c r="A1071" s="272" t="s">
        <v>1061</v>
      </c>
      <c r="B1071" s="273"/>
      <c r="C1071" s="273"/>
      <c r="D1071" s="273"/>
      <c r="E1071" s="273"/>
      <c r="F1071" s="273" t="n">
        <v>1804.329</v>
      </c>
      <c r="G1071" s="273"/>
      <c r="H1071" s="273"/>
      <c r="I1071" s="273"/>
      <c r="J1071" s="273"/>
      <c r="K1071" s="273"/>
      <c r="L1071" s="273"/>
      <c r="M1071" s="273"/>
      <c r="N1071" s="273"/>
      <c r="O1071" s="273"/>
      <c r="P1071" s="273"/>
      <c r="Q1071" s="273"/>
      <c r="R1071" s="273"/>
      <c r="S1071" s="273"/>
      <c r="T1071" s="273"/>
      <c r="U1071" s="273"/>
      <c r="V1071" s="273"/>
      <c r="W1071" s="273"/>
      <c r="X1071" s="273"/>
      <c r="Y1071" s="274" t="n">
        <f aca="false">SUM(B1071:X1071)</f>
        <v>1804.329</v>
      </c>
      <c r="Z1071" s="272"/>
      <c r="AA1071" s="276"/>
    </row>
    <row r="1072" customFormat="false" ht="14.25" hidden="false" customHeight="false" outlineLevel="0" collapsed="false">
      <c r="A1072" s="272" t="s">
        <v>1061</v>
      </c>
      <c r="B1072" s="273"/>
      <c r="C1072" s="273"/>
      <c r="D1072" s="273"/>
      <c r="E1072" s="273"/>
      <c r="F1072" s="273" t="n">
        <v>-24555.888</v>
      </c>
      <c r="G1072" s="273"/>
      <c r="H1072" s="273"/>
      <c r="I1072" s="273"/>
      <c r="J1072" s="273"/>
      <c r="K1072" s="273"/>
      <c r="L1072" s="273"/>
      <c r="M1072" s="273"/>
      <c r="N1072" s="273"/>
      <c r="O1072" s="273"/>
      <c r="P1072" s="273"/>
      <c r="Q1072" s="273"/>
      <c r="R1072" s="273"/>
      <c r="S1072" s="273"/>
      <c r="T1072" s="273"/>
      <c r="U1072" s="273"/>
      <c r="V1072" s="273"/>
      <c r="W1072" s="273"/>
      <c r="X1072" s="273"/>
      <c r="Y1072" s="274" t="n">
        <f aca="false">SUM(B1072:X1072)</f>
        <v>-24555.888</v>
      </c>
      <c r="Z1072" s="272"/>
      <c r="AA1072" s="276"/>
    </row>
    <row r="1073" customFormat="false" ht="14.25" hidden="false" customHeight="false" outlineLevel="0" collapsed="false">
      <c r="A1073" s="272" t="s">
        <v>1162</v>
      </c>
      <c r="B1073" s="273" t="n">
        <v>-289.674</v>
      </c>
      <c r="C1073" s="273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3"/>
      <c r="P1073" s="273"/>
      <c r="Q1073" s="273"/>
      <c r="R1073" s="273"/>
      <c r="S1073" s="273"/>
      <c r="T1073" s="273"/>
      <c r="U1073" s="273"/>
      <c r="V1073" s="273"/>
      <c r="W1073" s="273"/>
      <c r="X1073" s="273"/>
      <c r="Y1073" s="274" t="n">
        <f aca="false">SUM(B1073:X1073)</f>
        <v>-289.674</v>
      </c>
      <c r="Z1073" s="272"/>
      <c r="AA1073" s="276"/>
    </row>
    <row r="1074" customFormat="false" ht="14.25" hidden="false" customHeight="false" outlineLevel="0" collapsed="false">
      <c r="A1074" s="272" t="s">
        <v>1163</v>
      </c>
      <c r="B1074" s="273"/>
      <c r="C1074" s="273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3"/>
      <c r="P1074" s="273"/>
      <c r="Q1074" s="273"/>
      <c r="R1074" s="273" t="n">
        <v>-107.559</v>
      </c>
      <c r="S1074" s="273"/>
      <c r="T1074" s="273"/>
      <c r="U1074" s="273"/>
      <c r="V1074" s="273"/>
      <c r="W1074" s="273"/>
      <c r="X1074" s="273"/>
      <c r="Y1074" s="274" t="n">
        <f aca="false">SUM(B1074:X1074)</f>
        <v>-107.559</v>
      </c>
      <c r="Z1074" s="272"/>
      <c r="AA1074" s="276"/>
    </row>
    <row r="1075" customFormat="false" ht="14.25" hidden="false" customHeight="false" outlineLevel="0" collapsed="false">
      <c r="A1075" s="272" t="s">
        <v>1149</v>
      </c>
      <c r="B1075" s="273"/>
      <c r="C1075" s="273"/>
      <c r="D1075" s="273"/>
      <c r="E1075" s="273"/>
      <c r="F1075" s="273" t="n">
        <v>-1031.121</v>
      </c>
      <c r="G1075" s="273"/>
      <c r="H1075" s="273"/>
      <c r="I1075" s="273"/>
      <c r="J1075" s="273"/>
      <c r="K1075" s="273"/>
      <c r="L1075" s="273"/>
      <c r="M1075" s="273"/>
      <c r="N1075" s="273"/>
      <c r="O1075" s="273"/>
      <c r="P1075" s="273"/>
      <c r="Q1075" s="273"/>
      <c r="R1075" s="273"/>
      <c r="S1075" s="273"/>
      <c r="T1075" s="273"/>
      <c r="U1075" s="273"/>
      <c r="V1075" s="273"/>
      <c r="W1075" s="273"/>
      <c r="X1075" s="273"/>
      <c r="Y1075" s="274" t="n">
        <f aca="false">SUM(B1075:X1075)</f>
        <v>-1031.121</v>
      </c>
      <c r="Z1075" s="272"/>
      <c r="AA1075" s="276"/>
    </row>
    <row r="1076" customFormat="false" ht="14.25" hidden="false" customHeight="false" outlineLevel="0" collapsed="false">
      <c r="A1076" s="272" t="s">
        <v>1164</v>
      </c>
      <c r="B1076" s="273"/>
      <c r="C1076" s="273"/>
      <c r="D1076" s="273"/>
      <c r="E1076" s="273"/>
      <c r="F1076" s="273" t="n">
        <v>-129.549</v>
      </c>
      <c r="G1076" s="273"/>
      <c r="H1076" s="273"/>
      <c r="I1076" s="273"/>
      <c r="J1076" s="273"/>
      <c r="K1076" s="273"/>
      <c r="L1076" s="273"/>
      <c r="M1076" s="273"/>
      <c r="N1076" s="273"/>
      <c r="O1076" s="273"/>
      <c r="P1076" s="273"/>
      <c r="Q1076" s="273"/>
      <c r="R1076" s="273"/>
      <c r="S1076" s="273"/>
      <c r="T1076" s="273"/>
      <c r="U1076" s="273"/>
      <c r="V1076" s="273"/>
      <c r="W1076" s="273"/>
      <c r="X1076" s="273"/>
      <c r="Y1076" s="274" t="n">
        <f aca="false">SUM(B1076:X1076)</f>
        <v>-129.549</v>
      </c>
      <c r="Z1076" s="272"/>
      <c r="AA1076" s="276"/>
    </row>
    <row r="1077" customFormat="false" ht="14.25" hidden="false" customHeight="false" outlineLevel="0" collapsed="false">
      <c r="A1077" s="272" t="s">
        <v>1165</v>
      </c>
      <c r="B1077" s="273" t="n">
        <v>-410.3715</v>
      </c>
      <c r="C1077" s="273"/>
      <c r="D1077" s="273"/>
      <c r="E1077" s="273"/>
      <c r="F1077" s="273"/>
      <c r="G1077" s="273"/>
      <c r="H1077" s="273"/>
      <c r="I1077" s="273"/>
      <c r="J1077" s="273"/>
      <c r="K1077" s="273"/>
      <c r="L1077" s="273"/>
      <c r="M1077" s="273"/>
      <c r="N1077" s="273"/>
      <c r="O1077" s="273"/>
      <c r="P1077" s="273"/>
      <c r="Q1077" s="273"/>
      <c r="R1077" s="273"/>
      <c r="S1077" s="273"/>
      <c r="T1077" s="273"/>
      <c r="U1077" s="273"/>
      <c r="V1077" s="273"/>
      <c r="W1077" s="273"/>
      <c r="X1077" s="273"/>
      <c r="Y1077" s="274" t="n">
        <f aca="false">SUM(B1077:X1077)</f>
        <v>-410.3715</v>
      </c>
      <c r="Z1077" s="272"/>
      <c r="AA1077" s="276"/>
    </row>
    <row r="1078" customFormat="false" ht="14.25" hidden="false" customHeight="false" outlineLevel="0" collapsed="false">
      <c r="A1078" s="272" t="s">
        <v>1166</v>
      </c>
      <c r="B1078" s="273" t="n">
        <v>-193.116</v>
      </c>
      <c r="C1078" s="273"/>
      <c r="D1078" s="273"/>
      <c r="E1078" s="273"/>
      <c r="F1078" s="273"/>
      <c r="G1078" s="273"/>
      <c r="H1078" s="273"/>
      <c r="I1078" s="273"/>
      <c r="J1078" s="273"/>
      <c r="K1078" s="273"/>
      <c r="L1078" s="273"/>
      <c r="M1078" s="273"/>
      <c r="N1078" s="273"/>
      <c r="O1078" s="273"/>
      <c r="P1078" s="273"/>
      <c r="Q1078" s="273"/>
      <c r="R1078" s="273"/>
      <c r="S1078" s="273"/>
      <c r="T1078" s="273"/>
      <c r="U1078" s="273"/>
      <c r="V1078" s="273"/>
      <c r="W1078" s="273"/>
      <c r="X1078" s="273"/>
      <c r="Y1078" s="274" t="n">
        <f aca="false">SUM(B1078:X1078)</f>
        <v>-193.116</v>
      </c>
      <c r="Z1078" s="272"/>
      <c r="AA1078" s="276"/>
    </row>
    <row r="1079" customFormat="false" ht="14.25" hidden="false" customHeight="false" outlineLevel="0" collapsed="false">
      <c r="A1079" s="272" t="s">
        <v>1167</v>
      </c>
      <c r="B1079" s="273" t="n">
        <v>-144.837</v>
      </c>
      <c r="C1079" s="273"/>
      <c r="D1079" s="273"/>
      <c r="E1079" s="273"/>
      <c r="F1079" s="273"/>
      <c r="G1079" s="273"/>
      <c r="H1079" s="273"/>
      <c r="I1079" s="273"/>
      <c r="J1079" s="273"/>
      <c r="K1079" s="273"/>
      <c r="L1079" s="273"/>
      <c r="M1079" s="273"/>
      <c r="N1079" s="273"/>
      <c r="O1079" s="273"/>
      <c r="P1079" s="273"/>
      <c r="Q1079" s="273"/>
      <c r="R1079" s="273"/>
      <c r="S1079" s="273"/>
      <c r="T1079" s="273"/>
      <c r="U1079" s="273"/>
      <c r="V1079" s="273"/>
      <c r="W1079" s="273"/>
      <c r="X1079" s="273"/>
      <c r="Y1079" s="274" t="n">
        <f aca="false">SUM(B1079:X1079)</f>
        <v>-144.837</v>
      </c>
      <c r="Z1079" s="272"/>
      <c r="AA1079" s="276"/>
    </row>
    <row r="1080" customFormat="false" ht="14.25" hidden="false" customHeight="false" outlineLevel="0" collapsed="false">
      <c r="A1080" s="272" t="s">
        <v>1168</v>
      </c>
      <c r="B1080" s="273" t="n">
        <v>-289.674</v>
      </c>
      <c r="C1080" s="273"/>
      <c r="D1080" s="273"/>
      <c r="E1080" s="273"/>
      <c r="F1080" s="273"/>
      <c r="G1080" s="273"/>
      <c r="H1080" s="273"/>
      <c r="I1080" s="273"/>
      <c r="J1080" s="273"/>
      <c r="K1080" s="273"/>
      <c r="L1080" s="273"/>
      <c r="M1080" s="273"/>
      <c r="N1080" s="273"/>
      <c r="O1080" s="273"/>
      <c r="P1080" s="273"/>
      <c r="Q1080" s="273"/>
      <c r="R1080" s="273"/>
      <c r="S1080" s="273"/>
      <c r="T1080" s="273"/>
      <c r="U1080" s="273"/>
      <c r="V1080" s="273"/>
      <c r="W1080" s="273"/>
      <c r="X1080" s="273"/>
      <c r="Y1080" s="274" t="n">
        <f aca="false">SUM(B1080:X1080)</f>
        <v>-289.674</v>
      </c>
      <c r="Z1080" s="272"/>
      <c r="AA1080" s="276"/>
    </row>
    <row r="1081" customFormat="false" ht="14.25" hidden="false" customHeight="false" outlineLevel="0" collapsed="false">
      <c r="A1081" s="272" t="s">
        <v>1169</v>
      </c>
      <c r="B1081" s="273" t="n">
        <v>-48.279</v>
      </c>
      <c r="C1081" s="273"/>
      <c r="D1081" s="273"/>
      <c r="E1081" s="273"/>
      <c r="F1081" s="273"/>
      <c r="G1081" s="273"/>
      <c r="H1081" s="273"/>
      <c r="I1081" s="273"/>
      <c r="J1081" s="273"/>
      <c r="K1081" s="273"/>
      <c r="L1081" s="273"/>
      <c r="M1081" s="273"/>
      <c r="N1081" s="273"/>
      <c r="O1081" s="273"/>
      <c r="P1081" s="273"/>
      <c r="Q1081" s="273"/>
      <c r="R1081" s="273"/>
      <c r="S1081" s="273"/>
      <c r="T1081" s="273"/>
      <c r="U1081" s="273"/>
      <c r="V1081" s="273"/>
      <c r="W1081" s="273"/>
      <c r="X1081" s="273"/>
      <c r="Y1081" s="274" t="n">
        <f aca="false">SUM(B1081:X1081)</f>
        <v>-48.279</v>
      </c>
      <c r="Z1081" s="272"/>
      <c r="AA1081" s="276"/>
    </row>
    <row r="1082" customFormat="false" ht="14.25" hidden="false" customHeight="false" outlineLevel="0" collapsed="false">
      <c r="A1082" s="272" t="s">
        <v>1170</v>
      </c>
      <c r="B1082" s="273" t="n">
        <v>-144.837</v>
      </c>
      <c r="C1082" s="273"/>
      <c r="D1082" s="273"/>
      <c r="E1082" s="273"/>
      <c r="F1082" s="273"/>
      <c r="G1082" s="273"/>
      <c r="H1082" s="273"/>
      <c r="I1082" s="273"/>
      <c r="J1082" s="273"/>
      <c r="K1082" s="273"/>
      <c r="L1082" s="273"/>
      <c r="M1082" s="273"/>
      <c r="N1082" s="273"/>
      <c r="O1082" s="273"/>
      <c r="P1082" s="273"/>
      <c r="Q1082" s="273"/>
      <c r="R1082" s="273"/>
      <c r="S1082" s="273"/>
      <c r="T1082" s="273"/>
      <c r="U1082" s="273"/>
      <c r="V1082" s="273"/>
      <c r="W1082" s="273"/>
      <c r="X1082" s="273"/>
      <c r="Y1082" s="274" t="n">
        <f aca="false">SUM(B1082:X1082)</f>
        <v>-144.837</v>
      </c>
      <c r="Z1082" s="272"/>
      <c r="AA1082" s="276"/>
    </row>
    <row r="1083" customFormat="false" ht="14.25" hidden="false" customHeight="false" outlineLevel="0" collapsed="false">
      <c r="A1083" s="272" t="s">
        <v>1171</v>
      </c>
      <c r="B1083" s="273" t="n">
        <v>-144.837</v>
      </c>
      <c r="C1083" s="273"/>
      <c r="D1083" s="273"/>
      <c r="E1083" s="273"/>
      <c r="F1083" s="273"/>
      <c r="G1083" s="273"/>
      <c r="H1083" s="273"/>
      <c r="I1083" s="273"/>
      <c r="J1083" s="273"/>
      <c r="K1083" s="273"/>
      <c r="L1083" s="273"/>
      <c r="M1083" s="273"/>
      <c r="N1083" s="273"/>
      <c r="O1083" s="273"/>
      <c r="P1083" s="273"/>
      <c r="Q1083" s="273"/>
      <c r="R1083" s="273"/>
      <c r="S1083" s="273"/>
      <c r="T1083" s="273"/>
      <c r="U1083" s="273"/>
      <c r="V1083" s="273"/>
      <c r="W1083" s="273"/>
      <c r="X1083" s="273"/>
      <c r="Y1083" s="274" t="n">
        <f aca="false">SUM(B1083:X1083)</f>
        <v>-144.837</v>
      </c>
      <c r="Z1083" s="272"/>
      <c r="AA1083" s="276"/>
    </row>
    <row r="1084" customFormat="false" ht="14.25" hidden="false" customHeight="false" outlineLevel="0" collapsed="false">
      <c r="A1084" s="272" t="s">
        <v>1172</v>
      </c>
      <c r="B1084" s="273"/>
      <c r="C1084" s="273"/>
      <c r="D1084" s="273"/>
      <c r="E1084" s="273"/>
      <c r="F1084" s="273"/>
      <c r="G1084" s="273" t="n">
        <v>-2.646</v>
      </c>
      <c r="H1084" s="273"/>
      <c r="I1084" s="273"/>
      <c r="J1084" s="273"/>
      <c r="K1084" s="273"/>
      <c r="L1084" s="273"/>
      <c r="M1084" s="273"/>
      <c r="N1084" s="273"/>
      <c r="O1084" s="273"/>
      <c r="P1084" s="273"/>
      <c r="Q1084" s="273"/>
      <c r="R1084" s="273"/>
      <c r="S1084" s="273"/>
      <c r="T1084" s="273"/>
      <c r="U1084" s="273"/>
      <c r="V1084" s="273"/>
      <c r="W1084" s="273"/>
      <c r="X1084" s="273"/>
      <c r="Y1084" s="274" t="n">
        <f aca="false">SUM(B1084:X1084)</f>
        <v>-2.646</v>
      </c>
      <c r="Z1084" s="272"/>
      <c r="AA1084" s="276"/>
    </row>
    <row r="1085" customFormat="false" ht="14.25" hidden="false" customHeight="false" outlineLevel="0" collapsed="false">
      <c r="A1085" s="272" t="s">
        <v>1173</v>
      </c>
      <c r="B1085" s="273"/>
      <c r="C1085" s="273"/>
      <c r="D1085" s="273"/>
      <c r="E1085" s="273"/>
      <c r="F1085" s="273"/>
      <c r="G1085" s="273"/>
      <c r="H1085" s="273"/>
      <c r="I1085" s="273"/>
      <c r="J1085" s="273"/>
      <c r="K1085" s="273"/>
      <c r="L1085" s="273" t="n">
        <v>-722.955</v>
      </c>
      <c r="M1085" s="273"/>
      <c r="N1085" s="273"/>
      <c r="O1085" s="273"/>
      <c r="P1085" s="273"/>
      <c r="Q1085" s="273"/>
      <c r="R1085" s="273"/>
      <c r="S1085" s="273"/>
      <c r="T1085" s="273"/>
      <c r="U1085" s="273"/>
      <c r="V1085" s="273"/>
      <c r="W1085" s="273"/>
      <c r="X1085" s="273"/>
      <c r="Y1085" s="274" t="n">
        <f aca="false">SUM(B1085:X1085)</f>
        <v>-722.955</v>
      </c>
      <c r="Z1085" s="272"/>
      <c r="AA1085" s="276"/>
    </row>
    <row r="1086" customFormat="false" ht="14.25" hidden="false" customHeight="false" outlineLevel="0" collapsed="false">
      <c r="A1086" s="272" t="s">
        <v>1174</v>
      </c>
      <c r="B1086" s="273"/>
      <c r="C1086" s="273" t="n">
        <v>-344.0325</v>
      </c>
      <c r="D1086" s="273"/>
      <c r="E1086" s="273"/>
      <c r="F1086" s="273"/>
      <c r="G1086" s="273"/>
      <c r="H1086" s="273"/>
      <c r="I1086" s="273"/>
      <c r="J1086" s="273"/>
      <c r="K1086" s="273"/>
      <c r="L1086" s="273"/>
      <c r="M1086" s="273"/>
      <c r="N1086" s="273"/>
      <c r="O1086" s="273"/>
      <c r="P1086" s="273"/>
      <c r="Q1086" s="273"/>
      <c r="R1086" s="273"/>
      <c r="S1086" s="273"/>
      <c r="T1086" s="273"/>
      <c r="U1086" s="273"/>
      <c r="V1086" s="273"/>
      <c r="W1086" s="273"/>
      <c r="X1086" s="273"/>
      <c r="Y1086" s="274" t="n">
        <f aca="false">SUM(B1086:X1086)</f>
        <v>-344.0325</v>
      </c>
      <c r="Z1086" s="272"/>
      <c r="AA1086" s="276"/>
    </row>
    <row r="1087" customFormat="false" ht="14.25" hidden="false" customHeight="false" outlineLevel="0" collapsed="false">
      <c r="A1087" s="272" t="s">
        <v>1175</v>
      </c>
      <c r="B1087" s="273"/>
      <c r="C1087" s="273"/>
      <c r="D1087" s="273"/>
      <c r="E1087" s="273"/>
      <c r="F1087" s="273"/>
      <c r="G1087" s="273"/>
      <c r="H1087" s="273"/>
      <c r="I1087" s="273"/>
      <c r="J1087" s="273" t="n">
        <v>721.17</v>
      </c>
      <c r="K1087" s="273"/>
      <c r="L1087" s="273"/>
      <c r="M1087" s="273"/>
      <c r="N1087" s="273"/>
      <c r="O1087" s="273"/>
      <c r="P1087" s="273"/>
      <c r="Q1087" s="273"/>
      <c r="R1087" s="273"/>
      <c r="S1087" s="273"/>
      <c r="T1087" s="273"/>
      <c r="U1087" s="273"/>
      <c r="V1087" s="273"/>
      <c r="W1087" s="273"/>
      <c r="X1087" s="273"/>
      <c r="Y1087" s="274" t="n">
        <f aca="false">SUM(B1087:X1087)</f>
        <v>721.17</v>
      </c>
      <c r="Z1087" s="272"/>
      <c r="AA1087" s="276"/>
    </row>
    <row r="1088" customFormat="false" ht="14.25" hidden="false" customHeight="false" outlineLevel="0" collapsed="false">
      <c r="A1088" s="272" t="s">
        <v>1176</v>
      </c>
      <c r="B1088" s="273"/>
      <c r="C1088" s="273"/>
      <c r="D1088" s="273"/>
      <c r="E1088" s="273"/>
      <c r="F1088" s="273" t="n">
        <v>-87348.795</v>
      </c>
      <c r="G1088" s="273"/>
      <c r="H1088" s="273"/>
      <c r="I1088" s="273"/>
      <c r="J1088" s="273"/>
      <c r="K1088" s="273"/>
      <c r="L1088" s="273"/>
      <c r="M1088" s="273"/>
      <c r="N1088" s="273"/>
      <c r="O1088" s="273"/>
      <c r="P1088" s="273"/>
      <c r="Q1088" s="273"/>
      <c r="R1088" s="273"/>
      <c r="S1088" s="273"/>
      <c r="T1088" s="273"/>
      <c r="U1088" s="273"/>
      <c r="V1088" s="273"/>
      <c r="W1088" s="273"/>
      <c r="X1088" s="273"/>
      <c r="Y1088" s="274" t="n">
        <f aca="false">SUM(B1088:X1088)</f>
        <v>-87348.795</v>
      </c>
      <c r="Z1088" s="272"/>
      <c r="AA1088" s="276"/>
    </row>
    <row r="1089" customFormat="false" ht="14.25" hidden="false" customHeight="false" outlineLevel="0" collapsed="false">
      <c r="A1089" s="272" t="s">
        <v>1177</v>
      </c>
      <c r="B1089" s="273"/>
      <c r="C1089" s="273"/>
      <c r="D1089" s="273"/>
      <c r="E1089" s="273"/>
      <c r="F1089" s="273" t="n">
        <v>-1660.62</v>
      </c>
      <c r="G1089" s="273"/>
      <c r="H1089" s="273"/>
      <c r="I1089" s="273"/>
      <c r="J1089" s="273"/>
      <c r="K1089" s="273"/>
      <c r="L1089" s="273"/>
      <c r="M1089" s="273"/>
      <c r="N1089" s="273"/>
      <c r="O1089" s="273"/>
      <c r="P1089" s="273"/>
      <c r="Q1089" s="273"/>
      <c r="R1089" s="273"/>
      <c r="S1089" s="273"/>
      <c r="T1089" s="273"/>
      <c r="U1089" s="273"/>
      <c r="V1089" s="273"/>
      <c r="W1089" s="273"/>
      <c r="X1089" s="273"/>
      <c r="Y1089" s="274" t="n">
        <f aca="false">SUM(B1089:X1089)</f>
        <v>-1660.62</v>
      </c>
      <c r="Z1089" s="272"/>
      <c r="AA1089" s="276"/>
    </row>
    <row r="1090" customFormat="false" ht="14.25" hidden="false" customHeight="false" outlineLevel="0" collapsed="false">
      <c r="A1090" s="272" t="s">
        <v>1178</v>
      </c>
      <c r="B1090" s="273"/>
      <c r="C1090" s="273"/>
      <c r="D1090" s="273"/>
      <c r="E1090" s="273"/>
      <c r="F1090" s="273" t="n">
        <v>-932.379</v>
      </c>
      <c r="G1090" s="273"/>
      <c r="H1090" s="273"/>
      <c r="I1090" s="273"/>
      <c r="J1090" s="273"/>
      <c r="K1090" s="273"/>
      <c r="L1090" s="273"/>
      <c r="M1090" s="273"/>
      <c r="N1090" s="273"/>
      <c r="O1090" s="273"/>
      <c r="P1090" s="273"/>
      <c r="Q1090" s="273"/>
      <c r="R1090" s="273"/>
      <c r="S1090" s="273"/>
      <c r="T1090" s="273"/>
      <c r="U1090" s="273"/>
      <c r="V1090" s="273"/>
      <c r="W1090" s="273"/>
      <c r="X1090" s="273"/>
      <c r="Y1090" s="274" t="n">
        <f aca="false">SUM(B1090:X1090)</f>
        <v>-932.379</v>
      </c>
      <c r="Z1090" s="272"/>
      <c r="AA1090" s="276"/>
    </row>
    <row r="1091" customFormat="false" ht="14.25" hidden="false" customHeight="false" outlineLevel="0" collapsed="false">
      <c r="A1091" s="272" t="s">
        <v>1179</v>
      </c>
      <c r="B1091" s="273"/>
      <c r="C1091" s="273"/>
      <c r="D1091" s="273"/>
      <c r="E1091" s="273"/>
      <c r="F1091" s="273"/>
      <c r="G1091" s="273"/>
      <c r="H1091" s="273"/>
      <c r="I1091" s="273"/>
      <c r="J1091" s="273"/>
      <c r="K1091" s="273"/>
      <c r="L1091" s="273" t="n">
        <v>-795.2505</v>
      </c>
      <c r="M1091" s="273"/>
      <c r="N1091" s="273"/>
      <c r="O1091" s="273"/>
      <c r="P1091" s="273"/>
      <c r="Q1091" s="273"/>
      <c r="R1091" s="273"/>
      <c r="S1091" s="273"/>
      <c r="T1091" s="273"/>
      <c r="U1091" s="273"/>
      <c r="V1091" s="273"/>
      <c r="W1091" s="273"/>
      <c r="X1091" s="273"/>
      <c r="Y1091" s="274" t="n">
        <f aca="false">SUM(B1091:X1091)</f>
        <v>-795.2505</v>
      </c>
      <c r="Z1091" s="272"/>
      <c r="AA1091" s="276"/>
    </row>
    <row r="1092" customFormat="false" ht="14.25" hidden="false" customHeight="false" outlineLevel="0" collapsed="false">
      <c r="A1092" s="272" t="s">
        <v>1180</v>
      </c>
      <c r="B1092" s="273"/>
      <c r="C1092" s="273"/>
      <c r="D1092" s="273"/>
      <c r="E1092" s="273"/>
      <c r="F1092" s="273" t="n">
        <v>-8303.1</v>
      </c>
      <c r="G1092" s="273"/>
      <c r="H1092" s="273"/>
      <c r="I1092" s="273"/>
      <c r="J1092" s="273"/>
      <c r="K1092" s="273"/>
      <c r="L1092" s="273"/>
      <c r="M1092" s="273"/>
      <c r="N1092" s="273"/>
      <c r="O1092" s="273"/>
      <c r="P1092" s="273"/>
      <c r="Q1092" s="273"/>
      <c r="R1092" s="273"/>
      <c r="S1092" s="273"/>
      <c r="T1092" s="273"/>
      <c r="U1092" s="273"/>
      <c r="V1092" s="273"/>
      <c r="W1092" s="273"/>
      <c r="X1092" s="273"/>
      <c r="Y1092" s="274" t="n">
        <f aca="false">SUM(B1092:X1092)</f>
        <v>-8303.1</v>
      </c>
      <c r="Z1092" s="272"/>
      <c r="AA1092" s="276"/>
    </row>
    <row r="1093" customFormat="false" ht="14.25" hidden="false" customHeight="false" outlineLevel="0" collapsed="false">
      <c r="A1093" s="272" t="s">
        <v>1181</v>
      </c>
      <c r="B1093" s="273"/>
      <c r="C1093" s="273"/>
      <c r="D1093" s="273"/>
      <c r="E1093" s="273"/>
      <c r="F1093" s="273" t="n">
        <v>-27732.354</v>
      </c>
      <c r="G1093" s="273"/>
      <c r="H1093" s="273"/>
      <c r="I1093" s="273"/>
      <c r="J1093" s="273"/>
      <c r="K1093" s="273"/>
      <c r="L1093" s="273"/>
      <c r="M1093" s="273"/>
      <c r="N1093" s="273"/>
      <c r="O1093" s="273"/>
      <c r="P1093" s="273"/>
      <c r="Q1093" s="273"/>
      <c r="R1093" s="273"/>
      <c r="S1093" s="273"/>
      <c r="T1093" s="273"/>
      <c r="U1093" s="273"/>
      <c r="V1093" s="273"/>
      <c r="W1093" s="273"/>
      <c r="X1093" s="273"/>
      <c r="Y1093" s="274" t="n">
        <f aca="false">SUM(B1093:X1093)</f>
        <v>-27732.354</v>
      </c>
      <c r="Z1093" s="272"/>
      <c r="AA1093" s="276"/>
    </row>
    <row r="1094" customFormat="false" ht="14.25" hidden="false" customHeight="false" outlineLevel="0" collapsed="false">
      <c r="A1094" s="272" t="s">
        <v>1182</v>
      </c>
      <c r="B1094" s="273"/>
      <c r="C1094" s="273"/>
      <c r="D1094" s="273"/>
      <c r="E1094" s="273"/>
      <c r="F1094" s="273"/>
      <c r="G1094" s="273"/>
      <c r="H1094" s="273"/>
      <c r="I1094" s="273" t="n">
        <v>2.187</v>
      </c>
      <c r="J1094" s="273"/>
      <c r="K1094" s="273"/>
      <c r="L1094" s="273" t="n">
        <v>-79.887</v>
      </c>
      <c r="M1094" s="273"/>
      <c r="N1094" s="273"/>
      <c r="O1094" s="273"/>
      <c r="P1094" s="273"/>
      <c r="Q1094" s="273"/>
      <c r="R1094" s="273"/>
      <c r="S1094" s="273"/>
      <c r="T1094" s="273"/>
      <c r="U1094" s="273"/>
      <c r="V1094" s="273"/>
      <c r="W1094" s="273"/>
      <c r="X1094" s="273"/>
      <c r="Y1094" s="274" t="n">
        <f aca="false">SUM(B1094:X1094)</f>
        <v>-77.7</v>
      </c>
      <c r="Z1094" s="272"/>
      <c r="AA1094" s="276"/>
    </row>
    <row r="1095" customFormat="false" ht="14.25" hidden="false" customHeight="false" outlineLevel="0" collapsed="false">
      <c r="A1095" s="272" t="s">
        <v>1183</v>
      </c>
      <c r="B1095" s="273"/>
      <c r="C1095" s="273"/>
      <c r="D1095" s="273"/>
      <c r="E1095" s="273"/>
      <c r="F1095" s="273"/>
      <c r="G1095" s="273"/>
      <c r="H1095" s="273"/>
      <c r="I1095" s="273"/>
      <c r="J1095" s="273"/>
      <c r="K1095" s="273"/>
      <c r="L1095" s="273"/>
      <c r="M1095" s="273"/>
      <c r="N1095" s="273"/>
      <c r="O1095" s="273"/>
      <c r="P1095" s="273" t="n">
        <v>-2068.11</v>
      </c>
      <c r="Q1095" s="273"/>
      <c r="R1095" s="273"/>
      <c r="S1095" s="273"/>
      <c r="T1095" s="273"/>
      <c r="U1095" s="273"/>
      <c r="V1095" s="273"/>
      <c r="W1095" s="273"/>
      <c r="X1095" s="273"/>
      <c r="Y1095" s="274" t="n">
        <f aca="false">SUM(B1095:X1095)</f>
        <v>-2068.11</v>
      </c>
      <c r="Z1095" s="272"/>
      <c r="AA1095" s="276"/>
    </row>
    <row r="1096" customFormat="false" ht="14.25" hidden="false" customHeight="false" outlineLevel="0" collapsed="false">
      <c r="A1096" s="272" t="s">
        <v>1184</v>
      </c>
      <c r="B1096" s="273"/>
      <c r="C1096" s="273"/>
      <c r="D1096" s="273"/>
      <c r="E1096" s="273"/>
      <c r="F1096" s="273" t="n">
        <v>-980.808</v>
      </c>
      <c r="G1096" s="273"/>
      <c r="H1096" s="273"/>
      <c r="I1096" s="273"/>
      <c r="J1096" s="273"/>
      <c r="K1096" s="273"/>
      <c r="L1096" s="273"/>
      <c r="M1096" s="273"/>
      <c r="N1096" s="273"/>
      <c r="O1096" s="273"/>
      <c r="P1096" s="273"/>
      <c r="Q1096" s="273"/>
      <c r="R1096" s="273"/>
      <c r="S1096" s="273"/>
      <c r="T1096" s="273"/>
      <c r="U1096" s="273"/>
      <c r="V1096" s="273"/>
      <c r="W1096" s="273"/>
      <c r="X1096" s="273"/>
      <c r="Y1096" s="274" t="n">
        <f aca="false">SUM(B1096:X1096)</f>
        <v>-980.808</v>
      </c>
      <c r="Z1096" s="272"/>
      <c r="AA1096" s="276"/>
    </row>
    <row r="1097" customFormat="false" ht="14.25" hidden="false" customHeight="false" outlineLevel="0" collapsed="false">
      <c r="A1097" s="272" t="s">
        <v>1185</v>
      </c>
      <c r="B1097" s="273"/>
      <c r="C1097" s="273"/>
      <c r="D1097" s="273"/>
      <c r="E1097" s="273"/>
      <c r="F1097" s="273"/>
      <c r="G1097" s="273"/>
      <c r="H1097" s="273"/>
      <c r="I1097" s="273"/>
      <c r="J1097" s="273"/>
      <c r="K1097" s="273"/>
      <c r="L1097" s="273"/>
      <c r="M1097" s="273"/>
      <c r="N1097" s="273"/>
      <c r="O1097" s="273"/>
      <c r="P1097" s="273" t="n">
        <v>-1654.488</v>
      </c>
      <c r="Q1097" s="273"/>
      <c r="R1097" s="273"/>
      <c r="S1097" s="273"/>
      <c r="T1097" s="273"/>
      <c r="U1097" s="273"/>
      <c r="V1097" s="273"/>
      <c r="W1097" s="273"/>
      <c r="X1097" s="273"/>
      <c r="Y1097" s="274" t="n">
        <f aca="false">SUM(B1097:X1097)</f>
        <v>-1654.488</v>
      </c>
      <c r="Z1097" s="272"/>
      <c r="AA1097" s="276"/>
    </row>
    <row r="1098" customFormat="false" ht="14.25" hidden="false" customHeight="false" outlineLevel="0" collapsed="false">
      <c r="A1098" s="272" t="s">
        <v>1186</v>
      </c>
      <c r="B1098" s="273"/>
      <c r="C1098" s="273"/>
      <c r="D1098" s="273"/>
      <c r="E1098" s="273"/>
      <c r="F1098" s="273" t="n">
        <v>-4898.829</v>
      </c>
      <c r="G1098" s="273"/>
      <c r="H1098" s="273"/>
      <c r="I1098" s="273"/>
      <c r="J1098" s="273"/>
      <c r="K1098" s="273"/>
      <c r="L1098" s="273"/>
      <c r="M1098" s="273"/>
      <c r="N1098" s="273"/>
      <c r="O1098" s="273"/>
      <c r="P1098" s="273"/>
      <c r="Q1098" s="273"/>
      <c r="R1098" s="273"/>
      <c r="S1098" s="273"/>
      <c r="T1098" s="273"/>
      <c r="U1098" s="273"/>
      <c r="V1098" s="273"/>
      <c r="W1098" s="273"/>
      <c r="X1098" s="273"/>
      <c r="Y1098" s="274" t="n">
        <f aca="false">SUM(B1098:X1098)</f>
        <v>-4898.829</v>
      </c>
      <c r="Z1098" s="272"/>
      <c r="AA1098" s="276"/>
    </row>
    <row r="1099" customFormat="false" ht="14.25" hidden="false" customHeight="false" outlineLevel="0" collapsed="false">
      <c r="A1099" s="272" t="s">
        <v>1187</v>
      </c>
      <c r="B1099" s="273"/>
      <c r="C1099" s="273" t="n">
        <v>-16106.1555</v>
      </c>
      <c r="D1099" s="273"/>
      <c r="E1099" s="273"/>
      <c r="F1099" s="273"/>
      <c r="G1099" s="273"/>
      <c r="H1099" s="273"/>
      <c r="I1099" s="273"/>
      <c r="J1099" s="273"/>
      <c r="K1099" s="273"/>
      <c r="L1099" s="273"/>
      <c r="M1099" s="273"/>
      <c r="N1099" s="273"/>
      <c r="O1099" s="273"/>
      <c r="P1099" s="273"/>
      <c r="Q1099" s="273"/>
      <c r="R1099" s="273"/>
      <c r="S1099" s="273"/>
      <c r="T1099" s="273"/>
      <c r="U1099" s="273"/>
      <c r="V1099" s="273"/>
      <c r="W1099" s="273"/>
      <c r="X1099" s="273"/>
      <c r="Y1099" s="274" t="n">
        <f aca="false">SUM(B1099:X1099)</f>
        <v>-16106.1555</v>
      </c>
      <c r="Z1099" s="272"/>
      <c r="AA1099" s="276"/>
    </row>
    <row r="1100" customFormat="false" ht="14.25" hidden="false" customHeight="false" outlineLevel="0" collapsed="false">
      <c r="A1100" s="272" t="s">
        <v>762</v>
      </c>
      <c r="B1100" s="273"/>
      <c r="C1100" s="273"/>
      <c r="D1100" s="273"/>
      <c r="E1100" s="273"/>
      <c r="F1100" s="273"/>
      <c r="G1100" s="273"/>
      <c r="H1100" s="273"/>
      <c r="I1100" s="273"/>
      <c r="J1100" s="273"/>
      <c r="K1100" s="273"/>
      <c r="L1100" s="273"/>
      <c r="M1100" s="273"/>
      <c r="N1100" s="273"/>
      <c r="O1100" s="273"/>
      <c r="P1100" s="273" t="n">
        <v>-1871.7075</v>
      </c>
      <c r="Q1100" s="273"/>
      <c r="R1100" s="273"/>
      <c r="S1100" s="273"/>
      <c r="T1100" s="273"/>
      <c r="U1100" s="273"/>
      <c r="V1100" s="273"/>
      <c r="W1100" s="273"/>
      <c r="X1100" s="273"/>
      <c r="Y1100" s="274" t="n">
        <f aca="false">SUM(B1100:X1100)</f>
        <v>-1871.7075</v>
      </c>
      <c r="Z1100" s="272"/>
      <c r="AA1100" s="276"/>
    </row>
    <row r="1101" customFormat="false" ht="14.25" hidden="false" customHeight="false" outlineLevel="0" collapsed="false">
      <c r="A1101" s="272" t="s">
        <v>1188</v>
      </c>
      <c r="B1101" s="273"/>
      <c r="C1101" s="273"/>
      <c r="D1101" s="273"/>
      <c r="E1101" s="273" t="n">
        <v>37593.5508</v>
      </c>
      <c r="F1101" s="273"/>
      <c r="G1101" s="273"/>
      <c r="H1101" s="273"/>
      <c r="I1101" s="273"/>
      <c r="J1101" s="273"/>
      <c r="K1101" s="273"/>
      <c r="L1101" s="273"/>
      <c r="M1101" s="273"/>
      <c r="N1101" s="273"/>
      <c r="O1101" s="273"/>
      <c r="P1101" s="273"/>
      <c r="Q1101" s="273"/>
      <c r="R1101" s="273"/>
      <c r="S1101" s="273"/>
      <c r="T1101" s="273"/>
      <c r="U1101" s="273"/>
      <c r="V1101" s="273"/>
      <c r="W1101" s="273"/>
      <c r="X1101" s="273"/>
      <c r="Y1101" s="274" t="n">
        <f aca="false">SUM(B1101:X1101)</f>
        <v>37593.5508</v>
      </c>
      <c r="Z1101" s="272"/>
      <c r="AA1101" s="276"/>
    </row>
    <row r="1102" customFormat="false" ht="14.25" hidden="false" customHeight="false" outlineLevel="0" collapsed="false">
      <c r="A1102" s="272" t="s">
        <v>1051</v>
      </c>
      <c r="B1102" s="273"/>
      <c r="C1102" s="273"/>
      <c r="D1102" s="273"/>
      <c r="E1102" s="273"/>
      <c r="F1102" s="273" t="n">
        <v>-4668.897</v>
      </c>
      <c r="G1102" s="273"/>
      <c r="H1102" s="273"/>
      <c r="I1102" s="273"/>
      <c r="J1102" s="273"/>
      <c r="K1102" s="273"/>
      <c r="L1102" s="273"/>
      <c r="M1102" s="273"/>
      <c r="N1102" s="273"/>
      <c r="O1102" s="273"/>
      <c r="P1102" s="273"/>
      <c r="Q1102" s="273"/>
      <c r="R1102" s="273"/>
      <c r="S1102" s="273"/>
      <c r="T1102" s="273"/>
      <c r="U1102" s="273"/>
      <c r="V1102" s="273"/>
      <c r="W1102" s="273"/>
      <c r="X1102" s="273"/>
      <c r="Y1102" s="274" t="n">
        <f aca="false">SUM(B1102:X1102)</f>
        <v>-4668.897</v>
      </c>
      <c r="Z1102" s="272"/>
      <c r="AA1102" s="276"/>
    </row>
    <row r="1103" customFormat="false" ht="14.25" hidden="false" customHeight="false" outlineLevel="0" collapsed="false">
      <c r="A1103" s="272" t="s">
        <v>1189</v>
      </c>
      <c r="B1103" s="273" t="n">
        <v>-14411.2815</v>
      </c>
      <c r="C1103" s="273"/>
      <c r="D1103" s="273"/>
      <c r="E1103" s="273"/>
      <c r="F1103" s="273"/>
      <c r="G1103" s="273"/>
      <c r="H1103" s="273"/>
      <c r="I1103" s="273"/>
      <c r="J1103" s="273"/>
      <c r="K1103" s="273"/>
      <c r="L1103" s="273"/>
      <c r="M1103" s="273" t="n">
        <v>-17125.8555</v>
      </c>
      <c r="N1103" s="273"/>
      <c r="O1103" s="273"/>
      <c r="P1103" s="273"/>
      <c r="Q1103" s="273"/>
      <c r="R1103" s="273"/>
      <c r="S1103" s="273"/>
      <c r="T1103" s="273"/>
      <c r="U1103" s="273"/>
      <c r="V1103" s="273"/>
      <c r="W1103" s="273"/>
      <c r="X1103" s="273"/>
      <c r="Y1103" s="274" t="n">
        <f aca="false">SUM(B1103:X1103)</f>
        <v>-31537.137</v>
      </c>
      <c r="Z1103" s="272"/>
      <c r="AA1103" s="276"/>
    </row>
    <row r="1104" customFormat="false" ht="14.25" hidden="false" customHeight="false" outlineLevel="0" collapsed="false">
      <c r="A1104" s="272" t="s">
        <v>1190</v>
      </c>
      <c r="B1104" s="273" t="n">
        <v>-170.328</v>
      </c>
      <c r="C1104" s="273"/>
      <c r="D1104" s="273" t="n">
        <v>-55.503</v>
      </c>
      <c r="E1104" s="273"/>
      <c r="F1104" s="273"/>
      <c r="G1104" s="273"/>
      <c r="H1104" s="273"/>
      <c r="I1104" s="273"/>
      <c r="J1104" s="273"/>
      <c r="K1104" s="273"/>
      <c r="L1104" s="273"/>
      <c r="M1104" s="273"/>
      <c r="N1104" s="273"/>
      <c r="O1104" s="273"/>
      <c r="P1104" s="273"/>
      <c r="Q1104" s="273"/>
      <c r="R1104" s="273"/>
      <c r="S1104" s="273"/>
      <c r="T1104" s="273"/>
      <c r="U1104" s="273"/>
      <c r="V1104" s="273"/>
      <c r="W1104" s="273"/>
      <c r="X1104" s="273"/>
      <c r="Y1104" s="274" t="n">
        <f aca="false">SUM(B1104:X1104)</f>
        <v>-225.831</v>
      </c>
      <c r="Z1104" s="272"/>
      <c r="AA1104" s="276"/>
    </row>
    <row r="1105" customFormat="false" ht="14.25" hidden="false" customHeight="false" outlineLevel="0" collapsed="false">
      <c r="A1105" s="272" t="s">
        <v>1191</v>
      </c>
      <c r="B1105" s="273" t="n">
        <v>-7632.5205</v>
      </c>
      <c r="C1105" s="273"/>
      <c r="D1105" s="273"/>
      <c r="E1105" s="273"/>
      <c r="F1105" s="273"/>
      <c r="G1105" s="273"/>
      <c r="H1105" s="273"/>
      <c r="I1105" s="273"/>
      <c r="J1105" s="273"/>
      <c r="K1105" s="273"/>
      <c r="L1105" s="273"/>
      <c r="M1105" s="273"/>
      <c r="N1105" s="273"/>
      <c r="O1105" s="273"/>
      <c r="P1105" s="273"/>
      <c r="Q1105" s="273"/>
      <c r="R1105" s="273"/>
      <c r="S1105" s="273"/>
      <c r="T1105" s="273"/>
      <c r="U1105" s="273"/>
      <c r="V1105" s="273"/>
      <c r="W1105" s="273"/>
      <c r="X1105" s="273"/>
      <c r="Y1105" s="274" t="n">
        <f aca="false">SUM(B1105:X1105)</f>
        <v>-7632.5205</v>
      </c>
      <c r="Z1105" s="272"/>
      <c r="AA1105" s="276"/>
    </row>
    <row r="1106" customFormat="false" ht="14.25" hidden="false" customHeight="false" outlineLevel="0" collapsed="false">
      <c r="A1106" s="272" t="s">
        <v>986</v>
      </c>
      <c r="B1106" s="273"/>
      <c r="C1106" s="273" t="n">
        <v>31002.31</v>
      </c>
      <c r="D1106" s="273"/>
      <c r="E1106" s="273"/>
      <c r="F1106" s="273"/>
      <c r="G1106" s="273"/>
      <c r="H1106" s="273"/>
      <c r="I1106" s="273"/>
      <c r="J1106" s="273"/>
      <c r="K1106" s="273"/>
      <c r="L1106" s="273"/>
      <c r="M1106" s="273"/>
      <c r="N1106" s="273"/>
      <c r="O1106" s="273"/>
      <c r="P1106" s="273"/>
      <c r="Q1106" s="273"/>
      <c r="R1106" s="273"/>
      <c r="S1106" s="273"/>
      <c r="T1106" s="273"/>
      <c r="U1106" s="273"/>
      <c r="V1106" s="273"/>
      <c r="W1106" s="273"/>
      <c r="X1106" s="273"/>
      <c r="Y1106" s="274" t="n">
        <f aca="false">SUM(B1106:X1106)</f>
        <v>31002.31</v>
      </c>
      <c r="Z1106" s="272"/>
      <c r="AA1106" s="276"/>
    </row>
    <row r="1107" customFormat="false" ht="14.25" hidden="false" customHeight="false" outlineLevel="0" collapsed="false">
      <c r="A1107" s="272" t="s">
        <v>1192</v>
      </c>
      <c r="B1107" s="273" t="n">
        <v>-1080</v>
      </c>
      <c r="C1107" s="273"/>
      <c r="D1107" s="273"/>
      <c r="E1107" s="273"/>
      <c r="F1107" s="273"/>
      <c r="G1107" s="273"/>
      <c r="H1107" s="273"/>
      <c r="I1107" s="273"/>
      <c r="J1107" s="273"/>
      <c r="K1107" s="273"/>
      <c r="L1107" s="273"/>
      <c r="M1107" s="273"/>
      <c r="N1107" s="273"/>
      <c r="O1107" s="273"/>
      <c r="P1107" s="273"/>
      <c r="Q1107" s="273"/>
      <c r="R1107" s="273"/>
      <c r="S1107" s="273"/>
      <c r="T1107" s="273"/>
      <c r="U1107" s="273"/>
      <c r="V1107" s="273"/>
      <c r="W1107" s="273"/>
      <c r="X1107" s="273"/>
      <c r="Y1107" s="274" t="n">
        <f aca="false">SUM(B1107:X1107)</f>
        <v>-1080</v>
      </c>
      <c r="Z1107" s="272"/>
      <c r="AA1107" s="276"/>
    </row>
    <row r="1108" customFormat="false" ht="14.25" hidden="false" customHeight="false" outlineLevel="0" collapsed="false">
      <c r="A1108" s="272" t="s">
        <v>1193</v>
      </c>
      <c r="B1108" s="273"/>
      <c r="C1108" s="273" t="n">
        <v>-8535.036</v>
      </c>
      <c r="D1108" s="273"/>
      <c r="E1108" s="273"/>
      <c r="F1108" s="273"/>
      <c r="G1108" s="273"/>
      <c r="H1108" s="273"/>
      <c r="I1108" s="273"/>
      <c r="J1108" s="273"/>
      <c r="K1108" s="273"/>
      <c r="L1108" s="273" t="n">
        <v>-46766.49</v>
      </c>
      <c r="M1108" s="273"/>
      <c r="N1108" s="273"/>
      <c r="O1108" s="273"/>
      <c r="P1108" s="273"/>
      <c r="Q1108" s="273"/>
      <c r="R1108" s="273"/>
      <c r="S1108" s="273"/>
      <c r="T1108" s="273"/>
      <c r="U1108" s="273"/>
      <c r="V1108" s="273"/>
      <c r="W1108" s="273"/>
      <c r="X1108" s="273"/>
      <c r="Y1108" s="274" t="n">
        <f aca="false">SUM(B1108:X1108)</f>
        <v>-55301.526</v>
      </c>
      <c r="Z1108" s="272"/>
      <c r="AA1108" s="276"/>
    </row>
    <row r="1109" customFormat="false" ht="14.25" hidden="false" customHeight="false" outlineLevel="0" collapsed="false">
      <c r="A1109" s="272" t="s">
        <v>1145</v>
      </c>
      <c r="B1109" s="273"/>
      <c r="C1109" s="273"/>
      <c r="D1109" s="273"/>
      <c r="E1109" s="273"/>
      <c r="F1109" s="273"/>
      <c r="G1109" s="273"/>
      <c r="H1109" s="273"/>
      <c r="I1109" s="273"/>
      <c r="J1109" s="273"/>
      <c r="K1109" s="273"/>
      <c r="L1109" s="273" t="n">
        <v>-6036.666</v>
      </c>
      <c r="M1109" s="273"/>
      <c r="N1109" s="273"/>
      <c r="O1109" s="273"/>
      <c r="P1109" s="273"/>
      <c r="Q1109" s="273"/>
      <c r="R1109" s="273"/>
      <c r="S1109" s="273"/>
      <c r="T1109" s="273"/>
      <c r="U1109" s="273"/>
      <c r="V1109" s="273"/>
      <c r="W1109" s="273"/>
      <c r="X1109" s="273"/>
      <c r="Y1109" s="274" t="n">
        <f aca="false">SUM(B1109:X1109)</f>
        <v>-6036.666</v>
      </c>
      <c r="Z1109" s="272"/>
      <c r="AA1109" s="276"/>
    </row>
    <row r="1110" customFormat="false" ht="14.25" hidden="false" customHeight="false" outlineLevel="0" collapsed="false">
      <c r="A1110" s="272" t="s">
        <v>1194</v>
      </c>
      <c r="B1110" s="273"/>
      <c r="C1110" s="273" t="n">
        <v>3527.217</v>
      </c>
      <c r="D1110" s="273"/>
      <c r="E1110" s="273"/>
      <c r="F1110" s="273"/>
      <c r="G1110" s="273"/>
      <c r="H1110" s="273"/>
      <c r="I1110" s="273"/>
      <c r="J1110" s="273"/>
      <c r="K1110" s="273"/>
      <c r="L1110" s="273"/>
      <c r="M1110" s="273"/>
      <c r="N1110" s="273"/>
      <c r="O1110" s="273"/>
      <c r="P1110" s="273"/>
      <c r="Q1110" s="273"/>
      <c r="R1110" s="273"/>
      <c r="S1110" s="273"/>
      <c r="T1110" s="273"/>
      <c r="U1110" s="273"/>
      <c r="V1110" s="273"/>
      <c r="W1110" s="273"/>
      <c r="X1110" s="273"/>
      <c r="Y1110" s="274" t="n">
        <f aca="false">SUM(B1110:X1110)</f>
        <v>3527.217</v>
      </c>
      <c r="Z1110" s="272"/>
      <c r="AA1110" s="276"/>
    </row>
    <row r="1111" customFormat="false" ht="14.25" hidden="false" customHeight="false" outlineLevel="0" collapsed="false">
      <c r="A1111" s="272" t="s">
        <v>1195</v>
      </c>
      <c r="B1111" s="273" t="n">
        <v>-3480.225</v>
      </c>
      <c r="C1111" s="273"/>
      <c r="D1111" s="273"/>
      <c r="E1111" s="273"/>
      <c r="F1111" s="273"/>
      <c r="G1111" s="273"/>
      <c r="H1111" s="273"/>
      <c r="I1111" s="273"/>
      <c r="J1111" s="273" t="n">
        <v>1280.4</v>
      </c>
      <c r="K1111" s="273"/>
      <c r="L1111" s="273" t="n">
        <v>-9241.2</v>
      </c>
      <c r="M1111" s="273"/>
      <c r="N1111" s="273"/>
      <c r="O1111" s="273"/>
      <c r="P1111" s="273"/>
      <c r="Q1111" s="273"/>
      <c r="R1111" s="273"/>
      <c r="S1111" s="273"/>
      <c r="T1111" s="273"/>
      <c r="U1111" s="273"/>
      <c r="V1111" s="273"/>
      <c r="W1111" s="273"/>
      <c r="X1111" s="273"/>
      <c r="Y1111" s="274" t="n">
        <f aca="false">SUM(B1111:X1111)</f>
        <v>-11441.025</v>
      </c>
      <c r="Z1111" s="272"/>
      <c r="AA1111" s="276"/>
    </row>
    <row r="1112" customFormat="false" ht="14.25" hidden="false" customHeight="false" outlineLevel="0" collapsed="false">
      <c r="A1112" s="272" t="s">
        <v>1196</v>
      </c>
      <c r="B1112" s="273"/>
      <c r="C1112" s="273"/>
      <c r="D1112" s="273"/>
      <c r="E1112" s="273"/>
      <c r="F1112" s="273"/>
      <c r="G1112" s="273"/>
      <c r="H1112" s="273"/>
      <c r="I1112" s="273"/>
      <c r="J1112" s="273"/>
      <c r="K1112" s="273"/>
      <c r="L1112" s="273" t="n">
        <v>36.975</v>
      </c>
      <c r="M1112" s="273"/>
      <c r="N1112" s="273"/>
      <c r="O1112" s="273"/>
      <c r="P1112" s="273"/>
      <c r="Q1112" s="273"/>
      <c r="R1112" s="273"/>
      <c r="S1112" s="273"/>
      <c r="T1112" s="273"/>
      <c r="U1112" s="273"/>
      <c r="V1112" s="273"/>
      <c r="W1112" s="273"/>
      <c r="X1112" s="273"/>
      <c r="Y1112" s="274" t="n">
        <f aca="false">SUM(B1112:X1112)</f>
        <v>36.975</v>
      </c>
      <c r="Z1112" s="272"/>
      <c r="AA1112" s="276"/>
    </row>
    <row r="1113" customFormat="false" ht="14.25" hidden="false" customHeight="false" outlineLevel="0" collapsed="false">
      <c r="A1113" s="272" t="s">
        <v>1197</v>
      </c>
      <c r="B1113" s="273"/>
      <c r="C1113" s="273"/>
      <c r="D1113" s="273"/>
      <c r="E1113" s="273"/>
      <c r="F1113" s="273"/>
      <c r="G1113" s="273"/>
      <c r="H1113" s="273"/>
      <c r="I1113" s="273"/>
      <c r="J1113" s="273"/>
      <c r="K1113" s="273"/>
      <c r="L1113" s="273" t="n">
        <v>-8741.4</v>
      </c>
      <c r="M1113" s="273"/>
      <c r="N1113" s="273"/>
      <c r="O1113" s="273"/>
      <c r="P1113" s="273"/>
      <c r="Q1113" s="273"/>
      <c r="R1113" s="273"/>
      <c r="S1113" s="273"/>
      <c r="T1113" s="273"/>
      <c r="U1113" s="273"/>
      <c r="V1113" s="273"/>
      <c r="W1113" s="273"/>
      <c r="X1113" s="273"/>
      <c r="Y1113" s="274" t="n">
        <f aca="false">SUM(B1113:X1113)</f>
        <v>-8741.4</v>
      </c>
      <c r="Z1113" s="272"/>
      <c r="AA1113" s="276"/>
    </row>
    <row r="1114" customFormat="false" ht="14.25" hidden="false" customHeight="false" outlineLevel="0" collapsed="false">
      <c r="A1114" s="272" t="s">
        <v>1198</v>
      </c>
      <c r="B1114" s="273"/>
      <c r="C1114" s="273"/>
      <c r="D1114" s="273"/>
      <c r="E1114" s="273"/>
      <c r="F1114" s="273"/>
      <c r="G1114" s="273" t="n">
        <v>-65.268</v>
      </c>
      <c r="H1114" s="273"/>
      <c r="I1114" s="273"/>
      <c r="J1114" s="273"/>
      <c r="K1114" s="273"/>
      <c r="L1114" s="273"/>
      <c r="M1114" s="273"/>
      <c r="N1114" s="273"/>
      <c r="O1114" s="273"/>
      <c r="P1114" s="273"/>
      <c r="Q1114" s="273"/>
      <c r="R1114" s="273"/>
      <c r="S1114" s="273"/>
      <c r="T1114" s="273"/>
      <c r="U1114" s="273"/>
      <c r="V1114" s="273"/>
      <c r="W1114" s="273"/>
      <c r="X1114" s="273"/>
      <c r="Y1114" s="274" t="n">
        <f aca="false">SUM(B1114:X1114)</f>
        <v>-65.268</v>
      </c>
      <c r="Z1114" s="272"/>
      <c r="AA1114" s="276"/>
    </row>
    <row r="1115" customFormat="false" ht="14.25" hidden="false" customHeight="false" outlineLevel="0" collapsed="false">
      <c r="A1115" s="272" t="s">
        <v>1199</v>
      </c>
      <c r="B1115" s="273"/>
      <c r="C1115" s="273"/>
      <c r="D1115" s="273"/>
      <c r="E1115" s="273"/>
      <c r="F1115" s="273"/>
      <c r="G1115" s="273"/>
      <c r="H1115" s="273"/>
      <c r="I1115" s="273"/>
      <c r="J1115" s="273"/>
      <c r="K1115" s="273"/>
      <c r="L1115" s="273" t="n">
        <v>-175.236</v>
      </c>
      <c r="M1115" s="273"/>
      <c r="N1115" s="273"/>
      <c r="O1115" s="273"/>
      <c r="P1115" s="273"/>
      <c r="Q1115" s="273"/>
      <c r="R1115" s="273"/>
      <c r="S1115" s="273"/>
      <c r="T1115" s="273"/>
      <c r="U1115" s="273"/>
      <c r="V1115" s="273"/>
      <c r="W1115" s="273"/>
      <c r="X1115" s="273"/>
      <c r="Y1115" s="274" t="n">
        <f aca="false">SUM(B1115:X1115)</f>
        <v>-175.236</v>
      </c>
      <c r="Z1115" s="272"/>
      <c r="AA1115" s="276"/>
    </row>
    <row r="1116" customFormat="false" ht="14.25" hidden="false" customHeight="false" outlineLevel="0" collapsed="false">
      <c r="A1116" s="272" t="s">
        <v>1200</v>
      </c>
      <c r="B1116" s="273"/>
      <c r="C1116" s="273" t="n">
        <v>10169.4</v>
      </c>
      <c r="D1116" s="273"/>
      <c r="E1116" s="273"/>
      <c r="F1116" s="273" t="n">
        <v>-2766.762</v>
      </c>
      <c r="G1116" s="273"/>
      <c r="H1116" s="273"/>
      <c r="I1116" s="273"/>
      <c r="J1116" s="273"/>
      <c r="K1116" s="273"/>
      <c r="L1116" s="273"/>
      <c r="M1116" s="273"/>
      <c r="N1116" s="273"/>
      <c r="O1116" s="273"/>
      <c r="P1116" s="273"/>
      <c r="Q1116" s="273"/>
      <c r="R1116" s="273"/>
      <c r="S1116" s="273"/>
      <c r="T1116" s="273"/>
      <c r="U1116" s="273"/>
      <c r="V1116" s="273"/>
      <c r="W1116" s="273"/>
      <c r="X1116" s="273"/>
      <c r="Y1116" s="274" t="n">
        <f aca="false">SUM(B1116:X1116)</f>
        <v>7402.638</v>
      </c>
      <c r="Z1116" s="272"/>
      <c r="AA1116" s="276"/>
    </row>
    <row r="1117" customFormat="false" ht="14.25" hidden="false" customHeight="false" outlineLevel="0" collapsed="false">
      <c r="A1117" s="272" t="s">
        <v>1050</v>
      </c>
      <c r="B1117" s="273"/>
      <c r="C1117" s="273"/>
      <c r="D1117" s="273"/>
      <c r="E1117" s="273"/>
      <c r="F1117" s="273" t="n">
        <v>-604.608</v>
      </c>
      <c r="G1117" s="273"/>
      <c r="H1117" s="273"/>
      <c r="I1117" s="273"/>
      <c r="J1117" s="273"/>
      <c r="K1117" s="273"/>
      <c r="L1117" s="273"/>
      <c r="M1117" s="273"/>
      <c r="N1117" s="273"/>
      <c r="O1117" s="273"/>
      <c r="P1117" s="273"/>
      <c r="Q1117" s="273"/>
      <c r="R1117" s="273"/>
      <c r="S1117" s="273"/>
      <c r="T1117" s="273"/>
      <c r="U1117" s="273"/>
      <c r="V1117" s="273"/>
      <c r="W1117" s="273"/>
      <c r="X1117" s="273"/>
      <c r="Y1117" s="274" t="n">
        <f aca="false">SUM(B1117:X1117)</f>
        <v>-604.608</v>
      </c>
      <c r="Z1117" s="272"/>
      <c r="AA1117" s="276"/>
    </row>
    <row r="1118" customFormat="false" ht="14.25" hidden="false" customHeight="false" outlineLevel="0" collapsed="false">
      <c r="A1118" s="272" t="s">
        <v>1201</v>
      </c>
      <c r="B1118" s="273"/>
      <c r="C1118" s="273"/>
      <c r="D1118" s="273"/>
      <c r="E1118" s="273"/>
      <c r="F1118" s="273" t="n">
        <v>-1621.684</v>
      </c>
      <c r="G1118" s="273"/>
      <c r="H1118" s="273"/>
      <c r="I1118" s="273"/>
      <c r="J1118" s="273"/>
      <c r="K1118" s="273"/>
      <c r="L1118" s="273"/>
      <c r="M1118" s="273"/>
      <c r="N1118" s="273"/>
      <c r="O1118" s="273"/>
      <c r="P1118" s="273"/>
      <c r="Q1118" s="273"/>
      <c r="R1118" s="273"/>
      <c r="S1118" s="273"/>
      <c r="T1118" s="273"/>
      <c r="U1118" s="273"/>
      <c r="V1118" s="273"/>
      <c r="W1118" s="273"/>
      <c r="X1118" s="273"/>
      <c r="Y1118" s="274" t="n">
        <f aca="false">SUM(B1118:X1118)</f>
        <v>-1621.684</v>
      </c>
      <c r="Z1118" s="272"/>
      <c r="AA1118" s="276"/>
    </row>
    <row r="1119" customFormat="false" ht="14.25" hidden="false" customHeight="false" outlineLevel="0" collapsed="false">
      <c r="A1119" s="272" t="s">
        <v>1051</v>
      </c>
      <c r="B1119" s="273"/>
      <c r="C1119" s="273"/>
      <c r="D1119" s="273"/>
      <c r="E1119" s="273"/>
      <c r="F1119" s="273" t="n">
        <v>-451.2</v>
      </c>
      <c r="G1119" s="273"/>
      <c r="H1119" s="273"/>
      <c r="I1119" s="273"/>
      <c r="J1119" s="273"/>
      <c r="K1119" s="273"/>
      <c r="L1119" s="273"/>
      <c r="M1119" s="273"/>
      <c r="N1119" s="273"/>
      <c r="O1119" s="273"/>
      <c r="P1119" s="273"/>
      <c r="Q1119" s="273"/>
      <c r="R1119" s="273"/>
      <c r="S1119" s="273"/>
      <c r="T1119" s="273"/>
      <c r="U1119" s="273"/>
      <c r="V1119" s="273"/>
      <c r="W1119" s="273"/>
      <c r="X1119" s="273"/>
      <c r="Y1119" s="274" t="n">
        <f aca="false">SUM(B1119:X1119)</f>
        <v>-451.2</v>
      </c>
      <c r="Z1119" s="272"/>
      <c r="AA1119" s="276"/>
    </row>
    <row r="1120" customFormat="false" ht="14.25" hidden="false" customHeight="false" outlineLevel="0" collapsed="false">
      <c r="A1120" s="272" t="s">
        <v>1052</v>
      </c>
      <c r="B1120" s="273"/>
      <c r="C1120" s="273"/>
      <c r="D1120" s="273"/>
      <c r="E1120" s="273"/>
      <c r="F1120" s="273" t="n">
        <v>-604.608</v>
      </c>
      <c r="G1120" s="273"/>
      <c r="H1120" s="273"/>
      <c r="I1120" s="273"/>
      <c r="J1120" s="273"/>
      <c r="K1120" s="273"/>
      <c r="L1120" s="273"/>
      <c r="M1120" s="273"/>
      <c r="N1120" s="273"/>
      <c r="O1120" s="273"/>
      <c r="P1120" s="273"/>
      <c r="Q1120" s="273"/>
      <c r="R1120" s="273"/>
      <c r="S1120" s="273"/>
      <c r="T1120" s="273"/>
      <c r="U1120" s="273"/>
      <c r="V1120" s="273"/>
      <c r="W1120" s="273"/>
      <c r="X1120" s="273"/>
      <c r="Y1120" s="274" t="n">
        <f aca="false">SUM(B1120:X1120)</f>
        <v>-604.608</v>
      </c>
      <c r="Z1120" s="272"/>
      <c r="AA1120" s="276"/>
    </row>
    <row r="1121" customFormat="false" ht="14.25" hidden="false" customHeight="false" outlineLevel="0" collapsed="false">
      <c r="A1121" s="272" t="s">
        <v>1202</v>
      </c>
      <c r="B1121" s="273"/>
      <c r="C1121" s="273"/>
      <c r="D1121" s="273"/>
      <c r="E1121" s="273"/>
      <c r="F1121" s="273" t="n">
        <v>583.6395</v>
      </c>
      <c r="G1121" s="273"/>
      <c r="H1121" s="273"/>
      <c r="I1121" s="273"/>
      <c r="J1121" s="273"/>
      <c r="K1121" s="273"/>
      <c r="L1121" s="273"/>
      <c r="M1121" s="273"/>
      <c r="N1121" s="273"/>
      <c r="O1121" s="273"/>
      <c r="P1121" s="273"/>
      <c r="Q1121" s="273"/>
      <c r="R1121" s="273"/>
      <c r="S1121" s="273"/>
      <c r="T1121" s="273"/>
      <c r="U1121" s="273"/>
      <c r="V1121" s="273"/>
      <c r="W1121" s="273"/>
      <c r="X1121" s="273"/>
      <c r="Y1121" s="274" t="n">
        <f aca="false">SUM(B1121:X1121)</f>
        <v>583.6395</v>
      </c>
      <c r="Z1121" s="272"/>
      <c r="AA1121" s="276"/>
    </row>
    <row r="1122" customFormat="false" ht="14.25" hidden="false" customHeight="false" outlineLevel="0" collapsed="false">
      <c r="A1122" s="272" t="s">
        <v>1203</v>
      </c>
      <c r="B1122" s="273"/>
      <c r="C1122" s="273"/>
      <c r="D1122" s="273"/>
      <c r="E1122" s="273"/>
      <c r="F1122" s="273" t="n">
        <v>-11983.428</v>
      </c>
      <c r="G1122" s="273"/>
      <c r="H1122" s="273"/>
      <c r="I1122" s="273"/>
      <c r="J1122" s="273"/>
      <c r="K1122" s="273"/>
      <c r="L1122" s="273"/>
      <c r="M1122" s="273"/>
      <c r="N1122" s="273"/>
      <c r="O1122" s="273"/>
      <c r="P1122" s="273"/>
      <c r="Q1122" s="273"/>
      <c r="R1122" s="273"/>
      <c r="S1122" s="273"/>
      <c r="T1122" s="273"/>
      <c r="U1122" s="273"/>
      <c r="V1122" s="273"/>
      <c r="W1122" s="273"/>
      <c r="X1122" s="273"/>
      <c r="Y1122" s="274" t="n">
        <f aca="false">SUM(B1122:X1122)</f>
        <v>-11983.428</v>
      </c>
      <c r="Z1122" s="272"/>
      <c r="AA1122" s="276"/>
    </row>
    <row r="1123" customFormat="false" ht="14.25" hidden="false" customHeight="false" outlineLevel="0" collapsed="false">
      <c r="A1123" s="272" t="s">
        <v>1002</v>
      </c>
      <c r="B1123" s="273"/>
      <c r="C1123" s="273"/>
      <c r="D1123" s="273"/>
      <c r="E1123" s="273"/>
      <c r="F1123" s="273" t="n">
        <v>-21674.304</v>
      </c>
      <c r="G1123" s="273"/>
      <c r="H1123" s="273"/>
      <c r="I1123" s="273"/>
      <c r="J1123" s="273"/>
      <c r="K1123" s="273"/>
      <c r="L1123" s="273"/>
      <c r="M1123" s="273"/>
      <c r="N1123" s="273"/>
      <c r="O1123" s="273"/>
      <c r="P1123" s="273"/>
      <c r="Q1123" s="273"/>
      <c r="R1123" s="273"/>
      <c r="S1123" s="273"/>
      <c r="T1123" s="273"/>
      <c r="U1123" s="273"/>
      <c r="V1123" s="273"/>
      <c r="W1123" s="273"/>
      <c r="X1123" s="273"/>
      <c r="Y1123" s="274" t="n">
        <f aca="false">SUM(B1123:X1123)</f>
        <v>-21674.304</v>
      </c>
      <c r="Z1123" s="272"/>
      <c r="AA1123" s="276"/>
    </row>
    <row r="1124" customFormat="false" ht="14.25" hidden="false" customHeight="false" outlineLevel="0" collapsed="false">
      <c r="A1124" s="272" t="s">
        <v>1204</v>
      </c>
      <c r="B1124" s="273"/>
      <c r="C1124" s="273"/>
      <c r="D1124" s="273"/>
      <c r="E1124" s="273"/>
      <c r="F1124" s="273" t="n">
        <v>-11470.122</v>
      </c>
      <c r="G1124" s="273"/>
      <c r="H1124" s="273"/>
      <c r="I1124" s="273"/>
      <c r="J1124" s="273"/>
      <c r="K1124" s="273"/>
      <c r="L1124" s="273"/>
      <c r="M1124" s="273"/>
      <c r="N1124" s="273"/>
      <c r="O1124" s="273"/>
      <c r="P1124" s="273"/>
      <c r="Q1124" s="273"/>
      <c r="R1124" s="273"/>
      <c r="S1124" s="273"/>
      <c r="T1124" s="273"/>
      <c r="U1124" s="273"/>
      <c r="V1124" s="273"/>
      <c r="W1124" s="273"/>
      <c r="X1124" s="273"/>
      <c r="Y1124" s="274" t="n">
        <f aca="false">SUM(B1124:X1124)</f>
        <v>-11470.122</v>
      </c>
      <c r="Z1124" s="272"/>
      <c r="AA1124" s="276"/>
    </row>
    <row r="1125" customFormat="false" ht="14.25" hidden="false" customHeight="false" outlineLevel="0" collapsed="false">
      <c r="A1125" s="272" t="s">
        <v>1205</v>
      </c>
      <c r="B1125" s="273"/>
      <c r="C1125" s="273"/>
      <c r="D1125" s="273"/>
      <c r="E1125" s="273"/>
      <c r="F1125" s="273" t="n">
        <v>-625.356</v>
      </c>
      <c r="G1125" s="273"/>
      <c r="H1125" s="273"/>
      <c r="I1125" s="273"/>
      <c r="J1125" s="273"/>
      <c r="K1125" s="273"/>
      <c r="L1125" s="273"/>
      <c r="M1125" s="273"/>
      <c r="N1125" s="273"/>
      <c r="O1125" s="273"/>
      <c r="P1125" s="273"/>
      <c r="Q1125" s="273"/>
      <c r="R1125" s="273"/>
      <c r="S1125" s="273"/>
      <c r="T1125" s="273"/>
      <c r="U1125" s="273"/>
      <c r="V1125" s="273"/>
      <c r="W1125" s="273"/>
      <c r="X1125" s="273"/>
      <c r="Y1125" s="274" t="n">
        <f aca="false">SUM(B1125:X1125)</f>
        <v>-625.356</v>
      </c>
      <c r="Z1125" s="272"/>
      <c r="AA1125" s="276"/>
    </row>
    <row r="1126" customFormat="false" ht="14.25" hidden="false" customHeight="false" outlineLevel="0" collapsed="false">
      <c r="A1126" s="272" t="s">
        <v>1206</v>
      </c>
      <c r="B1126" s="273"/>
      <c r="C1126" s="273"/>
      <c r="D1126" s="273"/>
      <c r="E1126" s="273"/>
      <c r="F1126" s="273" t="n">
        <v>-2716.296</v>
      </c>
      <c r="G1126" s="273"/>
      <c r="H1126" s="273"/>
      <c r="I1126" s="273"/>
      <c r="J1126" s="273"/>
      <c r="K1126" s="273"/>
      <c r="L1126" s="273"/>
      <c r="M1126" s="273"/>
      <c r="N1126" s="273"/>
      <c r="O1126" s="273"/>
      <c r="P1126" s="273"/>
      <c r="Q1126" s="273"/>
      <c r="R1126" s="273"/>
      <c r="S1126" s="273"/>
      <c r="T1126" s="273"/>
      <c r="U1126" s="273"/>
      <c r="V1126" s="273"/>
      <c r="W1126" s="273"/>
      <c r="X1126" s="273"/>
      <c r="Y1126" s="274" t="n">
        <f aca="false">SUM(B1126:X1126)</f>
        <v>-2716.296</v>
      </c>
      <c r="Z1126" s="272"/>
      <c r="AA1126" s="276"/>
    </row>
    <row r="1127" customFormat="false" ht="14.25" hidden="false" customHeight="false" outlineLevel="0" collapsed="false">
      <c r="A1127" s="272" t="s">
        <v>1068</v>
      </c>
      <c r="B1127" s="273"/>
      <c r="C1127" s="273"/>
      <c r="D1127" s="273"/>
      <c r="E1127" s="273"/>
      <c r="F1127" s="273" t="n">
        <v>-6209.556</v>
      </c>
      <c r="G1127" s="273"/>
      <c r="H1127" s="273"/>
      <c r="I1127" s="273"/>
      <c r="J1127" s="273"/>
      <c r="K1127" s="273"/>
      <c r="L1127" s="273"/>
      <c r="M1127" s="273"/>
      <c r="N1127" s="273"/>
      <c r="O1127" s="273"/>
      <c r="P1127" s="273"/>
      <c r="Q1127" s="273"/>
      <c r="R1127" s="273"/>
      <c r="S1127" s="273"/>
      <c r="T1127" s="273"/>
      <c r="U1127" s="273"/>
      <c r="V1127" s="273"/>
      <c r="W1127" s="273"/>
      <c r="X1127" s="273"/>
      <c r="Y1127" s="274" t="n">
        <f aca="false">SUM(B1127:X1127)</f>
        <v>-6209.556</v>
      </c>
      <c r="Z1127" s="272"/>
      <c r="AA1127" s="276"/>
    </row>
    <row r="1128" customFormat="false" ht="14.25" hidden="false" customHeight="false" outlineLevel="0" collapsed="false">
      <c r="A1128" s="272" t="s">
        <v>1003</v>
      </c>
      <c r="B1128" s="273"/>
      <c r="C1128" s="273"/>
      <c r="D1128" s="273"/>
      <c r="E1128" s="273"/>
      <c r="F1128" s="273" t="n">
        <v>-5197.269</v>
      </c>
      <c r="G1128" s="273"/>
      <c r="H1128" s="273"/>
      <c r="I1128" s="273"/>
      <c r="J1128" s="273"/>
      <c r="K1128" s="273"/>
      <c r="L1128" s="273"/>
      <c r="M1128" s="273"/>
      <c r="N1128" s="273"/>
      <c r="O1128" s="273"/>
      <c r="P1128" s="273"/>
      <c r="Q1128" s="273"/>
      <c r="R1128" s="273"/>
      <c r="S1128" s="273"/>
      <c r="T1128" s="273"/>
      <c r="U1128" s="273"/>
      <c r="V1128" s="273"/>
      <c r="W1128" s="273"/>
      <c r="X1128" s="273"/>
      <c r="Y1128" s="274" t="n">
        <f aca="false">SUM(B1128:X1128)</f>
        <v>-5197.269</v>
      </c>
      <c r="Z1128" s="272"/>
      <c r="AA1128" s="276"/>
    </row>
    <row r="1129" customFormat="false" ht="14.25" hidden="false" customHeight="false" outlineLevel="0" collapsed="false">
      <c r="A1129" s="272" t="s">
        <v>1207</v>
      </c>
      <c r="B1129" s="273"/>
      <c r="C1129" s="273"/>
      <c r="D1129" s="273"/>
      <c r="E1129" s="273" t="n">
        <v>15882.6</v>
      </c>
      <c r="F1129" s="273"/>
      <c r="G1129" s="273"/>
      <c r="H1129" s="273"/>
      <c r="I1129" s="273"/>
      <c r="J1129" s="273"/>
      <c r="K1129" s="273"/>
      <c r="L1129" s="273"/>
      <c r="M1129" s="273"/>
      <c r="N1129" s="273"/>
      <c r="O1129" s="273"/>
      <c r="P1129" s="273"/>
      <c r="Q1129" s="273"/>
      <c r="R1129" s="273"/>
      <c r="S1129" s="273"/>
      <c r="T1129" s="273"/>
      <c r="U1129" s="273"/>
      <c r="V1129" s="273"/>
      <c r="W1129" s="273"/>
      <c r="X1129" s="273"/>
      <c r="Y1129" s="274" t="n">
        <f aca="false">SUM(B1129:X1129)</f>
        <v>15882.6</v>
      </c>
      <c r="Z1129" s="272"/>
      <c r="AA1129" s="276"/>
    </row>
    <row r="1130" customFormat="false" ht="14.25" hidden="false" customHeight="false" outlineLevel="0" collapsed="false">
      <c r="A1130" s="272" t="s">
        <v>1208</v>
      </c>
      <c r="B1130" s="273"/>
      <c r="C1130" s="273"/>
      <c r="D1130" s="273"/>
      <c r="E1130" s="273"/>
      <c r="F1130" s="273"/>
      <c r="G1130" s="273"/>
      <c r="H1130" s="273"/>
      <c r="I1130" s="273"/>
      <c r="J1130" s="273" t="n">
        <v>396.6435</v>
      </c>
      <c r="K1130" s="273"/>
      <c r="L1130" s="273"/>
      <c r="M1130" s="273"/>
      <c r="N1130" s="273"/>
      <c r="O1130" s="273"/>
      <c r="P1130" s="273"/>
      <c r="Q1130" s="273"/>
      <c r="R1130" s="273"/>
      <c r="S1130" s="273"/>
      <c r="T1130" s="273"/>
      <c r="U1130" s="273"/>
      <c r="V1130" s="273"/>
      <c r="W1130" s="273"/>
      <c r="X1130" s="273"/>
      <c r="Y1130" s="274" t="n">
        <f aca="false">SUM(B1130:X1130)</f>
        <v>396.6435</v>
      </c>
      <c r="Z1130" s="272"/>
      <c r="AA1130" s="276"/>
    </row>
    <row r="1131" customFormat="false" ht="14.25" hidden="false" customHeight="false" outlineLevel="0" collapsed="false">
      <c r="A1131" s="272" t="s">
        <v>1209</v>
      </c>
      <c r="B1131" s="273"/>
      <c r="C1131" s="273"/>
      <c r="D1131" s="273"/>
      <c r="E1131" s="273" t="n">
        <v>3970.65</v>
      </c>
      <c r="F1131" s="273"/>
      <c r="G1131" s="273"/>
      <c r="H1131" s="273"/>
      <c r="I1131" s="273"/>
      <c r="J1131" s="273" t="n">
        <v>1442.34</v>
      </c>
      <c r="K1131" s="273"/>
      <c r="L1131" s="273"/>
      <c r="M1131" s="273"/>
      <c r="N1131" s="273"/>
      <c r="O1131" s="273"/>
      <c r="P1131" s="273"/>
      <c r="Q1131" s="273"/>
      <c r="R1131" s="273"/>
      <c r="S1131" s="273"/>
      <c r="T1131" s="273"/>
      <c r="U1131" s="273"/>
      <c r="V1131" s="273"/>
      <c r="W1131" s="273"/>
      <c r="X1131" s="273"/>
      <c r="Y1131" s="274" t="n">
        <f aca="false">SUM(B1131:X1131)</f>
        <v>5412.99</v>
      </c>
      <c r="Z1131" s="272"/>
      <c r="AA1131" s="276"/>
    </row>
    <row r="1132" customFormat="false" ht="14.25" hidden="false" customHeight="false" outlineLevel="0" collapsed="false">
      <c r="A1132" s="272" t="s">
        <v>1210</v>
      </c>
      <c r="B1132" s="273"/>
      <c r="C1132" s="273"/>
      <c r="D1132" s="273"/>
      <c r="E1132" s="273"/>
      <c r="F1132" s="273"/>
      <c r="G1132" s="273"/>
      <c r="H1132" s="273"/>
      <c r="I1132" s="273"/>
      <c r="J1132" s="273" t="n">
        <v>3209.2065</v>
      </c>
      <c r="K1132" s="273"/>
      <c r="L1132" s="273"/>
      <c r="M1132" s="273"/>
      <c r="N1132" s="273"/>
      <c r="O1132" s="273"/>
      <c r="P1132" s="273"/>
      <c r="Q1132" s="273"/>
      <c r="R1132" s="273"/>
      <c r="S1132" s="273"/>
      <c r="T1132" s="273"/>
      <c r="U1132" s="273"/>
      <c r="V1132" s="273"/>
      <c r="W1132" s="273"/>
      <c r="X1132" s="273"/>
      <c r="Y1132" s="274" t="n">
        <f aca="false">SUM(B1132:X1132)</f>
        <v>3209.2065</v>
      </c>
      <c r="Z1132" s="272"/>
      <c r="AA1132" s="276"/>
    </row>
    <row r="1133" customFormat="false" ht="14.25" hidden="false" customHeight="false" outlineLevel="0" collapsed="false">
      <c r="A1133" s="272" t="s">
        <v>1211</v>
      </c>
      <c r="B1133" s="273"/>
      <c r="C1133" s="273" t="n">
        <v>-742.32</v>
      </c>
      <c r="D1133" s="273"/>
      <c r="E1133" s="273"/>
      <c r="F1133" s="273"/>
      <c r="G1133" s="273"/>
      <c r="H1133" s="273"/>
      <c r="I1133" s="273"/>
      <c r="J1133" s="273"/>
      <c r="K1133" s="273"/>
      <c r="L1133" s="273" t="n">
        <v>-8547.909</v>
      </c>
      <c r="M1133" s="273"/>
      <c r="N1133" s="273"/>
      <c r="O1133" s="273"/>
      <c r="P1133" s="273"/>
      <c r="Q1133" s="273"/>
      <c r="R1133" s="273"/>
      <c r="S1133" s="273"/>
      <c r="T1133" s="273"/>
      <c r="U1133" s="273"/>
      <c r="V1133" s="273"/>
      <c r="W1133" s="273"/>
      <c r="X1133" s="273"/>
      <c r="Y1133" s="274" t="n">
        <f aca="false">SUM(B1133:X1133)</f>
        <v>-9290.229</v>
      </c>
      <c r="Z1133" s="272"/>
      <c r="AA1133" s="276"/>
    </row>
    <row r="1134" customFormat="false" ht="14.25" hidden="false" customHeight="false" outlineLevel="0" collapsed="false">
      <c r="A1134" s="272" t="s">
        <v>1212</v>
      </c>
      <c r="B1134" s="273"/>
      <c r="C1134" s="273"/>
      <c r="D1134" s="273"/>
      <c r="E1134" s="273"/>
      <c r="F1134" s="273" t="n">
        <v>-757.179</v>
      </c>
      <c r="G1134" s="273"/>
      <c r="H1134" s="273"/>
      <c r="I1134" s="273"/>
      <c r="J1134" s="273"/>
      <c r="K1134" s="273"/>
      <c r="L1134" s="273"/>
      <c r="M1134" s="273"/>
      <c r="N1134" s="273"/>
      <c r="O1134" s="273"/>
      <c r="P1134" s="273"/>
      <c r="Q1134" s="273"/>
      <c r="R1134" s="273"/>
      <c r="S1134" s="273"/>
      <c r="T1134" s="273"/>
      <c r="U1134" s="273"/>
      <c r="V1134" s="273"/>
      <c r="W1134" s="273"/>
      <c r="X1134" s="273"/>
      <c r="Y1134" s="274" t="n">
        <f aca="false">SUM(B1134:X1134)</f>
        <v>-757.179</v>
      </c>
      <c r="Z1134" s="272"/>
      <c r="AA1134" s="276"/>
    </row>
    <row r="1135" customFormat="false" ht="14.25" hidden="false" customHeight="false" outlineLevel="0" collapsed="false">
      <c r="A1135" s="272" t="s">
        <v>1213</v>
      </c>
      <c r="B1135" s="273"/>
      <c r="C1135" s="273"/>
      <c r="D1135" s="273"/>
      <c r="E1135" s="273"/>
      <c r="F1135" s="273"/>
      <c r="G1135" s="273"/>
      <c r="H1135" s="273"/>
      <c r="I1135" s="273"/>
      <c r="J1135" s="273"/>
      <c r="K1135" s="273"/>
      <c r="L1135" s="273"/>
      <c r="M1135" s="273"/>
      <c r="N1135" s="273"/>
      <c r="O1135" s="273"/>
      <c r="P1135" s="273" t="n">
        <v>-3738.969</v>
      </c>
      <c r="Q1135" s="273"/>
      <c r="R1135" s="273"/>
      <c r="S1135" s="273"/>
      <c r="T1135" s="273"/>
      <c r="U1135" s="273"/>
      <c r="V1135" s="273"/>
      <c r="W1135" s="273"/>
      <c r="X1135" s="273"/>
      <c r="Y1135" s="274" t="n">
        <f aca="false">SUM(B1135:X1135)</f>
        <v>-3738.969</v>
      </c>
      <c r="Z1135" s="272"/>
      <c r="AA1135" s="276"/>
    </row>
    <row r="1136" customFormat="false" ht="14.25" hidden="false" customHeight="false" outlineLevel="0" collapsed="false">
      <c r="A1136" s="272" t="s">
        <v>1214</v>
      </c>
      <c r="B1136" s="273"/>
      <c r="C1136" s="273"/>
      <c r="D1136" s="273"/>
      <c r="E1136" s="273"/>
      <c r="F1136" s="273" t="n">
        <v>2141.613</v>
      </c>
      <c r="G1136" s="273"/>
      <c r="H1136" s="273"/>
      <c r="I1136" s="273"/>
      <c r="J1136" s="273"/>
      <c r="K1136" s="273"/>
      <c r="L1136" s="273"/>
      <c r="M1136" s="273"/>
      <c r="N1136" s="273"/>
      <c r="O1136" s="273"/>
      <c r="P1136" s="273"/>
      <c r="Q1136" s="273"/>
      <c r="R1136" s="273"/>
      <c r="S1136" s="273"/>
      <c r="T1136" s="273"/>
      <c r="U1136" s="273"/>
      <c r="V1136" s="273"/>
      <c r="W1136" s="273"/>
      <c r="X1136" s="273"/>
      <c r="Y1136" s="274" t="n">
        <f aca="false">SUM(B1136:X1136)</f>
        <v>2141.613</v>
      </c>
      <c r="Z1136" s="272"/>
      <c r="AA1136" s="276"/>
    </row>
    <row r="1137" customFormat="false" ht="14.25" hidden="false" customHeight="false" outlineLevel="0" collapsed="false">
      <c r="A1137" s="272" t="s">
        <v>862</v>
      </c>
      <c r="B1137" s="273"/>
      <c r="C1137" s="273"/>
      <c r="D1137" s="273"/>
      <c r="E1137" s="273"/>
      <c r="F1137" s="273" t="n">
        <v>14077.575</v>
      </c>
      <c r="G1137" s="273"/>
      <c r="H1137" s="273"/>
      <c r="I1137" s="273"/>
      <c r="J1137" s="273"/>
      <c r="K1137" s="273"/>
      <c r="L1137" s="273"/>
      <c r="M1137" s="273"/>
      <c r="N1137" s="273"/>
      <c r="O1137" s="273"/>
      <c r="P1137" s="273"/>
      <c r="Q1137" s="273"/>
      <c r="R1137" s="273"/>
      <c r="S1137" s="273"/>
      <c r="T1137" s="273"/>
      <c r="U1137" s="273"/>
      <c r="V1137" s="273"/>
      <c r="W1137" s="273"/>
      <c r="X1137" s="273"/>
      <c r="Y1137" s="274" t="n">
        <f aca="false">SUM(B1137:X1137)</f>
        <v>14077.575</v>
      </c>
      <c r="Z1137" s="272"/>
      <c r="AA1137" s="276"/>
    </row>
    <row r="1138" customFormat="false" ht="14.25" hidden="false" customHeight="false" outlineLevel="0" collapsed="false">
      <c r="A1138" s="272" t="s">
        <v>1003</v>
      </c>
      <c r="B1138" s="273"/>
      <c r="C1138" s="273"/>
      <c r="D1138" s="273"/>
      <c r="E1138" s="273"/>
      <c r="F1138" s="273" t="n">
        <v>54214.3335</v>
      </c>
      <c r="G1138" s="273"/>
      <c r="H1138" s="273"/>
      <c r="I1138" s="273"/>
      <c r="J1138" s="273"/>
      <c r="K1138" s="273"/>
      <c r="L1138" s="273"/>
      <c r="M1138" s="273"/>
      <c r="N1138" s="273"/>
      <c r="O1138" s="273"/>
      <c r="P1138" s="273"/>
      <c r="Q1138" s="273"/>
      <c r="R1138" s="273"/>
      <c r="S1138" s="273"/>
      <c r="T1138" s="273"/>
      <c r="U1138" s="273"/>
      <c r="V1138" s="273"/>
      <c r="W1138" s="273"/>
      <c r="X1138" s="273"/>
      <c r="Y1138" s="274" t="n">
        <f aca="false">SUM(B1138:X1138)</f>
        <v>54214.3335</v>
      </c>
      <c r="Z1138" s="272"/>
      <c r="AA1138" s="276"/>
    </row>
    <row r="1139" customFormat="false" ht="14.25" hidden="false" customHeight="false" outlineLevel="0" collapsed="false">
      <c r="A1139" s="272" t="s">
        <v>1215</v>
      </c>
      <c r="B1139" s="273"/>
      <c r="C1139" s="273"/>
      <c r="D1139" s="273"/>
      <c r="E1139" s="273"/>
      <c r="F1139" s="273"/>
      <c r="G1139" s="273"/>
      <c r="H1139" s="273"/>
      <c r="I1139" s="273"/>
      <c r="J1139" s="273"/>
      <c r="K1139" s="273"/>
      <c r="L1139" s="273"/>
      <c r="M1139" s="273"/>
      <c r="N1139" s="273"/>
      <c r="O1139" s="273"/>
      <c r="P1139" s="273" t="n">
        <v>-899.478</v>
      </c>
      <c r="Q1139" s="273"/>
      <c r="R1139" s="273"/>
      <c r="S1139" s="273"/>
      <c r="T1139" s="273"/>
      <c r="U1139" s="273"/>
      <c r="V1139" s="273"/>
      <c r="W1139" s="273"/>
      <c r="X1139" s="273"/>
      <c r="Y1139" s="274" t="n">
        <f aca="false">SUM(B1139:X1139)</f>
        <v>-899.478</v>
      </c>
      <c r="Z1139" s="272"/>
      <c r="AA1139" s="276"/>
    </row>
    <row r="1140" customFormat="false" ht="14.25" hidden="false" customHeight="false" outlineLevel="0" collapsed="false">
      <c r="A1140" s="272" t="s">
        <v>1216</v>
      </c>
      <c r="B1140" s="273"/>
      <c r="C1140" s="273"/>
      <c r="D1140" s="273"/>
      <c r="E1140" s="273"/>
      <c r="F1140" s="273"/>
      <c r="G1140" s="273"/>
      <c r="H1140" s="273"/>
      <c r="I1140" s="273"/>
      <c r="J1140" s="273"/>
      <c r="K1140" s="273"/>
      <c r="L1140" s="273" t="n">
        <v>-103.08</v>
      </c>
      <c r="M1140" s="273"/>
      <c r="N1140" s="273"/>
      <c r="O1140" s="273"/>
      <c r="P1140" s="273"/>
      <c r="Q1140" s="273"/>
      <c r="R1140" s="273"/>
      <c r="S1140" s="273"/>
      <c r="T1140" s="273"/>
      <c r="U1140" s="273"/>
      <c r="V1140" s="273"/>
      <c r="W1140" s="273"/>
      <c r="X1140" s="273"/>
      <c r="Y1140" s="274" t="n">
        <f aca="false">SUM(B1140:X1140)</f>
        <v>-103.08</v>
      </c>
      <c r="Z1140" s="272"/>
      <c r="AA1140" s="276"/>
    </row>
    <row r="1141" customFormat="false" ht="14.25" hidden="false" customHeight="false" outlineLevel="0" collapsed="false">
      <c r="A1141" s="272" t="s">
        <v>1217</v>
      </c>
      <c r="B1141" s="273"/>
      <c r="C1141" s="273" t="n">
        <v>1237.62</v>
      </c>
      <c r="D1141" s="273"/>
      <c r="E1141" s="273"/>
      <c r="F1141" s="273"/>
      <c r="G1141" s="273"/>
      <c r="H1141" s="273"/>
      <c r="I1141" s="273"/>
      <c r="J1141" s="273"/>
      <c r="K1141" s="273"/>
      <c r="L1141" s="273"/>
      <c r="M1141" s="273"/>
      <c r="N1141" s="273"/>
      <c r="O1141" s="273"/>
      <c r="P1141" s="273"/>
      <c r="Q1141" s="273"/>
      <c r="R1141" s="273"/>
      <c r="S1141" s="273"/>
      <c r="T1141" s="273"/>
      <c r="U1141" s="273"/>
      <c r="V1141" s="273"/>
      <c r="W1141" s="273"/>
      <c r="X1141" s="273"/>
      <c r="Y1141" s="274" t="n">
        <f aca="false">SUM(B1141:X1141)</f>
        <v>1237.62</v>
      </c>
      <c r="Z1141" s="272"/>
      <c r="AA1141" s="276"/>
    </row>
    <row r="1142" customFormat="false" ht="14.25" hidden="false" customHeight="false" outlineLevel="0" collapsed="false">
      <c r="A1142" s="272" t="s">
        <v>1218</v>
      </c>
      <c r="B1142" s="273"/>
      <c r="C1142" s="273"/>
      <c r="D1142" s="273"/>
      <c r="E1142" s="273"/>
      <c r="F1142" s="273"/>
      <c r="G1142" s="273"/>
      <c r="H1142" s="273"/>
      <c r="I1142" s="273"/>
      <c r="J1142" s="273"/>
      <c r="K1142" s="273"/>
      <c r="L1142" s="273" t="n">
        <v>-773.1</v>
      </c>
      <c r="M1142" s="273"/>
      <c r="N1142" s="273"/>
      <c r="O1142" s="273"/>
      <c r="P1142" s="273"/>
      <c r="Q1142" s="273"/>
      <c r="R1142" s="273"/>
      <c r="S1142" s="273"/>
      <c r="T1142" s="273"/>
      <c r="U1142" s="273"/>
      <c r="V1142" s="273"/>
      <c r="W1142" s="273"/>
      <c r="X1142" s="273"/>
      <c r="Y1142" s="274" t="n">
        <f aca="false">SUM(B1142:X1142)</f>
        <v>-773.1</v>
      </c>
      <c r="Z1142" s="272"/>
      <c r="AA1142" s="276"/>
    </row>
    <row r="1143" customFormat="false" ht="14.25" hidden="false" customHeight="false" outlineLevel="0" collapsed="false">
      <c r="A1143" s="272" t="s">
        <v>1219</v>
      </c>
      <c r="B1143" s="273"/>
      <c r="C1143" s="273" t="n">
        <v>-1098.822</v>
      </c>
      <c r="D1143" s="273"/>
      <c r="E1143" s="273"/>
      <c r="F1143" s="273"/>
      <c r="G1143" s="273"/>
      <c r="H1143" s="273" t="n">
        <v>399.165</v>
      </c>
      <c r="I1143" s="273"/>
      <c r="J1143" s="273"/>
      <c r="K1143" s="273"/>
      <c r="L1143" s="273"/>
      <c r="M1143" s="273"/>
      <c r="N1143" s="273"/>
      <c r="O1143" s="273"/>
      <c r="P1143" s="273" t="n">
        <v>-115.368</v>
      </c>
      <c r="Q1143" s="273"/>
      <c r="R1143" s="273"/>
      <c r="S1143" s="273"/>
      <c r="T1143" s="273"/>
      <c r="U1143" s="273"/>
      <c r="V1143" s="273"/>
      <c r="W1143" s="273"/>
      <c r="X1143" s="273"/>
      <c r="Y1143" s="274" t="n">
        <f aca="false">SUM(B1143:X1143)</f>
        <v>-815.025</v>
      </c>
      <c r="Z1143" s="272"/>
      <c r="AA1143" s="276"/>
    </row>
    <row r="1144" customFormat="false" ht="14.25" hidden="false" customHeight="false" outlineLevel="0" collapsed="false">
      <c r="A1144" s="272" t="s">
        <v>1220</v>
      </c>
      <c r="B1144" s="273" t="n">
        <v>-2889.15</v>
      </c>
      <c r="C1144" s="273" t="n">
        <v>-1539.012</v>
      </c>
      <c r="D1144" s="273"/>
      <c r="E1144" s="273" t="n">
        <v>4652.235</v>
      </c>
      <c r="F1144" s="273"/>
      <c r="G1144" s="273"/>
      <c r="H1144" s="273"/>
      <c r="I1144" s="273"/>
      <c r="J1144" s="273"/>
      <c r="K1144" s="273"/>
      <c r="L1144" s="273"/>
      <c r="M1144" s="273"/>
      <c r="N1144" s="273"/>
      <c r="O1144" s="273"/>
      <c r="P1144" s="273"/>
      <c r="Q1144" s="273"/>
      <c r="R1144" s="273"/>
      <c r="S1144" s="273"/>
      <c r="T1144" s="273"/>
      <c r="U1144" s="273"/>
      <c r="V1144" s="273"/>
      <c r="W1144" s="273"/>
      <c r="X1144" s="273"/>
      <c r="Y1144" s="274" t="n">
        <f aca="false">SUM(B1144:X1144)</f>
        <v>224.072999999999</v>
      </c>
      <c r="Z1144" s="272"/>
      <c r="AA1144" s="276"/>
    </row>
    <row r="1145" customFormat="false" ht="14.25" hidden="false" customHeight="false" outlineLevel="0" collapsed="false">
      <c r="A1145" s="272" t="s">
        <v>1221</v>
      </c>
      <c r="B1145" s="273" t="n">
        <v>351.7605</v>
      </c>
      <c r="C1145" s="273"/>
      <c r="D1145" s="273"/>
      <c r="E1145" s="273"/>
      <c r="F1145" s="273"/>
      <c r="G1145" s="273"/>
      <c r="H1145" s="273"/>
      <c r="I1145" s="273"/>
      <c r="J1145" s="273"/>
      <c r="K1145" s="273"/>
      <c r="L1145" s="273"/>
      <c r="M1145" s="273"/>
      <c r="N1145" s="273"/>
      <c r="O1145" s="273"/>
      <c r="P1145" s="273"/>
      <c r="Q1145" s="273"/>
      <c r="R1145" s="273"/>
      <c r="S1145" s="273"/>
      <c r="T1145" s="273"/>
      <c r="U1145" s="273"/>
      <c r="V1145" s="273"/>
      <c r="W1145" s="273"/>
      <c r="X1145" s="273"/>
      <c r="Y1145" s="274" t="n">
        <f aca="false">SUM(B1145:X1145)</f>
        <v>351.7605</v>
      </c>
      <c r="Z1145" s="272"/>
      <c r="AA1145" s="276"/>
    </row>
    <row r="1146" customFormat="false" ht="14.25" hidden="false" customHeight="false" outlineLevel="0" collapsed="false">
      <c r="A1146" s="272" t="s">
        <v>1222</v>
      </c>
      <c r="B1146" s="273"/>
      <c r="C1146" s="273"/>
      <c r="D1146" s="273"/>
      <c r="E1146" s="273"/>
      <c r="F1146" s="273" t="n">
        <v>17583.7875</v>
      </c>
      <c r="G1146" s="273"/>
      <c r="H1146" s="273"/>
      <c r="I1146" s="273"/>
      <c r="J1146" s="273"/>
      <c r="K1146" s="273"/>
      <c r="L1146" s="273"/>
      <c r="M1146" s="273"/>
      <c r="N1146" s="273"/>
      <c r="O1146" s="273"/>
      <c r="P1146" s="273"/>
      <c r="Q1146" s="273"/>
      <c r="R1146" s="273"/>
      <c r="S1146" s="273"/>
      <c r="T1146" s="273"/>
      <c r="U1146" s="273"/>
      <c r="V1146" s="273"/>
      <c r="W1146" s="273"/>
      <c r="X1146" s="273"/>
      <c r="Y1146" s="274" t="n">
        <f aca="false">SUM(B1146:X1146)</f>
        <v>17583.7875</v>
      </c>
      <c r="Z1146" s="272"/>
      <c r="AA1146" s="276"/>
    </row>
    <row r="1147" customFormat="false" ht="14.25" hidden="false" customHeight="false" outlineLevel="0" collapsed="false">
      <c r="A1147" s="272" t="s">
        <v>1223</v>
      </c>
      <c r="B1147" s="273"/>
      <c r="C1147" s="273"/>
      <c r="D1147" s="273"/>
      <c r="E1147" s="273"/>
      <c r="F1147" s="273" t="n">
        <v>-2406.024</v>
      </c>
      <c r="G1147" s="273"/>
      <c r="H1147" s="273"/>
      <c r="I1147" s="273"/>
      <c r="J1147" s="273"/>
      <c r="K1147" s="273"/>
      <c r="L1147" s="273"/>
      <c r="M1147" s="273"/>
      <c r="N1147" s="273"/>
      <c r="O1147" s="273"/>
      <c r="P1147" s="273"/>
      <c r="Q1147" s="273"/>
      <c r="R1147" s="273"/>
      <c r="S1147" s="273"/>
      <c r="T1147" s="273"/>
      <c r="U1147" s="273"/>
      <c r="V1147" s="273"/>
      <c r="W1147" s="273"/>
      <c r="X1147" s="273"/>
      <c r="Y1147" s="274" t="n">
        <f aca="false">SUM(B1147:X1147)</f>
        <v>-2406.024</v>
      </c>
      <c r="Z1147" s="272"/>
      <c r="AA1147" s="276"/>
    </row>
    <row r="1148" customFormat="false" ht="14.25" hidden="false" customHeight="false" outlineLevel="0" collapsed="false">
      <c r="A1148" s="272" t="s">
        <v>1051</v>
      </c>
      <c r="B1148" s="273"/>
      <c r="C1148" s="273"/>
      <c r="D1148" s="273"/>
      <c r="E1148" s="273"/>
      <c r="F1148" s="273" t="n">
        <v>-12109.635</v>
      </c>
      <c r="G1148" s="273"/>
      <c r="H1148" s="273"/>
      <c r="I1148" s="273"/>
      <c r="J1148" s="273"/>
      <c r="K1148" s="273"/>
      <c r="L1148" s="273"/>
      <c r="M1148" s="273"/>
      <c r="N1148" s="273"/>
      <c r="O1148" s="273"/>
      <c r="P1148" s="273"/>
      <c r="Q1148" s="273"/>
      <c r="R1148" s="273"/>
      <c r="S1148" s="273"/>
      <c r="T1148" s="273"/>
      <c r="U1148" s="273"/>
      <c r="V1148" s="273"/>
      <c r="W1148" s="273"/>
      <c r="X1148" s="273"/>
      <c r="Y1148" s="274" t="n">
        <f aca="false">SUM(B1148:X1148)</f>
        <v>-12109.635</v>
      </c>
      <c r="Z1148" s="272"/>
      <c r="AA1148" s="276"/>
    </row>
    <row r="1149" customFormat="false" ht="14.25" hidden="false" customHeight="false" outlineLevel="0" collapsed="false">
      <c r="A1149" s="272" t="s">
        <v>1050</v>
      </c>
      <c r="B1149" s="273"/>
      <c r="C1149" s="273"/>
      <c r="D1149" s="273"/>
      <c r="E1149" s="273"/>
      <c r="F1149" s="273" t="n">
        <v>-22610.6</v>
      </c>
      <c r="G1149" s="273"/>
      <c r="H1149" s="273"/>
      <c r="I1149" s="273"/>
      <c r="J1149" s="273"/>
      <c r="K1149" s="273"/>
      <c r="L1149" s="273"/>
      <c r="M1149" s="273"/>
      <c r="N1149" s="273"/>
      <c r="O1149" s="273"/>
      <c r="P1149" s="273"/>
      <c r="Q1149" s="273"/>
      <c r="R1149" s="273"/>
      <c r="S1149" s="273"/>
      <c r="T1149" s="273"/>
      <c r="U1149" s="273"/>
      <c r="V1149" s="273"/>
      <c r="W1149" s="273"/>
      <c r="X1149" s="273"/>
      <c r="Y1149" s="274" t="n">
        <f aca="false">SUM(B1149:X1149)</f>
        <v>-22610.6</v>
      </c>
      <c r="Z1149" s="272"/>
      <c r="AA1149" s="276"/>
    </row>
    <row r="1150" customFormat="false" ht="14.25" hidden="false" customHeight="false" outlineLevel="0" collapsed="false">
      <c r="A1150" s="272" t="s">
        <v>1224</v>
      </c>
      <c r="B1150" s="273"/>
      <c r="C1150" s="273"/>
      <c r="D1150" s="273"/>
      <c r="E1150" s="273"/>
      <c r="F1150" s="273" t="n">
        <v>-6443.085</v>
      </c>
      <c r="G1150" s="273"/>
      <c r="H1150" s="273"/>
      <c r="I1150" s="273"/>
      <c r="J1150" s="273"/>
      <c r="K1150" s="273"/>
      <c r="L1150" s="273"/>
      <c r="M1150" s="273"/>
      <c r="N1150" s="273"/>
      <c r="O1150" s="273"/>
      <c r="P1150" s="273"/>
      <c r="Q1150" s="273"/>
      <c r="R1150" s="273"/>
      <c r="S1150" s="273"/>
      <c r="T1150" s="273"/>
      <c r="U1150" s="273"/>
      <c r="V1150" s="273"/>
      <c r="W1150" s="273"/>
      <c r="X1150" s="273"/>
      <c r="Y1150" s="274" t="n">
        <f aca="false">SUM(B1150:X1150)</f>
        <v>-6443.085</v>
      </c>
      <c r="Z1150" s="272"/>
      <c r="AA1150" s="276"/>
    </row>
    <row r="1151" customFormat="false" ht="14.25" hidden="false" customHeight="false" outlineLevel="0" collapsed="false">
      <c r="A1151" s="272" t="s">
        <v>1225</v>
      </c>
      <c r="B1151" s="273"/>
      <c r="C1151" s="273"/>
      <c r="D1151" s="273"/>
      <c r="E1151" s="273"/>
      <c r="F1151" s="273"/>
      <c r="G1151" s="273"/>
      <c r="H1151" s="273"/>
      <c r="I1151" s="273"/>
      <c r="J1151" s="273"/>
      <c r="K1151" s="273"/>
      <c r="L1151" s="273"/>
      <c r="M1151" s="273"/>
      <c r="N1151" s="273"/>
      <c r="O1151" s="273"/>
      <c r="P1151" s="273" t="n">
        <v>-1499.13</v>
      </c>
      <c r="Q1151" s="273"/>
      <c r="R1151" s="273"/>
      <c r="S1151" s="273"/>
      <c r="T1151" s="273"/>
      <c r="U1151" s="273"/>
      <c r="V1151" s="273"/>
      <c r="W1151" s="273"/>
      <c r="X1151" s="273"/>
      <c r="Y1151" s="274" t="n">
        <f aca="false">SUM(B1151:X1151)</f>
        <v>-1499.13</v>
      </c>
      <c r="Z1151" s="272"/>
      <c r="AA1151" s="276"/>
    </row>
    <row r="1152" customFormat="false" ht="14.25" hidden="false" customHeight="false" outlineLevel="0" collapsed="false">
      <c r="A1152" s="272" t="s">
        <v>1226</v>
      </c>
      <c r="B1152" s="273" t="n">
        <v>-1993.5135</v>
      </c>
      <c r="C1152" s="273"/>
      <c r="D1152" s="273" t="n">
        <v>-134.025</v>
      </c>
      <c r="E1152" s="273"/>
      <c r="F1152" s="273"/>
      <c r="G1152" s="273"/>
      <c r="H1152" s="273"/>
      <c r="I1152" s="273"/>
      <c r="J1152" s="273"/>
      <c r="K1152" s="273"/>
      <c r="L1152" s="273" t="n">
        <v>-515.4</v>
      </c>
      <c r="M1152" s="273"/>
      <c r="N1152" s="273"/>
      <c r="O1152" s="273"/>
      <c r="P1152" s="273"/>
      <c r="Q1152" s="273"/>
      <c r="R1152" s="273"/>
      <c r="S1152" s="273"/>
      <c r="T1152" s="273"/>
      <c r="U1152" s="273"/>
      <c r="V1152" s="273"/>
      <c r="W1152" s="273"/>
      <c r="X1152" s="273"/>
      <c r="Y1152" s="274" t="n">
        <f aca="false">SUM(B1152:X1152)</f>
        <v>-2642.9385</v>
      </c>
      <c r="Z1152" s="272"/>
      <c r="AA1152" s="276"/>
    </row>
    <row r="1153" customFormat="false" ht="14.25" hidden="false" customHeight="false" outlineLevel="0" collapsed="false">
      <c r="A1153" s="272" t="s">
        <v>1227</v>
      </c>
      <c r="B1153" s="273"/>
      <c r="C1153" s="273"/>
      <c r="D1153" s="273"/>
      <c r="E1153" s="273" t="n">
        <v>-27</v>
      </c>
      <c r="F1153" s="273"/>
      <c r="G1153" s="273"/>
      <c r="H1153" s="273"/>
      <c r="I1153" s="273"/>
      <c r="J1153" s="273"/>
      <c r="K1153" s="273"/>
      <c r="L1153" s="273"/>
      <c r="M1153" s="273"/>
      <c r="N1153" s="273"/>
      <c r="O1153" s="273"/>
      <c r="P1153" s="273"/>
      <c r="Q1153" s="273"/>
      <c r="R1153" s="273"/>
      <c r="S1153" s="273"/>
      <c r="T1153" s="273"/>
      <c r="U1153" s="273"/>
      <c r="V1153" s="273"/>
      <c r="W1153" s="273"/>
      <c r="X1153" s="273"/>
      <c r="Y1153" s="274" t="n">
        <f aca="false">SUM(B1153:X1153)</f>
        <v>-27</v>
      </c>
      <c r="Z1153" s="272"/>
      <c r="AA1153" s="276"/>
    </row>
    <row r="1154" customFormat="false" ht="14.25" hidden="false" customHeight="false" outlineLevel="0" collapsed="false">
      <c r="A1154" s="272" t="s">
        <v>1228</v>
      </c>
      <c r="B1154" s="273" t="n">
        <v>-916.5275</v>
      </c>
      <c r="C1154" s="273"/>
      <c r="D1154" s="273"/>
      <c r="E1154" s="273"/>
      <c r="F1154" s="273"/>
      <c r="G1154" s="273"/>
      <c r="H1154" s="273"/>
      <c r="I1154" s="273"/>
      <c r="J1154" s="273"/>
      <c r="K1154" s="273"/>
      <c r="L1154" s="273"/>
      <c r="M1154" s="273"/>
      <c r="N1154" s="273"/>
      <c r="O1154" s="273"/>
      <c r="P1154" s="273"/>
      <c r="Q1154" s="273"/>
      <c r="R1154" s="273"/>
      <c r="S1154" s="273"/>
      <c r="T1154" s="273"/>
      <c r="U1154" s="273"/>
      <c r="V1154" s="273"/>
      <c r="W1154" s="273"/>
      <c r="X1154" s="273"/>
      <c r="Y1154" s="274" t="n">
        <f aca="false">SUM(B1154:X1154)</f>
        <v>-916.5275</v>
      </c>
      <c r="Z1154" s="272"/>
      <c r="AA1154" s="276"/>
    </row>
    <row r="1155" customFormat="false" ht="14.25" hidden="false" customHeight="false" outlineLevel="0" collapsed="false">
      <c r="A1155" s="272" t="s">
        <v>1229</v>
      </c>
      <c r="B1155" s="273"/>
      <c r="C1155" s="273"/>
      <c r="D1155" s="273"/>
      <c r="E1155" s="273"/>
      <c r="F1155" s="273"/>
      <c r="G1155" s="273"/>
      <c r="H1155" s="273"/>
      <c r="I1155" s="273"/>
      <c r="J1155" s="273"/>
      <c r="K1155" s="273"/>
      <c r="L1155" s="273"/>
      <c r="M1155" s="273"/>
      <c r="N1155" s="273" t="n">
        <v>-236.42</v>
      </c>
      <c r="O1155" s="273"/>
      <c r="P1155" s="273"/>
      <c r="Q1155" s="273"/>
      <c r="R1155" s="273"/>
      <c r="S1155" s="273"/>
      <c r="T1155" s="273"/>
      <c r="U1155" s="273"/>
      <c r="V1155" s="273"/>
      <c r="W1155" s="273"/>
      <c r="X1155" s="273"/>
      <c r="Y1155" s="274" t="n">
        <f aca="false">SUM(B1155:X1155)</f>
        <v>-236.42</v>
      </c>
      <c r="Z1155" s="272"/>
      <c r="AA1155" s="276"/>
    </row>
    <row r="1156" customFormat="false" ht="14.25" hidden="false" customHeight="false" outlineLevel="0" collapsed="false">
      <c r="A1156" s="272" t="s">
        <v>1230</v>
      </c>
      <c r="B1156" s="273" t="n">
        <v>-1309.325</v>
      </c>
      <c r="C1156" s="273"/>
      <c r="D1156" s="273"/>
      <c r="E1156" s="273"/>
      <c r="F1156" s="273"/>
      <c r="G1156" s="273"/>
      <c r="H1156" s="273"/>
      <c r="I1156" s="273"/>
      <c r="J1156" s="273"/>
      <c r="K1156" s="273"/>
      <c r="L1156" s="273"/>
      <c r="M1156" s="273"/>
      <c r="N1156" s="273"/>
      <c r="O1156" s="273"/>
      <c r="P1156" s="273"/>
      <c r="Q1156" s="273"/>
      <c r="R1156" s="273"/>
      <c r="S1156" s="273"/>
      <c r="T1156" s="273"/>
      <c r="U1156" s="273"/>
      <c r="V1156" s="273"/>
      <c r="W1156" s="273"/>
      <c r="X1156" s="273"/>
      <c r="Y1156" s="274" t="n">
        <f aca="false">SUM(B1156:X1156)</f>
        <v>-1309.325</v>
      </c>
      <c r="Z1156" s="272"/>
      <c r="AA1156" s="276"/>
    </row>
    <row r="1157" customFormat="false" ht="14.25" hidden="false" customHeight="false" outlineLevel="0" collapsed="false">
      <c r="A1157" s="272" t="s">
        <v>1230</v>
      </c>
      <c r="B1157" s="273"/>
      <c r="C1157" s="273"/>
      <c r="D1157" s="273"/>
      <c r="E1157" s="273"/>
      <c r="F1157" s="273"/>
      <c r="G1157" s="273"/>
      <c r="H1157" s="273"/>
      <c r="I1157" s="273" t="n">
        <v>4.375</v>
      </c>
      <c r="J1157" s="273"/>
      <c r="K1157" s="273"/>
      <c r="L1157" s="273"/>
      <c r="M1157" s="273"/>
      <c r="N1157" s="273"/>
      <c r="O1157" s="273"/>
      <c r="P1157" s="273"/>
      <c r="Q1157" s="273"/>
      <c r="R1157" s="273"/>
      <c r="S1157" s="273"/>
      <c r="T1157" s="273"/>
      <c r="U1157" s="273"/>
      <c r="V1157" s="273"/>
      <c r="W1157" s="273"/>
      <c r="X1157" s="273"/>
      <c r="Y1157" s="274" t="n">
        <f aca="false">SUM(B1157:X1157)</f>
        <v>4.375</v>
      </c>
      <c r="Z1157" s="272"/>
      <c r="AA1157" s="276"/>
    </row>
    <row r="1158" customFormat="false" ht="14.25" hidden="false" customHeight="false" outlineLevel="0" collapsed="false">
      <c r="A1158" s="272" t="s">
        <v>1231</v>
      </c>
      <c r="B1158" s="273"/>
      <c r="C1158" s="273"/>
      <c r="D1158" s="273"/>
      <c r="E1158" s="273"/>
      <c r="F1158" s="273"/>
      <c r="G1158" s="273"/>
      <c r="H1158" s="273"/>
      <c r="I1158" s="273"/>
      <c r="J1158" s="273"/>
      <c r="K1158" s="273"/>
      <c r="L1158" s="273"/>
      <c r="M1158" s="273" t="n">
        <v>-534.216</v>
      </c>
      <c r="N1158" s="273"/>
      <c r="O1158" s="273"/>
      <c r="P1158" s="273"/>
      <c r="Q1158" s="273"/>
      <c r="R1158" s="273"/>
      <c r="S1158" s="273"/>
      <c r="T1158" s="273"/>
      <c r="U1158" s="273"/>
      <c r="V1158" s="273"/>
      <c r="W1158" s="273"/>
      <c r="X1158" s="273"/>
      <c r="Y1158" s="274" t="n">
        <f aca="false">SUM(B1158:X1158)</f>
        <v>-534.216</v>
      </c>
      <c r="Z1158" s="272"/>
      <c r="AA1158" s="276"/>
    </row>
    <row r="1159" customFormat="false" ht="14.25" hidden="false" customHeight="false" outlineLevel="0" collapsed="false">
      <c r="A1159" s="272" t="s">
        <v>1232</v>
      </c>
      <c r="B1159" s="273"/>
      <c r="C1159" s="273"/>
      <c r="D1159" s="273"/>
      <c r="E1159" s="273"/>
      <c r="F1159" s="273" t="n">
        <v>-15224.544</v>
      </c>
      <c r="G1159" s="273"/>
      <c r="H1159" s="273"/>
      <c r="I1159" s="273"/>
      <c r="J1159" s="273"/>
      <c r="K1159" s="273"/>
      <c r="L1159" s="273"/>
      <c r="M1159" s="273"/>
      <c r="N1159" s="273"/>
      <c r="O1159" s="273"/>
      <c r="P1159" s="273"/>
      <c r="Q1159" s="273"/>
      <c r="R1159" s="273"/>
      <c r="S1159" s="273"/>
      <c r="T1159" s="273"/>
      <c r="U1159" s="273"/>
      <c r="V1159" s="273"/>
      <c r="W1159" s="273"/>
      <c r="X1159" s="273"/>
      <c r="Y1159" s="274" t="n">
        <f aca="false">SUM(B1159:X1159)</f>
        <v>-15224.544</v>
      </c>
      <c r="Z1159" s="272"/>
      <c r="AA1159" s="276"/>
    </row>
    <row r="1160" customFormat="false" ht="14.25" hidden="false" customHeight="false" outlineLevel="0" collapsed="false">
      <c r="A1160" s="272" t="s">
        <v>1233</v>
      </c>
      <c r="B1160" s="273" t="n">
        <v>-12893.25</v>
      </c>
      <c r="C1160" s="273"/>
      <c r="D1160" s="273"/>
      <c r="E1160" s="273"/>
      <c r="F1160" s="273"/>
      <c r="G1160" s="273"/>
      <c r="H1160" s="273"/>
      <c r="I1160" s="273"/>
      <c r="J1160" s="273"/>
      <c r="K1160" s="273"/>
      <c r="L1160" s="273"/>
      <c r="M1160" s="273"/>
      <c r="N1160" s="273"/>
      <c r="O1160" s="273"/>
      <c r="P1160" s="273"/>
      <c r="Q1160" s="273"/>
      <c r="R1160" s="273"/>
      <c r="S1160" s="273"/>
      <c r="T1160" s="273"/>
      <c r="U1160" s="273"/>
      <c r="V1160" s="273"/>
      <c r="W1160" s="273"/>
      <c r="X1160" s="273"/>
      <c r="Y1160" s="274" t="n">
        <f aca="false">SUM(B1160:X1160)</f>
        <v>-12893.25</v>
      </c>
      <c r="Z1160" s="272"/>
      <c r="AA1160" s="276"/>
    </row>
    <row r="1161" customFormat="false" ht="14.25" hidden="false" customHeight="false" outlineLevel="0" collapsed="false">
      <c r="A1161" s="272" t="s">
        <v>1234</v>
      </c>
      <c r="B1161" s="273"/>
      <c r="C1161" s="273"/>
      <c r="D1161" s="273"/>
      <c r="E1161" s="273"/>
      <c r="F1161" s="273"/>
      <c r="G1161" s="273"/>
      <c r="H1161" s="273"/>
      <c r="I1161" s="273"/>
      <c r="J1161" s="273" t="n">
        <v>216.351</v>
      </c>
      <c r="K1161" s="273"/>
      <c r="L1161" s="273"/>
      <c r="M1161" s="273"/>
      <c r="N1161" s="273"/>
      <c r="O1161" s="273"/>
      <c r="P1161" s="273"/>
      <c r="Q1161" s="273"/>
      <c r="R1161" s="273"/>
      <c r="S1161" s="273"/>
      <c r="T1161" s="273"/>
      <c r="U1161" s="273"/>
      <c r="V1161" s="273"/>
      <c r="W1161" s="273"/>
      <c r="X1161" s="273"/>
      <c r="Y1161" s="274" t="n">
        <f aca="false">SUM(B1161:X1161)</f>
        <v>216.351</v>
      </c>
      <c r="Z1161" s="272"/>
      <c r="AA1161" s="276"/>
    </row>
    <row r="1162" customFormat="false" ht="14.25" hidden="false" customHeight="false" outlineLevel="0" collapsed="false">
      <c r="A1162" s="272" t="s">
        <v>1235</v>
      </c>
      <c r="B1162" s="273" t="n">
        <v>-523.73</v>
      </c>
      <c r="C1162" s="273" t="n">
        <v>-68.8065</v>
      </c>
      <c r="D1162" s="273"/>
      <c r="E1162" s="273"/>
      <c r="F1162" s="273"/>
      <c r="G1162" s="273"/>
      <c r="H1162" s="273"/>
      <c r="I1162" s="273"/>
      <c r="J1162" s="273"/>
      <c r="K1162" s="273"/>
      <c r="L1162" s="273" t="n">
        <v>-515.4535</v>
      </c>
      <c r="M1162" s="273" t="n">
        <v>-136.35</v>
      </c>
      <c r="N1162" s="273"/>
      <c r="O1162" s="273"/>
      <c r="P1162" s="273"/>
      <c r="Q1162" s="273"/>
      <c r="R1162" s="273"/>
      <c r="S1162" s="273"/>
      <c r="T1162" s="273"/>
      <c r="U1162" s="273"/>
      <c r="V1162" s="273"/>
      <c r="W1162" s="273"/>
      <c r="X1162" s="273"/>
      <c r="Y1162" s="274" t="n">
        <f aca="false">SUM(B1162:X1162)</f>
        <v>-1244.34</v>
      </c>
      <c r="Z1162" s="272"/>
      <c r="AA1162" s="276"/>
    </row>
    <row r="1163" customFormat="false" ht="14.25" hidden="false" customHeight="false" outlineLevel="0" collapsed="false">
      <c r="A1163" s="272" t="s">
        <v>1236</v>
      </c>
      <c r="B1163" s="273" t="n">
        <v>-231.132</v>
      </c>
      <c r="C1163" s="273"/>
      <c r="D1163" s="273"/>
      <c r="E1163" s="273"/>
      <c r="F1163" s="273"/>
      <c r="G1163" s="273"/>
      <c r="H1163" s="273"/>
      <c r="I1163" s="273"/>
      <c r="J1163" s="273"/>
      <c r="K1163" s="273"/>
      <c r="L1163" s="273"/>
      <c r="M1163" s="273"/>
      <c r="N1163" s="273"/>
      <c r="O1163" s="273"/>
      <c r="P1163" s="273"/>
      <c r="Q1163" s="273"/>
      <c r="R1163" s="273"/>
      <c r="S1163" s="273"/>
      <c r="T1163" s="273"/>
      <c r="U1163" s="273"/>
      <c r="V1163" s="273"/>
      <c r="W1163" s="273"/>
      <c r="X1163" s="273"/>
      <c r="Y1163" s="274" t="n">
        <f aca="false">SUM(B1163:X1163)</f>
        <v>-231.132</v>
      </c>
      <c r="Z1163" s="272"/>
      <c r="AA1163" s="276"/>
    </row>
    <row r="1164" customFormat="false" ht="14.25" hidden="false" customHeight="false" outlineLevel="0" collapsed="false">
      <c r="A1164" s="272" t="s">
        <v>1237</v>
      </c>
      <c r="B1164" s="273"/>
      <c r="C1164" s="273"/>
      <c r="D1164" s="273"/>
      <c r="E1164" s="273"/>
      <c r="F1164" s="273"/>
      <c r="G1164" s="273"/>
      <c r="H1164" s="273"/>
      <c r="I1164" s="273"/>
      <c r="J1164" s="273" t="n">
        <v>307.296</v>
      </c>
      <c r="K1164" s="273"/>
      <c r="L1164" s="273"/>
      <c r="M1164" s="273"/>
      <c r="N1164" s="273"/>
      <c r="O1164" s="273"/>
      <c r="P1164" s="273"/>
      <c r="Q1164" s="273"/>
      <c r="R1164" s="273"/>
      <c r="S1164" s="273"/>
      <c r="T1164" s="273"/>
      <c r="U1164" s="273"/>
      <c r="V1164" s="273"/>
      <c r="W1164" s="273"/>
      <c r="X1164" s="273"/>
      <c r="Y1164" s="274" t="n">
        <f aca="false">SUM(B1164:X1164)</f>
        <v>307.296</v>
      </c>
      <c r="Z1164" s="272"/>
      <c r="AA1164" s="276"/>
    </row>
    <row r="1165" customFormat="false" ht="14.25" hidden="false" customHeight="false" outlineLevel="0" collapsed="false">
      <c r="A1165" s="272" t="s">
        <v>1238</v>
      </c>
      <c r="B1165" s="273"/>
      <c r="C1165" s="273"/>
      <c r="D1165" s="273" t="n">
        <v>-114</v>
      </c>
      <c r="E1165" s="273"/>
      <c r="F1165" s="273"/>
      <c r="G1165" s="273"/>
      <c r="H1165" s="273"/>
      <c r="I1165" s="273"/>
      <c r="J1165" s="273"/>
      <c r="K1165" s="273"/>
      <c r="L1165" s="273"/>
      <c r="M1165" s="273"/>
      <c r="N1165" s="273"/>
      <c r="O1165" s="273"/>
      <c r="P1165" s="273"/>
      <c r="Q1165" s="273"/>
      <c r="R1165" s="273"/>
      <c r="S1165" s="273"/>
      <c r="T1165" s="273"/>
      <c r="U1165" s="273"/>
      <c r="V1165" s="273"/>
      <c r="W1165" s="273"/>
      <c r="X1165" s="273"/>
      <c r="Y1165" s="274" t="n">
        <f aca="false">SUM(B1165:X1165)</f>
        <v>-114</v>
      </c>
      <c r="Z1165" s="272"/>
      <c r="AA1165" s="276"/>
    </row>
    <row r="1166" customFormat="false" ht="14.25" hidden="false" customHeight="false" outlineLevel="0" collapsed="false">
      <c r="A1166" s="272" t="s">
        <v>1239</v>
      </c>
      <c r="B1166" s="273"/>
      <c r="C1166" s="273" t="n">
        <v>-1963.6</v>
      </c>
      <c r="D1166" s="273" t="n">
        <v>66.735</v>
      </c>
      <c r="E1166" s="273" t="n">
        <v>317.652</v>
      </c>
      <c r="F1166" s="273"/>
      <c r="G1166" s="273"/>
      <c r="H1166" s="273"/>
      <c r="I1166" s="273"/>
      <c r="J1166" s="273"/>
      <c r="K1166" s="273"/>
      <c r="L1166" s="273"/>
      <c r="M1166" s="273"/>
      <c r="N1166" s="273"/>
      <c r="O1166" s="273"/>
      <c r="P1166" s="273"/>
      <c r="Q1166" s="273"/>
      <c r="R1166" s="273"/>
      <c r="S1166" s="273"/>
      <c r="T1166" s="273"/>
      <c r="U1166" s="273"/>
      <c r="V1166" s="273"/>
      <c r="W1166" s="273"/>
      <c r="X1166" s="273"/>
      <c r="Y1166" s="274" t="n">
        <f aca="false">SUM(B1166:X1166)</f>
        <v>-1579.213</v>
      </c>
      <c r="Z1166" s="272"/>
      <c r="AA1166" s="276"/>
    </row>
    <row r="1167" customFormat="false" ht="14.25" hidden="false" customHeight="false" outlineLevel="0" collapsed="false">
      <c r="A1167" s="272" t="s">
        <v>1240</v>
      </c>
      <c r="B1167" s="273"/>
      <c r="C1167" s="273"/>
      <c r="D1167" s="273"/>
      <c r="E1167" s="273"/>
      <c r="F1167" s="273" t="n">
        <v>-1802.94</v>
      </c>
      <c r="G1167" s="273"/>
      <c r="H1167" s="273"/>
      <c r="I1167" s="273"/>
      <c r="J1167" s="273"/>
      <c r="K1167" s="273"/>
      <c r="L1167" s="273"/>
      <c r="M1167" s="273"/>
      <c r="N1167" s="273"/>
      <c r="O1167" s="273"/>
      <c r="P1167" s="273"/>
      <c r="Q1167" s="273"/>
      <c r="R1167" s="273"/>
      <c r="S1167" s="273"/>
      <c r="T1167" s="273"/>
      <c r="U1167" s="273"/>
      <c r="V1167" s="273"/>
      <c r="W1167" s="273"/>
      <c r="X1167" s="273"/>
      <c r="Y1167" s="274" t="n">
        <f aca="false">SUM(B1167:X1167)</f>
        <v>-1802.94</v>
      </c>
      <c r="Z1167" s="272"/>
      <c r="AA1167" s="276"/>
    </row>
    <row r="1168" customFormat="false" ht="14.25" hidden="false" customHeight="false" outlineLevel="0" collapsed="false">
      <c r="A1168" s="272" t="s">
        <v>1241</v>
      </c>
      <c r="B1168" s="273"/>
      <c r="C1168" s="273"/>
      <c r="D1168" s="273"/>
      <c r="E1168" s="273"/>
      <c r="F1168" s="273" t="n">
        <v>-33714.978</v>
      </c>
      <c r="G1168" s="273"/>
      <c r="H1168" s="273"/>
      <c r="I1168" s="273"/>
      <c r="J1168" s="273"/>
      <c r="K1168" s="273"/>
      <c r="L1168" s="273"/>
      <c r="M1168" s="273"/>
      <c r="N1168" s="273"/>
      <c r="O1168" s="273"/>
      <c r="P1168" s="273"/>
      <c r="Q1168" s="273"/>
      <c r="R1168" s="273"/>
      <c r="S1168" s="273"/>
      <c r="T1168" s="273"/>
      <c r="U1168" s="273"/>
      <c r="V1168" s="273"/>
      <c r="W1168" s="273"/>
      <c r="X1168" s="273"/>
      <c r="Y1168" s="274" t="n">
        <f aca="false">SUM(B1168:X1168)</f>
        <v>-33714.978</v>
      </c>
      <c r="Z1168" s="272"/>
      <c r="AA1168" s="276"/>
    </row>
    <row r="1169" customFormat="false" ht="14.25" hidden="false" customHeight="false" outlineLevel="0" collapsed="false">
      <c r="A1169" s="272" t="s">
        <v>1242</v>
      </c>
      <c r="B1169" s="273" t="n">
        <v>-130.9325</v>
      </c>
      <c r="C1169" s="273"/>
      <c r="D1169" s="273"/>
      <c r="E1169" s="273" t="n">
        <v>1191.195</v>
      </c>
      <c r="F1169" s="273"/>
      <c r="G1169" s="273"/>
      <c r="H1169" s="273"/>
      <c r="I1169" s="273" t="n">
        <v>21.87</v>
      </c>
      <c r="J1169" s="273"/>
      <c r="K1169" s="273"/>
      <c r="L1169" s="273"/>
      <c r="M1169" s="273"/>
      <c r="N1169" s="273"/>
      <c r="O1169" s="273"/>
      <c r="P1169" s="273"/>
      <c r="Q1169" s="273"/>
      <c r="R1169" s="273"/>
      <c r="S1169" s="273"/>
      <c r="T1169" s="273"/>
      <c r="U1169" s="273"/>
      <c r="V1169" s="273"/>
      <c r="W1169" s="273"/>
      <c r="X1169" s="273"/>
      <c r="Y1169" s="274" t="n">
        <f aca="false">SUM(B1169:X1169)</f>
        <v>1082.1325</v>
      </c>
      <c r="Z1169" s="272"/>
      <c r="AA1169" s="276"/>
    </row>
    <row r="1170" customFormat="false" ht="14.25" hidden="false" customHeight="false" outlineLevel="0" collapsed="false">
      <c r="A1170" s="272" t="s">
        <v>1243</v>
      </c>
      <c r="B1170" s="273"/>
      <c r="C1170" s="273"/>
      <c r="D1170" s="273"/>
      <c r="E1170" s="273"/>
      <c r="F1170" s="273"/>
      <c r="G1170" s="273"/>
      <c r="H1170" s="273"/>
      <c r="I1170" s="273"/>
      <c r="J1170" s="273"/>
      <c r="K1170" s="273"/>
      <c r="L1170" s="273"/>
      <c r="M1170" s="273"/>
      <c r="N1170" s="273"/>
      <c r="O1170" s="273"/>
      <c r="P1170" s="273" t="n">
        <v>-3688.815</v>
      </c>
      <c r="Q1170" s="273"/>
      <c r="R1170" s="273"/>
      <c r="S1170" s="273"/>
      <c r="T1170" s="273"/>
      <c r="U1170" s="273"/>
      <c r="V1170" s="273"/>
      <c r="W1170" s="273"/>
      <c r="X1170" s="273"/>
      <c r="Y1170" s="274" t="n">
        <f aca="false">SUM(B1170:X1170)</f>
        <v>-3688.815</v>
      </c>
      <c r="Z1170" s="272"/>
      <c r="AA1170" s="276"/>
    </row>
    <row r="1171" customFormat="false" ht="14.25" hidden="false" customHeight="false" outlineLevel="0" collapsed="false">
      <c r="A1171" s="272" t="s">
        <v>1217</v>
      </c>
      <c r="B1171" s="273"/>
      <c r="C1171" s="273"/>
      <c r="D1171" s="273"/>
      <c r="E1171" s="273"/>
      <c r="F1171" s="273" t="n">
        <v>-2100.195</v>
      </c>
      <c r="G1171" s="273"/>
      <c r="H1171" s="273"/>
      <c r="I1171" s="273"/>
      <c r="J1171" s="273"/>
      <c r="K1171" s="273"/>
      <c r="L1171" s="273"/>
      <c r="M1171" s="273"/>
      <c r="N1171" s="273"/>
      <c r="O1171" s="273"/>
      <c r="P1171" s="273"/>
      <c r="Q1171" s="273"/>
      <c r="R1171" s="273"/>
      <c r="S1171" s="273"/>
      <c r="T1171" s="273"/>
      <c r="U1171" s="273"/>
      <c r="V1171" s="273"/>
      <c r="W1171" s="273"/>
      <c r="X1171" s="273"/>
      <c r="Y1171" s="274" t="n">
        <f aca="false">SUM(B1171:X1171)</f>
        <v>-2100.195</v>
      </c>
      <c r="Z1171" s="272"/>
      <c r="AA1171" s="276"/>
    </row>
    <row r="1172" customFormat="false" ht="14.25" hidden="false" customHeight="false" outlineLevel="0" collapsed="false">
      <c r="A1172" s="272" t="s">
        <v>1244</v>
      </c>
      <c r="B1172" s="273"/>
      <c r="C1172" s="273"/>
      <c r="D1172" s="273"/>
      <c r="E1172" s="273"/>
      <c r="F1172" s="273" t="n">
        <v>-1519.29</v>
      </c>
      <c r="G1172" s="273"/>
      <c r="H1172" s="273"/>
      <c r="I1172" s="273"/>
      <c r="J1172" s="273"/>
      <c r="K1172" s="273"/>
      <c r="L1172" s="273"/>
      <c r="M1172" s="273"/>
      <c r="N1172" s="273"/>
      <c r="O1172" s="273"/>
      <c r="P1172" s="273"/>
      <c r="Q1172" s="273"/>
      <c r="R1172" s="273"/>
      <c r="S1172" s="273"/>
      <c r="T1172" s="273"/>
      <c r="U1172" s="273"/>
      <c r="V1172" s="273"/>
      <c r="W1172" s="273"/>
      <c r="X1172" s="273"/>
      <c r="Y1172" s="274" t="n">
        <f aca="false">SUM(B1172:X1172)</f>
        <v>-1519.29</v>
      </c>
      <c r="Z1172" s="272"/>
      <c r="AA1172" s="276"/>
    </row>
    <row r="1173" customFormat="false" ht="14.25" hidden="false" customHeight="false" outlineLevel="0" collapsed="false">
      <c r="A1173" s="272" t="s">
        <v>1245</v>
      </c>
      <c r="B1173" s="273"/>
      <c r="C1173" s="273"/>
      <c r="D1173" s="273"/>
      <c r="E1173" s="273"/>
      <c r="F1173" s="273" t="n">
        <v>-903.7</v>
      </c>
      <c r="G1173" s="273"/>
      <c r="H1173" s="273"/>
      <c r="I1173" s="273"/>
      <c r="J1173" s="273"/>
      <c r="K1173" s="273"/>
      <c r="L1173" s="273"/>
      <c r="M1173" s="273"/>
      <c r="N1173" s="273"/>
      <c r="O1173" s="273"/>
      <c r="P1173" s="273"/>
      <c r="Q1173" s="273"/>
      <c r="R1173" s="273"/>
      <c r="S1173" s="273"/>
      <c r="T1173" s="273"/>
      <c r="U1173" s="273"/>
      <c r="V1173" s="273"/>
      <c r="W1173" s="273"/>
      <c r="X1173" s="273"/>
      <c r="Y1173" s="274" t="n">
        <f aca="false">SUM(B1173:X1173)</f>
        <v>-903.7</v>
      </c>
      <c r="Z1173" s="272"/>
      <c r="AA1173" s="276"/>
    </row>
    <row r="1174" customFormat="false" ht="14.25" hidden="false" customHeight="false" outlineLevel="0" collapsed="false">
      <c r="A1174" s="272" t="s">
        <v>1246</v>
      </c>
      <c r="B1174" s="273"/>
      <c r="C1174" s="273"/>
      <c r="D1174" s="273"/>
      <c r="E1174" s="273"/>
      <c r="F1174" s="273" t="n">
        <v>-2021.6925</v>
      </c>
      <c r="G1174" s="273"/>
      <c r="H1174" s="273"/>
      <c r="I1174" s="273"/>
      <c r="J1174" s="273"/>
      <c r="K1174" s="273"/>
      <c r="L1174" s="273"/>
      <c r="M1174" s="273"/>
      <c r="N1174" s="273"/>
      <c r="O1174" s="273"/>
      <c r="P1174" s="273"/>
      <c r="Q1174" s="273"/>
      <c r="R1174" s="273"/>
      <c r="S1174" s="273"/>
      <c r="T1174" s="273"/>
      <c r="U1174" s="273"/>
      <c r="V1174" s="273"/>
      <c r="W1174" s="273"/>
      <c r="X1174" s="273"/>
      <c r="Y1174" s="274" t="n">
        <f aca="false">SUM(B1174:X1174)</f>
        <v>-2021.6925</v>
      </c>
      <c r="Z1174" s="272"/>
      <c r="AA1174" s="276"/>
    </row>
    <row r="1175" customFormat="false" ht="14.25" hidden="false" customHeight="false" outlineLevel="0" collapsed="false">
      <c r="A1175" s="272" t="s">
        <v>1247</v>
      </c>
      <c r="B1175" s="273"/>
      <c r="C1175" s="273"/>
      <c r="D1175" s="273"/>
      <c r="E1175" s="273"/>
      <c r="F1175" s="273" t="n">
        <v>-5949.612</v>
      </c>
      <c r="G1175" s="273"/>
      <c r="H1175" s="273"/>
      <c r="I1175" s="273"/>
      <c r="J1175" s="273"/>
      <c r="K1175" s="273"/>
      <c r="L1175" s="273"/>
      <c r="M1175" s="273"/>
      <c r="N1175" s="273"/>
      <c r="O1175" s="273"/>
      <c r="P1175" s="273"/>
      <c r="Q1175" s="273"/>
      <c r="R1175" s="273"/>
      <c r="S1175" s="273"/>
      <c r="T1175" s="273"/>
      <c r="U1175" s="273"/>
      <c r="V1175" s="273"/>
      <c r="W1175" s="273"/>
      <c r="X1175" s="273"/>
      <c r="Y1175" s="274" t="n">
        <f aca="false">SUM(B1175:X1175)</f>
        <v>-5949.612</v>
      </c>
      <c r="Z1175" s="272"/>
      <c r="AA1175" s="276"/>
    </row>
    <row r="1176" customFormat="false" ht="14.25" hidden="false" customHeight="false" outlineLevel="0" collapsed="false">
      <c r="A1176" s="272" t="s">
        <v>1172</v>
      </c>
      <c r="B1176" s="273"/>
      <c r="C1176" s="273"/>
      <c r="D1176" s="273"/>
      <c r="E1176" s="273"/>
      <c r="F1176" s="273" t="n">
        <v>-27518.229</v>
      </c>
      <c r="G1176" s="273"/>
      <c r="H1176" s="273"/>
      <c r="I1176" s="273"/>
      <c r="J1176" s="273"/>
      <c r="K1176" s="273"/>
      <c r="L1176" s="273"/>
      <c r="M1176" s="273"/>
      <c r="N1176" s="273"/>
      <c r="O1176" s="273"/>
      <c r="P1176" s="273"/>
      <c r="Q1176" s="273"/>
      <c r="R1176" s="273"/>
      <c r="S1176" s="273"/>
      <c r="T1176" s="273"/>
      <c r="U1176" s="273"/>
      <c r="V1176" s="273"/>
      <c r="W1176" s="273"/>
      <c r="X1176" s="273"/>
      <c r="Y1176" s="274" t="n">
        <f aca="false">SUM(B1176:X1176)</f>
        <v>-27518.229</v>
      </c>
      <c r="Z1176" s="272"/>
      <c r="AA1176" s="276"/>
    </row>
    <row r="1177" customFormat="false" ht="14.25" hidden="false" customHeight="false" outlineLevel="0" collapsed="false">
      <c r="A1177" s="272" t="s">
        <v>1248</v>
      </c>
      <c r="B1177" s="273"/>
      <c r="C1177" s="273"/>
      <c r="D1177" s="273"/>
      <c r="E1177" s="273"/>
      <c r="F1177" s="273" t="n">
        <v>-117339.57</v>
      </c>
      <c r="G1177" s="273"/>
      <c r="H1177" s="273"/>
      <c r="I1177" s="273"/>
      <c r="J1177" s="273"/>
      <c r="K1177" s="273"/>
      <c r="L1177" s="273"/>
      <c r="M1177" s="273"/>
      <c r="N1177" s="273"/>
      <c r="O1177" s="273"/>
      <c r="P1177" s="273"/>
      <c r="Q1177" s="273"/>
      <c r="R1177" s="273"/>
      <c r="S1177" s="273"/>
      <c r="T1177" s="273"/>
      <c r="U1177" s="273"/>
      <c r="V1177" s="273"/>
      <c r="W1177" s="273"/>
      <c r="X1177" s="273"/>
      <c r="Y1177" s="274" t="n">
        <f aca="false">SUM(B1177:X1177)</f>
        <v>-117339.57</v>
      </c>
      <c r="Z1177" s="272"/>
      <c r="AA1177" s="276"/>
    </row>
    <row r="1178" customFormat="false" ht="14.25" hidden="false" customHeight="false" outlineLevel="0" collapsed="false">
      <c r="A1178" s="272" t="s">
        <v>1249</v>
      </c>
      <c r="B1178" s="273"/>
      <c r="C1178" s="273"/>
      <c r="D1178" s="273"/>
      <c r="E1178" s="273"/>
      <c r="F1178" s="273"/>
      <c r="G1178" s="273"/>
      <c r="H1178" s="273"/>
      <c r="I1178" s="273"/>
      <c r="J1178" s="273" t="n">
        <v>-1531.98</v>
      </c>
      <c r="K1178" s="273"/>
      <c r="L1178" s="273"/>
      <c r="M1178" s="273"/>
      <c r="N1178" s="273"/>
      <c r="O1178" s="273"/>
      <c r="P1178" s="273"/>
      <c r="Q1178" s="273"/>
      <c r="R1178" s="273"/>
      <c r="S1178" s="273"/>
      <c r="T1178" s="273"/>
      <c r="U1178" s="273"/>
      <c r="V1178" s="273"/>
      <c r="W1178" s="273"/>
      <c r="X1178" s="273"/>
      <c r="Y1178" s="274" t="n">
        <f aca="false">SUM(B1178:X1178)</f>
        <v>-1531.98</v>
      </c>
      <c r="Z1178" s="272"/>
      <c r="AA1178" s="276"/>
    </row>
    <row r="1179" customFormat="false" ht="14.25" hidden="false" customHeight="false" outlineLevel="0" collapsed="false">
      <c r="A1179" s="272" t="s">
        <v>1250</v>
      </c>
      <c r="B1179" s="273"/>
      <c r="C1179" s="273"/>
      <c r="D1179" s="273"/>
      <c r="E1179" s="273"/>
      <c r="F1179" s="273"/>
      <c r="G1179" s="273"/>
      <c r="H1179" s="273"/>
      <c r="I1179" s="273" t="n">
        <v>34.992</v>
      </c>
      <c r="J1179" s="273"/>
      <c r="K1179" s="273"/>
      <c r="L1179" s="273"/>
      <c r="M1179" s="273"/>
      <c r="N1179" s="273"/>
      <c r="O1179" s="273"/>
      <c r="P1179" s="273"/>
      <c r="Q1179" s="273"/>
      <c r="R1179" s="273"/>
      <c r="S1179" s="273"/>
      <c r="T1179" s="273"/>
      <c r="U1179" s="273"/>
      <c r="V1179" s="273"/>
      <c r="W1179" s="273"/>
      <c r="X1179" s="273"/>
      <c r="Y1179" s="274" t="n">
        <f aca="false">SUM(B1179:X1179)</f>
        <v>34.992</v>
      </c>
      <c r="Z1179" s="272"/>
      <c r="AA1179" s="276"/>
    </row>
    <row r="1180" customFormat="false" ht="14.25" hidden="false" customHeight="false" outlineLevel="0" collapsed="false">
      <c r="A1180" s="272" t="s">
        <v>1251</v>
      </c>
      <c r="B1180" s="273"/>
      <c r="C1180" s="273" t="n">
        <v>-4828.131</v>
      </c>
      <c r="D1180" s="273"/>
      <c r="E1180" s="273"/>
      <c r="F1180" s="273"/>
      <c r="G1180" s="273"/>
      <c r="H1180" s="273"/>
      <c r="I1180" s="273"/>
      <c r="J1180" s="273"/>
      <c r="K1180" s="273"/>
      <c r="L1180" s="273"/>
      <c r="M1180" s="273"/>
      <c r="N1180" s="273"/>
      <c r="O1180" s="273"/>
      <c r="P1180" s="273"/>
      <c r="Q1180" s="273"/>
      <c r="R1180" s="273"/>
      <c r="S1180" s="273"/>
      <c r="T1180" s="273"/>
      <c r="U1180" s="273"/>
      <c r="V1180" s="273"/>
      <c r="W1180" s="273"/>
      <c r="X1180" s="273"/>
      <c r="Y1180" s="274" t="n">
        <f aca="false">SUM(B1180:X1180)</f>
        <v>-4828.131</v>
      </c>
      <c r="Z1180" s="272"/>
      <c r="AA1180" s="276"/>
    </row>
    <row r="1181" customFormat="false" ht="14.25" hidden="false" customHeight="false" outlineLevel="0" collapsed="false">
      <c r="A1181" s="272" t="s">
        <v>1252</v>
      </c>
      <c r="B1181" s="273" t="n">
        <v>-3578.5125</v>
      </c>
      <c r="C1181" s="273"/>
      <c r="D1181" s="273"/>
      <c r="E1181" s="273"/>
      <c r="F1181" s="273"/>
      <c r="G1181" s="273"/>
      <c r="H1181" s="273"/>
      <c r="I1181" s="273"/>
      <c r="J1181" s="273" t="n">
        <v>-5189.2125</v>
      </c>
      <c r="K1181" s="273"/>
      <c r="L1181" s="273"/>
      <c r="M1181" s="273"/>
      <c r="N1181" s="273" t="n">
        <v>-2324.454</v>
      </c>
      <c r="O1181" s="273"/>
      <c r="P1181" s="273"/>
      <c r="Q1181" s="273"/>
      <c r="R1181" s="273"/>
      <c r="S1181" s="273"/>
      <c r="T1181" s="273"/>
      <c r="U1181" s="273"/>
      <c r="V1181" s="273"/>
      <c r="W1181" s="273"/>
      <c r="X1181" s="273"/>
      <c r="Y1181" s="274" t="n">
        <f aca="false">SUM(B1181:X1181)</f>
        <v>-11092.179</v>
      </c>
      <c r="Z1181" s="272"/>
      <c r="AA1181" s="276"/>
    </row>
    <row r="1182" customFormat="false" ht="14.25" hidden="false" customHeight="false" outlineLevel="0" collapsed="false">
      <c r="A1182" s="272" t="s">
        <v>1253</v>
      </c>
      <c r="B1182" s="273"/>
      <c r="C1182" s="273"/>
      <c r="D1182" s="273"/>
      <c r="E1182" s="273"/>
      <c r="F1182" s="273" t="n">
        <v>-9607.275</v>
      </c>
      <c r="G1182" s="273"/>
      <c r="H1182" s="273"/>
      <c r="I1182" s="273"/>
      <c r="J1182" s="273"/>
      <c r="K1182" s="273"/>
      <c r="L1182" s="273"/>
      <c r="M1182" s="273"/>
      <c r="N1182" s="273"/>
      <c r="O1182" s="273"/>
      <c r="P1182" s="273"/>
      <c r="Q1182" s="273"/>
      <c r="R1182" s="273"/>
      <c r="S1182" s="273"/>
      <c r="T1182" s="273"/>
      <c r="U1182" s="273"/>
      <c r="V1182" s="273"/>
      <c r="W1182" s="273"/>
      <c r="X1182" s="273"/>
      <c r="Y1182" s="274" t="n">
        <f aca="false">SUM(B1182:X1182)</f>
        <v>-9607.275</v>
      </c>
      <c r="Z1182" s="272"/>
      <c r="AA1182" s="276"/>
    </row>
    <row r="1183" customFormat="false" ht="14.25" hidden="false" customHeight="false" outlineLevel="0" collapsed="false">
      <c r="A1183" s="272" t="s">
        <v>1254</v>
      </c>
      <c r="B1183" s="273"/>
      <c r="C1183" s="273"/>
      <c r="D1183" s="273"/>
      <c r="E1183" s="273"/>
      <c r="F1183" s="273"/>
      <c r="G1183" s="273"/>
      <c r="H1183" s="273"/>
      <c r="I1183" s="273"/>
      <c r="J1183" s="273"/>
      <c r="K1183" s="273"/>
      <c r="L1183" s="273"/>
      <c r="M1183" s="273"/>
      <c r="N1183" s="273"/>
      <c r="O1183" s="273" t="n">
        <v>-157.59</v>
      </c>
      <c r="P1183" s="273"/>
      <c r="Q1183" s="273"/>
      <c r="R1183" s="273"/>
      <c r="S1183" s="273"/>
      <c r="T1183" s="273"/>
      <c r="U1183" s="273"/>
      <c r="V1183" s="273"/>
      <c r="W1183" s="273"/>
      <c r="X1183" s="273"/>
      <c r="Y1183" s="274" t="n">
        <f aca="false">SUM(B1183:X1183)</f>
        <v>-157.59</v>
      </c>
      <c r="Z1183" s="272"/>
      <c r="AA1183" s="276"/>
    </row>
    <row r="1184" customFormat="false" ht="14.25" hidden="false" customHeight="false" outlineLevel="0" collapsed="false">
      <c r="A1184" s="272" t="s">
        <v>1255</v>
      </c>
      <c r="B1184" s="273" t="n">
        <v>-573.906</v>
      </c>
      <c r="C1184" s="273"/>
      <c r="D1184" s="273"/>
      <c r="E1184" s="273"/>
      <c r="F1184" s="273"/>
      <c r="G1184" s="273"/>
      <c r="H1184" s="273"/>
      <c r="I1184" s="273"/>
      <c r="J1184" s="273"/>
      <c r="K1184" s="273"/>
      <c r="L1184" s="273"/>
      <c r="M1184" s="273"/>
      <c r="N1184" s="273"/>
      <c r="O1184" s="273"/>
      <c r="P1184" s="273"/>
      <c r="Q1184" s="273"/>
      <c r="R1184" s="273"/>
      <c r="S1184" s="273"/>
      <c r="T1184" s="273"/>
      <c r="U1184" s="273"/>
      <c r="V1184" s="273"/>
      <c r="W1184" s="273"/>
      <c r="X1184" s="273"/>
      <c r="Y1184" s="274" t="n">
        <f aca="false">SUM(B1184:X1184)</f>
        <v>-573.906</v>
      </c>
      <c r="Z1184" s="272"/>
      <c r="AA1184" s="276"/>
    </row>
    <row r="1185" customFormat="false" ht="14.25" hidden="false" customHeight="false" outlineLevel="0" collapsed="false">
      <c r="A1185" s="272" t="s">
        <v>1256</v>
      </c>
      <c r="B1185" s="273"/>
      <c r="C1185" s="273"/>
      <c r="D1185" s="273"/>
      <c r="E1185" s="273"/>
      <c r="F1185" s="273"/>
      <c r="G1185" s="273"/>
      <c r="H1185" s="273"/>
      <c r="I1185" s="273"/>
      <c r="J1185" s="273"/>
      <c r="K1185" s="273"/>
      <c r="L1185" s="273"/>
      <c r="M1185" s="273"/>
      <c r="N1185" s="273"/>
      <c r="O1185" s="273"/>
      <c r="P1185" s="273"/>
      <c r="Q1185" s="273"/>
      <c r="R1185" s="273" t="n">
        <v>-8066.925</v>
      </c>
      <c r="S1185" s="273"/>
      <c r="T1185" s="273"/>
      <c r="U1185" s="273"/>
      <c r="V1185" s="273"/>
      <c r="W1185" s="273"/>
      <c r="X1185" s="273"/>
      <c r="Y1185" s="274" t="n">
        <f aca="false">SUM(B1185:X1185)</f>
        <v>-8066.925</v>
      </c>
      <c r="Z1185" s="272"/>
      <c r="AA1185" s="276"/>
    </row>
    <row r="1186" customFormat="false" ht="14.25" hidden="false" customHeight="false" outlineLevel="0" collapsed="false">
      <c r="A1186" s="272" t="s">
        <v>1003</v>
      </c>
      <c r="B1186" s="273"/>
      <c r="C1186" s="273"/>
      <c r="D1186" s="273"/>
      <c r="E1186" s="273"/>
      <c r="F1186" s="273" t="n">
        <v>89221.746</v>
      </c>
      <c r="G1186" s="273"/>
      <c r="H1186" s="273"/>
      <c r="I1186" s="273"/>
      <c r="J1186" s="273"/>
      <c r="K1186" s="273"/>
      <c r="L1186" s="273"/>
      <c r="M1186" s="273"/>
      <c r="N1186" s="273"/>
      <c r="O1186" s="273"/>
      <c r="P1186" s="273"/>
      <c r="Q1186" s="273"/>
      <c r="R1186" s="273"/>
      <c r="S1186" s="273"/>
      <c r="T1186" s="273"/>
      <c r="U1186" s="273"/>
      <c r="V1186" s="273"/>
      <c r="W1186" s="273"/>
      <c r="X1186" s="273"/>
      <c r="Y1186" s="274" t="n">
        <f aca="false">SUM(B1186:X1186)</f>
        <v>89221.746</v>
      </c>
      <c r="Z1186" s="272"/>
      <c r="AA1186" s="276"/>
    </row>
    <row r="1187" customFormat="false" ht="14.25" hidden="false" customHeight="false" outlineLevel="0" collapsed="false">
      <c r="A1187" s="272" t="s">
        <v>1257</v>
      </c>
      <c r="B1187" s="273"/>
      <c r="C1187" s="273" t="n">
        <v>-104592.2385</v>
      </c>
      <c r="D1187" s="273"/>
      <c r="E1187" s="273"/>
      <c r="F1187" s="273"/>
      <c r="G1187" s="273"/>
      <c r="H1187" s="273"/>
      <c r="I1187" s="273"/>
      <c r="J1187" s="273"/>
      <c r="K1187" s="273"/>
      <c r="L1187" s="273"/>
      <c r="M1187" s="273"/>
      <c r="N1187" s="273"/>
      <c r="O1187" s="273"/>
      <c r="P1187" s="273"/>
      <c r="Q1187" s="273"/>
      <c r="R1187" s="273"/>
      <c r="S1187" s="273"/>
      <c r="T1187" s="273"/>
      <c r="U1187" s="273"/>
      <c r="V1187" s="273"/>
      <c r="W1187" s="273"/>
      <c r="X1187" s="273"/>
      <c r="Y1187" s="274" t="n">
        <f aca="false">SUM(B1187:X1187)</f>
        <v>-104592.2385</v>
      </c>
      <c r="Z1187" s="272"/>
      <c r="AA1187" s="276"/>
    </row>
    <row r="1188" customFormat="false" ht="14.25" hidden="false" customHeight="false" outlineLevel="0" collapsed="false">
      <c r="A1188" s="272" t="s">
        <v>1055</v>
      </c>
      <c r="B1188" s="273"/>
      <c r="C1188" s="273"/>
      <c r="D1188" s="273"/>
      <c r="E1188" s="273"/>
      <c r="F1188" s="273" t="n">
        <v>66648.7617</v>
      </c>
      <c r="G1188" s="273"/>
      <c r="H1188" s="273"/>
      <c r="I1188" s="273"/>
      <c r="J1188" s="273"/>
      <c r="K1188" s="273"/>
      <c r="L1188" s="273"/>
      <c r="M1188" s="273"/>
      <c r="N1188" s="273"/>
      <c r="O1188" s="273"/>
      <c r="P1188" s="273"/>
      <c r="Q1188" s="273"/>
      <c r="R1188" s="273"/>
      <c r="S1188" s="273"/>
      <c r="T1188" s="273"/>
      <c r="U1188" s="273"/>
      <c r="V1188" s="273"/>
      <c r="W1188" s="273"/>
      <c r="X1188" s="273"/>
      <c r="Y1188" s="274" t="n">
        <f aca="false">SUM(B1188:X1188)</f>
        <v>66648.7617</v>
      </c>
      <c r="Z1188" s="272"/>
      <c r="AA1188" s="276"/>
    </row>
    <row r="1189" customFormat="false" ht="14.25" hidden="false" customHeight="false" outlineLevel="0" collapsed="false">
      <c r="A1189" s="272" t="s">
        <v>1258</v>
      </c>
      <c r="B1189" s="273"/>
      <c r="C1189" s="273" t="n">
        <v>1856.43</v>
      </c>
      <c r="D1189" s="273"/>
      <c r="E1189" s="273"/>
      <c r="F1189" s="273"/>
      <c r="G1189" s="273"/>
      <c r="H1189" s="273"/>
      <c r="I1189" s="273"/>
      <c r="J1189" s="273"/>
      <c r="K1189" s="273"/>
      <c r="L1189" s="273"/>
      <c r="M1189" s="273"/>
      <c r="N1189" s="273"/>
      <c r="O1189" s="273"/>
      <c r="P1189" s="273"/>
      <c r="Q1189" s="273"/>
      <c r="R1189" s="273"/>
      <c r="S1189" s="273"/>
      <c r="T1189" s="273"/>
      <c r="U1189" s="273"/>
      <c r="V1189" s="273"/>
      <c r="W1189" s="273"/>
      <c r="X1189" s="273"/>
      <c r="Y1189" s="274" t="n">
        <f aca="false">SUM(B1189:X1189)</f>
        <v>1856.43</v>
      </c>
      <c r="Z1189" s="272"/>
      <c r="AA1189" s="276"/>
    </row>
    <row r="1190" customFormat="false" ht="14.25" hidden="false" customHeight="false" outlineLevel="0" collapsed="false">
      <c r="A1190" s="272" t="s">
        <v>515</v>
      </c>
      <c r="B1190" s="273" t="n">
        <v>-7938.255</v>
      </c>
      <c r="C1190" s="273"/>
      <c r="D1190" s="273"/>
      <c r="E1190" s="273"/>
      <c r="F1190" s="273"/>
      <c r="G1190" s="273"/>
      <c r="H1190" s="273"/>
      <c r="I1190" s="273"/>
      <c r="J1190" s="273"/>
      <c r="K1190" s="273"/>
      <c r="L1190" s="273"/>
      <c r="M1190" s="273"/>
      <c r="N1190" s="273"/>
      <c r="O1190" s="273"/>
      <c r="P1190" s="273"/>
      <c r="Q1190" s="273"/>
      <c r="R1190" s="273"/>
      <c r="S1190" s="273"/>
      <c r="T1190" s="273"/>
      <c r="U1190" s="273"/>
      <c r="V1190" s="273"/>
      <c r="W1190" s="273"/>
      <c r="X1190" s="273"/>
      <c r="Y1190" s="274" t="n">
        <f aca="false">SUM(B1190:X1190)</f>
        <v>-7938.255</v>
      </c>
      <c r="Z1190" s="272"/>
      <c r="AA1190" s="276"/>
    </row>
    <row r="1191" customFormat="false" ht="14.25" hidden="false" customHeight="false" outlineLevel="0" collapsed="false">
      <c r="A1191" s="272" t="s">
        <v>872</v>
      </c>
      <c r="B1191" s="273"/>
      <c r="C1191" s="273"/>
      <c r="D1191" s="273"/>
      <c r="E1191" s="273" t="n">
        <v>-540</v>
      </c>
      <c r="F1191" s="273"/>
      <c r="G1191" s="273"/>
      <c r="H1191" s="273"/>
      <c r="I1191" s="273"/>
      <c r="J1191" s="273"/>
      <c r="K1191" s="273"/>
      <c r="L1191" s="273"/>
      <c r="M1191" s="273"/>
      <c r="N1191" s="273"/>
      <c r="O1191" s="273"/>
      <c r="P1191" s="273"/>
      <c r="Q1191" s="273"/>
      <c r="R1191" s="273"/>
      <c r="S1191" s="273"/>
      <c r="T1191" s="273"/>
      <c r="U1191" s="273"/>
      <c r="V1191" s="273"/>
      <c r="W1191" s="273"/>
      <c r="X1191" s="273"/>
      <c r="Y1191" s="274" t="n">
        <f aca="false">SUM(B1191:X1191)</f>
        <v>-540</v>
      </c>
      <c r="Z1191" s="272"/>
      <c r="AA1191" s="276"/>
    </row>
    <row r="1192" customFormat="false" ht="14.25" hidden="false" customHeight="false" outlineLevel="0" collapsed="false">
      <c r="A1192" s="272" t="s">
        <v>1259</v>
      </c>
      <c r="B1192" s="273"/>
      <c r="C1192" s="273"/>
      <c r="D1192" s="273"/>
      <c r="E1192" s="273" t="n">
        <v>206.571</v>
      </c>
      <c r="F1192" s="273"/>
      <c r="G1192" s="273"/>
      <c r="H1192" s="273"/>
      <c r="I1192" s="273"/>
      <c r="J1192" s="273"/>
      <c r="K1192" s="273"/>
      <c r="L1192" s="273"/>
      <c r="M1192" s="273"/>
      <c r="N1192" s="273"/>
      <c r="O1192" s="273"/>
      <c r="P1192" s="273"/>
      <c r="Q1192" s="273"/>
      <c r="R1192" s="273"/>
      <c r="S1192" s="273"/>
      <c r="T1192" s="273"/>
      <c r="U1192" s="273"/>
      <c r="V1192" s="273"/>
      <c r="W1192" s="273"/>
      <c r="X1192" s="273"/>
      <c r="Y1192" s="274" t="n">
        <f aca="false">SUM(B1192:X1192)</f>
        <v>206.571</v>
      </c>
      <c r="Z1192" s="272"/>
      <c r="AA1192" s="276"/>
    </row>
    <row r="1193" customFormat="false" ht="14.25" hidden="false" customHeight="false" outlineLevel="0" collapsed="false">
      <c r="A1193" s="272" t="s">
        <v>1124</v>
      </c>
      <c r="B1193" s="273"/>
      <c r="C1193" s="273" t="n">
        <v>-3562.845</v>
      </c>
      <c r="D1193" s="273"/>
      <c r="E1193" s="273"/>
      <c r="F1193" s="273"/>
      <c r="G1193" s="273"/>
      <c r="H1193" s="273"/>
      <c r="I1193" s="273"/>
      <c r="J1193" s="273"/>
      <c r="K1193" s="273"/>
      <c r="L1193" s="273"/>
      <c r="M1193" s="273"/>
      <c r="N1193" s="273"/>
      <c r="O1193" s="273"/>
      <c r="P1193" s="273"/>
      <c r="Q1193" s="273"/>
      <c r="R1193" s="273"/>
      <c r="S1193" s="273"/>
      <c r="T1193" s="273"/>
      <c r="U1193" s="273"/>
      <c r="V1193" s="273"/>
      <c r="W1193" s="273"/>
      <c r="X1193" s="273"/>
      <c r="Y1193" s="274" t="n">
        <f aca="false">SUM(B1193:X1193)</f>
        <v>-3562.845</v>
      </c>
      <c r="Z1193" s="272"/>
      <c r="AA1193" s="276"/>
    </row>
    <row r="1194" customFormat="false" ht="14.25" hidden="false" customHeight="false" outlineLevel="0" collapsed="false">
      <c r="A1194" s="272" t="s">
        <v>1077</v>
      </c>
      <c r="B1194" s="273"/>
      <c r="C1194" s="273"/>
      <c r="D1194" s="273"/>
      <c r="E1194" s="273"/>
      <c r="F1194" s="273"/>
      <c r="G1194" s="273" t="n">
        <v>-12.348</v>
      </c>
      <c r="H1194" s="273"/>
      <c r="I1194" s="273"/>
      <c r="J1194" s="273"/>
      <c r="K1194" s="273"/>
      <c r="L1194" s="273"/>
      <c r="M1194" s="273"/>
      <c r="N1194" s="273"/>
      <c r="O1194" s="273"/>
      <c r="P1194" s="273"/>
      <c r="Q1194" s="273"/>
      <c r="R1194" s="273"/>
      <c r="S1194" s="273"/>
      <c r="T1194" s="273"/>
      <c r="U1194" s="273"/>
      <c r="V1194" s="273"/>
      <c r="W1194" s="273"/>
      <c r="X1194" s="273"/>
      <c r="Y1194" s="274" t="n">
        <f aca="false">SUM(B1194:X1194)</f>
        <v>-12.348</v>
      </c>
      <c r="Z1194" s="272"/>
      <c r="AA1194" s="276"/>
    </row>
    <row r="1195" customFormat="false" ht="14.25" hidden="false" customHeight="false" outlineLevel="0" collapsed="false">
      <c r="A1195" s="272" t="s">
        <v>1260</v>
      </c>
      <c r="B1195" s="273"/>
      <c r="C1195" s="273"/>
      <c r="D1195" s="273"/>
      <c r="E1195" s="273"/>
      <c r="F1195" s="273" t="n">
        <v>-12276.876</v>
      </c>
      <c r="G1195" s="273"/>
      <c r="H1195" s="273"/>
      <c r="I1195" s="273"/>
      <c r="J1195" s="273"/>
      <c r="K1195" s="273"/>
      <c r="L1195" s="273"/>
      <c r="M1195" s="273"/>
      <c r="N1195" s="273"/>
      <c r="O1195" s="273"/>
      <c r="P1195" s="273"/>
      <c r="Q1195" s="273"/>
      <c r="R1195" s="273"/>
      <c r="S1195" s="273"/>
      <c r="T1195" s="273"/>
      <c r="U1195" s="273"/>
      <c r="V1195" s="273"/>
      <c r="W1195" s="273"/>
      <c r="X1195" s="273"/>
      <c r="Y1195" s="274" t="n">
        <f aca="false">SUM(B1195:X1195)</f>
        <v>-12276.876</v>
      </c>
      <c r="Z1195" s="272"/>
      <c r="AA1195" s="276"/>
    </row>
    <row r="1196" customFormat="false" ht="14.25" hidden="false" customHeight="false" outlineLevel="0" collapsed="false">
      <c r="A1196" s="272" t="s">
        <v>1261</v>
      </c>
      <c r="B1196" s="273"/>
      <c r="C1196" s="273"/>
      <c r="D1196" s="273"/>
      <c r="E1196" s="273"/>
      <c r="F1196" s="273"/>
      <c r="G1196" s="273"/>
      <c r="H1196" s="273"/>
      <c r="I1196" s="273"/>
      <c r="J1196" s="273" t="n">
        <v>-8511</v>
      </c>
      <c r="K1196" s="273"/>
      <c r="L1196" s="273"/>
      <c r="M1196" s="273"/>
      <c r="N1196" s="273"/>
      <c r="O1196" s="273"/>
      <c r="P1196" s="273"/>
      <c r="Q1196" s="273"/>
      <c r="R1196" s="273"/>
      <c r="S1196" s="273"/>
      <c r="T1196" s="273"/>
      <c r="U1196" s="273"/>
      <c r="V1196" s="273"/>
      <c r="W1196" s="273"/>
      <c r="X1196" s="273"/>
      <c r="Y1196" s="274" t="n">
        <f aca="false">SUM(B1196:X1196)</f>
        <v>-8511</v>
      </c>
      <c r="Z1196" s="272"/>
      <c r="AA1196" s="276"/>
    </row>
    <row r="1197" customFormat="false" ht="14.25" hidden="false" customHeight="false" outlineLevel="0" collapsed="false">
      <c r="A1197" s="272" t="s">
        <v>1224</v>
      </c>
      <c r="B1197" s="273"/>
      <c r="C1197" s="273"/>
      <c r="D1197" s="273"/>
      <c r="E1197" s="273"/>
      <c r="F1197" s="273" t="n">
        <v>-73133.025</v>
      </c>
      <c r="G1197" s="273"/>
      <c r="H1197" s="273"/>
      <c r="I1197" s="273"/>
      <c r="J1197" s="273"/>
      <c r="K1197" s="273"/>
      <c r="L1197" s="273"/>
      <c r="M1197" s="273"/>
      <c r="N1197" s="273"/>
      <c r="O1197" s="273"/>
      <c r="P1197" s="273"/>
      <c r="Q1197" s="273"/>
      <c r="R1197" s="273"/>
      <c r="S1197" s="273"/>
      <c r="T1197" s="273"/>
      <c r="U1197" s="273"/>
      <c r="V1197" s="273"/>
      <c r="W1197" s="273"/>
      <c r="X1197" s="273"/>
      <c r="Y1197" s="274" t="n">
        <f aca="false">SUM(B1197:X1197)</f>
        <v>-73133.025</v>
      </c>
      <c r="Z1197" s="272"/>
      <c r="AA1197" s="276"/>
    </row>
    <row r="1198" customFormat="false" ht="14.25" hidden="false" customHeight="false" outlineLevel="0" collapsed="false">
      <c r="A1198" s="272" t="s">
        <v>1262</v>
      </c>
      <c r="B1198" s="273"/>
      <c r="C1198" s="273"/>
      <c r="D1198" s="273"/>
      <c r="E1198" s="273"/>
      <c r="F1198" s="273"/>
      <c r="G1198" s="273" t="n">
        <v>-0.882</v>
      </c>
      <c r="H1198" s="273"/>
      <c r="I1198" s="273"/>
      <c r="J1198" s="273"/>
      <c r="K1198" s="273"/>
      <c r="L1198" s="273"/>
      <c r="M1198" s="273"/>
      <c r="N1198" s="273" t="n">
        <v>-90.217</v>
      </c>
      <c r="O1198" s="273" t="n">
        <v>-52.53</v>
      </c>
      <c r="P1198" s="273" t="n">
        <v>-54.618</v>
      </c>
      <c r="Q1198" s="273"/>
      <c r="R1198" s="273"/>
      <c r="S1198" s="273"/>
      <c r="T1198" s="273"/>
      <c r="U1198" s="273"/>
      <c r="V1198" s="273"/>
      <c r="W1198" s="273"/>
      <c r="X1198" s="273"/>
      <c r="Y1198" s="274" t="n">
        <f aca="false">SUM(B1198:X1198)</f>
        <v>-198.247</v>
      </c>
      <c r="Z1198" s="272"/>
      <c r="AA1198" s="276"/>
    </row>
    <row r="1199" customFormat="false" ht="14.25" hidden="false" customHeight="false" outlineLevel="0" collapsed="false">
      <c r="A1199" s="272" t="s">
        <v>1002</v>
      </c>
      <c r="B1199" s="273"/>
      <c r="C1199" s="273"/>
      <c r="D1199" s="273"/>
      <c r="E1199" s="273"/>
      <c r="F1199" s="273" t="n">
        <v>-8030.358</v>
      </c>
      <c r="G1199" s="273"/>
      <c r="H1199" s="273"/>
      <c r="I1199" s="273"/>
      <c r="J1199" s="273"/>
      <c r="K1199" s="273"/>
      <c r="L1199" s="273"/>
      <c r="M1199" s="273"/>
      <c r="N1199" s="273"/>
      <c r="O1199" s="273"/>
      <c r="P1199" s="273"/>
      <c r="Q1199" s="273"/>
      <c r="R1199" s="273"/>
      <c r="S1199" s="273"/>
      <c r="T1199" s="273"/>
      <c r="U1199" s="273"/>
      <c r="V1199" s="273"/>
      <c r="W1199" s="273"/>
      <c r="X1199" s="273"/>
      <c r="Y1199" s="274" t="n">
        <f aca="false">SUM(B1199:X1199)</f>
        <v>-8030.358</v>
      </c>
      <c r="Z1199" s="272"/>
      <c r="AA1199" s="276"/>
    </row>
    <row r="1200" customFormat="false" ht="14.25" hidden="false" customHeight="false" outlineLevel="0" collapsed="false">
      <c r="A1200" s="272" t="s">
        <v>1219</v>
      </c>
      <c r="B1200" s="273"/>
      <c r="C1200" s="273"/>
      <c r="D1200" s="273"/>
      <c r="E1200" s="273"/>
      <c r="F1200" s="273"/>
      <c r="G1200" s="273"/>
      <c r="H1200" s="273"/>
      <c r="I1200" s="273"/>
      <c r="J1200" s="273"/>
      <c r="K1200" s="273"/>
      <c r="L1200" s="273"/>
      <c r="M1200" s="273"/>
      <c r="N1200" s="273"/>
      <c r="O1200" s="273"/>
      <c r="P1200" s="273" t="n">
        <v>-1247.805</v>
      </c>
      <c r="Q1200" s="273"/>
      <c r="R1200" s="273"/>
      <c r="S1200" s="273"/>
      <c r="T1200" s="273"/>
      <c r="U1200" s="273"/>
      <c r="V1200" s="273"/>
      <c r="W1200" s="273"/>
      <c r="X1200" s="273"/>
      <c r="Y1200" s="274" t="n">
        <f aca="false">SUM(B1200:X1200)</f>
        <v>-1247.805</v>
      </c>
      <c r="Z1200" s="272"/>
      <c r="AA1200" s="276"/>
    </row>
    <row r="1201" customFormat="false" ht="14.25" hidden="false" customHeight="false" outlineLevel="0" collapsed="false">
      <c r="A1201" s="272" t="s">
        <v>1263</v>
      </c>
      <c r="B1201" s="273"/>
      <c r="C1201" s="273"/>
      <c r="D1201" s="273"/>
      <c r="E1201" s="273"/>
      <c r="F1201" s="273" t="n">
        <v>-27349.77</v>
      </c>
      <c r="G1201" s="273"/>
      <c r="H1201" s="273"/>
      <c r="I1201" s="273"/>
      <c r="J1201" s="273"/>
      <c r="K1201" s="273"/>
      <c r="L1201" s="273"/>
      <c r="M1201" s="273"/>
      <c r="N1201" s="273"/>
      <c r="O1201" s="273"/>
      <c r="P1201" s="273"/>
      <c r="Q1201" s="273"/>
      <c r="R1201" s="273"/>
      <c r="S1201" s="273"/>
      <c r="T1201" s="273"/>
      <c r="U1201" s="273"/>
      <c r="V1201" s="273"/>
      <c r="W1201" s="273"/>
      <c r="X1201" s="273"/>
      <c r="Y1201" s="274" t="n">
        <f aca="false">SUM(B1201:X1201)</f>
        <v>-27349.77</v>
      </c>
      <c r="Z1201" s="272"/>
      <c r="AA1201" s="276"/>
    </row>
    <row r="1202" customFormat="false" ht="14.25" hidden="false" customHeight="false" outlineLevel="0" collapsed="false">
      <c r="A1202" s="272" t="s">
        <v>1264</v>
      </c>
      <c r="B1202" s="273"/>
      <c r="C1202" s="273"/>
      <c r="D1202" s="273"/>
      <c r="E1202" s="273"/>
      <c r="F1202" s="273" t="n">
        <v>-11195.028</v>
      </c>
      <c r="G1202" s="273"/>
      <c r="H1202" s="273"/>
      <c r="I1202" s="273"/>
      <c r="J1202" s="273"/>
      <c r="K1202" s="273"/>
      <c r="L1202" s="273"/>
      <c r="M1202" s="273"/>
      <c r="N1202" s="273"/>
      <c r="O1202" s="273"/>
      <c r="P1202" s="273"/>
      <c r="Q1202" s="273"/>
      <c r="R1202" s="273"/>
      <c r="S1202" s="273"/>
      <c r="T1202" s="273"/>
      <c r="U1202" s="273"/>
      <c r="V1202" s="273"/>
      <c r="W1202" s="273"/>
      <c r="X1202" s="273"/>
      <c r="Y1202" s="274" t="n">
        <f aca="false">SUM(B1202:X1202)</f>
        <v>-11195.028</v>
      </c>
      <c r="Z1202" s="272"/>
      <c r="AA1202" s="276"/>
    </row>
    <row r="1203" customFormat="false" ht="14.25" hidden="false" customHeight="false" outlineLevel="0" collapsed="false">
      <c r="A1203" s="272" t="s">
        <v>618</v>
      </c>
      <c r="B1203" s="273"/>
      <c r="C1203" s="273"/>
      <c r="D1203" s="273"/>
      <c r="E1203" s="273" t="n">
        <v>-29547.9</v>
      </c>
      <c r="F1203" s="273"/>
      <c r="G1203" s="273"/>
      <c r="H1203" s="273"/>
      <c r="I1203" s="273"/>
      <c r="J1203" s="273"/>
      <c r="K1203" s="273"/>
      <c r="L1203" s="273"/>
      <c r="M1203" s="273"/>
      <c r="N1203" s="273"/>
      <c r="O1203" s="273"/>
      <c r="P1203" s="273"/>
      <c r="Q1203" s="273"/>
      <c r="R1203" s="273"/>
      <c r="S1203" s="273"/>
      <c r="T1203" s="273"/>
      <c r="U1203" s="273"/>
      <c r="V1203" s="273"/>
      <c r="W1203" s="273"/>
      <c r="X1203" s="273"/>
      <c r="Y1203" s="274" t="n">
        <f aca="false">SUM(B1203:X1203)</f>
        <v>-29547.9</v>
      </c>
      <c r="Z1203" s="272"/>
      <c r="AA1203" s="276"/>
    </row>
    <row r="1204" customFormat="false" ht="14.25" hidden="false" customHeight="false" outlineLevel="0" collapsed="false">
      <c r="A1204" s="272" t="s">
        <v>1265</v>
      </c>
      <c r="B1204" s="273"/>
      <c r="C1204" s="273"/>
      <c r="D1204" s="273"/>
      <c r="E1204" s="273"/>
      <c r="F1204" s="273" t="n">
        <v>-174.573</v>
      </c>
      <c r="G1204" s="273"/>
      <c r="H1204" s="273"/>
      <c r="I1204" s="273"/>
      <c r="J1204" s="273"/>
      <c r="K1204" s="273"/>
      <c r="L1204" s="273"/>
      <c r="M1204" s="273"/>
      <c r="N1204" s="273"/>
      <c r="O1204" s="273"/>
      <c r="P1204" s="273"/>
      <c r="Q1204" s="273"/>
      <c r="R1204" s="273"/>
      <c r="S1204" s="273"/>
      <c r="T1204" s="273"/>
      <c r="U1204" s="273"/>
      <c r="V1204" s="273"/>
      <c r="W1204" s="273"/>
      <c r="X1204" s="273"/>
      <c r="Y1204" s="274" t="n">
        <f aca="false">SUM(B1204:X1204)</f>
        <v>-174.573</v>
      </c>
      <c r="Z1204" s="272"/>
      <c r="AA1204" s="276"/>
    </row>
    <row r="1205" customFormat="false" ht="14.25" hidden="false" customHeight="false" outlineLevel="0" collapsed="false">
      <c r="A1205" s="272" t="s">
        <v>1266</v>
      </c>
      <c r="B1205" s="273"/>
      <c r="C1205" s="273"/>
      <c r="D1205" s="273"/>
      <c r="E1205" s="273"/>
      <c r="F1205" s="273" t="n">
        <v>-16136.4675</v>
      </c>
      <c r="G1205" s="273"/>
      <c r="H1205" s="273"/>
      <c r="I1205" s="273"/>
      <c r="J1205" s="273"/>
      <c r="K1205" s="273"/>
      <c r="L1205" s="273"/>
      <c r="M1205" s="273"/>
      <c r="N1205" s="273"/>
      <c r="O1205" s="273"/>
      <c r="P1205" s="273"/>
      <c r="Q1205" s="273"/>
      <c r="R1205" s="273"/>
      <c r="S1205" s="273"/>
      <c r="T1205" s="273"/>
      <c r="U1205" s="273"/>
      <c r="V1205" s="273"/>
      <c r="W1205" s="273"/>
      <c r="X1205" s="273"/>
      <c r="Y1205" s="274" t="n">
        <f aca="false">SUM(B1205:X1205)</f>
        <v>-16136.4675</v>
      </c>
      <c r="Z1205" s="272"/>
      <c r="AA1205" s="276"/>
    </row>
    <row r="1206" customFormat="false" ht="14.25" hidden="false" customHeight="false" outlineLevel="0" collapsed="false">
      <c r="A1206" s="272" t="s">
        <v>1267</v>
      </c>
      <c r="B1206" s="273"/>
      <c r="C1206" s="273"/>
      <c r="D1206" s="273"/>
      <c r="E1206" s="273"/>
      <c r="F1206" s="273" t="n">
        <v>-8168.79</v>
      </c>
      <c r="G1206" s="273"/>
      <c r="H1206" s="273"/>
      <c r="I1206" s="273"/>
      <c r="J1206" s="273"/>
      <c r="K1206" s="273"/>
      <c r="L1206" s="273"/>
      <c r="M1206" s="273"/>
      <c r="N1206" s="273"/>
      <c r="O1206" s="273"/>
      <c r="P1206" s="273"/>
      <c r="Q1206" s="273"/>
      <c r="R1206" s="273"/>
      <c r="S1206" s="273"/>
      <c r="T1206" s="273"/>
      <c r="U1206" s="273"/>
      <c r="V1206" s="273"/>
      <c r="W1206" s="273"/>
      <c r="X1206" s="273"/>
      <c r="Y1206" s="274" t="n">
        <f aca="false">SUM(B1206:X1206)</f>
        <v>-8168.79</v>
      </c>
      <c r="Z1206" s="272"/>
      <c r="AA1206" s="276"/>
    </row>
    <row r="1207" customFormat="false" ht="14.25" hidden="false" customHeight="false" outlineLevel="0" collapsed="false">
      <c r="A1207" s="272" t="s">
        <v>1268</v>
      </c>
      <c r="B1207" s="273"/>
      <c r="C1207" s="273"/>
      <c r="D1207" s="273"/>
      <c r="E1207" s="273"/>
      <c r="F1207" s="273" t="n">
        <v>-5949.612</v>
      </c>
      <c r="G1207" s="273"/>
      <c r="H1207" s="273"/>
      <c r="I1207" s="273"/>
      <c r="J1207" s="273"/>
      <c r="K1207" s="273"/>
      <c r="L1207" s="273"/>
      <c r="M1207" s="273"/>
      <c r="N1207" s="273"/>
      <c r="O1207" s="273"/>
      <c r="P1207" s="273"/>
      <c r="Q1207" s="273"/>
      <c r="R1207" s="273"/>
      <c r="S1207" s="273"/>
      <c r="T1207" s="273"/>
      <c r="U1207" s="273"/>
      <c r="V1207" s="273"/>
      <c r="W1207" s="273"/>
      <c r="X1207" s="273"/>
      <c r="Y1207" s="274" t="n">
        <f aca="false">SUM(B1207:X1207)</f>
        <v>-5949.612</v>
      </c>
      <c r="Z1207" s="272"/>
      <c r="AA1207" s="276"/>
    </row>
    <row r="1208" customFormat="false" ht="14.25" hidden="false" customHeight="false" outlineLevel="0" collapsed="false">
      <c r="A1208" s="272" t="s">
        <v>1269</v>
      </c>
      <c r="B1208" s="273"/>
      <c r="C1208" s="273" t="n">
        <v>8345.166</v>
      </c>
      <c r="D1208" s="273"/>
      <c r="E1208" s="273"/>
      <c r="F1208" s="273"/>
      <c r="G1208" s="273"/>
      <c r="H1208" s="273"/>
      <c r="I1208" s="273"/>
      <c r="J1208" s="273"/>
      <c r="K1208" s="273"/>
      <c r="L1208" s="273"/>
      <c r="M1208" s="273"/>
      <c r="N1208" s="273"/>
      <c r="O1208" s="273"/>
      <c r="P1208" s="273"/>
      <c r="Q1208" s="273"/>
      <c r="R1208" s="273"/>
      <c r="S1208" s="273"/>
      <c r="T1208" s="273"/>
      <c r="U1208" s="273"/>
      <c r="V1208" s="273"/>
      <c r="W1208" s="273"/>
      <c r="X1208" s="273"/>
      <c r="Y1208" s="274" t="n">
        <f aca="false">SUM(B1208:X1208)</f>
        <v>8345.166</v>
      </c>
      <c r="Z1208" s="272"/>
      <c r="AA1208" s="276"/>
    </row>
    <row r="1209" customFormat="false" ht="14.25" hidden="false" customHeight="false" outlineLevel="0" collapsed="false">
      <c r="A1209" s="272" t="s">
        <v>1270</v>
      </c>
      <c r="B1209" s="273" t="n">
        <v>-161.7924</v>
      </c>
      <c r="C1209" s="273"/>
      <c r="D1209" s="273"/>
      <c r="E1209" s="273"/>
      <c r="F1209" s="273"/>
      <c r="G1209" s="273"/>
      <c r="H1209" s="273"/>
      <c r="I1209" s="273"/>
      <c r="J1209" s="273" t="n">
        <v>-20481.119</v>
      </c>
      <c r="K1209" s="273"/>
      <c r="L1209" s="273"/>
      <c r="M1209" s="273"/>
      <c r="N1209" s="273"/>
      <c r="O1209" s="273"/>
      <c r="P1209" s="273"/>
      <c r="Q1209" s="273"/>
      <c r="R1209" s="273"/>
      <c r="S1209" s="273"/>
      <c r="T1209" s="273"/>
      <c r="U1209" s="273"/>
      <c r="V1209" s="273"/>
      <c r="W1209" s="273"/>
      <c r="X1209" s="273"/>
      <c r="Y1209" s="274" t="n">
        <f aca="false">SUM(B1209:X1209)</f>
        <v>-20642.9114</v>
      </c>
      <c r="Z1209" s="272"/>
      <c r="AA1209" s="276"/>
    </row>
    <row r="1210" customFormat="false" ht="14.25" hidden="false" customHeight="false" outlineLevel="0" collapsed="false">
      <c r="A1210" s="272" t="s">
        <v>1271</v>
      </c>
      <c r="B1210" s="273"/>
      <c r="C1210" s="273"/>
      <c r="D1210" s="273"/>
      <c r="E1210" s="273" t="n">
        <v>3732.102</v>
      </c>
      <c r="F1210" s="273"/>
      <c r="G1210" s="273"/>
      <c r="H1210" s="273"/>
      <c r="I1210" s="273"/>
      <c r="J1210" s="273" t="n">
        <v>-27067.8</v>
      </c>
      <c r="K1210" s="273"/>
      <c r="L1210" s="273"/>
      <c r="M1210" s="273"/>
      <c r="N1210" s="273"/>
      <c r="O1210" s="273"/>
      <c r="P1210" s="273"/>
      <c r="Q1210" s="273"/>
      <c r="R1210" s="273"/>
      <c r="S1210" s="273"/>
      <c r="T1210" s="273"/>
      <c r="U1210" s="273"/>
      <c r="V1210" s="273"/>
      <c r="W1210" s="273"/>
      <c r="X1210" s="273"/>
      <c r="Y1210" s="274" t="n">
        <f aca="false">SUM(B1210:X1210)</f>
        <v>-23335.698</v>
      </c>
      <c r="Z1210" s="272"/>
      <c r="AA1210" s="276"/>
    </row>
    <row r="1211" customFormat="false" ht="14.25" hidden="false" customHeight="false" outlineLevel="0" collapsed="false">
      <c r="A1211" s="272" t="s">
        <v>1272</v>
      </c>
      <c r="B1211" s="273"/>
      <c r="C1211" s="273"/>
      <c r="D1211" s="273"/>
      <c r="E1211" s="273"/>
      <c r="F1211" s="273" t="n">
        <v>-2457.675</v>
      </c>
      <c r="G1211" s="273"/>
      <c r="H1211" s="273"/>
      <c r="I1211" s="273"/>
      <c r="J1211" s="273"/>
      <c r="K1211" s="273"/>
      <c r="L1211" s="273"/>
      <c r="M1211" s="273"/>
      <c r="N1211" s="273"/>
      <c r="O1211" s="273"/>
      <c r="P1211" s="273"/>
      <c r="Q1211" s="273"/>
      <c r="R1211" s="273"/>
      <c r="S1211" s="273"/>
      <c r="T1211" s="273"/>
      <c r="U1211" s="273"/>
      <c r="V1211" s="273"/>
      <c r="W1211" s="273"/>
      <c r="X1211" s="273"/>
      <c r="Y1211" s="274" t="n">
        <f aca="false">SUM(B1211:X1211)</f>
        <v>-2457.675</v>
      </c>
      <c r="Z1211" s="272"/>
      <c r="AA1211" s="276"/>
    </row>
    <row r="1212" customFormat="false" ht="14.25" hidden="false" customHeight="false" outlineLevel="0" collapsed="false">
      <c r="A1212" s="272" t="s">
        <v>1059</v>
      </c>
      <c r="B1212" s="273"/>
      <c r="C1212" s="273"/>
      <c r="D1212" s="273"/>
      <c r="E1212" s="273"/>
      <c r="F1212" s="273"/>
      <c r="G1212" s="273"/>
      <c r="H1212" s="273"/>
      <c r="I1212" s="273"/>
      <c r="J1212" s="273" t="n">
        <v>-16154.3325</v>
      </c>
      <c r="K1212" s="273"/>
      <c r="L1212" s="273"/>
      <c r="M1212" s="273"/>
      <c r="N1212" s="273"/>
      <c r="O1212" s="273"/>
      <c r="P1212" s="273"/>
      <c r="Q1212" s="273"/>
      <c r="R1212" s="273"/>
      <c r="S1212" s="273"/>
      <c r="T1212" s="273"/>
      <c r="U1212" s="273"/>
      <c r="V1212" s="273"/>
      <c r="W1212" s="273"/>
      <c r="X1212" s="273"/>
      <c r="Y1212" s="274" t="n">
        <f aca="false">SUM(B1212:X1212)</f>
        <v>-16154.3325</v>
      </c>
      <c r="Z1212" s="272"/>
      <c r="AA1212" s="276"/>
    </row>
    <row r="1213" customFormat="false" ht="14.25" hidden="false" customHeight="false" outlineLevel="0" collapsed="false">
      <c r="A1213" s="272" t="s">
        <v>1273</v>
      </c>
      <c r="B1213" s="273"/>
      <c r="C1213" s="273"/>
      <c r="D1213" s="273"/>
      <c r="E1213" s="273"/>
      <c r="F1213" s="273"/>
      <c r="G1213" s="273"/>
      <c r="H1213" s="273"/>
      <c r="I1213" s="273"/>
      <c r="J1213" s="273"/>
      <c r="K1213" s="273"/>
      <c r="L1213" s="273" t="n">
        <v>-1238.16</v>
      </c>
      <c r="M1213" s="273"/>
      <c r="N1213" s="273"/>
      <c r="O1213" s="273"/>
      <c r="P1213" s="273"/>
      <c r="Q1213" s="273"/>
      <c r="R1213" s="273"/>
      <c r="S1213" s="273"/>
      <c r="T1213" s="273"/>
      <c r="U1213" s="273"/>
      <c r="V1213" s="273"/>
      <c r="W1213" s="273"/>
      <c r="X1213" s="273"/>
      <c r="Y1213" s="274" t="n">
        <f aca="false">SUM(B1213:X1213)</f>
        <v>-1238.16</v>
      </c>
      <c r="Z1213" s="272"/>
      <c r="AA1213" s="276"/>
    </row>
    <row r="1214" customFormat="false" ht="14.25" hidden="false" customHeight="false" outlineLevel="0" collapsed="false">
      <c r="A1214" s="272" t="s">
        <v>1274</v>
      </c>
      <c r="B1214" s="273"/>
      <c r="C1214" s="273" t="n">
        <v>-9818</v>
      </c>
      <c r="D1214" s="273"/>
      <c r="E1214" s="273"/>
      <c r="F1214" s="273"/>
      <c r="G1214" s="273"/>
      <c r="H1214" s="273"/>
      <c r="I1214" s="273"/>
      <c r="J1214" s="273"/>
      <c r="K1214" s="273"/>
      <c r="L1214" s="273"/>
      <c r="M1214" s="273"/>
      <c r="N1214" s="273"/>
      <c r="O1214" s="273"/>
      <c r="P1214" s="273"/>
      <c r="Q1214" s="273"/>
      <c r="R1214" s="273"/>
      <c r="S1214" s="273"/>
      <c r="T1214" s="273"/>
      <c r="U1214" s="273"/>
      <c r="V1214" s="273"/>
      <c r="W1214" s="273"/>
      <c r="X1214" s="273"/>
      <c r="Y1214" s="274" t="n">
        <f aca="false">SUM(B1214:X1214)</f>
        <v>-9818</v>
      </c>
      <c r="Z1214" s="272"/>
      <c r="AA1214" s="276"/>
    </row>
    <row r="1215" customFormat="false" ht="14.25" hidden="false" customHeight="false" outlineLevel="0" collapsed="false">
      <c r="A1215" s="272" t="s">
        <v>1275</v>
      </c>
      <c r="B1215" s="273"/>
      <c r="C1215" s="273" t="n">
        <v>-13107.6</v>
      </c>
      <c r="D1215" s="273"/>
      <c r="E1215" s="273"/>
      <c r="F1215" s="273"/>
      <c r="G1215" s="273"/>
      <c r="H1215" s="273"/>
      <c r="I1215" s="273"/>
      <c r="J1215" s="273"/>
      <c r="K1215" s="273"/>
      <c r="L1215" s="273"/>
      <c r="M1215" s="273"/>
      <c r="N1215" s="273" t="n">
        <v>-6301.4505</v>
      </c>
      <c r="O1215" s="273"/>
      <c r="P1215" s="273" t="n">
        <v>-1857.012</v>
      </c>
      <c r="Q1215" s="273"/>
      <c r="R1215" s="273"/>
      <c r="S1215" s="273"/>
      <c r="T1215" s="273"/>
      <c r="U1215" s="273"/>
      <c r="V1215" s="273"/>
      <c r="W1215" s="273"/>
      <c r="X1215" s="273"/>
      <c r="Y1215" s="274" t="n">
        <f aca="false">SUM(B1215:X1215)</f>
        <v>-21266.0625</v>
      </c>
      <c r="Z1215" s="272"/>
      <c r="AA1215" s="276"/>
    </row>
    <row r="1216" customFormat="false" ht="14.25" hidden="false" customHeight="false" outlineLevel="0" collapsed="false">
      <c r="A1216" s="272" t="s">
        <v>1276</v>
      </c>
      <c r="B1216" s="273"/>
      <c r="C1216" s="273"/>
      <c r="D1216" s="273"/>
      <c r="E1216" s="273"/>
      <c r="F1216" s="273"/>
      <c r="G1216" s="273"/>
      <c r="H1216" s="273"/>
      <c r="I1216" s="273"/>
      <c r="J1216" s="273" t="n">
        <v>-115.0485</v>
      </c>
      <c r="K1216" s="273"/>
      <c r="L1216" s="273"/>
      <c r="M1216" s="273"/>
      <c r="N1216" s="273"/>
      <c r="O1216" s="273"/>
      <c r="P1216" s="273" t="n">
        <v>-74.9565</v>
      </c>
      <c r="Q1216" s="273"/>
      <c r="R1216" s="273"/>
      <c r="S1216" s="273"/>
      <c r="T1216" s="273"/>
      <c r="U1216" s="273"/>
      <c r="V1216" s="273"/>
      <c r="W1216" s="273"/>
      <c r="X1216" s="273"/>
      <c r="Y1216" s="274" t="n">
        <f aca="false">SUM(B1216:X1216)</f>
        <v>-190.005</v>
      </c>
      <c r="Z1216" s="272"/>
      <c r="AA1216" s="276"/>
    </row>
    <row r="1217" customFormat="false" ht="14.25" hidden="false" customHeight="false" outlineLevel="0" collapsed="false">
      <c r="A1217" s="272" t="s">
        <v>1277</v>
      </c>
      <c r="B1217" s="273" t="n">
        <v>-3244.518</v>
      </c>
      <c r="C1217" s="273"/>
      <c r="D1217" s="273"/>
      <c r="E1217" s="273"/>
      <c r="F1217" s="273"/>
      <c r="G1217" s="273"/>
      <c r="H1217" s="273"/>
      <c r="I1217" s="273"/>
      <c r="J1217" s="273"/>
      <c r="K1217" s="273"/>
      <c r="L1217" s="273"/>
      <c r="M1217" s="273"/>
      <c r="N1217" s="273"/>
      <c r="O1217" s="273"/>
      <c r="P1217" s="273"/>
      <c r="Q1217" s="273"/>
      <c r="R1217" s="273"/>
      <c r="S1217" s="273"/>
      <c r="T1217" s="273"/>
      <c r="U1217" s="273"/>
      <c r="V1217" s="273"/>
      <c r="W1217" s="273"/>
      <c r="X1217" s="273"/>
      <c r="Y1217" s="274" t="n">
        <f aca="false">SUM(B1217:X1217)</f>
        <v>-3244.518</v>
      </c>
      <c r="Z1217" s="272"/>
      <c r="AA1217" s="276"/>
    </row>
    <row r="1218" customFormat="false" ht="14.25" hidden="false" customHeight="false" outlineLevel="0" collapsed="false">
      <c r="A1218" s="272" t="s">
        <v>1278</v>
      </c>
      <c r="B1218" s="273"/>
      <c r="C1218" s="273"/>
      <c r="D1218" s="273"/>
      <c r="E1218" s="273"/>
      <c r="F1218" s="273"/>
      <c r="G1218" s="273"/>
      <c r="H1218" s="273"/>
      <c r="I1218" s="273"/>
      <c r="J1218" s="273" t="n">
        <v>-6227.055</v>
      </c>
      <c r="K1218" s="273"/>
      <c r="L1218" s="273"/>
      <c r="M1218" s="273"/>
      <c r="N1218" s="273"/>
      <c r="O1218" s="273"/>
      <c r="P1218" s="273"/>
      <c r="Q1218" s="273"/>
      <c r="R1218" s="273"/>
      <c r="S1218" s="273"/>
      <c r="T1218" s="273"/>
      <c r="U1218" s="273"/>
      <c r="V1218" s="273"/>
      <c r="W1218" s="273"/>
      <c r="X1218" s="273"/>
      <c r="Y1218" s="274" t="n">
        <f aca="false">SUM(B1218:X1218)</f>
        <v>-6227.055</v>
      </c>
      <c r="Z1218" s="272"/>
      <c r="AA1218" s="276"/>
    </row>
    <row r="1219" customFormat="false" ht="14.25" hidden="false" customHeight="false" outlineLevel="0" collapsed="false">
      <c r="A1219" s="272" t="s">
        <v>1279</v>
      </c>
      <c r="B1219" s="273"/>
      <c r="C1219" s="273"/>
      <c r="D1219" s="273"/>
      <c r="E1219" s="273"/>
      <c r="F1219" s="273"/>
      <c r="G1219" s="273" t="n">
        <v>2700</v>
      </c>
      <c r="H1219" s="273"/>
      <c r="I1219" s="273"/>
      <c r="J1219" s="273"/>
      <c r="K1219" s="273"/>
      <c r="L1219" s="273"/>
      <c r="M1219" s="273"/>
      <c r="N1219" s="273"/>
      <c r="O1219" s="273"/>
      <c r="P1219" s="273"/>
      <c r="Q1219" s="273"/>
      <c r="R1219" s="273"/>
      <c r="S1219" s="273"/>
      <c r="T1219" s="273"/>
      <c r="U1219" s="273"/>
      <c r="V1219" s="273"/>
      <c r="W1219" s="273"/>
      <c r="X1219" s="273"/>
      <c r="Y1219" s="274" t="n">
        <f aca="false">SUM(B1219:X1219)</f>
        <v>2700</v>
      </c>
      <c r="Z1219" s="272"/>
      <c r="AA1219" s="276"/>
    </row>
    <row r="1220" customFormat="false" ht="14.25" hidden="false" customHeight="false" outlineLevel="0" collapsed="false">
      <c r="A1220" s="272" t="s">
        <v>1280</v>
      </c>
      <c r="B1220" s="273"/>
      <c r="C1220" s="273"/>
      <c r="D1220" s="273"/>
      <c r="E1220" s="273"/>
      <c r="F1220" s="273"/>
      <c r="G1220" s="273"/>
      <c r="H1220" s="273"/>
      <c r="I1220" s="273"/>
      <c r="J1220" s="273"/>
      <c r="K1220" s="273"/>
      <c r="L1220" s="273"/>
      <c r="M1220" s="273"/>
      <c r="N1220" s="273"/>
      <c r="O1220" s="273" t="n">
        <v>-15321.2</v>
      </c>
      <c r="P1220" s="273"/>
      <c r="Q1220" s="273"/>
      <c r="R1220" s="273"/>
      <c r="S1220" s="273"/>
      <c r="T1220" s="273"/>
      <c r="U1220" s="273"/>
      <c r="V1220" s="273"/>
      <c r="W1220" s="273"/>
      <c r="X1220" s="273"/>
      <c r="Y1220" s="274" t="n">
        <f aca="false">SUM(B1220:X1220)</f>
        <v>-15321.2</v>
      </c>
      <c r="Z1220" s="272"/>
      <c r="AA1220" s="276"/>
    </row>
    <row r="1221" customFormat="false" ht="14.25" hidden="false" customHeight="false" outlineLevel="0" collapsed="false">
      <c r="A1221" s="272" t="s">
        <v>1281</v>
      </c>
      <c r="B1221" s="273"/>
      <c r="C1221" s="273" t="n">
        <v>1856.43</v>
      </c>
      <c r="D1221" s="273"/>
      <c r="E1221" s="273"/>
      <c r="F1221" s="273"/>
      <c r="G1221" s="273"/>
      <c r="H1221" s="273"/>
      <c r="I1221" s="273"/>
      <c r="J1221" s="273"/>
      <c r="K1221" s="273"/>
      <c r="L1221" s="273"/>
      <c r="M1221" s="273"/>
      <c r="N1221" s="273"/>
      <c r="O1221" s="273"/>
      <c r="P1221" s="273"/>
      <c r="Q1221" s="273"/>
      <c r="R1221" s="273"/>
      <c r="S1221" s="273"/>
      <c r="T1221" s="273"/>
      <c r="U1221" s="273"/>
      <c r="V1221" s="273"/>
      <c r="W1221" s="273"/>
      <c r="X1221" s="273"/>
      <c r="Y1221" s="274" t="n">
        <f aca="false">SUM(B1221:X1221)</f>
        <v>1856.43</v>
      </c>
      <c r="Z1221" s="272"/>
      <c r="AA1221" s="276"/>
    </row>
    <row r="1222" customFormat="false" ht="14.25" hidden="false" customHeight="false" outlineLevel="0" collapsed="false">
      <c r="A1222" s="272" t="s">
        <v>1282</v>
      </c>
      <c r="B1222" s="273"/>
      <c r="C1222" s="273"/>
      <c r="D1222" s="273"/>
      <c r="E1222" s="273"/>
      <c r="F1222" s="273" t="n">
        <v>-5924.073</v>
      </c>
      <c r="G1222" s="273"/>
      <c r="H1222" s="273"/>
      <c r="I1222" s="273"/>
      <c r="J1222" s="273"/>
      <c r="K1222" s="273"/>
      <c r="L1222" s="273"/>
      <c r="M1222" s="273"/>
      <c r="N1222" s="273"/>
      <c r="O1222" s="273"/>
      <c r="P1222" s="273"/>
      <c r="Q1222" s="273"/>
      <c r="R1222" s="273"/>
      <c r="S1222" s="273"/>
      <c r="T1222" s="273"/>
      <c r="U1222" s="273"/>
      <c r="V1222" s="273"/>
      <c r="W1222" s="273"/>
      <c r="X1222" s="273"/>
      <c r="Y1222" s="274" t="n">
        <f aca="false">SUM(B1222:X1222)</f>
        <v>-5924.073</v>
      </c>
      <c r="Z1222" s="272"/>
      <c r="AA1222" s="276"/>
    </row>
    <row r="1223" customFormat="false" ht="14.25" hidden="false" customHeight="false" outlineLevel="0" collapsed="false">
      <c r="A1223" s="272" t="s">
        <v>1283</v>
      </c>
      <c r="B1223" s="273"/>
      <c r="C1223" s="273"/>
      <c r="D1223" s="273"/>
      <c r="E1223" s="273"/>
      <c r="F1223" s="273" t="n">
        <v>-24973.158</v>
      </c>
      <c r="G1223" s="273"/>
      <c r="H1223" s="273"/>
      <c r="I1223" s="273"/>
      <c r="J1223" s="273"/>
      <c r="K1223" s="273"/>
      <c r="L1223" s="273"/>
      <c r="M1223" s="273"/>
      <c r="N1223" s="273"/>
      <c r="O1223" s="273"/>
      <c r="P1223" s="273"/>
      <c r="Q1223" s="273"/>
      <c r="R1223" s="273"/>
      <c r="S1223" s="273"/>
      <c r="T1223" s="273"/>
      <c r="U1223" s="273"/>
      <c r="V1223" s="273"/>
      <c r="W1223" s="273"/>
      <c r="X1223" s="273"/>
      <c r="Y1223" s="274" t="n">
        <f aca="false">SUM(B1223:X1223)</f>
        <v>-24973.158</v>
      </c>
      <c r="Z1223" s="272"/>
      <c r="AA1223" s="276"/>
    </row>
    <row r="1224" customFormat="false" ht="14.25" hidden="false" customHeight="false" outlineLevel="0" collapsed="false">
      <c r="A1224" s="272" t="s">
        <v>1284</v>
      </c>
      <c r="B1224" s="273" t="n">
        <v>-3619.434</v>
      </c>
      <c r="C1224" s="273"/>
      <c r="D1224" s="273"/>
      <c r="E1224" s="273"/>
      <c r="F1224" s="273"/>
      <c r="G1224" s="273"/>
      <c r="H1224" s="273"/>
      <c r="I1224" s="273"/>
      <c r="J1224" s="273"/>
      <c r="K1224" s="273"/>
      <c r="L1224" s="273"/>
      <c r="M1224" s="273"/>
      <c r="N1224" s="273"/>
      <c r="O1224" s="273"/>
      <c r="P1224" s="273"/>
      <c r="Q1224" s="273"/>
      <c r="R1224" s="273"/>
      <c r="S1224" s="273"/>
      <c r="T1224" s="273"/>
      <c r="U1224" s="273"/>
      <c r="V1224" s="273"/>
      <c r="W1224" s="273"/>
      <c r="X1224" s="273"/>
      <c r="Y1224" s="274" t="n">
        <f aca="false">SUM(B1224:X1224)</f>
        <v>-3619.434</v>
      </c>
      <c r="Z1224" s="272"/>
      <c r="AA1224" s="276"/>
    </row>
    <row r="1225" customFormat="false" ht="14.25" hidden="false" customHeight="false" outlineLevel="0" collapsed="false">
      <c r="A1225" s="272" t="s">
        <v>1285</v>
      </c>
      <c r="B1225" s="273"/>
      <c r="C1225" s="273"/>
      <c r="D1225" s="273"/>
      <c r="E1225" s="273"/>
      <c r="F1225" s="273" t="n">
        <v>-1503.123</v>
      </c>
      <c r="G1225" s="273"/>
      <c r="H1225" s="273"/>
      <c r="I1225" s="273"/>
      <c r="J1225" s="273"/>
      <c r="K1225" s="273"/>
      <c r="L1225" s="273"/>
      <c r="M1225" s="273"/>
      <c r="N1225" s="273"/>
      <c r="O1225" s="273"/>
      <c r="P1225" s="273"/>
      <c r="Q1225" s="273"/>
      <c r="R1225" s="273"/>
      <c r="S1225" s="273"/>
      <c r="T1225" s="273"/>
      <c r="U1225" s="273"/>
      <c r="V1225" s="273"/>
      <c r="W1225" s="273"/>
      <c r="X1225" s="273"/>
      <c r="Y1225" s="274" t="n">
        <f aca="false">SUM(B1225:X1225)</f>
        <v>-1503.123</v>
      </c>
      <c r="Z1225" s="272"/>
      <c r="AA1225" s="276"/>
    </row>
    <row r="1226" customFormat="false" ht="14.25" hidden="false" customHeight="false" outlineLevel="0" collapsed="false">
      <c r="A1226" s="272" t="s">
        <v>1286</v>
      </c>
      <c r="B1226" s="273"/>
      <c r="C1226" s="273"/>
      <c r="D1226" s="273"/>
      <c r="E1226" s="273"/>
      <c r="F1226" s="273" t="n">
        <v>-17403.6525</v>
      </c>
      <c r="G1226" s="273"/>
      <c r="H1226" s="273"/>
      <c r="I1226" s="273"/>
      <c r="J1226" s="273"/>
      <c r="K1226" s="273"/>
      <c r="L1226" s="273"/>
      <c r="M1226" s="273"/>
      <c r="N1226" s="273"/>
      <c r="O1226" s="273"/>
      <c r="P1226" s="273"/>
      <c r="Q1226" s="273"/>
      <c r="R1226" s="273"/>
      <c r="S1226" s="273"/>
      <c r="T1226" s="273"/>
      <c r="U1226" s="273"/>
      <c r="V1226" s="273"/>
      <c r="W1226" s="273"/>
      <c r="X1226" s="273"/>
      <c r="Y1226" s="274" t="n">
        <f aca="false">SUM(B1226:X1226)</f>
        <v>-17403.6525</v>
      </c>
      <c r="Z1226" s="272"/>
      <c r="AA1226" s="276"/>
    </row>
    <row r="1227" customFormat="false" ht="14.25" hidden="false" customHeight="false" outlineLevel="0" collapsed="false">
      <c r="A1227" s="272" t="s">
        <v>1287</v>
      </c>
      <c r="B1227" s="273"/>
      <c r="C1227" s="273"/>
      <c r="D1227" s="273"/>
      <c r="E1227" s="273"/>
      <c r="F1227" s="273"/>
      <c r="G1227" s="273"/>
      <c r="H1227" s="273"/>
      <c r="I1227" s="273"/>
      <c r="J1227" s="273"/>
      <c r="K1227" s="273"/>
      <c r="L1227" s="273" t="n">
        <v>-82.464</v>
      </c>
      <c r="M1227" s="273"/>
      <c r="N1227" s="273"/>
      <c r="O1227" s="273"/>
      <c r="P1227" s="273"/>
      <c r="Q1227" s="273"/>
      <c r="R1227" s="273"/>
      <c r="S1227" s="273"/>
      <c r="T1227" s="273"/>
      <c r="U1227" s="273"/>
      <c r="V1227" s="273"/>
      <c r="W1227" s="273"/>
      <c r="X1227" s="273"/>
      <c r="Y1227" s="274" t="n">
        <f aca="false">SUM(B1227:X1227)</f>
        <v>-82.464</v>
      </c>
      <c r="Z1227" s="272"/>
      <c r="AA1227" s="276"/>
    </row>
    <row r="1228" customFormat="false" ht="14.25" hidden="false" customHeight="false" outlineLevel="0" collapsed="false">
      <c r="A1228" s="272" t="s">
        <v>1288</v>
      </c>
      <c r="B1228" s="273"/>
      <c r="C1228" s="273"/>
      <c r="D1228" s="273"/>
      <c r="E1228" s="273"/>
      <c r="F1228" s="273" t="n">
        <v>-1812.792</v>
      </c>
      <c r="G1228" s="273"/>
      <c r="H1228" s="273"/>
      <c r="I1228" s="273"/>
      <c r="J1228" s="273"/>
      <c r="K1228" s="273"/>
      <c r="L1228" s="273"/>
      <c r="M1228" s="273"/>
      <c r="N1228" s="273"/>
      <c r="O1228" s="273"/>
      <c r="P1228" s="273" t="n">
        <v>-1034.055</v>
      </c>
      <c r="Q1228" s="273"/>
      <c r="R1228" s="273"/>
      <c r="S1228" s="273"/>
      <c r="T1228" s="273"/>
      <c r="U1228" s="273"/>
      <c r="V1228" s="273"/>
      <c r="W1228" s="273"/>
      <c r="X1228" s="273"/>
      <c r="Y1228" s="274" t="n">
        <f aca="false">SUM(B1228:X1228)</f>
        <v>-2846.847</v>
      </c>
      <c r="Z1228" s="272"/>
      <c r="AA1228" s="276"/>
    </row>
    <row r="1229" customFormat="false" ht="14.25" hidden="false" customHeight="false" outlineLevel="0" collapsed="false">
      <c r="A1229" s="272" t="s">
        <v>1289</v>
      </c>
      <c r="B1229" s="273"/>
      <c r="C1229" s="273"/>
      <c r="D1229" s="273"/>
      <c r="E1229" s="273"/>
      <c r="F1229" s="273"/>
      <c r="G1229" s="273"/>
      <c r="H1229" s="273"/>
      <c r="I1229" s="273"/>
      <c r="J1229" s="273"/>
      <c r="K1229" s="273"/>
      <c r="L1229" s="273"/>
      <c r="M1229" s="273"/>
      <c r="N1229" s="273"/>
      <c r="O1229" s="273"/>
      <c r="P1229" s="273" t="n">
        <v>-693.225</v>
      </c>
      <c r="Q1229" s="273"/>
      <c r="R1229" s="273"/>
      <c r="S1229" s="273"/>
      <c r="T1229" s="273"/>
      <c r="U1229" s="273"/>
      <c r="V1229" s="273"/>
      <c r="W1229" s="273"/>
      <c r="X1229" s="273"/>
      <c r="Y1229" s="274" t="n">
        <f aca="false">SUM(B1229:X1229)</f>
        <v>-693.225</v>
      </c>
      <c r="Z1229" s="272"/>
      <c r="AA1229" s="276"/>
    </row>
    <row r="1230" customFormat="false" ht="14.25" hidden="false" customHeight="false" outlineLevel="0" collapsed="false">
      <c r="A1230" s="272" t="s">
        <v>1290</v>
      </c>
      <c r="B1230" s="273"/>
      <c r="C1230" s="273" t="n">
        <v>1118.634</v>
      </c>
      <c r="D1230" s="273"/>
      <c r="E1230" s="273"/>
      <c r="F1230" s="273" t="n">
        <v>-1503.123</v>
      </c>
      <c r="G1230" s="273"/>
      <c r="H1230" s="273"/>
      <c r="I1230" s="273"/>
      <c r="J1230" s="273"/>
      <c r="K1230" s="273"/>
      <c r="L1230" s="273"/>
      <c r="M1230" s="273"/>
      <c r="N1230" s="273"/>
      <c r="O1230" s="273"/>
      <c r="P1230" s="273"/>
      <c r="Q1230" s="273"/>
      <c r="R1230" s="273"/>
      <c r="S1230" s="273"/>
      <c r="T1230" s="273"/>
      <c r="U1230" s="273"/>
      <c r="V1230" s="273"/>
      <c r="W1230" s="273"/>
      <c r="X1230" s="273"/>
      <c r="Y1230" s="274" t="n">
        <f aca="false">SUM(B1230:X1230)</f>
        <v>-384.489</v>
      </c>
      <c r="Z1230" s="272"/>
      <c r="AA1230" s="276"/>
    </row>
    <row r="1231" customFormat="false" ht="14.25" hidden="false" customHeight="false" outlineLevel="0" collapsed="false">
      <c r="A1231" s="272" t="s">
        <v>1291</v>
      </c>
      <c r="B1231" s="273" t="n">
        <v>-3200.112</v>
      </c>
      <c r="C1231" s="273"/>
      <c r="D1231" s="273"/>
      <c r="E1231" s="273"/>
      <c r="F1231" s="273"/>
      <c r="G1231" s="273"/>
      <c r="H1231" s="273"/>
      <c r="I1231" s="273"/>
      <c r="J1231" s="273"/>
      <c r="K1231" s="273"/>
      <c r="L1231" s="273"/>
      <c r="M1231" s="273"/>
      <c r="N1231" s="273"/>
      <c r="O1231" s="273"/>
      <c r="P1231" s="273"/>
      <c r="Q1231" s="273"/>
      <c r="R1231" s="273"/>
      <c r="S1231" s="273"/>
      <c r="T1231" s="273"/>
      <c r="U1231" s="273"/>
      <c r="V1231" s="273"/>
      <c r="W1231" s="273"/>
      <c r="X1231" s="273"/>
      <c r="Y1231" s="274" t="n">
        <f aca="false">SUM(B1231:X1231)</f>
        <v>-3200.112</v>
      </c>
      <c r="Z1231" s="272"/>
      <c r="AA1231" s="276"/>
    </row>
    <row r="1232" customFormat="false" ht="14.25" hidden="false" customHeight="false" outlineLevel="0" collapsed="false">
      <c r="A1232" s="272" t="s">
        <v>1292</v>
      </c>
      <c r="B1232" s="273" t="n">
        <v>13.1121</v>
      </c>
      <c r="C1232" s="273"/>
      <c r="D1232" s="273" t="n">
        <v>18.36</v>
      </c>
      <c r="E1232" s="273"/>
      <c r="F1232" s="273"/>
      <c r="G1232" s="273"/>
      <c r="H1232" s="273"/>
      <c r="I1232" s="273"/>
      <c r="J1232" s="273" t="n">
        <v>11.475</v>
      </c>
      <c r="K1232" s="273"/>
      <c r="L1232" s="273" t="n">
        <v>19.125</v>
      </c>
      <c r="M1232" s="273"/>
      <c r="N1232" s="273"/>
      <c r="O1232" s="273"/>
      <c r="P1232" s="273"/>
      <c r="Q1232" s="273"/>
      <c r="R1232" s="273"/>
      <c r="S1232" s="273"/>
      <c r="T1232" s="273"/>
      <c r="U1232" s="273"/>
      <c r="V1232" s="273"/>
      <c r="W1232" s="273"/>
      <c r="X1232" s="273"/>
      <c r="Y1232" s="274" t="n">
        <f aca="false">SUM(B1232:X1232)</f>
        <v>62.0721</v>
      </c>
      <c r="Z1232" s="272"/>
      <c r="AA1232" s="276"/>
    </row>
    <row r="1233" customFormat="false" ht="14.25" hidden="false" customHeight="false" outlineLevel="0" collapsed="false">
      <c r="A1233" s="272" t="s">
        <v>1293</v>
      </c>
      <c r="B1233" s="273"/>
      <c r="C1233" s="273"/>
      <c r="D1233" s="273"/>
      <c r="E1233" s="273"/>
      <c r="F1233" s="273" t="n">
        <v>-7980.592</v>
      </c>
      <c r="G1233" s="273"/>
      <c r="H1233" s="273"/>
      <c r="I1233" s="273"/>
      <c r="J1233" s="273"/>
      <c r="K1233" s="273"/>
      <c r="L1233" s="273" t="n">
        <v>-2363.655</v>
      </c>
      <c r="M1233" s="273"/>
      <c r="N1233" s="273"/>
      <c r="O1233" s="273"/>
      <c r="P1233" s="273"/>
      <c r="Q1233" s="273"/>
      <c r="R1233" s="273"/>
      <c r="S1233" s="273"/>
      <c r="T1233" s="273"/>
      <c r="U1233" s="273"/>
      <c r="V1233" s="273"/>
      <c r="W1233" s="273"/>
      <c r="X1233" s="273"/>
      <c r="Y1233" s="274" t="n">
        <f aca="false">SUM(B1233:X1233)</f>
        <v>-10344.247</v>
      </c>
      <c r="Z1233" s="272"/>
      <c r="AA1233" s="276"/>
    </row>
    <row r="1234" customFormat="false" ht="14.25" hidden="false" customHeight="false" outlineLevel="0" collapsed="false">
      <c r="A1234" s="272" t="s">
        <v>1294</v>
      </c>
      <c r="B1234" s="273"/>
      <c r="C1234" s="273"/>
      <c r="D1234" s="273"/>
      <c r="E1234" s="273"/>
      <c r="F1234" s="273" t="n">
        <v>-17.194</v>
      </c>
      <c r="G1234" s="273"/>
      <c r="H1234" s="273"/>
      <c r="I1234" s="273"/>
      <c r="J1234" s="273"/>
      <c r="K1234" s="273"/>
      <c r="L1234" s="273"/>
      <c r="M1234" s="273"/>
      <c r="N1234" s="273"/>
      <c r="O1234" s="273"/>
      <c r="P1234" s="273"/>
      <c r="Q1234" s="273"/>
      <c r="R1234" s="273"/>
      <c r="S1234" s="273"/>
      <c r="T1234" s="273"/>
      <c r="U1234" s="273"/>
      <c r="V1234" s="273"/>
      <c r="W1234" s="273"/>
      <c r="X1234" s="273"/>
      <c r="Y1234" s="274" t="n">
        <f aca="false">SUM(B1234:X1234)</f>
        <v>-17.194</v>
      </c>
      <c r="Z1234" s="272"/>
      <c r="AA1234" s="276"/>
    </row>
    <row r="1235" customFormat="false" ht="14.25" hidden="false" customHeight="false" outlineLevel="0" collapsed="false">
      <c r="A1235" s="272" t="s">
        <v>880</v>
      </c>
      <c r="B1235" s="273"/>
      <c r="C1235" s="273"/>
      <c r="D1235" s="273"/>
      <c r="E1235" s="273"/>
      <c r="F1235" s="273" t="n">
        <v>-25.791</v>
      </c>
      <c r="G1235" s="273"/>
      <c r="H1235" s="273"/>
      <c r="I1235" s="273"/>
      <c r="J1235" s="273"/>
      <c r="K1235" s="273"/>
      <c r="L1235" s="273"/>
      <c r="M1235" s="273"/>
      <c r="N1235" s="273"/>
      <c r="O1235" s="273"/>
      <c r="P1235" s="273"/>
      <c r="Q1235" s="273"/>
      <c r="R1235" s="273"/>
      <c r="S1235" s="273"/>
      <c r="T1235" s="273"/>
      <c r="U1235" s="273"/>
      <c r="V1235" s="273"/>
      <c r="W1235" s="273"/>
      <c r="X1235" s="273"/>
      <c r="Y1235" s="274" t="n">
        <f aca="false">SUM(B1235:X1235)</f>
        <v>-25.791</v>
      </c>
      <c r="Z1235" s="272"/>
      <c r="AA1235" s="276"/>
    </row>
    <row r="1236" customFormat="false" ht="14.25" hidden="false" customHeight="false" outlineLevel="0" collapsed="false">
      <c r="A1236" s="272" t="s">
        <v>1295</v>
      </c>
      <c r="B1236" s="273"/>
      <c r="C1236" s="273"/>
      <c r="D1236" s="273"/>
      <c r="E1236" s="273"/>
      <c r="F1236" s="273" t="n">
        <v>-10469.445</v>
      </c>
      <c r="G1236" s="273"/>
      <c r="H1236" s="273"/>
      <c r="I1236" s="273"/>
      <c r="J1236" s="273"/>
      <c r="K1236" s="273"/>
      <c r="L1236" s="273"/>
      <c r="M1236" s="273"/>
      <c r="N1236" s="273"/>
      <c r="O1236" s="273"/>
      <c r="P1236" s="273"/>
      <c r="Q1236" s="273"/>
      <c r="R1236" s="273"/>
      <c r="S1236" s="273"/>
      <c r="T1236" s="273"/>
      <c r="U1236" s="273"/>
      <c r="V1236" s="273"/>
      <c r="W1236" s="273"/>
      <c r="X1236" s="273"/>
      <c r="Y1236" s="274" t="n">
        <f aca="false">SUM(B1236:X1236)</f>
        <v>-10469.445</v>
      </c>
      <c r="Z1236" s="272"/>
      <c r="AA1236" s="276"/>
    </row>
    <row r="1237" customFormat="false" ht="14.25" hidden="false" customHeight="false" outlineLevel="0" collapsed="false">
      <c r="A1237" s="272" t="s">
        <v>1296</v>
      </c>
      <c r="B1237" s="273"/>
      <c r="C1237" s="273"/>
      <c r="D1237" s="273"/>
      <c r="E1237" s="273"/>
      <c r="F1237" s="273"/>
      <c r="G1237" s="273"/>
      <c r="H1237" s="273"/>
      <c r="I1237" s="273"/>
      <c r="J1237" s="273"/>
      <c r="K1237" s="273"/>
      <c r="L1237" s="273"/>
      <c r="M1237" s="273"/>
      <c r="N1237" s="273"/>
      <c r="O1237" s="273"/>
      <c r="P1237" s="273" t="n">
        <v>-674.6085</v>
      </c>
      <c r="Q1237" s="273"/>
      <c r="R1237" s="273"/>
      <c r="S1237" s="273"/>
      <c r="T1237" s="273"/>
      <c r="U1237" s="273"/>
      <c r="V1237" s="273"/>
      <c r="W1237" s="273"/>
      <c r="X1237" s="273"/>
      <c r="Y1237" s="274" t="n">
        <f aca="false">SUM(B1237:X1237)</f>
        <v>-674.6085</v>
      </c>
      <c r="Z1237" s="272"/>
      <c r="AA1237" s="276"/>
    </row>
    <row r="1238" customFormat="false" ht="14.25" hidden="false" customHeight="false" outlineLevel="0" collapsed="false">
      <c r="A1238" s="272" t="s">
        <v>847</v>
      </c>
      <c r="B1238" s="273"/>
      <c r="C1238" s="273"/>
      <c r="D1238" s="273" t="n">
        <v>-536.1</v>
      </c>
      <c r="E1238" s="273"/>
      <c r="F1238" s="273"/>
      <c r="G1238" s="273"/>
      <c r="H1238" s="273"/>
      <c r="I1238" s="273"/>
      <c r="J1238" s="273"/>
      <c r="K1238" s="273"/>
      <c r="L1238" s="273" t="n">
        <v>-144.591</v>
      </c>
      <c r="M1238" s="273"/>
      <c r="N1238" s="273"/>
      <c r="O1238" s="273"/>
      <c r="P1238" s="273"/>
      <c r="Q1238" s="273"/>
      <c r="R1238" s="273"/>
      <c r="S1238" s="273"/>
      <c r="T1238" s="273"/>
      <c r="U1238" s="273"/>
      <c r="V1238" s="273"/>
      <c r="W1238" s="273"/>
      <c r="X1238" s="273"/>
      <c r="Y1238" s="274" t="n">
        <f aca="false">SUM(B1238:X1238)</f>
        <v>-680.691</v>
      </c>
      <c r="Z1238" s="272"/>
      <c r="AA1238" s="276"/>
    </row>
    <row r="1239" customFormat="false" ht="14.25" hidden="false" customHeight="false" outlineLevel="0" collapsed="false">
      <c r="A1239" s="272" t="s">
        <v>1297</v>
      </c>
      <c r="B1239" s="273" t="n">
        <v>-15711.9</v>
      </c>
      <c r="C1239" s="273"/>
      <c r="D1239" s="273"/>
      <c r="E1239" s="273"/>
      <c r="F1239" s="273"/>
      <c r="G1239" s="273"/>
      <c r="H1239" s="273"/>
      <c r="I1239" s="273"/>
      <c r="J1239" s="273"/>
      <c r="K1239" s="273"/>
      <c r="L1239" s="273"/>
      <c r="M1239" s="273"/>
      <c r="N1239" s="273"/>
      <c r="O1239" s="273"/>
      <c r="P1239" s="273"/>
      <c r="Q1239" s="273"/>
      <c r="R1239" s="273"/>
      <c r="S1239" s="273"/>
      <c r="T1239" s="273"/>
      <c r="U1239" s="273"/>
      <c r="V1239" s="273"/>
      <c r="W1239" s="273"/>
      <c r="X1239" s="273"/>
      <c r="Y1239" s="274" t="n">
        <f aca="false">SUM(B1239:X1239)</f>
        <v>-15711.9</v>
      </c>
      <c r="Z1239" s="272"/>
      <c r="AA1239" s="276"/>
    </row>
    <row r="1240" customFormat="false" ht="14.25" hidden="false" customHeight="false" outlineLevel="0" collapsed="false">
      <c r="A1240" s="272" t="s">
        <v>1298</v>
      </c>
      <c r="B1240" s="273"/>
      <c r="C1240" s="273" t="n">
        <v>842.736</v>
      </c>
      <c r="D1240" s="273"/>
      <c r="E1240" s="273"/>
      <c r="F1240" s="273"/>
      <c r="G1240" s="273"/>
      <c r="H1240" s="273"/>
      <c r="I1240" s="273"/>
      <c r="J1240" s="273"/>
      <c r="K1240" s="273"/>
      <c r="L1240" s="273" t="n">
        <v>-7499.9725</v>
      </c>
      <c r="M1240" s="273"/>
      <c r="N1240" s="273"/>
      <c r="O1240" s="273"/>
      <c r="P1240" s="273"/>
      <c r="Q1240" s="273"/>
      <c r="R1240" s="273"/>
      <c r="S1240" s="273"/>
      <c r="T1240" s="273"/>
      <c r="U1240" s="273"/>
      <c r="V1240" s="273"/>
      <c r="W1240" s="273"/>
      <c r="X1240" s="273"/>
      <c r="Y1240" s="274" t="n">
        <f aca="false">SUM(B1240:X1240)</f>
        <v>-6657.2365</v>
      </c>
      <c r="Z1240" s="272"/>
      <c r="AA1240" s="276"/>
    </row>
    <row r="1241" customFormat="false" ht="14.25" hidden="false" customHeight="false" outlineLevel="0" collapsed="false">
      <c r="A1241" s="272" t="s">
        <v>1299</v>
      </c>
      <c r="B1241" s="273"/>
      <c r="C1241" s="273"/>
      <c r="D1241" s="273"/>
      <c r="E1241" s="273"/>
      <c r="F1241" s="273"/>
      <c r="G1241" s="273"/>
      <c r="H1241" s="273"/>
      <c r="I1241" s="273"/>
      <c r="J1241" s="273" t="n">
        <v>-47728.2765</v>
      </c>
      <c r="K1241" s="273"/>
      <c r="L1241" s="273"/>
      <c r="M1241" s="273"/>
      <c r="N1241" s="273"/>
      <c r="O1241" s="273"/>
      <c r="P1241" s="273" t="n">
        <v>-14895.522</v>
      </c>
      <c r="Q1241" s="273"/>
      <c r="R1241" s="273"/>
      <c r="S1241" s="273"/>
      <c r="T1241" s="273"/>
      <c r="U1241" s="273"/>
      <c r="V1241" s="273"/>
      <c r="W1241" s="273"/>
      <c r="X1241" s="273"/>
      <c r="Y1241" s="274" t="n">
        <f aca="false">SUM(B1241:X1241)</f>
        <v>-62623.7985</v>
      </c>
      <c r="Z1241" s="272"/>
      <c r="AA1241" s="276"/>
    </row>
    <row r="1242" customFormat="false" ht="14.25" hidden="false" customHeight="false" outlineLevel="0" collapsed="false">
      <c r="A1242" s="272" t="s">
        <v>1285</v>
      </c>
      <c r="B1242" s="273"/>
      <c r="C1242" s="273"/>
      <c r="D1242" s="273"/>
      <c r="E1242" s="273"/>
      <c r="F1242" s="273" t="n">
        <v>-2740.989</v>
      </c>
      <c r="G1242" s="273"/>
      <c r="H1242" s="273"/>
      <c r="I1242" s="273"/>
      <c r="J1242" s="273"/>
      <c r="K1242" s="273"/>
      <c r="L1242" s="273"/>
      <c r="M1242" s="273"/>
      <c r="N1242" s="273"/>
      <c r="O1242" s="273"/>
      <c r="P1242" s="273"/>
      <c r="Q1242" s="273"/>
      <c r="R1242" s="273"/>
      <c r="S1242" s="273"/>
      <c r="T1242" s="273"/>
      <c r="U1242" s="273"/>
      <c r="V1242" s="273"/>
      <c r="W1242" s="273"/>
      <c r="X1242" s="273"/>
      <c r="Y1242" s="274" t="n">
        <f aca="false">SUM(B1242:X1242)</f>
        <v>-2740.989</v>
      </c>
      <c r="Z1242" s="272"/>
      <c r="AA1242" s="276"/>
    </row>
    <row r="1243" customFormat="false" ht="14.25" hidden="false" customHeight="false" outlineLevel="0" collapsed="false">
      <c r="A1243" s="272" t="s">
        <v>1300</v>
      </c>
      <c r="B1243" s="273" t="n">
        <v>-1113.672</v>
      </c>
      <c r="C1243" s="273"/>
      <c r="D1243" s="273"/>
      <c r="E1243" s="273"/>
      <c r="F1243" s="273"/>
      <c r="G1243" s="273"/>
      <c r="H1243" s="273"/>
      <c r="I1243" s="273"/>
      <c r="J1243" s="273"/>
      <c r="K1243" s="273"/>
      <c r="L1243" s="273"/>
      <c r="M1243" s="273"/>
      <c r="N1243" s="273"/>
      <c r="O1243" s="273"/>
      <c r="P1243" s="273"/>
      <c r="Q1243" s="273"/>
      <c r="R1243" s="273"/>
      <c r="S1243" s="273"/>
      <c r="T1243" s="273"/>
      <c r="U1243" s="273"/>
      <c r="V1243" s="273"/>
      <c r="W1243" s="273"/>
      <c r="X1243" s="273"/>
      <c r="Y1243" s="274" t="n">
        <f aca="false">SUM(B1243:X1243)</f>
        <v>-1113.672</v>
      </c>
      <c r="Z1243" s="272"/>
      <c r="AA1243" s="276"/>
    </row>
    <row r="1244" customFormat="false" ht="14.25" hidden="false" customHeight="false" outlineLevel="0" collapsed="false">
      <c r="A1244" s="272" t="s">
        <v>1301</v>
      </c>
      <c r="B1244" s="273"/>
      <c r="C1244" s="273" t="n">
        <v>58588.71</v>
      </c>
      <c r="D1244" s="273"/>
      <c r="E1244" s="273"/>
      <c r="F1244" s="273"/>
      <c r="G1244" s="273"/>
      <c r="H1244" s="273"/>
      <c r="I1244" s="273"/>
      <c r="J1244" s="273"/>
      <c r="K1244" s="273"/>
      <c r="L1244" s="273"/>
      <c r="M1244" s="273"/>
      <c r="N1244" s="273"/>
      <c r="O1244" s="273"/>
      <c r="P1244" s="273"/>
      <c r="Q1244" s="273"/>
      <c r="R1244" s="273"/>
      <c r="S1244" s="273"/>
      <c r="T1244" s="273"/>
      <c r="U1244" s="273"/>
      <c r="V1244" s="273"/>
      <c r="W1244" s="273"/>
      <c r="X1244" s="273"/>
      <c r="Y1244" s="274" t="n">
        <f aca="false">SUM(B1244:X1244)</f>
        <v>58588.71</v>
      </c>
      <c r="Z1244" s="272"/>
      <c r="AA1244" s="276"/>
    </row>
    <row r="1245" customFormat="false" ht="14.25" hidden="false" customHeight="false" outlineLevel="0" collapsed="false">
      <c r="A1245" s="272" t="s">
        <v>1068</v>
      </c>
      <c r="B1245" s="273"/>
      <c r="C1245" s="273"/>
      <c r="D1245" s="273"/>
      <c r="E1245" s="273"/>
      <c r="F1245" s="273" t="n">
        <v>-3456</v>
      </c>
      <c r="G1245" s="273"/>
      <c r="H1245" s="273"/>
      <c r="I1245" s="273"/>
      <c r="J1245" s="273"/>
      <c r="K1245" s="273"/>
      <c r="L1245" s="273"/>
      <c r="M1245" s="273"/>
      <c r="N1245" s="273"/>
      <c r="O1245" s="273"/>
      <c r="P1245" s="273"/>
      <c r="Q1245" s="273"/>
      <c r="R1245" s="273"/>
      <c r="S1245" s="273"/>
      <c r="T1245" s="273"/>
      <c r="U1245" s="273"/>
      <c r="V1245" s="273"/>
      <c r="W1245" s="273"/>
      <c r="X1245" s="273"/>
      <c r="Y1245" s="274" t="n">
        <f aca="false">SUM(B1245:X1245)</f>
        <v>-3456</v>
      </c>
      <c r="Z1245" s="272"/>
      <c r="AA1245" s="276"/>
    </row>
    <row r="1246" customFormat="false" ht="14.25" hidden="false" customHeight="false" outlineLevel="0" collapsed="false">
      <c r="A1246" s="272" t="s">
        <v>1219</v>
      </c>
      <c r="B1246" s="273"/>
      <c r="C1246" s="273"/>
      <c r="D1246" s="273"/>
      <c r="E1246" s="273"/>
      <c r="F1246" s="273"/>
      <c r="G1246" s="273"/>
      <c r="H1246" s="273"/>
      <c r="I1246" s="273"/>
      <c r="J1246" s="273" t="n">
        <v>-7692.975</v>
      </c>
      <c r="K1246" s="273"/>
      <c r="L1246" s="273"/>
      <c r="M1246" s="273"/>
      <c r="N1246" s="273"/>
      <c r="O1246" s="273"/>
      <c r="P1246" s="273"/>
      <c r="Q1246" s="273"/>
      <c r="R1246" s="273"/>
      <c r="S1246" s="273"/>
      <c r="T1246" s="273"/>
      <c r="U1246" s="273"/>
      <c r="V1246" s="273"/>
      <c r="W1246" s="273"/>
      <c r="X1246" s="273"/>
      <c r="Y1246" s="274" t="n">
        <f aca="false">SUM(B1246:X1246)</f>
        <v>-7692.975</v>
      </c>
      <c r="Z1246" s="272"/>
      <c r="AA1246" s="276"/>
    </row>
    <row r="1247" customFormat="false" ht="14.25" hidden="false" customHeight="false" outlineLevel="0" collapsed="false">
      <c r="A1247" s="272" t="s">
        <v>1302</v>
      </c>
      <c r="B1247" s="273"/>
      <c r="C1247" s="273"/>
      <c r="D1247" s="273"/>
      <c r="E1247" s="273"/>
      <c r="F1247" s="273" t="n">
        <v>-864</v>
      </c>
      <c r="G1247" s="273"/>
      <c r="H1247" s="273"/>
      <c r="I1247" s="273"/>
      <c r="J1247" s="273"/>
      <c r="K1247" s="273"/>
      <c r="L1247" s="273"/>
      <c r="M1247" s="273"/>
      <c r="N1247" s="273"/>
      <c r="O1247" s="273"/>
      <c r="P1247" s="273"/>
      <c r="Q1247" s="273"/>
      <c r="R1247" s="273"/>
      <c r="S1247" s="273"/>
      <c r="T1247" s="273"/>
      <c r="U1247" s="273"/>
      <c r="V1247" s="273"/>
      <c r="W1247" s="273"/>
      <c r="X1247" s="273"/>
      <c r="Y1247" s="274" t="n">
        <f aca="false">SUM(B1247:X1247)</f>
        <v>-864</v>
      </c>
      <c r="Z1247" s="272"/>
      <c r="AA1247" s="276"/>
    </row>
    <row r="1248" customFormat="false" ht="14.25" hidden="false" customHeight="false" outlineLevel="0" collapsed="false">
      <c r="A1248" s="272" t="s">
        <v>1303</v>
      </c>
      <c r="B1248" s="273"/>
      <c r="C1248" s="273"/>
      <c r="D1248" s="273"/>
      <c r="E1248" s="273"/>
      <c r="F1248" s="273"/>
      <c r="G1248" s="273"/>
      <c r="H1248" s="273"/>
      <c r="I1248" s="273"/>
      <c r="J1248" s="273"/>
      <c r="K1248" s="273"/>
      <c r="L1248" s="273"/>
      <c r="M1248" s="273"/>
      <c r="N1248" s="273"/>
      <c r="O1248" s="273" t="n">
        <v>-157.59</v>
      </c>
      <c r="P1248" s="273"/>
      <c r="Q1248" s="273"/>
      <c r="R1248" s="273"/>
      <c r="S1248" s="273"/>
      <c r="T1248" s="273"/>
      <c r="U1248" s="273"/>
      <c r="V1248" s="273"/>
      <c r="W1248" s="273"/>
      <c r="X1248" s="273"/>
      <c r="Y1248" s="274" t="n">
        <f aca="false">SUM(B1248:X1248)</f>
        <v>-157.59</v>
      </c>
      <c r="Z1248" s="272"/>
      <c r="AA1248" s="276"/>
    </row>
    <row r="1249" customFormat="false" ht="14.25" hidden="false" customHeight="false" outlineLevel="0" collapsed="false">
      <c r="A1249" s="272" t="s">
        <v>1304</v>
      </c>
      <c r="B1249" s="273" t="n">
        <v>-1879.3215</v>
      </c>
      <c r="C1249" s="273"/>
      <c r="D1249" s="273"/>
      <c r="E1249" s="273"/>
      <c r="F1249" s="273" t="n">
        <v>-1555.608</v>
      </c>
      <c r="G1249" s="273"/>
      <c r="H1249" s="273"/>
      <c r="I1249" s="273"/>
      <c r="J1249" s="273"/>
      <c r="K1249" s="273"/>
      <c r="L1249" s="273"/>
      <c r="M1249" s="273"/>
      <c r="N1249" s="273"/>
      <c r="O1249" s="273"/>
      <c r="P1249" s="273"/>
      <c r="Q1249" s="273"/>
      <c r="R1249" s="273"/>
      <c r="S1249" s="273"/>
      <c r="T1249" s="273"/>
      <c r="U1249" s="273"/>
      <c r="V1249" s="273"/>
      <c r="W1249" s="273"/>
      <c r="X1249" s="273"/>
      <c r="Y1249" s="274" t="n">
        <f aca="false">SUM(B1249:X1249)</f>
        <v>-3434.9295</v>
      </c>
      <c r="Z1249" s="272"/>
      <c r="AA1249" s="276"/>
    </row>
    <row r="1250" customFormat="false" ht="14.25" hidden="false" customHeight="false" outlineLevel="0" collapsed="false">
      <c r="A1250" s="272" t="s">
        <v>1283</v>
      </c>
      <c r="B1250" s="273"/>
      <c r="C1250" s="273"/>
      <c r="D1250" s="273"/>
      <c r="E1250" s="273"/>
      <c r="F1250" s="273" t="n">
        <v>-10501.674</v>
      </c>
      <c r="G1250" s="273"/>
      <c r="H1250" s="273"/>
      <c r="I1250" s="273"/>
      <c r="J1250" s="273"/>
      <c r="K1250" s="273"/>
      <c r="L1250" s="273"/>
      <c r="M1250" s="273"/>
      <c r="N1250" s="273"/>
      <c r="O1250" s="273"/>
      <c r="P1250" s="273"/>
      <c r="Q1250" s="273"/>
      <c r="R1250" s="273"/>
      <c r="S1250" s="273"/>
      <c r="T1250" s="273"/>
      <c r="U1250" s="273"/>
      <c r="V1250" s="273"/>
      <c r="W1250" s="273"/>
      <c r="X1250" s="273"/>
      <c r="Y1250" s="274" t="n">
        <f aca="false">SUM(B1250:X1250)</f>
        <v>-10501.674</v>
      </c>
      <c r="Z1250" s="272"/>
      <c r="AA1250" s="276"/>
    </row>
    <row r="1251" customFormat="false" ht="14.25" hidden="false" customHeight="false" outlineLevel="0" collapsed="false">
      <c r="A1251" s="272" t="s">
        <v>1305</v>
      </c>
      <c r="B1251" s="273"/>
      <c r="C1251" s="273"/>
      <c r="D1251" s="273"/>
      <c r="E1251" s="273"/>
      <c r="F1251" s="273" t="n">
        <v>-6611.334</v>
      </c>
      <c r="G1251" s="273"/>
      <c r="H1251" s="273"/>
      <c r="I1251" s="273"/>
      <c r="J1251" s="273"/>
      <c r="K1251" s="273"/>
      <c r="L1251" s="273"/>
      <c r="M1251" s="273"/>
      <c r="N1251" s="273"/>
      <c r="O1251" s="273"/>
      <c r="P1251" s="273"/>
      <c r="Q1251" s="273"/>
      <c r="R1251" s="273"/>
      <c r="S1251" s="273"/>
      <c r="T1251" s="273"/>
      <c r="U1251" s="273"/>
      <c r="V1251" s="273"/>
      <c r="W1251" s="273"/>
      <c r="X1251" s="273"/>
      <c r="Y1251" s="274" t="n">
        <f aca="false">SUM(B1251:X1251)</f>
        <v>-6611.334</v>
      </c>
      <c r="Z1251" s="272"/>
      <c r="AA1251" s="276"/>
    </row>
    <row r="1252" customFormat="false" ht="14.25" hidden="false" customHeight="false" outlineLevel="0" collapsed="false">
      <c r="A1252" s="272" t="s">
        <v>1149</v>
      </c>
      <c r="B1252" s="273"/>
      <c r="C1252" s="273"/>
      <c r="D1252" s="273"/>
      <c r="E1252" s="273"/>
      <c r="F1252" s="273" t="n">
        <v>-1750.059</v>
      </c>
      <c r="G1252" s="273"/>
      <c r="H1252" s="273"/>
      <c r="I1252" s="273"/>
      <c r="J1252" s="273"/>
      <c r="K1252" s="273"/>
      <c r="L1252" s="273"/>
      <c r="M1252" s="273"/>
      <c r="N1252" s="273"/>
      <c r="O1252" s="273"/>
      <c r="P1252" s="273"/>
      <c r="Q1252" s="273"/>
      <c r="R1252" s="273"/>
      <c r="S1252" s="273"/>
      <c r="T1252" s="273"/>
      <c r="U1252" s="273"/>
      <c r="V1252" s="273"/>
      <c r="W1252" s="273"/>
      <c r="X1252" s="273"/>
      <c r="Y1252" s="274" t="n">
        <f aca="false">SUM(B1252:X1252)</f>
        <v>-1750.059</v>
      </c>
      <c r="Z1252" s="272"/>
      <c r="AA1252" s="276"/>
    </row>
    <row r="1253" customFormat="false" ht="14.25" hidden="false" customHeight="false" outlineLevel="0" collapsed="false">
      <c r="A1253" s="272" t="s">
        <v>1306</v>
      </c>
      <c r="B1253" s="273"/>
      <c r="C1253" s="273"/>
      <c r="D1253" s="273"/>
      <c r="E1253" s="273" t="n">
        <v>-15948.5</v>
      </c>
      <c r="F1253" s="273"/>
      <c r="G1253" s="273"/>
      <c r="H1253" s="273"/>
      <c r="I1253" s="273"/>
      <c r="J1253" s="273"/>
      <c r="K1253" s="273"/>
      <c r="L1253" s="273"/>
      <c r="M1253" s="273"/>
      <c r="N1253" s="273" t="n">
        <v>-9877</v>
      </c>
      <c r="O1253" s="273"/>
      <c r="P1253" s="273"/>
      <c r="Q1253" s="273"/>
      <c r="R1253" s="273"/>
      <c r="S1253" s="273"/>
      <c r="T1253" s="273"/>
      <c r="U1253" s="273"/>
      <c r="V1253" s="273"/>
      <c r="W1253" s="273"/>
      <c r="X1253" s="273"/>
      <c r="Y1253" s="274" t="n">
        <f aca="false">SUM(B1253:X1253)</f>
        <v>-25825.5</v>
      </c>
      <c r="Z1253" s="272"/>
      <c r="AA1253" s="276"/>
    </row>
    <row r="1254" customFormat="false" ht="14.25" hidden="false" customHeight="false" outlineLevel="0" collapsed="false">
      <c r="A1254" s="272" t="s">
        <v>1307</v>
      </c>
      <c r="B1254" s="273"/>
      <c r="C1254" s="273"/>
      <c r="D1254" s="273"/>
      <c r="E1254" s="273"/>
      <c r="F1254" s="273" t="n">
        <v>-24175.0305</v>
      </c>
      <c r="G1254" s="273"/>
      <c r="H1254" s="273"/>
      <c r="I1254" s="273"/>
      <c r="J1254" s="273"/>
      <c r="K1254" s="273"/>
      <c r="L1254" s="273"/>
      <c r="M1254" s="273"/>
      <c r="N1254" s="273"/>
      <c r="O1254" s="273"/>
      <c r="P1254" s="273"/>
      <c r="Q1254" s="273"/>
      <c r="R1254" s="273"/>
      <c r="S1254" s="273"/>
      <c r="T1254" s="273"/>
      <c r="U1254" s="273"/>
      <c r="V1254" s="273"/>
      <c r="W1254" s="273"/>
      <c r="X1254" s="273"/>
      <c r="Y1254" s="274" t="n">
        <f aca="false">SUM(B1254:X1254)</f>
        <v>-24175.0305</v>
      </c>
      <c r="Z1254" s="272"/>
      <c r="AA1254" s="276"/>
    </row>
    <row r="1255" customFormat="false" ht="14.25" hidden="false" customHeight="false" outlineLevel="0" collapsed="false">
      <c r="A1255" s="272" t="s">
        <v>1308</v>
      </c>
      <c r="B1255" s="273"/>
      <c r="C1255" s="273"/>
      <c r="D1255" s="273"/>
      <c r="E1255" s="273"/>
      <c r="F1255" s="273"/>
      <c r="G1255" s="273"/>
      <c r="H1255" s="273"/>
      <c r="I1255" s="273"/>
      <c r="J1255" s="273"/>
      <c r="K1255" s="273"/>
      <c r="L1255" s="273"/>
      <c r="M1255" s="273" t="n">
        <v>-405.675</v>
      </c>
      <c r="N1255" s="273"/>
      <c r="O1255" s="273"/>
      <c r="P1255" s="273"/>
      <c r="Q1255" s="273"/>
      <c r="R1255" s="273"/>
      <c r="S1255" s="273"/>
      <c r="T1255" s="273"/>
      <c r="U1255" s="273"/>
      <c r="V1255" s="273"/>
      <c r="W1255" s="273"/>
      <c r="X1255" s="273"/>
      <c r="Y1255" s="274" t="n">
        <f aca="false">SUM(B1255:X1255)</f>
        <v>-405.675</v>
      </c>
      <c r="Z1255" s="272"/>
      <c r="AA1255" s="276"/>
    </row>
    <row r="1256" customFormat="false" ht="14.25" hidden="false" customHeight="false" outlineLevel="0" collapsed="false">
      <c r="A1256" s="272" t="s">
        <v>1309</v>
      </c>
      <c r="B1256" s="273"/>
      <c r="C1256" s="273"/>
      <c r="D1256" s="273"/>
      <c r="E1256" s="273"/>
      <c r="F1256" s="273"/>
      <c r="G1256" s="273"/>
      <c r="H1256" s="273"/>
      <c r="I1256" s="273"/>
      <c r="J1256" s="273"/>
      <c r="K1256" s="273"/>
      <c r="L1256" s="273"/>
      <c r="M1256" s="273"/>
      <c r="N1256" s="273"/>
      <c r="O1256" s="273" t="n">
        <v>-3992.28</v>
      </c>
      <c r="P1256" s="273"/>
      <c r="Q1256" s="273"/>
      <c r="R1256" s="273"/>
      <c r="S1256" s="273"/>
      <c r="T1256" s="273"/>
      <c r="U1256" s="273"/>
      <c r="V1256" s="273"/>
      <c r="W1256" s="273"/>
      <c r="X1256" s="273"/>
      <c r="Y1256" s="274" t="n">
        <f aca="false">SUM(B1256:X1256)</f>
        <v>-3992.28</v>
      </c>
      <c r="Z1256" s="272"/>
      <c r="AA1256" s="276"/>
    </row>
    <row r="1257" customFormat="false" ht="14.25" hidden="false" customHeight="false" outlineLevel="0" collapsed="false">
      <c r="A1257" s="272" t="s">
        <v>1310</v>
      </c>
      <c r="B1257" s="273"/>
      <c r="C1257" s="273"/>
      <c r="D1257" s="273"/>
      <c r="E1257" s="273"/>
      <c r="F1257" s="273"/>
      <c r="G1257" s="273"/>
      <c r="H1257" s="273"/>
      <c r="I1257" s="273"/>
      <c r="J1257" s="273" t="n">
        <v>-32215.749</v>
      </c>
      <c r="K1257" s="273"/>
      <c r="L1257" s="273"/>
      <c r="M1257" s="273"/>
      <c r="N1257" s="273"/>
      <c r="O1257" s="273"/>
      <c r="P1257" s="273"/>
      <c r="Q1257" s="273"/>
      <c r="R1257" s="273"/>
      <c r="S1257" s="273"/>
      <c r="T1257" s="273"/>
      <c r="U1257" s="273"/>
      <c r="V1257" s="273"/>
      <c r="W1257" s="273"/>
      <c r="X1257" s="273"/>
      <c r="Y1257" s="274" t="n">
        <f aca="false">SUM(B1257:X1257)</f>
        <v>-32215.749</v>
      </c>
      <c r="Z1257" s="272"/>
      <c r="AA1257" s="276"/>
    </row>
    <row r="1258" customFormat="false" ht="14.25" hidden="false" customHeight="false" outlineLevel="0" collapsed="false">
      <c r="A1258" s="272" t="s">
        <v>1311</v>
      </c>
      <c r="B1258" s="273"/>
      <c r="C1258" s="273"/>
      <c r="D1258" s="273"/>
      <c r="E1258" s="273"/>
      <c r="F1258" s="273"/>
      <c r="G1258" s="273"/>
      <c r="H1258" s="273"/>
      <c r="I1258" s="273"/>
      <c r="J1258" s="273"/>
      <c r="K1258" s="273"/>
      <c r="L1258" s="273"/>
      <c r="M1258" s="273"/>
      <c r="N1258" s="273"/>
      <c r="O1258" s="273"/>
      <c r="P1258" s="273"/>
      <c r="Q1258" s="273"/>
      <c r="R1258" s="273" t="n">
        <v>-322.677</v>
      </c>
      <c r="S1258" s="273"/>
      <c r="T1258" s="273"/>
      <c r="U1258" s="273"/>
      <c r="V1258" s="273"/>
      <c r="W1258" s="273"/>
      <c r="X1258" s="273"/>
      <c r="Y1258" s="274" t="n">
        <f aca="false">SUM(B1258:X1258)</f>
        <v>-322.677</v>
      </c>
      <c r="Z1258" s="272"/>
      <c r="AA1258" s="276"/>
    </row>
    <row r="1259" customFormat="false" ht="14.25" hidden="false" customHeight="false" outlineLevel="0" collapsed="false">
      <c r="A1259" s="272" t="s">
        <v>1312</v>
      </c>
      <c r="B1259" s="273"/>
      <c r="C1259" s="273"/>
      <c r="D1259" s="273" t="n">
        <v>-62405.697</v>
      </c>
      <c r="E1259" s="273"/>
      <c r="F1259" s="273"/>
      <c r="G1259" s="273"/>
      <c r="H1259" s="273"/>
      <c r="I1259" s="273"/>
      <c r="J1259" s="273" t="n">
        <v>-49533.01</v>
      </c>
      <c r="K1259" s="273"/>
      <c r="L1259" s="273"/>
      <c r="M1259" s="273" t="n">
        <v>-23265.3</v>
      </c>
      <c r="N1259" s="273"/>
      <c r="O1259" s="273"/>
      <c r="P1259" s="273"/>
      <c r="Q1259" s="273"/>
      <c r="R1259" s="273"/>
      <c r="S1259" s="273"/>
      <c r="T1259" s="273"/>
      <c r="U1259" s="273"/>
      <c r="V1259" s="273"/>
      <c r="W1259" s="273"/>
      <c r="X1259" s="273"/>
      <c r="Y1259" s="274" t="n">
        <f aca="false">SUM(B1259:X1259)</f>
        <v>-135204.007</v>
      </c>
      <c r="Z1259" s="272"/>
      <c r="AA1259" s="276"/>
    </row>
    <row r="1260" customFormat="false" ht="14.25" hidden="false" customHeight="false" outlineLevel="0" collapsed="false">
      <c r="A1260" s="272" t="s">
        <v>1313</v>
      </c>
      <c r="B1260" s="273"/>
      <c r="C1260" s="273"/>
      <c r="D1260" s="273"/>
      <c r="E1260" s="273"/>
      <c r="F1260" s="273"/>
      <c r="G1260" s="273"/>
      <c r="H1260" s="273"/>
      <c r="I1260" s="273"/>
      <c r="J1260" s="273"/>
      <c r="K1260" s="273"/>
      <c r="L1260" s="273"/>
      <c r="M1260" s="273" t="n">
        <v>-5948.6145</v>
      </c>
      <c r="N1260" s="273"/>
      <c r="O1260" s="273"/>
      <c r="P1260" s="273"/>
      <c r="Q1260" s="273"/>
      <c r="R1260" s="273"/>
      <c r="S1260" s="273"/>
      <c r="T1260" s="273"/>
      <c r="U1260" s="273"/>
      <c r="V1260" s="273"/>
      <c r="W1260" s="273"/>
      <c r="X1260" s="273"/>
      <c r="Y1260" s="274" t="n">
        <f aca="false">SUM(B1260:X1260)</f>
        <v>-5948.6145</v>
      </c>
      <c r="Z1260" s="272"/>
      <c r="AA1260" s="276"/>
    </row>
    <row r="1261" customFormat="false" ht="14.25" hidden="false" customHeight="false" outlineLevel="0" collapsed="false">
      <c r="A1261" s="272" t="s">
        <v>1314</v>
      </c>
      <c r="B1261" s="273" t="n">
        <v>-345.9825</v>
      </c>
      <c r="C1261" s="273"/>
      <c r="D1261" s="273"/>
      <c r="E1261" s="273"/>
      <c r="F1261" s="273"/>
      <c r="G1261" s="273"/>
      <c r="H1261" s="273"/>
      <c r="I1261" s="273"/>
      <c r="J1261" s="273"/>
      <c r="K1261" s="273"/>
      <c r="L1261" s="273"/>
      <c r="M1261" s="273"/>
      <c r="N1261" s="273"/>
      <c r="O1261" s="273"/>
      <c r="P1261" s="273"/>
      <c r="Q1261" s="273"/>
      <c r="R1261" s="273"/>
      <c r="S1261" s="273"/>
      <c r="T1261" s="273"/>
      <c r="U1261" s="273"/>
      <c r="V1261" s="273"/>
      <c r="W1261" s="273"/>
      <c r="X1261" s="273"/>
      <c r="Y1261" s="274" t="n">
        <f aca="false">SUM(B1261:X1261)</f>
        <v>-345.9825</v>
      </c>
      <c r="Z1261" s="272"/>
      <c r="AA1261" s="276"/>
    </row>
    <row r="1262" customFormat="false" ht="14.25" hidden="false" customHeight="false" outlineLevel="0" collapsed="false">
      <c r="A1262" s="272" t="s">
        <v>1315</v>
      </c>
      <c r="B1262" s="273"/>
      <c r="C1262" s="273"/>
      <c r="D1262" s="273"/>
      <c r="E1262" s="273"/>
      <c r="F1262" s="273"/>
      <c r="G1262" s="273"/>
      <c r="H1262" s="273"/>
      <c r="I1262" s="273"/>
      <c r="J1262" s="273"/>
      <c r="K1262" s="273"/>
      <c r="L1262" s="273"/>
      <c r="M1262" s="273"/>
      <c r="N1262" s="273"/>
      <c r="O1262" s="273" t="n">
        <v>672.894</v>
      </c>
      <c r="P1262" s="273"/>
      <c r="Q1262" s="273"/>
      <c r="R1262" s="273"/>
      <c r="S1262" s="273"/>
      <c r="T1262" s="273"/>
      <c r="U1262" s="273"/>
      <c r="V1262" s="273"/>
      <c r="W1262" s="273"/>
      <c r="X1262" s="273"/>
      <c r="Y1262" s="274" t="n">
        <f aca="false">SUM(B1262:X1262)</f>
        <v>672.894</v>
      </c>
      <c r="Z1262" s="272"/>
      <c r="AA1262" s="276"/>
    </row>
    <row r="1263" customFormat="false" ht="14.25" hidden="false" customHeight="false" outlineLevel="0" collapsed="false">
      <c r="A1263" s="272" t="s">
        <v>1316</v>
      </c>
      <c r="B1263" s="273"/>
      <c r="C1263" s="273"/>
      <c r="D1263" s="273"/>
      <c r="E1263" s="273"/>
      <c r="F1263" s="273"/>
      <c r="G1263" s="273"/>
      <c r="H1263" s="273"/>
      <c r="I1263" s="273"/>
      <c r="J1263" s="273"/>
      <c r="K1263" s="273"/>
      <c r="L1263" s="273"/>
      <c r="M1263" s="273"/>
      <c r="N1263" s="273" t="n">
        <v>-2716.175</v>
      </c>
      <c r="O1263" s="273"/>
      <c r="P1263" s="273"/>
      <c r="Q1263" s="273"/>
      <c r="R1263" s="273"/>
      <c r="S1263" s="273"/>
      <c r="T1263" s="273"/>
      <c r="U1263" s="273"/>
      <c r="V1263" s="273"/>
      <c r="W1263" s="273"/>
      <c r="X1263" s="273"/>
      <c r="Y1263" s="274" t="n">
        <f aca="false">SUM(B1263:X1263)</f>
        <v>-2716.175</v>
      </c>
      <c r="Z1263" s="272"/>
      <c r="AA1263" s="276"/>
    </row>
    <row r="1264" customFormat="false" ht="14.25" hidden="false" customHeight="false" outlineLevel="0" collapsed="false">
      <c r="A1264" s="272" t="s">
        <v>1317</v>
      </c>
      <c r="B1264" s="273"/>
      <c r="C1264" s="273"/>
      <c r="D1264" s="273"/>
      <c r="E1264" s="273"/>
      <c r="F1264" s="273" t="n">
        <v>-631.356</v>
      </c>
      <c r="G1264" s="273"/>
      <c r="H1264" s="273"/>
      <c r="I1264" s="273"/>
      <c r="J1264" s="273"/>
      <c r="K1264" s="273"/>
      <c r="L1264" s="273"/>
      <c r="M1264" s="273"/>
      <c r="N1264" s="273"/>
      <c r="O1264" s="273"/>
      <c r="P1264" s="273"/>
      <c r="Q1264" s="273"/>
      <c r="R1264" s="273"/>
      <c r="S1264" s="273"/>
      <c r="T1264" s="273"/>
      <c r="U1264" s="273"/>
      <c r="V1264" s="273"/>
      <c r="W1264" s="273"/>
      <c r="X1264" s="273"/>
      <c r="Y1264" s="274" t="n">
        <f aca="false">SUM(B1264:X1264)</f>
        <v>-631.356</v>
      </c>
      <c r="Z1264" s="272"/>
      <c r="AA1264" s="276"/>
    </row>
    <row r="1265" customFormat="false" ht="14.25" hidden="false" customHeight="false" outlineLevel="0" collapsed="false">
      <c r="A1265" s="272" t="s">
        <v>1318</v>
      </c>
      <c r="B1265" s="273" t="n">
        <v>-2625.4375</v>
      </c>
      <c r="C1265" s="273"/>
      <c r="D1265" s="273"/>
      <c r="E1265" s="273" t="n">
        <v>1922.598</v>
      </c>
      <c r="F1265" s="273"/>
      <c r="G1265" s="273"/>
      <c r="H1265" s="273"/>
      <c r="I1265" s="273"/>
      <c r="J1265" s="273" t="n">
        <v>-1532.9835</v>
      </c>
      <c r="K1265" s="273"/>
      <c r="L1265" s="273"/>
      <c r="M1265" s="273"/>
      <c r="N1265" s="273"/>
      <c r="O1265" s="273"/>
      <c r="P1265" s="273" t="n">
        <v>-207.968</v>
      </c>
      <c r="Q1265" s="273"/>
      <c r="R1265" s="273" t="n">
        <v>-1936.062</v>
      </c>
      <c r="S1265" s="273"/>
      <c r="T1265" s="273"/>
      <c r="U1265" s="273"/>
      <c r="V1265" s="273"/>
      <c r="W1265" s="273"/>
      <c r="X1265" s="273"/>
      <c r="Y1265" s="274" t="n">
        <f aca="false">SUM(B1265:X1265)</f>
        <v>-4379.853</v>
      </c>
      <c r="Z1265" s="272"/>
      <c r="AA1265" s="276"/>
    </row>
    <row r="1266" customFormat="false" ht="14.25" hidden="false" customHeight="false" outlineLevel="0" collapsed="false">
      <c r="A1266" s="272" t="s">
        <v>1319</v>
      </c>
      <c r="B1266" s="273"/>
      <c r="C1266" s="273"/>
      <c r="D1266" s="273"/>
      <c r="E1266" s="273"/>
      <c r="F1266" s="273"/>
      <c r="G1266" s="273"/>
      <c r="H1266" s="273"/>
      <c r="I1266" s="273"/>
      <c r="J1266" s="273"/>
      <c r="K1266" s="273"/>
      <c r="L1266" s="273"/>
      <c r="M1266" s="273"/>
      <c r="N1266" s="273"/>
      <c r="O1266" s="273"/>
      <c r="P1266" s="273"/>
      <c r="Q1266" s="273"/>
      <c r="R1266" s="273" t="n">
        <v>-537.795</v>
      </c>
      <c r="S1266" s="273"/>
      <c r="T1266" s="273"/>
      <c r="U1266" s="273"/>
      <c r="V1266" s="273"/>
      <c r="W1266" s="273"/>
      <c r="X1266" s="273"/>
      <c r="Y1266" s="274" t="n">
        <f aca="false">SUM(B1266:X1266)</f>
        <v>-537.795</v>
      </c>
      <c r="Z1266" s="272"/>
      <c r="AA1266" s="276"/>
    </row>
    <row r="1267" customFormat="false" ht="14.25" hidden="false" customHeight="false" outlineLevel="0" collapsed="false">
      <c r="A1267" s="272" t="s">
        <v>1320</v>
      </c>
      <c r="B1267" s="273"/>
      <c r="C1267" s="273"/>
      <c r="D1267" s="273"/>
      <c r="E1267" s="273"/>
      <c r="F1267" s="273" t="n">
        <v>-573.96</v>
      </c>
      <c r="G1267" s="273"/>
      <c r="H1267" s="273"/>
      <c r="I1267" s="273"/>
      <c r="J1267" s="273"/>
      <c r="K1267" s="273"/>
      <c r="L1267" s="273"/>
      <c r="M1267" s="273"/>
      <c r="N1267" s="273"/>
      <c r="O1267" s="273"/>
      <c r="P1267" s="273"/>
      <c r="Q1267" s="273"/>
      <c r="R1267" s="273"/>
      <c r="S1267" s="273"/>
      <c r="T1267" s="273"/>
      <c r="U1267" s="273"/>
      <c r="V1267" s="273"/>
      <c r="W1267" s="273"/>
      <c r="X1267" s="273"/>
      <c r="Y1267" s="274" t="n">
        <f aca="false">SUM(B1267:X1267)</f>
        <v>-573.96</v>
      </c>
      <c r="Z1267" s="272"/>
      <c r="AA1267" s="276"/>
    </row>
    <row r="1268" customFormat="false" ht="14.25" hidden="false" customHeight="false" outlineLevel="0" collapsed="false">
      <c r="A1268" s="272" t="s">
        <v>1321</v>
      </c>
      <c r="B1268" s="273"/>
      <c r="C1268" s="273"/>
      <c r="D1268" s="273"/>
      <c r="E1268" s="273"/>
      <c r="F1268" s="273"/>
      <c r="G1268" s="273"/>
      <c r="H1268" s="273"/>
      <c r="I1268" s="273"/>
      <c r="J1268" s="273"/>
      <c r="K1268" s="273"/>
      <c r="L1268" s="273"/>
      <c r="M1268" s="273"/>
      <c r="N1268" s="273"/>
      <c r="O1268" s="273" t="n">
        <v>-8064</v>
      </c>
      <c r="P1268" s="273"/>
      <c r="Q1268" s="273"/>
      <c r="R1268" s="273"/>
      <c r="S1268" s="273"/>
      <c r="T1268" s="273"/>
      <c r="U1268" s="273"/>
      <c r="V1268" s="273"/>
      <c r="W1268" s="273"/>
      <c r="X1268" s="273"/>
      <c r="Y1268" s="274" t="n">
        <f aca="false">SUM(B1268:X1268)</f>
        <v>-8064</v>
      </c>
      <c r="Z1268" s="272"/>
      <c r="AA1268" s="276"/>
    </row>
    <row r="1269" customFormat="false" ht="14.25" hidden="false" customHeight="false" outlineLevel="0" collapsed="false">
      <c r="A1269" s="272" t="s">
        <v>1322</v>
      </c>
      <c r="B1269" s="273"/>
      <c r="C1269" s="273"/>
      <c r="D1269" s="273"/>
      <c r="E1269" s="273"/>
      <c r="F1269" s="273" t="n">
        <v>-803.544</v>
      </c>
      <c r="G1269" s="273"/>
      <c r="H1269" s="273"/>
      <c r="I1269" s="273"/>
      <c r="J1269" s="273"/>
      <c r="K1269" s="273"/>
      <c r="L1269" s="273"/>
      <c r="M1269" s="273"/>
      <c r="N1269" s="273"/>
      <c r="O1269" s="273"/>
      <c r="P1269" s="273"/>
      <c r="Q1269" s="273"/>
      <c r="R1269" s="273"/>
      <c r="S1269" s="273"/>
      <c r="T1269" s="273"/>
      <c r="U1269" s="273"/>
      <c r="V1269" s="273"/>
      <c r="W1269" s="273"/>
      <c r="X1269" s="273"/>
      <c r="Y1269" s="274" t="n">
        <f aca="false">SUM(B1269:X1269)</f>
        <v>-803.544</v>
      </c>
      <c r="Z1269" s="272"/>
      <c r="AA1269" s="276"/>
    </row>
    <row r="1270" customFormat="false" ht="14.25" hidden="false" customHeight="false" outlineLevel="0" collapsed="false">
      <c r="A1270" s="272" t="s">
        <v>1323</v>
      </c>
      <c r="B1270" s="273"/>
      <c r="C1270" s="273"/>
      <c r="D1270" s="273"/>
      <c r="E1270" s="273"/>
      <c r="F1270" s="273" t="n">
        <v>-1458.9135</v>
      </c>
      <c r="G1270" s="273"/>
      <c r="H1270" s="273"/>
      <c r="I1270" s="273"/>
      <c r="J1270" s="273"/>
      <c r="K1270" s="273"/>
      <c r="L1270" s="273"/>
      <c r="M1270" s="273"/>
      <c r="N1270" s="273"/>
      <c r="O1270" s="273"/>
      <c r="P1270" s="273"/>
      <c r="Q1270" s="273"/>
      <c r="R1270" s="273"/>
      <c r="S1270" s="273"/>
      <c r="T1270" s="273"/>
      <c r="U1270" s="273"/>
      <c r="V1270" s="273"/>
      <c r="W1270" s="273"/>
      <c r="X1270" s="273"/>
      <c r="Y1270" s="274" t="n">
        <f aca="false">SUM(B1270:X1270)</f>
        <v>-1458.9135</v>
      </c>
      <c r="Z1270" s="272"/>
      <c r="AA1270" s="276"/>
    </row>
    <row r="1271" customFormat="false" ht="14.25" hidden="false" customHeight="false" outlineLevel="0" collapsed="false">
      <c r="A1271" s="272" t="s">
        <v>1324</v>
      </c>
      <c r="B1271" s="273"/>
      <c r="C1271" s="273"/>
      <c r="D1271" s="273"/>
      <c r="E1271" s="273"/>
      <c r="F1271" s="273" t="n">
        <v>-2962.0365</v>
      </c>
      <c r="G1271" s="273"/>
      <c r="H1271" s="273"/>
      <c r="I1271" s="273"/>
      <c r="J1271" s="273"/>
      <c r="K1271" s="273"/>
      <c r="L1271" s="273"/>
      <c r="M1271" s="273"/>
      <c r="N1271" s="273"/>
      <c r="O1271" s="273"/>
      <c r="P1271" s="273"/>
      <c r="Q1271" s="273"/>
      <c r="R1271" s="273"/>
      <c r="S1271" s="273"/>
      <c r="T1271" s="273"/>
      <c r="U1271" s="273" t="s">
        <v>1325</v>
      </c>
      <c r="V1271" s="273"/>
      <c r="W1271" s="273"/>
      <c r="X1271" s="273"/>
      <c r="Y1271" s="274" t="n">
        <f aca="false">SUM(B1271:X1271)</f>
        <v>-2962.0365</v>
      </c>
      <c r="Z1271" s="272"/>
      <c r="AA1271" s="276"/>
    </row>
    <row r="1272" customFormat="false" ht="14.25" hidden="false" customHeight="false" outlineLevel="0" collapsed="false">
      <c r="A1272" s="272" t="s">
        <v>1326</v>
      </c>
      <c r="B1272" s="273" t="n">
        <v>-965.58</v>
      </c>
      <c r="C1272" s="273"/>
      <c r="D1272" s="273"/>
      <c r="E1272" s="273"/>
      <c r="F1272" s="273"/>
      <c r="G1272" s="273"/>
      <c r="H1272" s="273"/>
      <c r="I1272" s="273"/>
      <c r="J1272" s="273"/>
      <c r="K1272" s="273"/>
      <c r="L1272" s="273"/>
      <c r="M1272" s="273"/>
      <c r="N1272" s="273"/>
      <c r="O1272" s="273"/>
      <c r="P1272" s="273"/>
      <c r="Q1272" s="273"/>
      <c r="R1272" s="273"/>
      <c r="S1272" s="273"/>
      <c r="T1272" s="273"/>
      <c r="U1272" s="273"/>
      <c r="V1272" s="273"/>
      <c r="W1272" s="273"/>
      <c r="X1272" s="273"/>
      <c r="Y1272" s="274" t="n">
        <f aca="false">SUM(B1272:X1272)</f>
        <v>-965.58</v>
      </c>
      <c r="Z1272" s="272"/>
      <c r="AA1272" s="276"/>
    </row>
    <row r="1273" customFormat="false" ht="14.25" hidden="false" customHeight="false" outlineLevel="0" collapsed="false">
      <c r="A1273" s="272" t="s">
        <v>1327</v>
      </c>
      <c r="B1273" s="273"/>
      <c r="C1273" s="273"/>
      <c r="D1273" s="273"/>
      <c r="E1273" s="273"/>
      <c r="F1273" s="273" t="n">
        <v>-18472.845</v>
      </c>
      <c r="G1273" s="273"/>
      <c r="H1273" s="273"/>
      <c r="I1273" s="273"/>
      <c r="J1273" s="273"/>
      <c r="K1273" s="273"/>
      <c r="L1273" s="273"/>
      <c r="M1273" s="273"/>
      <c r="N1273" s="273"/>
      <c r="O1273" s="273"/>
      <c r="P1273" s="273"/>
      <c r="Q1273" s="273"/>
      <c r="R1273" s="273"/>
      <c r="S1273" s="273"/>
      <c r="T1273" s="273"/>
      <c r="U1273" s="273"/>
      <c r="V1273" s="273"/>
      <c r="W1273" s="273"/>
      <c r="X1273" s="273"/>
      <c r="Y1273" s="274" t="n">
        <f aca="false">SUM(B1273:X1273)</f>
        <v>-18472.845</v>
      </c>
      <c r="Z1273" s="272"/>
      <c r="AA1273" s="276"/>
    </row>
    <row r="1274" customFormat="false" ht="14.25" hidden="false" customHeight="false" outlineLevel="0" collapsed="false">
      <c r="A1274" s="272" t="s">
        <v>1328</v>
      </c>
      <c r="B1274" s="273"/>
      <c r="C1274" s="273"/>
      <c r="D1274" s="273"/>
      <c r="E1274" s="273"/>
      <c r="F1274" s="273" t="n">
        <v>-918.336</v>
      </c>
      <c r="G1274" s="273"/>
      <c r="H1274" s="273"/>
      <c r="I1274" s="273"/>
      <c r="J1274" s="273"/>
      <c r="K1274" s="273"/>
      <c r="L1274" s="273"/>
      <c r="M1274" s="273"/>
      <c r="N1274" s="273"/>
      <c r="O1274" s="273"/>
      <c r="P1274" s="273"/>
      <c r="Q1274" s="273"/>
      <c r="R1274" s="273"/>
      <c r="S1274" s="273"/>
      <c r="T1274" s="273"/>
      <c r="U1274" s="273"/>
      <c r="V1274" s="273"/>
      <c r="W1274" s="273"/>
      <c r="X1274" s="273"/>
      <c r="Y1274" s="274" t="n">
        <f aca="false">SUM(B1274:X1274)</f>
        <v>-918.336</v>
      </c>
      <c r="Z1274" s="272"/>
      <c r="AA1274" s="276"/>
    </row>
    <row r="1275" customFormat="false" ht="14.25" hidden="false" customHeight="false" outlineLevel="0" collapsed="false">
      <c r="A1275" s="272" t="s">
        <v>1329</v>
      </c>
      <c r="B1275" s="273"/>
      <c r="C1275" s="273" t="n">
        <v>1110.744</v>
      </c>
      <c r="D1275" s="273"/>
      <c r="E1275" s="273"/>
      <c r="F1275" s="273"/>
      <c r="G1275" s="273"/>
      <c r="H1275" s="273"/>
      <c r="I1275" s="273"/>
      <c r="J1275" s="273"/>
      <c r="K1275" s="273"/>
      <c r="L1275" s="273"/>
      <c r="M1275" s="273"/>
      <c r="N1275" s="273"/>
      <c r="O1275" s="273"/>
      <c r="P1275" s="273"/>
      <c r="Q1275" s="273"/>
      <c r="R1275" s="273"/>
      <c r="S1275" s="273"/>
      <c r="T1275" s="273"/>
      <c r="U1275" s="273"/>
      <c r="V1275" s="273"/>
      <c r="W1275" s="273"/>
      <c r="X1275" s="273"/>
      <c r="Y1275" s="274" t="n">
        <f aca="false">SUM(B1275:X1275)</f>
        <v>1110.744</v>
      </c>
      <c r="Z1275" s="272"/>
      <c r="AA1275" s="276"/>
    </row>
    <row r="1276" customFormat="false" ht="14.25" hidden="false" customHeight="false" outlineLevel="0" collapsed="false">
      <c r="A1276" s="272" t="s">
        <v>1283</v>
      </c>
      <c r="B1276" s="273"/>
      <c r="C1276" s="273"/>
      <c r="D1276" s="273"/>
      <c r="E1276" s="273" t="n">
        <v>3845.196</v>
      </c>
      <c r="F1276" s="273" t="n">
        <v>-1555.608</v>
      </c>
      <c r="G1276" s="273"/>
      <c r="H1276" s="273"/>
      <c r="I1276" s="273"/>
      <c r="J1276" s="273"/>
      <c r="K1276" s="273"/>
      <c r="L1276" s="273"/>
      <c r="M1276" s="273"/>
      <c r="N1276" s="273"/>
      <c r="O1276" s="273"/>
      <c r="P1276" s="273"/>
      <c r="Q1276" s="273"/>
      <c r="R1276" s="273"/>
      <c r="S1276" s="273"/>
      <c r="T1276" s="273"/>
      <c r="U1276" s="273"/>
      <c r="V1276" s="273"/>
      <c r="W1276" s="273"/>
      <c r="X1276" s="273"/>
      <c r="Y1276" s="274" t="n">
        <f aca="false">SUM(B1276:X1276)</f>
        <v>2289.588</v>
      </c>
      <c r="Z1276" s="272"/>
      <c r="AA1276" s="276"/>
    </row>
    <row r="1277" customFormat="false" ht="14.25" hidden="false" customHeight="false" outlineLevel="0" collapsed="false">
      <c r="A1277" s="272" t="s">
        <v>1330</v>
      </c>
      <c r="B1277" s="273"/>
      <c r="C1277" s="273"/>
      <c r="D1277" s="273"/>
      <c r="E1277" s="273"/>
      <c r="F1277" s="273" t="n">
        <v>-5839.2</v>
      </c>
      <c r="G1277" s="273"/>
      <c r="H1277" s="273"/>
      <c r="I1277" s="273"/>
      <c r="J1277" s="273"/>
      <c r="K1277" s="273"/>
      <c r="L1277" s="273"/>
      <c r="M1277" s="273"/>
      <c r="N1277" s="273"/>
      <c r="O1277" s="273"/>
      <c r="P1277" s="273"/>
      <c r="Q1277" s="273"/>
      <c r="R1277" s="273"/>
      <c r="S1277" s="273"/>
      <c r="T1277" s="273"/>
      <c r="U1277" s="273"/>
      <c r="V1277" s="273"/>
      <c r="W1277" s="273"/>
      <c r="X1277" s="273"/>
      <c r="Y1277" s="274" t="n">
        <f aca="false">SUM(B1277:X1277)</f>
        <v>-5839.2</v>
      </c>
      <c r="Z1277" s="272"/>
      <c r="AA1277" s="276"/>
    </row>
    <row r="1278" customFormat="false" ht="14.25" hidden="false" customHeight="false" outlineLevel="0" collapsed="false">
      <c r="A1278" s="272" t="s">
        <v>1331</v>
      </c>
      <c r="B1278" s="273"/>
      <c r="C1278" s="273"/>
      <c r="D1278" s="273"/>
      <c r="E1278" s="273"/>
      <c r="F1278" s="273" t="n">
        <v>-2962.0365</v>
      </c>
      <c r="G1278" s="273"/>
      <c r="H1278" s="273"/>
      <c r="I1278" s="273"/>
      <c r="J1278" s="273"/>
      <c r="K1278" s="273"/>
      <c r="L1278" s="273"/>
      <c r="M1278" s="273"/>
      <c r="N1278" s="273"/>
      <c r="O1278" s="273"/>
      <c r="P1278" s="273"/>
      <c r="Q1278" s="273"/>
      <c r="R1278" s="273"/>
      <c r="S1278" s="273"/>
      <c r="T1278" s="273"/>
      <c r="U1278" s="273"/>
      <c r="V1278" s="273"/>
      <c r="W1278" s="273"/>
      <c r="X1278" s="273"/>
      <c r="Y1278" s="274" t="n">
        <f aca="false">SUM(B1278:X1278)</f>
        <v>-2962.0365</v>
      </c>
      <c r="Z1278" s="272"/>
      <c r="AA1278" s="276"/>
    </row>
    <row r="1279" customFormat="false" ht="14.25" hidden="false" customHeight="false" outlineLevel="0" collapsed="false">
      <c r="A1279" s="272" t="s">
        <v>1332</v>
      </c>
      <c r="B1279" s="273"/>
      <c r="C1279" s="273"/>
      <c r="D1279" s="273"/>
      <c r="E1279" s="273"/>
      <c r="F1279" s="273" t="n">
        <v>-4866</v>
      </c>
      <c r="G1279" s="273"/>
      <c r="H1279" s="273"/>
      <c r="I1279" s="273"/>
      <c r="J1279" s="273"/>
      <c r="K1279" s="273"/>
      <c r="L1279" s="273"/>
      <c r="M1279" s="273"/>
      <c r="N1279" s="273"/>
      <c r="O1279" s="273"/>
      <c r="P1279" s="273"/>
      <c r="Q1279" s="273"/>
      <c r="R1279" s="273"/>
      <c r="S1279" s="273"/>
      <c r="T1279" s="273"/>
      <c r="U1279" s="273"/>
      <c r="V1279" s="273"/>
      <c r="W1279" s="273"/>
      <c r="X1279" s="273"/>
      <c r="Y1279" s="274" t="n">
        <f aca="false">SUM(B1279:X1279)</f>
        <v>-4866</v>
      </c>
      <c r="Z1279" s="272"/>
      <c r="AA1279" s="276"/>
    </row>
    <row r="1280" customFormat="false" ht="14.25" hidden="false" customHeight="false" outlineLevel="0" collapsed="false">
      <c r="A1280" s="272" t="s">
        <v>1333</v>
      </c>
      <c r="B1280" s="273"/>
      <c r="C1280" s="273"/>
      <c r="D1280" s="273"/>
      <c r="E1280" s="273"/>
      <c r="F1280" s="273" t="n">
        <v>-1944.51</v>
      </c>
      <c r="G1280" s="273"/>
      <c r="H1280" s="273"/>
      <c r="I1280" s="273"/>
      <c r="J1280" s="273"/>
      <c r="K1280" s="273"/>
      <c r="L1280" s="273"/>
      <c r="M1280" s="273"/>
      <c r="N1280" s="273"/>
      <c r="O1280" s="273"/>
      <c r="P1280" s="273"/>
      <c r="Q1280" s="273"/>
      <c r="R1280" s="273"/>
      <c r="S1280" s="273"/>
      <c r="T1280" s="273"/>
      <c r="U1280" s="273"/>
      <c r="V1280" s="273"/>
      <c r="W1280" s="273"/>
      <c r="X1280" s="273"/>
      <c r="Y1280" s="274" t="n">
        <f aca="false">SUM(B1280:X1280)</f>
        <v>-1944.51</v>
      </c>
      <c r="Z1280" s="272"/>
      <c r="AA1280" s="276"/>
    </row>
    <row r="1281" customFormat="false" ht="14.25" hidden="false" customHeight="false" outlineLevel="0" collapsed="false">
      <c r="A1281" s="272" t="s">
        <v>1334</v>
      </c>
      <c r="B1281" s="273"/>
      <c r="C1281" s="273"/>
      <c r="D1281" s="273"/>
      <c r="E1281" s="273"/>
      <c r="F1281" s="273" t="n">
        <v>-9585.132</v>
      </c>
      <c r="G1281" s="273"/>
      <c r="H1281" s="273"/>
      <c r="I1281" s="273"/>
      <c r="J1281" s="273"/>
      <c r="K1281" s="273"/>
      <c r="L1281" s="273"/>
      <c r="M1281" s="273"/>
      <c r="N1281" s="273"/>
      <c r="O1281" s="273"/>
      <c r="P1281" s="273"/>
      <c r="Q1281" s="273"/>
      <c r="R1281" s="273"/>
      <c r="S1281" s="273"/>
      <c r="T1281" s="273"/>
      <c r="U1281" s="273"/>
      <c r="V1281" s="273"/>
      <c r="W1281" s="273"/>
      <c r="X1281" s="273"/>
      <c r="Y1281" s="274" t="n">
        <f aca="false">SUM(B1281:X1281)</f>
        <v>-9585.132</v>
      </c>
      <c r="Z1281" s="272"/>
      <c r="AA1281" s="276"/>
    </row>
    <row r="1282" customFormat="false" ht="14.25" hidden="false" customHeight="false" outlineLevel="0" collapsed="false">
      <c r="A1282" s="272" t="s">
        <v>1335</v>
      </c>
      <c r="B1282" s="273"/>
      <c r="C1282" s="273"/>
      <c r="D1282" s="273"/>
      <c r="E1282" s="273"/>
      <c r="F1282" s="273" t="n">
        <v>-3845.532</v>
      </c>
      <c r="G1282" s="273"/>
      <c r="H1282" s="273"/>
      <c r="I1282" s="273"/>
      <c r="J1282" s="273"/>
      <c r="K1282" s="273"/>
      <c r="L1282" s="273"/>
      <c r="M1282" s="273"/>
      <c r="N1282" s="273"/>
      <c r="O1282" s="273"/>
      <c r="P1282" s="273"/>
      <c r="Q1282" s="273"/>
      <c r="R1282" s="273"/>
      <c r="S1282" s="273"/>
      <c r="T1282" s="273"/>
      <c r="U1282" s="273"/>
      <c r="V1282" s="273"/>
      <c r="W1282" s="273"/>
      <c r="X1282" s="273"/>
      <c r="Y1282" s="274" t="n">
        <f aca="false">SUM(B1282:X1282)</f>
        <v>-3845.532</v>
      </c>
      <c r="Z1282" s="272"/>
      <c r="AA1282" s="276"/>
    </row>
    <row r="1283" customFormat="false" ht="14.25" hidden="false" customHeight="false" outlineLevel="0" collapsed="false">
      <c r="A1283" s="272" t="s">
        <v>1336</v>
      </c>
      <c r="B1283" s="273"/>
      <c r="C1283" s="273"/>
      <c r="D1283" s="273"/>
      <c r="E1283" s="273"/>
      <c r="F1283" s="273" t="n">
        <v>-3845.532</v>
      </c>
      <c r="G1283" s="273"/>
      <c r="H1283" s="273"/>
      <c r="I1283" s="273"/>
      <c r="J1283" s="273"/>
      <c r="K1283" s="273"/>
      <c r="L1283" s="273"/>
      <c r="M1283" s="273"/>
      <c r="N1283" s="273"/>
      <c r="O1283" s="273"/>
      <c r="P1283" s="273"/>
      <c r="Q1283" s="273"/>
      <c r="R1283" s="273"/>
      <c r="S1283" s="273"/>
      <c r="T1283" s="273"/>
      <c r="U1283" s="273"/>
      <c r="V1283" s="273"/>
      <c r="W1283" s="273"/>
      <c r="X1283" s="273"/>
      <c r="Y1283" s="274" t="n">
        <f aca="false">SUM(B1283:X1283)</f>
        <v>-3845.532</v>
      </c>
      <c r="Z1283" s="272"/>
      <c r="AA1283" s="276"/>
    </row>
    <row r="1284" customFormat="false" ht="14.25" hidden="false" customHeight="false" outlineLevel="0" collapsed="false">
      <c r="A1284" s="272" t="s">
        <v>1337</v>
      </c>
      <c r="B1284" s="273"/>
      <c r="C1284" s="273"/>
      <c r="D1284" s="273"/>
      <c r="E1284" s="273"/>
      <c r="F1284" s="273" t="n">
        <v>-9183.36</v>
      </c>
      <c r="G1284" s="273"/>
      <c r="H1284" s="273"/>
      <c r="I1284" s="273"/>
      <c r="J1284" s="273"/>
      <c r="K1284" s="273"/>
      <c r="L1284" s="273"/>
      <c r="M1284" s="273"/>
      <c r="N1284" s="273"/>
      <c r="O1284" s="273"/>
      <c r="P1284" s="273"/>
      <c r="Q1284" s="273"/>
      <c r="R1284" s="273"/>
      <c r="S1284" s="273"/>
      <c r="T1284" s="273"/>
      <c r="U1284" s="273"/>
      <c r="V1284" s="273"/>
      <c r="W1284" s="273"/>
      <c r="X1284" s="273"/>
      <c r="Y1284" s="274" t="n">
        <f aca="false">SUM(B1284:X1284)</f>
        <v>-9183.36</v>
      </c>
      <c r="Z1284" s="272"/>
      <c r="AA1284" s="276"/>
    </row>
    <row r="1285" customFormat="false" ht="14.25" hidden="false" customHeight="false" outlineLevel="0" collapsed="false">
      <c r="A1285" s="272" t="s">
        <v>1338</v>
      </c>
      <c r="B1285" s="273"/>
      <c r="C1285" s="273"/>
      <c r="D1285" s="273"/>
      <c r="E1285" s="273"/>
      <c r="F1285" s="273"/>
      <c r="G1285" s="273"/>
      <c r="H1285" s="273"/>
      <c r="I1285" s="273"/>
      <c r="J1285" s="273"/>
      <c r="K1285" s="273"/>
      <c r="L1285" s="273"/>
      <c r="M1285" s="273"/>
      <c r="N1285" s="273"/>
      <c r="O1285" s="273"/>
      <c r="P1285" s="273" t="n">
        <v>-76.5</v>
      </c>
      <c r="Q1285" s="273"/>
      <c r="R1285" s="273"/>
      <c r="S1285" s="273"/>
      <c r="T1285" s="273"/>
      <c r="U1285" s="273"/>
      <c r="V1285" s="273"/>
      <c r="W1285" s="273"/>
      <c r="X1285" s="273"/>
      <c r="Y1285" s="274" t="n">
        <f aca="false">SUM(B1285:X1285)</f>
        <v>-76.5</v>
      </c>
      <c r="Z1285" s="272"/>
      <c r="AA1285" s="276"/>
    </row>
    <row r="1286" customFormat="false" ht="14.25" hidden="false" customHeight="false" outlineLevel="0" collapsed="false">
      <c r="A1286" s="272" t="s">
        <v>1339</v>
      </c>
      <c r="B1286" s="273"/>
      <c r="C1286" s="273"/>
      <c r="D1286" s="273"/>
      <c r="E1286" s="273"/>
      <c r="F1286" s="273" t="n">
        <v>-2962.0365</v>
      </c>
      <c r="G1286" s="273"/>
      <c r="H1286" s="273"/>
      <c r="I1286" s="273"/>
      <c r="J1286" s="273"/>
      <c r="K1286" s="273"/>
      <c r="L1286" s="273"/>
      <c r="M1286" s="273"/>
      <c r="N1286" s="273"/>
      <c r="O1286" s="273"/>
      <c r="P1286" s="273"/>
      <c r="Q1286" s="273"/>
      <c r="R1286" s="273"/>
      <c r="S1286" s="273"/>
      <c r="T1286" s="273"/>
      <c r="U1286" s="273"/>
      <c r="V1286" s="273"/>
      <c r="W1286" s="273"/>
      <c r="X1286" s="273"/>
      <c r="Y1286" s="274" t="n">
        <f aca="false">SUM(B1286:X1286)</f>
        <v>-2962.0365</v>
      </c>
      <c r="Z1286" s="272"/>
      <c r="AA1286" s="276"/>
    </row>
    <row r="1287" customFormat="false" ht="14.25" hidden="false" customHeight="false" outlineLevel="0" collapsed="false">
      <c r="A1287" s="272" t="s">
        <v>1340</v>
      </c>
      <c r="B1287" s="273"/>
      <c r="C1287" s="273"/>
      <c r="D1287" s="273"/>
      <c r="E1287" s="273"/>
      <c r="F1287" s="273" t="n">
        <v>224.19</v>
      </c>
      <c r="G1287" s="273"/>
      <c r="H1287" s="273"/>
      <c r="I1287" s="273"/>
      <c r="J1287" s="273"/>
      <c r="K1287" s="273"/>
      <c r="L1287" s="273"/>
      <c r="M1287" s="273"/>
      <c r="N1287" s="273"/>
      <c r="O1287" s="273"/>
      <c r="P1287" s="273"/>
      <c r="Q1287" s="273"/>
      <c r="R1287" s="273"/>
      <c r="S1287" s="273"/>
      <c r="T1287" s="273"/>
      <c r="U1287" s="273"/>
      <c r="V1287" s="273"/>
      <c r="W1287" s="273"/>
      <c r="X1287" s="273"/>
      <c r="Y1287" s="274" t="n">
        <f aca="false">SUM(B1287:X1287)</f>
        <v>224.19</v>
      </c>
      <c r="Z1287" s="272"/>
      <c r="AA1287" s="276"/>
    </row>
    <row r="1288" customFormat="false" ht="14.25" hidden="false" customHeight="false" outlineLevel="0" collapsed="false">
      <c r="A1288" s="272" t="s">
        <v>1341</v>
      </c>
      <c r="B1288" s="273"/>
      <c r="C1288" s="273"/>
      <c r="D1288" s="273"/>
      <c r="E1288" s="273"/>
      <c r="F1288" s="273"/>
      <c r="G1288" s="273"/>
      <c r="H1288" s="273"/>
      <c r="I1288" s="273"/>
      <c r="J1288" s="273" t="n">
        <v>-4737.369</v>
      </c>
      <c r="K1288" s="273"/>
      <c r="L1288" s="273"/>
      <c r="M1288" s="273"/>
      <c r="N1288" s="273"/>
      <c r="O1288" s="273"/>
      <c r="P1288" s="273"/>
      <c r="Q1288" s="273"/>
      <c r="R1288" s="273"/>
      <c r="S1288" s="273"/>
      <c r="T1288" s="273"/>
      <c r="U1288" s="273"/>
      <c r="V1288" s="273"/>
      <c r="W1288" s="273"/>
      <c r="X1288" s="273"/>
      <c r="Y1288" s="274" t="n">
        <f aca="false">SUM(B1288:X1288)</f>
        <v>-4737.369</v>
      </c>
      <c r="Z1288" s="272"/>
      <c r="AA1288" s="276"/>
    </row>
    <row r="1289" customFormat="false" ht="14.25" hidden="false" customHeight="false" outlineLevel="0" collapsed="false">
      <c r="A1289" s="272" t="s">
        <v>1342</v>
      </c>
      <c r="B1289" s="273" t="n">
        <v>-523.73</v>
      </c>
      <c r="C1289" s="273"/>
      <c r="D1289" s="273"/>
      <c r="E1289" s="273"/>
      <c r="F1289" s="273"/>
      <c r="G1289" s="273"/>
      <c r="H1289" s="273"/>
      <c r="I1289" s="273"/>
      <c r="J1289" s="273"/>
      <c r="K1289" s="273"/>
      <c r="L1289" s="273"/>
      <c r="M1289" s="273"/>
      <c r="N1289" s="273"/>
      <c r="O1289" s="273"/>
      <c r="P1289" s="273"/>
      <c r="Q1289" s="273"/>
      <c r="R1289" s="273"/>
      <c r="S1289" s="273"/>
      <c r="T1289" s="273"/>
      <c r="U1289" s="273"/>
      <c r="V1289" s="273"/>
      <c r="W1289" s="273"/>
      <c r="X1289" s="273"/>
      <c r="Y1289" s="274" t="n">
        <f aca="false">SUM(B1289:X1289)</f>
        <v>-523.73</v>
      </c>
      <c r="Z1289" s="272"/>
      <c r="AA1289" s="276"/>
    </row>
    <row r="1290" customFormat="false" ht="14.25" hidden="false" customHeight="false" outlineLevel="0" collapsed="false">
      <c r="A1290" s="272" t="s">
        <v>1343</v>
      </c>
      <c r="B1290" s="273" t="n">
        <v>-1309.325</v>
      </c>
      <c r="C1290" s="273"/>
      <c r="D1290" s="273"/>
      <c r="E1290" s="273"/>
      <c r="F1290" s="273"/>
      <c r="G1290" s="273"/>
      <c r="H1290" s="273"/>
      <c r="I1290" s="273"/>
      <c r="J1290" s="273"/>
      <c r="K1290" s="273"/>
      <c r="L1290" s="273"/>
      <c r="M1290" s="273"/>
      <c r="N1290" s="273"/>
      <c r="O1290" s="273"/>
      <c r="P1290" s="273"/>
      <c r="Q1290" s="273"/>
      <c r="R1290" s="273"/>
      <c r="S1290" s="273"/>
      <c r="T1290" s="273"/>
      <c r="U1290" s="273"/>
      <c r="V1290" s="273"/>
      <c r="W1290" s="273"/>
      <c r="X1290" s="273"/>
      <c r="Y1290" s="274" t="n">
        <f aca="false">SUM(B1290:X1290)</f>
        <v>-1309.325</v>
      </c>
      <c r="Z1290" s="272"/>
      <c r="AA1290" s="276"/>
    </row>
    <row r="1291" customFormat="false" ht="14.25" hidden="false" customHeight="false" outlineLevel="0" collapsed="false">
      <c r="A1291" s="272" t="s">
        <v>1344</v>
      </c>
      <c r="B1291" s="273"/>
      <c r="C1291" s="273"/>
      <c r="D1291" s="273"/>
      <c r="E1291" s="273"/>
      <c r="F1291" s="273"/>
      <c r="G1291" s="273"/>
      <c r="H1291" s="273"/>
      <c r="I1291" s="273"/>
      <c r="J1291" s="273"/>
      <c r="K1291" s="273"/>
      <c r="L1291" s="273" t="n">
        <v>-206.16</v>
      </c>
      <c r="M1291" s="273"/>
      <c r="N1291" s="273"/>
      <c r="O1291" s="273"/>
      <c r="P1291" s="273"/>
      <c r="Q1291" s="273"/>
      <c r="R1291" s="273"/>
      <c r="S1291" s="273"/>
      <c r="T1291" s="273"/>
      <c r="U1291" s="273"/>
      <c r="V1291" s="273"/>
      <c r="W1291" s="273"/>
      <c r="X1291" s="273"/>
      <c r="Y1291" s="274" t="n">
        <f aca="false">SUM(B1291:X1291)</f>
        <v>-206.16</v>
      </c>
      <c r="Z1291" s="272"/>
      <c r="AA1291" s="276"/>
    </row>
    <row r="1292" customFormat="false" ht="14.25" hidden="false" customHeight="false" outlineLevel="0" collapsed="false">
      <c r="A1292" s="272" t="s">
        <v>1345</v>
      </c>
      <c r="B1292" s="273"/>
      <c r="C1292" s="273"/>
      <c r="D1292" s="273"/>
      <c r="E1292" s="273"/>
      <c r="F1292" s="273"/>
      <c r="G1292" s="273"/>
      <c r="H1292" s="273"/>
      <c r="I1292" s="273"/>
      <c r="J1292" s="273"/>
      <c r="K1292" s="273"/>
      <c r="L1292" s="273" t="n">
        <v>-92.772</v>
      </c>
      <c r="M1292" s="273"/>
      <c r="N1292" s="273"/>
      <c r="O1292" s="273"/>
      <c r="P1292" s="273"/>
      <c r="Q1292" s="273"/>
      <c r="R1292" s="273"/>
      <c r="S1292" s="273"/>
      <c r="T1292" s="273"/>
      <c r="U1292" s="273"/>
      <c r="V1292" s="273"/>
      <c r="W1292" s="273"/>
      <c r="X1292" s="273"/>
      <c r="Y1292" s="274" t="n">
        <f aca="false">SUM(B1292:X1292)</f>
        <v>-92.772</v>
      </c>
      <c r="Z1292" s="272"/>
      <c r="AA1292" s="276"/>
    </row>
    <row r="1293" customFormat="false" ht="14.25" hidden="false" customHeight="false" outlineLevel="0" collapsed="false">
      <c r="A1293" s="272" t="s">
        <v>1346</v>
      </c>
      <c r="B1293" s="273"/>
      <c r="C1293" s="273" t="n">
        <v>-552.6885</v>
      </c>
      <c r="D1293" s="273"/>
      <c r="E1293" s="273"/>
      <c r="F1293" s="273"/>
      <c r="G1293" s="273"/>
      <c r="H1293" s="273"/>
      <c r="I1293" s="273"/>
      <c r="J1293" s="273"/>
      <c r="K1293" s="273"/>
      <c r="L1293" s="273"/>
      <c r="M1293" s="273"/>
      <c r="N1293" s="273"/>
      <c r="O1293" s="273"/>
      <c r="P1293" s="273"/>
      <c r="Q1293" s="273"/>
      <c r="R1293" s="273"/>
      <c r="S1293" s="273"/>
      <c r="T1293" s="273"/>
      <c r="U1293" s="273"/>
      <c r="V1293" s="273"/>
      <c r="W1293" s="273"/>
      <c r="X1293" s="273"/>
      <c r="Y1293" s="274" t="n">
        <f aca="false">SUM(B1293:X1293)</f>
        <v>-552.6885</v>
      </c>
      <c r="Z1293" s="272"/>
      <c r="AA1293" s="276"/>
    </row>
    <row r="1294" customFormat="false" ht="14.25" hidden="false" customHeight="false" outlineLevel="0" collapsed="false">
      <c r="A1294" s="272" t="s">
        <v>1347</v>
      </c>
      <c r="B1294" s="273"/>
      <c r="C1294" s="273" t="n">
        <v>-7854.4</v>
      </c>
      <c r="D1294" s="273"/>
      <c r="E1294" s="273"/>
      <c r="F1294" s="273"/>
      <c r="G1294" s="273"/>
      <c r="H1294" s="273"/>
      <c r="I1294" s="273" t="n">
        <v>140.445</v>
      </c>
      <c r="J1294" s="273"/>
      <c r="K1294" s="273"/>
      <c r="L1294" s="273"/>
      <c r="M1294" s="273"/>
      <c r="N1294" s="273"/>
      <c r="O1294" s="273"/>
      <c r="P1294" s="273"/>
      <c r="Q1294" s="273"/>
      <c r="R1294" s="273"/>
      <c r="S1294" s="273"/>
      <c r="T1294" s="273"/>
      <c r="U1294" s="273"/>
      <c r="V1294" s="273"/>
      <c r="W1294" s="273"/>
      <c r="X1294" s="273"/>
      <c r="Y1294" s="274" t="n">
        <f aca="false">SUM(B1294:X1294)</f>
        <v>-7713.955</v>
      </c>
      <c r="Z1294" s="272"/>
      <c r="AA1294" s="276"/>
    </row>
    <row r="1295" customFormat="false" ht="14.25" hidden="false" customHeight="false" outlineLevel="0" collapsed="false">
      <c r="A1295" s="272" t="s">
        <v>1348</v>
      </c>
      <c r="B1295" s="273"/>
      <c r="C1295" s="273" t="n">
        <v>-3927.2</v>
      </c>
      <c r="D1295" s="273"/>
      <c r="E1295" s="273"/>
      <c r="F1295" s="273"/>
      <c r="G1295" s="273"/>
      <c r="H1295" s="273"/>
      <c r="I1295" s="273"/>
      <c r="J1295" s="273"/>
      <c r="K1295" s="273"/>
      <c r="L1295" s="273"/>
      <c r="M1295" s="273"/>
      <c r="N1295" s="273"/>
      <c r="O1295" s="273"/>
      <c r="P1295" s="273"/>
      <c r="Q1295" s="273"/>
      <c r="R1295" s="273"/>
      <c r="S1295" s="273"/>
      <c r="T1295" s="273"/>
      <c r="U1295" s="273"/>
      <c r="V1295" s="273"/>
      <c r="W1295" s="273"/>
      <c r="X1295" s="273"/>
      <c r="Y1295" s="274" t="n">
        <f aca="false">SUM(B1295:X1295)</f>
        <v>-3927.2</v>
      </c>
      <c r="Z1295" s="272"/>
      <c r="AA1295" s="276"/>
    </row>
    <row r="1296" customFormat="false" ht="14.25" hidden="false" customHeight="false" outlineLevel="0" collapsed="false">
      <c r="A1296" s="272" t="s">
        <v>1349</v>
      </c>
      <c r="B1296" s="273" t="n">
        <v>-5484.65</v>
      </c>
      <c r="C1296" s="273"/>
      <c r="D1296" s="273"/>
      <c r="E1296" s="273"/>
      <c r="F1296" s="273"/>
      <c r="G1296" s="273"/>
      <c r="H1296" s="273"/>
      <c r="I1296" s="273"/>
      <c r="J1296" s="273"/>
      <c r="K1296" s="273"/>
      <c r="L1296" s="273"/>
      <c r="M1296" s="273"/>
      <c r="N1296" s="273"/>
      <c r="O1296" s="273"/>
      <c r="P1296" s="273"/>
      <c r="Q1296" s="273"/>
      <c r="R1296" s="273"/>
      <c r="S1296" s="273"/>
      <c r="T1296" s="273"/>
      <c r="U1296" s="273"/>
      <c r="V1296" s="273"/>
      <c r="W1296" s="273"/>
      <c r="X1296" s="273"/>
      <c r="Y1296" s="274" t="n">
        <f aca="false">SUM(B1296:X1296)</f>
        <v>-5484.65</v>
      </c>
      <c r="Z1296" s="272"/>
      <c r="AA1296" s="276"/>
    </row>
    <row r="1297" customFormat="false" ht="14.25" hidden="false" customHeight="false" outlineLevel="0" collapsed="false">
      <c r="A1297" s="272" t="s">
        <v>1350</v>
      </c>
      <c r="B1297" s="273"/>
      <c r="C1297" s="273" t="n">
        <v>-1151.3</v>
      </c>
      <c r="D1297" s="273"/>
      <c r="E1297" s="273"/>
      <c r="F1297" s="273"/>
      <c r="G1297" s="273"/>
      <c r="H1297" s="273"/>
      <c r="I1297" s="273"/>
      <c r="J1297" s="273"/>
      <c r="K1297" s="273"/>
      <c r="L1297" s="273"/>
      <c r="M1297" s="273"/>
      <c r="N1297" s="273" t="n">
        <v>-2574.53</v>
      </c>
      <c r="O1297" s="273"/>
      <c r="P1297" s="273"/>
      <c r="Q1297" s="273"/>
      <c r="R1297" s="273"/>
      <c r="S1297" s="273"/>
      <c r="T1297" s="273"/>
      <c r="U1297" s="273"/>
      <c r="V1297" s="273"/>
      <c r="W1297" s="273"/>
      <c r="X1297" s="273"/>
      <c r="Y1297" s="274" t="n">
        <f aca="false">SUM(B1297:X1297)</f>
        <v>-3725.83</v>
      </c>
      <c r="Z1297" s="272"/>
      <c r="AA1297" s="276"/>
    </row>
    <row r="1298" customFormat="false" ht="14.25" hidden="false" customHeight="false" outlineLevel="0" collapsed="false">
      <c r="A1298" s="272" t="s">
        <v>1351</v>
      </c>
      <c r="B1298" s="273"/>
      <c r="C1298" s="273"/>
      <c r="D1298" s="273"/>
      <c r="E1298" s="273"/>
      <c r="F1298" s="273" t="n">
        <v>-19208.58</v>
      </c>
      <c r="G1298" s="273"/>
      <c r="H1298" s="273"/>
      <c r="I1298" s="273"/>
      <c r="J1298" s="273"/>
      <c r="K1298" s="273"/>
      <c r="L1298" s="273"/>
      <c r="M1298" s="273"/>
      <c r="N1298" s="273"/>
      <c r="O1298" s="273"/>
      <c r="P1298" s="273"/>
      <c r="Q1298" s="273"/>
      <c r="R1298" s="273"/>
      <c r="S1298" s="273"/>
      <c r="T1298" s="273"/>
      <c r="U1298" s="273"/>
      <c r="V1298" s="273"/>
      <c r="W1298" s="273"/>
      <c r="X1298" s="273"/>
      <c r="Y1298" s="274" t="n">
        <f aca="false">SUM(B1298:X1298)</f>
        <v>-19208.58</v>
      </c>
      <c r="Z1298" s="272"/>
      <c r="AA1298" s="276"/>
    </row>
    <row r="1299" customFormat="false" ht="14.25" hidden="false" customHeight="false" outlineLevel="0" collapsed="false">
      <c r="A1299" s="272" t="s">
        <v>1239</v>
      </c>
      <c r="B1299" s="273"/>
      <c r="C1299" s="273" t="n">
        <v>-490.9</v>
      </c>
      <c r="D1299" s="273"/>
      <c r="E1299" s="273"/>
      <c r="F1299" s="273"/>
      <c r="G1299" s="273"/>
      <c r="H1299" s="273"/>
      <c r="I1299" s="273"/>
      <c r="J1299" s="273"/>
      <c r="K1299" s="273"/>
      <c r="L1299" s="273"/>
      <c r="M1299" s="273"/>
      <c r="N1299" s="273"/>
      <c r="O1299" s="273"/>
      <c r="P1299" s="273"/>
      <c r="Q1299" s="273"/>
      <c r="R1299" s="273"/>
      <c r="S1299" s="273"/>
      <c r="T1299" s="273"/>
      <c r="U1299" s="273"/>
      <c r="V1299" s="273"/>
      <c r="W1299" s="273"/>
      <c r="X1299" s="273"/>
      <c r="Y1299" s="274" t="n">
        <f aca="false">SUM(B1299:X1299)</f>
        <v>-490.9</v>
      </c>
      <c r="Z1299" s="272"/>
      <c r="AA1299" s="276"/>
    </row>
    <row r="1300" customFormat="false" ht="14.25" hidden="false" customHeight="false" outlineLevel="0" collapsed="false">
      <c r="A1300" s="272" t="s">
        <v>1352</v>
      </c>
      <c r="B1300" s="273"/>
      <c r="C1300" s="273" t="n">
        <v>-42.562</v>
      </c>
      <c r="D1300" s="273"/>
      <c r="E1300" s="273"/>
      <c r="F1300" s="273"/>
      <c r="G1300" s="273"/>
      <c r="H1300" s="273"/>
      <c r="I1300" s="273"/>
      <c r="J1300" s="273"/>
      <c r="K1300" s="273"/>
      <c r="L1300" s="273"/>
      <c r="M1300" s="273"/>
      <c r="N1300" s="273"/>
      <c r="O1300" s="273"/>
      <c r="P1300" s="273"/>
      <c r="Q1300" s="273"/>
      <c r="R1300" s="273"/>
      <c r="S1300" s="273"/>
      <c r="T1300" s="273"/>
      <c r="U1300" s="273"/>
      <c r="V1300" s="273"/>
      <c r="W1300" s="273"/>
      <c r="X1300" s="273"/>
      <c r="Y1300" s="274" t="n">
        <f aca="false">SUM(B1300:X1300)</f>
        <v>-42.562</v>
      </c>
      <c r="Z1300" s="272"/>
      <c r="AA1300" s="276"/>
    </row>
    <row r="1301" customFormat="false" ht="14.25" hidden="false" customHeight="false" outlineLevel="0" collapsed="false">
      <c r="A1301" s="272" t="s">
        <v>1312</v>
      </c>
      <c r="B1301" s="273"/>
      <c r="C1301" s="273"/>
      <c r="D1301" s="273"/>
      <c r="E1301" s="273"/>
      <c r="F1301" s="273"/>
      <c r="G1301" s="273"/>
      <c r="H1301" s="273"/>
      <c r="I1301" s="273"/>
      <c r="J1301" s="273"/>
      <c r="K1301" s="273"/>
      <c r="L1301" s="273"/>
      <c r="M1301" s="273"/>
      <c r="N1301" s="273"/>
      <c r="O1301" s="273"/>
      <c r="P1301" s="273" t="n">
        <v>-2505</v>
      </c>
      <c r="Q1301" s="273"/>
      <c r="R1301" s="273"/>
      <c r="S1301" s="273"/>
      <c r="T1301" s="273"/>
      <c r="U1301" s="273"/>
      <c r="V1301" s="273"/>
      <c r="W1301" s="273"/>
      <c r="X1301" s="273"/>
      <c r="Y1301" s="274" t="n">
        <f aca="false">SUM(B1301:X1301)</f>
        <v>-2505</v>
      </c>
      <c r="Z1301" s="272"/>
      <c r="AA1301" s="276"/>
    </row>
    <row r="1302" customFormat="false" ht="14.25" hidden="false" customHeight="false" outlineLevel="0" collapsed="false">
      <c r="A1302" s="272" t="s">
        <v>1353</v>
      </c>
      <c r="B1302" s="273"/>
      <c r="C1302" s="273"/>
      <c r="D1302" s="273"/>
      <c r="E1302" s="273"/>
      <c r="F1302" s="273"/>
      <c r="G1302" s="273"/>
      <c r="H1302" s="273"/>
      <c r="I1302" s="273"/>
      <c r="J1302" s="273"/>
      <c r="K1302" s="273"/>
      <c r="L1302" s="273"/>
      <c r="M1302" s="273"/>
      <c r="N1302" s="273"/>
      <c r="O1302" s="273"/>
      <c r="P1302" s="273" t="n">
        <v>-76.5</v>
      </c>
      <c r="Q1302" s="273"/>
      <c r="R1302" s="273"/>
      <c r="S1302" s="273"/>
      <c r="T1302" s="273"/>
      <c r="U1302" s="273"/>
      <c r="V1302" s="273"/>
      <c r="W1302" s="273"/>
      <c r="X1302" s="273"/>
      <c r="Y1302" s="274" t="n">
        <f aca="false">SUM(B1302:X1302)</f>
        <v>-76.5</v>
      </c>
      <c r="Z1302" s="272"/>
      <c r="AA1302" s="276"/>
    </row>
    <row r="1303" customFormat="false" ht="14.25" hidden="false" customHeight="false" outlineLevel="0" collapsed="false">
      <c r="A1303" s="272" t="s">
        <v>1354</v>
      </c>
      <c r="B1303" s="273"/>
      <c r="C1303" s="273"/>
      <c r="D1303" s="273"/>
      <c r="E1303" s="273"/>
      <c r="F1303" s="273" t="n">
        <v>2846.6235</v>
      </c>
      <c r="G1303" s="273"/>
      <c r="H1303" s="273"/>
      <c r="I1303" s="273"/>
      <c r="J1303" s="273"/>
      <c r="K1303" s="273"/>
      <c r="L1303" s="273"/>
      <c r="M1303" s="273"/>
      <c r="N1303" s="273"/>
      <c r="O1303" s="273"/>
      <c r="P1303" s="273"/>
      <c r="Q1303" s="273"/>
      <c r="R1303" s="273"/>
      <c r="S1303" s="273"/>
      <c r="T1303" s="273"/>
      <c r="U1303" s="273"/>
      <c r="V1303" s="273"/>
      <c r="W1303" s="273"/>
      <c r="X1303" s="273"/>
      <c r="Y1303" s="274" t="n">
        <f aca="false">SUM(B1303:X1303)</f>
        <v>2846.6235</v>
      </c>
      <c r="Z1303" s="272"/>
      <c r="AA1303" s="276"/>
    </row>
    <row r="1304" customFormat="false" ht="14.25" hidden="false" customHeight="false" outlineLevel="0" collapsed="false">
      <c r="A1304" s="272" t="s">
        <v>1355</v>
      </c>
      <c r="B1304" s="273"/>
      <c r="C1304" s="273"/>
      <c r="D1304" s="273"/>
      <c r="E1304" s="273"/>
      <c r="F1304" s="273" t="n">
        <v>-30399</v>
      </c>
      <c r="G1304" s="273"/>
      <c r="H1304" s="273"/>
      <c r="I1304" s="273"/>
      <c r="J1304" s="273"/>
      <c r="K1304" s="273"/>
      <c r="L1304" s="273"/>
      <c r="M1304" s="273"/>
      <c r="N1304" s="273"/>
      <c r="O1304" s="273"/>
      <c r="P1304" s="273"/>
      <c r="Q1304" s="273"/>
      <c r="R1304" s="273"/>
      <c r="S1304" s="273"/>
      <c r="T1304" s="273"/>
      <c r="U1304" s="273"/>
      <c r="V1304" s="273"/>
      <c r="W1304" s="273"/>
      <c r="X1304" s="273"/>
      <c r="Y1304" s="274" t="n">
        <f aca="false">SUM(B1304:X1304)</f>
        <v>-30399</v>
      </c>
      <c r="Z1304" s="272"/>
      <c r="AA1304" s="276"/>
    </row>
    <row r="1305" customFormat="false" ht="14.25" hidden="false" customHeight="false" outlineLevel="0" collapsed="false">
      <c r="A1305" s="272" t="s">
        <v>1356</v>
      </c>
      <c r="B1305" s="273"/>
      <c r="C1305" s="273" t="n">
        <v>-40608.504</v>
      </c>
      <c r="D1305" s="273"/>
      <c r="E1305" s="273"/>
      <c r="F1305" s="273"/>
      <c r="G1305" s="273"/>
      <c r="H1305" s="273"/>
      <c r="I1305" s="273"/>
      <c r="J1305" s="273"/>
      <c r="K1305" s="273"/>
      <c r="L1305" s="273"/>
      <c r="M1305" s="273"/>
      <c r="N1305" s="273"/>
      <c r="O1305" s="273"/>
      <c r="P1305" s="273"/>
      <c r="Q1305" s="273"/>
      <c r="R1305" s="273"/>
      <c r="S1305" s="273"/>
      <c r="T1305" s="273"/>
      <c r="U1305" s="273"/>
      <c r="V1305" s="273"/>
      <c r="W1305" s="273"/>
      <c r="X1305" s="273"/>
      <c r="Y1305" s="274" t="n">
        <f aca="false">SUM(B1305:X1305)</f>
        <v>-40608.504</v>
      </c>
      <c r="Z1305" s="272"/>
      <c r="AA1305" s="276"/>
    </row>
    <row r="1306" customFormat="false" ht="14.25" hidden="false" customHeight="false" outlineLevel="0" collapsed="false">
      <c r="A1306" s="272" t="s">
        <v>1357</v>
      </c>
      <c r="B1306" s="273"/>
      <c r="C1306" s="273"/>
      <c r="D1306" s="273"/>
      <c r="E1306" s="273"/>
      <c r="F1306" s="273"/>
      <c r="G1306" s="273"/>
      <c r="H1306" s="273" t="n">
        <v>339.165</v>
      </c>
      <c r="I1306" s="273"/>
      <c r="J1306" s="273"/>
      <c r="K1306" s="273"/>
      <c r="L1306" s="273"/>
      <c r="M1306" s="273"/>
      <c r="N1306" s="273"/>
      <c r="O1306" s="273"/>
      <c r="P1306" s="273"/>
      <c r="Q1306" s="273"/>
      <c r="R1306" s="273"/>
      <c r="S1306" s="273"/>
      <c r="T1306" s="273"/>
      <c r="U1306" s="273"/>
      <c r="V1306" s="273"/>
      <c r="W1306" s="273"/>
      <c r="X1306" s="273"/>
      <c r="Y1306" s="274" t="n">
        <f aca="false">SUM(B1306:X1306)</f>
        <v>339.165</v>
      </c>
      <c r="Z1306" s="272"/>
      <c r="AA1306" s="276"/>
    </row>
    <row r="1307" customFormat="false" ht="14.25" hidden="false" customHeight="false" outlineLevel="0" collapsed="false">
      <c r="A1307" s="272" t="s">
        <v>1358</v>
      </c>
      <c r="B1307" s="273"/>
      <c r="C1307" s="273"/>
      <c r="D1307" s="273"/>
      <c r="E1307" s="273"/>
      <c r="F1307" s="273" t="n">
        <v>-4711.845</v>
      </c>
      <c r="G1307" s="273"/>
      <c r="H1307" s="273"/>
      <c r="I1307" s="273"/>
      <c r="J1307" s="273"/>
      <c r="K1307" s="273"/>
      <c r="L1307" s="273"/>
      <c r="M1307" s="273"/>
      <c r="N1307" s="273"/>
      <c r="O1307" s="273"/>
      <c r="P1307" s="273"/>
      <c r="Q1307" s="273"/>
      <c r="R1307" s="273"/>
      <c r="S1307" s="273"/>
      <c r="T1307" s="273"/>
      <c r="U1307" s="273"/>
      <c r="V1307" s="273"/>
      <c r="W1307" s="273"/>
      <c r="X1307" s="273"/>
      <c r="Y1307" s="274" t="n">
        <f aca="false">SUM(B1307:X1307)</f>
        <v>-4711.845</v>
      </c>
      <c r="Z1307" s="272"/>
      <c r="AA1307" s="276"/>
    </row>
    <row r="1308" customFormat="false" ht="14.25" hidden="false" customHeight="false" outlineLevel="0" collapsed="false">
      <c r="A1308" s="272" t="s">
        <v>1359</v>
      </c>
      <c r="B1308" s="273"/>
      <c r="C1308" s="273"/>
      <c r="D1308" s="273"/>
      <c r="E1308" s="273"/>
      <c r="F1308" s="273" t="n">
        <v>-2030.4</v>
      </c>
      <c r="G1308" s="273"/>
      <c r="H1308" s="273"/>
      <c r="I1308" s="273"/>
      <c r="J1308" s="273"/>
      <c r="K1308" s="273"/>
      <c r="L1308" s="273"/>
      <c r="M1308" s="273"/>
      <c r="N1308" s="273"/>
      <c r="O1308" s="273"/>
      <c r="P1308" s="273"/>
      <c r="Q1308" s="273"/>
      <c r="R1308" s="273"/>
      <c r="S1308" s="273"/>
      <c r="T1308" s="273"/>
      <c r="U1308" s="273"/>
      <c r="V1308" s="273"/>
      <c r="W1308" s="273"/>
      <c r="X1308" s="273"/>
      <c r="Y1308" s="274" t="n">
        <f aca="false">SUM(B1308:X1308)</f>
        <v>-2030.4</v>
      </c>
      <c r="Z1308" s="272"/>
      <c r="AA1308" s="276"/>
    </row>
    <row r="1309" customFormat="false" ht="14.25" hidden="false" customHeight="false" outlineLevel="0" collapsed="false">
      <c r="A1309" s="272" t="s">
        <v>1360</v>
      </c>
      <c r="B1309" s="273"/>
      <c r="C1309" s="273"/>
      <c r="D1309" s="273"/>
      <c r="E1309" s="273"/>
      <c r="F1309" s="273" t="n">
        <v>-1459.8</v>
      </c>
      <c r="G1309" s="273"/>
      <c r="H1309" s="273"/>
      <c r="I1309" s="273"/>
      <c r="J1309" s="273"/>
      <c r="K1309" s="273"/>
      <c r="L1309" s="273"/>
      <c r="M1309" s="273"/>
      <c r="N1309" s="273"/>
      <c r="O1309" s="273"/>
      <c r="P1309" s="273"/>
      <c r="Q1309" s="273"/>
      <c r="R1309" s="273"/>
      <c r="S1309" s="273"/>
      <c r="T1309" s="273"/>
      <c r="U1309" s="273"/>
      <c r="V1309" s="273"/>
      <c r="W1309" s="273"/>
      <c r="X1309" s="273"/>
      <c r="Y1309" s="274" t="n">
        <f aca="false">SUM(B1309:X1309)</f>
        <v>-1459.8</v>
      </c>
      <c r="Z1309" s="272"/>
      <c r="AA1309" s="276"/>
    </row>
    <row r="1310" customFormat="false" ht="14.25" hidden="false" customHeight="false" outlineLevel="0" collapsed="false">
      <c r="A1310" s="272" t="s">
        <v>1361</v>
      </c>
      <c r="B1310" s="273"/>
      <c r="C1310" s="273"/>
      <c r="D1310" s="273"/>
      <c r="E1310" s="273"/>
      <c r="F1310" s="273" t="n">
        <v>-5148.777</v>
      </c>
      <c r="G1310" s="273"/>
      <c r="H1310" s="273"/>
      <c r="I1310" s="273"/>
      <c r="J1310" s="273"/>
      <c r="K1310" s="273"/>
      <c r="L1310" s="273"/>
      <c r="M1310" s="273"/>
      <c r="N1310" s="273"/>
      <c r="O1310" s="273"/>
      <c r="P1310" s="273"/>
      <c r="Q1310" s="273"/>
      <c r="R1310" s="273"/>
      <c r="S1310" s="273"/>
      <c r="T1310" s="273"/>
      <c r="U1310" s="273"/>
      <c r="V1310" s="273"/>
      <c r="W1310" s="273"/>
      <c r="X1310" s="273"/>
      <c r="Y1310" s="274" t="n">
        <f aca="false">SUM(B1310:X1310)</f>
        <v>-5148.777</v>
      </c>
      <c r="Z1310" s="272"/>
      <c r="AA1310" s="276"/>
    </row>
    <row r="1311" customFormat="false" ht="14.25" hidden="false" customHeight="false" outlineLevel="0" collapsed="false">
      <c r="A1311" s="272" t="s">
        <v>1362</v>
      </c>
      <c r="B1311" s="273"/>
      <c r="C1311" s="273" t="n">
        <v>25.134</v>
      </c>
      <c r="D1311" s="273"/>
      <c r="E1311" s="273"/>
      <c r="F1311" s="273"/>
      <c r="G1311" s="273"/>
      <c r="H1311" s="273"/>
      <c r="I1311" s="273"/>
      <c r="J1311" s="273"/>
      <c r="K1311" s="273"/>
      <c r="L1311" s="273"/>
      <c r="M1311" s="273"/>
      <c r="N1311" s="273"/>
      <c r="O1311" s="273"/>
      <c r="P1311" s="273"/>
      <c r="Q1311" s="273"/>
      <c r="R1311" s="273"/>
      <c r="S1311" s="273"/>
      <c r="T1311" s="273"/>
      <c r="U1311" s="273"/>
      <c r="V1311" s="273"/>
      <c r="W1311" s="273"/>
      <c r="X1311" s="273"/>
      <c r="Y1311" s="274" t="n">
        <f aca="false">SUM(B1311:X1311)</f>
        <v>25.134</v>
      </c>
      <c r="Z1311" s="272"/>
      <c r="AA1311" s="276"/>
    </row>
    <row r="1312" customFormat="false" ht="14.25" hidden="false" customHeight="false" outlineLevel="0" collapsed="false">
      <c r="A1312" s="272" t="s">
        <v>1363</v>
      </c>
      <c r="B1312" s="273"/>
      <c r="C1312" s="273"/>
      <c r="D1312" s="273"/>
      <c r="E1312" s="273" t="n">
        <v>452.376</v>
      </c>
      <c r="F1312" s="273"/>
      <c r="G1312" s="273"/>
      <c r="H1312" s="273"/>
      <c r="I1312" s="273"/>
      <c r="J1312" s="273"/>
      <c r="K1312" s="273"/>
      <c r="L1312" s="273"/>
      <c r="M1312" s="273"/>
      <c r="N1312" s="273"/>
      <c r="O1312" s="273"/>
      <c r="P1312" s="273"/>
      <c r="Q1312" s="273"/>
      <c r="R1312" s="273"/>
      <c r="S1312" s="273"/>
      <c r="T1312" s="273"/>
      <c r="U1312" s="273"/>
      <c r="V1312" s="273"/>
      <c r="W1312" s="273"/>
      <c r="X1312" s="273"/>
      <c r="Y1312" s="274" t="n">
        <f aca="false">SUM(B1312:X1312)</f>
        <v>452.376</v>
      </c>
      <c r="Z1312" s="272"/>
      <c r="AA1312" s="276"/>
    </row>
    <row r="1313" customFormat="false" ht="14.25" hidden="false" customHeight="false" outlineLevel="0" collapsed="false">
      <c r="A1313" s="272" t="s">
        <v>1364</v>
      </c>
      <c r="B1313" s="273"/>
      <c r="C1313" s="273"/>
      <c r="D1313" s="273"/>
      <c r="E1313" s="273"/>
      <c r="F1313" s="273" t="n">
        <v>-734.4</v>
      </c>
      <c r="G1313" s="273"/>
      <c r="H1313" s="273"/>
      <c r="I1313" s="273"/>
      <c r="J1313" s="273"/>
      <c r="K1313" s="273"/>
      <c r="L1313" s="273"/>
      <c r="M1313" s="273"/>
      <c r="N1313" s="273"/>
      <c r="O1313" s="273"/>
      <c r="P1313" s="273"/>
      <c r="Q1313" s="273"/>
      <c r="R1313" s="273"/>
      <c r="S1313" s="273"/>
      <c r="T1313" s="273"/>
      <c r="U1313" s="273"/>
      <c r="V1313" s="273"/>
      <c r="W1313" s="273"/>
      <c r="X1313" s="273"/>
      <c r="Y1313" s="274" t="n">
        <f aca="false">SUM(B1313:X1313)</f>
        <v>-734.4</v>
      </c>
      <c r="Z1313" s="272"/>
      <c r="AA1313" s="276"/>
    </row>
    <row r="1314" customFormat="false" ht="14.25" hidden="false" customHeight="false" outlineLevel="0" collapsed="false">
      <c r="A1314" s="272" t="s">
        <v>1365</v>
      </c>
      <c r="B1314" s="273"/>
      <c r="C1314" s="273"/>
      <c r="D1314" s="273"/>
      <c r="E1314" s="273"/>
      <c r="F1314" s="273" t="n">
        <v>-1468.8</v>
      </c>
      <c r="G1314" s="273"/>
      <c r="H1314" s="273"/>
      <c r="I1314" s="273"/>
      <c r="J1314" s="273"/>
      <c r="K1314" s="273"/>
      <c r="L1314" s="273"/>
      <c r="M1314" s="273"/>
      <c r="N1314" s="273"/>
      <c r="O1314" s="273"/>
      <c r="P1314" s="273"/>
      <c r="Q1314" s="273"/>
      <c r="R1314" s="273"/>
      <c r="S1314" s="273"/>
      <c r="T1314" s="273"/>
      <c r="U1314" s="273"/>
      <c r="V1314" s="273"/>
      <c r="W1314" s="273"/>
      <c r="X1314" s="273"/>
      <c r="Y1314" s="274" t="n">
        <f aca="false">SUM(B1314:X1314)</f>
        <v>-1468.8</v>
      </c>
      <c r="Z1314" s="272"/>
      <c r="AA1314" s="276"/>
    </row>
    <row r="1315" customFormat="false" ht="14.25" hidden="false" customHeight="false" outlineLevel="0" collapsed="false">
      <c r="A1315" s="272" t="s">
        <v>1366</v>
      </c>
      <c r="B1315" s="273"/>
      <c r="C1315" s="273"/>
      <c r="D1315" s="273"/>
      <c r="E1315" s="273"/>
      <c r="F1315" s="273" t="n">
        <v>14160</v>
      </c>
      <c r="G1315" s="273"/>
      <c r="H1315" s="273"/>
      <c r="I1315" s="273"/>
      <c r="J1315" s="273"/>
      <c r="K1315" s="273"/>
      <c r="L1315" s="273"/>
      <c r="M1315" s="273"/>
      <c r="N1315" s="273"/>
      <c r="O1315" s="273"/>
      <c r="P1315" s="273"/>
      <c r="Q1315" s="273"/>
      <c r="R1315" s="273"/>
      <c r="S1315" s="273"/>
      <c r="T1315" s="273"/>
      <c r="U1315" s="273"/>
      <c r="V1315" s="273"/>
      <c r="W1315" s="273"/>
      <c r="X1315" s="273"/>
      <c r="Y1315" s="274" t="n">
        <f aca="false">SUM(B1315:X1315)</f>
        <v>14160</v>
      </c>
      <c r="Z1315" s="272"/>
      <c r="AA1315" s="276"/>
    </row>
    <row r="1316" customFormat="false" ht="14.25" hidden="false" customHeight="false" outlineLevel="0" collapsed="false">
      <c r="A1316" s="272" t="s">
        <v>1367</v>
      </c>
      <c r="B1316" s="273"/>
      <c r="C1316" s="273"/>
      <c r="D1316" s="273"/>
      <c r="E1316" s="273"/>
      <c r="F1316" s="273" t="n">
        <v>-30399</v>
      </c>
      <c r="G1316" s="273"/>
      <c r="H1316" s="273"/>
      <c r="I1316" s="273"/>
      <c r="J1316" s="273"/>
      <c r="K1316" s="273"/>
      <c r="L1316" s="273"/>
      <c r="M1316" s="273"/>
      <c r="N1316" s="273"/>
      <c r="O1316" s="273"/>
      <c r="P1316" s="273"/>
      <c r="Q1316" s="273"/>
      <c r="R1316" s="273"/>
      <c r="S1316" s="273"/>
      <c r="T1316" s="273"/>
      <c r="U1316" s="273"/>
      <c r="V1316" s="273"/>
      <c r="W1316" s="273"/>
      <c r="X1316" s="273"/>
      <c r="Y1316" s="274" t="n">
        <f aca="false">SUM(B1316:X1316)</f>
        <v>-30399</v>
      </c>
      <c r="Z1316" s="272"/>
      <c r="AA1316" s="276"/>
    </row>
    <row r="1317" customFormat="false" ht="14.25" hidden="false" customHeight="false" outlineLevel="0" collapsed="false">
      <c r="A1317" s="272" t="s">
        <v>1368</v>
      </c>
      <c r="B1317" s="273" t="n">
        <v>-603.4875</v>
      </c>
      <c r="C1317" s="273"/>
      <c r="D1317" s="273"/>
      <c r="E1317" s="273"/>
      <c r="F1317" s="273"/>
      <c r="G1317" s="273"/>
      <c r="H1317" s="273"/>
      <c r="I1317" s="273"/>
      <c r="J1317" s="273"/>
      <c r="K1317" s="273"/>
      <c r="L1317" s="273"/>
      <c r="M1317" s="273"/>
      <c r="N1317" s="273"/>
      <c r="O1317" s="273"/>
      <c r="P1317" s="273"/>
      <c r="Q1317" s="273"/>
      <c r="R1317" s="273"/>
      <c r="S1317" s="273"/>
      <c r="T1317" s="273"/>
      <c r="U1317" s="273"/>
      <c r="V1317" s="273"/>
      <c r="W1317" s="273"/>
      <c r="X1317" s="273"/>
      <c r="Y1317" s="274" t="n">
        <f aca="false">SUM(B1317:X1317)</f>
        <v>-603.4875</v>
      </c>
      <c r="Z1317" s="272"/>
      <c r="AA1317" s="276"/>
    </row>
    <row r="1318" customFormat="false" ht="14.25" hidden="false" customHeight="false" outlineLevel="0" collapsed="false">
      <c r="A1318" s="272" t="s">
        <v>1369</v>
      </c>
      <c r="B1318" s="273" t="n">
        <v>-7735.95</v>
      </c>
      <c r="C1318" s="273"/>
      <c r="D1318" s="273"/>
      <c r="E1318" s="273"/>
      <c r="F1318" s="273"/>
      <c r="G1318" s="273"/>
      <c r="H1318" s="273"/>
      <c r="I1318" s="273"/>
      <c r="J1318" s="273"/>
      <c r="K1318" s="273"/>
      <c r="L1318" s="273"/>
      <c r="M1318" s="273"/>
      <c r="N1318" s="273"/>
      <c r="O1318" s="273"/>
      <c r="P1318" s="273"/>
      <c r="Q1318" s="273"/>
      <c r="R1318" s="273"/>
      <c r="S1318" s="273"/>
      <c r="T1318" s="273"/>
      <c r="U1318" s="273"/>
      <c r="V1318" s="273"/>
      <c r="W1318" s="273"/>
      <c r="X1318" s="273"/>
      <c r="Y1318" s="274" t="n">
        <f aca="false">SUM(B1318:X1318)</f>
        <v>-7735.95</v>
      </c>
      <c r="Z1318" s="272"/>
      <c r="AA1318" s="276"/>
    </row>
    <row r="1319" customFormat="false" ht="14.25" hidden="false" customHeight="false" outlineLevel="0" collapsed="false">
      <c r="A1319" s="272"/>
      <c r="B1319" s="273"/>
      <c r="C1319" s="273"/>
      <c r="D1319" s="273"/>
      <c r="E1319" s="273"/>
      <c r="F1319" s="273"/>
      <c r="G1319" s="273"/>
      <c r="H1319" s="273"/>
      <c r="I1319" s="273"/>
      <c r="J1319" s="273"/>
      <c r="K1319" s="273"/>
      <c r="L1319" s="273"/>
      <c r="M1319" s="273"/>
      <c r="N1319" s="273"/>
      <c r="O1319" s="273"/>
      <c r="P1319" s="273"/>
      <c r="Q1319" s="273"/>
      <c r="R1319" s="273"/>
      <c r="S1319" s="273"/>
      <c r="T1319" s="273"/>
      <c r="U1319" s="273"/>
      <c r="V1319" s="273"/>
      <c r="W1319" s="273"/>
      <c r="X1319" s="273"/>
      <c r="Y1319" s="274" t="n">
        <f aca="false">SUM(B1319:X1319)</f>
        <v>0</v>
      </c>
      <c r="Z1319" s="272"/>
      <c r="AA1319" s="276" t="n">
        <f aca="false">SUM(Y4:Y1319)</f>
        <v>-13173053.1588</v>
      </c>
    </row>
    <row r="1320" customFormat="false" ht="14.25" hidden="false" customHeight="false" outlineLevel="0" collapsed="false">
      <c r="A1320" s="277" t="n">
        <v>45413</v>
      </c>
      <c r="B1320" s="278" t="n">
        <v>-3059.49</v>
      </c>
      <c r="C1320" s="278" t="n">
        <v>-11475</v>
      </c>
      <c r="D1320" s="278"/>
      <c r="E1320" s="278" t="n">
        <v>-2220</v>
      </c>
      <c r="F1320" s="278" t="n">
        <v>-270975.15</v>
      </c>
      <c r="G1320" s="278"/>
      <c r="H1320" s="278"/>
      <c r="I1320" s="278"/>
      <c r="J1320" s="278" t="n">
        <v>-36112.5</v>
      </c>
      <c r="K1320" s="278"/>
      <c r="L1320" s="278" t="n">
        <v>-337.5</v>
      </c>
      <c r="M1320" s="278" t="n">
        <v>-7425</v>
      </c>
      <c r="N1320" s="278" t="n">
        <v>-35325</v>
      </c>
      <c r="O1320" s="278" t="n">
        <v>-20439.45</v>
      </c>
      <c r="P1320" s="278" t="n">
        <v>-337.5</v>
      </c>
      <c r="Q1320" s="278"/>
      <c r="R1320" s="278"/>
      <c r="S1320" s="278"/>
      <c r="T1320" s="278" t="n">
        <v>-2050</v>
      </c>
      <c r="U1320" s="278"/>
      <c r="V1320" s="278"/>
      <c r="W1320" s="278"/>
      <c r="X1320" s="278"/>
      <c r="Y1320" s="279" t="n">
        <f aca="false">SUM(B1320:X1320)</f>
        <v>-389756.59</v>
      </c>
      <c r="Z1320" s="280"/>
    </row>
    <row r="1321" customFormat="false" ht="14.25" hidden="false" customHeight="false" outlineLevel="0" collapsed="false">
      <c r="A1321" s="277" t="n">
        <v>45444</v>
      </c>
      <c r="B1321" s="278" t="n">
        <v>-39481.2</v>
      </c>
      <c r="C1321" s="278" t="n">
        <v>-13500</v>
      </c>
      <c r="D1321" s="278" t="n">
        <v>-17818.2</v>
      </c>
      <c r="E1321" s="278" t="n">
        <v>-118575</v>
      </c>
      <c r="F1321" s="278"/>
      <c r="G1321" s="278"/>
      <c r="H1321" s="278"/>
      <c r="I1321" s="278"/>
      <c r="J1321" s="278" t="n">
        <v>-175500</v>
      </c>
      <c r="K1321" s="278"/>
      <c r="L1321" s="278" t="n">
        <v>-17012.5</v>
      </c>
      <c r="M1321" s="278"/>
      <c r="N1321" s="278" t="n">
        <v>-1350</v>
      </c>
      <c r="O1321" s="278"/>
      <c r="P1321" s="278"/>
      <c r="Q1321" s="278"/>
      <c r="R1321" s="278"/>
      <c r="S1321" s="278"/>
      <c r="T1321" s="278"/>
      <c r="U1321" s="278"/>
      <c r="V1321" s="278"/>
      <c r="W1321" s="278"/>
      <c r="X1321" s="278"/>
      <c r="Y1321" s="279" t="n">
        <f aca="false">SUM(B1321:X1321)</f>
        <v>-383236.9</v>
      </c>
      <c r="Z1321" s="280"/>
    </row>
    <row r="1322" customFormat="false" ht="14.25" hidden="false" customHeight="false" outlineLevel="0" collapsed="false">
      <c r="A1322" s="281" t="s">
        <v>1370</v>
      </c>
      <c r="B1322" s="278"/>
      <c r="C1322" s="278" t="n">
        <v>60000</v>
      </c>
      <c r="D1322" s="278"/>
      <c r="E1322" s="278"/>
      <c r="F1322" s="278"/>
      <c r="G1322" s="278"/>
      <c r="H1322" s="278"/>
      <c r="I1322" s="278"/>
      <c r="J1322" s="278"/>
      <c r="K1322" s="278"/>
      <c r="L1322" s="278"/>
      <c r="M1322" s="278"/>
      <c r="N1322" s="278"/>
      <c r="O1322" s="278"/>
      <c r="P1322" s="278"/>
      <c r="Q1322" s="278"/>
      <c r="R1322" s="278"/>
      <c r="S1322" s="278"/>
      <c r="T1322" s="278"/>
      <c r="U1322" s="278"/>
      <c r="V1322" s="278"/>
      <c r="W1322" s="278"/>
      <c r="X1322" s="278"/>
      <c r="Y1322" s="279" t="n">
        <f aca="false">SUM(B1322:X1322)</f>
        <v>60000</v>
      </c>
      <c r="Z1322" s="280"/>
    </row>
    <row r="1323" customFormat="false" ht="14.25" hidden="false" customHeight="false" outlineLevel="0" collapsed="false">
      <c r="A1323" s="277" t="n">
        <v>45474</v>
      </c>
      <c r="B1323" s="278"/>
      <c r="C1323" s="278" t="n">
        <v>-9000</v>
      </c>
      <c r="D1323" s="278"/>
      <c r="E1323" s="278"/>
      <c r="F1323" s="278"/>
      <c r="G1323" s="278"/>
      <c r="H1323" s="278"/>
      <c r="I1323" s="278"/>
      <c r="J1323" s="278" t="n">
        <v>-12487.5</v>
      </c>
      <c r="K1323" s="278"/>
      <c r="L1323" s="278" t="n">
        <v>-1687.5</v>
      </c>
      <c r="M1323" s="278" t="n">
        <v>-1012.5</v>
      </c>
      <c r="N1323" s="278" t="n">
        <v>-3712.5</v>
      </c>
      <c r="O1323" s="278"/>
      <c r="P1323" s="278" t="n">
        <v>-1012.5</v>
      </c>
      <c r="Q1323" s="278"/>
      <c r="R1323" s="278"/>
      <c r="S1323" s="278"/>
      <c r="T1323" s="278"/>
      <c r="U1323" s="278"/>
      <c r="V1323" s="278"/>
      <c r="W1323" s="278"/>
      <c r="X1323" s="278"/>
      <c r="Y1323" s="279" t="n">
        <f aca="false">SUM(B1323:X1323)</f>
        <v>-28912.5</v>
      </c>
      <c r="Z1323" s="280"/>
    </row>
    <row r="1324" customFormat="false" ht="14.25" hidden="false" customHeight="false" outlineLevel="0" collapsed="false">
      <c r="A1324" s="280" t="s">
        <v>1371</v>
      </c>
      <c r="B1324" s="278"/>
      <c r="C1324" s="278"/>
      <c r="D1324" s="278"/>
      <c r="E1324" s="278"/>
      <c r="F1324" s="278"/>
      <c r="G1324" s="278"/>
      <c r="H1324" s="278"/>
      <c r="I1324" s="278"/>
      <c r="J1324" s="278" t="n">
        <v>23287.5</v>
      </c>
      <c r="K1324" s="278"/>
      <c r="L1324" s="278"/>
      <c r="M1324" s="278"/>
      <c r="N1324" s="278"/>
      <c r="O1324" s="278"/>
      <c r="P1324" s="278"/>
      <c r="Q1324" s="278"/>
      <c r="R1324" s="278"/>
      <c r="S1324" s="278"/>
      <c r="T1324" s="278"/>
      <c r="U1324" s="278"/>
      <c r="V1324" s="278"/>
      <c r="W1324" s="278"/>
      <c r="X1324" s="278"/>
      <c r="Y1324" s="279" t="n">
        <f aca="false">SUM(B1324:X1324)</f>
        <v>23287.5</v>
      </c>
      <c r="Z1324" s="280"/>
    </row>
    <row r="1325" customFormat="false" ht="14.25" hidden="false" customHeight="false" outlineLevel="0" collapsed="false">
      <c r="A1325" s="280" t="s">
        <v>1372</v>
      </c>
      <c r="B1325" s="278" t="n">
        <v>3445.14</v>
      </c>
      <c r="C1325" s="278"/>
      <c r="D1325" s="278"/>
      <c r="E1325" s="278"/>
      <c r="F1325" s="278"/>
      <c r="G1325" s="278"/>
      <c r="H1325" s="278"/>
      <c r="I1325" s="278"/>
      <c r="J1325" s="278"/>
      <c r="K1325" s="278"/>
      <c r="L1325" s="278"/>
      <c r="M1325" s="278"/>
      <c r="N1325" s="278"/>
      <c r="O1325" s="278"/>
      <c r="P1325" s="278"/>
      <c r="Q1325" s="278"/>
      <c r="R1325" s="278"/>
      <c r="S1325" s="278"/>
      <c r="T1325" s="278"/>
      <c r="U1325" s="278"/>
      <c r="V1325" s="278"/>
      <c r="W1325" s="278"/>
      <c r="X1325" s="278"/>
      <c r="Y1325" s="279" t="n">
        <f aca="false">SUM(B1325:X1325)</f>
        <v>3445.14</v>
      </c>
      <c r="Z1325" s="280"/>
    </row>
    <row r="1326" customFormat="false" ht="14.25" hidden="false" customHeight="false" outlineLevel="0" collapsed="false">
      <c r="A1326" s="280" t="s">
        <v>1373</v>
      </c>
      <c r="B1326" s="278"/>
      <c r="C1326" s="278"/>
      <c r="D1326" s="278"/>
      <c r="E1326" s="278"/>
      <c r="F1326" s="278"/>
      <c r="G1326" s="278"/>
      <c r="H1326" s="278"/>
      <c r="I1326" s="278"/>
      <c r="J1326" s="278" t="n">
        <v>-32625</v>
      </c>
      <c r="K1326" s="278"/>
      <c r="L1326" s="278"/>
      <c r="M1326" s="278"/>
      <c r="N1326" s="278"/>
      <c r="O1326" s="278"/>
      <c r="P1326" s="278"/>
      <c r="Q1326" s="278"/>
      <c r="R1326" s="278"/>
      <c r="S1326" s="278"/>
      <c r="T1326" s="278"/>
      <c r="U1326" s="278"/>
      <c r="V1326" s="278"/>
      <c r="W1326" s="278"/>
      <c r="X1326" s="278"/>
      <c r="Y1326" s="279" t="n">
        <f aca="false">SUM(B1326:X1326)</f>
        <v>-32625</v>
      </c>
      <c r="Z1326" s="280"/>
    </row>
    <row r="1327" customFormat="false" ht="14.25" hidden="false" customHeight="false" outlineLevel="0" collapsed="false">
      <c r="A1327" s="280" t="s">
        <v>1374</v>
      </c>
      <c r="B1327" s="278"/>
      <c r="C1327" s="278"/>
      <c r="D1327" s="278"/>
      <c r="E1327" s="278"/>
      <c r="F1327" s="278"/>
      <c r="G1327" s="278"/>
      <c r="H1327" s="278"/>
      <c r="I1327" s="278"/>
      <c r="J1327" s="278" t="n">
        <v>25312.5</v>
      </c>
      <c r="K1327" s="278"/>
      <c r="L1327" s="278"/>
      <c r="M1327" s="278"/>
      <c r="N1327" s="278"/>
      <c r="O1327" s="278"/>
      <c r="P1327" s="278"/>
      <c r="Q1327" s="278"/>
      <c r="R1327" s="278"/>
      <c r="S1327" s="278"/>
      <c r="T1327" s="278"/>
      <c r="U1327" s="278"/>
      <c r="V1327" s="278"/>
      <c r="W1327" s="278"/>
      <c r="X1327" s="278"/>
      <c r="Y1327" s="279" t="n">
        <f aca="false">SUM(B1327:X1327)</f>
        <v>25312.5</v>
      </c>
      <c r="Z1327" s="280"/>
    </row>
    <row r="1328" customFormat="false" ht="14.25" hidden="false" customHeight="false" outlineLevel="0" collapsed="false">
      <c r="A1328" s="280" t="s">
        <v>1375</v>
      </c>
      <c r="B1328" s="278" t="n">
        <v>-315679.23</v>
      </c>
      <c r="C1328" s="278" t="n">
        <v>-17699.024</v>
      </c>
      <c r="D1328" s="278" t="n">
        <v>-42838.09</v>
      </c>
      <c r="E1328" s="278" t="n">
        <v>-74578.43</v>
      </c>
      <c r="F1328" s="278" t="n">
        <v>-552150</v>
      </c>
      <c r="G1328" s="278" t="n">
        <v>-317883.58</v>
      </c>
      <c r="H1328" s="278" t="n">
        <v>-19652.51</v>
      </c>
      <c r="I1328" s="278"/>
      <c r="J1328" s="278"/>
      <c r="K1328" s="278"/>
      <c r="L1328" s="278" t="n">
        <v>-38624.93</v>
      </c>
      <c r="M1328" s="278"/>
      <c r="N1328" s="278" t="n">
        <v>-17105</v>
      </c>
      <c r="O1328" s="278" t="n">
        <v>-16505.82</v>
      </c>
      <c r="P1328" s="278" t="n">
        <v>-147523.63</v>
      </c>
      <c r="Q1328" s="278"/>
      <c r="R1328" s="278"/>
      <c r="S1328" s="278"/>
      <c r="T1328" s="278"/>
      <c r="U1328" s="278"/>
      <c r="V1328" s="278"/>
      <c r="W1328" s="278"/>
      <c r="X1328" s="278"/>
      <c r="Y1328" s="279" t="n">
        <f aca="false">SUM(B1328:X1328)</f>
        <v>-1560240.244</v>
      </c>
      <c r="Z1328" s="280"/>
    </row>
    <row r="1329" customFormat="false" ht="14.25" hidden="false" customHeight="false" outlineLevel="0" collapsed="false">
      <c r="A1329" s="280"/>
      <c r="B1329" s="278"/>
      <c r="C1329" s="278"/>
      <c r="D1329" s="278"/>
      <c r="E1329" s="278"/>
      <c r="F1329" s="278"/>
      <c r="G1329" s="278"/>
      <c r="H1329" s="278"/>
      <c r="I1329" s="278"/>
      <c r="J1329" s="278"/>
      <c r="K1329" s="278"/>
      <c r="L1329" s="278"/>
      <c r="M1329" s="278"/>
      <c r="N1329" s="278"/>
      <c r="O1329" s="278"/>
      <c r="P1329" s="278"/>
      <c r="Q1329" s="278"/>
      <c r="R1329" s="278"/>
      <c r="S1329" s="278"/>
      <c r="T1329" s="278"/>
      <c r="U1329" s="278"/>
      <c r="V1329" s="278"/>
      <c r="W1329" s="278"/>
      <c r="X1329" s="278"/>
      <c r="Y1329" s="279" t="n">
        <f aca="false">SUM(B1329:X1329)</f>
        <v>0</v>
      </c>
      <c r="Z1329" s="280"/>
      <c r="AA1329" s="276" t="n">
        <f aca="false">SUM(Y1320:Y1329)</f>
        <v>-2282726.094</v>
      </c>
    </row>
    <row r="1330" customFormat="false" ht="14.25" hidden="false" customHeight="false" outlineLevel="0" collapsed="false">
      <c r="A1330" s="282" t="s">
        <v>1376</v>
      </c>
      <c r="B1330" s="283"/>
      <c r="C1330" s="283"/>
      <c r="D1330" s="283"/>
      <c r="E1330" s="283"/>
      <c r="F1330" s="283"/>
      <c r="G1330" s="283"/>
      <c r="H1330" s="283"/>
      <c r="I1330" s="283" t="n">
        <v>354348</v>
      </c>
      <c r="J1330" s="283"/>
      <c r="K1330" s="283"/>
      <c r="L1330" s="283"/>
      <c r="M1330" s="283"/>
      <c r="N1330" s="283"/>
      <c r="O1330" s="283"/>
      <c r="P1330" s="283"/>
      <c r="Q1330" s="283"/>
      <c r="R1330" s="283"/>
      <c r="S1330" s="283"/>
      <c r="T1330" s="283"/>
      <c r="U1330" s="283"/>
      <c r="V1330" s="283"/>
      <c r="W1330" s="283"/>
      <c r="X1330" s="283"/>
      <c r="Y1330" s="284" t="n">
        <f aca="false">SUM(B1330:X1330)</f>
        <v>354348</v>
      </c>
      <c r="Z1330" s="285"/>
      <c r="AA1330" s="286"/>
    </row>
    <row r="1331" customFormat="false" ht="14.25" hidden="false" customHeight="false" outlineLevel="0" collapsed="false">
      <c r="A1331" s="282" t="s">
        <v>1377</v>
      </c>
      <c r="B1331" s="283"/>
      <c r="C1331" s="283" t="n">
        <v>62743.5</v>
      </c>
      <c r="D1331" s="283"/>
      <c r="E1331" s="283"/>
      <c r="F1331" s="283"/>
      <c r="G1331" s="283"/>
      <c r="H1331" s="283"/>
      <c r="I1331" s="283"/>
      <c r="J1331" s="283"/>
      <c r="K1331" s="283"/>
      <c r="L1331" s="283"/>
      <c r="M1331" s="283"/>
      <c r="N1331" s="283"/>
      <c r="O1331" s="283"/>
      <c r="P1331" s="283"/>
      <c r="Q1331" s="283"/>
      <c r="R1331" s="283"/>
      <c r="S1331" s="283"/>
      <c r="T1331" s="283"/>
      <c r="U1331" s="283"/>
      <c r="V1331" s="283"/>
      <c r="W1331" s="283"/>
      <c r="X1331" s="283"/>
      <c r="Y1331" s="284" t="n">
        <f aca="false">SUM(B1331:X1331)</f>
        <v>62743.5</v>
      </c>
      <c r="Z1331" s="285"/>
      <c r="AA1331" s="286"/>
    </row>
    <row r="1332" customFormat="false" ht="14.25" hidden="false" customHeight="false" outlineLevel="0" collapsed="false">
      <c r="A1332" s="282" t="s">
        <v>1378</v>
      </c>
      <c r="B1332" s="283" t="n">
        <v>-286873.5111</v>
      </c>
      <c r="C1332" s="283"/>
      <c r="D1332" s="283"/>
      <c r="E1332" s="283"/>
      <c r="F1332" s="283"/>
      <c r="G1332" s="283"/>
      <c r="H1332" s="283"/>
      <c r="I1332" s="283"/>
      <c r="J1332" s="283"/>
      <c r="K1332" s="283"/>
      <c r="L1332" s="283"/>
      <c r="M1332" s="283"/>
      <c r="N1332" s="283"/>
      <c r="O1332" s="283"/>
      <c r="P1332" s="283"/>
      <c r="Q1332" s="283"/>
      <c r="R1332" s="283"/>
      <c r="S1332" s="283"/>
      <c r="T1332" s="283"/>
      <c r="U1332" s="283"/>
      <c r="V1332" s="283"/>
      <c r="W1332" s="283"/>
      <c r="X1332" s="283"/>
      <c r="Y1332" s="284" t="n">
        <f aca="false">SUM(B1332:X1332)</f>
        <v>-286873.5111</v>
      </c>
      <c r="Z1332" s="285"/>
      <c r="AA1332" s="286"/>
    </row>
    <row r="1333" customFormat="false" ht="14.25" hidden="false" customHeight="false" outlineLevel="0" collapsed="false">
      <c r="A1333" s="282" t="s">
        <v>1379</v>
      </c>
      <c r="B1333" s="283" t="n">
        <v>415991.7</v>
      </c>
      <c r="C1333" s="283"/>
      <c r="D1333" s="283"/>
      <c r="E1333" s="283"/>
      <c r="F1333" s="283"/>
      <c r="G1333" s="283"/>
      <c r="H1333" s="283"/>
      <c r="I1333" s="283"/>
      <c r="J1333" s="283"/>
      <c r="K1333" s="283"/>
      <c r="L1333" s="283"/>
      <c r="M1333" s="283"/>
      <c r="N1333" s="283"/>
      <c r="O1333" s="283"/>
      <c r="P1333" s="283"/>
      <c r="Q1333" s="283"/>
      <c r="R1333" s="283"/>
      <c r="S1333" s="283"/>
      <c r="T1333" s="283"/>
      <c r="U1333" s="283"/>
      <c r="V1333" s="283"/>
      <c r="W1333" s="283"/>
      <c r="X1333" s="283"/>
      <c r="Y1333" s="284" t="n">
        <f aca="false">SUM(B1333:X1333)</f>
        <v>415991.7</v>
      </c>
      <c r="Z1333" s="285"/>
      <c r="AA1333" s="286"/>
    </row>
    <row r="1334" customFormat="false" ht="14.25" hidden="false" customHeight="false" outlineLevel="0" collapsed="false">
      <c r="A1334" s="282" t="s">
        <v>1380</v>
      </c>
      <c r="B1334" s="283"/>
      <c r="C1334" s="283"/>
      <c r="D1334" s="283"/>
      <c r="E1334" s="283"/>
      <c r="F1334" s="283"/>
      <c r="G1334" s="283"/>
      <c r="H1334" s="283"/>
      <c r="I1334" s="283"/>
      <c r="J1334" s="283" t="n">
        <v>-484845.2874</v>
      </c>
      <c r="K1334" s="283"/>
      <c r="L1334" s="283"/>
      <c r="M1334" s="283"/>
      <c r="N1334" s="283"/>
      <c r="O1334" s="283"/>
      <c r="P1334" s="283"/>
      <c r="Q1334" s="283"/>
      <c r="R1334" s="283"/>
      <c r="S1334" s="283"/>
      <c r="T1334" s="283"/>
      <c r="U1334" s="283"/>
      <c r="V1334" s="283"/>
      <c r="W1334" s="283"/>
      <c r="X1334" s="283"/>
      <c r="Y1334" s="284" t="n">
        <f aca="false">SUM(B1334:X1334)</f>
        <v>-484845.2874</v>
      </c>
      <c r="Z1334" s="285"/>
      <c r="AA1334" s="286"/>
    </row>
    <row r="1335" customFormat="false" ht="14.25" hidden="false" customHeight="false" outlineLevel="0" collapsed="false">
      <c r="A1335" s="282" t="s">
        <v>1381</v>
      </c>
      <c r="B1335" s="283"/>
      <c r="C1335" s="283"/>
      <c r="D1335" s="283"/>
      <c r="E1335" s="283"/>
      <c r="F1335" s="283"/>
      <c r="G1335" s="283"/>
      <c r="H1335" s="283"/>
      <c r="I1335" s="283" t="n">
        <v>-48368.4</v>
      </c>
      <c r="J1335" s="283"/>
      <c r="K1335" s="283"/>
      <c r="L1335" s="283"/>
      <c r="M1335" s="283"/>
      <c r="N1335" s="283"/>
      <c r="O1335" s="283"/>
      <c r="P1335" s="283"/>
      <c r="Q1335" s="283"/>
      <c r="R1335" s="283"/>
      <c r="S1335" s="283"/>
      <c r="T1335" s="283"/>
      <c r="U1335" s="283"/>
      <c r="V1335" s="283"/>
      <c r="W1335" s="283"/>
      <c r="X1335" s="283"/>
      <c r="Y1335" s="284" t="n">
        <f aca="false">SUM(B1335:X1335)</f>
        <v>-48368.4</v>
      </c>
      <c r="Z1335" s="285"/>
      <c r="AA1335" s="286"/>
    </row>
    <row r="1336" customFormat="false" ht="14.25" hidden="false" customHeight="false" outlineLevel="0" collapsed="false">
      <c r="A1336" s="282" t="s">
        <v>1382</v>
      </c>
      <c r="B1336" s="283"/>
      <c r="C1336" s="283"/>
      <c r="D1336" s="283"/>
      <c r="E1336" s="283"/>
      <c r="F1336" s="283"/>
      <c r="G1336" s="283"/>
      <c r="H1336" s="283"/>
      <c r="I1336" s="283"/>
      <c r="J1336" s="283"/>
      <c r="K1336" s="283"/>
      <c r="L1336" s="283"/>
      <c r="M1336" s="283" t="n">
        <v>-17225.5</v>
      </c>
      <c r="N1336" s="283"/>
      <c r="O1336" s="283"/>
      <c r="P1336" s="283"/>
      <c r="Q1336" s="283"/>
      <c r="R1336" s="283"/>
      <c r="S1336" s="283"/>
      <c r="T1336" s="283"/>
      <c r="U1336" s="283"/>
      <c r="V1336" s="283"/>
      <c r="W1336" s="283"/>
      <c r="X1336" s="283"/>
      <c r="Y1336" s="284" t="n">
        <f aca="false">SUM(B1336:X1336)</f>
        <v>-17225.5</v>
      </c>
      <c r="Z1336" s="285"/>
      <c r="AA1336" s="286"/>
    </row>
    <row r="1337" customFormat="false" ht="14.25" hidden="false" customHeight="false" outlineLevel="0" collapsed="false">
      <c r="A1337" s="282" t="s">
        <v>1383</v>
      </c>
      <c r="B1337" s="283"/>
      <c r="C1337" s="283" t="n">
        <v>22033.9</v>
      </c>
      <c r="D1337" s="283"/>
      <c r="E1337" s="283"/>
      <c r="F1337" s="283"/>
      <c r="G1337" s="283"/>
      <c r="H1337" s="283"/>
      <c r="I1337" s="283"/>
      <c r="J1337" s="283"/>
      <c r="K1337" s="283"/>
      <c r="L1337" s="283"/>
      <c r="M1337" s="283"/>
      <c r="N1337" s="283"/>
      <c r="O1337" s="283"/>
      <c r="P1337" s="283"/>
      <c r="Q1337" s="283"/>
      <c r="R1337" s="283"/>
      <c r="S1337" s="283"/>
      <c r="T1337" s="283"/>
      <c r="U1337" s="283"/>
      <c r="V1337" s="283"/>
      <c r="W1337" s="283"/>
      <c r="X1337" s="283"/>
      <c r="Y1337" s="284" t="n">
        <f aca="false">SUM(B1337:X1337)</f>
        <v>22033.9</v>
      </c>
      <c r="Z1337" s="285"/>
      <c r="AA1337" s="286"/>
    </row>
    <row r="1338" customFormat="false" ht="14.25" hidden="false" customHeight="false" outlineLevel="0" collapsed="false">
      <c r="A1338" s="282" t="s">
        <v>1384</v>
      </c>
      <c r="B1338" s="283"/>
      <c r="C1338" s="283" t="n">
        <v>1647</v>
      </c>
      <c r="D1338" s="283"/>
      <c r="E1338" s="283"/>
      <c r="F1338" s="283"/>
      <c r="G1338" s="283"/>
      <c r="H1338" s="283"/>
      <c r="I1338" s="283"/>
      <c r="J1338" s="283"/>
      <c r="K1338" s="283"/>
      <c r="L1338" s="283"/>
      <c r="M1338" s="283"/>
      <c r="N1338" s="283"/>
      <c r="O1338" s="283"/>
      <c r="P1338" s="283"/>
      <c r="Q1338" s="283"/>
      <c r="R1338" s="283"/>
      <c r="S1338" s="283"/>
      <c r="T1338" s="283"/>
      <c r="U1338" s="283"/>
      <c r="V1338" s="283"/>
      <c r="W1338" s="283"/>
      <c r="X1338" s="283"/>
      <c r="Y1338" s="284" t="n">
        <f aca="false">SUM(B1338:X1338)</f>
        <v>1647</v>
      </c>
      <c r="Z1338" s="285"/>
      <c r="AA1338" s="286"/>
    </row>
    <row r="1339" customFormat="false" ht="14.25" hidden="false" customHeight="false" outlineLevel="0" collapsed="false">
      <c r="A1339" s="282" t="s">
        <v>1385</v>
      </c>
      <c r="B1339" s="283"/>
      <c r="C1339" s="283"/>
      <c r="D1339" s="283"/>
      <c r="E1339" s="283"/>
      <c r="F1339" s="283"/>
      <c r="G1339" s="283"/>
      <c r="H1339" s="283" t="n">
        <v>-41623.338</v>
      </c>
      <c r="I1339" s="283"/>
      <c r="J1339" s="283"/>
      <c r="K1339" s="283"/>
      <c r="L1339" s="283"/>
      <c r="M1339" s="283"/>
      <c r="N1339" s="283"/>
      <c r="O1339" s="283"/>
      <c r="P1339" s="283"/>
      <c r="Q1339" s="283"/>
      <c r="R1339" s="283"/>
      <c r="S1339" s="283"/>
      <c r="T1339" s="283"/>
      <c r="U1339" s="283"/>
      <c r="V1339" s="283"/>
      <c r="W1339" s="283"/>
      <c r="X1339" s="283"/>
      <c r="Y1339" s="284" t="n">
        <f aca="false">SUM(B1339:X1339)</f>
        <v>-41623.338</v>
      </c>
      <c r="Z1339" s="285"/>
      <c r="AA1339" s="286"/>
    </row>
    <row r="1340" customFormat="false" ht="14.25" hidden="false" customHeight="false" outlineLevel="0" collapsed="false">
      <c r="A1340" s="282" t="s">
        <v>1386</v>
      </c>
      <c r="B1340" s="283"/>
      <c r="C1340" s="283"/>
      <c r="D1340" s="283"/>
      <c r="E1340" s="283"/>
      <c r="F1340" s="283"/>
      <c r="G1340" s="283"/>
      <c r="H1340" s="283"/>
      <c r="I1340" s="283"/>
      <c r="J1340" s="283"/>
      <c r="K1340" s="283"/>
      <c r="L1340" s="283"/>
      <c r="M1340" s="283"/>
      <c r="N1340" s="283" t="n">
        <v>-27566.6</v>
      </c>
      <c r="O1340" s="283"/>
      <c r="P1340" s="283"/>
      <c r="Q1340" s="283"/>
      <c r="R1340" s="283"/>
      <c r="S1340" s="283"/>
      <c r="T1340" s="283"/>
      <c r="U1340" s="283"/>
      <c r="V1340" s="283"/>
      <c r="W1340" s="283"/>
      <c r="X1340" s="283"/>
      <c r="Y1340" s="284" t="n">
        <f aca="false">SUM(B1340:X1340)</f>
        <v>-27566.6</v>
      </c>
      <c r="Z1340" s="285"/>
      <c r="AA1340" s="286"/>
    </row>
    <row r="1341" customFormat="false" ht="14.25" hidden="false" customHeight="false" outlineLevel="0" collapsed="false">
      <c r="A1341" s="282" t="s">
        <v>1387</v>
      </c>
      <c r="B1341" s="283"/>
      <c r="C1341" s="283"/>
      <c r="D1341" s="283"/>
      <c r="E1341" s="283"/>
      <c r="F1341" s="283"/>
      <c r="G1341" s="283"/>
      <c r="H1341" s="283" t="n">
        <v>-81496.368</v>
      </c>
      <c r="I1341" s="283"/>
      <c r="J1341" s="283"/>
      <c r="K1341" s="283"/>
      <c r="L1341" s="283"/>
      <c r="M1341" s="283"/>
      <c r="N1341" s="283"/>
      <c r="O1341" s="283"/>
      <c r="P1341" s="283"/>
      <c r="Q1341" s="283"/>
      <c r="R1341" s="283"/>
      <c r="S1341" s="283"/>
      <c r="T1341" s="283"/>
      <c r="U1341" s="283"/>
      <c r="V1341" s="283"/>
      <c r="W1341" s="283"/>
      <c r="X1341" s="283"/>
      <c r="Y1341" s="284" t="n">
        <f aca="false">SUM(B1341:X1341)</f>
        <v>-81496.368</v>
      </c>
      <c r="Z1341" s="285"/>
      <c r="AA1341" s="286"/>
    </row>
    <row r="1342" customFormat="false" ht="14.25" hidden="false" customHeight="false" outlineLevel="0" collapsed="false">
      <c r="A1342" s="282" t="s">
        <v>1388</v>
      </c>
      <c r="B1342" s="283"/>
      <c r="C1342" s="283"/>
      <c r="D1342" s="283"/>
      <c r="E1342" s="283"/>
      <c r="F1342" s="283"/>
      <c r="G1342" s="283"/>
      <c r="H1342" s="283"/>
      <c r="I1342" s="283"/>
      <c r="J1342" s="283"/>
      <c r="K1342" s="283"/>
      <c r="L1342" s="283"/>
      <c r="M1342" s="283"/>
      <c r="N1342" s="283" t="n">
        <v>-53300.8</v>
      </c>
      <c r="O1342" s="283"/>
      <c r="P1342" s="283"/>
      <c r="Q1342" s="283"/>
      <c r="R1342" s="283"/>
      <c r="S1342" s="283"/>
      <c r="T1342" s="283"/>
      <c r="U1342" s="283"/>
      <c r="V1342" s="283"/>
      <c r="W1342" s="283"/>
      <c r="X1342" s="283"/>
      <c r="Y1342" s="284" t="n">
        <f aca="false">SUM(B1342:X1342)</f>
        <v>-53300.8</v>
      </c>
      <c r="Z1342" s="285"/>
      <c r="AA1342" s="286"/>
    </row>
    <row r="1343" customFormat="false" ht="14.25" hidden="false" customHeight="false" outlineLevel="0" collapsed="false">
      <c r="A1343" s="282" t="s">
        <v>1389</v>
      </c>
      <c r="B1343" s="283"/>
      <c r="C1343" s="283"/>
      <c r="D1343" s="283"/>
      <c r="E1343" s="283" t="n">
        <v>-72268</v>
      </c>
      <c r="F1343" s="283"/>
      <c r="G1343" s="283"/>
      <c r="H1343" s="283"/>
      <c r="I1343" s="283"/>
      <c r="J1343" s="283"/>
      <c r="K1343" s="283"/>
      <c r="L1343" s="283"/>
      <c r="M1343" s="283"/>
      <c r="N1343" s="283"/>
      <c r="O1343" s="283"/>
      <c r="P1343" s="283"/>
      <c r="Q1343" s="283"/>
      <c r="R1343" s="283"/>
      <c r="S1343" s="283"/>
      <c r="T1343" s="283"/>
      <c r="U1343" s="283"/>
      <c r="V1343" s="283"/>
      <c r="W1343" s="283"/>
      <c r="X1343" s="283"/>
      <c r="Y1343" s="284" t="n">
        <f aca="false">SUM(B1343:X1343)</f>
        <v>-72268</v>
      </c>
      <c r="Z1343" s="285"/>
      <c r="AA1343" s="286"/>
    </row>
    <row r="1344" customFormat="false" ht="14.25" hidden="false" customHeight="false" outlineLevel="0" collapsed="false">
      <c r="A1344" s="282" t="s">
        <v>1390</v>
      </c>
      <c r="B1344" s="283"/>
      <c r="C1344" s="283"/>
      <c r="D1344" s="283"/>
      <c r="E1344" s="283"/>
      <c r="F1344" s="283"/>
      <c r="G1344" s="283"/>
      <c r="H1344" s="283"/>
      <c r="I1344" s="283"/>
      <c r="J1344" s="283"/>
      <c r="K1344" s="283"/>
      <c r="L1344" s="283"/>
      <c r="M1344" s="283"/>
      <c r="N1344" s="283"/>
      <c r="O1344" s="283"/>
      <c r="P1344" s="283" t="n">
        <v>-221459.2</v>
      </c>
      <c r="Q1344" s="283"/>
      <c r="R1344" s="283"/>
      <c r="S1344" s="283"/>
      <c r="T1344" s="283"/>
      <c r="U1344" s="283"/>
      <c r="V1344" s="283"/>
      <c r="W1344" s="283"/>
      <c r="X1344" s="283"/>
      <c r="Y1344" s="284" t="n">
        <f aca="false">SUM(B1344:X1344)</f>
        <v>-221459.2</v>
      </c>
      <c r="Z1344" s="285"/>
      <c r="AA1344" s="286"/>
    </row>
    <row r="1345" customFormat="false" ht="14.25" hidden="false" customHeight="false" outlineLevel="0" collapsed="false">
      <c r="A1345" s="282" t="s">
        <v>1391</v>
      </c>
      <c r="B1345" s="283"/>
      <c r="C1345" s="283"/>
      <c r="D1345" s="283"/>
      <c r="E1345" s="283" t="n">
        <v>-40452.3</v>
      </c>
      <c r="F1345" s="283"/>
      <c r="G1345" s="283"/>
      <c r="H1345" s="283"/>
      <c r="I1345" s="283"/>
      <c r="J1345" s="283"/>
      <c r="K1345" s="283"/>
      <c r="L1345" s="283"/>
      <c r="M1345" s="283"/>
      <c r="N1345" s="283"/>
      <c r="O1345" s="283"/>
      <c r="P1345" s="283"/>
      <c r="Q1345" s="283"/>
      <c r="R1345" s="283"/>
      <c r="S1345" s="283"/>
      <c r="T1345" s="283"/>
      <c r="U1345" s="283"/>
      <c r="V1345" s="283"/>
      <c r="W1345" s="283"/>
      <c r="X1345" s="283"/>
      <c r="Y1345" s="284" t="n">
        <f aca="false">SUM(B1345:X1345)</f>
        <v>-40452.3</v>
      </c>
      <c r="Z1345" s="285"/>
      <c r="AA1345" s="286"/>
    </row>
    <row r="1346" customFormat="false" ht="14.25" hidden="false" customHeight="false" outlineLevel="0" collapsed="false">
      <c r="A1346" s="282" t="s">
        <v>1392</v>
      </c>
      <c r="B1346" s="283"/>
      <c r="C1346" s="283"/>
      <c r="D1346" s="283"/>
      <c r="E1346" s="283"/>
      <c r="F1346" s="283" t="n">
        <v>-1163.9652</v>
      </c>
      <c r="G1346" s="283"/>
      <c r="H1346" s="283"/>
      <c r="I1346" s="283"/>
      <c r="J1346" s="283"/>
      <c r="K1346" s="283"/>
      <c r="L1346" s="283"/>
      <c r="M1346" s="283"/>
      <c r="N1346" s="283"/>
      <c r="O1346" s="283"/>
      <c r="P1346" s="283"/>
      <c r="Q1346" s="283"/>
      <c r="R1346" s="283"/>
      <c r="S1346" s="283"/>
      <c r="T1346" s="283"/>
      <c r="U1346" s="283"/>
      <c r="V1346" s="283"/>
      <c r="W1346" s="283"/>
      <c r="X1346" s="283"/>
      <c r="Y1346" s="284" t="n">
        <f aca="false">SUM(B1346:X1346)</f>
        <v>-1163.9652</v>
      </c>
      <c r="Z1346" s="285"/>
      <c r="AA1346" s="286"/>
    </row>
    <row r="1347" customFormat="false" ht="14.25" hidden="false" customHeight="false" outlineLevel="0" collapsed="false">
      <c r="A1347" s="282" t="s">
        <v>1393</v>
      </c>
      <c r="B1347" s="283"/>
      <c r="C1347" s="283"/>
      <c r="D1347" s="283"/>
      <c r="E1347" s="283"/>
      <c r="F1347" s="283" t="n">
        <v>-28736</v>
      </c>
      <c r="G1347" s="283"/>
      <c r="H1347" s="283"/>
      <c r="I1347" s="283"/>
      <c r="J1347" s="283"/>
      <c r="K1347" s="283"/>
      <c r="L1347" s="283"/>
      <c r="M1347" s="283"/>
      <c r="N1347" s="283"/>
      <c r="O1347" s="283"/>
      <c r="P1347" s="283"/>
      <c r="Q1347" s="283"/>
      <c r="R1347" s="283"/>
      <c r="S1347" s="283"/>
      <c r="T1347" s="283"/>
      <c r="U1347" s="283"/>
      <c r="V1347" s="283"/>
      <c r="W1347" s="283"/>
      <c r="X1347" s="283"/>
      <c r="Y1347" s="284" t="n">
        <f aca="false">SUM(B1347:X1347)</f>
        <v>-28736</v>
      </c>
      <c r="Z1347" s="285"/>
      <c r="AA1347" s="286"/>
    </row>
    <row r="1348" customFormat="false" ht="14.25" hidden="false" customHeight="false" outlineLevel="0" collapsed="false">
      <c r="A1348" s="282" t="s">
        <v>1394</v>
      </c>
      <c r="B1348" s="283"/>
      <c r="C1348" s="283"/>
      <c r="D1348" s="283"/>
      <c r="E1348" s="283" t="n">
        <v>-71483.45</v>
      </c>
      <c r="F1348" s="283"/>
      <c r="G1348" s="283"/>
      <c r="H1348" s="283"/>
      <c r="I1348" s="283"/>
      <c r="J1348" s="283"/>
      <c r="K1348" s="283"/>
      <c r="L1348" s="283"/>
      <c r="M1348" s="283"/>
      <c r="N1348" s="283"/>
      <c r="O1348" s="283"/>
      <c r="P1348" s="283"/>
      <c r="Q1348" s="283"/>
      <c r="R1348" s="283"/>
      <c r="S1348" s="283"/>
      <c r="T1348" s="283"/>
      <c r="U1348" s="283"/>
      <c r="V1348" s="283"/>
      <c r="W1348" s="283"/>
      <c r="X1348" s="283"/>
      <c r="Y1348" s="284" t="n">
        <f aca="false">SUM(B1348:X1348)</f>
        <v>-71483.45</v>
      </c>
      <c r="Z1348" s="285"/>
      <c r="AA1348" s="286"/>
    </row>
    <row r="1349" customFormat="false" ht="14.25" hidden="false" customHeight="false" outlineLevel="0" collapsed="false">
      <c r="A1349" s="282" t="s">
        <v>1395</v>
      </c>
      <c r="B1349" s="283"/>
      <c r="C1349" s="283"/>
      <c r="D1349" s="283"/>
      <c r="E1349" s="283"/>
      <c r="F1349" s="283"/>
      <c r="G1349" s="283" t="n">
        <v>29156</v>
      </c>
      <c r="H1349" s="283"/>
      <c r="I1349" s="283"/>
      <c r="J1349" s="283"/>
      <c r="K1349" s="283"/>
      <c r="L1349" s="283"/>
      <c r="M1349" s="283"/>
      <c r="N1349" s="283"/>
      <c r="O1349" s="283"/>
      <c r="P1349" s="283"/>
      <c r="Q1349" s="283"/>
      <c r="R1349" s="283"/>
      <c r="S1349" s="283"/>
      <c r="T1349" s="283"/>
      <c r="U1349" s="283"/>
      <c r="V1349" s="283"/>
      <c r="W1349" s="283"/>
      <c r="X1349" s="283"/>
      <c r="Y1349" s="284" t="n">
        <f aca="false">SUM(B1349:X1349)</f>
        <v>29156</v>
      </c>
      <c r="Z1349" s="285"/>
      <c r="AA1349" s="286"/>
    </row>
    <row r="1350" customFormat="false" ht="14.25" hidden="false" customHeight="false" outlineLevel="0" collapsed="false">
      <c r="A1350" s="282" t="s">
        <v>1396</v>
      </c>
      <c r="B1350" s="283" t="n">
        <v>-45240.4</v>
      </c>
      <c r="C1350" s="283"/>
      <c r="D1350" s="283"/>
      <c r="E1350" s="283"/>
      <c r="F1350" s="283"/>
      <c r="G1350" s="283"/>
      <c r="H1350" s="283"/>
      <c r="I1350" s="283"/>
      <c r="J1350" s="283"/>
      <c r="K1350" s="283"/>
      <c r="L1350" s="283"/>
      <c r="M1350" s="283"/>
      <c r="N1350" s="283"/>
      <c r="O1350" s="283"/>
      <c r="P1350" s="283"/>
      <c r="Q1350" s="283"/>
      <c r="R1350" s="283"/>
      <c r="S1350" s="283"/>
      <c r="T1350" s="283"/>
      <c r="U1350" s="283"/>
      <c r="V1350" s="283"/>
      <c r="W1350" s="283"/>
      <c r="X1350" s="283"/>
      <c r="Y1350" s="284" t="n">
        <f aca="false">SUM(B1350:X1350)</f>
        <v>-45240.4</v>
      </c>
      <c r="Z1350" s="285"/>
      <c r="AA1350" s="286"/>
    </row>
    <row r="1351" customFormat="false" ht="14.25" hidden="false" customHeight="false" outlineLevel="0" collapsed="false">
      <c r="A1351" s="282" t="s">
        <v>1397</v>
      </c>
      <c r="B1351" s="283"/>
      <c r="C1351" s="283" t="n">
        <v>-103143.6</v>
      </c>
      <c r="D1351" s="283"/>
      <c r="E1351" s="283"/>
      <c r="F1351" s="283"/>
      <c r="G1351" s="283"/>
      <c r="H1351" s="283"/>
      <c r="I1351" s="283"/>
      <c r="J1351" s="283"/>
      <c r="K1351" s="283"/>
      <c r="L1351" s="283"/>
      <c r="M1351" s="283"/>
      <c r="N1351" s="283"/>
      <c r="O1351" s="283"/>
      <c r="P1351" s="283"/>
      <c r="Q1351" s="283"/>
      <c r="R1351" s="283"/>
      <c r="S1351" s="283"/>
      <c r="T1351" s="283"/>
      <c r="U1351" s="283"/>
      <c r="V1351" s="283"/>
      <c r="W1351" s="283"/>
      <c r="X1351" s="283"/>
      <c r="Y1351" s="284" t="n">
        <f aca="false">SUM(B1351:X1351)</f>
        <v>-103143.6</v>
      </c>
      <c r="Z1351" s="285"/>
      <c r="AA1351" s="286"/>
    </row>
    <row r="1352" customFormat="false" ht="14.25" hidden="false" customHeight="false" outlineLevel="0" collapsed="false">
      <c r="A1352" s="282" t="s">
        <v>1398</v>
      </c>
      <c r="B1352" s="283"/>
      <c r="C1352" s="283"/>
      <c r="D1352" s="283"/>
      <c r="E1352" s="283"/>
      <c r="F1352" s="283"/>
      <c r="G1352" s="283"/>
      <c r="H1352" s="283"/>
      <c r="I1352" s="283"/>
      <c r="J1352" s="283" t="n">
        <v>-130731.4</v>
      </c>
      <c r="K1352" s="283"/>
      <c r="L1352" s="283"/>
      <c r="M1352" s="283"/>
      <c r="N1352" s="283"/>
      <c r="O1352" s="283"/>
      <c r="P1352" s="283"/>
      <c r="Q1352" s="283"/>
      <c r="R1352" s="283"/>
      <c r="S1352" s="283"/>
      <c r="T1352" s="283"/>
      <c r="U1352" s="283"/>
      <c r="V1352" s="283"/>
      <c r="W1352" s="283"/>
      <c r="X1352" s="283"/>
      <c r="Y1352" s="284" t="n">
        <f aca="false">SUM(B1352:X1352)</f>
        <v>-130731.4</v>
      </c>
      <c r="Z1352" s="285"/>
      <c r="AA1352" s="286"/>
    </row>
    <row r="1353" customFormat="false" ht="14.25" hidden="false" customHeight="false" outlineLevel="0" collapsed="false">
      <c r="A1353" s="282" t="s">
        <v>1399</v>
      </c>
      <c r="B1353" s="283"/>
      <c r="C1353" s="283"/>
      <c r="D1353" s="283"/>
      <c r="E1353" s="283"/>
      <c r="F1353" s="283"/>
      <c r="G1353" s="283" t="n">
        <v>-227169</v>
      </c>
      <c r="H1353" s="283"/>
      <c r="I1353" s="283"/>
      <c r="J1353" s="283"/>
      <c r="K1353" s="283"/>
      <c r="L1353" s="283"/>
      <c r="M1353" s="283"/>
      <c r="N1353" s="283"/>
      <c r="O1353" s="283"/>
      <c r="P1353" s="283"/>
      <c r="Q1353" s="283"/>
      <c r="R1353" s="283"/>
      <c r="S1353" s="283"/>
      <c r="T1353" s="283"/>
      <c r="U1353" s="283"/>
      <c r="V1353" s="283"/>
      <c r="W1353" s="283"/>
      <c r="X1353" s="283"/>
      <c r="Y1353" s="284" t="n">
        <f aca="false">SUM(B1353:X1353)</f>
        <v>-227169</v>
      </c>
      <c r="Z1353" s="285"/>
      <c r="AA1353" s="286"/>
    </row>
    <row r="1354" customFormat="false" ht="14.25" hidden="false" customHeight="false" outlineLevel="0" collapsed="false">
      <c r="A1354" s="282" t="s">
        <v>1400</v>
      </c>
      <c r="B1354" s="283"/>
      <c r="C1354" s="283"/>
      <c r="D1354" s="283"/>
      <c r="E1354" s="283"/>
      <c r="F1354" s="283"/>
      <c r="G1354" s="283" t="n">
        <v>-314688.8</v>
      </c>
      <c r="H1354" s="283"/>
      <c r="I1354" s="283"/>
      <c r="J1354" s="283"/>
      <c r="K1354" s="283"/>
      <c r="L1354" s="283"/>
      <c r="M1354" s="283"/>
      <c r="N1354" s="283"/>
      <c r="O1354" s="283"/>
      <c r="P1354" s="283"/>
      <c r="Q1354" s="283"/>
      <c r="R1354" s="283"/>
      <c r="S1354" s="283"/>
      <c r="T1354" s="283"/>
      <c r="U1354" s="283"/>
      <c r="V1354" s="283"/>
      <c r="W1354" s="283"/>
      <c r="X1354" s="283"/>
      <c r="Y1354" s="284" t="n">
        <f aca="false">SUM(B1354:X1354)</f>
        <v>-314688.8</v>
      </c>
      <c r="Z1354" s="285"/>
      <c r="AA1354" s="286"/>
    </row>
    <row r="1355" customFormat="false" ht="14.25" hidden="false" customHeight="false" outlineLevel="0" collapsed="false">
      <c r="A1355" s="282" t="s">
        <v>1401</v>
      </c>
      <c r="B1355" s="283"/>
      <c r="C1355" s="283"/>
      <c r="D1355" s="283"/>
      <c r="E1355" s="283"/>
      <c r="F1355" s="283"/>
      <c r="G1355" s="283"/>
      <c r="H1355" s="283"/>
      <c r="I1355" s="283"/>
      <c r="J1355" s="283" t="n">
        <v>-191315.5</v>
      </c>
      <c r="K1355" s="283"/>
      <c r="L1355" s="283"/>
      <c r="M1355" s="283"/>
      <c r="N1355" s="283"/>
      <c r="O1355" s="283"/>
      <c r="P1355" s="283"/>
      <c r="Q1355" s="283"/>
      <c r="R1355" s="283"/>
      <c r="S1355" s="283"/>
      <c r="T1355" s="283"/>
      <c r="U1355" s="283"/>
      <c r="V1355" s="283"/>
      <c r="W1355" s="283"/>
      <c r="X1355" s="283"/>
      <c r="Y1355" s="284" t="n">
        <f aca="false">SUM(B1355:X1355)</f>
        <v>-191315.5</v>
      </c>
      <c r="Z1355" s="285"/>
      <c r="AA1355" s="286"/>
    </row>
    <row r="1356" customFormat="false" ht="14.25" hidden="false" customHeight="false" outlineLevel="0" collapsed="false">
      <c r="A1356" s="282" t="s">
        <v>1402</v>
      </c>
      <c r="B1356" s="283" t="n">
        <v>-121608</v>
      </c>
      <c r="C1356" s="283"/>
      <c r="D1356" s="283"/>
      <c r="E1356" s="283"/>
      <c r="F1356" s="283"/>
      <c r="G1356" s="283"/>
      <c r="H1356" s="283"/>
      <c r="I1356" s="283"/>
      <c r="J1356" s="283"/>
      <c r="K1356" s="283"/>
      <c r="L1356" s="283"/>
      <c r="M1356" s="283"/>
      <c r="N1356" s="283"/>
      <c r="O1356" s="283"/>
      <c r="P1356" s="283"/>
      <c r="Q1356" s="283"/>
      <c r="R1356" s="283"/>
      <c r="S1356" s="283"/>
      <c r="T1356" s="283"/>
      <c r="U1356" s="283"/>
      <c r="V1356" s="283"/>
      <c r="W1356" s="283"/>
      <c r="X1356" s="283"/>
      <c r="Y1356" s="284" t="n">
        <f aca="false">SUM(B1356:X1356)</f>
        <v>-121608</v>
      </c>
      <c r="Z1356" s="285"/>
      <c r="AA1356" s="286"/>
    </row>
    <row r="1357" customFormat="false" ht="14.25" hidden="false" customHeight="false" outlineLevel="0" collapsed="false">
      <c r="A1357" s="282" t="s">
        <v>1403</v>
      </c>
      <c r="B1357" s="283"/>
      <c r="C1357" s="283"/>
      <c r="D1357" s="283"/>
      <c r="E1357" s="283"/>
      <c r="F1357" s="283"/>
      <c r="G1357" s="283"/>
      <c r="H1357" s="283"/>
      <c r="I1357" s="283"/>
      <c r="J1357" s="283"/>
      <c r="K1357" s="283"/>
      <c r="L1357" s="283" t="n">
        <v>-75697.2</v>
      </c>
      <c r="M1357" s="283"/>
      <c r="N1357" s="283"/>
      <c r="O1357" s="283"/>
      <c r="P1357" s="283"/>
      <c r="Q1357" s="283"/>
      <c r="R1357" s="283"/>
      <c r="S1357" s="283"/>
      <c r="T1357" s="283"/>
      <c r="U1357" s="283"/>
      <c r="V1357" s="283"/>
      <c r="W1357" s="283"/>
      <c r="X1357" s="283"/>
      <c r="Y1357" s="284" t="n">
        <f aca="false">SUM(B1357:X1357)</f>
        <v>-75697.2</v>
      </c>
      <c r="Z1357" s="285"/>
      <c r="AA1357" s="286"/>
    </row>
    <row r="1358" customFormat="false" ht="14.25" hidden="false" customHeight="false" outlineLevel="0" collapsed="false">
      <c r="A1358" s="282" t="s">
        <v>1404</v>
      </c>
      <c r="B1358" s="283"/>
      <c r="C1358" s="283"/>
      <c r="D1358" s="283"/>
      <c r="E1358" s="283"/>
      <c r="F1358" s="283"/>
      <c r="G1358" s="283" t="n">
        <v>-136769.5</v>
      </c>
      <c r="H1358" s="283"/>
      <c r="I1358" s="283"/>
      <c r="J1358" s="283"/>
      <c r="K1358" s="283"/>
      <c r="L1358" s="283"/>
      <c r="M1358" s="283"/>
      <c r="N1358" s="283"/>
      <c r="O1358" s="283"/>
      <c r="P1358" s="283"/>
      <c r="Q1358" s="283"/>
      <c r="R1358" s="283"/>
      <c r="S1358" s="283"/>
      <c r="T1358" s="283"/>
      <c r="U1358" s="283"/>
      <c r="V1358" s="283"/>
      <c r="W1358" s="283"/>
      <c r="X1358" s="283"/>
      <c r="Y1358" s="284" t="n">
        <f aca="false">SUM(B1358:X1358)</f>
        <v>-136769.5</v>
      </c>
      <c r="Z1358" s="285"/>
      <c r="AA1358" s="286"/>
    </row>
    <row r="1359" customFormat="false" ht="14.25" hidden="false" customHeight="false" outlineLevel="0" collapsed="false">
      <c r="A1359" s="282" t="s">
        <v>1405</v>
      </c>
      <c r="B1359" s="283"/>
      <c r="C1359" s="283"/>
      <c r="D1359" s="283"/>
      <c r="E1359" s="283"/>
      <c r="F1359" s="283"/>
      <c r="G1359" s="283"/>
      <c r="H1359" s="283"/>
      <c r="I1359" s="283"/>
      <c r="J1359" s="283"/>
      <c r="K1359" s="283"/>
      <c r="L1359" s="283" t="n">
        <v>-276986.6</v>
      </c>
      <c r="M1359" s="283"/>
      <c r="N1359" s="283"/>
      <c r="O1359" s="283"/>
      <c r="P1359" s="283"/>
      <c r="Q1359" s="283"/>
      <c r="R1359" s="283"/>
      <c r="S1359" s="283"/>
      <c r="T1359" s="283"/>
      <c r="U1359" s="283"/>
      <c r="V1359" s="283"/>
      <c r="W1359" s="283"/>
      <c r="X1359" s="283"/>
      <c r="Y1359" s="284" t="n">
        <f aca="false">SUM(B1359:X1359)</f>
        <v>-276986.6</v>
      </c>
      <c r="Z1359" s="285"/>
      <c r="AA1359" s="286"/>
    </row>
    <row r="1360" customFormat="false" ht="14.25" hidden="false" customHeight="false" outlineLevel="0" collapsed="false">
      <c r="A1360" s="282" t="s">
        <v>1406</v>
      </c>
      <c r="B1360" s="283"/>
      <c r="C1360" s="283"/>
      <c r="D1360" s="283"/>
      <c r="E1360" s="283"/>
      <c r="F1360" s="283"/>
      <c r="G1360" s="283"/>
      <c r="H1360" s="283"/>
      <c r="I1360" s="283"/>
      <c r="J1360" s="283" t="n">
        <v>-150587.2</v>
      </c>
      <c r="K1360" s="283"/>
      <c r="L1360" s="283"/>
      <c r="M1360" s="283"/>
      <c r="N1360" s="283"/>
      <c r="O1360" s="283"/>
      <c r="P1360" s="283"/>
      <c r="Q1360" s="283"/>
      <c r="R1360" s="283"/>
      <c r="S1360" s="283"/>
      <c r="T1360" s="283"/>
      <c r="U1360" s="283"/>
      <c r="V1360" s="283"/>
      <c r="W1360" s="283"/>
      <c r="X1360" s="283"/>
      <c r="Y1360" s="284" t="n">
        <f aca="false">SUM(B1360:X1360)</f>
        <v>-150587.2</v>
      </c>
      <c r="Z1360" s="285"/>
      <c r="AA1360" s="286"/>
    </row>
    <row r="1361" customFormat="false" ht="14.25" hidden="false" customHeight="false" outlineLevel="0" collapsed="false">
      <c r="A1361" s="282" t="s">
        <v>1407</v>
      </c>
      <c r="B1361" s="283"/>
      <c r="C1361" s="283"/>
      <c r="D1361" s="283"/>
      <c r="E1361" s="283"/>
      <c r="F1361" s="283"/>
      <c r="G1361" s="283"/>
      <c r="H1361" s="283"/>
      <c r="I1361" s="283"/>
      <c r="J1361" s="283"/>
      <c r="K1361" s="283"/>
      <c r="L1361" s="283"/>
      <c r="M1361" s="283"/>
      <c r="N1361" s="283" t="n">
        <v>-120232</v>
      </c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4" t="n">
        <f aca="false">SUM(B1361:X1361)</f>
        <v>-120232</v>
      </c>
      <c r="Z1361" s="285"/>
      <c r="AA1361" s="286"/>
    </row>
    <row r="1362" customFormat="false" ht="14.25" hidden="false" customHeight="false" outlineLevel="0" collapsed="false">
      <c r="A1362" s="282" t="s">
        <v>1408</v>
      </c>
      <c r="B1362" s="283" t="n">
        <v>-28542.9</v>
      </c>
      <c r="C1362" s="283"/>
      <c r="D1362" s="283"/>
      <c r="E1362" s="283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4" t="n">
        <f aca="false">SUM(B1362:X1362)</f>
        <v>-28542.9</v>
      </c>
      <c r="Z1362" s="285"/>
      <c r="AA1362" s="286"/>
    </row>
    <row r="1363" customFormat="false" ht="14.25" hidden="false" customHeight="false" outlineLevel="0" collapsed="false">
      <c r="A1363" s="282" t="s">
        <v>1409</v>
      </c>
      <c r="B1363" s="283"/>
      <c r="C1363" s="283"/>
      <c r="D1363" s="283"/>
      <c r="E1363" s="283"/>
      <c r="F1363" s="283"/>
      <c r="G1363" s="283"/>
      <c r="H1363" s="283"/>
      <c r="I1363" s="283"/>
      <c r="J1363" s="283"/>
      <c r="K1363" s="283"/>
      <c r="L1363" s="283" t="n">
        <v>-118280</v>
      </c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4" t="n">
        <f aca="false">SUM(B1363:X1363)</f>
        <v>-118280</v>
      </c>
      <c r="Z1363" s="285"/>
      <c r="AA1363" s="286"/>
    </row>
    <row r="1364" customFormat="false" ht="14.25" hidden="false" customHeight="false" outlineLevel="0" collapsed="false">
      <c r="A1364" s="282" t="s">
        <v>1410</v>
      </c>
      <c r="B1364" s="283"/>
      <c r="C1364" s="283"/>
      <c r="D1364" s="283"/>
      <c r="E1364" s="283"/>
      <c r="F1364" s="283"/>
      <c r="G1364" s="283"/>
      <c r="H1364" s="283"/>
      <c r="I1364" s="283"/>
      <c r="J1364" s="283"/>
      <c r="K1364" s="283"/>
      <c r="L1364" s="283"/>
      <c r="M1364" s="283"/>
      <c r="N1364" s="283" t="n">
        <v>-239619</v>
      </c>
      <c r="O1364" s="283"/>
      <c r="P1364" s="283"/>
      <c r="Q1364" s="283"/>
      <c r="R1364" s="283"/>
      <c r="S1364" s="283"/>
      <c r="T1364" s="283"/>
      <c r="U1364" s="283"/>
      <c r="V1364" s="283"/>
      <c r="W1364" s="283"/>
      <c r="X1364" s="283"/>
      <c r="Y1364" s="284" t="n">
        <f aca="false">SUM(B1364:X1364)</f>
        <v>-239619</v>
      </c>
      <c r="Z1364" s="285"/>
      <c r="AA1364" s="286"/>
    </row>
    <row r="1365" customFormat="false" ht="14.25" hidden="false" customHeight="false" outlineLevel="0" collapsed="false">
      <c r="A1365" s="282" t="s">
        <v>1411</v>
      </c>
      <c r="B1365" s="283"/>
      <c r="C1365" s="283"/>
      <c r="D1365" s="283"/>
      <c r="E1365" s="283"/>
      <c r="F1365" s="283" t="n">
        <v>-222768</v>
      </c>
      <c r="G1365" s="283"/>
      <c r="H1365" s="283"/>
      <c r="I1365" s="283"/>
      <c r="J1365" s="283"/>
      <c r="K1365" s="283"/>
      <c r="L1365" s="283"/>
      <c r="M1365" s="283"/>
      <c r="N1365" s="283"/>
      <c r="O1365" s="283"/>
      <c r="P1365" s="283"/>
      <c r="Q1365" s="283"/>
      <c r="R1365" s="283"/>
      <c r="S1365" s="283"/>
      <c r="T1365" s="283"/>
      <c r="U1365" s="283"/>
      <c r="V1365" s="283"/>
      <c r="W1365" s="283"/>
      <c r="X1365" s="283"/>
      <c r="Y1365" s="284" t="n">
        <f aca="false">SUM(B1365:X1365)</f>
        <v>-222768</v>
      </c>
      <c r="Z1365" s="285"/>
      <c r="AA1365" s="286"/>
    </row>
    <row r="1366" customFormat="false" ht="14.25" hidden="false" customHeight="false" outlineLevel="0" collapsed="false">
      <c r="A1366" s="282" t="s">
        <v>1412</v>
      </c>
      <c r="B1366" s="283"/>
      <c r="C1366" s="283"/>
      <c r="D1366" s="283"/>
      <c r="E1366" s="283"/>
      <c r="F1366" s="283"/>
      <c r="G1366" s="283"/>
      <c r="H1366" s="283"/>
      <c r="I1366" s="283"/>
      <c r="J1366" s="283"/>
      <c r="K1366" s="283"/>
      <c r="L1366" s="283"/>
      <c r="M1366" s="283"/>
      <c r="N1366" s="283"/>
      <c r="O1366" s="283"/>
      <c r="P1366" s="283"/>
      <c r="Q1366" s="283"/>
      <c r="R1366" s="283"/>
      <c r="S1366" s="283" t="n">
        <v>-7555</v>
      </c>
      <c r="T1366" s="283"/>
      <c r="U1366" s="283"/>
      <c r="V1366" s="283"/>
      <c r="W1366" s="283"/>
      <c r="X1366" s="283"/>
      <c r="Y1366" s="284" t="n">
        <f aca="false">SUM(B1366:X1366)</f>
        <v>-7555</v>
      </c>
      <c r="Z1366" s="285"/>
      <c r="AA1366" s="286"/>
    </row>
    <row r="1367" customFormat="false" ht="14.25" hidden="false" customHeight="false" outlineLevel="0" collapsed="false">
      <c r="A1367" s="282" t="s">
        <v>1413</v>
      </c>
      <c r="B1367" s="283"/>
      <c r="C1367" s="283"/>
      <c r="D1367" s="283"/>
      <c r="E1367" s="283"/>
      <c r="F1367" s="283"/>
      <c r="G1367" s="283"/>
      <c r="H1367" s="283"/>
      <c r="I1367" s="283"/>
      <c r="J1367" s="283" t="n">
        <v>-280372.2</v>
      </c>
      <c r="K1367" s="283"/>
      <c r="L1367" s="283"/>
      <c r="M1367" s="283"/>
      <c r="N1367" s="283"/>
      <c r="O1367" s="283"/>
      <c r="P1367" s="283"/>
      <c r="Q1367" s="283"/>
      <c r="R1367" s="283"/>
      <c r="S1367" s="283"/>
      <c r="T1367" s="283"/>
      <c r="U1367" s="283"/>
      <c r="V1367" s="283"/>
      <c r="W1367" s="283"/>
      <c r="X1367" s="283"/>
      <c r="Y1367" s="284" t="n">
        <f aca="false">SUM(B1367:X1367)</f>
        <v>-280372.2</v>
      </c>
      <c r="Z1367" s="285"/>
      <c r="AA1367" s="286"/>
    </row>
    <row r="1368" customFormat="false" ht="14.25" hidden="false" customHeight="false" outlineLevel="0" collapsed="false">
      <c r="A1368" s="282" t="s">
        <v>1414</v>
      </c>
      <c r="B1368" s="283" t="n">
        <v>-115137</v>
      </c>
      <c r="C1368" s="283"/>
      <c r="D1368" s="283"/>
      <c r="E1368" s="283"/>
      <c r="F1368" s="283"/>
      <c r="G1368" s="283"/>
      <c r="H1368" s="283"/>
      <c r="I1368" s="283"/>
      <c r="J1368" s="283"/>
      <c r="K1368" s="283"/>
      <c r="L1368" s="283"/>
      <c r="M1368" s="283"/>
      <c r="N1368" s="283"/>
      <c r="O1368" s="283"/>
      <c r="P1368" s="283"/>
      <c r="Q1368" s="283"/>
      <c r="R1368" s="283"/>
      <c r="S1368" s="283"/>
      <c r="T1368" s="283"/>
      <c r="U1368" s="283"/>
      <c r="V1368" s="283"/>
      <c r="W1368" s="283"/>
      <c r="X1368" s="283"/>
      <c r="Y1368" s="284" t="n">
        <f aca="false">SUM(B1368:X1368)</f>
        <v>-115137</v>
      </c>
      <c r="Z1368" s="285"/>
      <c r="AA1368" s="286"/>
    </row>
    <row r="1369" customFormat="false" ht="14.25" hidden="false" customHeight="false" outlineLevel="0" collapsed="false">
      <c r="A1369" s="282" t="s">
        <v>1415</v>
      </c>
      <c r="B1369" s="283" t="n">
        <v>-73279</v>
      </c>
      <c r="C1369" s="283"/>
      <c r="D1369" s="283"/>
      <c r="E1369" s="283"/>
      <c r="F1369" s="283"/>
      <c r="G1369" s="283"/>
      <c r="H1369" s="283"/>
      <c r="I1369" s="283"/>
      <c r="J1369" s="283"/>
      <c r="K1369" s="283"/>
      <c r="L1369" s="283"/>
      <c r="M1369" s="283"/>
      <c r="N1369" s="283"/>
      <c r="O1369" s="283"/>
      <c r="P1369" s="283"/>
      <c r="Q1369" s="283"/>
      <c r="R1369" s="283"/>
      <c r="S1369" s="283"/>
      <c r="T1369" s="283"/>
      <c r="U1369" s="283"/>
      <c r="V1369" s="283"/>
      <c r="W1369" s="283"/>
      <c r="X1369" s="283"/>
      <c r="Y1369" s="284" t="n">
        <f aca="false">SUM(B1369:X1369)</f>
        <v>-73279</v>
      </c>
      <c r="Z1369" s="285"/>
      <c r="AA1369" s="286"/>
    </row>
    <row r="1370" customFormat="false" ht="14.25" hidden="false" customHeight="false" outlineLevel="0" collapsed="false">
      <c r="A1370" s="282" t="s">
        <v>1416</v>
      </c>
      <c r="B1370" s="283" t="n">
        <v>-17885</v>
      </c>
      <c r="C1370" s="283"/>
      <c r="D1370" s="283"/>
      <c r="E1370" s="283"/>
      <c r="F1370" s="283"/>
      <c r="G1370" s="283"/>
      <c r="H1370" s="283"/>
      <c r="I1370" s="283"/>
      <c r="J1370" s="283"/>
      <c r="K1370" s="283"/>
      <c r="L1370" s="283"/>
      <c r="M1370" s="283"/>
      <c r="N1370" s="283"/>
      <c r="O1370" s="283"/>
      <c r="P1370" s="283"/>
      <c r="Q1370" s="283"/>
      <c r="R1370" s="283"/>
      <c r="S1370" s="283"/>
      <c r="T1370" s="283"/>
      <c r="U1370" s="283"/>
      <c r="V1370" s="283"/>
      <c r="W1370" s="283"/>
      <c r="X1370" s="283"/>
      <c r="Y1370" s="284" t="n">
        <f aca="false">SUM(B1370:X1370)</f>
        <v>-17885</v>
      </c>
      <c r="Z1370" s="285"/>
      <c r="AA1370" s="286"/>
    </row>
    <row r="1371" customFormat="false" ht="14.25" hidden="false" customHeight="false" outlineLevel="0" collapsed="false">
      <c r="A1371" s="282" t="s">
        <v>1417</v>
      </c>
      <c r="B1371" s="283"/>
      <c r="C1371" s="283"/>
      <c r="D1371" s="283"/>
      <c r="E1371" s="283"/>
      <c r="F1371" s="283" t="n">
        <v>-133638</v>
      </c>
      <c r="G1371" s="283"/>
      <c r="H1371" s="283"/>
      <c r="I1371" s="283"/>
      <c r="J1371" s="283"/>
      <c r="K1371" s="283"/>
      <c r="L1371" s="283"/>
      <c r="M1371" s="283"/>
      <c r="N1371" s="283"/>
      <c r="O1371" s="283"/>
      <c r="P1371" s="283"/>
      <c r="Q1371" s="283"/>
      <c r="R1371" s="283"/>
      <c r="S1371" s="283"/>
      <c r="T1371" s="283"/>
      <c r="U1371" s="283"/>
      <c r="V1371" s="283"/>
      <c r="W1371" s="283"/>
      <c r="X1371" s="283"/>
      <c r="Y1371" s="284" t="n">
        <f aca="false">SUM(B1371:X1371)</f>
        <v>-133638</v>
      </c>
      <c r="Z1371" s="285"/>
      <c r="AA1371" s="286"/>
    </row>
    <row r="1372" customFormat="false" ht="14.25" hidden="false" customHeight="false" outlineLevel="0" collapsed="false">
      <c r="A1372" s="282" t="s">
        <v>1418</v>
      </c>
      <c r="B1372" s="283"/>
      <c r="C1372" s="283"/>
      <c r="D1372" s="283"/>
      <c r="E1372" s="283"/>
      <c r="F1372" s="283"/>
      <c r="G1372" s="283"/>
      <c r="H1372" s="283"/>
      <c r="I1372" s="283"/>
      <c r="J1372" s="283" t="n">
        <v>-260034</v>
      </c>
      <c r="K1372" s="283"/>
      <c r="L1372" s="283"/>
      <c r="M1372" s="283"/>
      <c r="N1372" s="283"/>
      <c r="O1372" s="283"/>
      <c r="P1372" s="283"/>
      <c r="Q1372" s="283"/>
      <c r="R1372" s="283"/>
      <c r="S1372" s="283"/>
      <c r="T1372" s="283"/>
      <c r="U1372" s="283"/>
      <c r="V1372" s="283"/>
      <c r="W1372" s="283"/>
      <c r="X1372" s="283"/>
      <c r="Y1372" s="284" t="n">
        <f aca="false">SUM(B1372:X1372)</f>
        <v>-260034</v>
      </c>
      <c r="Z1372" s="285"/>
      <c r="AA1372" s="286"/>
    </row>
    <row r="1373" customFormat="false" ht="14.25" hidden="false" customHeight="false" outlineLevel="0" collapsed="false">
      <c r="A1373" s="282" t="s">
        <v>1419</v>
      </c>
      <c r="B1373" s="283"/>
      <c r="C1373" s="283"/>
      <c r="D1373" s="283"/>
      <c r="E1373" s="283"/>
      <c r="F1373" s="283"/>
      <c r="G1373" s="283" t="n">
        <v>-244515</v>
      </c>
      <c r="H1373" s="283"/>
      <c r="I1373" s="283"/>
      <c r="J1373" s="283"/>
      <c r="K1373" s="283"/>
      <c r="L1373" s="283"/>
      <c r="M1373" s="283"/>
      <c r="N1373" s="283"/>
      <c r="O1373" s="283"/>
      <c r="P1373" s="283"/>
      <c r="Q1373" s="283"/>
      <c r="R1373" s="283"/>
      <c r="S1373" s="283"/>
      <c r="T1373" s="283"/>
      <c r="U1373" s="283"/>
      <c r="V1373" s="283"/>
      <c r="W1373" s="283"/>
      <c r="X1373" s="283"/>
      <c r="Y1373" s="284" t="n">
        <f aca="false">SUM(B1373:X1373)</f>
        <v>-244515</v>
      </c>
      <c r="Z1373" s="285"/>
      <c r="AA1373" s="286"/>
    </row>
    <row r="1374" customFormat="false" ht="14.25" hidden="false" customHeight="false" outlineLevel="0" collapsed="false">
      <c r="A1374" s="282" t="s">
        <v>1420</v>
      </c>
      <c r="B1374" s="283"/>
      <c r="C1374" s="283"/>
      <c r="D1374" s="283"/>
      <c r="E1374" s="283" t="n">
        <v>-135996</v>
      </c>
      <c r="F1374" s="283"/>
      <c r="G1374" s="283"/>
      <c r="H1374" s="283"/>
      <c r="I1374" s="283"/>
      <c r="J1374" s="283"/>
      <c r="K1374" s="283"/>
      <c r="L1374" s="283"/>
      <c r="M1374" s="283"/>
      <c r="N1374" s="283"/>
      <c r="O1374" s="283"/>
      <c r="P1374" s="283"/>
      <c r="Q1374" s="283"/>
      <c r="R1374" s="283"/>
      <c r="S1374" s="283"/>
      <c r="T1374" s="283"/>
      <c r="U1374" s="283"/>
      <c r="V1374" s="283"/>
      <c r="W1374" s="283"/>
      <c r="X1374" s="283"/>
      <c r="Y1374" s="284" t="n">
        <f aca="false">SUM(B1374:X1374)</f>
        <v>-135996</v>
      </c>
      <c r="Z1374" s="285"/>
      <c r="AA1374" s="286"/>
    </row>
    <row r="1375" customFormat="false" ht="14.25" hidden="false" customHeight="false" outlineLevel="0" collapsed="false">
      <c r="A1375" s="282" t="s">
        <v>1421</v>
      </c>
      <c r="B1375" s="283"/>
      <c r="C1375" s="283" t="n">
        <v>-102502</v>
      </c>
      <c r="D1375" s="283"/>
      <c r="E1375" s="283"/>
      <c r="F1375" s="283"/>
      <c r="G1375" s="283"/>
      <c r="H1375" s="283"/>
      <c r="I1375" s="283"/>
      <c r="J1375" s="283"/>
      <c r="K1375" s="283"/>
      <c r="L1375" s="283"/>
      <c r="M1375" s="283"/>
      <c r="N1375" s="283"/>
      <c r="O1375" s="283"/>
      <c r="P1375" s="283"/>
      <c r="Q1375" s="283"/>
      <c r="R1375" s="283"/>
      <c r="S1375" s="283"/>
      <c r="T1375" s="283"/>
      <c r="U1375" s="283"/>
      <c r="V1375" s="283"/>
      <c r="W1375" s="283"/>
      <c r="X1375" s="283"/>
      <c r="Y1375" s="284" t="n">
        <f aca="false">SUM(B1375:X1375)</f>
        <v>-102502</v>
      </c>
      <c r="Z1375" s="285"/>
      <c r="AA1375" s="286"/>
    </row>
    <row r="1376" customFormat="false" ht="14.25" hidden="false" customHeight="false" outlineLevel="0" collapsed="false">
      <c r="A1376" s="282" t="s">
        <v>1422</v>
      </c>
      <c r="B1376" s="283"/>
      <c r="C1376" s="283"/>
      <c r="D1376" s="283" t="n">
        <v>-18291.2</v>
      </c>
      <c r="E1376" s="283"/>
      <c r="F1376" s="283"/>
      <c r="G1376" s="283"/>
      <c r="H1376" s="283"/>
      <c r="I1376" s="283"/>
      <c r="J1376" s="283"/>
      <c r="K1376" s="283"/>
      <c r="L1376" s="283"/>
      <c r="M1376" s="283"/>
      <c r="N1376" s="283"/>
      <c r="O1376" s="283"/>
      <c r="P1376" s="283"/>
      <c r="Q1376" s="283"/>
      <c r="R1376" s="283"/>
      <c r="S1376" s="283"/>
      <c r="T1376" s="283"/>
      <c r="U1376" s="283"/>
      <c r="V1376" s="283"/>
      <c r="W1376" s="283"/>
      <c r="X1376" s="283"/>
      <c r="Y1376" s="284" t="n">
        <f aca="false">SUM(B1376:X1376)</f>
        <v>-18291.2</v>
      </c>
      <c r="Z1376" s="285"/>
      <c r="AA1376" s="286"/>
    </row>
    <row r="1377" customFormat="false" ht="14.25" hidden="false" customHeight="false" outlineLevel="0" collapsed="false">
      <c r="A1377" s="282" t="s">
        <v>1423</v>
      </c>
      <c r="B1377" s="283"/>
      <c r="C1377" s="283"/>
      <c r="D1377" s="283" t="n">
        <v>-12202.3</v>
      </c>
      <c r="E1377" s="283"/>
      <c r="F1377" s="283"/>
      <c r="G1377" s="283"/>
      <c r="H1377" s="283"/>
      <c r="I1377" s="283"/>
      <c r="J1377" s="283"/>
      <c r="K1377" s="283"/>
      <c r="L1377" s="283"/>
      <c r="M1377" s="283"/>
      <c r="N1377" s="283"/>
      <c r="O1377" s="283"/>
      <c r="P1377" s="283"/>
      <c r="Q1377" s="283"/>
      <c r="R1377" s="283"/>
      <c r="S1377" s="283"/>
      <c r="T1377" s="283"/>
      <c r="U1377" s="283"/>
      <c r="V1377" s="283"/>
      <c r="W1377" s="283"/>
      <c r="X1377" s="283"/>
      <c r="Y1377" s="284" t="n">
        <f aca="false">SUM(B1377:X1377)</f>
        <v>-12202.3</v>
      </c>
      <c r="Z1377" s="285"/>
      <c r="AA1377" s="286"/>
    </row>
    <row r="1378" customFormat="false" ht="14.25" hidden="false" customHeight="false" outlineLevel="0" collapsed="false">
      <c r="A1378" s="282" t="s">
        <v>1424</v>
      </c>
      <c r="B1378" s="283"/>
      <c r="C1378" s="283"/>
      <c r="D1378" s="283"/>
      <c r="E1378" s="283"/>
      <c r="F1378" s="283"/>
      <c r="G1378" s="283"/>
      <c r="H1378" s="283"/>
      <c r="I1378" s="283"/>
      <c r="J1378" s="283" t="n">
        <v>-323218.4</v>
      </c>
      <c r="K1378" s="283"/>
      <c r="L1378" s="283"/>
      <c r="M1378" s="283"/>
      <c r="N1378" s="283"/>
      <c r="O1378" s="283"/>
      <c r="P1378" s="283"/>
      <c r="Q1378" s="283"/>
      <c r="R1378" s="283"/>
      <c r="S1378" s="283"/>
      <c r="T1378" s="283"/>
      <c r="U1378" s="283"/>
      <c r="V1378" s="283"/>
      <c r="W1378" s="283"/>
      <c r="X1378" s="283"/>
      <c r="Y1378" s="284" t="n">
        <f aca="false">SUM(B1378:X1378)</f>
        <v>-323218.4</v>
      </c>
      <c r="Z1378" s="285"/>
      <c r="AA1378" s="286"/>
    </row>
    <row r="1379" customFormat="false" ht="14.25" hidden="false" customHeight="false" outlineLevel="0" collapsed="false">
      <c r="A1379" s="282" t="s">
        <v>1425</v>
      </c>
      <c r="B1379" s="283"/>
      <c r="C1379" s="283"/>
      <c r="D1379" s="283"/>
      <c r="E1379" s="283" t="n">
        <v>-38449.9</v>
      </c>
      <c r="F1379" s="283"/>
      <c r="G1379" s="283"/>
      <c r="H1379" s="283"/>
      <c r="I1379" s="283"/>
      <c r="J1379" s="283"/>
      <c r="K1379" s="283"/>
      <c r="L1379" s="283"/>
      <c r="M1379" s="283"/>
      <c r="N1379" s="283"/>
      <c r="O1379" s="283"/>
      <c r="P1379" s="283"/>
      <c r="Q1379" s="283"/>
      <c r="R1379" s="283"/>
      <c r="S1379" s="283"/>
      <c r="T1379" s="283"/>
      <c r="U1379" s="283"/>
      <c r="V1379" s="283"/>
      <c r="W1379" s="283"/>
      <c r="X1379" s="283"/>
      <c r="Y1379" s="284" t="n">
        <f aca="false">SUM(B1379:X1379)</f>
        <v>-38449.9</v>
      </c>
      <c r="Z1379" s="285"/>
      <c r="AA1379" s="286"/>
    </row>
    <row r="1380" customFormat="false" ht="14.25" hidden="false" customHeight="false" outlineLevel="0" collapsed="false">
      <c r="A1380" s="282" t="s">
        <v>1426</v>
      </c>
      <c r="B1380" s="283"/>
      <c r="C1380" s="283"/>
      <c r="D1380" s="283"/>
      <c r="E1380" s="283"/>
      <c r="F1380" s="283" t="n">
        <v>-113307.524</v>
      </c>
      <c r="G1380" s="283"/>
      <c r="H1380" s="283"/>
      <c r="I1380" s="283"/>
      <c r="J1380" s="283"/>
      <c r="K1380" s="283"/>
      <c r="L1380" s="283"/>
      <c r="M1380" s="283"/>
      <c r="N1380" s="283"/>
      <c r="O1380" s="283"/>
      <c r="P1380" s="283"/>
      <c r="Q1380" s="283"/>
      <c r="R1380" s="283"/>
      <c r="S1380" s="283"/>
      <c r="T1380" s="283"/>
      <c r="U1380" s="283"/>
      <c r="V1380" s="283"/>
      <c r="W1380" s="283"/>
      <c r="X1380" s="283"/>
      <c r="Y1380" s="284" t="n">
        <f aca="false">SUM(B1380:X1380)</f>
        <v>-113307.524</v>
      </c>
      <c r="Z1380" s="285"/>
      <c r="AA1380" s="286"/>
    </row>
    <row r="1381" customFormat="false" ht="14.25" hidden="false" customHeight="false" outlineLevel="0" collapsed="false">
      <c r="A1381" s="282" t="s">
        <v>1427</v>
      </c>
      <c r="B1381" s="283"/>
      <c r="C1381" s="283" t="n">
        <v>-58588</v>
      </c>
      <c r="D1381" s="283"/>
      <c r="E1381" s="283"/>
      <c r="F1381" s="283"/>
      <c r="G1381" s="283"/>
      <c r="H1381" s="283"/>
      <c r="I1381" s="283"/>
      <c r="J1381" s="283"/>
      <c r="K1381" s="283"/>
      <c r="L1381" s="283"/>
      <c r="M1381" s="283"/>
      <c r="N1381" s="283"/>
      <c r="O1381" s="283"/>
      <c r="P1381" s="283"/>
      <c r="Q1381" s="283"/>
      <c r="R1381" s="283"/>
      <c r="S1381" s="283"/>
      <c r="T1381" s="283"/>
      <c r="U1381" s="283"/>
      <c r="V1381" s="283"/>
      <c r="W1381" s="283"/>
      <c r="X1381" s="283"/>
      <c r="Y1381" s="284" t="n">
        <f aca="false">SUM(B1381:X1381)</f>
        <v>-58588</v>
      </c>
      <c r="Z1381" s="285"/>
      <c r="AA1381" s="286"/>
    </row>
    <row r="1382" customFormat="false" ht="14.25" hidden="false" customHeight="false" outlineLevel="0" collapsed="false">
      <c r="A1382" s="282" t="s">
        <v>1428</v>
      </c>
      <c r="B1382" s="283"/>
      <c r="C1382" s="283"/>
      <c r="D1382" s="283"/>
      <c r="E1382" s="283"/>
      <c r="F1382" s="283"/>
      <c r="G1382" s="283"/>
      <c r="H1382" s="283"/>
      <c r="I1382" s="283"/>
      <c r="J1382" s="283"/>
      <c r="K1382" s="283"/>
      <c r="L1382" s="283"/>
      <c r="M1382" s="283"/>
      <c r="N1382" s="283" t="n">
        <v>-153337</v>
      </c>
      <c r="O1382" s="283"/>
      <c r="P1382" s="283"/>
      <c r="Q1382" s="283"/>
      <c r="R1382" s="283"/>
      <c r="S1382" s="283"/>
      <c r="T1382" s="283"/>
      <c r="U1382" s="283"/>
      <c r="V1382" s="283"/>
      <c r="W1382" s="283"/>
      <c r="X1382" s="283"/>
      <c r="Y1382" s="284" t="n">
        <f aca="false">SUM(B1382:X1382)</f>
        <v>-153337</v>
      </c>
      <c r="Z1382" s="285"/>
      <c r="AA1382" s="286"/>
    </row>
    <row r="1383" customFormat="false" ht="14.25" hidden="false" customHeight="false" outlineLevel="0" collapsed="false">
      <c r="A1383" s="282" t="s">
        <v>1429</v>
      </c>
      <c r="B1383" s="283"/>
      <c r="C1383" s="283"/>
      <c r="D1383" s="283"/>
      <c r="E1383" s="283"/>
      <c r="F1383" s="283" t="n">
        <v>-67800</v>
      </c>
      <c r="G1383" s="283"/>
      <c r="H1383" s="283"/>
      <c r="I1383" s="283"/>
      <c r="J1383" s="283"/>
      <c r="K1383" s="283"/>
      <c r="L1383" s="283"/>
      <c r="M1383" s="283"/>
      <c r="N1383" s="283"/>
      <c r="O1383" s="283"/>
      <c r="P1383" s="283"/>
      <c r="Q1383" s="283"/>
      <c r="R1383" s="283"/>
      <c r="S1383" s="283"/>
      <c r="T1383" s="283"/>
      <c r="U1383" s="283"/>
      <c r="V1383" s="283"/>
      <c r="W1383" s="283"/>
      <c r="X1383" s="283"/>
      <c r="Y1383" s="284" t="n">
        <f aca="false">SUM(B1383:X1383)</f>
        <v>-67800</v>
      </c>
      <c r="Z1383" s="285"/>
      <c r="AA1383" s="286"/>
    </row>
    <row r="1384" customFormat="false" ht="14.25" hidden="false" customHeight="false" outlineLevel="0" collapsed="false">
      <c r="A1384" s="282" t="s">
        <v>1430</v>
      </c>
      <c r="B1384" s="283"/>
      <c r="C1384" s="283"/>
      <c r="D1384" s="283"/>
      <c r="E1384" s="283"/>
      <c r="F1384" s="283"/>
      <c r="G1384" s="283"/>
      <c r="H1384" s="283"/>
      <c r="I1384" s="283"/>
      <c r="J1384" s="283"/>
      <c r="K1384" s="283"/>
      <c r="L1384" s="283" t="n">
        <v>-241715</v>
      </c>
      <c r="M1384" s="283"/>
      <c r="N1384" s="283"/>
      <c r="O1384" s="283"/>
      <c r="P1384" s="283"/>
      <c r="Q1384" s="283"/>
      <c r="R1384" s="283"/>
      <c r="S1384" s="283"/>
      <c r="T1384" s="283"/>
      <c r="U1384" s="283"/>
      <c r="V1384" s="283"/>
      <c r="W1384" s="283"/>
      <c r="X1384" s="283"/>
      <c r="Y1384" s="284" t="n">
        <f aca="false">SUM(B1384:X1384)</f>
        <v>-241715</v>
      </c>
      <c r="Z1384" s="285"/>
      <c r="AA1384" s="286"/>
    </row>
    <row r="1385" customFormat="false" ht="14.25" hidden="false" customHeight="false" outlineLevel="0" collapsed="false">
      <c r="A1385" s="282" t="s">
        <v>1431</v>
      </c>
      <c r="B1385" s="283"/>
      <c r="C1385" s="283"/>
      <c r="D1385" s="283"/>
      <c r="E1385" s="283"/>
      <c r="F1385" s="283" t="n">
        <v>-350070</v>
      </c>
      <c r="G1385" s="283"/>
      <c r="H1385" s="283"/>
      <c r="I1385" s="283"/>
      <c r="J1385" s="283"/>
      <c r="K1385" s="283"/>
      <c r="L1385" s="283"/>
      <c r="M1385" s="283"/>
      <c r="N1385" s="283"/>
      <c r="O1385" s="283"/>
      <c r="P1385" s="283"/>
      <c r="Q1385" s="283"/>
      <c r="R1385" s="283"/>
      <c r="S1385" s="283"/>
      <c r="T1385" s="283"/>
      <c r="U1385" s="283"/>
      <c r="V1385" s="283"/>
      <c r="W1385" s="283"/>
      <c r="X1385" s="283"/>
      <c r="Y1385" s="284" t="n">
        <f aca="false">SUM(B1385:X1385)</f>
        <v>-350070</v>
      </c>
      <c r="Z1385" s="285"/>
      <c r="AA1385" s="286"/>
    </row>
    <row r="1386" customFormat="false" ht="14.25" hidden="false" customHeight="false" outlineLevel="0" collapsed="false">
      <c r="A1386" s="282" t="s">
        <v>1432</v>
      </c>
      <c r="B1386" s="283"/>
      <c r="C1386" s="283"/>
      <c r="D1386" s="283"/>
      <c r="E1386" s="283" t="n">
        <v>-76263</v>
      </c>
      <c r="F1386" s="283"/>
      <c r="G1386" s="283"/>
      <c r="H1386" s="283"/>
      <c r="I1386" s="283"/>
      <c r="J1386" s="283"/>
      <c r="K1386" s="283"/>
      <c r="L1386" s="283"/>
      <c r="M1386" s="283"/>
      <c r="N1386" s="283"/>
      <c r="O1386" s="283"/>
      <c r="P1386" s="283"/>
      <c r="Q1386" s="283"/>
      <c r="R1386" s="283"/>
      <c r="S1386" s="283"/>
      <c r="T1386" s="283"/>
      <c r="U1386" s="283"/>
      <c r="V1386" s="283"/>
      <c r="W1386" s="283"/>
      <c r="X1386" s="283"/>
      <c r="Y1386" s="284" t="n">
        <f aca="false">SUM(B1386:X1386)</f>
        <v>-76263</v>
      </c>
      <c r="Z1386" s="285"/>
      <c r="AA1386" s="286"/>
    </row>
    <row r="1387" customFormat="false" ht="14.25" hidden="false" customHeight="false" outlineLevel="0" collapsed="false">
      <c r="A1387" s="282" t="s">
        <v>1433</v>
      </c>
      <c r="B1387" s="283"/>
      <c r="C1387" s="283"/>
      <c r="D1387" s="283"/>
      <c r="E1387" s="283"/>
      <c r="F1387" s="283"/>
      <c r="G1387" s="283"/>
      <c r="H1387" s="283" t="n">
        <v>-2344.23</v>
      </c>
      <c r="I1387" s="283"/>
      <c r="J1387" s="283"/>
      <c r="K1387" s="283"/>
      <c r="L1387" s="283"/>
      <c r="M1387" s="283"/>
      <c r="N1387" s="283"/>
      <c r="O1387" s="283"/>
      <c r="P1387" s="283"/>
      <c r="Q1387" s="283"/>
      <c r="R1387" s="283"/>
      <c r="S1387" s="283"/>
      <c r="T1387" s="283"/>
      <c r="U1387" s="283"/>
      <c r="V1387" s="283"/>
      <c r="W1387" s="283"/>
      <c r="X1387" s="283"/>
      <c r="Y1387" s="284" t="n">
        <f aca="false">SUM(B1387:X1387)</f>
        <v>-2344.23</v>
      </c>
      <c r="Z1387" s="285"/>
      <c r="AA1387" s="286"/>
    </row>
    <row r="1388" customFormat="false" ht="14.25" hidden="false" customHeight="false" outlineLevel="0" collapsed="false">
      <c r="A1388" s="282" t="s">
        <v>1434</v>
      </c>
      <c r="B1388" s="283"/>
      <c r="C1388" s="283"/>
      <c r="D1388" s="283"/>
      <c r="E1388" s="283"/>
      <c r="F1388" s="283" t="n">
        <v>-80673</v>
      </c>
      <c r="G1388" s="283"/>
      <c r="H1388" s="283"/>
      <c r="I1388" s="283"/>
      <c r="J1388" s="283"/>
      <c r="K1388" s="283"/>
      <c r="L1388" s="283"/>
      <c r="M1388" s="283"/>
      <c r="N1388" s="283"/>
      <c r="O1388" s="283"/>
      <c r="P1388" s="283"/>
      <c r="Q1388" s="283"/>
      <c r="R1388" s="283"/>
      <c r="S1388" s="283"/>
      <c r="T1388" s="283"/>
      <c r="U1388" s="283"/>
      <c r="V1388" s="283"/>
      <c r="W1388" s="283"/>
      <c r="X1388" s="283"/>
      <c r="Y1388" s="284" t="n">
        <f aca="false">SUM(B1388:X1388)</f>
        <v>-80673</v>
      </c>
      <c r="Z1388" s="285"/>
      <c r="AA1388" s="286"/>
    </row>
    <row r="1389" customFormat="false" ht="14.25" hidden="false" customHeight="false" outlineLevel="0" collapsed="false">
      <c r="A1389" s="282" t="s">
        <v>1435</v>
      </c>
      <c r="B1389" s="283"/>
      <c r="C1389" s="283"/>
      <c r="D1389" s="283"/>
      <c r="E1389" s="283"/>
      <c r="F1389" s="283"/>
      <c r="G1389" s="283"/>
      <c r="H1389" s="283"/>
      <c r="I1389" s="283"/>
      <c r="J1389" s="283"/>
      <c r="K1389" s="283"/>
      <c r="L1389" s="283"/>
      <c r="M1389" s="283"/>
      <c r="N1389" s="283" t="n">
        <v>-12087.6</v>
      </c>
      <c r="O1389" s="283"/>
      <c r="P1389" s="283"/>
      <c r="Q1389" s="283"/>
      <c r="R1389" s="283"/>
      <c r="S1389" s="283"/>
      <c r="T1389" s="283"/>
      <c r="U1389" s="283"/>
      <c r="V1389" s="283"/>
      <c r="W1389" s="283"/>
      <c r="X1389" s="283"/>
      <c r="Y1389" s="284" t="n">
        <f aca="false">SUM(B1389:X1389)</f>
        <v>-12087.6</v>
      </c>
      <c r="Z1389" s="285"/>
      <c r="AA1389" s="286"/>
    </row>
    <row r="1390" customFormat="false" ht="14.25" hidden="false" customHeight="false" outlineLevel="0" collapsed="false">
      <c r="A1390" s="282" t="s">
        <v>1436</v>
      </c>
      <c r="B1390" s="283"/>
      <c r="C1390" s="283"/>
      <c r="D1390" s="283"/>
      <c r="E1390" s="283"/>
      <c r="F1390" s="283" t="n">
        <v>-524506</v>
      </c>
      <c r="G1390" s="283"/>
      <c r="H1390" s="283"/>
      <c r="I1390" s="283"/>
      <c r="J1390" s="283"/>
      <c r="K1390" s="283"/>
      <c r="L1390" s="283"/>
      <c r="M1390" s="283"/>
      <c r="N1390" s="283"/>
      <c r="O1390" s="283"/>
      <c r="P1390" s="283"/>
      <c r="Q1390" s="283"/>
      <c r="R1390" s="283"/>
      <c r="S1390" s="283"/>
      <c r="T1390" s="283"/>
      <c r="U1390" s="283"/>
      <c r="V1390" s="283"/>
      <c r="W1390" s="283"/>
      <c r="X1390" s="283"/>
      <c r="Y1390" s="284" t="n">
        <f aca="false">SUM(B1390:X1390)</f>
        <v>-524506</v>
      </c>
      <c r="Z1390" s="285"/>
      <c r="AA1390" s="286"/>
    </row>
    <row r="1391" customFormat="false" ht="14.25" hidden="false" customHeight="false" outlineLevel="0" collapsed="false">
      <c r="A1391" s="282" t="s">
        <v>1437</v>
      </c>
      <c r="B1391" s="283"/>
      <c r="C1391" s="283" t="n">
        <v>-233726</v>
      </c>
      <c r="D1391" s="283"/>
      <c r="E1391" s="283"/>
      <c r="F1391" s="283"/>
      <c r="G1391" s="283"/>
      <c r="H1391" s="283"/>
      <c r="I1391" s="283"/>
      <c r="J1391" s="283"/>
      <c r="K1391" s="283"/>
      <c r="L1391" s="283"/>
      <c r="M1391" s="283"/>
      <c r="N1391" s="283"/>
      <c r="O1391" s="283"/>
      <c r="P1391" s="283"/>
      <c r="Q1391" s="283"/>
      <c r="R1391" s="283"/>
      <c r="S1391" s="283"/>
      <c r="T1391" s="283"/>
      <c r="U1391" s="283"/>
      <c r="V1391" s="283"/>
      <c r="W1391" s="283"/>
      <c r="X1391" s="283"/>
      <c r="Y1391" s="284" t="n">
        <f aca="false">SUM(B1391:X1391)</f>
        <v>-233726</v>
      </c>
      <c r="Z1391" s="285"/>
      <c r="AA1391" s="286"/>
    </row>
    <row r="1392" customFormat="false" ht="14.25" hidden="false" customHeight="false" outlineLevel="0" collapsed="false">
      <c r="A1392" s="282" t="s">
        <v>1438</v>
      </c>
      <c r="B1392" s="283"/>
      <c r="C1392" s="283"/>
      <c r="D1392" s="283"/>
      <c r="E1392" s="283"/>
      <c r="F1392" s="283" t="n">
        <v>-2355</v>
      </c>
      <c r="G1392" s="283"/>
      <c r="H1392" s="283"/>
      <c r="I1392" s="283"/>
      <c r="J1392" s="283"/>
      <c r="K1392" s="283"/>
      <c r="L1392" s="283"/>
      <c r="M1392" s="283"/>
      <c r="N1392" s="283"/>
      <c r="O1392" s="283"/>
      <c r="P1392" s="283"/>
      <c r="Q1392" s="283"/>
      <c r="R1392" s="283"/>
      <c r="S1392" s="283"/>
      <c r="T1392" s="283"/>
      <c r="U1392" s="283"/>
      <c r="V1392" s="283"/>
      <c r="W1392" s="283"/>
      <c r="X1392" s="283"/>
      <c r="Y1392" s="284" t="n">
        <f aca="false">SUM(B1392:X1392)</f>
        <v>-2355</v>
      </c>
      <c r="Z1392" s="285"/>
      <c r="AA1392" s="286"/>
    </row>
    <row r="1393" customFormat="false" ht="14.25" hidden="false" customHeight="false" outlineLevel="0" collapsed="false">
      <c r="A1393" s="282" t="s">
        <v>1439</v>
      </c>
      <c r="B1393" s="283"/>
      <c r="C1393" s="283"/>
      <c r="D1393" s="283"/>
      <c r="E1393" s="283"/>
      <c r="F1393" s="283"/>
      <c r="G1393" s="283"/>
      <c r="H1393" s="283"/>
      <c r="I1393" s="283"/>
      <c r="J1393" s="283" t="n">
        <v>-192194</v>
      </c>
      <c r="K1393" s="283"/>
      <c r="L1393" s="283"/>
      <c r="M1393" s="283"/>
      <c r="N1393" s="283"/>
      <c r="O1393" s="283"/>
      <c r="P1393" s="283"/>
      <c r="Q1393" s="283"/>
      <c r="R1393" s="283"/>
      <c r="S1393" s="283"/>
      <c r="T1393" s="283"/>
      <c r="U1393" s="283"/>
      <c r="V1393" s="283"/>
      <c r="W1393" s="283"/>
      <c r="X1393" s="283"/>
      <c r="Y1393" s="284" t="n">
        <f aca="false">SUM(B1393:X1393)</f>
        <v>-192194</v>
      </c>
      <c r="Z1393" s="285"/>
      <c r="AA1393" s="286"/>
    </row>
    <row r="1394" customFormat="false" ht="14.25" hidden="false" customHeight="false" outlineLevel="0" collapsed="false">
      <c r="A1394" s="282" t="s">
        <v>1440</v>
      </c>
      <c r="B1394" s="283"/>
      <c r="C1394" s="283"/>
      <c r="D1394" s="283"/>
      <c r="E1394" s="283"/>
      <c r="F1394" s="283"/>
      <c r="G1394" s="283"/>
      <c r="H1394" s="283"/>
      <c r="I1394" s="283"/>
      <c r="J1394" s="283" t="n">
        <v>-82720</v>
      </c>
      <c r="K1394" s="283"/>
      <c r="L1394" s="283"/>
      <c r="M1394" s="283"/>
      <c r="N1394" s="283"/>
      <c r="O1394" s="283"/>
      <c r="P1394" s="283"/>
      <c r="Q1394" s="283"/>
      <c r="R1394" s="283"/>
      <c r="S1394" s="283"/>
      <c r="T1394" s="283"/>
      <c r="U1394" s="283"/>
      <c r="V1394" s="283"/>
      <c r="W1394" s="283"/>
      <c r="X1394" s="283"/>
      <c r="Y1394" s="284" t="n">
        <f aca="false">SUM(B1394:X1394)</f>
        <v>-82720</v>
      </c>
      <c r="Z1394" s="285"/>
      <c r="AA1394" s="286"/>
    </row>
    <row r="1395" customFormat="false" ht="14.25" hidden="false" customHeight="false" outlineLevel="0" collapsed="false">
      <c r="A1395" s="282" t="s">
        <v>1441</v>
      </c>
      <c r="B1395" s="283"/>
      <c r="C1395" s="283"/>
      <c r="D1395" s="283"/>
      <c r="E1395" s="283"/>
      <c r="F1395" s="283"/>
      <c r="G1395" s="283"/>
      <c r="H1395" s="283"/>
      <c r="I1395" s="283"/>
      <c r="J1395" s="283" t="n">
        <v>-104516</v>
      </c>
      <c r="K1395" s="283"/>
      <c r="L1395" s="283"/>
      <c r="M1395" s="283"/>
      <c r="N1395" s="283"/>
      <c r="O1395" s="283"/>
      <c r="P1395" s="283"/>
      <c r="Q1395" s="283"/>
      <c r="R1395" s="283"/>
      <c r="S1395" s="283"/>
      <c r="T1395" s="283"/>
      <c r="U1395" s="283"/>
      <c r="V1395" s="283"/>
      <c r="W1395" s="283"/>
      <c r="X1395" s="283"/>
      <c r="Y1395" s="284" t="n">
        <f aca="false">SUM(B1395:X1395)</f>
        <v>-104516</v>
      </c>
      <c r="Z1395" s="285"/>
      <c r="AA1395" s="286"/>
    </row>
    <row r="1396" customFormat="false" ht="14.25" hidden="false" customHeight="false" outlineLevel="0" collapsed="false">
      <c r="A1396" s="282" t="s">
        <v>1442</v>
      </c>
      <c r="B1396" s="283"/>
      <c r="C1396" s="283"/>
      <c r="D1396" s="283"/>
      <c r="E1396" s="283"/>
      <c r="F1396" s="283" t="n">
        <v>-353601</v>
      </c>
      <c r="G1396" s="283"/>
      <c r="H1396" s="283"/>
      <c r="I1396" s="283"/>
      <c r="J1396" s="283"/>
      <c r="K1396" s="283"/>
      <c r="L1396" s="283"/>
      <c r="M1396" s="283"/>
      <c r="N1396" s="283"/>
      <c r="O1396" s="283"/>
      <c r="P1396" s="283"/>
      <c r="Q1396" s="283"/>
      <c r="R1396" s="283"/>
      <c r="S1396" s="283"/>
      <c r="T1396" s="283"/>
      <c r="U1396" s="283"/>
      <c r="V1396" s="283"/>
      <c r="W1396" s="283"/>
      <c r="X1396" s="283"/>
      <c r="Y1396" s="284" t="n">
        <f aca="false">SUM(B1396:X1396)</f>
        <v>-353601</v>
      </c>
      <c r="Z1396" s="285"/>
      <c r="AA1396" s="286"/>
    </row>
    <row r="1397" customFormat="false" ht="14.25" hidden="false" customHeight="false" outlineLevel="0" collapsed="false">
      <c r="A1397" s="282" t="s">
        <v>1443</v>
      </c>
      <c r="B1397" s="283"/>
      <c r="C1397" s="283" t="n">
        <v>-72041</v>
      </c>
      <c r="D1397" s="283"/>
      <c r="E1397" s="283"/>
      <c r="F1397" s="283"/>
      <c r="G1397" s="283"/>
      <c r="H1397" s="283"/>
      <c r="I1397" s="283"/>
      <c r="J1397" s="283"/>
      <c r="K1397" s="283"/>
      <c r="L1397" s="283"/>
      <c r="M1397" s="283"/>
      <c r="N1397" s="283"/>
      <c r="O1397" s="283"/>
      <c r="P1397" s="283"/>
      <c r="Q1397" s="283"/>
      <c r="R1397" s="283"/>
      <c r="S1397" s="283"/>
      <c r="T1397" s="283"/>
      <c r="U1397" s="283"/>
      <c r="V1397" s="283"/>
      <c r="W1397" s="283"/>
      <c r="X1397" s="283"/>
      <c r="Y1397" s="284" t="n">
        <f aca="false">SUM(B1397:X1397)</f>
        <v>-72041</v>
      </c>
      <c r="Z1397" s="285"/>
      <c r="AA1397" s="286"/>
    </row>
    <row r="1398" customFormat="false" ht="14.25" hidden="false" customHeight="false" outlineLevel="0" collapsed="false">
      <c r="A1398" s="282" t="s">
        <v>1444</v>
      </c>
      <c r="B1398" s="283"/>
      <c r="C1398" s="283"/>
      <c r="D1398" s="283"/>
      <c r="E1398" s="283"/>
      <c r="F1398" s="283"/>
      <c r="G1398" s="283"/>
      <c r="H1398" s="283"/>
      <c r="I1398" s="283"/>
      <c r="J1398" s="283" t="n">
        <v>-206215</v>
      </c>
      <c r="K1398" s="283"/>
      <c r="L1398" s="283"/>
      <c r="M1398" s="283"/>
      <c r="N1398" s="283"/>
      <c r="O1398" s="283"/>
      <c r="P1398" s="283"/>
      <c r="Q1398" s="283"/>
      <c r="R1398" s="283"/>
      <c r="S1398" s="283"/>
      <c r="T1398" s="283"/>
      <c r="U1398" s="283"/>
      <c r="V1398" s="283"/>
      <c r="W1398" s="283"/>
      <c r="X1398" s="283"/>
      <c r="Y1398" s="284" t="n">
        <f aca="false">SUM(B1398:X1398)</f>
        <v>-206215</v>
      </c>
      <c r="Z1398" s="285"/>
      <c r="AA1398" s="286"/>
    </row>
    <row r="1399" customFormat="false" ht="14.25" hidden="false" customHeight="false" outlineLevel="0" collapsed="false">
      <c r="A1399" s="282" t="s">
        <v>1445</v>
      </c>
      <c r="B1399" s="283"/>
      <c r="C1399" s="283"/>
      <c r="D1399" s="283"/>
      <c r="E1399" s="283"/>
      <c r="F1399" s="283"/>
      <c r="G1399" s="283"/>
      <c r="H1399" s="283"/>
      <c r="I1399" s="283"/>
      <c r="J1399" s="283" t="n">
        <v>-196079.7</v>
      </c>
      <c r="K1399" s="283"/>
      <c r="L1399" s="283"/>
      <c r="M1399" s="283"/>
      <c r="N1399" s="283"/>
      <c r="O1399" s="283"/>
      <c r="P1399" s="283"/>
      <c r="Q1399" s="283"/>
      <c r="R1399" s="283"/>
      <c r="S1399" s="283"/>
      <c r="T1399" s="283"/>
      <c r="U1399" s="283"/>
      <c r="V1399" s="283"/>
      <c r="W1399" s="283"/>
      <c r="X1399" s="283"/>
      <c r="Y1399" s="284" t="n">
        <f aca="false">SUM(B1399:X1399)</f>
        <v>-196079.7</v>
      </c>
      <c r="Z1399" s="285"/>
      <c r="AA1399" s="286"/>
    </row>
    <row r="1400" customFormat="false" ht="14.25" hidden="false" customHeight="false" outlineLevel="0" collapsed="false">
      <c r="A1400" s="282" t="s">
        <v>1446</v>
      </c>
      <c r="B1400" s="283" t="n">
        <v>68139</v>
      </c>
      <c r="C1400" s="283"/>
      <c r="D1400" s="283"/>
      <c r="E1400" s="283"/>
      <c r="F1400" s="283"/>
      <c r="G1400" s="283"/>
      <c r="H1400" s="283"/>
      <c r="I1400" s="283"/>
      <c r="J1400" s="283"/>
      <c r="K1400" s="283"/>
      <c r="L1400" s="283"/>
      <c r="M1400" s="283"/>
      <c r="N1400" s="283"/>
      <c r="O1400" s="283"/>
      <c r="P1400" s="283"/>
      <c r="Q1400" s="283"/>
      <c r="R1400" s="283"/>
      <c r="S1400" s="283"/>
      <c r="T1400" s="283"/>
      <c r="U1400" s="283"/>
      <c r="V1400" s="283"/>
      <c r="W1400" s="283"/>
      <c r="X1400" s="283"/>
      <c r="Y1400" s="284" t="n">
        <f aca="false">SUM(B1400:X1400)</f>
        <v>68139</v>
      </c>
      <c r="Z1400" s="285"/>
      <c r="AA1400" s="286"/>
    </row>
    <row r="1401" customFormat="false" ht="14.25" hidden="false" customHeight="false" outlineLevel="0" collapsed="false">
      <c r="A1401" s="282" t="s">
        <v>1447</v>
      </c>
      <c r="B1401" s="283" t="n">
        <v>66055</v>
      </c>
      <c r="C1401" s="283"/>
      <c r="D1401" s="283"/>
      <c r="E1401" s="283"/>
      <c r="F1401" s="283"/>
      <c r="G1401" s="283"/>
      <c r="H1401" s="283"/>
      <c r="I1401" s="283"/>
      <c r="J1401" s="283"/>
      <c r="K1401" s="283"/>
      <c r="L1401" s="283"/>
      <c r="M1401" s="283"/>
      <c r="N1401" s="283"/>
      <c r="O1401" s="283"/>
      <c r="P1401" s="283"/>
      <c r="Q1401" s="283"/>
      <c r="R1401" s="283"/>
      <c r="S1401" s="283"/>
      <c r="T1401" s="283"/>
      <c r="U1401" s="283"/>
      <c r="V1401" s="283"/>
      <c r="W1401" s="283"/>
      <c r="X1401" s="283"/>
      <c r="Y1401" s="284" t="n">
        <f aca="false">SUM(B1401:X1401)</f>
        <v>66055</v>
      </c>
      <c r="Z1401" s="285"/>
      <c r="AA1401" s="286"/>
    </row>
    <row r="1402" customFormat="false" ht="14.25" hidden="false" customHeight="false" outlineLevel="0" collapsed="false">
      <c r="A1402" s="282" t="s">
        <v>1448</v>
      </c>
      <c r="B1402" s="283" t="n">
        <v>-117081</v>
      </c>
      <c r="C1402" s="283"/>
      <c r="D1402" s="283"/>
      <c r="E1402" s="283"/>
      <c r="F1402" s="283"/>
      <c r="G1402" s="283"/>
      <c r="H1402" s="283"/>
      <c r="I1402" s="283"/>
      <c r="J1402" s="283"/>
      <c r="K1402" s="283"/>
      <c r="L1402" s="283"/>
      <c r="M1402" s="283"/>
      <c r="N1402" s="283"/>
      <c r="O1402" s="283"/>
      <c r="P1402" s="283"/>
      <c r="Q1402" s="283"/>
      <c r="R1402" s="283"/>
      <c r="S1402" s="283"/>
      <c r="T1402" s="283"/>
      <c r="U1402" s="283"/>
      <c r="V1402" s="283"/>
      <c r="W1402" s="283"/>
      <c r="X1402" s="283"/>
      <c r="Y1402" s="284" t="n">
        <f aca="false">SUM(B1402:X1402)</f>
        <v>-117081</v>
      </c>
      <c r="Z1402" s="285"/>
      <c r="AA1402" s="286"/>
    </row>
    <row r="1403" customFormat="false" ht="14.25" hidden="false" customHeight="false" outlineLevel="0" collapsed="false">
      <c r="A1403" s="282" t="s">
        <v>1449</v>
      </c>
      <c r="B1403" s="283" t="n">
        <v>-103085</v>
      </c>
      <c r="C1403" s="283"/>
      <c r="D1403" s="283"/>
      <c r="E1403" s="283"/>
      <c r="F1403" s="283"/>
      <c r="G1403" s="283"/>
      <c r="H1403" s="283"/>
      <c r="I1403" s="283"/>
      <c r="J1403" s="283"/>
      <c r="K1403" s="283"/>
      <c r="L1403" s="283"/>
      <c r="M1403" s="283"/>
      <c r="N1403" s="283"/>
      <c r="O1403" s="283"/>
      <c r="P1403" s="283"/>
      <c r="Q1403" s="283"/>
      <c r="R1403" s="283"/>
      <c r="S1403" s="283"/>
      <c r="T1403" s="283"/>
      <c r="U1403" s="283"/>
      <c r="V1403" s="283"/>
      <c r="W1403" s="283"/>
      <c r="X1403" s="283"/>
      <c r="Y1403" s="284" t="n">
        <f aca="false">SUM(B1403:X1403)</f>
        <v>-103085</v>
      </c>
      <c r="Z1403" s="285"/>
      <c r="AA1403" s="286"/>
    </row>
    <row r="1404" customFormat="false" ht="14.25" hidden="false" customHeight="false" outlineLevel="0" collapsed="false">
      <c r="A1404" s="282" t="s">
        <v>1450</v>
      </c>
      <c r="B1404" s="283" t="n">
        <v>-17996</v>
      </c>
      <c r="C1404" s="283"/>
      <c r="D1404" s="283"/>
      <c r="E1404" s="283"/>
      <c r="F1404" s="283"/>
      <c r="G1404" s="283"/>
      <c r="H1404" s="283"/>
      <c r="I1404" s="283"/>
      <c r="J1404" s="283"/>
      <c r="K1404" s="283"/>
      <c r="L1404" s="283"/>
      <c r="M1404" s="283"/>
      <c r="N1404" s="283"/>
      <c r="O1404" s="283"/>
      <c r="P1404" s="283"/>
      <c r="Q1404" s="283"/>
      <c r="R1404" s="283"/>
      <c r="S1404" s="283"/>
      <c r="T1404" s="283"/>
      <c r="U1404" s="283"/>
      <c r="V1404" s="283"/>
      <c r="W1404" s="283"/>
      <c r="X1404" s="283"/>
      <c r="Y1404" s="284" t="n">
        <f aca="false">SUM(B1404:X1404)</f>
        <v>-17996</v>
      </c>
      <c r="Z1404" s="285"/>
      <c r="AA1404" s="286"/>
    </row>
    <row r="1405" customFormat="false" ht="14.25" hidden="false" customHeight="false" outlineLevel="0" collapsed="false">
      <c r="A1405" s="282" t="s">
        <v>1451</v>
      </c>
      <c r="B1405" s="283" t="n">
        <v>-147847</v>
      </c>
      <c r="C1405" s="283"/>
      <c r="D1405" s="283"/>
      <c r="E1405" s="283"/>
      <c r="F1405" s="283"/>
      <c r="G1405" s="283"/>
      <c r="H1405" s="283"/>
      <c r="I1405" s="283"/>
      <c r="J1405" s="283"/>
      <c r="K1405" s="283"/>
      <c r="L1405" s="283"/>
      <c r="M1405" s="283"/>
      <c r="N1405" s="283"/>
      <c r="O1405" s="283"/>
      <c r="P1405" s="283"/>
      <c r="Q1405" s="283"/>
      <c r="R1405" s="283"/>
      <c r="S1405" s="283"/>
      <c r="T1405" s="283"/>
      <c r="U1405" s="283"/>
      <c r="V1405" s="283"/>
      <c r="W1405" s="283"/>
      <c r="X1405" s="283"/>
      <c r="Y1405" s="284" t="n">
        <f aca="false">SUM(B1405:X1405)</f>
        <v>-147847</v>
      </c>
      <c r="Z1405" s="285"/>
      <c r="AA1405" s="286"/>
    </row>
    <row r="1406" customFormat="false" ht="14.25" hidden="false" customHeight="false" outlineLevel="0" collapsed="false">
      <c r="A1406" s="282" t="s">
        <v>1452</v>
      </c>
      <c r="B1406" s="283"/>
      <c r="C1406" s="283"/>
      <c r="D1406" s="283"/>
      <c r="E1406" s="283"/>
      <c r="F1406" s="283"/>
      <c r="G1406" s="283"/>
      <c r="H1406" s="283"/>
      <c r="I1406" s="283"/>
      <c r="J1406" s="283" t="n">
        <v>-26559.8</v>
      </c>
      <c r="K1406" s="283"/>
      <c r="L1406" s="283"/>
      <c r="M1406" s="283"/>
      <c r="N1406" s="283"/>
      <c r="O1406" s="283"/>
      <c r="P1406" s="283"/>
      <c r="Q1406" s="283"/>
      <c r="R1406" s="283"/>
      <c r="S1406" s="283"/>
      <c r="T1406" s="283"/>
      <c r="U1406" s="283"/>
      <c r="V1406" s="283"/>
      <c r="W1406" s="283"/>
      <c r="X1406" s="283"/>
      <c r="Y1406" s="284" t="n">
        <f aca="false">SUM(B1406:X1406)</f>
        <v>-26559.8</v>
      </c>
      <c r="Z1406" s="285"/>
      <c r="AA1406" s="286"/>
    </row>
    <row r="1407" customFormat="false" ht="14.25" hidden="false" customHeight="false" outlineLevel="0" collapsed="false">
      <c r="A1407" s="282" t="s">
        <v>1453</v>
      </c>
      <c r="B1407" s="283"/>
      <c r="C1407" s="283"/>
      <c r="D1407" s="283"/>
      <c r="E1407" s="283"/>
      <c r="F1407" s="283"/>
      <c r="G1407" s="283" t="n">
        <v>-2784.8</v>
      </c>
      <c r="H1407" s="283"/>
      <c r="I1407" s="283"/>
      <c r="J1407" s="283"/>
      <c r="K1407" s="283"/>
      <c r="L1407" s="283"/>
      <c r="M1407" s="283"/>
      <c r="N1407" s="283"/>
      <c r="O1407" s="283"/>
      <c r="P1407" s="283"/>
      <c r="Q1407" s="283"/>
      <c r="R1407" s="283"/>
      <c r="S1407" s="283"/>
      <c r="T1407" s="283"/>
      <c r="U1407" s="283"/>
      <c r="V1407" s="283"/>
      <c r="W1407" s="283"/>
      <c r="X1407" s="283"/>
      <c r="Y1407" s="284" t="n">
        <f aca="false">SUM(B1407:X1407)</f>
        <v>-2784.8</v>
      </c>
      <c r="Z1407" s="285"/>
      <c r="AA1407" s="286"/>
    </row>
    <row r="1408" customFormat="false" ht="14.25" hidden="false" customHeight="false" outlineLevel="0" collapsed="false">
      <c r="A1408" s="282" t="s">
        <v>1454</v>
      </c>
      <c r="B1408" s="283"/>
      <c r="C1408" s="283"/>
      <c r="D1408" s="283"/>
      <c r="E1408" s="283"/>
      <c r="F1408" s="283"/>
      <c r="G1408" s="283"/>
      <c r="H1408" s="283"/>
      <c r="I1408" s="283"/>
      <c r="J1408" s="283"/>
      <c r="K1408" s="283"/>
      <c r="L1408" s="283"/>
      <c r="M1408" s="283"/>
      <c r="N1408" s="283"/>
      <c r="O1408" s="283" t="n">
        <v>-44425.5</v>
      </c>
      <c r="P1408" s="283"/>
      <c r="Q1408" s="283"/>
      <c r="R1408" s="283"/>
      <c r="S1408" s="283"/>
      <c r="T1408" s="283"/>
      <c r="U1408" s="283"/>
      <c r="V1408" s="283"/>
      <c r="W1408" s="283"/>
      <c r="X1408" s="283"/>
      <c r="Y1408" s="284" t="n">
        <f aca="false">SUM(B1408:X1408)</f>
        <v>-44425.5</v>
      </c>
      <c r="Z1408" s="285"/>
      <c r="AA1408" s="286"/>
    </row>
    <row r="1409" customFormat="false" ht="14.25" hidden="false" customHeight="false" outlineLevel="0" collapsed="false">
      <c r="A1409" s="282" t="s">
        <v>1455</v>
      </c>
      <c r="B1409" s="283"/>
      <c r="C1409" s="283"/>
      <c r="D1409" s="283"/>
      <c r="E1409" s="283"/>
      <c r="F1409" s="283"/>
      <c r="G1409" s="283" t="n">
        <v>-279350</v>
      </c>
      <c r="H1409" s="283"/>
      <c r="I1409" s="283"/>
      <c r="J1409" s="283"/>
      <c r="K1409" s="283"/>
      <c r="L1409" s="283"/>
      <c r="M1409" s="283"/>
      <c r="N1409" s="283"/>
      <c r="O1409" s="283"/>
      <c r="P1409" s="283"/>
      <c r="Q1409" s="283"/>
      <c r="R1409" s="283"/>
      <c r="S1409" s="283"/>
      <c r="T1409" s="283"/>
      <c r="U1409" s="283"/>
      <c r="V1409" s="283"/>
      <c r="W1409" s="283"/>
      <c r="X1409" s="283"/>
      <c r="Y1409" s="284" t="n">
        <f aca="false">SUM(B1409:X1409)</f>
        <v>-279350</v>
      </c>
      <c r="Z1409" s="285"/>
      <c r="AA1409" s="286"/>
    </row>
    <row r="1410" customFormat="false" ht="14.25" hidden="false" customHeight="false" outlineLevel="0" collapsed="false">
      <c r="A1410" s="282" t="s">
        <v>1456</v>
      </c>
      <c r="B1410" s="283"/>
      <c r="C1410" s="283"/>
      <c r="D1410" s="283" t="n">
        <v>-11947</v>
      </c>
      <c r="E1410" s="283"/>
      <c r="F1410" s="283"/>
      <c r="G1410" s="283"/>
      <c r="H1410" s="283"/>
      <c r="I1410" s="283"/>
      <c r="J1410" s="283"/>
      <c r="K1410" s="283"/>
      <c r="L1410" s="283"/>
      <c r="M1410" s="283"/>
      <c r="N1410" s="283"/>
      <c r="O1410" s="283"/>
      <c r="P1410" s="283"/>
      <c r="Q1410" s="283"/>
      <c r="R1410" s="283"/>
      <c r="S1410" s="283"/>
      <c r="T1410" s="283"/>
      <c r="U1410" s="283"/>
      <c r="V1410" s="283"/>
      <c r="W1410" s="283"/>
      <c r="X1410" s="283"/>
      <c r="Y1410" s="284" t="n">
        <f aca="false">SUM(B1410:X1410)</f>
        <v>-11947</v>
      </c>
      <c r="Z1410" s="285"/>
      <c r="AA1410" s="286"/>
    </row>
    <row r="1411" customFormat="false" ht="14.25" hidden="false" customHeight="false" outlineLevel="0" collapsed="false">
      <c r="A1411" s="282" t="s">
        <v>1457</v>
      </c>
      <c r="B1411" s="283"/>
      <c r="C1411" s="283"/>
      <c r="D1411" s="283"/>
      <c r="E1411" s="283"/>
      <c r="F1411" s="283" t="n">
        <v>-105553.1</v>
      </c>
      <c r="G1411" s="283"/>
      <c r="H1411" s="283"/>
      <c r="I1411" s="283"/>
      <c r="J1411" s="283"/>
      <c r="K1411" s="283"/>
      <c r="L1411" s="283"/>
      <c r="M1411" s="283"/>
      <c r="N1411" s="283"/>
      <c r="O1411" s="283"/>
      <c r="P1411" s="283"/>
      <c r="Q1411" s="283"/>
      <c r="R1411" s="283"/>
      <c r="S1411" s="283"/>
      <c r="T1411" s="283"/>
      <c r="U1411" s="283"/>
      <c r="V1411" s="283"/>
      <c r="W1411" s="283"/>
      <c r="X1411" s="283"/>
      <c r="Y1411" s="284" t="n">
        <f aca="false">SUM(B1411:X1411)</f>
        <v>-105553.1</v>
      </c>
      <c r="Z1411" s="285"/>
      <c r="AA1411" s="286"/>
    </row>
    <row r="1412" customFormat="false" ht="14.25" hidden="false" customHeight="false" outlineLevel="0" collapsed="false">
      <c r="A1412" s="282" t="s">
        <v>1458</v>
      </c>
      <c r="B1412" s="283"/>
      <c r="C1412" s="283"/>
      <c r="D1412" s="283"/>
      <c r="E1412" s="283"/>
      <c r="F1412" s="283" t="n">
        <v>-87744</v>
      </c>
      <c r="G1412" s="283"/>
      <c r="H1412" s="283"/>
      <c r="I1412" s="283"/>
      <c r="J1412" s="283"/>
      <c r="K1412" s="283"/>
      <c r="L1412" s="283"/>
      <c r="M1412" s="283"/>
      <c r="N1412" s="283"/>
      <c r="O1412" s="283"/>
      <c r="P1412" s="283"/>
      <c r="Q1412" s="283"/>
      <c r="R1412" s="283"/>
      <c r="S1412" s="283"/>
      <c r="T1412" s="283"/>
      <c r="U1412" s="283"/>
      <c r="V1412" s="283"/>
      <c r="W1412" s="283"/>
      <c r="X1412" s="283"/>
      <c r="Y1412" s="284" t="n">
        <f aca="false">SUM(B1412:X1412)</f>
        <v>-87744</v>
      </c>
      <c r="Z1412" s="285"/>
      <c r="AA1412" s="286"/>
    </row>
    <row r="1413" customFormat="false" ht="14.25" hidden="false" customHeight="false" outlineLevel="0" collapsed="false">
      <c r="A1413" s="282" t="s">
        <v>1459</v>
      </c>
      <c r="B1413" s="283"/>
      <c r="C1413" s="283"/>
      <c r="D1413" s="283"/>
      <c r="E1413" s="283"/>
      <c r="F1413" s="283" t="n">
        <v>-195405</v>
      </c>
      <c r="G1413" s="283"/>
      <c r="H1413" s="283"/>
      <c r="I1413" s="283"/>
      <c r="J1413" s="283"/>
      <c r="K1413" s="283"/>
      <c r="L1413" s="283"/>
      <c r="M1413" s="283"/>
      <c r="N1413" s="283"/>
      <c r="O1413" s="283"/>
      <c r="P1413" s="283"/>
      <c r="Q1413" s="283"/>
      <c r="R1413" s="283"/>
      <c r="S1413" s="283"/>
      <c r="T1413" s="283"/>
      <c r="U1413" s="283"/>
      <c r="V1413" s="283"/>
      <c r="W1413" s="283"/>
      <c r="X1413" s="283"/>
      <c r="Y1413" s="284" t="n">
        <f aca="false">SUM(B1413:X1413)</f>
        <v>-195405</v>
      </c>
      <c r="Z1413" s="285"/>
      <c r="AA1413" s="286"/>
    </row>
    <row r="1414" customFormat="false" ht="14.25" hidden="false" customHeight="false" outlineLevel="0" collapsed="false">
      <c r="A1414" s="282" t="s">
        <v>1460</v>
      </c>
      <c r="B1414" s="283"/>
      <c r="C1414" s="283"/>
      <c r="D1414" s="283"/>
      <c r="E1414" s="283"/>
      <c r="F1414" s="283"/>
      <c r="G1414" s="283"/>
      <c r="H1414" s="283"/>
      <c r="I1414" s="283" t="n">
        <v>29240</v>
      </c>
      <c r="J1414" s="283"/>
      <c r="K1414" s="283"/>
      <c r="L1414" s="283"/>
      <c r="M1414" s="283"/>
      <c r="N1414" s="283"/>
      <c r="O1414" s="283"/>
      <c r="P1414" s="283"/>
      <c r="Q1414" s="283"/>
      <c r="R1414" s="283"/>
      <c r="S1414" s="283"/>
      <c r="T1414" s="283"/>
      <c r="U1414" s="283"/>
      <c r="V1414" s="283"/>
      <c r="W1414" s="283"/>
      <c r="X1414" s="283"/>
      <c r="Y1414" s="284" t="n">
        <f aca="false">SUM(B1414:X1414)</f>
        <v>29240</v>
      </c>
      <c r="Z1414" s="285"/>
      <c r="AA1414" s="286"/>
    </row>
    <row r="1415" customFormat="false" ht="14.25" hidden="false" customHeight="false" outlineLevel="0" collapsed="false">
      <c r="A1415" s="282" t="s">
        <v>1461</v>
      </c>
      <c r="B1415" s="283"/>
      <c r="C1415" s="283"/>
      <c r="D1415" s="283"/>
      <c r="E1415" s="283"/>
      <c r="F1415" s="283"/>
      <c r="G1415" s="283"/>
      <c r="H1415" s="283"/>
      <c r="I1415" s="283" t="n">
        <v>-22105.18</v>
      </c>
      <c r="J1415" s="283"/>
      <c r="K1415" s="283"/>
      <c r="L1415" s="283"/>
      <c r="M1415" s="283"/>
      <c r="N1415" s="283"/>
      <c r="O1415" s="283"/>
      <c r="P1415" s="283"/>
      <c r="Q1415" s="283"/>
      <c r="R1415" s="283"/>
      <c r="S1415" s="283"/>
      <c r="T1415" s="283"/>
      <c r="U1415" s="283"/>
      <c r="V1415" s="283"/>
      <c r="W1415" s="283"/>
      <c r="X1415" s="283"/>
      <c r="Y1415" s="284" t="n">
        <f aca="false">SUM(B1415:X1415)</f>
        <v>-22105.18</v>
      </c>
      <c r="Z1415" s="285"/>
      <c r="AA1415" s="286"/>
    </row>
    <row r="1416" customFormat="false" ht="14.25" hidden="false" customHeight="false" outlineLevel="0" collapsed="false">
      <c r="A1416" s="282" t="s">
        <v>1462</v>
      </c>
      <c r="B1416" s="283"/>
      <c r="C1416" s="283"/>
      <c r="D1416" s="283"/>
      <c r="E1416" s="283"/>
      <c r="F1416" s="283"/>
      <c r="G1416" s="283"/>
      <c r="H1416" s="283"/>
      <c r="I1416" s="283"/>
      <c r="J1416" s="283" t="n">
        <v>-190216</v>
      </c>
      <c r="K1416" s="283"/>
      <c r="L1416" s="283"/>
      <c r="M1416" s="283"/>
      <c r="N1416" s="283"/>
      <c r="O1416" s="283"/>
      <c r="P1416" s="283"/>
      <c r="Q1416" s="283"/>
      <c r="R1416" s="283"/>
      <c r="S1416" s="283"/>
      <c r="T1416" s="283"/>
      <c r="U1416" s="283"/>
      <c r="V1416" s="283"/>
      <c r="W1416" s="283"/>
      <c r="X1416" s="283"/>
      <c r="Y1416" s="284" t="n">
        <f aca="false">SUM(B1416:X1416)</f>
        <v>-190216</v>
      </c>
      <c r="Z1416" s="285"/>
      <c r="AA1416" s="286"/>
    </row>
    <row r="1417" customFormat="false" ht="14.25" hidden="false" customHeight="false" outlineLevel="0" collapsed="false">
      <c r="A1417" s="282" t="s">
        <v>1463</v>
      </c>
      <c r="B1417" s="283"/>
      <c r="C1417" s="283"/>
      <c r="D1417" s="283"/>
      <c r="E1417" s="283"/>
      <c r="F1417" s="283"/>
      <c r="G1417" s="283"/>
      <c r="H1417" s="283"/>
      <c r="I1417" s="283"/>
      <c r="J1417" s="283"/>
      <c r="K1417" s="283"/>
      <c r="L1417" s="283" t="n">
        <v>-290565</v>
      </c>
      <c r="M1417" s="283"/>
      <c r="N1417" s="283"/>
      <c r="O1417" s="283"/>
      <c r="P1417" s="283"/>
      <c r="Q1417" s="283"/>
      <c r="R1417" s="283"/>
      <c r="S1417" s="283"/>
      <c r="T1417" s="283"/>
      <c r="U1417" s="283"/>
      <c r="V1417" s="283"/>
      <c r="W1417" s="283"/>
      <c r="X1417" s="283"/>
      <c r="Y1417" s="284" t="n">
        <f aca="false">SUM(B1417:X1417)</f>
        <v>-290565</v>
      </c>
      <c r="Z1417" s="285"/>
      <c r="AA1417" s="286"/>
    </row>
    <row r="1418" customFormat="false" ht="14.25" hidden="false" customHeight="false" outlineLevel="0" collapsed="false">
      <c r="A1418" s="282" t="s">
        <v>1464</v>
      </c>
      <c r="B1418" s="283" t="n">
        <v>-130812</v>
      </c>
      <c r="C1418" s="283"/>
      <c r="D1418" s="283"/>
      <c r="E1418" s="283"/>
      <c r="F1418" s="283"/>
      <c r="G1418" s="283"/>
      <c r="H1418" s="283"/>
      <c r="I1418" s="283"/>
      <c r="J1418" s="283"/>
      <c r="K1418" s="283"/>
      <c r="L1418" s="283"/>
      <c r="M1418" s="283"/>
      <c r="N1418" s="283"/>
      <c r="O1418" s="283"/>
      <c r="P1418" s="283"/>
      <c r="Q1418" s="283"/>
      <c r="R1418" s="283"/>
      <c r="S1418" s="283"/>
      <c r="T1418" s="283"/>
      <c r="U1418" s="283"/>
      <c r="V1418" s="283"/>
      <c r="W1418" s="283"/>
      <c r="X1418" s="283"/>
      <c r="Y1418" s="284" t="n">
        <f aca="false">SUM(B1418:X1418)</f>
        <v>-130812</v>
      </c>
      <c r="Z1418" s="285"/>
      <c r="AA1418" s="286"/>
    </row>
    <row r="1419" customFormat="false" ht="14.25" hidden="false" customHeight="false" outlineLevel="0" collapsed="false">
      <c r="A1419" s="282" t="s">
        <v>1465</v>
      </c>
      <c r="B1419" s="283" t="n">
        <v>-217879</v>
      </c>
      <c r="C1419" s="283"/>
      <c r="D1419" s="283"/>
      <c r="E1419" s="283"/>
      <c r="F1419" s="283"/>
      <c r="G1419" s="283"/>
      <c r="H1419" s="283"/>
      <c r="I1419" s="283"/>
      <c r="J1419" s="283"/>
      <c r="K1419" s="283"/>
      <c r="L1419" s="283"/>
      <c r="M1419" s="283"/>
      <c r="N1419" s="283"/>
      <c r="O1419" s="283"/>
      <c r="P1419" s="283"/>
      <c r="Q1419" s="283"/>
      <c r="R1419" s="283"/>
      <c r="S1419" s="283"/>
      <c r="T1419" s="283"/>
      <c r="U1419" s="283"/>
      <c r="V1419" s="283"/>
      <c r="W1419" s="283"/>
      <c r="X1419" s="283"/>
      <c r="Y1419" s="284" t="n">
        <f aca="false">SUM(B1419:X1419)</f>
        <v>-217879</v>
      </c>
      <c r="Z1419" s="285"/>
      <c r="AA1419" s="286"/>
    </row>
    <row r="1420" customFormat="false" ht="14.25" hidden="false" customHeight="false" outlineLevel="0" collapsed="false">
      <c r="A1420" s="282" t="s">
        <v>1466</v>
      </c>
      <c r="B1420" s="283"/>
      <c r="C1420" s="283"/>
      <c r="D1420" s="283"/>
      <c r="E1420" s="283"/>
      <c r="F1420" s="283" t="n">
        <v>-167875</v>
      </c>
      <c r="G1420" s="283"/>
      <c r="H1420" s="283"/>
      <c r="I1420" s="283"/>
      <c r="J1420" s="283"/>
      <c r="K1420" s="283"/>
      <c r="L1420" s="283"/>
      <c r="M1420" s="283"/>
      <c r="N1420" s="283"/>
      <c r="O1420" s="283"/>
      <c r="P1420" s="283"/>
      <c r="Q1420" s="283"/>
      <c r="R1420" s="283"/>
      <c r="S1420" s="283"/>
      <c r="T1420" s="283"/>
      <c r="U1420" s="283"/>
      <c r="V1420" s="283"/>
      <c r="W1420" s="283"/>
      <c r="X1420" s="283"/>
      <c r="Y1420" s="284" t="n">
        <f aca="false">SUM(B1420:X1420)</f>
        <v>-167875</v>
      </c>
      <c r="Z1420" s="285"/>
      <c r="AA1420" s="286"/>
    </row>
    <row r="1421" customFormat="false" ht="14.25" hidden="false" customHeight="false" outlineLevel="0" collapsed="false">
      <c r="A1421" s="282" t="s">
        <v>1467</v>
      </c>
      <c r="B1421" s="283"/>
      <c r="C1421" s="283"/>
      <c r="D1421" s="283"/>
      <c r="E1421" s="283"/>
      <c r="F1421" s="283" t="n">
        <v>-529564</v>
      </c>
      <c r="G1421" s="283"/>
      <c r="H1421" s="283"/>
      <c r="I1421" s="283"/>
      <c r="J1421" s="283"/>
      <c r="K1421" s="283"/>
      <c r="L1421" s="283"/>
      <c r="M1421" s="283"/>
      <c r="N1421" s="283"/>
      <c r="O1421" s="283"/>
      <c r="P1421" s="283"/>
      <c r="Q1421" s="283"/>
      <c r="R1421" s="283"/>
      <c r="S1421" s="283"/>
      <c r="T1421" s="283"/>
      <c r="U1421" s="283"/>
      <c r="V1421" s="283"/>
      <c r="W1421" s="283"/>
      <c r="X1421" s="283"/>
      <c r="Y1421" s="284" t="n">
        <f aca="false">SUM(B1421:X1421)</f>
        <v>-529564</v>
      </c>
      <c r="Z1421" s="285"/>
      <c r="AA1421" s="286"/>
    </row>
    <row r="1422" customFormat="false" ht="14.25" hidden="false" customHeight="false" outlineLevel="0" collapsed="false">
      <c r="A1422" s="282" t="s">
        <v>1468</v>
      </c>
      <c r="B1422" s="283"/>
      <c r="C1422" s="283"/>
      <c r="D1422" s="283"/>
      <c r="E1422" s="283"/>
      <c r="F1422" s="283" t="n">
        <v>-341228</v>
      </c>
      <c r="G1422" s="283"/>
      <c r="H1422" s="283"/>
      <c r="I1422" s="283"/>
      <c r="J1422" s="283"/>
      <c r="K1422" s="283"/>
      <c r="L1422" s="283"/>
      <c r="M1422" s="283"/>
      <c r="N1422" s="283"/>
      <c r="O1422" s="283"/>
      <c r="P1422" s="283"/>
      <c r="Q1422" s="283"/>
      <c r="R1422" s="283"/>
      <c r="S1422" s="283"/>
      <c r="T1422" s="283"/>
      <c r="U1422" s="283"/>
      <c r="V1422" s="283"/>
      <c r="W1422" s="283"/>
      <c r="X1422" s="283"/>
      <c r="Y1422" s="284" t="n">
        <f aca="false">SUM(B1422:X1422)</f>
        <v>-341228</v>
      </c>
      <c r="Z1422" s="285"/>
      <c r="AA1422" s="286"/>
    </row>
    <row r="1423" customFormat="false" ht="14.25" hidden="false" customHeight="false" outlineLevel="0" collapsed="false">
      <c r="A1423" s="282" t="s">
        <v>1469</v>
      </c>
      <c r="B1423" s="283"/>
      <c r="C1423" s="283"/>
      <c r="D1423" s="283"/>
      <c r="E1423" s="283"/>
      <c r="F1423" s="283" t="n">
        <v>-219849</v>
      </c>
      <c r="G1423" s="283"/>
      <c r="H1423" s="283"/>
      <c r="I1423" s="283"/>
      <c r="J1423" s="283"/>
      <c r="K1423" s="283"/>
      <c r="L1423" s="283"/>
      <c r="M1423" s="283"/>
      <c r="N1423" s="283"/>
      <c r="O1423" s="283"/>
      <c r="P1423" s="283"/>
      <c r="Q1423" s="283"/>
      <c r="R1423" s="283"/>
      <c r="S1423" s="283"/>
      <c r="T1423" s="283"/>
      <c r="U1423" s="283"/>
      <c r="V1423" s="283"/>
      <c r="W1423" s="283"/>
      <c r="X1423" s="283"/>
      <c r="Y1423" s="284" t="n">
        <f aca="false">SUM(B1423:X1423)</f>
        <v>-219849</v>
      </c>
      <c r="Z1423" s="285"/>
      <c r="AA1423" s="286"/>
    </row>
    <row r="1424" customFormat="false" ht="14.25" hidden="false" customHeight="false" outlineLevel="0" collapsed="false">
      <c r="A1424" s="282" t="s">
        <v>1470</v>
      </c>
      <c r="B1424" s="283"/>
      <c r="C1424" s="283"/>
      <c r="D1424" s="283"/>
      <c r="E1424" s="283" t="n">
        <v>-223739</v>
      </c>
      <c r="F1424" s="283"/>
      <c r="G1424" s="283"/>
      <c r="H1424" s="283"/>
      <c r="I1424" s="283"/>
      <c r="J1424" s="283"/>
      <c r="K1424" s="283"/>
      <c r="L1424" s="283"/>
      <c r="M1424" s="283"/>
      <c r="N1424" s="283"/>
      <c r="O1424" s="283"/>
      <c r="P1424" s="283"/>
      <c r="Q1424" s="283"/>
      <c r="R1424" s="283"/>
      <c r="S1424" s="283"/>
      <c r="T1424" s="283"/>
      <c r="U1424" s="283"/>
      <c r="V1424" s="283"/>
      <c r="W1424" s="283"/>
      <c r="X1424" s="283"/>
      <c r="Y1424" s="284" t="n">
        <f aca="false">SUM(B1424:X1424)</f>
        <v>-223739</v>
      </c>
      <c r="Z1424" s="285"/>
      <c r="AA1424" s="286"/>
    </row>
    <row r="1425" customFormat="false" ht="14.25" hidden="false" customHeight="false" outlineLevel="0" collapsed="false">
      <c r="A1425" s="282" t="s">
        <v>1471</v>
      </c>
      <c r="B1425" s="283"/>
      <c r="C1425" s="283"/>
      <c r="D1425" s="283"/>
      <c r="E1425" s="283"/>
      <c r="F1425" s="283" t="n">
        <v>-515843</v>
      </c>
      <c r="G1425" s="283"/>
      <c r="H1425" s="283"/>
      <c r="I1425" s="283"/>
      <c r="J1425" s="283"/>
      <c r="K1425" s="283"/>
      <c r="L1425" s="283"/>
      <c r="M1425" s="283"/>
      <c r="N1425" s="283"/>
      <c r="O1425" s="283"/>
      <c r="P1425" s="283"/>
      <c r="Q1425" s="283"/>
      <c r="R1425" s="283"/>
      <c r="S1425" s="283"/>
      <c r="T1425" s="283"/>
      <c r="U1425" s="283"/>
      <c r="V1425" s="283"/>
      <c r="W1425" s="283"/>
      <c r="X1425" s="283"/>
      <c r="Y1425" s="284" t="n">
        <f aca="false">SUM(B1425:X1425)</f>
        <v>-515843</v>
      </c>
      <c r="Z1425" s="285"/>
      <c r="AA1425" s="286"/>
    </row>
    <row r="1426" customFormat="false" ht="14.25" hidden="false" customHeight="false" outlineLevel="0" collapsed="false">
      <c r="A1426" s="282" t="s">
        <v>1472</v>
      </c>
      <c r="B1426" s="283"/>
      <c r="C1426" s="283"/>
      <c r="D1426" s="283"/>
      <c r="E1426" s="283"/>
      <c r="F1426" s="283" t="n">
        <v>-294694</v>
      </c>
      <c r="G1426" s="283"/>
      <c r="H1426" s="283"/>
      <c r="I1426" s="283"/>
      <c r="J1426" s="283"/>
      <c r="K1426" s="283"/>
      <c r="L1426" s="283"/>
      <c r="M1426" s="283"/>
      <c r="N1426" s="283"/>
      <c r="O1426" s="283"/>
      <c r="P1426" s="283"/>
      <c r="Q1426" s="283"/>
      <c r="R1426" s="283"/>
      <c r="S1426" s="283"/>
      <c r="T1426" s="283"/>
      <c r="U1426" s="283"/>
      <c r="V1426" s="283"/>
      <c r="W1426" s="283"/>
      <c r="X1426" s="283"/>
      <c r="Y1426" s="284" t="n">
        <f aca="false">SUM(B1426:X1426)</f>
        <v>-294694</v>
      </c>
      <c r="Z1426" s="285"/>
      <c r="AA1426" s="286"/>
    </row>
    <row r="1427" customFormat="false" ht="14.25" hidden="false" customHeight="false" outlineLevel="0" collapsed="false">
      <c r="A1427" s="282" t="s">
        <v>1473</v>
      </c>
      <c r="B1427" s="283"/>
      <c r="C1427" s="283"/>
      <c r="D1427" s="283"/>
      <c r="E1427" s="283"/>
      <c r="F1427" s="283" t="n">
        <v>-8316</v>
      </c>
      <c r="G1427" s="283"/>
      <c r="H1427" s="283"/>
      <c r="I1427" s="283"/>
      <c r="J1427" s="283"/>
      <c r="K1427" s="283"/>
      <c r="L1427" s="283"/>
      <c r="M1427" s="283"/>
      <c r="N1427" s="283"/>
      <c r="O1427" s="283"/>
      <c r="P1427" s="283"/>
      <c r="Q1427" s="283"/>
      <c r="R1427" s="283"/>
      <c r="S1427" s="283"/>
      <c r="T1427" s="283"/>
      <c r="U1427" s="283"/>
      <c r="V1427" s="283"/>
      <c r="W1427" s="283"/>
      <c r="X1427" s="283"/>
      <c r="Y1427" s="284" t="n">
        <f aca="false">SUM(B1427:X1427)</f>
        <v>-8316</v>
      </c>
      <c r="Z1427" s="285"/>
      <c r="AA1427" s="286"/>
    </row>
    <row r="1428" customFormat="false" ht="14.25" hidden="false" customHeight="false" outlineLevel="0" collapsed="false">
      <c r="A1428" s="282" t="s">
        <v>1474</v>
      </c>
      <c r="B1428" s="283"/>
      <c r="C1428" s="283"/>
      <c r="D1428" s="283"/>
      <c r="E1428" s="283"/>
      <c r="F1428" s="283" t="n">
        <v>-522674</v>
      </c>
      <c r="G1428" s="283"/>
      <c r="H1428" s="283"/>
      <c r="I1428" s="283"/>
      <c r="J1428" s="283"/>
      <c r="K1428" s="283"/>
      <c r="L1428" s="283"/>
      <c r="M1428" s="283"/>
      <c r="N1428" s="283"/>
      <c r="O1428" s="283"/>
      <c r="P1428" s="283"/>
      <c r="Q1428" s="283"/>
      <c r="R1428" s="283"/>
      <c r="S1428" s="283"/>
      <c r="T1428" s="283"/>
      <c r="U1428" s="283"/>
      <c r="V1428" s="283"/>
      <c r="W1428" s="283"/>
      <c r="X1428" s="283"/>
      <c r="Y1428" s="284" t="n">
        <f aca="false">SUM(B1428:X1428)</f>
        <v>-522674</v>
      </c>
      <c r="Z1428" s="285"/>
      <c r="AA1428" s="286"/>
    </row>
    <row r="1429" customFormat="false" ht="14.25" hidden="false" customHeight="false" outlineLevel="0" collapsed="false">
      <c r="A1429" s="282" t="s">
        <v>1475</v>
      </c>
      <c r="B1429" s="283"/>
      <c r="C1429" s="283"/>
      <c r="D1429" s="283"/>
      <c r="E1429" s="283"/>
      <c r="F1429" s="283"/>
      <c r="G1429" s="283"/>
      <c r="H1429" s="283"/>
      <c r="I1429" s="283"/>
      <c r="J1429" s="283"/>
      <c r="K1429" s="283"/>
      <c r="L1429" s="283" t="n">
        <v>-164356.8</v>
      </c>
      <c r="M1429" s="283"/>
      <c r="N1429" s="283"/>
      <c r="O1429" s="283"/>
      <c r="P1429" s="283"/>
      <c r="Q1429" s="283"/>
      <c r="R1429" s="283"/>
      <c r="S1429" s="283"/>
      <c r="T1429" s="283"/>
      <c r="U1429" s="283"/>
      <c r="V1429" s="283"/>
      <c r="W1429" s="283"/>
      <c r="X1429" s="283"/>
      <c r="Y1429" s="284" t="n">
        <f aca="false">SUM(B1429:X1429)</f>
        <v>-164356.8</v>
      </c>
      <c r="Z1429" s="285"/>
      <c r="AA1429" s="286"/>
    </row>
    <row r="1430" customFormat="false" ht="14.25" hidden="false" customHeight="false" outlineLevel="0" collapsed="false">
      <c r="A1430" s="282" t="s">
        <v>1476</v>
      </c>
      <c r="B1430" s="283"/>
      <c r="C1430" s="283" t="n">
        <v>-272304</v>
      </c>
      <c r="D1430" s="283"/>
      <c r="E1430" s="283"/>
      <c r="F1430" s="283"/>
      <c r="G1430" s="283"/>
      <c r="H1430" s="283"/>
      <c r="I1430" s="283"/>
      <c r="J1430" s="283"/>
      <c r="K1430" s="283"/>
      <c r="L1430" s="283"/>
      <c r="M1430" s="283"/>
      <c r="N1430" s="283"/>
      <c r="O1430" s="283"/>
      <c r="P1430" s="283"/>
      <c r="Q1430" s="283"/>
      <c r="R1430" s="283"/>
      <c r="S1430" s="283"/>
      <c r="T1430" s="283"/>
      <c r="U1430" s="283"/>
      <c r="V1430" s="283"/>
      <c r="W1430" s="283"/>
      <c r="X1430" s="283"/>
      <c r="Y1430" s="284" t="n">
        <f aca="false">SUM(B1430:X1430)</f>
        <v>-272304</v>
      </c>
      <c r="Z1430" s="285"/>
      <c r="AA1430" s="286"/>
    </row>
    <row r="1431" customFormat="false" ht="14.25" hidden="false" customHeight="false" outlineLevel="0" collapsed="false">
      <c r="A1431" s="282" t="s">
        <v>1477</v>
      </c>
      <c r="B1431" s="283"/>
      <c r="C1431" s="283" t="n">
        <v>2218</v>
      </c>
      <c r="D1431" s="283"/>
      <c r="E1431" s="283"/>
      <c r="F1431" s="283"/>
      <c r="G1431" s="283"/>
      <c r="H1431" s="283"/>
      <c r="I1431" s="283"/>
      <c r="J1431" s="283"/>
      <c r="K1431" s="283"/>
      <c r="L1431" s="283"/>
      <c r="M1431" s="283"/>
      <c r="N1431" s="283"/>
      <c r="O1431" s="283"/>
      <c r="P1431" s="283"/>
      <c r="Q1431" s="283"/>
      <c r="R1431" s="283"/>
      <c r="S1431" s="283"/>
      <c r="T1431" s="283"/>
      <c r="U1431" s="283"/>
      <c r="V1431" s="283"/>
      <c r="W1431" s="283"/>
      <c r="X1431" s="283"/>
      <c r="Y1431" s="284" t="n">
        <f aca="false">SUM(B1431:X1431)</f>
        <v>2218</v>
      </c>
      <c r="Z1431" s="285"/>
      <c r="AA1431" s="286"/>
    </row>
    <row r="1432" customFormat="false" ht="14.25" hidden="false" customHeight="false" outlineLevel="0" collapsed="false">
      <c r="A1432" s="282" t="s">
        <v>1478</v>
      </c>
      <c r="B1432" s="283"/>
      <c r="C1432" s="283" t="n">
        <v>-418871</v>
      </c>
      <c r="D1432" s="283"/>
      <c r="E1432" s="283"/>
      <c r="F1432" s="283"/>
      <c r="G1432" s="283"/>
      <c r="H1432" s="283"/>
      <c r="I1432" s="283"/>
      <c r="J1432" s="283"/>
      <c r="K1432" s="283"/>
      <c r="L1432" s="283"/>
      <c r="M1432" s="283"/>
      <c r="N1432" s="283"/>
      <c r="O1432" s="283"/>
      <c r="P1432" s="283"/>
      <c r="Q1432" s="283"/>
      <c r="R1432" s="283"/>
      <c r="S1432" s="283"/>
      <c r="T1432" s="283"/>
      <c r="U1432" s="283"/>
      <c r="V1432" s="283"/>
      <c r="W1432" s="283"/>
      <c r="X1432" s="283"/>
      <c r="Y1432" s="284" t="n">
        <f aca="false">SUM(B1432:X1432)</f>
        <v>-418871</v>
      </c>
      <c r="Z1432" s="285"/>
      <c r="AA1432" s="286"/>
    </row>
    <row r="1433" customFormat="false" ht="14.25" hidden="false" customHeight="false" outlineLevel="0" collapsed="false">
      <c r="A1433" s="282" t="s">
        <v>1479</v>
      </c>
      <c r="B1433" s="283"/>
      <c r="C1433" s="283"/>
      <c r="D1433" s="283"/>
      <c r="E1433" s="283"/>
      <c r="F1433" s="283"/>
      <c r="G1433" s="283"/>
      <c r="H1433" s="283"/>
      <c r="I1433" s="283"/>
      <c r="J1433" s="283"/>
      <c r="K1433" s="283"/>
      <c r="L1433" s="283"/>
      <c r="M1433" s="283"/>
      <c r="N1433" s="283" t="n">
        <v>26297</v>
      </c>
      <c r="O1433" s="283"/>
      <c r="P1433" s="283"/>
      <c r="Q1433" s="283"/>
      <c r="R1433" s="283"/>
      <c r="S1433" s="283"/>
      <c r="T1433" s="283"/>
      <c r="U1433" s="283"/>
      <c r="V1433" s="283"/>
      <c r="W1433" s="283"/>
      <c r="X1433" s="283"/>
      <c r="Y1433" s="284" t="n">
        <f aca="false">SUM(B1433:X1433)</f>
        <v>26297</v>
      </c>
      <c r="Z1433" s="285"/>
      <c r="AA1433" s="286"/>
    </row>
    <row r="1434" customFormat="false" ht="14.25" hidden="false" customHeight="false" outlineLevel="0" collapsed="false">
      <c r="A1434" s="282" t="s">
        <v>1480</v>
      </c>
      <c r="B1434" s="283"/>
      <c r="C1434" s="283"/>
      <c r="D1434" s="283"/>
      <c r="E1434" s="283"/>
      <c r="F1434" s="283"/>
      <c r="G1434" s="283"/>
      <c r="H1434" s="283"/>
      <c r="I1434" s="283"/>
      <c r="J1434" s="283" t="n">
        <v>-200450</v>
      </c>
      <c r="K1434" s="283"/>
      <c r="L1434" s="283"/>
      <c r="M1434" s="283"/>
      <c r="N1434" s="283"/>
      <c r="O1434" s="283"/>
      <c r="P1434" s="283"/>
      <c r="Q1434" s="283"/>
      <c r="R1434" s="283"/>
      <c r="S1434" s="283"/>
      <c r="T1434" s="283"/>
      <c r="U1434" s="283"/>
      <c r="V1434" s="283"/>
      <c r="W1434" s="283"/>
      <c r="X1434" s="283"/>
      <c r="Y1434" s="284" t="n">
        <f aca="false">SUM(B1434:X1434)</f>
        <v>-200450</v>
      </c>
      <c r="Z1434" s="285"/>
      <c r="AA1434" s="286"/>
    </row>
    <row r="1435" customFormat="false" ht="14.25" hidden="false" customHeight="false" outlineLevel="0" collapsed="false">
      <c r="A1435" s="282" t="s">
        <v>1481</v>
      </c>
      <c r="B1435" s="283"/>
      <c r="C1435" s="283"/>
      <c r="D1435" s="283"/>
      <c r="E1435" s="283"/>
      <c r="F1435" s="283" t="n">
        <v>-180402</v>
      </c>
      <c r="G1435" s="283"/>
      <c r="H1435" s="283"/>
      <c r="I1435" s="283"/>
      <c r="J1435" s="283"/>
      <c r="K1435" s="283"/>
      <c r="L1435" s="283"/>
      <c r="M1435" s="283"/>
      <c r="N1435" s="283"/>
      <c r="O1435" s="283"/>
      <c r="P1435" s="283"/>
      <c r="Q1435" s="283"/>
      <c r="R1435" s="283"/>
      <c r="S1435" s="283"/>
      <c r="T1435" s="283"/>
      <c r="U1435" s="283"/>
      <c r="V1435" s="283"/>
      <c r="W1435" s="283"/>
      <c r="X1435" s="283"/>
      <c r="Y1435" s="284" t="n">
        <f aca="false">SUM(B1435:X1435)</f>
        <v>-180402</v>
      </c>
      <c r="Z1435" s="285"/>
      <c r="AA1435" s="286"/>
    </row>
    <row r="1436" customFormat="false" ht="14.25" hidden="false" customHeight="false" outlineLevel="0" collapsed="false">
      <c r="A1436" s="282" t="s">
        <v>1482</v>
      </c>
      <c r="B1436" s="283"/>
      <c r="C1436" s="283"/>
      <c r="D1436" s="283"/>
      <c r="E1436" s="283"/>
      <c r="F1436" s="283" t="n">
        <v>-306752</v>
      </c>
      <c r="G1436" s="283"/>
      <c r="H1436" s="283"/>
      <c r="I1436" s="283"/>
      <c r="J1436" s="283"/>
      <c r="K1436" s="283"/>
      <c r="L1436" s="283"/>
      <c r="M1436" s="283"/>
      <c r="N1436" s="283"/>
      <c r="O1436" s="283"/>
      <c r="P1436" s="283"/>
      <c r="Q1436" s="283"/>
      <c r="R1436" s="283"/>
      <c r="S1436" s="283"/>
      <c r="T1436" s="283"/>
      <c r="U1436" s="283"/>
      <c r="V1436" s="283"/>
      <c r="W1436" s="283"/>
      <c r="X1436" s="283"/>
      <c r="Y1436" s="284" t="n">
        <f aca="false">SUM(B1436:X1436)</f>
        <v>-306752</v>
      </c>
      <c r="Z1436" s="285"/>
      <c r="AA1436" s="286"/>
    </row>
    <row r="1437" customFormat="false" ht="14.25" hidden="false" customHeight="false" outlineLevel="0" collapsed="false">
      <c r="A1437" s="282" t="s">
        <v>1483</v>
      </c>
      <c r="B1437" s="283"/>
      <c r="C1437" s="283"/>
      <c r="D1437" s="283"/>
      <c r="E1437" s="283"/>
      <c r="F1437" s="283" t="n">
        <v>-180264</v>
      </c>
      <c r="G1437" s="283"/>
      <c r="H1437" s="283"/>
      <c r="I1437" s="283"/>
      <c r="J1437" s="283"/>
      <c r="K1437" s="283"/>
      <c r="L1437" s="283"/>
      <c r="M1437" s="283"/>
      <c r="N1437" s="283"/>
      <c r="O1437" s="283"/>
      <c r="P1437" s="283"/>
      <c r="Q1437" s="283"/>
      <c r="R1437" s="283"/>
      <c r="S1437" s="283"/>
      <c r="T1437" s="283"/>
      <c r="U1437" s="283"/>
      <c r="V1437" s="283"/>
      <c r="W1437" s="283"/>
      <c r="X1437" s="283"/>
      <c r="Y1437" s="284" t="n">
        <f aca="false">SUM(B1437:X1437)</f>
        <v>-180264</v>
      </c>
      <c r="Z1437" s="285"/>
      <c r="AA1437" s="286"/>
    </row>
    <row r="1438" customFormat="false" ht="14.25" hidden="false" customHeight="false" outlineLevel="0" collapsed="false">
      <c r="A1438" s="282" t="s">
        <v>1484</v>
      </c>
      <c r="B1438" s="283"/>
      <c r="C1438" s="283"/>
      <c r="D1438" s="283"/>
      <c r="E1438" s="283"/>
      <c r="F1438" s="283" t="n">
        <v>-341120</v>
      </c>
      <c r="G1438" s="283"/>
      <c r="H1438" s="283"/>
      <c r="I1438" s="283"/>
      <c r="J1438" s="283"/>
      <c r="K1438" s="283"/>
      <c r="L1438" s="283"/>
      <c r="M1438" s="283"/>
      <c r="N1438" s="283"/>
      <c r="O1438" s="283"/>
      <c r="P1438" s="283"/>
      <c r="Q1438" s="283"/>
      <c r="R1438" s="283"/>
      <c r="S1438" s="283"/>
      <c r="T1438" s="283"/>
      <c r="U1438" s="283"/>
      <c r="V1438" s="283"/>
      <c r="W1438" s="283"/>
      <c r="X1438" s="283"/>
      <c r="Y1438" s="284" t="n">
        <f aca="false">SUM(B1438:X1438)</f>
        <v>-341120</v>
      </c>
      <c r="Z1438" s="285"/>
      <c r="AA1438" s="286"/>
    </row>
    <row r="1439" customFormat="false" ht="14.25" hidden="false" customHeight="false" outlineLevel="0" collapsed="false">
      <c r="A1439" s="282" t="s">
        <v>1485</v>
      </c>
      <c r="B1439" s="283"/>
      <c r="C1439" s="283"/>
      <c r="D1439" s="283"/>
      <c r="E1439" s="283"/>
      <c r="F1439" s="283" t="n">
        <v>-458918</v>
      </c>
      <c r="G1439" s="283"/>
      <c r="H1439" s="283"/>
      <c r="I1439" s="283"/>
      <c r="J1439" s="283"/>
      <c r="K1439" s="283"/>
      <c r="L1439" s="283"/>
      <c r="M1439" s="283"/>
      <c r="N1439" s="283"/>
      <c r="O1439" s="283"/>
      <c r="P1439" s="283"/>
      <c r="Q1439" s="283"/>
      <c r="R1439" s="283"/>
      <c r="S1439" s="283"/>
      <c r="T1439" s="283"/>
      <c r="U1439" s="283"/>
      <c r="V1439" s="283"/>
      <c r="W1439" s="283"/>
      <c r="X1439" s="283"/>
      <c r="Y1439" s="284" t="n">
        <f aca="false">SUM(B1439:X1439)</f>
        <v>-458918</v>
      </c>
      <c r="Z1439" s="285"/>
      <c r="AA1439" s="286"/>
    </row>
    <row r="1440" customFormat="false" ht="14.25" hidden="false" customHeight="false" outlineLevel="0" collapsed="false">
      <c r="A1440" s="282" t="s">
        <v>1486</v>
      </c>
      <c r="B1440" s="283"/>
      <c r="C1440" s="283"/>
      <c r="D1440" s="283"/>
      <c r="E1440" s="283"/>
      <c r="F1440" s="283" t="n">
        <v>-73092</v>
      </c>
      <c r="G1440" s="283"/>
      <c r="H1440" s="283"/>
      <c r="I1440" s="283"/>
      <c r="J1440" s="283"/>
      <c r="K1440" s="283"/>
      <c r="L1440" s="283"/>
      <c r="M1440" s="283"/>
      <c r="N1440" s="283"/>
      <c r="O1440" s="283"/>
      <c r="P1440" s="283"/>
      <c r="Q1440" s="283"/>
      <c r="R1440" s="283"/>
      <c r="S1440" s="283"/>
      <c r="T1440" s="283"/>
      <c r="U1440" s="283"/>
      <c r="V1440" s="283"/>
      <c r="W1440" s="283"/>
      <c r="X1440" s="283"/>
      <c r="Y1440" s="284" t="n">
        <f aca="false">SUM(B1440:X1440)</f>
        <v>-73092</v>
      </c>
      <c r="Z1440" s="285"/>
      <c r="AA1440" s="286"/>
    </row>
    <row r="1441" customFormat="false" ht="14.25" hidden="false" customHeight="false" outlineLevel="0" collapsed="false">
      <c r="A1441" s="282" t="s">
        <v>1487</v>
      </c>
      <c r="B1441" s="283"/>
      <c r="C1441" s="283"/>
      <c r="D1441" s="283"/>
      <c r="E1441" s="283" t="n">
        <v>-157548</v>
      </c>
      <c r="F1441" s="283"/>
      <c r="G1441" s="283"/>
      <c r="H1441" s="283"/>
      <c r="I1441" s="283"/>
      <c r="J1441" s="283"/>
      <c r="K1441" s="283"/>
      <c r="L1441" s="283"/>
      <c r="M1441" s="283"/>
      <c r="N1441" s="283"/>
      <c r="O1441" s="283"/>
      <c r="P1441" s="283"/>
      <c r="Q1441" s="283"/>
      <c r="R1441" s="283"/>
      <c r="S1441" s="283"/>
      <c r="T1441" s="283"/>
      <c r="U1441" s="283"/>
      <c r="V1441" s="283"/>
      <c r="W1441" s="283"/>
      <c r="X1441" s="283"/>
      <c r="Y1441" s="284" t="n">
        <f aca="false">SUM(B1441:X1441)</f>
        <v>-157548</v>
      </c>
      <c r="Z1441" s="285"/>
      <c r="AA1441" s="286"/>
    </row>
    <row r="1442" customFormat="false" ht="14.25" hidden="false" customHeight="false" outlineLevel="0" collapsed="false">
      <c r="A1442" s="282" t="s">
        <v>1488</v>
      </c>
      <c r="B1442" s="283"/>
      <c r="C1442" s="283"/>
      <c r="D1442" s="283"/>
      <c r="E1442" s="283"/>
      <c r="F1442" s="283" t="n">
        <v>-672649</v>
      </c>
      <c r="G1442" s="283"/>
      <c r="H1442" s="283"/>
      <c r="I1442" s="283"/>
      <c r="J1442" s="283"/>
      <c r="K1442" s="283"/>
      <c r="L1442" s="283"/>
      <c r="M1442" s="283"/>
      <c r="N1442" s="283"/>
      <c r="O1442" s="283"/>
      <c r="P1442" s="283"/>
      <c r="Q1442" s="283"/>
      <c r="R1442" s="283"/>
      <c r="S1442" s="283"/>
      <c r="T1442" s="283"/>
      <c r="U1442" s="283"/>
      <c r="V1442" s="283"/>
      <c r="W1442" s="283"/>
      <c r="X1442" s="283"/>
      <c r="Y1442" s="284" t="n">
        <f aca="false">SUM(B1442:X1442)</f>
        <v>-672649</v>
      </c>
      <c r="Z1442" s="285"/>
      <c r="AA1442" s="286"/>
    </row>
    <row r="1443" customFormat="false" ht="14.25" hidden="false" customHeight="false" outlineLevel="0" collapsed="false">
      <c r="A1443" s="282" t="s">
        <v>1489</v>
      </c>
      <c r="B1443" s="283"/>
      <c r="C1443" s="283"/>
      <c r="D1443" s="283"/>
      <c r="E1443" s="283"/>
      <c r="F1443" s="283" t="n">
        <v>-389495</v>
      </c>
      <c r="G1443" s="283"/>
      <c r="H1443" s="283"/>
      <c r="I1443" s="283"/>
      <c r="J1443" s="283"/>
      <c r="K1443" s="283"/>
      <c r="L1443" s="283"/>
      <c r="M1443" s="283"/>
      <c r="N1443" s="283"/>
      <c r="O1443" s="283"/>
      <c r="P1443" s="283"/>
      <c r="Q1443" s="283"/>
      <c r="R1443" s="283"/>
      <c r="S1443" s="283"/>
      <c r="T1443" s="283"/>
      <c r="U1443" s="283"/>
      <c r="V1443" s="283"/>
      <c r="W1443" s="283"/>
      <c r="X1443" s="283"/>
      <c r="Y1443" s="284" t="n">
        <f aca="false">SUM(B1443:X1443)</f>
        <v>-389495</v>
      </c>
      <c r="Z1443" s="285"/>
      <c r="AA1443" s="286"/>
    </row>
    <row r="1444" customFormat="false" ht="14.25" hidden="false" customHeight="false" outlineLevel="0" collapsed="false">
      <c r="A1444" s="282" t="s">
        <v>1490</v>
      </c>
      <c r="B1444" s="283"/>
      <c r="C1444" s="283"/>
      <c r="D1444" s="283"/>
      <c r="E1444" s="283"/>
      <c r="F1444" s="283" t="n">
        <v>-191194</v>
      </c>
      <c r="G1444" s="283"/>
      <c r="H1444" s="283"/>
      <c r="I1444" s="283"/>
      <c r="J1444" s="283"/>
      <c r="K1444" s="283"/>
      <c r="L1444" s="283"/>
      <c r="M1444" s="283"/>
      <c r="N1444" s="283"/>
      <c r="O1444" s="283"/>
      <c r="P1444" s="283"/>
      <c r="Q1444" s="283"/>
      <c r="R1444" s="283"/>
      <c r="S1444" s="283"/>
      <c r="T1444" s="283"/>
      <c r="U1444" s="283"/>
      <c r="V1444" s="283"/>
      <c r="W1444" s="283"/>
      <c r="X1444" s="283"/>
      <c r="Y1444" s="284" t="n">
        <f aca="false">SUM(B1444:X1444)</f>
        <v>-191194</v>
      </c>
      <c r="Z1444" s="285"/>
      <c r="AA1444" s="286"/>
    </row>
    <row r="1445" customFormat="false" ht="14.25" hidden="false" customHeight="false" outlineLevel="0" collapsed="false">
      <c r="A1445" s="282" t="s">
        <v>1491</v>
      </c>
      <c r="B1445" s="283" t="n">
        <v>-137139</v>
      </c>
      <c r="C1445" s="283"/>
      <c r="D1445" s="283"/>
      <c r="E1445" s="283"/>
      <c r="F1445" s="283"/>
      <c r="G1445" s="283"/>
      <c r="H1445" s="283"/>
      <c r="I1445" s="283"/>
      <c r="J1445" s="283"/>
      <c r="K1445" s="283"/>
      <c r="L1445" s="283"/>
      <c r="M1445" s="283"/>
      <c r="N1445" s="283"/>
      <c r="O1445" s="283"/>
      <c r="P1445" s="283"/>
      <c r="Q1445" s="283"/>
      <c r="R1445" s="283"/>
      <c r="S1445" s="283"/>
      <c r="T1445" s="283"/>
      <c r="U1445" s="283"/>
      <c r="V1445" s="283"/>
      <c r="W1445" s="283"/>
      <c r="X1445" s="283"/>
      <c r="Y1445" s="284" t="n">
        <f aca="false">SUM(B1445:X1445)</f>
        <v>-137139</v>
      </c>
      <c r="Z1445" s="285"/>
      <c r="AA1445" s="286"/>
    </row>
    <row r="1446" customFormat="false" ht="14.25" hidden="false" customHeight="false" outlineLevel="0" collapsed="false">
      <c r="A1446" s="282" t="s">
        <v>1492</v>
      </c>
      <c r="B1446" s="283"/>
      <c r="C1446" s="283"/>
      <c r="D1446" s="283"/>
      <c r="E1446" s="283"/>
      <c r="F1446" s="283"/>
      <c r="G1446" s="283"/>
      <c r="H1446" s="283"/>
      <c r="I1446" s="283"/>
      <c r="J1446" s="283" t="n">
        <v>-438834</v>
      </c>
      <c r="K1446" s="283"/>
      <c r="L1446" s="283"/>
      <c r="M1446" s="283"/>
      <c r="N1446" s="283"/>
      <c r="O1446" s="283"/>
      <c r="P1446" s="283"/>
      <c r="Q1446" s="283"/>
      <c r="R1446" s="283"/>
      <c r="S1446" s="283"/>
      <c r="T1446" s="283"/>
      <c r="U1446" s="283"/>
      <c r="V1446" s="283"/>
      <c r="W1446" s="283"/>
      <c r="X1446" s="283"/>
      <c r="Y1446" s="284" t="n">
        <f aca="false">SUM(B1446:X1446)</f>
        <v>-438834</v>
      </c>
      <c r="Z1446" s="285"/>
      <c r="AA1446" s="286"/>
    </row>
    <row r="1447" customFormat="false" ht="14.25" hidden="false" customHeight="false" outlineLevel="0" collapsed="false">
      <c r="A1447" s="282" t="s">
        <v>1493</v>
      </c>
      <c r="B1447" s="283" t="n">
        <v>-42813</v>
      </c>
      <c r="C1447" s="283"/>
      <c r="D1447" s="283"/>
      <c r="E1447" s="283"/>
      <c r="F1447" s="283"/>
      <c r="G1447" s="283"/>
      <c r="H1447" s="283"/>
      <c r="I1447" s="283"/>
      <c r="J1447" s="283"/>
      <c r="K1447" s="283"/>
      <c r="L1447" s="283"/>
      <c r="M1447" s="283"/>
      <c r="N1447" s="283"/>
      <c r="O1447" s="283"/>
      <c r="P1447" s="283"/>
      <c r="Q1447" s="283"/>
      <c r="R1447" s="283"/>
      <c r="S1447" s="283"/>
      <c r="T1447" s="283"/>
      <c r="U1447" s="283"/>
      <c r="V1447" s="283"/>
      <c r="W1447" s="283"/>
      <c r="X1447" s="283"/>
      <c r="Y1447" s="284" t="n">
        <f aca="false">SUM(B1447:X1447)</f>
        <v>-42813</v>
      </c>
      <c r="Z1447" s="285"/>
      <c r="AA1447" s="286"/>
    </row>
    <row r="1448" customFormat="false" ht="14.25" hidden="false" customHeight="false" outlineLevel="0" collapsed="false">
      <c r="A1448" s="282" t="s">
        <v>1494</v>
      </c>
      <c r="B1448" s="283"/>
      <c r="C1448" s="283"/>
      <c r="D1448" s="283"/>
      <c r="E1448" s="283"/>
      <c r="F1448" s="283" t="n">
        <v>-64427</v>
      </c>
      <c r="G1448" s="283"/>
      <c r="H1448" s="283"/>
      <c r="I1448" s="283"/>
      <c r="J1448" s="283"/>
      <c r="K1448" s="283"/>
      <c r="L1448" s="283"/>
      <c r="M1448" s="283"/>
      <c r="N1448" s="283"/>
      <c r="O1448" s="283"/>
      <c r="P1448" s="283"/>
      <c r="Q1448" s="283"/>
      <c r="R1448" s="283"/>
      <c r="S1448" s="283"/>
      <c r="T1448" s="283"/>
      <c r="U1448" s="283"/>
      <c r="V1448" s="283"/>
      <c r="W1448" s="283"/>
      <c r="X1448" s="283"/>
      <c r="Y1448" s="284" t="n">
        <f aca="false">SUM(B1448:X1448)</f>
        <v>-64427</v>
      </c>
      <c r="Z1448" s="285"/>
      <c r="AA1448" s="286"/>
    </row>
    <row r="1449" customFormat="false" ht="14.25" hidden="false" customHeight="false" outlineLevel="0" collapsed="false">
      <c r="A1449" s="282" t="s">
        <v>1495</v>
      </c>
      <c r="B1449" s="283"/>
      <c r="C1449" s="283" t="n">
        <v>-166155.4869</v>
      </c>
      <c r="D1449" s="283"/>
      <c r="E1449" s="283"/>
      <c r="F1449" s="283"/>
      <c r="G1449" s="283"/>
      <c r="H1449" s="283"/>
      <c r="I1449" s="283"/>
      <c r="J1449" s="283"/>
      <c r="K1449" s="283"/>
      <c r="L1449" s="283"/>
      <c r="M1449" s="283"/>
      <c r="N1449" s="283"/>
      <c r="O1449" s="283"/>
      <c r="P1449" s="283"/>
      <c r="Q1449" s="283"/>
      <c r="R1449" s="283"/>
      <c r="S1449" s="283"/>
      <c r="T1449" s="283"/>
      <c r="U1449" s="283"/>
      <c r="V1449" s="283"/>
      <c r="W1449" s="283"/>
      <c r="X1449" s="283"/>
      <c r="Y1449" s="284" t="n">
        <f aca="false">SUM(B1449:X1449)</f>
        <v>-166155.4869</v>
      </c>
      <c r="Z1449" s="285"/>
      <c r="AA1449" s="286"/>
    </row>
    <row r="1450" customFormat="false" ht="14.25" hidden="false" customHeight="false" outlineLevel="0" collapsed="false">
      <c r="A1450" s="282" t="s">
        <v>1496</v>
      </c>
      <c r="B1450" s="283"/>
      <c r="C1450" s="283" t="n">
        <v>-267272.856</v>
      </c>
      <c r="D1450" s="283"/>
      <c r="E1450" s="283"/>
      <c r="F1450" s="283"/>
      <c r="G1450" s="283"/>
      <c r="H1450" s="283"/>
      <c r="I1450" s="283"/>
      <c r="J1450" s="283"/>
      <c r="K1450" s="283"/>
      <c r="L1450" s="283"/>
      <c r="M1450" s="283"/>
      <c r="N1450" s="283"/>
      <c r="O1450" s="283"/>
      <c r="P1450" s="283"/>
      <c r="Q1450" s="283"/>
      <c r="R1450" s="283"/>
      <c r="S1450" s="283"/>
      <c r="T1450" s="283"/>
      <c r="U1450" s="283"/>
      <c r="V1450" s="283"/>
      <c r="W1450" s="283"/>
      <c r="X1450" s="283"/>
      <c r="Y1450" s="284" t="n">
        <f aca="false">SUM(B1450:X1450)</f>
        <v>-267272.856</v>
      </c>
      <c r="Z1450" s="285"/>
      <c r="AA1450" s="286"/>
    </row>
    <row r="1451" customFormat="false" ht="14.25" hidden="false" customHeight="false" outlineLevel="0" collapsed="false">
      <c r="A1451" s="282" t="s">
        <v>1497</v>
      </c>
      <c r="B1451" s="283"/>
      <c r="C1451" s="283" t="n">
        <v>-184600.8679</v>
      </c>
      <c r="D1451" s="283"/>
      <c r="E1451" s="283"/>
      <c r="F1451" s="283"/>
      <c r="G1451" s="283"/>
      <c r="H1451" s="283"/>
      <c r="I1451" s="283"/>
      <c r="J1451" s="283"/>
      <c r="K1451" s="283"/>
      <c r="L1451" s="283"/>
      <c r="M1451" s="283"/>
      <c r="N1451" s="283"/>
      <c r="O1451" s="283"/>
      <c r="P1451" s="283"/>
      <c r="Q1451" s="283"/>
      <c r="R1451" s="283"/>
      <c r="S1451" s="283"/>
      <c r="T1451" s="283"/>
      <c r="U1451" s="283"/>
      <c r="V1451" s="283"/>
      <c r="W1451" s="283"/>
      <c r="X1451" s="283"/>
      <c r="Y1451" s="284" t="n">
        <f aca="false">SUM(B1451:X1451)</f>
        <v>-184600.8679</v>
      </c>
      <c r="Z1451" s="285"/>
      <c r="AA1451" s="286"/>
    </row>
    <row r="1452" customFormat="false" ht="14.25" hidden="false" customHeight="false" outlineLevel="0" collapsed="false">
      <c r="A1452" s="282" t="s">
        <v>1498</v>
      </c>
      <c r="B1452" s="283"/>
      <c r="C1452" s="283" t="n">
        <v>-140124.524</v>
      </c>
      <c r="D1452" s="283"/>
      <c r="E1452" s="283"/>
      <c r="F1452" s="283"/>
      <c r="G1452" s="283"/>
      <c r="H1452" s="283"/>
      <c r="I1452" s="283"/>
      <c r="J1452" s="283"/>
      <c r="K1452" s="283"/>
      <c r="L1452" s="283"/>
      <c r="M1452" s="283"/>
      <c r="N1452" s="283"/>
      <c r="O1452" s="283"/>
      <c r="P1452" s="283"/>
      <c r="Q1452" s="283"/>
      <c r="R1452" s="283"/>
      <c r="S1452" s="283"/>
      <c r="T1452" s="283"/>
      <c r="U1452" s="283"/>
      <c r="V1452" s="283"/>
      <c r="W1452" s="283"/>
      <c r="X1452" s="283"/>
      <c r="Y1452" s="284" t="n">
        <f aca="false">SUM(B1452:X1452)</f>
        <v>-140124.524</v>
      </c>
      <c r="Z1452" s="285"/>
      <c r="AA1452" s="286"/>
    </row>
    <row r="1453" customFormat="false" ht="14.25" hidden="false" customHeight="false" outlineLevel="0" collapsed="false">
      <c r="A1453" s="282" t="s">
        <v>1499</v>
      </c>
      <c r="B1453" s="283" t="n">
        <v>-96200</v>
      </c>
      <c r="C1453" s="283"/>
      <c r="D1453" s="283"/>
      <c r="E1453" s="283"/>
      <c r="F1453" s="283"/>
      <c r="G1453" s="283"/>
      <c r="H1453" s="283"/>
      <c r="I1453" s="283"/>
      <c r="J1453" s="283"/>
      <c r="K1453" s="283"/>
      <c r="L1453" s="283"/>
      <c r="M1453" s="283"/>
      <c r="N1453" s="283"/>
      <c r="O1453" s="283"/>
      <c r="P1453" s="283"/>
      <c r="Q1453" s="283"/>
      <c r="R1453" s="283"/>
      <c r="S1453" s="283"/>
      <c r="T1453" s="283"/>
      <c r="U1453" s="283"/>
      <c r="V1453" s="283"/>
      <c r="W1453" s="283"/>
      <c r="X1453" s="283"/>
      <c r="Y1453" s="284" t="n">
        <f aca="false">SUM(B1453:X1453)</f>
        <v>-96200</v>
      </c>
      <c r="Z1453" s="285"/>
      <c r="AA1453" s="286"/>
    </row>
    <row r="1454" customFormat="false" ht="14.25" hidden="false" customHeight="false" outlineLevel="0" collapsed="false">
      <c r="A1454" s="282" t="s">
        <v>1500</v>
      </c>
      <c r="B1454" s="283"/>
      <c r="C1454" s="283"/>
      <c r="D1454" s="283"/>
      <c r="E1454" s="283"/>
      <c r="F1454" s="283" t="n">
        <v>-227278</v>
      </c>
      <c r="G1454" s="283"/>
      <c r="H1454" s="283"/>
      <c r="I1454" s="283"/>
      <c r="J1454" s="283"/>
      <c r="K1454" s="283"/>
      <c r="L1454" s="283"/>
      <c r="M1454" s="283"/>
      <c r="N1454" s="283"/>
      <c r="O1454" s="283"/>
      <c r="P1454" s="283"/>
      <c r="Q1454" s="283"/>
      <c r="R1454" s="283"/>
      <c r="S1454" s="283"/>
      <c r="T1454" s="283"/>
      <c r="U1454" s="283"/>
      <c r="V1454" s="283"/>
      <c r="W1454" s="283"/>
      <c r="X1454" s="283"/>
      <c r="Y1454" s="284" t="n">
        <f aca="false">SUM(B1454:X1454)</f>
        <v>-227278</v>
      </c>
      <c r="Z1454" s="285"/>
      <c r="AA1454" s="286"/>
    </row>
    <row r="1455" customFormat="false" ht="14.25" hidden="false" customHeight="false" outlineLevel="0" collapsed="false">
      <c r="A1455" s="282" t="s">
        <v>1501</v>
      </c>
      <c r="B1455" s="283"/>
      <c r="C1455" s="283"/>
      <c r="D1455" s="283"/>
      <c r="E1455" s="283"/>
      <c r="F1455" s="283" t="n">
        <v>-185497</v>
      </c>
      <c r="G1455" s="283"/>
      <c r="H1455" s="283"/>
      <c r="I1455" s="283"/>
      <c r="J1455" s="283"/>
      <c r="K1455" s="283"/>
      <c r="L1455" s="283"/>
      <c r="M1455" s="283"/>
      <c r="N1455" s="283"/>
      <c r="O1455" s="283"/>
      <c r="P1455" s="283"/>
      <c r="Q1455" s="283"/>
      <c r="R1455" s="283"/>
      <c r="S1455" s="283"/>
      <c r="T1455" s="283"/>
      <c r="U1455" s="283"/>
      <c r="V1455" s="283"/>
      <c r="W1455" s="283"/>
      <c r="X1455" s="283"/>
      <c r="Y1455" s="284" t="n">
        <f aca="false">SUM(B1455:X1455)</f>
        <v>-185497</v>
      </c>
      <c r="Z1455" s="285"/>
      <c r="AA1455" s="286"/>
    </row>
    <row r="1456" customFormat="false" ht="14.25" hidden="false" customHeight="false" outlineLevel="0" collapsed="false">
      <c r="A1456" s="282" t="s">
        <v>1502</v>
      </c>
      <c r="B1456" s="283"/>
      <c r="C1456" s="283"/>
      <c r="D1456" s="283"/>
      <c r="E1456" s="283" t="n">
        <v>-28945</v>
      </c>
      <c r="F1456" s="283"/>
      <c r="G1456" s="283"/>
      <c r="H1456" s="283"/>
      <c r="I1456" s="283"/>
      <c r="J1456" s="283"/>
      <c r="K1456" s="283"/>
      <c r="L1456" s="283"/>
      <c r="M1456" s="283"/>
      <c r="N1456" s="283"/>
      <c r="O1456" s="283"/>
      <c r="P1456" s="283"/>
      <c r="Q1456" s="283"/>
      <c r="R1456" s="283"/>
      <c r="S1456" s="283"/>
      <c r="T1456" s="283"/>
      <c r="U1456" s="283"/>
      <c r="V1456" s="283"/>
      <c r="W1456" s="283"/>
      <c r="X1456" s="283"/>
      <c r="Y1456" s="284" t="n">
        <f aca="false">SUM(B1456:X1456)</f>
        <v>-28945</v>
      </c>
      <c r="Z1456" s="285"/>
      <c r="AA1456" s="286"/>
    </row>
    <row r="1457" customFormat="false" ht="14.25" hidden="false" customHeight="false" outlineLevel="0" collapsed="false">
      <c r="A1457" s="282" t="s">
        <v>1503</v>
      </c>
      <c r="B1457" s="283"/>
      <c r="C1457" s="283"/>
      <c r="D1457" s="283"/>
      <c r="E1457" s="283"/>
      <c r="F1457" s="283" t="n">
        <v>3589304</v>
      </c>
      <c r="G1457" s="283"/>
      <c r="H1457" s="283"/>
      <c r="I1457" s="283"/>
      <c r="J1457" s="283"/>
      <c r="K1457" s="283"/>
      <c r="L1457" s="283"/>
      <c r="M1457" s="283"/>
      <c r="N1457" s="283"/>
      <c r="O1457" s="283"/>
      <c r="P1457" s="283"/>
      <c r="Q1457" s="283"/>
      <c r="R1457" s="283"/>
      <c r="S1457" s="283"/>
      <c r="T1457" s="283"/>
      <c r="U1457" s="283"/>
      <c r="V1457" s="283"/>
      <c r="W1457" s="283"/>
      <c r="X1457" s="283"/>
      <c r="Y1457" s="284" t="n">
        <f aca="false">SUM(B1457:X1457)</f>
        <v>3589304</v>
      </c>
      <c r="Z1457" s="285"/>
      <c r="AA1457" s="286"/>
    </row>
    <row r="1458" customFormat="false" ht="14.25" hidden="false" customHeight="false" outlineLevel="0" collapsed="false">
      <c r="A1458" s="282" t="s">
        <v>1504</v>
      </c>
      <c r="B1458" s="283"/>
      <c r="C1458" s="283"/>
      <c r="D1458" s="283"/>
      <c r="E1458" s="283"/>
      <c r="F1458" s="283"/>
      <c r="G1458" s="283"/>
      <c r="H1458" s="283"/>
      <c r="I1458" s="283"/>
      <c r="J1458" s="283" t="n">
        <v>-178032</v>
      </c>
      <c r="K1458" s="283"/>
      <c r="L1458" s="283"/>
      <c r="M1458" s="283"/>
      <c r="N1458" s="283"/>
      <c r="O1458" s="283"/>
      <c r="P1458" s="283"/>
      <c r="Q1458" s="283"/>
      <c r="R1458" s="283"/>
      <c r="S1458" s="283"/>
      <c r="T1458" s="283"/>
      <c r="U1458" s="283"/>
      <c r="V1458" s="283"/>
      <c r="W1458" s="283"/>
      <c r="X1458" s="283"/>
      <c r="Y1458" s="284" t="n">
        <f aca="false">SUM(B1458:X1458)</f>
        <v>-178032</v>
      </c>
      <c r="Z1458" s="285"/>
      <c r="AA1458" s="286"/>
    </row>
    <row r="1459" customFormat="false" ht="14.25" hidden="false" customHeight="false" outlineLevel="0" collapsed="false">
      <c r="A1459" s="282" t="s">
        <v>1505</v>
      </c>
      <c r="B1459" s="283"/>
      <c r="C1459" s="283"/>
      <c r="D1459" s="283"/>
      <c r="E1459" s="283"/>
      <c r="F1459" s="283"/>
      <c r="G1459" s="283"/>
      <c r="H1459" s="283"/>
      <c r="I1459" s="283"/>
      <c r="J1459" s="283" t="n">
        <v>-58400</v>
      </c>
      <c r="K1459" s="283"/>
      <c r="L1459" s="283"/>
      <c r="M1459" s="283"/>
      <c r="N1459" s="283"/>
      <c r="O1459" s="283"/>
      <c r="P1459" s="283"/>
      <c r="Q1459" s="283"/>
      <c r="R1459" s="283"/>
      <c r="S1459" s="283"/>
      <c r="T1459" s="283"/>
      <c r="U1459" s="283"/>
      <c r="V1459" s="283"/>
      <c r="W1459" s="283"/>
      <c r="X1459" s="283"/>
      <c r="Y1459" s="284" t="n">
        <f aca="false">SUM(B1459:X1459)</f>
        <v>-58400</v>
      </c>
      <c r="Z1459" s="285"/>
      <c r="AA1459" s="286"/>
    </row>
    <row r="1460" customFormat="false" ht="14.25" hidden="false" customHeight="false" outlineLevel="0" collapsed="false">
      <c r="A1460" s="282" t="s">
        <v>1506</v>
      </c>
      <c r="B1460" s="283"/>
      <c r="C1460" s="283"/>
      <c r="D1460" s="283"/>
      <c r="E1460" s="283"/>
      <c r="F1460" s="283" t="n">
        <v>-72214</v>
      </c>
      <c r="G1460" s="283"/>
      <c r="H1460" s="283"/>
      <c r="I1460" s="283"/>
      <c r="J1460" s="283"/>
      <c r="K1460" s="283"/>
      <c r="L1460" s="283"/>
      <c r="M1460" s="283"/>
      <c r="N1460" s="283"/>
      <c r="O1460" s="283"/>
      <c r="P1460" s="283"/>
      <c r="Q1460" s="283"/>
      <c r="R1460" s="283"/>
      <c r="S1460" s="283"/>
      <c r="T1460" s="283"/>
      <c r="U1460" s="283"/>
      <c r="V1460" s="283"/>
      <c r="W1460" s="283"/>
      <c r="X1460" s="283"/>
      <c r="Y1460" s="284" t="n">
        <f aca="false">SUM(B1460:X1460)</f>
        <v>-72214</v>
      </c>
      <c r="Z1460" s="285"/>
      <c r="AA1460" s="286"/>
    </row>
    <row r="1461" customFormat="false" ht="14.25" hidden="false" customHeight="false" outlineLevel="0" collapsed="false">
      <c r="A1461" s="282" t="s">
        <v>1507</v>
      </c>
      <c r="B1461" s="283"/>
      <c r="C1461" s="283"/>
      <c r="D1461" s="283"/>
      <c r="E1461" s="283"/>
      <c r="F1461" s="283" t="n">
        <v>-77533</v>
      </c>
      <c r="G1461" s="283"/>
      <c r="H1461" s="283"/>
      <c r="I1461" s="283"/>
      <c r="J1461" s="283"/>
      <c r="K1461" s="283"/>
      <c r="L1461" s="283"/>
      <c r="M1461" s="283"/>
      <c r="N1461" s="283"/>
      <c r="O1461" s="283"/>
      <c r="P1461" s="283"/>
      <c r="Q1461" s="283"/>
      <c r="R1461" s="283"/>
      <c r="S1461" s="283"/>
      <c r="T1461" s="283"/>
      <c r="U1461" s="283"/>
      <c r="V1461" s="283"/>
      <c r="W1461" s="283"/>
      <c r="X1461" s="283"/>
      <c r="Y1461" s="284" t="n">
        <f aca="false">SUM(B1461:X1461)</f>
        <v>-77533</v>
      </c>
      <c r="Z1461" s="285"/>
      <c r="AA1461" s="286"/>
    </row>
    <row r="1462" customFormat="false" ht="14.25" hidden="false" customHeight="false" outlineLevel="0" collapsed="false">
      <c r="A1462" s="282" t="s">
        <v>1508</v>
      </c>
      <c r="B1462" s="283"/>
      <c r="C1462" s="283"/>
      <c r="D1462" s="283"/>
      <c r="E1462" s="283"/>
      <c r="F1462" s="283" t="n">
        <v>-199492</v>
      </c>
      <c r="G1462" s="283"/>
      <c r="H1462" s="283"/>
      <c r="I1462" s="283"/>
      <c r="J1462" s="283"/>
      <c r="K1462" s="283"/>
      <c r="L1462" s="283"/>
      <c r="M1462" s="283"/>
      <c r="N1462" s="283"/>
      <c r="O1462" s="283"/>
      <c r="P1462" s="283"/>
      <c r="Q1462" s="283"/>
      <c r="R1462" s="283"/>
      <c r="S1462" s="283"/>
      <c r="T1462" s="283"/>
      <c r="U1462" s="283"/>
      <c r="V1462" s="283"/>
      <c r="W1462" s="283"/>
      <c r="X1462" s="283"/>
      <c r="Y1462" s="284" t="n">
        <f aca="false">SUM(B1462:X1462)</f>
        <v>-199492</v>
      </c>
      <c r="Z1462" s="285"/>
      <c r="AA1462" s="286"/>
    </row>
    <row r="1463" customFormat="false" ht="14.25" hidden="false" customHeight="false" outlineLevel="0" collapsed="false">
      <c r="A1463" s="282" t="s">
        <v>1509</v>
      </c>
      <c r="B1463" s="283"/>
      <c r="C1463" s="283" t="n">
        <v>2069</v>
      </c>
      <c r="D1463" s="283"/>
      <c r="E1463" s="283"/>
      <c r="F1463" s="283"/>
      <c r="G1463" s="283"/>
      <c r="H1463" s="283"/>
      <c r="I1463" s="283"/>
      <c r="J1463" s="283"/>
      <c r="K1463" s="283"/>
      <c r="L1463" s="283"/>
      <c r="M1463" s="283"/>
      <c r="N1463" s="283"/>
      <c r="O1463" s="283"/>
      <c r="P1463" s="283"/>
      <c r="Q1463" s="283"/>
      <c r="R1463" s="283"/>
      <c r="S1463" s="283"/>
      <c r="T1463" s="283"/>
      <c r="U1463" s="283"/>
      <c r="V1463" s="283"/>
      <c r="W1463" s="283"/>
      <c r="X1463" s="283"/>
      <c r="Y1463" s="284" t="n">
        <f aca="false">SUM(B1463:X1463)</f>
        <v>2069</v>
      </c>
      <c r="Z1463" s="285"/>
      <c r="AA1463" s="286"/>
    </row>
    <row r="1464" customFormat="false" ht="14.25" hidden="false" customHeight="false" outlineLevel="0" collapsed="false">
      <c r="A1464" s="282" t="s">
        <v>1510</v>
      </c>
      <c r="B1464" s="283"/>
      <c r="C1464" s="283" t="n">
        <v>759360</v>
      </c>
      <c r="D1464" s="283"/>
      <c r="E1464" s="283"/>
      <c r="F1464" s="283"/>
      <c r="G1464" s="283"/>
      <c r="H1464" s="283"/>
      <c r="I1464" s="283"/>
      <c r="J1464" s="283"/>
      <c r="K1464" s="283"/>
      <c r="L1464" s="283"/>
      <c r="M1464" s="283"/>
      <c r="N1464" s="283"/>
      <c r="O1464" s="283"/>
      <c r="P1464" s="283"/>
      <c r="Q1464" s="283"/>
      <c r="R1464" s="283"/>
      <c r="S1464" s="283"/>
      <c r="T1464" s="283"/>
      <c r="U1464" s="283"/>
      <c r="V1464" s="283"/>
      <c r="W1464" s="283"/>
      <c r="X1464" s="283"/>
      <c r="Y1464" s="284" t="n">
        <f aca="false">SUM(B1464:X1464)</f>
        <v>759360</v>
      </c>
      <c r="Z1464" s="285"/>
      <c r="AA1464" s="286"/>
    </row>
    <row r="1465" customFormat="false" ht="14.25" hidden="false" customHeight="false" outlineLevel="0" collapsed="false">
      <c r="A1465" s="282" t="s">
        <v>1511</v>
      </c>
      <c r="B1465" s="283"/>
      <c r="C1465" s="283" t="n">
        <v>-14829</v>
      </c>
      <c r="D1465" s="283"/>
      <c r="E1465" s="283"/>
      <c r="F1465" s="283"/>
      <c r="G1465" s="283"/>
      <c r="H1465" s="283"/>
      <c r="I1465" s="283"/>
      <c r="J1465" s="283"/>
      <c r="K1465" s="283"/>
      <c r="L1465" s="283"/>
      <c r="M1465" s="283"/>
      <c r="N1465" s="283"/>
      <c r="O1465" s="283"/>
      <c r="P1465" s="283"/>
      <c r="Q1465" s="283"/>
      <c r="R1465" s="283"/>
      <c r="S1465" s="283"/>
      <c r="T1465" s="283"/>
      <c r="U1465" s="283"/>
      <c r="V1465" s="283"/>
      <c r="W1465" s="283"/>
      <c r="X1465" s="283"/>
      <c r="Y1465" s="284" t="n">
        <f aca="false">SUM(B1465:X1465)</f>
        <v>-14829</v>
      </c>
      <c r="Z1465" s="285"/>
      <c r="AA1465" s="286"/>
    </row>
    <row r="1466" customFormat="false" ht="14.25" hidden="false" customHeight="false" outlineLevel="0" collapsed="false">
      <c r="A1466" s="282" t="s">
        <v>1512</v>
      </c>
      <c r="B1466" s="283"/>
      <c r="C1466" s="283" t="n">
        <v>-5877</v>
      </c>
      <c r="D1466" s="283"/>
      <c r="E1466" s="283"/>
      <c r="F1466" s="283"/>
      <c r="G1466" s="283"/>
      <c r="H1466" s="283"/>
      <c r="I1466" s="283"/>
      <c r="J1466" s="283"/>
      <c r="K1466" s="283"/>
      <c r="L1466" s="283"/>
      <c r="M1466" s="283"/>
      <c r="N1466" s="283"/>
      <c r="O1466" s="283"/>
      <c r="P1466" s="283"/>
      <c r="Q1466" s="283"/>
      <c r="R1466" s="283"/>
      <c r="S1466" s="283"/>
      <c r="T1466" s="283"/>
      <c r="U1466" s="283"/>
      <c r="V1466" s="283"/>
      <c r="W1466" s="283"/>
      <c r="X1466" s="283"/>
      <c r="Y1466" s="284" t="n">
        <f aca="false">SUM(B1466:X1466)</f>
        <v>-5877</v>
      </c>
      <c r="Z1466" s="285"/>
      <c r="AA1466" s="286"/>
    </row>
    <row r="1467" customFormat="false" ht="14.25" hidden="false" customHeight="false" outlineLevel="0" collapsed="false">
      <c r="A1467" s="282" t="s">
        <v>1513</v>
      </c>
      <c r="B1467" s="283" t="n">
        <v>203386.6</v>
      </c>
      <c r="C1467" s="283"/>
      <c r="D1467" s="283"/>
      <c r="E1467" s="283"/>
      <c r="F1467" s="283"/>
      <c r="G1467" s="283"/>
      <c r="H1467" s="283"/>
      <c r="I1467" s="283"/>
      <c r="J1467" s="283"/>
      <c r="K1467" s="283"/>
      <c r="L1467" s="283"/>
      <c r="M1467" s="283"/>
      <c r="N1467" s="283"/>
      <c r="O1467" s="283"/>
      <c r="P1467" s="283"/>
      <c r="Q1467" s="283"/>
      <c r="R1467" s="283"/>
      <c r="S1467" s="283"/>
      <c r="T1467" s="283"/>
      <c r="U1467" s="283"/>
      <c r="V1467" s="283"/>
      <c r="W1467" s="283"/>
      <c r="X1467" s="283"/>
      <c r="Y1467" s="284" t="n">
        <f aca="false">SUM(B1467:X1467)</f>
        <v>203386.6</v>
      </c>
      <c r="Z1467" s="285"/>
      <c r="AA1467" s="286"/>
    </row>
    <row r="1468" customFormat="false" ht="14.25" hidden="false" customHeight="false" outlineLevel="0" collapsed="false">
      <c r="A1468" s="282" t="s">
        <v>1514</v>
      </c>
      <c r="B1468" s="283"/>
      <c r="C1468" s="283"/>
      <c r="D1468" s="283"/>
      <c r="E1468" s="283" t="n">
        <v>40802.5</v>
      </c>
      <c r="F1468" s="283"/>
      <c r="G1468" s="283"/>
      <c r="H1468" s="283"/>
      <c r="I1468" s="283"/>
      <c r="J1468" s="283"/>
      <c r="K1468" s="283"/>
      <c r="L1468" s="283"/>
      <c r="M1468" s="283"/>
      <c r="N1468" s="283"/>
      <c r="O1468" s="283"/>
      <c r="P1468" s="283"/>
      <c r="Q1468" s="283"/>
      <c r="R1468" s="283"/>
      <c r="S1468" s="283"/>
      <c r="T1468" s="283"/>
      <c r="U1468" s="283"/>
      <c r="V1468" s="283"/>
      <c r="W1468" s="283"/>
      <c r="X1468" s="283"/>
      <c r="Y1468" s="284"/>
      <c r="Z1468" s="285"/>
      <c r="AA1468" s="286"/>
    </row>
    <row r="1469" customFormat="false" ht="14.25" hidden="false" customHeight="false" outlineLevel="0" collapsed="false">
      <c r="A1469" s="282" t="s">
        <v>1515</v>
      </c>
      <c r="B1469" s="283"/>
      <c r="C1469" s="283"/>
      <c r="D1469" s="283"/>
      <c r="E1469" s="283"/>
      <c r="F1469" s="283"/>
      <c r="G1469" s="283" t="n">
        <v>764153.2</v>
      </c>
      <c r="H1469" s="283"/>
      <c r="I1469" s="283"/>
      <c r="J1469" s="283"/>
      <c r="K1469" s="283"/>
      <c r="L1469" s="283"/>
      <c r="M1469" s="283"/>
      <c r="N1469" s="283"/>
      <c r="O1469" s="283"/>
      <c r="P1469" s="283"/>
      <c r="Q1469" s="283"/>
      <c r="R1469" s="283"/>
      <c r="S1469" s="283"/>
      <c r="T1469" s="283"/>
      <c r="U1469" s="283"/>
      <c r="V1469" s="283"/>
      <c r="W1469" s="283"/>
      <c r="X1469" s="283"/>
      <c r="Y1469" s="284"/>
      <c r="Z1469" s="285"/>
      <c r="AA1469" s="286"/>
    </row>
    <row r="1470" customFormat="false" ht="14.25" hidden="false" customHeight="false" outlineLevel="0" collapsed="false">
      <c r="A1470" s="282"/>
      <c r="B1470" s="283"/>
      <c r="C1470" s="283"/>
      <c r="D1470" s="283"/>
      <c r="E1470" s="283"/>
      <c r="F1470" s="283"/>
      <c r="G1470" s="283"/>
      <c r="H1470" s="283"/>
      <c r="I1470" s="283"/>
      <c r="J1470" s="283"/>
      <c r="K1470" s="283"/>
      <c r="L1470" s="283"/>
      <c r="M1470" s="283"/>
      <c r="N1470" s="283"/>
      <c r="O1470" s="283"/>
      <c r="P1470" s="283"/>
      <c r="Q1470" s="283"/>
      <c r="R1470" s="283"/>
      <c r="S1470" s="283"/>
      <c r="T1470" s="283"/>
      <c r="U1470" s="283"/>
      <c r="V1470" s="283"/>
      <c r="W1470" s="283"/>
      <c r="X1470" s="283"/>
      <c r="Y1470" s="284" t="n">
        <f aca="false">SUM(B1470:X1470)</f>
        <v>0</v>
      </c>
      <c r="Z1470" s="285"/>
      <c r="AA1470" s="287" t="n">
        <f aca="false">SUM(Y1330:Y1470)</f>
        <v>-14643684.0885</v>
      </c>
      <c r="AB1470" s="288"/>
    </row>
    <row r="1471" customFormat="false" ht="14.25" hidden="false" customHeight="false" outlineLevel="0" collapsed="false">
      <c r="A1471" s="289" t="s">
        <v>1516</v>
      </c>
      <c r="B1471" s="290" t="n">
        <v>62105.9508</v>
      </c>
      <c r="C1471" s="290"/>
      <c r="D1471" s="290"/>
      <c r="E1471" s="290"/>
      <c r="F1471" s="290"/>
      <c r="G1471" s="290"/>
      <c r="H1471" s="290"/>
      <c r="I1471" s="290"/>
      <c r="J1471" s="290"/>
      <c r="K1471" s="290"/>
      <c r="L1471" s="290"/>
      <c r="M1471" s="290"/>
      <c r="N1471" s="290"/>
      <c r="O1471" s="290"/>
      <c r="P1471" s="290"/>
      <c r="Q1471" s="290"/>
      <c r="R1471" s="290"/>
      <c r="S1471" s="290"/>
      <c r="T1471" s="290"/>
      <c r="U1471" s="290"/>
      <c r="V1471" s="290"/>
      <c r="W1471" s="290"/>
      <c r="X1471" s="290"/>
      <c r="Y1471" s="291" t="n">
        <f aca="false">SUM(B1471:X1471)</f>
        <v>62105.9508</v>
      </c>
      <c r="Z1471" s="292"/>
      <c r="AA1471" s="293"/>
      <c r="AB1471" s="288"/>
    </row>
    <row r="1472" customFormat="false" ht="14.25" hidden="false" customHeight="false" outlineLevel="0" collapsed="false">
      <c r="A1472" s="289" t="s">
        <v>1517</v>
      </c>
      <c r="B1472" s="290"/>
      <c r="C1472" s="290"/>
      <c r="D1472" s="290"/>
      <c r="E1472" s="290" t="n">
        <v>65030.2</v>
      </c>
      <c r="F1472" s="290"/>
      <c r="G1472" s="290"/>
      <c r="H1472" s="290"/>
      <c r="I1472" s="290"/>
      <c r="J1472" s="290"/>
      <c r="K1472" s="290"/>
      <c r="L1472" s="290"/>
      <c r="M1472" s="290"/>
      <c r="N1472" s="290"/>
      <c r="O1472" s="290"/>
      <c r="P1472" s="290"/>
      <c r="Q1472" s="290"/>
      <c r="R1472" s="290"/>
      <c r="S1472" s="290"/>
      <c r="T1472" s="290"/>
      <c r="U1472" s="290"/>
      <c r="V1472" s="290"/>
      <c r="W1472" s="290"/>
      <c r="X1472" s="290"/>
      <c r="Y1472" s="291" t="n">
        <f aca="false">SUM(B1472:X1472)</f>
        <v>65030.2</v>
      </c>
      <c r="Z1472" s="292"/>
      <c r="AA1472" s="293"/>
      <c r="AB1472" s="288"/>
    </row>
    <row r="1473" customFormat="false" ht="14.25" hidden="false" customHeight="false" outlineLevel="0" collapsed="false">
      <c r="A1473" s="289" t="s">
        <v>1518</v>
      </c>
      <c r="B1473" s="290"/>
      <c r="C1473" s="290"/>
      <c r="D1473" s="290" t="n">
        <v>83195.85</v>
      </c>
      <c r="E1473" s="290"/>
      <c r="F1473" s="290"/>
      <c r="G1473" s="290"/>
      <c r="H1473" s="290"/>
      <c r="I1473" s="290"/>
      <c r="J1473" s="290"/>
      <c r="K1473" s="290"/>
      <c r="L1473" s="290"/>
      <c r="M1473" s="290"/>
      <c r="N1473" s="290"/>
      <c r="O1473" s="290"/>
      <c r="P1473" s="290"/>
      <c r="Q1473" s="290"/>
      <c r="R1473" s="290"/>
      <c r="S1473" s="290"/>
      <c r="T1473" s="290"/>
      <c r="U1473" s="290"/>
      <c r="V1473" s="290"/>
      <c r="W1473" s="290"/>
      <c r="X1473" s="290"/>
      <c r="Y1473" s="291" t="n">
        <f aca="false">SUM(B1473:X1473)</f>
        <v>83195.85</v>
      </c>
      <c r="Z1473" s="292"/>
      <c r="AA1473" s="293"/>
      <c r="AB1473" s="288"/>
    </row>
    <row r="1474" customFormat="false" ht="14.25" hidden="false" customHeight="false" outlineLevel="0" collapsed="false">
      <c r="A1474" s="289" t="s">
        <v>1519</v>
      </c>
      <c r="B1474" s="290"/>
      <c r="C1474" s="290"/>
      <c r="D1474" s="290"/>
      <c r="E1474" s="290"/>
      <c r="F1474" s="290"/>
      <c r="G1474" s="290"/>
      <c r="H1474" s="290"/>
      <c r="I1474" s="290"/>
      <c r="J1474" s="290"/>
      <c r="K1474" s="290"/>
      <c r="L1474" s="290" t="n">
        <v>7762.5</v>
      </c>
      <c r="M1474" s="290"/>
      <c r="N1474" s="290"/>
      <c r="O1474" s="290"/>
      <c r="P1474" s="290"/>
      <c r="Q1474" s="290"/>
      <c r="R1474" s="290"/>
      <c r="S1474" s="290"/>
      <c r="T1474" s="290"/>
      <c r="U1474" s="290"/>
      <c r="V1474" s="290"/>
      <c r="W1474" s="290"/>
      <c r="X1474" s="290"/>
      <c r="Y1474" s="291" t="n">
        <f aca="false">SUM(B1474:X1474)</f>
        <v>7762.5</v>
      </c>
      <c r="Z1474" s="292"/>
      <c r="AA1474" s="293"/>
      <c r="AB1474" s="288"/>
    </row>
    <row r="1475" customFormat="false" ht="14.25" hidden="false" customHeight="false" outlineLevel="0" collapsed="false">
      <c r="A1475" s="289" t="s">
        <v>1520</v>
      </c>
      <c r="B1475" s="290"/>
      <c r="C1475" s="290"/>
      <c r="D1475" s="290"/>
      <c r="E1475" s="290"/>
      <c r="F1475" s="290"/>
      <c r="G1475" s="290"/>
      <c r="H1475" s="290"/>
      <c r="I1475" s="290"/>
      <c r="J1475" s="290"/>
      <c r="K1475" s="290"/>
      <c r="L1475" s="290"/>
      <c r="M1475" s="290"/>
      <c r="N1475" s="290" t="n">
        <v>2700</v>
      </c>
      <c r="O1475" s="290"/>
      <c r="P1475" s="290"/>
      <c r="Q1475" s="290"/>
      <c r="R1475" s="290"/>
      <c r="S1475" s="290"/>
      <c r="T1475" s="290"/>
      <c r="U1475" s="290"/>
      <c r="V1475" s="290"/>
      <c r="W1475" s="290"/>
      <c r="X1475" s="290"/>
      <c r="Y1475" s="291" t="n">
        <f aca="false">SUM(B1475:X1475)</f>
        <v>2700</v>
      </c>
      <c r="Z1475" s="292"/>
      <c r="AA1475" s="293"/>
      <c r="AB1475" s="288"/>
    </row>
    <row r="1476" customFormat="false" ht="14.25" hidden="false" customHeight="false" outlineLevel="0" collapsed="false">
      <c r="A1476" s="289" t="s">
        <v>1521</v>
      </c>
      <c r="B1476" s="290"/>
      <c r="C1476" s="290"/>
      <c r="D1476" s="290"/>
      <c r="E1476" s="290"/>
      <c r="F1476" s="290"/>
      <c r="G1476" s="290"/>
      <c r="H1476" s="290"/>
      <c r="I1476" s="290"/>
      <c r="J1476" s="290"/>
      <c r="K1476" s="290"/>
      <c r="L1476" s="290"/>
      <c r="M1476" s="290"/>
      <c r="N1476" s="290"/>
      <c r="O1476" s="290"/>
      <c r="P1476" s="290" t="n">
        <v>2700</v>
      </c>
      <c r="Q1476" s="290"/>
      <c r="R1476" s="290"/>
      <c r="S1476" s="290"/>
      <c r="T1476" s="290"/>
      <c r="U1476" s="290"/>
      <c r="V1476" s="290"/>
      <c r="W1476" s="290"/>
      <c r="X1476" s="290"/>
      <c r="Y1476" s="291" t="n">
        <f aca="false">SUM(B1476:X1476)</f>
        <v>2700</v>
      </c>
      <c r="Z1476" s="292"/>
      <c r="AA1476" s="293"/>
      <c r="AB1476" s="288"/>
    </row>
    <row r="1477" customFormat="false" ht="14.25" hidden="false" customHeight="false" outlineLevel="0" collapsed="false">
      <c r="A1477" s="289" t="s">
        <v>1522</v>
      </c>
      <c r="B1477" s="290"/>
      <c r="C1477" s="290"/>
      <c r="D1477" s="290"/>
      <c r="E1477" s="290"/>
      <c r="F1477" s="290"/>
      <c r="G1477" s="290"/>
      <c r="H1477" s="290" t="n">
        <v>3360</v>
      </c>
      <c r="I1477" s="290"/>
      <c r="J1477" s="290"/>
      <c r="K1477" s="290"/>
      <c r="L1477" s="290"/>
      <c r="M1477" s="290"/>
      <c r="N1477" s="290"/>
      <c r="O1477" s="290"/>
      <c r="P1477" s="290"/>
      <c r="Q1477" s="290"/>
      <c r="R1477" s="290"/>
      <c r="S1477" s="290"/>
      <c r="T1477" s="290"/>
      <c r="U1477" s="290"/>
      <c r="V1477" s="290"/>
      <c r="W1477" s="290"/>
      <c r="X1477" s="290"/>
      <c r="Y1477" s="291" t="n">
        <f aca="false">SUM(B1477:X1477)</f>
        <v>3360</v>
      </c>
      <c r="Z1477" s="292"/>
      <c r="AA1477" s="293"/>
      <c r="AB1477" s="288"/>
    </row>
    <row r="1478" customFormat="false" ht="14.25" hidden="false" customHeight="false" outlineLevel="0" collapsed="false">
      <c r="A1478" s="289" t="s">
        <v>1523</v>
      </c>
      <c r="B1478" s="290"/>
      <c r="C1478" s="290"/>
      <c r="D1478" s="290"/>
      <c r="E1478" s="290" t="n">
        <v>1350</v>
      </c>
      <c r="F1478" s="290"/>
      <c r="G1478" s="290"/>
      <c r="H1478" s="290"/>
      <c r="I1478" s="290"/>
      <c r="J1478" s="290"/>
      <c r="K1478" s="290"/>
      <c r="L1478" s="290"/>
      <c r="M1478" s="290"/>
      <c r="N1478" s="290"/>
      <c r="O1478" s="290"/>
      <c r="P1478" s="290"/>
      <c r="Q1478" s="290"/>
      <c r="R1478" s="290"/>
      <c r="S1478" s="290"/>
      <c r="T1478" s="290"/>
      <c r="U1478" s="290"/>
      <c r="V1478" s="290"/>
      <c r="W1478" s="290"/>
      <c r="X1478" s="290"/>
      <c r="Y1478" s="291" t="n">
        <f aca="false">SUM(B1478:X1478)</f>
        <v>1350</v>
      </c>
      <c r="Z1478" s="292"/>
      <c r="AA1478" s="293"/>
      <c r="AB1478" s="288"/>
    </row>
    <row r="1479" customFormat="false" ht="14.25" hidden="false" customHeight="false" outlineLevel="0" collapsed="false">
      <c r="A1479" s="289" t="s">
        <v>1524</v>
      </c>
      <c r="B1479" s="290" t="n">
        <v>5400</v>
      </c>
      <c r="C1479" s="290"/>
      <c r="D1479" s="290"/>
      <c r="E1479" s="290"/>
      <c r="F1479" s="290"/>
      <c r="G1479" s="290"/>
      <c r="H1479" s="290"/>
      <c r="I1479" s="290"/>
      <c r="J1479" s="290"/>
      <c r="K1479" s="290"/>
      <c r="L1479" s="290"/>
      <c r="M1479" s="290"/>
      <c r="N1479" s="290"/>
      <c r="O1479" s="290"/>
      <c r="P1479" s="290"/>
      <c r="Q1479" s="290"/>
      <c r="R1479" s="290"/>
      <c r="S1479" s="290"/>
      <c r="T1479" s="290"/>
      <c r="U1479" s="290"/>
      <c r="V1479" s="290"/>
      <c r="W1479" s="290"/>
      <c r="X1479" s="290"/>
      <c r="Y1479" s="291" t="n">
        <f aca="false">SUM(B1479:X1479)</f>
        <v>5400</v>
      </c>
      <c r="Z1479" s="292"/>
      <c r="AA1479" s="293"/>
      <c r="AB1479" s="288"/>
    </row>
    <row r="1480" customFormat="false" ht="14.25" hidden="false" customHeight="false" outlineLevel="0" collapsed="false">
      <c r="A1480" s="289" t="s">
        <v>1525</v>
      </c>
      <c r="B1480" s="290"/>
      <c r="C1480" s="290"/>
      <c r="D1480" s="290"/>
      <c r="E1480" s="290"/>
      <c r="F1480" s="290"/>
      <c r="G1480" s="290"/>
      <c r="H1480" s="290"/>
      <c r="I1480" s="290"/>
      <c r="J1480" s="290" t="n">
        <v>12404</v>
      </c>
      <c r="K1480" s="290"/>
      <c r="L1480" s="290"/>
      <c r="M1480" s="290"/>
      <c r="N1480" s="290"/>
      <c r="O1480" s="290"/>
      <c r="P1480" s="290"/>
      <c r="Q1480" s="290"/>
      <c r="R1480" s="290"/>
      <c r="S1480" s="290"/>
      <c r="T1480" s="290"/>
      <c r="U1480" s="290"/>
      <c r="V1480" s="290"/>
      <c r="W1480" s="290"/>
      <c r="X1480" s="290"/>
      <c r="Y1480" s="291" t="n">
        <f aca="false">SUM(B1480:X1480)</f>
        <v>12404</v>
      </c>
      <c r="Z1480" s="292"/>
      <c r="AA1480" s="293"/>
      <c r="AB1480" s="288"/>
    </row>
    <row r="1481" customFormat="false" ht="14.25" hidden="false" customHeight="false" outlineLevel="0" collapsed="false">
      <c r="A1481" s="289" t="s">
        <v>1526</v>
      </c>
      <c r="B1481" s="290" t="n">
        <v>64544</v>
      </c>
      <c r="C1481" s="290"/>
      <c r="D1481" s="290"/>
      <c r="E1481" s="290"/>
      <c r="F1481" s="290"/>
      <c r="G1481" s="290"/>
      <c r="H1481" s="290"/>
      <c r="I1481" s="290"/>
      <c r="J1481" s="290"/>
      <c r="K1481" s="290"/>
      <c r="L1481" s="290"/>
      <c r="M1481" s="290"/>
      <c r="N1481" s="290"/>
      <c r="O1481" s="290"/>
      <c r="P1481" s="290"/>
      <c r="Q1481" s="290"/>
      <c r="R1481" s="290"/>
      <c r="S1481" s="290"/>
      <c r="T1481" s="290"/>
      <c r="U1481" s="290"/>
      <c r="V1481" s="290"/>
      <c r="W1481" s="290"/>
      <c r="X1481" s="290"/>
      <c r="Y1481" s="291" t="n">
        <f aca="false">SUM(B1481:X1481)</f>
        <v>64544</v>
      </c>
      <c r="Z1481" s="292"/>
      <c r="AA1481" s="293"/>
      <c r="AB1481" s="288"/>
    </row>
    <row r="1482" customFormat="false" ht="14.25" hidden="false" customHeight="false" outlineLevel="0" collapsed="false">
      <c r="A1482" s="289" t="s">
        <v>1527</v>
      </c>
      <c r="B1482" s="290"/>
      <c r="C1482" s="290"/>
      <c r="D1482" s="290"/>
      <c r="E1482" s="290" t="n">
        <v>11700</v>
      </c>
      <c r="F1482" s="290"/>
      <c r="G1482" s="290"/>
      <c r="H1482" s="290"/>
      <c r="I1482" s="290"/>
      <c r="J1482" s="290"/>
      <c r="K1482" s="290"/>
      <c r="L1482" s="290"/>
      <c r="M1482" s="290"/>
      <c r="N1482" s="290"/>
      <c r="O1482" s="290"/>
      <c r="P1482" s="290"/>
      <c r="Q1482" s="290"/>
      <c r="R1482" s="290"/>
      <c r="S1482" s="290"/>
      <c r="T1482" s="290"/>
      <c r="U1482" s="290"/>
      <c r="V1482" s="290"/>
      <c r="W1482" s="290"/>
      <c r="X1482" s="290"/>
      <c r="Y1482" s="291" t="n">
        <f aca="false">SUM(B1482:X1482)</f>
        <v>11700</v>
      </c>
      <c r="Z1482" s="292"/>
      <c r="AA1482" s="293"/>
      <c r="AB1482" s="288"/>
    </row>
    <row r="1483" customFormat="false" ht="14.25" hidden="false" customHeight="false" outlineLevel="0" collapsed="false">
      <c r="A1483" s="289" t="s">
        <v>1528</v>
      </c>
      <c r="B1483" s="290"/>
      <c r="C1483" s="290" t="n">
        <v>2700</v>
      </c>
      <c r="D1483" s="290"/>
      <c r="E1483" s="290"/>
      <c r="F1483" s="290"/>
      <c r="G1483" s="290"/>
      <c r="H1483" s="290"/>
      <c r="I1483" s="290"/>
      <c r="J1483" s="290"/>
      <c r="K1483" s="290"/>
      <c r="L1483" s="290"/>
      <c r="M1483" s="290"/>
      <c r="N1483" s="290"/>
      <c r="O1483" s="290"/>
      <c r="P1483" s="290"/>
      <c r="Q1483" s="290"/>
      <c r="R1483" s="290"/>
      <c r="S1483" s="290"/>
      <c r="T1483" s="290"/>
      <c r="U1483" s="290"/>
      <c r="V1483" s="290"/>
      <c r="W1483" s="290"/>
      <c r="X1483" s="290"/>
      <c r="Y1483" s="291" t="n">
        <f aca="false">SUM(B1483:X1483)</f>
        <v>2700</v>
      </c>
      <c r="Z1483" s="292"/>
      <c r="AA1483" s="293"/>
      <c r="AB1483" s="288"/>
    </row>
    <row r="1484" customFormat="false" ht="14.25" hidden="false" customHeight="false" outlineLevel="0" collapsed="false">
      <c r="A1484" s="289" t="s">
        <v>1529</v>
      </c>
      <c r="B1484" s="290"/>
      <c r="C1484" s="290"/>
      <c r="D1484" s="290" t="n">
        <v>771.3</v>
      </c>
      <c r="E1484" s="290"/>
      <c r="F1484" s="290"/>
      <c r="G1484" s="290"/>
      <c r="H1484" s="290"/>
      <c r="I1484" s="290"/>
      <c r="J1484" s="290"/>
      <c r="K1484" s="290"/>
      <c r="L1484" s="290"/>
      <c r="M1484" s="290"/>
      <c r="N1484" s="290"/>
      <c r="O1484" s="290"/>
      <c r="P1484" s="290"/>
      <c r="Q1484" s="290"/>
      <c r="R1484" s="290"/>
      <c r="S1484" s="290"/>
      <c r="T1484" s="290"/>
      <c r="U1484" s="290"/>
      <c r="V1484" s="290"/>
      <c r="W1484" s="290"/>
      <c r="X1484" s="290"/>
      <c r="Y1484" s="291" t="n">
        <f aca="false">SUM(B1484:X1484)</f>
        <v>771.3</v>
      </c>
      <c r="Z1484" s="292"/>
      <c r="AA1484" s="293"/>
      <c r="AB1484" s="288"/>
    </row>
    <row r="1485" customFormat="false" ht="14.25" hidden="false" customHeight="false" outlineLevel="0" collapsed="false">
      <c r="A1485" s="289" t="s">
        <v>1530</v>
      </c>
      <c r="B1485" s="290"/>
      <c r="C1485" s="290"/>
      <c r="D1485" s="290"/>
      <c r="E1485" s="290"/>
      <c r="F1485" s="290"/>
      <c r="G1485" s="290"/>
      <c r="H1485" s="290" t="n">
        <v>2100</v>
      </c>
      <c r="I1485" s="290"/>
      <c r="J1485" s="290"/>
      <c r="K1485" s="290"/>
      <c r="L1485" s="290"/>
      <c r="M1485" s="290"/>
      <c r="N1485" s="290"/>
      <c r="O1485" s="290"/>
      <c r="P1485" s="290"/>
      <c r="Q1485" s="290"/>
      <c r="R1485" s="290"/>
      <c r="S1485" s="290"/>
      <c r="T1485" s="290"/>
      <c r="U1485" s="290"/>
      <c r="V1485" s="290"/>
      <c r="W1485" s="290"/>
      <c r="X1485" s="290"/>
      <c r="Y1485" s="291" t="n">
        <f aca="false">SUM(B1485:X1485)</f>
        <v>2100</v>
      </c>
      <c r="Z1485" s="292"/>
      <c r="AA1485" s="293"/>
      <c r="AB1485" s="288"/>
    </row>
    <row r="1486" customFormat="false" ht="14.25" hidden="false" customHeight="false" outlineLevel="0" collapsed="false">
      <c r="A1486" s="289" t="s">
        <v>1531</v>
      </c>
      <c r="B1486" s="290"/>
      <c r="C1486" s="290"/>
      <c r="D1486" s="290"/>
      <c r="E1486" s="290"/>
      <c r="F1486" s="290"/>
      <c r="G1486" s="290"/>
      <c r="H1486" s="290"/>
      <c r="I1486" s="290"/>
      <c r="J1486" s="290"/>
      <c r="K1486" s="290"/>
      <c r="L1486" s="290"/>
      <c r="M1486" s="290"/>
      <c r="N1486" s="290" t="n">
        <v>11147.5</v>
      </c>
      <c r="O1486" s="290"/>
      <c r="P1486" s="290"/>
      <c r="Q1486" s="290"/>
      <c r="R1486" s="290"/>
      <c r="S1486" s="290"/>
      <c r="T1486" s="290"/>
      <c r="U1486" s="290"/>
      <c r="V1486" s="290"/>
      <c r="W1486" s="290"/>
      <c r="X1486" s="290"/>
      <c r="Y1486" s="291" t="n">
        <f aca="false">SUM(B1486:X1486)</f>
        <v>11147.5</v>
      </c>
      <c r="Z1486" s="292"/>
      <c r="AA1486" s="293"/>
      <c r="AB1486" s="288"/>
    </row>
    <row r="1487" customFormat="false" ht="14.25" hidden="false" customHeight="false" outlineLevel="0" collapsed="false">
      <c r="A1487" s="289" t="s">
        <v>1532</v>
      </c>
      <c r="B1487" s="290"/>
      <c r="C1487" s="290"/>
      <c r="D1487" s="290"/>
      <c r="E1487" s="290"/>
      <c r="F1487" s="290"/>
      <c r="G1487" s="290"/>
      <c r="H1487" s="290"/>
      <c r="I1487" s="290"/>
      <c r="J1487" s="290"/>
      <c r="K1487" s="290"/>
      <c r="L1487" s="290"/>
      <c r="M1487" s="290"/>
      <c r="N1487" s="290"/>
      <c r="O1487" s="290" t="n">
        <v>771.3</v>
      </c>
      <c r="P1487" s="290"/>
      <c r="Q1487" s="290"/>
      <c r="R1487" s="290"/>
      <c r="S1487" s="290"/>
      <c r="T1487" s="290"/>
      <c r="U1487" s="290"/>
      <c r="V1487" s="290"/>
      <c r="W1487" s="290"/>
      <c r="X1487" s="290"/>
      <c r="Y1487" s="291" t="n">
        <f aca="false">SUM(B1487:X1487)</f>
        <v>771.3</v>
      </c>
      <c r="Z1487" s="292"/>
      <c r="AA1487" s="293"/>
      <c r="AB1487" s="288"/>
    </row>
    <row r="1488" customFormat="false" ht="14.25" hidden="false" customHeight="false" outlineLevel="0" collapsed="false">
      <c r="A1488" s="289" t="s">
        <v>1533</v>
      </c>
      <c r="B1488" s="290"/>
      <c r="C1488" s="290"/>
      <c r="D1488" s="290"/>
      <c r="E1488" s="290"/>
      <c r="F1488" s="290"/>
      <c r="G1488" s="290"/>
      <c r="H1488" s="290"/>
      <c r="I1488" s="290"/>
      <c r="J1488" s="290"/>
      <c r="K1488" s="290"/>
      <c r="L1488" s="290"/>
      <c r="M1488" s="290"/>
      <c r="N1488" s="290" t="n">
        <v>8100</v>
      </c>
      <c r="O1488" s="290"/>
      <c r="P1488" s="290"/>
      <c r="Q1488" s="290"/>
      <c r="R1488" s="290"/>
      <c r="S1488" s="290"/>
      <c r="T1488" s="290"/>
      <c r="U1488" s="290"/>
      <c r="V1488" s="290"/>
      <c r="W1488" s="290"/>
      <c r="X1488" s="290"/>
      <c r="Y1488" s="291" t="n">
        <f aca="false">SUM(B1488:X1488)</f>
        <v>8100</v>
      </c>
      <c r="Z1488" s="292"/>
      <c r="AA1488" s="293"/>
      <c r="AB1488" s="288"/>
    </row>
    <row r="1489" customFormat="false" ht="14.25" hidden="false" customHeight="false" outlineLevel="0" collapsed="false">
      <c r="A1489" s="289" t="s">
        <v>1534</v>
      </c>
      <c r="B1489" s="290"/>
      <c r="C1489" s="290"/>
      <c r="D1489" s="290"/>
      <c r="E1489" s="290"/>
      <c r="F1489" s="290"/>
      <c r="G1489" s="290"/>
      <c r="H1489" s="290"/>
      <c r="I1489" s="290"/>
      <c r="J1489" s="290" t="n">
        <v>16618.5</v>
      </c>
      <c r="K1489" s="290"/>
      <c r="L1489" s="290"/>
      <c r="M1489" s="290"/>
      <c r="N1489" s="290"/>
      <c r="O1489" s="290"/>
      <c r="P1489" s="290"/>
      <c r="Q1489" s="290"/>
      <c r="R1489" s="290"/>
      <c r="S1489" s="290"/>
      <c r="T1489" s="290"/>
      <c r="U1489" s="290"/>
      <c r="V1489" s="290"/>
      <c r="W1489" s="290"/>
      <c r="X1489" s="290"/>
      <c r="Y1489" s="291" t="n">
        <f aca="false">SUM(B1489:X1489)</f>
        <v>16618.5</v>
      </c>
      <c r="Z1489" s="292"/>
      <c r="AA1489" s="293"/>
      <c r="AB1489" s="288"/>
    </row>
    <row r="1490" customFormat="false" ht="14.25" hidden="false" customHeight="false" outlineLevel="0" collapsed="false">
      <c r="A1490" s="289" t="s">
        <v>1535</v>
      </c>
      <c r="B1490" s="290"/>
      <c r="C1490" s="290"/>
      <c r="D1490" s="290"/>
      <c r="E1490" s="290"/>
      <c r="F1490" s="290"/>
      <c r="G1490" s="290"/>
      <c r="H1490" s="290"/>
      <c r="I1490" s="290"/>
      <c r="J1490" s="290"/>
      <c r="K1490" s="290"/>
      <c r="L1490" s="290"/>
      <c r="M1490" s="290" t="n">
        <v>2700</v>
      </c>
      <c r="N1490" s="290"/>
      <c r="O1490" s="290"/>
      <c r="P1490" s="290"/>
      <c r="Q1490" s="290"/>
      <c r="R1490" s="290"/>
      <c r="S1490" s="290"/>
      <c r="T1490" s="290"/>
      <c r="U1490" s="290"/>
      <c r="V1490" s="290"/>
      <c r="W1490" s="290"/>
      <c r="X1490" s="290"/>
      <c r="Y1490" s="291" t="n">
        <f aca="false">SUM(B1490:X1490)</f>
        <v>2700</v>
      </c>
      <c r="Z1490" s="292"/>
      <c r="AA1490" s="293"/>
      <c r="AB1490" s="288"/>
    </row>
    <row r="1491" customFormat="false" ht="14.25" hidden="false" customHeight="false" outlineLevel="0" collapsed="false">
      <c r="A1491" s="289" t="s">
        <v>1536</v>
      </c>
      <c r="B1491" s="290"/>
      <c r="C1491" s="290"/>
      <c r="D1491" s="290"/>
      <c r="E1491" s="290"/>
      <c r="F1491" s="290"/>
      <c r="G1491" s="290"/>
      <c r="H1491" s="290" t="n">
        <v>6580</v>
      </c>
      <c r="I1491" s="290"/>
      <c r="J1491" s="290"/>
      <c r="K1491" s="290"/>
      <c r="L1491" s="290"/>
      <c r="M1491" s="290"/>
      <c r="N1491" s="290"/>
      <c r="O1491" s="290"/>
      <c r="P1491" s="290"/>
      <c r="Q1491" s="290"/>
      <c r="R1491" s="290"/>
      <c r="S1491" s="290"/>
      <c r="T1491" s="290"/>
      <c r="U1491" s="290"/>
      <c r="V1491" s="290"/>
      <c r="W1491" s="290"/>
      <c r="X1491" s="290"/>
      <c r="Y1491" s="291" t="n">
        <f aca="false">SUM(B1491:X1491)</f>
        <v>6580</v>
      </c>
      <c r="Z1491" s="292"/>
      <c r="AA1491" s="293"/>
      <c r="AB1491" s="288"/>
    </row>
    <row r="1492" customFormat="false" ht="14.25" hidden="false" customHeight="false" outlineLevel="0" collapsed="false">
      <c r="A1492" s="289" t="s">
        <v>1537</v>
      </c>
      <c r="B1492" s="290"/>
      <c r="C1492" s="290"/>
      <c r="D1492" s="290"/>
      <c r="E1492" s="290" t="n">
        <v>10800</v>
      </c>
      <c r="F1492" s="290"/>
      <c r="G1492" s="290"/>
      <c r="H1492" s="290"/>
      <c r="I1492" s="290"/>
      <c r="J1492" s="290"/>
      <c r="K1492" s="290"/>
      <c r="L1492" s="290"/>
      <c r="M1492" s="290"/>
      <c r="N1492" s="290"/>
      <c r="O1492" s="290"/>
      <c r="P1492" s="290"/>
      <c r="Q1492" s="290"/>
      <c r="R1492" s="290"/>
      <c r="S1492" s="290"/>
      <c r="T1492" s="290"/>
      <c r="U1492" s="290"/>
      <c r="V1492" s="290"/>
      <c r="W1492" s="290"/>
      <c r="X1492" s="290"/>
      <c r="Y1492" s="291" t="n">
        <f aca="false">SUM(B1492:X1492)</f>
        <v>10800</v>
      </c>
      <c r="Z1492" s="292"/>
      <c r="AA1492" s="293"/>
      <c r="AB1492" s="288"/>
    </row>
    <row r="1493" customFormat="false" ht="14.25" hidden="false" customHeight="false" outlineLevel="0" collapsed="false">
      <c r="A1493" s="289" t="s">
        <v>1538</v>
      </c>
      <c r="B1493" s="290"/>
      <c r="C1493" s="290"/>
      <c r="D1493" s="290" t="n">
        <v>9255.6</v>
      </c>
      <c r="E1493" s="290"/>
      <c r="F1493" s="290"/>
      <c r="G1493" s="290"/>
      <c r="H1493" s="290"/>
      <c r="I1493" s="290"/>
      <c r="J1493" s="290"/>
      <c r="K1493" s="290"/>
      <c r="L1493" s="290"/>
      <c r="M1493" s="290"/>
      <c r="N1493" s="290"/>
      <c r="O1493" s="290"/>
      <c r="P1493" s="290"/>
      <c r="Q1493" s="290"/>
      <c r="R1493" s="290"/>
      <c r="S1493" s="290"/>
      <c r="T1493" s="290"/>
      <c r="U1493" s="290"/>
      <c r="V1493" s="290"/>
      <c r="W1493" s="290"/>
      <c r="X1493" s="290"/>
      <c r="Y1493" s="291" t="n">
        <f aca="false">SUM(B1493:X1493)</f>
        <v>9255.6</v>
      </c>
      <c r="Z1493" s="292"/>
      <c r="AA1493" s="293"/>
      <c r="AB1493" s="288"/>
    </row>
    <row r="1494" customFormat="false" ht="14.25" hidden="false" customHeight="false" outlineLevel="0" collapsed="false">
      <c r="A1494" s="289" t="s">
        <v>1539</v>
      </c>
      <c r="B1494" s="290"/>
      <c r="C1494" s="290"/>
      <c r="D1494" s="290" t="n">
        <v>9255.6</v>
      </c>
      <c r="E1494" s="290"/>
      <c r="F1494" s="290"/>
      <c r="G1494" s="290"/>
      <c r="H1494" s="290"/>
      <c r="I1494" s="290"/>
      <c r="J1494" s="290"/>
      <c r="K1494" s="290"/>
      <c r="L1494" s="290"/>
      <c r="M1494" s="290"/>
      <c r="N1494" s="290"/>
      <c r="O1494" s="290"/>
      <c r="P1494" s="290"/>
      <c r="Q1494" s="290"/>
      <c r="R1494" s="290"/>
      <c r="S1494" s="290"/>
      <c r="T1494" s="290"/>
      <c r="U1494" s="290"/>
      <c r="V1494" s="290"/>
      <c r="W1494" s="290"/>
      <c r="X1494" s="290"/>
      <c r="Y1494" s="291" t="n">
        <f aca="false">SUM(B1494:X1494)</f>
        <v>9255.6</v>
      </c>
      <c r="Z1494" s="292"/>
      <c r="AA1494" s="293"/>
      <c r="AB1494" s="288"/>
    </row>
    <row r="1495" customFormat="false" ht="14.25" hidden="false" customHeight="false" outlineLevel="0" collapsed="false">
      <c r="A1495" s="289" t="s">
        <v>1540</v>
      </c>
      <c r="B1495" s="290"/>
      <c r="C1495" s="290" t="n">
        <v>9000</v>
      </c>
      <c r="D1495" s="290"/>
      <c r="E1495" s="290"/>
      <c r="F1495" s="290"/>
      <c r="G1495" s="290"/>
      <c r="H1495" s="290"/>
      <c r="I1495" s="290"/>
      <c r="J1495" s="290"/>
      <c r="K1495" s="290"/>
      <c r="L1495" s="290"/>
      <c r="M1495" s="290"/>
      <c r="N1495" s="290"/>
      <c r="O1495" s="290"/>
      <c r="P1495" s="290"/>
      <c r="Q1495" s="290"/>
      <c r="R1495" s="290"/>
      <c r="S1495" s="290"/>
      <c r="T1495" s="290"/>
      <c r="U1495" s="290"/>
      <c r="V1495" s="290"/>
      <c r="W1495" s="290"/>
      <c r="X1495" s="290"/>
      <c r="Y1495" s="291" t="n">
        <f aca="false">SUM(B1495:X1495)</f>
        <v>9000</v>
      </c>
      <c r="Z1495" s="292"/>
      <c r="AA1495" s="293"/>
      <c r="AB1495" s="288"/>
    </row>
    <row r="1496" customFormat="false" ht="14.25" hidden="false" customHeight="false" outlineLevel="0" collapsed="false">
      <c r="A1496" s="289" t="s">
        <v>1541</v>
      </c>
      <c r="B1496" s="290"/>
      <c r="C1496" s="290" t="n">
        <v>2700</v>
      </c>
      <c r="D1496" s="290"/>
      <c r="E1496" s="290"/>
      <c r="F1496" s="290"/>
      <c r="G1496" s="290"/>
      <c r="H1496" s="290"/>
      <c r="I1496" s="290"/>
      <c r="J1496" s="290"/>
      <c r="K1496" s="290"/>
      <c r="L1496" s="290"/>
      <c r="M1496" s="290"/>
      <c r="N1496" s="290"/>
      <c r="O1496" s="290"/>
      <c r="P1496" s="290"/>
      <c r="Q1496" s="290"/>
      <c r="R1496" s="290"/>
      <c r="S1496" s="290"/>
      <c r="T1496" s="290"/>
      <c r="U1496" s="290"/>
      <c r="V1496" s="290"/>
      <c r="W1496" s="290"/>
      <c r="X1496" s="290"/>
      <c r="Y1496" s="291" t="n">
        <f aca="false">SUM(B1496:X1496)</f>
        <v>2700</v>
      </c>
      <c r="Z1496" s="292"/>
      <c r="AA1496" s="293"/>
      <c r="AB1496" s="288"/>
    </row>
    <row r="1497" customFormat="false" ht="14.25" hidden="false" customHeight="false" outlineLevel="0" collapsed="false">
      <c r="A1497" s="289" t="s">
        <v>1542</v>
      </c>
      <c r="B1497" s="290" t="n">
        <v>5399.1</v>
      </c>
      <c r="C1497" s="290"/>
      <c r="D1497" s="290"/>
      <c r="E1497" s="290"/>
      <c r="F1497" s="290"/>
      <c r="G1497" s="290"/>
      <c r="H1497" s="290"/>
      <c r="I1497" s="290"/>
      <c r="J1497" s="290"/>
      <c r="K1497" s="290"/>
      <c r="L1497" s="290"/>
      <c r="M1497" s="290"/>
      <c r="N1497" s="290"/>
      <c r="O1497" s="290"/>
      <c r="P1497" s="290"/>
      <c r="Q1497" s="290"/>
      <c r="R1497" s="290"/>
      <c r="S1497" s="290"/>
      <c r="T1497" s="290"/>
      <c r="U1497" s="290"/>
      <c r="V1497" s="290"/>
      <c r="W1497" s="290"/>
      <c r="X1497" s="290"/>
      <c r="Y1497" s="291" t="n">
        <f aca="false">SUM(B1497:X1497)</f>
        <v>5399.1</v>
      </c>
      <c r="Z1497" s="292"/>
      <c r="AA1497" s="293"/>
      <c r="AB1497" s="288"/>
    </row>
    <row r="1498" customFormat="false" ht="14.25" hidden="false" customHeight="false" outlineLevel="0" collapsed="false">
      <c r="A1498" s="289" t="s">
        <v>1543</v>
      </c>
      <c r="B1498" s="290"/>
      <c r="C1498" s="290"/>
      <c r="D1498" s="290"/>
      <c r="E1498" s="290"/>
      <c r="F1498" s="290" t="n">
        <v>10800</v>
      </c>
      <c r="G1498" s="290"/>
      <c r="H1498" s="290"/>
      <c r="I1498" s="290"/>
      <c r="J1498" s="290"/>
      <c r="K1498" s="290"/>
      <c r="L1498" s="290"/>
      <c r="M1498" s="290"/>
      <c r="N1498" s="290"/>
      <c r="O1498" s="290"/>
      <c r="P1498" s="290"/>
      <c r="Q1498" s="290"/>
      <c r="R1498" s="290"/>
      <c r="S1498" s="290"/>
      <c r="T1498" s="290"/>
      <c r="U1498" s="290"/>
      <c r="V1498" s="290"/>
      <c r="W1498" s="290"/>
      <c r="X1498" s="290"/>
      <c r="Y1498" s="291" t="n">
        <f aca="false">SUM(B1498:X1498)</f>
        <v>10800</v>
      </c>
      <c r="Z1498" s="292"/>
      <c r="AA1498" s="293"/>
      <c r="AB1498" s="288"/>
    </row>
    <row r="1499" customFormat="false" ht="14.25" hidden="false" customHeight="false" outlineLevel="0" collapsed="false">
      <c r="A1499" s="289" t="s">
        <v>1544</v>
      </c>
      <c r="B1499" s="290"/>
      <c r="C1499" s="290"/>
      <c r="D1499" s="290"/>
      <c r="E1499" s="290"/>
      <c r="F1499" s="290"/>
      <c r="G1499" s="290"/>
      <c r="H1499" s="290" t="n">
        <v>3780</v>
      </c>
      <c r="I1499" s="290"/>
      <c r="J1499" s="290"/>
      <c r="K1499" s="290"/>
      <c r="L1499" s="290"/>
      <c r="M1499" s="290"/>
      <c r="N1499" s="290"/>
      <c r="O1499" s="290"/>
      <c r="P1499" s="290"/>
      <c r="Q1499" s="290"/>
      <c r="R1499" s="290"/>
      <c r="S1499" s="290"/>
      <c r="T1499" s="290"/>
      <c r="U1499" s="290"/>
      <c r="V1499" s="290"/>
      <c r="W1499" s="290"/>
      <c r="X1499" s="290"/>
      <c r="Y1499" s="291" t="n">
        <f aca="false">SUM(B1499:X1499)</f>
        <v>3780</v>
      </c>
      <c r="Z1499" s="292"/>
      <c r="AA1499" s="293"/>
      <c r="AB1499" s="288"/>
    </row>
    <row r="1500" customFormat="false" ht="14.25" hidden="false" customHeight="false" outlineLevel="0" collapsed="false">
      <c r="A1500" s="289" t="s">
        <v>1545</v>
      </c>
      <c r="B1500" s="290"/>
      <c r="C1500" s="290"/>
      <c r="D1500" s="290"/>
      <c r="E1500" s="290"/>
      <c r="F1500" s="290" t="n">
        <v>15078</v>
      </c>
      <c r="G1500" s="290"/>
      <c r="H1500" s="290"/>
      <c r="I1500" s="290"/>
      <c r="J1500" s="290"/>
      <c r="K1500" s="290"/>
      <c r="L1500" s="290"/>
      <c r="M1500" s="290"/>
      <c r="N1500" s="290"/>
      <c r="O1500" s="290"/>
      <c r="P1500" s="290"/>
      <c r="Q1500" s="290"/>
      <c r="R1500" s="290"/>
      <c r="S1500" s="290"/>
      <c r="T1500" s="290"/>
      <c r="U1500" s="290"/>
      <c r="V1500" s="290"/>
      <c r="W1500" s="290"/>
      <c r="X1500" s="290"/>
      <c r="Y1500" s="291" t="n">
        <f aca="false">SUM(B1500:X1500)</f>
        <v>15078</v>
      </c>
      <c r="Z1500" s="292"/>
      <c r="AA1500" s="293"/>
      <c r="AB1500" s="288"/>
    </row>
    <row r="1501" customFormat="false" ht="14.25" hidden="false" customHeight="false" outlineLevel="0" collapsed="false">
      <c r="A1501" s="289" t="s">
        <v>1546</v>
      </c>
      <c r="B1501" s="290" t="n">
        <v>3470.85</v>
      </c>
      <c r="C1501" s="290"/>
      <c r="D1501" s="290"/>
      <c r="E1501" s="290"/>
      <c r="F1501" s="290"/>
      <c r="G1501" s="290"/>
      <c r="H1501" s="290"/>
      <c r="I1501" s="290"/>
      <c r="J1501" s="290"/>
      <c r="K1501" s="290"/>
      <c r="L1501" s="290"/>
      <c r="M1501" s="290"/>
      <c r="N1501" s="290"/>
      <c r="O1501" s="290"/>
      <c r="P1501" s="290"/>
      <c r="Q1501" s="290"/>
      <c r="R1501" s="290"/>
      <c r="S1501" s="290"/>
      <c r="T1501" s="290"/>
      <c r="U1501" s="290"/>
      <c r="V1501" s="290"/>
      <c r="W1501" s="290"/>
      <c r="X1501" s="290"/>
      <c r="Y1501" s="291" t="n">
        <f aca="false">SUM(B1501:X1501)</f>
        <v>3470.85</v>
      </c>
      <c r="Z1501" s="292"/>
      <c r="AA1501" s="293"/>
      <c r="AB1501" s="288"/>
    </row>
    <row r="1502" customFormat="false" ht="14.25" hidden="false" customHeight="false" outlineLevel="0" collapsed="false">
      <c r="A1502" s="289" t="s">
        <v>1547</v>
      </c>
      <c r="B1502" s="290"/>
      <c r="C1502" s="290"/>
      <c r="D1502" s="290"/>
      <c r="E1502" s="290"/>
      <c r="F1502" s="290"/>
      <c r="G1502" s="290"/>
      <c r="H1502" s="290"/>
      <c r="I1502" s="290" t="n">
        <v>7830</v>
      </c>
      <c r="J1502" s="290"/>
      <c r="K1502" s="290"/>
      <c r="L1502" s="290"/>
      <c r="M1502" s="290"/>
      <c r="N1502" s="290"/>
      <c r="O1502" s="290"/>
      <c r="P1502" s="290"/>
      <c r="Q1502" s="290"/>
      <c r="R1502" s="290"/>
      <c r="S1502" s="290"/>
      <c r="T1502" s="290"/>
      <c r="U1502" s="290"/>
      <c r="V1502" s="290"/>
      <c r="W1502" s="290"/>
      <c r="X1502" s="290"/>
      <c r="Y1502" s="291" t="n">
        <f aca="false">SUM(B1502:X1502)</f>
        <v>7830</v>
      </c>
      <c r="Z1502" s="292"/>
      <c r="AA1502" s="293"/>
      <c r="AB1502" s="288"/>
    </row>
    <row r="1503" customFormat="false" ht="14.25" hidden="false" customHeight="false" outlineLevel="0" collapsed="false">
      <c r="A1503" s="289" t="s">
        <v>1548</v>
      </c>
      <c r="B1503" s="290"/>
      <c r="C1503" s="290"/>
      <c r="D1503" s="290"/>
      <c r="E1503" s="290"/>
      <c r="F1503" s="290"/>
      <c r="G1503" s="290"/>
      <c r="H1503" s="290"/>
      <c r="I1503" s="290"/>
      <c r="J1503" s="290"/>
      <c r="K1503" s="290"/>
      <c r="L1503" s="290"/>
      <c r="M1503" s="290"/>
      <c r="N1503" s="290"/>
      <c r="O1503" s="290" t="n">
        <v>19668.15</v>
      </c>
      <c r="P1503" s="290"/>
      <c r="Q1503" s="290"/>
      <c r="R1503" s="290"/>
      <c r="S1503" s="290"/>
      <c r="T1503" s="290"/>
      <c r="U1503" s="290"/>
      <c r="V1503" s="290"/>
      <c r="W1503" s="290"/>
      <c r="X1503" s="290"/>
      <c r="Y1503" s="291" t="n">
        <f aca="false">SUM(B1503:X1503)</f>
        <v>19668.15</v>
      </c>
      <c r="Z1503" s="292"/>
      <c r="AA1503" s="293"/>
      <c r="AB1503" s="288"/>
    </row>
    <row r="1504" customFormat="false" ht="14.25" hidden="false" customHeight="false" outlineLevel="0" collapsed="false">
      <c r="A1504" s="289" t="s">
        <v>1549</v>
      </c>
      <c r="B1504" s="290"/>
      <c r="C1504" s="290"/>
      <c r="D1504" s="290"/>
      <c r="E1504" s="290"/>
      <c r="F1504" s="290"/>
      <c r="G1504" s="290"/>
      <c r="H1504" s="290" t="n">
        <v>20418</v>
      </c>
      <c r="I1504" s="290"/>
      <c r="J1504" s="290"/>
      <c r="K1504" s="290"/>
      <c r="L1504" s="290"/>
      <c r="M1504" s="290"/>
      <c r="N1504" s="290"/>
      <c r="O1504" s="290"/>
      <c r="P1504" s="290"/>
      <c r="Q1504" s="290"/>
      <c r="R1504" s="290"/>
      <c r="S1504" s="290"/>
      <c r="T1504" s="290"/>
      <c r="U1504" s="290"/>
      <c r="V1504" s="290"/>
      <c r="W1504" s="290"/>
      <c r="X1504" s="290"/>
      <c r="Y1504" s="291" t="n">
        <f aca="false">SUM(B1504:X1504)</f>
        <v>20418</v>
      </c>
      <c r="Z1504" s="292"/>
      <c r="AA1504" s="293"/>
      <c r="AB1504" s="288"/>
    </row>
    <row r="1505" customFormat="false" ht="14.25" hidden="false" customHeight="false" outlineLevel="0" collapsed="false">
      <c r="A1505" s="289" t="s">
        <v>1550</v>
      </c>
      <c r="B1505" s="290"/>
      <c r="C1505" s="290"/>
      <c r="D1505" s="290"/>
      <c r="E1505" s="290"/>
      <c r="F1505" s="290"/>
      <c r="G1505" s="290"/>
      <c r="H1505" s="290"/>
      <c r="I1505" s="290"/>
      <c r="J1505" s="290"/>
      <c r="K1505" s="290"/>
      <c r="L1505" s="290" t="n">
        <v>5737.5</v>
      </c>
      <c r="M1505" s="290"/>
      <c r="N1505" s="290"/>
      <c r="O1505" s="290"/>
      <c r="P1505" s="290"/>
      <c r="Q1505" s="290"/>
      <c r="R1505" s="290"/>
      <c r="S1505" s="290"/>
      <c r="T1505" s="290"/>
      <c r="U1505" s="290"/>
      <c r="V1505" s="290"/>
      <c r="W1505" s="290"/>
      <c r="X1505" s="290"/>
      <c r="Y1505" s="291" t="n">
        <f aca="false">SUM(B1505:X1505)</f>
        <v>5737.5</v>
      </c>
      <c r="Z1505" s="292"/>
      <c r="AA1505" s="293"/>
      <c r="AB1505" s="288"/>
    </row>
    <row r="1506" customFormat="false" ht="14.25" hidden="false" customHeight="false" outlineLevel="0" collapsed="false">
      <c r="A1506" s="289" t="s">
        <v>1551</v>
      </c>
      <c r="B1506" s="290"/>
      <c r="C1506" s="290"/>
      <c r="D1506" s="290"/>
      <c r="E1506" s="290"/>
      <c r="F1506" s="290"/>
      <c r="G1506" s="290"/>
      <c r="H1506" s="290"/>
      <c r="I1506" s="290"/>
      <c r="J1506" s="290"/>
      <c r="K1506" s="290"/>
      <c r="L1506" s="290"/>
      <c r="M1506" s="290"/>
      <c r="N1506" s="290"/>
      <c r="O1506" s="290"/>
      <c r="P1506" s="290" t="n">
        <v>10125</v>
      </c>
      <c r="Q1506" s="290"/>
      <c r="R1506" s="290"/>
      <c r="S1506" s="290"/>
      <c r="T1506" s="290"/>
      <c r="U1506" s="290"/>
      <c r="V1506" s="290"/>
      <c r="W1506" s="290"/>
      <c r="X1506" s="290"/>
      <c r="Y1506" s="291" t="n">
        <f aca="false">SUM(B1506:X1506)</f>
        <v>10125</v>
      </c>
      <c r="Z1506" s="292"/>
      <c r="AA1506" s="293"/>
      <c r="AB1506" s="288"/>
    </row>
    <row r="1507" customFormat="false" ht="14.25" hidden="false" customHeight="false" outlineLevel="0" collapsed="false">
      <c r="A1507" s="289" t="s">
        <v>1552</v>
      </c>
      <c r="B1507" s="290"/>
      <c r="C1507" s="290"/>
      <c r="D1507" s="290"/>
      <c r="E1507" s="290"/>
      <c r="F1507" s="290"/>
      <c r="G1507" s="290"/>
      <c r="H1507" s="290"/>
      <c r="I1507" s="290"/>
      <c r="J1507" s="290" t="n">
        <v>17887.5</v>
      </c>
      <c r="K1507" s="290"/>
      <c r="L1507" s="290"/>
      <c r="M1507" s="290"/>
      <c r="N1507" s="290"/>
      <c r="O1507" s="290"/>
      <c r="P1507" s="290"/>
      <c r="Q1507" s="290"/>
      <c r="R1507" s="290"/>
      <c r="S1507" s="290"/>
      <c r="T1507" s="290"/>
      <c r="U1507" s="290"/>
      <c r="V1507" s="290"/>
      <c r="W1507" s="290"/>
      <c r="X1507" s="290"/>
      <c r="Y1507" s="291" t="n">
        <f aca="false">SUM(B1507:X1507)</f>
        <v>17887.5</v>
      </c>
      <c r="Z1507" s="292"/>
      <c r="AA1507" s="293"/>
      <c r="AB1507" s="288"/>
    </row>
    <row r="1508" customFormat="false" ht="14.25" hidden="false" customHeight="false" outlineLevel="0" collapsed="false">
      <c r="A1508" s="289" t="s">
        <v>1553</v>
      </c>
      <c r="B1508" s="290"/>
      <c r="C1508" s="290"/>
      <c r="D1508" s="290"/>
      <c r="E1508" s="290"/>
      <c r="F1508" s="290"/>
      <c r="G1508" s="290"/>
      <c r="H1508" s="290"/>
      <c r="I1508" s="290"/>
      <c r="J1508" s="290"/>
      <c r="K1508" s="290"/>
      <c r="L1508" s="290"/>
      <c r="M1508" s="290"/>
      <c r="N1508" s="290" t="n">
        <v>12300</v>
      </c>
      <c r="O1508" s="290"/>
      <c r="P1508" s="290"/>
      <c r="Q1508" s="290"/>
      <c r="R1508" s="290"/>
      <c r="S1508" s="290"/>
      <c r="T1508" s="290"/>
      <c r="U1508" s="290"/>
      <c r="V1508" s="290"/>
      <c r="W1508" s="290"/>
      <c r="X1508" s="290"/>
      <c r="Y1508" s="291" t="n">
        <f aca="false">SUM(B1508:X1508)</f>
        <v>12300</v>
      </c>
      <c r="Z1508" s="292"/>
      <c r="AA1508" s="293"/>
      <c r="AB1508" s="288"/>
    </row>
    <row r="1509" customFormat="false" ht="14.25" hidden="false" customHeight="false" outlineLevel="0" collapsed="false">
      <c r="A1509" s="289" t="s">
        <v>1554</v>
      </c>
      <c r="B1509" s="290"/>
      <c r="C1509" s="290"/>
      <c r="D1509" s="290"/>
      <c r="E1509" s="290"/>
      <c r="F1509" s="290"/>
      <c r="G1509" s="290"/>
      <c r="H1509" s="290"/>
      <c r="I1509" s="290"/>
      <c r="J1509" s="290" t="n">
        <v>22275</v>
      </c>
      <c r="K1509" s="290"/>
      <c r="L1509" s="290"/>
      <c r="M1509" s="290"/>
      <c r="N1509" s="290"/>
      <c r="O1509" s="290"/>
      <c r="P1509" s="290"/>
      <c r="Q1509" s="290"/>
      <c r="R1509" s="290"/>
      <c r="S1509" s="290"/>
      <c r="T1509" s="290"/>
      <c r="U1509" s="290"/>
      <c r="V1509" s="290"/>
      <c r="W1509" s="290"/>
      <c r="X1509" s="290"/>
      <c r="Y1509" s="291" t="n">
        <f aca="false">SUM(B1509:X1509)</f>
        <v>22275</v>
      </c>
      <c r="Z1509" s="292"/>
      <c r="AA1509" s="293"/>
      <c r="AB1509" s="288"/>
    </row>
    <row r="1510" customFormat="false" ht="14.25" hidden="false" customHeight="false" outlineLevel="0" collapsed="false">
      <c r="A1510" s="289" t="s">
        <v>1555</v>
      </c>
      <c r="B1510" s="290"/>
      <c r="C1510" s="290" t="n">
        <v>88455</v>
      </c>
      <c r="D1510" s="290"/>
      <c r="E1510" s="290"/>
      <c r="F1510" s="290"/>
      <c r="G1510" s="290"/>
      <c r="H1510" s="290"/>
      <c r="I1510" s="290"/>
      <c r="J1510" s="290"/>
      <c r="K1510" s="290"/>
      <c r="L1510" s="290"/>
      <c r="M1510" s="290"/>
      <c r="N1510" s="290"/>
      <c r="O1510" s="290"/>
      <c r="P1510" s="290"/>
      <c r="Q1510" s="290"/>
      <c r="R1510" s="290"/>
      <c r="S1510" s="290"/>
      <c r="T1510" s="290"/>
      <c r="U1510" s="290"/>
      <c r="V1510" s="290"/>
      <c r="W1510" s="290"/>
      <c r="X1510" s="290"/>
      <c r="Y1510" s="291" t="n">
        <f aca="false">SUM(B1510:X1510)</f>
        <v>88455</v>
      </c>
      <c r="Z1510" s="292"/>
      <c r="AA1510" s="293"/>
      <c r="AB1510" s="288"/>
    </row>
    <row r="1511" customFormat="false" ht="14.25" hidden="false" customHeight="false" outlineLevel="0" collapsed="false">
      <c r="A1511" s="289" t="s">
        <v>1556</v>
      </c>
      <c r="B1511" s="290"/>
      <c r="C1511" s="290"/>
      <c r="D1511" s="290"/>
      <c r="E1511" s="290"/>
      <c r="F1511" s="290"/>
      <c r="G1511" s="290"/>
      <c r="H1511" s="290"/>
      <c r="I1511" s="290"/>
      <c r="J1511" s="290"/>
      <c r="K1511" s="290"/>
      <c r="L1511" s="290"/>
      <c r="M1511" s="290"/>
      <c r="N1511" s="290" t="n">
        <v>17550</v>
      </c>
      <c r="O1511" s="290"/>
      <c r="P1511" s="290"/>
      <c r="Q1511" s="290"/>
      <c r="R1511" s="290"/>
      <c r="S1511" s="290"/>
      <c r="T1511" s="290"/>
      <c r="U1511" s="290"/>
      <c r="V1511" s="290"/>
      <c r="W1511" s="290"/>
      <c r="X1511" s="290"/>
      <c r="Y1511" s="291" t="n">
        <f aca="false">SUM(B1511:X1511)</f>
        <v>17550</v>
      </c>
      <c r="Z1511" s="292"/>
      <c r="AA1511" s="293"/>
      <c r="AB1511" s="288"/>
    </row>
    <row r="1512" customFormat="false" ht="14.25" hidden="false" customHeight="false" outlineLevel="0" collapsed="false">
      <c r="A1512" s="289" t="s">
        <v>1557</v>
      </c>
      <c r="B1512" s="290"/>
      <c r="C1512" s="290"/>
      <c r="D1512" s="290"/>
      <c r="E1512" s="290" t="n">
        <v>76212</v>
      </c>
      <c r="F1512" s="290"/>
      <c r="G1512" s="290"/>
      <c r="H1512" s="290"/>
      <c r="I1512" s="290"/>
      <c r="J1512" s="290"/>
      <c r="K1512" s="290"/>
      <c r="L1512" s="290"/>
      <c r="M1512" s="290"/>
      <c r="N1512" s="290"/>
      <c r="O1512" s="290"/>
      <c r="P1512" s="290"/>
      <c r="Q1512" s="290"/>
      <c r="R1512" s="290"/>
      <c r="S1512" s="290"/>
      <c r="T1512" s="290"/>
      <c r="U1512" s="290"/>
      <c r="V1512" s="290"/>
      <c r="W1512" s="290"/>
      <c r="X1512" s="290"/>
      <c r="Y1512" s="291" t="n">
        <f aca="false">SUM(B1512:X1512)</f>
        <v>76212</v>
      </c>
      <c r="Z1512" s="292"/>
      <c r="AA1512" s="293"/>
      <c r="AB1512" s="288"/>
    </row>
    <row r="1513" customFormat="false" ht="14.25" hidden="false" customHeight="false" outlineLevel="0" collapsed="false">
      <c r="A1513" s="289" t="s">
        <v>1558</v>
      </c>
      <c r="B1513" s="290"/>
      <c r="C1513" s="290"/>
      <c r="D1513" s="290"/>
      <c r="E1513" s="290"/>
      <c r="F1513" s="290"/>
      <c r="G1513" s="290"/>
      <c r="H1513" s="290"/>
      <c r="I1513" s="290" t="n">
        <v>27540</v>
      </c>
      <c r="J1513" s="290"/>
      <c r="K1513" s="290"/>
      <c r="L1513" s="290"/>
      <c r="M1513" s="290"/>
      <c r="N1513" s="290"/>
      <c r="O1513" s="290"/>
      <c r="P1513" s="290"/>
      <c r="Q1513" s="290"/>
      <c r="R1513" s="290"/>
      <c r="S1513" s="290"/>
      <c r="T1513" s="290"/>
      <c r="U1513" s="290"/>
      <c r="V1513" s="290"/>
      <c r="W1513" s="290"/>
      <c r="X1513" s="290"/>
      <c r="Y1513" s="291" t="n">
        <f aca="false">SUM(B1513:X1513)</f>
        <v>27540</v>
      </c>
      <c r="Z1513" s="292"/>
      <c r="AA1513" s="293"/>
      <c r="AB1513" s="288"/>
    </row>
    <row r="1514" customFormat="false" ht="14.25" hidden="false" customHeight="false" outlineLevel="0" collapsed="false">
      <c r="A1514" s="289" t="s">
        <v>1559</v>
      </c>
      <c r="B1514" s="290"/>
      <c r="C1514" s="290"/>
      <c r="D1514" s="290" t="n">
        <v>52841.7</v>
      </c>
      <c r="E1514" s="290"/>
      <c r="F1514" s="290"/>
      <c r="G1514" s="290"/>
      <c r="H1514" s="290"/>
      <c r="I1514" s="290"/>
      <c r="J1514" s="290"/>
      <c r="K1514" s="290"/>
      <c r="L1514" s="290"/>
      <c r="M1514" s="290"/>
      <c r="N1514" s="290"/>
      <c r="O1514" s="290"/>
      <c r="P1514" s="290"/>
      <c r="Q1514" s="290"/>
      <c r="R1514" s="290"/>
      <c r="S1514" s="290"/>
      <c r="T1514" s="290"/>
      <c r="U1514" s="290"/>
      <c r="V1514" s="290"/>
      <c r="W1514" s="290"/>
      <c r="X1514" s="290"/>
      <c r="Y1514" s="291" t="n">
        <f aca="false">SUM(B1514:X1514)</f>
        <v>52841.7</v>
      </c>
      <c r="Z1514" s="292"/>
      <c r="AA1514" s="293"/>
      <c r="AB1514" s="288"/>
    </row>
    <row r="1515" customFormat="false" ht="14.25" hidden="false" customHeight="false" outlineLevel="0" collapsed="false">
      <c r="A1515" s="289" t="s">
        <v>1560</v>
      </c>
      <c r="B1515" s="290"/>
      <c r="C1515" s="290"/>
      <c r="D1515" s="290"/>
      <c r="E1515" s="290"/>
      <c r="F1515" s="290"/>
      <c r="G1515" s="290" t="n">
        <v>98908.5</v>
      </c>
      <c r="H1515" s="290"/>
      <c r="I1515" s="290"/>
      <c r="J1515" s="290"/>
      <c r="K1515" s="290"/>
      <c r="L1515" s="290"/>
      <c r="M1515" s="290"/>
      <c r="N1515" s="290"/>
      <c r="O1515" s="290"/>
      <c r="P1515" s="290"/>
      <c r="Q1515" s="290"/>
      <c r="R1515" s="290"/>
      <c r="S1515" s="290"/>
      <c r="T1515" s="290"/>
      <c r="U1515" s="290"/>
      <c r="V1515" s="290"/>
      <c r="W1515" s="290"/>
      <c r="X1515" s="290"/>
      <c r="Y1515" s="291" t="n">
        <f aca="false">SUM(B1515:X1515)</f>
        <v>98908.5</v>
      </c>
      <c r="Z1515" s="292"/>
      <c r="AA1515" s="293"/>
      <c r="AB1515" s="288"/>
    </row>
    <row r="1516" customFormat="false" ht="14.25" hidden="false" customHeight="false" outlineLevel="0" collapsed="false">
      <c r="A1516" s="289" t="s">
        <v>1561</v>
      </c>
      <c r="B1516" s="290" t="n">
        <v>34258.9497</v>
      </c>
      <c r="C1516" s="290"/>
      <c r="D1516" s="290"/>
      <c r="E1516" s="290"/>
      <c r="F1516" s="290"/>
      <c r="G1516" s="290"/>
      <c r="H1516" s="290"/>
      <c r="I1516" s="290"/>
      <c r="J1516" s="290"/>
      <c r="K1516" s="290"/>
      <c r="L1516" s="290"/>
      <c r="M1516" s="290"/>
      <c r="N1516" s="290"/>
      <c r="O1516" s="290"/>
      <c r="P1516" s="290"/>
      <c r="Q1516" s="290"/>
      <c r="R1516" s="290"/>
      <c r="S1516" s="290"/>
      <c r="T1516" s="290"/>
      <c r="U1516" s="290"/>
      <c r="V1516" s="290"/>
      <c r="W1516" s="290"/>
      <c r="X1516" s="290"/>
      <c r="Y1516" s="291" t="n">
        <f aca="false">SUM(B1516:X1516)</f>
        <v>34258.9497</v>
      </c>
      <c r="Z1516" s="292"/>
      <c r="AA1516" s="293"/>
      <c r="AB1516" s="288"/>
    </row>
    <row r="1517" customFormat="false" ht="14.25" hidden="false" customHeight="false" outlineLevel="0" collapsed="false">
      <c r="A1517" s="289" t="s">
        <v>1562</v>
      </c>
      <c r="B1517" s="290"/>
      <c r="C1517" s="290"/>
      <c r="D1517" s="290"/>
      <c r="E1517" s="290"/>
      <c r="F1517" s="290"/>
      <c r="G1517" s="290"/>
      <c r="H1517" s="290"/>
      <c r="I1517" s="290"/>
      <c r="J1517" s="290"/>
      <c r="K1517" s="290"/>
      <c r="L1517" s="290" t="n">
        <v>28036.5</v>
      </c>
      <c r="M1517" s="290"/>
      <c r="N1517" s="290"/>
      <c r="O1517" s="290"/>
      <c r="P1517" s="290"/>
      <c r="Q1517" s="290"/>
      <c r="R1517" s="290"/>
      <c r="S1517" s="290"/>
      <c r="T1517" s="290"/>
      <c r="U1517" s="290"/>
      <c r="V1517" s="290"/>
      <c r="W1517" s="290"/>
      <c r="X1517" s="290"/>
      <c r="Y1517" s="291" t="n">
        <f aca="false">SUM(B1517:X1517)</f>
        <v>28036.5</v>
      </c>
      <c r="Z1517" s="292"/>
      <c r="AA1517" s="293"/>
      <c r="AB1517" s="288"/>
    </row>
    <row r="1518" customFormat="false" ht="14.25" hidden="false" customHeight="false" outlineLevel="0" collapsed="false">
      <c r="A1518" s="289" t="s">
        <v>1563</v>
      </c>
      <c r="B1518" s="290"/>
      <c r="C1518" s="290"/>
      <c r="D1518" s="290"/>
      <c r="E1518" s="290"/>
      <c r="F1518" s="290"/>
      <c r="G1518" s="290"/>
      <c r="H1518" s="290"/>
      <c r="I1518" s="290"/>
      <c r="J1518" s="290"/>
      <c r="K1518" s="290"/>
      <c r="L1518" s="290"/>
      <c r="M1518" s="290"/>
      <c r="N1518" s="290"/>
      <c r="O1518" s="290"/>
      <c r="P1518" s="290" t="n">
        <v>6750</v>
      </c>
      <c r="Q1518" s="290"/>
      <c r="R1518" s="290"/>
      <c r="S1518" s="290"/>
      <c r="T1518" s="290"/>
      <c r="U1518" s="290"/>
      <c r="V1518" s="290"/>
      <c r="W1518" s="290"/>
      <c r="X1518" s="290"/>
      <c r="Y1518" s="291" t="n">
        <f aca="false">SUM(B1518:X1518)</f>
        <v>6750</v>
      </c>
      <c r="Z1518" s="292"/>
      <c r="AA1518" s="293"/>
      <c r="AB1518" s="288"/>
    </row>
    <row r="1519" customFormat="false" ht="14.25" hidden="false" customHeight="false" outlineLevel="0" collapsed="false">
      <c r="A1519" s="289" t="s">
        <v>1564</v>
      </c>
      <c r="B1519" s="290"/>
      <c r="C1519" s="290"/>
      <c r="D1519" s="290"/>
      <c r="E1519" s="290"/>
      <c r="F1519" s="290"/>
      <c r="G1519" s="290"/>
      <c r="H1519" s="290"/>
      <c r="I1519" s="290"/>
      <c r="J1519" s="290"/>
      <c r="K1519" s="290"/>
      <c r="L1519" s="290"/>
      <c r="M1519" s="290"/>
      <c r="N1519" s="290" t="n">
        <v>11812.5</v>
      </c>
      <c r="O1519" s="290"/>
      <c r="P1519" s="290"/>
      <c r="Q1519" s="290"/>
      <c r="R1519" s="290"/>
      <c r="S1519" s="290"/>
      <c r="T1519" s="290"/>
      <c r="U1519" s="290"/>
      <c r="V1519" s="290"/>
      <c r="W1519" s="290"/>
      <c r="X1519" s="290"/>
      <c r="Y1519" s="291" t="n">
        <f aca="false">SUM(B1519:X1519)</f>
        <v>11812.5</v>
      </c>
      <c r="Z1519" s="292"/>
      <c r="AA1519" s="293"/>
      <c r="AB1519" s="288"/>
    </row>
    <row r="1520" customFormat="false" ht="14.25" hidden="false" customHeight="false" outlineLevel="0" collapsed="false">
      <c r="A1520" s="289" t="s">
        <v>1565</v>
      </c>
      <c r="B1520" s="290"/>
      <c r="C1520" s="290"/>
      <c r="D1520" s="290"/>
      <c r="E1520" s="290"/>
      <c r="F1520" s="290"/>
      <c r="G1520" s="290"/>
      <c r="H1520" s="290"/>
      <c r="I1520" s="290"/>
      <c r="J1520" s="290"/>
      <c r="K1520" s="290"/>
      <c r="L1520" s="290"/>
      <c r="M1520" s="290"/>
      <c r="N1520" s="290" t="n">
        <v>9450</v>
      </c>
      <c r="O1520" s="290"/>
      <c r="P1520" s="290"/>
      <c r="Q1520" s="290"/>
      <c r="R1520" s="290"/>
      <c r="S1520" s="290"/>
      <c r="T1520" s="290"/>
      <c r="U1520" s="290"/>
      <c r="V1520" s="290"/>
      <c r="W1520" s="290"/>
      <c r="X1520" s="290"/>
      <c r="Y1520" s="291" t="n">
        <f aca="false">SUM(B1520:X1520)</f>
        <v>9450</v>
      </c>
      <c r="Z1520" s="292"/>
      <c r="AA1520" s="293"/>
      <c r="AB1520" s="288"/>
    </row>
    <row r="1521" customFormat="false" ht="14.25" hidden="false" customHeight="false" outlineLevel="0" collapsed="false">
      <c r="A1521" s="289" t="s">
        <v>1566</v>
      </c>
      <c r="B1521" s="290"/>
      <c r="C1521" s="290"/>
      <c r="D1521" s="290"/>
      <c r="E1521" s="290"/>
      <c r="F1521" s="290"/>
      <c r="G1521" s="290"/>
      <c r="H1521" s="290"/>
      <c r="I1521" s="290"/>
      <c r="J1521" s="290" t="n">
        <v>29362.5</v>
      </c>
      <c r="K1521" s="290"/>
      <c r="L1521" s="290"/>
      <c r="M1521" s="290"/>
      <c r="N1521" s="290"/>
      <c r="O1521" s="290"/>
      <c r="P1521" s="290"/>
      <c r="Q1521" s="290"/>
      <c r="R1521" s="290"/>
      <c r="S1521" s="290"/>
      <c r="T1521" s="290"/>
      <c r="U1521" s="290"/>
      <c r="V1521" s="290"/>
      <c r="W1521" s="290"/>
      <c r="X1521" s="290"/>
      <c r="Y1521" s="291" t="n">
        <f aca="false">SUM(B1521:X1521)</f>
        <v>29362.5</v>
      </c>
      <c r="Z1521" s="292"/>
      <c r="AA1521" s="293"/>
      <c r="AB1521" s="288"/>
    </row>
    <row r="1522" customFormat="false" ht="14.25" hidden="false" customHeight="false" outlineLevel="0" collapsed="false">
      <c r="A1522" s="289" t="s">
        <v>1567</v>
      </c>
      <c r="B1522" s="290"/>
      <c r="C1522" s="290"/>
      <c r="D1522" s="290"/>
      <c r="E1522" s="290" t="n">
        <v>107775</v>
      </c>
      <c r="F1522" s="290"/>
      <c r="G1522" s="290"/>
      <c r="H1522" s="290"/>
      <c r="I1522" s="290"/>
      <c r="J1522" s="290"/>
      <c r="K1522" s="290"/>
      <c r="L1522" s="290"/>
      <c r="M1522" s="290"/>
      <c r="N1522" s="290"/>
      <c r="O1522" s="290"/>
      <c r="P1522" s="290"/>
      <c r="Q1522" s="290"/>
      <c r="R1522" s="290"/>
      <c r="S1522" s="290"/>
      <c r="T1522" s="290"/>
      <c r="U1522" s="290"/>
      <c r="V1522" s="290"/>
      <c r="W1522" s="290"/>
      <c r="X1522" s="290"/>
      <c r="Y1522" s="291" t="n">
        <f aca="false">SUM(B1522:X1522)</f>
        <v>107775</v>
      </c>
      <c r="Z1522" s="292"/>
      <c r="AA1522" s="293"/>
      <c r="AB1522" s="288"/>
    </row>
    <row r="1523" customFormat="false" ht="14.25" hidden="false" customHeight="false" outlineLevel="0" collapsed="false">
      <c r="A1523" s="289" t="s">
        <v>1568</v>
      </c>
      <c r="B1523" s="290"/>
      <c r="C1523" s="290" t="n">
        <v>74925</v>
      </c>
      <c r="D1523" s="290"/>
      <c r="E1523" s="290"/>
      <c r="F1523" s="290"/>
      <c r="G1523" s="290"/>
      <c r="H1523" s="290"/>
      <c r="I1523" s="290"/>
      <c r="J1523" s="290"/>
      <c r="K1523" s="290"/>
      <c r="L1523" s="290"/>
      <c r="M1523" s="290"/>
      <c r="N1523" s="290"/>
      <c r="O1523" s="290"/>
      <c r="P1523" s="290"/>
      <c r="Q1523" s="290"/>
      <c r="R1523" s="290"/>
      <c r="S1523" s="290"/>
      <c r="T1523" s="290"/>
      <c r="U1523" s="290"/>
      <c r="V1523" s="290"/>
      <c r="W1523" s="290"/>
      <c r="X1523" s="290"/>
      <c r="Y1523" s="291" t="n">
        <f aca="false">SUM(B1523:X1523)</f>
        <v>74925</v>
      </c>
      <c r="Z1523" s="292"/>
      <c r="AA1523" s="293"/>
      <c r="AB1523" s="288"/>
    </row>
    <row r="1524" customFormat="false" ht="14.25" hidden="false" customHeight="false" outlineLevel="0" collapsed="false">
      <c r="A1524" s="289" t="s">
        <v>1569</v>
      </c>
      <c r="B1524" s="290"/>
      <c r="C1524" s="290"/>
      <c r="D1524" s="290"/>
      <c r="E1524" s="290"/>
      <c r="F1524" s="290"/>
      <c r="G1524" s="290"/>
      <c r="H1524" s="290"/>
      <c r="I1524" s="290"/>
      <c r="J1524" s="290"/>
      <c r="K1524" s="290"/>
      <c r="L1524" s="290"/>
      <c r="M1524" s="290"/>
      <c r="N1524" s="290" t="n">
        <v>6075</v>
      </c>
      <c r="O1524" s="290"/>
      <c r="P1524" s="290"/>
      <c r="Q1524" s="290"/>
      <c r="R1524" s="290"/>
      <c r="S1524" s="290"/>
      <c r="T1524" s="290"/>
      <c r="U1524" s="290"/>
      <c r="V1524" s="290"/>
      <c r="W1524" s="290"/>
      <c r="X1524" s="290"/>
      <c r="Y1524" s="291" t="n">
        <f aca="false">SUM(B1524:X1524)</f>
        <v>6075</v>
      </c>
      <c r="Z1524" s="292"/>
      <c r="AA1524" s="293"/>
      <c r="AB1524" s="288"/>
    </row>
    <row r="1525" customFormat="false" ht="14.25" hidden="false" customHeight="false" outlineLevel="0" collapsed="false">
      <c r="A1525" s="289" t="s">
        <v>1570</v>
      </c>
      <c r="B1525" s="290"/>
      <c r="C1525" s="290"/>
      <c r="D1525" s="290"/>
      <c r="E1525" s="290"/>
      <c r="F1525" s="290"/>
      <c r="G1525" s="290"/>
      <c r="H1525" s="290"/>
      <c r="I1525" s="290"/>
      <c r="J1525" s="290"/>
      <c r="K1525" s="290"/>
      <c r="L1525" s="290"/>
      <c r="M1525" s="290"/>
      <c r="N1525" s="290"/>
      <c r="O1525" s="290"/>
      <c r="P1525" s="290" t="n">
        <v>6750</v>
      </c>
      <c r="Q1525" s="290"/>
      <c r="R1525" s="290"/>
      <c r="S1525" s="290"/>
      <c r="T1525" s="290"/>
      <c r="U1525" s="290"/>
      <c r="V1525" s="290"/>
      <c r="W1525" s="290"/>
      <c r="X1525" s="290"/>
      <c r="Y1525" s="291" t="n">
        <f aca="false">SUM(B1525:X1525)</f>
        <v>6750</v>
      </c>
      <c r="Z1525" s="292"/>
      <c r="AA1525" s="293"/>
      <c r="AB1525" s="288"/>
    </row>
    <row r="1526" customFormat="false" ht="14.25" hidden="false" customHeight="false" outlineLevel="0" collapsed="false">
      <c r="A1526" s="289" t="s">
        <v>1571</v>
      </c>
      <c r="B1526" s="290"/>
      <c r="C1526" s="290"/>
      <c r="D1526" s="290"/>
      <c r="E1526" s="290"/>
      <c r="F1526" s="290"/>
      <c r="G1526" s="290"/>
      <c r="H1526" s="290"/>
      <c r="I1526" s="290"/>
      <c r="J1526" s="290"/>
      <c r="K1526" s="290"/>
      <c r="L1526" s="290"/>
      <c r="M1526" s="290"/>
      <c r="N1526" s="290"/>
      <c r="O1526" s="290"/>
      <c r="P1526" s="290" t="n">
        <v>8100</v>
      </c>
      <c r="Q1526" s="290"/>
      <c r="R1526" s="290"/>
      <c r="S1526" s="290"/>
      <c r="T1526" s="290"/>
      <c r="U1526" s="290"/>
      <c r="V1526" s="290"/>
      <c r="W1526" s="290"/>
      <c r="X1526" s="290"/>
      <c r="Y1526" s="291" t="n">
        <f aca="false">SUM(B1526:X1526)</f>
        <v>8100</v>
      </c>
      <c r="Z1526" s="292"/>
      <c r="AA1526" s="293"/>
      <c r="AB1526" s="288"/>
    </row>
    <row r="1527" customFormat="false" ht="14.25" hidden="false" customHeight="false" outlineLevel="0" collapsed="false">
      <c r="A1527" s="289" t="s">
        <v>1572</v>
      </c>
      <c r="B1527" s="290"/>
      <c r="C1527" s="290"/>
      <c r="D1527" s="290"/>
      <c r="E1527" s="290"/>
      <c r="F1527" s="290"/>
      <c r="G1527" s="290"/>
      <c r="H1527" s="290"/>
      <c r="I1527" s="290"/>
      <c r="J1527" s="290" t="n">
        <v>54000</v>
      </c>
      <c r="K1527" s="290"/>
      <c r="L1527" s="290"/>
      <c r="M1527" s="290"/>
      <c r="N1527" s="290"/>
      <c r="O1527" s="290"/>
      <c r="P1527" s="290"/>
      <c r="Q1527" s="290"/>
      <c r="R1527" s="290"/>
      <c r="S1527" s="290"/>
      <c r="T1527" s="290"/>
      <c r="U1527" s="290"/>
      <c r="V1527" s="290"/>
      <c r="W1527" s="290"/>
      <c r="X1527" s="290"/>
      <c r="Y1527" s="291" t="n">
        <f aca="false">SUM(B1527:X1527)</f>
        <v>54000</v>
      </c>
      <c r="Z1527" s="292"/>
      <c r="AA1527" s="293"/>
      <c r="AB1527" s="288"/>
    </row>
    <row r="1528" customFormat="false" ht="14.25" hidden="false" customHeight="false" outlineLevel="0" collapsed="false">
      <c r="A1528" s="289" t="s">
        <v>1573</v>
      </c>
      <c r="B1528" s="290"/>
      <c r="C1528" s="290"/>
      <c r="D1528" s="290"/>
      <c r="E1528" s="290"/>
      <c r="F1528" s="290"/>
      <c r="G1528" s="290"/>
      <c r="H1528" s="290"/>
      <c r="I1528" s="290"/>
      <c r="J1528" s="290"/>
      <c r="K1528" s="290"/>
      <c r="L1528" s="290"/>
      <c r="M1528" s="290"/>
      <c r="N1528" s="290"/>
      <c r="O1528" s="290"/>
      <c r="P1528" s="290"/>
      <c r="Q1528" s="290"/>
      <c r="R1528" s="290"/>
      <c r="S1528" s="290" t="n">
        <v>5643</v>
      </c>
      <c r="T1528" s="290"/>
      <c r="U1528" s="290"/>
      <c r="V1528" s="290"/>
      <c r="W1528" s="290"/>
      <c r="X1528" s="290"/>
      <c r="Y1528" s="291" t="n">
        <f aca="false">SUM(B1528:X1528)</f>
        <v>5643</v>
      </c>
      <c r="Z1528" s="292"/>
      <c r="AA1528" s="293"/>
      <c r="AB1528" s="288"/>
    </row>
    <row r="1529" customFormat="false" ht="14.25" hidden="false" customHeight="false" outlineLevel="0" collapsed="false">
      <c r="A1529" s="289"/>
      <c r="B1529" s="290"/>
      <c r="C1529" s="290"/>
      <c r="D1529" s="290"/>
      <c r="E1529" s="290"/>
      <c r="F1529" s="290"/>
      <c r="G1529" s="290"/>
      <c r="H1529" s="290"/>
      <c r="I1529" s="290"/>
      <c r="J1529" s="290"/>
      <c r="K1529" s="290"/>
      <c r="L1529" s="290"/>
      <c r="M1529" s="290"/>
      <c r="N1529" s="290"/>
      <c r="O1529" s="290"/>
      <c r="P1529" s="290"/>
      <c r="Q1529" s="290"/>
      <c r="R1529" s="290"/>
      <c r="S1529" s="290"/>
      <c r="T1529" s="290"/>
      <c r="U1529" s="290"/>
      <c r="V1529" s="290"/>
      <c r="W1529" s="290"/>
      <c r="X1529" s="290"/>
      <c r="Y1529" s="291" t="n">
        <f aca="false">SUM(B1529:X1529)</f>
        <v>0</v>
      </c>
      <c r="Z1529" s="292"/>
      <c r="AA1529" s="294" t="n">
        <f aca="false">SUM(Y1471:Y1529)</f>
        <v>1313967.0505</v>
      </c>
      <c r="AB1529" s="288"/>
    </row>
    <row r="1530" customFormat="false" ht="14.25" hidden="false" customHeight="false" outlineLevel="0" collapsed="false">
      <c r="A1530" s="295" t="s">
        <v>1516</v>
      </c>
      <c r="B1530" s="296" t="n">
        <v>-1200.9438</v>
      </c>
      <c r="C1530" s="296"/>
      <c r="D1530" s="296"/>
      <c r="E1530" s="296"/>
      <c r="F1530" s="296"/>
      <c r="G1530" s="296"/>
      <c r="H1530" s="296"/>
      <c r="I1530" s="296"/>
      <c r="J1530" s="296"/>
      <c r="K1530" s="296"/>
      <c r="L1530" s="296"/>
      <c r="M1530" s="296"/>
      <c r="N1530" s="296"/>
      <c r="O1530" s="296"/>
      <c r="P1530" s="296"/>
      <c r="Q1530" s="296"/>
      <c r="R1530" s="296"/>
      <c r="S1530" s="296"/>
      <c r="T1530" s="296"/>
      <c r="U1530" s="296"/>
      <c r="V1530" s="296"/>
      <c r="W1530" s="296"/>
      <c r="X1530" s="296"/>
      <c r="Y1530" s="297" t="n">
        <f aca="false">SUM(B1530:X1530)</f>
        <v>-1200.9438</v>
      </c>
      <c r="Z1530" s="298"/>
      <c r="AA1530" s="294"/>
      <c r="AB1530" s="288"/>
    </row>
    <row r="1531" customFormat="false" ht="14.25" hidden="false" customHeight="false" outlineLevel="0" collapsed="false">
      <c r="A1531" s="295" t="s">
        <v>1574</v>
      </c>
      <c r="B1531" s="296"/>
      <c r="C1531" s="296"/>
      <c r="D1531" s="296" t="n">
        <v>-269.8524</v>
      </c>
      <c r="E1531" s="296"/>
      <c r="F1531" s="296"/>
      <c r="G1531" s="296"/>
      <c r="H1531" s="296"/>
      <c r="I1531" s="296"/>
      <c r="J1531" s="296"/>
      <c r="K1531" s="296"/>
      <c r="L1531" s="296"/>
      <c r="M1531" s="296"/>
      <c r="N1531" s="296"/>
      <c r="O1531" s="296"/>
      <c r="P1531" s="296"/>
      <c r="Q1531" s="296"/>
      <c r="R1531" s="296"/>
      <c r="S1531" s="296"/>
      <c r="T1531" s="296"/>
      <c r="U1531" s="296"/>
      <c r="V1531" s="296"/>
      <c r="W1531" s="296"/>
      <c r="X1531" s="296"/>
      <c r="Y1531" s="297" t="n">
        <f aca="false">SUM(B1531:X1531)</f>
        <v>-269.8524</v>
      </c>
      <c r="Z1531" s="298"/>
      <c r="AA1531" s="294"/>
      <c r="AB1531" s="288"/>
    </row>
    <row r="1532" customFormat="false" ht="14.25" hidden="false" customHeight="false" outlineLevel="0" collapsed="false">
      <c r="A1532" s="295" t="s">
        <v>1575</v>
      </c>
      <c r="B1532" s="296"/>
      <c r="C1532" s="296"/>
      <c r="D1532" s="296"/>
      <c r="E1532" s="296"/>
      <c r="F1532" s="296"/>
      <c r="G1532" s="296"/>
      <c r="H1532" s="296" t="n">
        <v>-223.2375</v>
      </c>
      <c r="I1532" s="296"/>
      <c r="J1532" s="296"/>
      <c r="K1532" s="296"/>
      <c r="L1532" s="296"/>
      <c r="M1532" s="296"/>
      <c r="N1532" s="296"/>
      <c r="O1532" s="296"/>
      <c r="P1532" s="296"/>
      <c r="Q1532" s="296"/>
      <c r="R1532" s="296"/>
      <c r="S1532" s="296"/>
      <c r="T1532" s="296"/>
      <c r="U1532" s="296"/>
      <c r="V1532" s="296"/>
      <c r="W1532" s="296"/>
      <c r="X1532" s="296"/>
      <c r="Y1532" s="297" t="n">
        <f aca="false">SUM(B1532:X1532)</f>
        <v>-223.2375</v>
      </c>
      <c r="Z1532" s="298"/>
      <c r="AA1532" s="294"/>
      <c r="AB1532" s="288"/>
    </row>
    <row r="1533" customFormat="false" ht="14.25" hidden="false" customHeight="false" outlineLevel="0" collapsed="false">
      <c r="A1533" s="295" t="s">
        <v>1371</v>
      </c>
      <c r="B1533" s="296"/>
      <c r="C1533" s="296"/>
      <c r="D1533" s="296"/>
      <c r="E1533" s="296"/>
      <c r="F1533" s="296"/>
      <c r="G1533" s="296"/>
      <c r="H1533" s="296"/>
      <c r="I1533" s="296"/>
      <c r="J1533" s="296" t="n">
        <v>-854.484</v>
      </c>
      <c r="K1533" s="296"/>
      <c r="L1533" s="296"/>
      <c r="M1533" s="296"/>
      <c r="N1533" s="296"/>
      <c r="O1533" s="296"/>
      <c r="P1533" s="296"/>
      <c r="Q1533" s="296"/>
      <c r="R1533" s="296"/>
      <c r="S1533" s="296"/>
      <c r="T1533" s="296"/>
      <c r="U1533" s="296"/>
      <c r="V1533" s="296"/>
      <c r="W1533" s="296"/>
      <c r="X1533" s="296"/>
      <c r="Y1533" s="297" t="n">
        <f aca="false">SUM(B1533:X1533)</f>
        <v>-854.484</v>
      </c>
      <c r="Z1533" s="298"/>
      <c r="AA1533" s="294"/>
      <c r="AB1533" s="288"/>
    </row>
    <row r="1534" customFormat="false" ht="14.25" hidden="false" customHeight="false" outlineLevel="0" collapsed="false">
      <c r="A1534" s="295" t="s">
        <v>214</v>
      </c>
      <c r="B1534" s="296"/>
      <c r="C1534" s="296"/>
      <c r="D1534" s="296"/>
      <c r="E1534" s="296"/>
      <c r="F1534" s="296"/>
      <c r="G1534" s="296"/>
      <c r="H1534" s="296"/>
      <c r="I1534" s="296"/>
      <c r="J1534" s="296"/>
      <c r="K1534" s="296"/>
      <c r="L1534" s="296"/>
      <c r="M1534" s="296"/>
      <c r="N1534" s="296"/>
      <c r="O1534" s="296"/>
      <c r="P1534" s="296"/>
      <c r="Q1534" s="296"/>
      <c r="R1534" s="296"/>
      <c r="S1534" s="296"/>
      <c r="T1534" s="296" t="n">
        <v>-60</v>
      </c>
      <c r="U1534" s="296"/>
      <c r="V1534" s="296"/>
      <c r="W1534" s="296"/>
      <c r="X1534" s="296"/>
      <c r="Y1534" s="297" t="n">
        <f aca="false">SUM(B1534:X1534)</f>
        <v>-60</v>
      </c>
      <c r="Z1534" s="298"/>
      <c r="AA1534" s="294"/>
      <c r="AB1534" s="288"/>
    </row>
    <row r="1535" customFormat="false" ht="14.25" hidden="false" customHeight="false" outlineLevel="0" collapsed="false">
      <c r="A1535" s="295" t="s">
        <v>1576</v>
      </c>
      <c r="B1535" s="296"/>
      <c r="C1535" s="296"/>
      <c r="D1535" s="296"/>
      <c r="E1535" s="296"/>
      <c r="F1535" s="296"/>
      <c r="G1535" s="296"/>
      <c r="H1535" s="296" t="n">
        <v>3555</v>
      </c>
      <c r="I1535" s="296"/>
      <c r="J1535" s="296"/>
      <c r="K1535" s="296"/>
      <c r="L1535" s="296"/>
      <c r="M1535" s="296"/>
      <c r="N1535" s="296"/>
      <c r="O1535" s="296"/>
      <c r="P1535" s="296"/>
      <c r="Q1535" s="296"/>
      <c r="R1535" s="296"/>
      <c r="S1535" s="296"/>
      <c r="T1535" s="296"/>
      <c r="U1535" s="296"/>
      <c r="V1535" s="296"/>
      <c r="W1535" s="296"/>
      <c r="X1535" s="296"/>
      <c r="Y1535" s="297" t="n">
        <f aca="false">SUM(B1535:X1535)</f>
        <v>3555</v>
      </c>
      <c r="Z1535" s="298"/>
      <c r="AA1535" s="294"/>
      <c r="AB1535" s="288"/>
    </row>
    <row r="1536" customFormat="false" ht="14.25" hidden="false" customHeight="false" outlineLevel="0" collapsed="false">
      <c r="A1536" s="295" t="s">
        <v>1577</v>
      </c>
      <c r="B1536" s="296"/>
      <c r="C1536" s="296"/>
      <c r="D1536" s="296"/>
      <c r="E1536" s="296" t="n">
        <v>7650</v>
      </c>
      <c r="F1536" s="296"/>
      <c r="G1536" s="296"/>
      <c r="H1536" s="296"/>
      <c r="I1536" s="296"/>
      <c r="J1536" s="296"/>
      <c r="K1536" s="296"/>
      <c r="L1536" s="296"/>
      <c r="M1536" s="296"/>
      <c r="N1536" s="296"/>
      <c r="O1536" s="296"/>
      <c r="P1536" s="296"/>
      <c r="Q1536" s="296"/>
      <c r="R1536" s="296"/>
      <c r="S1536" s="296"/>
      <c r="T1536" s="296"/>
      <c r="U1536" s="296"/>
      <c r="V1536" s="296"/>
      <c r="W1536" s="296"/>
      <c r="X1536" s="296"/>
      <c r="Y1536" s="297" t="n">
        <f aca="false">SUM(B1536:X1536)</f>
        <v>7650</v>
      </c>
      <c r="Z1536" s="298"/>
      <c r="AA1536" s="294"/>
      <c r="AB1536" s="288"/>
    </row>
    <row r="1537" customFormat="false" ht="14.25" hidden="false" customHeight="false" outlineLevel="0" collapsed="false">
      <c r="A1537" s="295" t="s">
        <v>1578</v>
      </c>
      <c r="B1537" s="296"/>
      <c r="C1537" s="296" t="n">
        <v>6075</v>
      </c>
      <c r="D1537" s="296"/>
      <c r="E1537" s="296"/>
      <c r="F1537" s="296"/>
      <c r="G1537" s="296"/>
      <c r="H1537" s="296"/>
      <c r="I1537" s="296"/>
      <c r="J1537" s="296"/>
      <c r="K1537" s="296"/>
      <c r="L1537" s="296"/>
      <c r="M1537" s="296"/>
      <c r="N1537" s="296"/>
      <c r="O1537" s="296"/>
      <c r="P1537" s="296"/>
      <c r="Q1537" s="296"/>
      <c r="R1537" s="296"/>
      <c r="S1537" s="296"/>
      <c r="T1537" s="296"/>
      <c r="U1537" s="296"/>
      <c r="V1537" s="296"/>
      <c r="W1537" s="296"/>
      <c r="X1537" s="296"/>
      <c r="Y1537" s="297" t="n">
        <f aca="false">SUM(B1537:X1537)</f>
        <v>6075</v>
      </c>
      <c r="Z1537" s="298"/>
      <c r="AA1537" s="294"/>
      <c r="AB1537" s="288"/>
    </row>
    <row r="1538" customFormat="false" ht="14.25" hidden="false" customHeight="false" outlineLevel="0" collapsed="false">
      <c r="A1538" s="295" t="s">
        <v>1579</v>
      </c>
      <c r="B1538" s="296"/>
      <c r="C1538" s="296" t="n">
        <v>12150</v>
      </c>
      <c r="D1538" s="296"/>
      <c r="E1538" s="296"/>
      <c r="F1538" s="296"/>
      <c r="G1538" s="296"/>
      <c r="H1538" s="296"/>
      <c r="I1538" s="296"/>
      <c r="J1538" s="296"/>
      <c r="K1538" s="296"/>
      <c r="L1538" s="296"/>
      <c r="M1538" s="296"/>
      <c r="N1538" s="296"/>
      <c r="O1538" s="296"/>
      <c r="P1538" s="296"/>
      <c r="Q1538" s="296"/>
      <c r="R1538" s="296"/>
      <c r="S1538" s="296"/>
      <c r="T1538" s="296"/>
      <c r="U1538" s="296"/>
      <c r="V1538" s="296"/>
      <c r="W1538" s="296"/>
      <c r="X1538" s="296"/>
      <c r="Y1538" s="297" t="n">
        <f aca="false">SUM(B1538:X1538)</f>
        <v>12150</v>
      </c>
      <c r="Z1538" s="298"/>
      <c r="AA1538" s="294"/>
      <c r="AB1538" s="288"/>
    </row>
    <row r="1539" customFormat="false" ht="14.25" hidden="false" customHeight="false" outlineLevel="0" collapsed="false">
      <c r="A1539" s="295" t="s">
        <v>1580</v>
      </c>
      <c r="B1539" s="296"/>
      <c r="C1539" s="296"/>
      <c r="D1539" s="296" t="n">
        <v>3240</v>
      </c>
      <c r="E1539" s="296"/>
      <c r="F1539" s="296"/>
      <c r="G1539" s="296"/>
      <c r="H1539" s="296"/>
      <c r="I1539" s="296"/>
      <c r="J1539" s="296"/>
      <c r="K1539" s="296"/>
      <c r="L1539" s="296"/>
      <c r="M1539" s="296"/>
      <c r="N1539" s="296"/>
      <c r="O1539" s="296"/>
      <c r="P1539" s="296"/>
      <c r="Q1539" s="296"/>
      <c r="R1539" s="296"/>
      <c r="S1539" s="296"/>
      <c r="T1539" s="296"/>
      <c r="U1539" s="296"/>
      <c r="V1539" s="296"/>
      <c r="W1539" s="296"/>
      <c r="X1539" s="296"/>
      <c r="Y1539" s="297" t="n">
        <f aca="false">SUM(B1539:X1539)</f>
        <v>3240</v>
      </c>
      <c r="Z1539" s="298"/>
      <c r="AA1539" s="294"/>
      <c r="AB1539" s="288"/>
    </row>
    <row r="1540" customFormat="false" ht="14.25" hidden="false" customHeight="false" outlineLevel="0" collapsed="false">
      <c r="A1540" s="295" t="s">
        <v>1581</v>
      </c>
      <c r="B1540" s="296"/>
      <c r="C1540" s="296"/>
      <c r="D1540" s="296"/>
      <c r="E1540" s="296"/>
      <c r="F1540" s="296"/>
      <c r="G1540" s="296" t="n">
        <v>13159.5</v>
      </c>
      <c r="H1540" s="296"/>
      <c r="I1540" s="296"/>
      <c r="J1540" s="296"/>
      <c r="K1540" s="296"/>
      <c r="L1540" s="296"/>
      <c r="M1540" s="296"/>
      <c r="N1540" s="296"/>
      <c r="O1540" s="296"/>
      <c r="P1540" s="296"/>
      <c r="Q1540" s="296"/>
      <c r="R1540" s="296"/>
      <c r="S1540" s="296"/>
      <c r="T1540" s="296"/>
      <c r="U1540" s="296"/>
      <c r="V1540" s="296"/>
      <c r="W1540" s="296"/>
      <c r="X1540" s="296"/>
      <c r="Y1540" s="297" t="n">
        <f aca="false">SUM(B1540:X1540)</f>
        <v>13159.5</v>
      </c>
      <c r="Z1540" s="298"/>
      <c r="AA1540" s="294"/>
      <c r="AB1540" s="288"/>
    </row>
    <row r="1541" customFormat="false" ht="14.25" hidden="false" customHeight="false" outlineLevel="0" collapsed="false">
      <c r="A1541" s="295" t="s">
        <v>1582</v>
      </c>
      <c r="B1541" s="296"/>
      <c r="C1541" s="296"/>
      <c r="D1541" s="296"/>
      <c r="E1541" s="296"/>
      <c r="F1541" s="296"/>
      <c r="G1541" s="296"/>
      <c r="H1541" s="296"/>
      <c r="I1541" s="296"/>
      <c r="J1541" s="296"/>
      <c r="K1541" s="296"/>
      <c r="L1541" s="296" t="n">
        <v>6892.5</v>
      </c>
      <c r="M1541" s="296"/>
      <c r="N1541" s="296"/>
      <c r="O1541" s="296"/>
      <c r="P1541" s="296"/>
      <c r="Q1541" s="296"/>
      <c r="R1541" s="296"/>
      <c r="S1541" s="296"/>
      <c r="T1541" s="296"/>
      <c r="U1541" s="296"/>
      <c r="V1541" s="296"/>
      <c r="W1541" s="296"/>
      <c r="X1541" s="296"/>
      <c r="Y1541" s="297" t="n">
        <f aca="false">SUM(B1541:X1541)</f>
        <v>6892.5</v>
      </c>
      <c r="Z1541" s="298"/>
      <c r="AA1541" s="294"/>
      <c r="AB1541" s="288"/>
    </row>
    <row r="1542" customFormat="false" ht="14.25" hidden="false" customHeight="false" outlineLevel="0" collapsed="false">
      <c r="A1542" s="295" t="s">
        <v>1583</v>
      </c>
      <c r="B1542" s="296"/>
      <c r="C1542" s="296"/>
      <c r="D1542" s="296"/>
      <c r="E1542" s="296"/>
      <c r="F1542" s="296"/>
      <c r="G1542" s="296"/>
      <c r="H1542" s="296"/>
      <c r="I1542" s="296"/>
      <c r="J1542" s="296" t="n">
        <v>-2519.79</v>
      </c>
      <c r="K1542" s="296"/>
      <c r="L1542" s="296"/>
      <c r="M1542" s="296"/>
      <c r="N1542" s="296"/>
      <c r="O1542" s="296"/>
      <c r="P1542" s="296"/>
      <c r="Q1542" s="296"/>
      <c r="R1542" s="296"/>
      <c r="S1542" s="296"/>
      <c r="T1542" s="296"/>
      <c r="U1542" s="296"/>
      <c r="V1542" s="296"/>
      <c r="W1542" s="296"/>
      <c r="X1542" s="296"/>
      <c r="Y1542" s="297" t="n">
        <f aca="false">SUM(B1542:X1542)</f>
        <v>-2519.79</v>
      </c>
      <c r="Z1542" s="298"/>
      <c r="AA1542" s="294"/>
      <c r="AB1542" s="288"/>
    </row>
    <row r="1543" customFormat="false" ht="14.25" hidden="false" customHeight="false" outlineLevel="0" collapsed="false">
      <c r="A1543" s="295" t="s">
        <v>1584</v>
      </c>
      <c r="B1543" s="296" t="n">
        <v>4627.8</v>
      </c>
      <c r="C1543" s="296"/>
      <c r="D1543" s="296"/>
      <c r="E1543" s="296"/>
      <c r="F1543" s="296"/>
      <c r="G1543" s="296"/>
      <c r="H1543" s="296"/>
      <c r="I1543" s="296"/>
      <c r="J1543" s="296"/>
      <c r="K1543" s="296"/>
      <c r="L1543" s="296"/>
      <c r="M1543" s="296"/>
      <c r="N1543" s="296"/>
      <c r="O1543" s="296"/>
      <c r="P1543" s="296"/>
      <c r="Q1543" s="296"/>
      <c r="R1543" s="296"/>
      <c r="S1543" s="296"/>
      <c r="T1543" s="296"/>
      <c r="U1543" s="296"/>
      <c r="V1543" s="296"/>
      <c r="W1543" s="296"/>
      <c r="X1543" s="296"/>
      <c r="Y1543" s="297" t="n">
        <f aca="false">SUM(B1543:X1543)</f>
        <v>4627.8</v>
      </c>
      <c r="Z1543" s="298"/>
      <c r="AA1543" s="294"/>
      <c r="AB1543" s="288"/>
    </row>
    <row r="1544" customFormat="false" ht="14.25" hidden="false" customHeight="false" outlineLevel="0" collapsed="false">
      <c r="A1544" s="295" t="s">
        <v>1585</v>
      </c>
      <c r="B1544" s="296"/>
      <c r="C1544" s="296"/>
      <c r="D1544" s="296"/>
      <c r="E1544" s="296"/>
      <c r="F1544" s="296"/>
      <c r="G1544" s="296"/>
      <c r="H1544" s="296" t="n">
        <v>720</v>
      </c>
      <c r="I1544" s="296"/>
      <c r="J1544" s="296"/>
      <c r="K1544" s="296"/>
      <c r="L1544" s="296"/>
      <c r="M1544" s="296"/>
      <c r="N1544" s="296"/>
      <c r="O1544" s="296"/>
      <c r="P1544" s="296"/>
      <c r="Q1544" s="296"/>
      <c r="R1544" s="296"/>
      <c r="S1544" s="296"/>
      <c r="T1544" s="296"/>
      <c r="U1544" s="296"/>
      <c r="V1544" s="296"/>
      <c r="W1544" s="296"/>
      <c r="X1544" s="296"/>
      <c r="Y1544" s="297" t="n">
        <f aca="false">SUM(B1544:X1544)</f>
        <v>720</v>
      </c>
      <c r="Z1544" s="298"/>
      <c r="AA1544" s="294"/>
      <c r="AB1544" s="288"/>
    </row>
    <row r="1545" customFormat="false" ht="14.25" hidden="false" customHeight="false" outlineLevel="0" collapsed="false">
      <c r="A1545" s="295" t="s">
        <v>1586</v>
      </c>
      <c r="B1545" s="296"/>
      <c r="C1545" s="296"/>
      <c r="D1545" s="296"/>
      <c r="E1545" s="296"/>
      <c r="F1545" s="296"/>
      <c r="G1545" s="296"/>
      <c r="H1545" s="296"/>
      <c r="I1545" s="296"/>
      <c r="J1545" s="296"/>
      <c r="K1545" s="296"/>
      <c r="L1545" s="296"/>
      <c r="M1545" s="296"/>
      <c r="N1545" s="296"/>
      <c r="O1545" s="296"/>
      <c r="P1545" s="296"/>
      <c r="Q1545" s="296"/>
      <c r="R1545" s="296"/>
      <c r="S1545" s="296"/>
      <c r="T1545" s="296" t="n">
        <v>-20</v>
      </c>
      <c r="U1545" s="296"/>
      <c r="V1545" s="296"/>
      <c r="W1545" s="296"/>
      <c r="X1545" s="296"/>
      <c r="Y1545" s="297" t="n">
        <f aca="false">SUM(B1545:X1545)</f>
        <v>-20</v>
      </c>
      <c r="Z1545" s="298"/>
      <c r="AA1545" s="294"/>
      <c r="AB1545" s="288"/>
    </row>
    <row r="1546" customFormat="false" ht="14.25" hidden="false" customHeight="false" outlineLevel="0" collapsed="false">
      <c r="A1546" s="295" t="s">
        <v>1587</v>
      </c>
      <c r="B1546" s="296"/>
      <c r="C1546" s="296"/>
      <c r="D1546" s="296"/>
      <c r="E1546" s="296"/>
      <c r="F1546" s="296"/>
      <c r="G1546" s="296"/>
      <c r="H1546" s="296"/>
      <c r="I1546" s="296"/>
      <c r="J1546" s="296" t="n">
        <v>-416.2515</v>
      </c>
      <c r="K1546" s="296"/>
      <c r="L1546" s="296"/>
      <c r="M1546" s="296"/>
      <c r="N1546" s="296"/>
      <c r="O1546" s="296"/>
      <c r="P1546" s="296"/>
      <c r="Q1546" s="296"/>
      <c r="R1546" s="296"/>
      <c r="S1546" s="296"/>
      <c r="T1546" s="296"/>
      <c r="U1546" s="296"/>
      <c r="V1546" s="296"/>
      <c r="W1546" s="296"/>
      <c r="X1546" s="296"/>
      <c r="Y1546" s="297" t="n">
        <f aca="false">SUM(B1546:X1546)</f>
        <v>-416.2515</v>
      </c>
      <c r="Z1546" s="298"/>
      <c r="AA1546" s="294"/>
      <c r="AB1546" s="288"/>
    </row>
    <row r="1547" customFormat="false" ht="14.25" hidden="false" customHeight="false" outlineLevel="0" collapsed="false">
      <c r="A1547" s="295" t="s">
        <v>1588</v>
      </c>
      <c r="B1547" s="296"/>
      <c r="C1547" s="296"/>
      <c r="D1547" s="296"/>
      <c r="E1547" s="296"/>
      <c r="F1547" s="296"/>
      <c r="G1547" s="296"/>
      <c r="H1547" s="296"/>
      <c r="I1547" s="296"/>
      <c r="J1547" s="296"/>
      <c r="K1547" s="296"/>
      <c r="L1547" s="296"/>
      <c r="M1547" s="296"/>
      <c r="N1547" s="296"/>
      <c r="O1547" s="296"/>
      <c r="P1547" s="296"/>
      <c r="Q1547" s="296"/>
      <c r="R1547" s="296"/>
      <c r="S1547" s="296"/>
      <c r="T1547" s="296" t="n">
        <v>-120</v>
      </c>
      <c r="U1547" s="296"/>
      <c r="V1547" s="296"/>
      <c r="W1547" s="296"/>
      <c r="X1547" s="296"/>
      <c r="Y1547" s="297" t="n">
        <f aca="false">SUM(B1547:X1547)</f>
        <v>-120</v>
      </c>
      <c r="Z1547" s="298"/>
      <c r="AA1547" s="294"/>
      <c r="AB1547" s="288"/>
    </row>
    <row r="1548" customFormat="false" ht="14.25" hidden="false" customHeight="false" outlineLevel="0" collapsed="false">
      <c r="A1548" s="295" t="s">
        <v>1589</v>
      </c>
      <c r="B1548" s="296"/>
      <c r="C1548" s="296"/>
      <c r="D1548" s="296"/>
      <c r="E1548" s="296"/>
      <c r="F1548" s="296"/>
      <c r="G1548" s="296"/>
      <c r="H1548" s="296"/>
      <c r="I1548" s="296"/>
      <c r="J1548" s="296"/>
      <c r="K1548" s="296"/>
      <c r="L1548" s="296"/>
      <c r="M1548" s="296"/>
      <c r="N1548" s="296"/>
      <c r="O1548" s="296"/>
      <c r="P1548" s="296"/>
      <c r="Q1548" s="296"/>
      <c r="R1548" s="296"/>
      <c r="S1548" s="296"/>
      <c r="T1548" s="296" t="n">
        <v>-5</v>
      </c>
      <c r="U1548" s="296"/>
      <c r="V1548" s="296"/>
      <c r="W1548" s="296"/>
      <c r="X1548" s="296"/>
      <c r="Y1548" s="297" t="n">
        <f aca="false">SUM(B1548:X1548)</f>
        <v>-5</v>
      </c>
      <c r="Z1548" s="298"/>
      <c r="AA1548" s="294"/>
      <c r="AB1548" s="288"/>
    </row>
    <row r="1549" customFormat="false" ht="14.25" hidden="false" customHeight="false" outlineLevel="0" collapsed="false">
      <c r="A1549" s="295" t="s">
        <v>1590</v>
      </c>
      <c r="B1549" s="296"/>
      <c r="C1549" s="296"/>
      <c r="D1549" s="296"/>
      <c r="E1549" s="296"/>
      <c r="F1549" s="296"/>
      <c r="G1549" s="296"/>
      <c r="H1549" s="296"/>
      <c r="I1549" s="296"/>
      <c r="J1549" s="296"/>
      <c r="K1549" s="296"/>
      <c r="L1549" s="296"/>
      <c r="M1549" s="296"/>
      <c r="N1549" s="296"/>
      <c r="O1549" s="296"/>
      <c r="P1549" s="296"/>
      <c r="Q1549" s="296"/>
      <c r="R1549" s="296"/>
      <c r="S1549" s="296" t="n">
        <v>20</v>
      </c>
      <c r="T1549" s="296"/>
      <c r="U1549" s="296"/>
      <c r="V1549" s="296"/>
      <c r="W1549" s="296"/>
      <c r="X1549" s="296"/>
      <c r="Y1549" s="297" t="n">
        <f aca="false">SUM(B1549:X1549)</f>
        <v>20</v>
      </c>
      <c r="Z1549" s="298"/>
      <c r="AA1549" s="294"/>
      <c r="AB1549" s="288"/>
    </row>
    <row r="1550" customFormat="false" ht="14.25" hidden="false" customHeight="false" outlineLevel="0" collapsed="false">
      <c r="A1550" s="295" t="s">
        <v>1591</v>
      </c>
      <c r="B1550" s="296"/>
      <c r="C1550" s="296"/>
      <c r="D1550" s="296"/>
      <c r="E1550" s="296"/>
      <c r="F1550" s="296"/>
      <c r="G1550" s="296"/>
      <c r="H1550" s="296"/>
      <c r="I1550" s="296"/>
      <c r="J1550" s="296"/>
      <c r="K1550" s="296"/>
      <c r="L1550" s="296"/>
      <c r="M1550" s="296"/>
      <c r="N1550" s="296"/>
      <c r="O1550" s="296"/>
      <c r="P1550" s="296"/>
      <c r="Q1550" s="296"/>
      <c r="R1550" s="296"/>
      <c r="S1550" s="296"/>
      <c r="T1550" s="296"/>
      <c r="U1550" s="296"/>
      <c r="V1550" s="296" t="n">
        <v>-300</v>
      </c>
      <c r="W1550" s="296"/>
      <c r="X1550" s="296"/>
      <c r="Y1550" s="297" t="n">
        <f aca="false">SUM(B1550:X1550)</f>
        <v>-300</v>
      </c>
      <c r="Z1550" s="298"/>
      <c r="AA1550" s="294"/>
      <c r="AB1550" s="288"/>
    </row>
    <row r="1551" customFormat="false" ht="14.25" hidden="false" customHeight="false" outlineLevel="0" collapsed="false">
      <c r="A1551" s="295" t="s">
        <v>1592</v>
      </c>
      <c r="B1551" s="296"/>
      <c r="C1551" s="296"/>
      <c r="D1551" s="296"/>
      <c r="E1551" s="296"/>
      <c r="F1551" s="296"/>
      <c r="G1551" s="296"/>
      <c r="H1551" s="296"/>
      <c r="I1551" s="296"/>
      <c r="J1551" s="296" t="n">
        <v>-63593.3</v>
      </c>
      <c r="K1551" s="296"/>
      <c r="L1551" s="296"/>
      <c r="M1551" s="296"/>
      <c r="N1551" s="296" t="n">
        <v>63593.3</v>
      </c>
      <c r="O1551" s="296"/>
      <c r="P1551" s="296"/>
      <c r="Q1551" s="296"/>
      <c r="R1551" s="296"/>
      <c r="S1551" s="296"/>
      <c r="T1551" s="296"/>
      <c r="U1551" s="296"/>
      <c r="V1551" s="296"/>
      <c r="W1551" s="296"/>
      <c r="X1551" s="296"/>
      <c r="Y1551" s="297" t="n">
        <f aca="false">SUM(B1551:X1551)</f>
        <v>0</v>
      </c>
      <c r="Z1551" s="298"/>
      <c r="AA1551" s="294"/>
      <c r="AB1551" s="288"/>
    </row>
    <row r="1552" customFormat="false" ht="14.25" hidden="false" customHeight="false" outlineLevel="0" collapsed="false">
      <c r="A1552" s="295"/>
      <c r="B1552" s="296"/>
      <c r="C1552" s="296"/>
      <c r="D1552" s="296"/>
      <c r="E1552" s="296"/>
      <c r="F1552" s="296"/>
      <c r="G1552" s="296"/>
      <c r="H1552" s="296"/>
      <c r="I1552" s="296"/>
      <c r="J1552" s="296"/>
      <c r="K1552" s="296"/>
      <c r="L1552" s="296"/>
      <c r="M1552" s="296"/>
      <c r="N1552" s="296"/>
      <c r="O1552" s="296"/>
      <c r="P1552" s="296"/>
      <c r="Q1552" s="296"/>
      <c r="R1552" s="296"/>
      <c r="S1552" s="296"/>
      <c r="T1552" s="296"/>
      <c r="U1552" s="296"/>
      <c r="V1552" s="296"/>
      <c r="W1552" s="296"/>
      <c r="X1552" s="296"/>
      <c r="Y1552" s="297" t="n">
        <f aca="false">SUM(B1552:X1552)</f>
        <v>0</v>
      </c>
      <c r="Z1552" s="298"/>
      <c r="AA1552" s="276" t="n">
        <f aca="false">SUM(Y1530:Y1552)</f>
        <v>52100.2408</v>
      </c>
      <c r="AB1552" s="288"/>
    </row>
    <row r="1553" customFormat="false" ht="14.25" hidden="false" customHeight="false" outlineLevel="0" collapsed="false">
      <c r="A1553" s="299" t="s">
        <v>1593</v>
      </c>
      <c r="B1553" s="300" t="n">
        <v>-445.1385</v>
      </c>
      <c r="C1553" s="300" t="n">
        <v>-455.2725</v>
      </c>
      <c r="D1553" s="300"/>
      <c r="E1553" s="300" t="n">
        <v>-487.5</v>
      </c>
      <c r="F1553" s="300" t="n">
        <v>-384.2865</v>
      </c>
      <c r="G1553" s="300"/>
      <c r="H1553" s="300"/>
      <c r="I1553" s="300"/>
      <c r="J1553" s="300" t="n">
        <v>-427.242</v>
      </c>
      <c r="K1553" s="300"/>
      <c r="L1553" s="300"/>
      <c r="M1553" s="300" t="n">
        <v>-355.5</v>
      </c>
      <c r="N1553" s="300" t="n">
        <v>-415.5</v>
      </c>
      <c r="O1553" s="300" t="n">
        <v>-423.0195</v>
      </c>
      <c r="P1553" s="300" t="n">
        <v>-421.5</v>
      </c>
      <c r="Q1553" s="300"/>
      <c r="R1553" s="300"/>
      <c r="S1553" s="300"/>
      <c r="T1553" s="300" t="n">
        <v>-2110</v>
      </c>
      <c r="U1553" s="300"/>
      <c r="V1553" s="300" t="n">
        <v>1410</v>
      </c>
      <c r="W1553" s="300" t="n">
        <v>990</v>
      </c>
      <c r="X1553" s="300"/>
      <c r="Y1553" s="301" t="n">
        <f aca="false">SUM(B1553:X1553)</f>
        <v>-3524.959</v>
      </c>
      <c r="Z1553" s="299"/>
    </row>
    <row r="1554" customFormat="false" ht="14.25" hidden="false" customHeight="false" outlineLevel="0" collapsed="false">
      <c r="A1554" s="299" t="s">
        <v>1594</v>
      </c>
      <c r="B1554" s="300"/>
      <c r="C1554" s="300" t="n">
        <v>-1142.4</v>
      </c>
      <c r="D1554" s="300"/>
      <c r="E1554" s="300"/>
      <c r="F1554" s="300"/>
      <c r="G1554" s="300"/>
      <c r="H1554" s="300"/>
      <c r="I1554" s="300"/>
      <c r="J1554" s="300"/>
      <c r="K1554" s="300"/>
      <c r="L1554" s="300"/>
      <c r="M1554" s="300"/>
      <c r="N1554" s="300"/>
      <c r="O1554" s="300"/>
      <c r="P1554" s="300"/>
      <c r="Q1554" s="300" t="n">
        <v>1429</v>
      </c>
      <c r="R1554" s="300"/>
      <c r="S1554" s="300"/>
      <c r="T1554" s="300"/>
      <c r="U1554" s="300"/>
      <c r="V1554" s="300" t="n">
        <v>82</v>
      </c>
      <c r="W1554" s="300" t="n">
        <v>2994</v>
      </c>
      <c r="X1554" s="300" t="n">
        <v>1022</v>
      </c>
      <c r="Y1554" s="301" t="n">
        <f aca="false">SUM(B1554:X1554)</f>
        <v>4384.6</v>
      </c>
      <c r="Z1554" s="299"/>
    </row>
    <row r="1555" customFormat="false" ht="14.25" hidden="false" customHeight="false" outlineLevel="0" collapsed="false">
      <c r="A1555" s="299" t="s">
        <v>1595</v>
      </c>
      <c r="B1555" s="300" t="n">
        <v>-203386.6</v>
      </c>
      <c r="C1555" s="300" t="n">
        <v>-894196</v>
      </c>
      <c r="D1555" s="300"/>
      <c r="E1555" s="300" t="n">
        <v>-46078</v>
      </c>
      <c r="F1555" s="300" t="n">
        <v>-11246.8365</v>
      </c>
      <c r="G1555" s="300"/>
      <c r="H1555" s="300" t="n">
        <v>-6873</v>
      </c>
      <c r="I1555" s="300" t="n">
        <v>-6173.18</v>
      </c>
      <c r="J1555" s="300" t="n">
        <v>-1606.4904</v>
      </c>
      <c r="K1555" s="300"/>
      <c r="L1555" s="300"/>
      <c r="M1555" s="300"/>
      <c r="N1555" s="300" t="n">
        <v>-55015</v>
      </c>
      <c r="O1555" s="300"/>
      <c r="P1555" s="300"/>
      <c r="Q1555" s="300"/>
      <c r="R1555" s="300"/>
      <c r="S1555" s="300" t="n">
        <v>-362</v>
      </c>
      <c r="T1555" s="300"/>
      <c r="U1555" s="300"/>
      <c r="V1555" s="300"/>
      <c r="W1555" s="300"/>
      <c r="X1555" s="300"/>
      <c r="Y1555" s="301" t="n">
        <f aca="false">SUM(B1555:X1555)</f>
        <v>-1224937.1069</v>
      </c>
      <c r="Z1555" s="299"/>
    </row>
    <row r="1556" customFormat="false" ht="14.25" hidden="false" customHeight="false" outlineLevel="0" collapsed="false">
      <c r="A1556" s="299" t="s">
        <v>1596</v>
      </c>
      <c r="B1556" s="300"/>
      <c r="C1556" s="300"/>
      <c r="D1556" s="300"/>
      <c r="E1556" s="300"/>
      <c r="F1556" s="300"/>
      <c r="G1556" s="300" t="n">
        <v>-99154.8</v>
      </c>
      <c r="H1556" s="300"/>
      <c r="I1556" s="300"/>
      <c r="J1556" s="300"/>
      <c r="K1556" s="300"/>
      <c r="L1556" s="300"/>
      <c r="M1556" s="300"/>
      <c r="N1556" s="300" t="n">
        <v>-587486</v>
      </c>
      <c r="O1556" s="300" t="n">
        <v>-1924626</v>
      </c>
      <c r="P1556" s="300"/>
      <c r="Q1556" s="300"/>
      <c r="R1556" s="300" t="n">
        <v>-23911.2</v>
      </c>
      <c r="S1556" s="300"/>
      <c r="T1556" s="300"/>
      <c r="U1556" s="300"/>
      <c r="V1556" s="300"/>
      <c r="W1556" s="300"/>
      <c r="X1556" s="300"/>
      <c r="Y1556" s="301" t="n">
        <f aca="false">SUM(B1556:X1556)</f>
        <v>-2635178</v>
      </c>
      <c r="Z1556" s="299"/>
    </row>
    <row r="1557" customFormat="false" ht="14.25" hidden="false" customHeight="false" outlineLevel="0" collapsed="false">
      <c r="A1557" s="299" t="s">
        <v>1597</v>
      </c>
      <c r="B1557" s="300" t="n">
        <v>981554.9</v>
      </c>
      <c r="C1557" s="300" t="n">
        <v>530732.1</v>
      </c>
      <c r="D1557" s="300" t="n">
        <v>746960.4</v>
      </c>
      <c r="E1557" s="300" t="n">
        <v>29725.8</v>
      </c>
      <c r="F1557" s="300" t="n">
        <v>-8668916.1</v>
      </c>
      <c r="G1557" s="300" t="n">
        <v>457198.9166</v>
      </c>
      <c r="H1557" s="300"/>
      <c r="I1557" s="300" t="n">
        <v>684367.73</v>
      </c>
      <c r="J1557" s="300" t="n">
        <v>1410681.2</v>
      </c>
      <c r="K1557" s="300"/>
      <c r="L1557" s="300" t="n">
        <v>389831.35</v>
      </c>
      <c r="M1557" s="300"/>
      <c r="N1557" s="300" t="n">
        <v>888964.655</v>
      </c>
      <c r="O1557" s="300" t="n">
        <v>86760</v>
      </c>
      <c r="P1557" s="300"/>
      <c r="Q1557" s="300"/>
      <c r="R1557" s="300"/>
      <c r="S1557" s="300"/>
      <c r="T1557" s="300" t="n">
        <v>60</v>
      </c>
      <c r="U1557" s="300"/>
      <c r="V1557" s="300"/>
      <c r="W1557" s="300"/>
      <c r="X1557" s="300"/>
      <c r="Y1557" s="301" t="n">
        <f aca="false">SUM(B1557:X1557)</f>
        <v>-2462079.0484</v>
      </c>
      <c r="Z1557" s="299"/>
    </row>
    <row r="1558" customFormat="false" ht="14.25" hidden="false" customHeight="false" outlineLevel="0" collapsed="false">
      <c r="A1558" s="299" t="s">
        <v>1598</v>
      </c>
      <c r="B1558" s="300" t="n">
        <v>-909.165</v>
      </c>
      <c r="C1558" s="300" t="n">
        <v>-946.395</v>
      </c>
      <c r="D1558" s="300" t="n">
        <v>-1895.16</v>
      </c>
      <c r="E1558" s="300"/>
      <c r="F1558" s="300"/>
      <c r="G1558" s="300"/>
      <c r="H1558" s="300"/>
      <c r="I1558" s="300"/>
      <c r="J1558" s="300"/>
      <c r="K1558" s="300"/>
      <c r="L1558" s="300"/>
      <c r="M1558" s="300" t="n">
        <v>7425</v>
      </c>
      <c r="N1558" s="300"/>
      <c r="O1558" s="300"/>
      <c r="P1558" s="300"/>
      <c r="Q1558" s="300"/>
      <c r="R1558" s="300"/>
      <c r="S1558" s="300"/>
      <c r="T1558" s="300"/>
      <c r="U1558" s="300"/>
      <c r="V1558" s="300"/>
      <c r="W1558" s="300"/>
      <c r="X1558" s="300"/>
      <c r="Y1558" s="301" t="n">
        <f aca="false">SUM(B1558:X1558)</f>
        <v>3674.28</v>
      </c>
      <c r="Z1558" s="299"/>
    </row>
    <row r="1559" customFormat="false" ht="14.25" hidden="false" customHeight="false" outlineLevel="0" collapsed="false">
      <c r="A1559" s="299" t="s">
        <v>1599</v>
      </c>
      <c r="B1559" s="300"/>
      <c r="C1559" s="300"/>
      <c r="D1559" s="300"/>
      <c r="E1559" s="300"/>
      <c r="F1559" s="300"/>
      <c r="G1559" s="300"/>
      <c r="H1559" s="300"/>
      <c r="I1559" s="300"/>
      <c r="J1559" s="300"/>
      <c r="K1559" s="300"/>
      <c r="L1559" s="300"/>
      <c r="M1559" s="300"/>
      <c r="N1559" s="300"/>
      <c r="O1559" s="300"/>
      <c r="P1559" s="300"/>
      <c r="Q1559" s="300"/>
      <c r="R1559" s="300"/>
      <c r="S1559" s="300" t="n">
        <v>-138</v>
      </c>
      <c r="T1559" s="300"/>
      <c r="U1559" s="300"/>
      <c r="V1559" s="300"/>
      <c r="W1559" s="300"/>
      <c r="X1559" s="300"/>
      <c r="Y1559" s="301" t="n">
        <f aca="false">SUM(B1559:X1559)</f>
        <v>-138</v>
      </c>
      <c r="Z1559" s="299"/>
    </row>
    <row r="1560" customFormat="false" ht="14.25" hidden="false" customHeight="false" outlineLevel="0" collapsed="false">
      <c r="A1560" s="299" t="s">
        <v>1600</v>
      </c>
      <c r="B1560" s="300"/>
      <c r="C1560" s="300"/>
      <c r="D1560" s="300"/>
      <c r="E1560" s="300" t="n">
        <v>4318.6</v>
      </c>
      <c r="F1560" s="300"/>
      <c r="G1560" s="300"/>
      <c r="H1560" s="300"/>
      <c r="I1560" s="300"/>
      <c r="J1560" s="300"/>
      <c r="K1560" s="300"/>
      <c r="L1560" s="300"/>
      <c r="M1560" s="300"/>
      <c r="N1560" s="300"/>
      <c r="O1560" s="300"/>
      <c r="P1560" s="300"/>
      <c r="Q1560" s="300"/>
      <c r="R1560" s="300"/>
      <c r="S1560" s="300"/>
      <c r="T1560" s="300"/>
      <c r="U1560" s="300"/>
      <c r="V1560" s="300"/>
      <c r="W1560" s="300"/>
      <c r="X1560" s="300"/>
      <c r="Y1560" s="301" t="n">
        <f aca="false">SUM(B1560:X1560)</f>
        <v>4318.6</v>
      </c>
      <c r="Z1560" s="299"/>
    </row>
    <row r="1561" customFormat="false" ht="14.25" hidden="false" customHeight="false" outlineLevel="0" collapsed="false">
      <c r="A1561" s="299" t="s">
        <v>1601</v>
      </c>
      <c r="B1561" s="300"/>
      <c r="C1561" s="300"/>
      <c r="D1561" s="300"/>
      <c r="E1561" s="300"/>
      <c r="F1561" s="300"/>
      <c r="G1561" s="300"/>
      <c r="H1561" s="300"/>
      <c r="I1561" s="300"/>
      <c r="J1561" s="300"/>
      <c r="K1561" s="300"/>
      <c r="L1561" s="300" t="n">
        <v>12621.7</v>
      </c>
      <c r="M1561" s="300"/>
      <c r="N1561" s="300"/>
      <c r="O1561" s="300"/>
      <c r="P1561" s="300"/>
      <c r="Q1561" s="300"/>
      <c r="R1561" s="300"/>
      <c r="S1561" s="300"/>
      <c r="T1561" s="300"/>
      <c r="U1561" s="300"/>
      <c r="V1561" s="300"/>
      <c r="W1561" s="300"/>
      <c r="X1561" s="300"/>
      <c r="Y1561" s="301" t="n">
        <f aca="false">SUM(B1561:X1561)</f>
        <v>12621.7</v>
      </c>
      <c r="Z1561" s="299"/>
    </row>
    <row r="1562" customFormat="false" ht="14.25" hidden="false" customHeight="false" outlineLevel="0" collapsed="false">
      <c r="A1562" s="299" t="s">
        <v>1602</v>
      </c>
      <c r="B1562" s="300"/>
      <c r="C1562" s="300"/>
      <c r="D1562" s="300" t="n">
        <v>18778.6</v>
      </c>
      <c r="E1562" s="300"/>
      <c r="F1562" s="300"/>
      <c r="G1562" s="300"/>
      <c r="H1562" s="300"/>
      <c r="I1562" s="300"/>
      <c r="J1562" s="300"/>
      <c r="K1562" s="300"/>
      <c r="L1562" s="300"/>
      <c r="M1562" s="300"/>
      <c r="N1562" s="300"/>
      <c r="O1562" s="300"/>
      <c r="P1562" s="300"/>
      <c r="Q1562" s="300"/>
      <c r="R1562" s="300"/>
      <c r="S1562" s="300"/>
      <c r="T1562" s="300"/>
      <c r="U1562" s="300"/>
      <c r="V1562" s="300"/>
      <c r="W1562" s="300"/>
      <c r="X1562" s="300"/>
      <c r="Y1562" s="301" t="n">
        <f aca="false">SUM(B1562:X1562)</f>
        <v>18778.6</v>
      </c>
      <c r="Z1562" s="299"/>
    </row>
    <row r="1563" customFormat="false" ht="14.25" hidden="false" customHeight="false" outlineLevel="0" collapsed="false">
      <c r="A1563" s="299" t="s">
        <v>1603</v>
      </c>
      <c r="B1563" s="300"/>
      <c r="C1563" s="300" t="n">
        <v>20386.8</v>
      </c>
      <c r="D1563" s="300"/>
      <c r="E1563" s="300"/>
      <c r="F1563" s="300"/>
      <c r="G1563" s="300"/>
      <c r="H1563" s="300"/>
      <c r="I1563" s="300"/>
      <c r="J1563" s="300"/>
      <c r="K1563" s="300"/>
      <c r="L1563" s="300"/>
      <c r="M1563" s="300"/>
      <c r="N1563" s="300"/>
      <c r="O1563" s="300"/>
      <c r="P1563" s="300"/>
      <c r="Q1563" s="300"/>
      <c r="R1563" s="300"/>
      <c r="S1563" s="300"/>
      <c r="T1563" s="300"/>
      <c r="U1563" s="300"/>
      <c r="V1563" s="300"/>
      <c r="W1563" s="300"/>
      <c r="X1563" s="300"/>
      <c r="Y1563" s="301" t="n">
        <f aca="false">SUM(B1563:X1563)</f>
        <v>20386.8</v>
      </c>
      <c r="Z1563" s="299"/>
    </row>
    <row r="1564" customFormat="false" ht="14.25" hidden="false" customHeight="false" outlineLevel="0" collapsed="false">
      <c r="A1564" s="299" t="s">
        <v>1604</v>
      </c>
      <c r="B1564" s="300"/>
      <c r="C1564" s="300"/>
      <c r="D1564" s="300"/>
      <c r="E1564" s="300" t="n">
        <v>17200</v>
      </c>
      <c r="F1564" s="300"/>
      <c r="G1564" s="300"/>
      <c r="H1564" s="300"/>
      <c r="I1564" s="300"/>
      <c r="J1564" s="300"/>
      <c r="K1564" s="300"/>
      <c r="L1564" s="300"/>
      <c r="M1564" s="300"/>
      <c r="N1564" s="300"/>
      <c r="O1564" s="300"/>
      <c r="P1564" s="300"/>
      <c r="Q1564" s="300"/>
      <c r="R1564" s="300"/>
      <c r="S1564" s="300"/>
      <c r="T1564" s="300"/>
      <c r="U1564" s="300"/>
      <c r="V1564" s="300"/>
      <c r="W1564" s="300"/>
      <c r="X1564" s="300"/>
      <c r="Y1564" s="301" t="n">
        <f aca="false">SUM(B1564:X1564)</f>
        <v>17200</v>
      </c>
      <c r="Z1564" s="299"/>
    </row>
    <row r="1565" customFormat="false" ht="14.25" hidden="false" customHeight="false" outlineLevel="0" collapsed="false">
      <c r="A1565" s="299" t="s">
        <v>1605</v>
      </c>
      <c r="B1565" s="300"/>
      <c r="C1565" s="300"/>
      <c r="D1565" s="300"/>
      <c r="E1565" s="300"/>
      <c r="F1565" s="300"/>
      <c r="G1565" s="300"/>
      <c r="H1565" s="300"/>
      <c r="I1565" s="300"/>
      <c r="J1565" s="300"/>
      <c r="K1565" s="300"/>
      <c r="L1565" s="300" t="n">
        <v>7817.5</v>
      </c>
      <c r="M1565" s="300"/>
      <c r="N1565" s="300"/>
      <c r="O1565" s="300"/>
      <c r="P1565" s="300"/>
      <c r="Q1565" s="300"/>
      <c r="R1565" s="300"/>
      <c r="S1565" s="300"/>
      <c r="T1565" s="300"/>
      <c r="U1565" s="300"/>
      <c r="V1565" s="300"/>
      <c r="W1565" s="300"/>
      <c r="X1565" s="300"/>
      <c r="Y1565" s="301" t="n">
        <f aca="false">SUM(B1565:X1565)</f>
        <v>7817.5</v>
      </c>
      <c r="Z1565" s="299"/>
    </row>
    <row r="1566" customFormat="false" ht="14.25" hidden="false" customHeight="false" outlineLevel="0" collapsed="false">
      <c r="A1566" s="299" t="s">
        <v>1606</v>
      </c>
      <c r="B1566" s="300"/>
      <c r="C1566" s="300"/>
      <c r="D1566" s="300"/>
      <c r="E1566" s="300"/>
      <c r="F1566" s="300"/>
      <c r="G1566" s="300"/>
      <c r="H1566" s="300"/>
      <c r="I1566" s="300"/>
      <c r="J1566" s="300"/>
      <c r="K1566" s="300"/>
      <c r="L1566" s="300"/>
      <c r="M1566" s="300"/>
      <c r="N1566" s="300" t="n">
        <v>58829.6</v>
      </c>
      <c r="O1566" s="300"/>
      <c r="P1566" s="300"/>
      <c r="Q1566" s="300"/>
      <c r="R1566" s="300"/>
      <c r="S1566" s="300"/>
      <c r="T1566" s="300"/>
      <c r="U1566" s="300"/>
      <c r="V1566" s="300"/>
      <c r="W1566" s="300"/>
      <c r="X1566" s="300"/>
      <c r="Y1566" s="301" t="n">
        <f aca="false">SUM(B1566:X1566)</f>
        <v>58829.6</v>
      </c>
      <c r="Z1566" s="299"/>
    </row>
    <row r="1567" customFormat="false" ht="14.25" hidden="false" customHeight="false" outlineLevel="0" collapsed="false">
      <c r="A1567" s="299" t="s">
        <v>1607</v>
      </c>
      <c r="B1567" s="300"/>
      <c r="C1567" s="300"/>
      <c r="D1567" s="300"/>
      <c r="E1567" s="300"/>
      <c r="F1567" s="300"/>
      <c r="G1567" s="300"/>
      <c r="H1567" s="300"/>
      <c r="I1567" s="300"/>
      <c r="J1567" s="300"/>
      <c r="K1567" s="300"/>
      <c r="L1567" s="300"/>
      <c r="M1567" s="300"/>
      <c r="N1567" s="300" t="n">
        <v>43479.7</v>
      </c>
      <c r="O1567" s="300"/>
      <c r="P1567" s="300"/>
      <c r="Q1567" s="300"/>
      <c r="R1567" s="300"/>
      <c r="S1567" s="300"/>
      <c r="T1567" s="300"/>
      <c r="U1567" s="300"/>
      <c r="V1567" s="300"/>
      <c r="W1567" s="300"/>
      <c r="X1567" s="300"/>
      <c r="Y1567" s="301" t="n">
        <f aca="false">SUM(B1567:X1567)</f>
        <v>43479.7</v>
      </c>
      <c r="Z1567" s="299"/>
    </row>
    <row r="1568" customFormat="false" ht="14.25" hidden="false" customHeight="false" outlineLevel="0" collapsed="false">
      <c r="A1568" s="299" t="s">
        <v>1608</v>
      </c>
      <c r="B1568" s="300"/>
      <c r="C1568" s="300"/>
      <c r="D1568" s="300"/>
      <c r="E1568" s="300"/>
      <c r="F1568" s="300"/>
      <c r="G1568" s="300"/>
      <c r="H1568" s="300"/>
      <c r="I1568" s="300"/>
      <c r="J1568" s="300"/>
      <c r="K1568" s="300"/>
      <c r="L1568" s="300" t="n">
        <v>25341</v>
      </c>
      <c r="M1568" s="300"/>
      <c r="N1568" s="300"/>
      <c r="O1568" s="300"/>
      <c r="P1568" s="300"/>
      <c r="Q1568" s="300"/>
      <c r="R1568" s="300"/>
      <c r="S1568" s="300"/>
      <c r="T1568" s="300"/>
      <c r="U1568" s="300"/>
      <c r="V1568" s="300"/>
      <c r="W1568" s="300"/>
      <c r="X1568" s="300"/>
      <c r="Y1568" s="301" t="n">
        <f aca="false">SUM(B1568:X1568)</f>
        <v>25341</v>
      </c>
      <c r="Z1568" s="299"/>
    </row>
    <row r="1569" customFormat="false" ht="14.25" hidden="false" customHeight="false" outlineLevel="0" collapsed="false">
      <c r="A1569" s="299" t="s">
        <v>1609</v>
      </c>
      <c r="B1569" s="300"/>
      <c r="C1569" s="300"/>
      <c r="D1569" s="300"/>
      <c r="E1569" s="300"/>
      <c r="F1569" s="300"/>
      <c r="G1569" s="300"/>
      <c r="H1569" s="300"/>
      <c r="I1569" s="300"/>
      <c r="J1569" s="300"/>
      <c r="K1569" s="300"/>
      <c r="L1569" s="300" t="n">
        <v>12620</v>
      </c>
      <c r="M1569" s="300"/>
      <c r="N1569" s="300"/>
      <c r="O1569" s="300"/>
      <c r="P1569" s="300"/>
      <c r="Q1569" s="300"/>
      <c r="R1569" s="300"/>
      <c r="S1569" s="300"/>
      <c r="T1569" s="300"/>
      <c r="U1569" s="300"/>
      <c r="V1569" s="300"/>
      <c r="W1569" s="300"/>
      <c r="X1569" s="300"/>
      <c r="Y1569" s="301" t="n">
        <f aca="false">SUM(B1569:X1569)</f>
        <v>12620</v>
      </c>
      <c r="Z1569" s="299"/>
    </row>
    <row r="1570" customFormat="false" ht="14.25" hidden="false" customHeight="false" outlineLevel="0" collapsed="false">
      <c r="A1570" s="299" t="s">
        <v>1610</v>
      </c>
      <c r="B1570" s="300"/>
      <c r="C1570" s="300"/>
      <c r="D1570" s="300"/>
      <c r="E1570" s="300"/>
      <c r="F1570" s="300"/>
      <c r="G1570" s="300"/>
      <c r="H1570" s="300"/>
      <c r="I1570" s="300"/>
      <c r="J1570" s="300" t="n">
        <v>131039.2</v>
      </c>
      <c r="K1570" s="300"/>
      <c r="L1570" s="300"/>
      <c r="M1570" s="300"/>
      <c r="N1570" s="300"/>
      <c r="O1570" s="300"/>
      <c r="P1570" s="300"/>
      <c r="Q1570" s="300"/>
      <c r="R1570" s="300"/>
      <c r="S1570" s="300"/>
      <c r="T1570" s="300"/>
      <c r="U1570" s="300"/>
      <c r="V1570" s="300"/>
      <c r="W1570" s="300"/>
      <c r="X1570" s="300"/>
      <c r="Y1570" s="301" t="n">
        <f aca="false">SUM(B1570:X1570)</f>
        <v>131039.2</v>
      </c>
      <c r="Z1570" s="299"/>
    </row>
    <row r="1571" customFormat="false" ht="14.25" hidden="false" customHeight="false" outlineLevel="0" collapsed="false">
      <c r="A1571" s="299" t="s">
        <v>1611</v>
      </c>
      <c r="B1571" s="300"/>
      <c r="C1571" s="300"/>
      <c r="D1571" s="300"/>
      <c r="E1571" s="300"/>
      <c r="F1571" s="300"/>
      <c r="G1571" s="300"/>
      <c r="H1571" s="300"/>
      <c r="I1571" s="300"/>
      <c r="J1571" s="300" t="n">
        <v>41440</v>
      </c>
      <c r="K1571" s="300"/>
      <c r="L1571" s="300"/>
      <c r="M1571" s="300"/>
      <c r="N1571" s="300"/>
      <c r="O1571" s="300"/>
      <c r="P1571" s="300"/>
      <c r="Q1571" s="300"/>
      <c r="R1571" s="300"/>
      <c r="S1571" s="300"/>
      <c r="T1571" s="300"/>
      <c r="U1571" s="300"/>
      <c r="V1571" s="300"/>
      <c r="W1571" s="300"/>
      <c r="X1571" s="300"/>
      <c r="Y1571" s="301" t="n">
        <f aca="false">SUM(B1571:X1571)</f>
        <v>41440</v>
      </c>
      <c r="Z1571" s="299"/>
    </row>
    <row r="1572" customFormat="false" ht="14.25" hidden="false" customHeight="false" outlineLevel="0" collapsed="false">
      <c r="A1572" s="299" t="s">
        <v>1612</v>
      </c>
      <c r="B1572" s="300" t="n">
        <v>2985</v>
      </c>
      <c r="C1572" s="300"/>
      <c r="D1572" s="300"/>
      <c r="E1572" s="300"/>
      <c r="F1572" s="300"/>
      <c r="G1572" s="300"/>
      <c r="H1572" s="300"/>
      <c r="I1572" s="300"/>
      <c r="J1572" s="300"/>
      <c r="K1572" s="300"/>
      <c r="L1572" s="300"/>
      <c r="M1572" s="300"/>
      <c r="N1572" s="300"/>
      <c r="O1572" s="300"/>
      <c r="P1572" s="300"/>
      <c r="Q1572" s="300"/>
      <c r="R1572" s="300"/>
      <c r="S1572" s="300"/>
      <c r="T1572" s="300"/>
      <c r="U1572" s="300"/>
      <c r="V1572" s="300"/>
      <c r="W1572" s="300"/>
      <c r="X1572" s="300"/>
      <c r="Y1572" s="301" t="n">
        <f aca="false">SUM(B1572:X1572)</f>
        <v>2985</v>
      </c>
      <c r="Z1572" s="299"/>
    </row>
    <row r="1573" customFormat="false" ht="14.25" hidden="false" customHeight="false" outlineLevel="0" collapsed="false">
      <c r="A1573" s="299" t="s">
        <v>1613</v>
      </c>
      <c r="B1573" s="300"/>
      <c r="C1573" s="300"/>
      <c r="D1573" s="300"/>
      <c r="E1573" s="300"/>
      <c r="F1573" s="300"/>
      <c r="G1573" s="300"/>
      <c r="H1573" s="300"/>
      <c r="I1573" s="300"/>
      <c r="J1573" s="300" t="n">
        <v>34312.5</v>
      </c>
      <c r="K1573" s="300"/>
      <c r="L1573" s="300"/>
      <c r="M1573" s="300"/>
      <c r="N1573" s="300"/>
      <c r="O1573" s="300"/>
      <c r="P1573" s="300"/>
      <c r="Q1573" s="300"/>
      <c r="R1573" s="300"/>
      <c r="S1573" s="300"/>
      <c r="T1573" s="300"/>
      <c r="U1573" s="300"/>
      <c r="V1573" s="300"/>
      <c r="W1573" s="300"/>
      <c r="X1573" s="300"/>
      <c r="Y1573" s="301" t="n">
        <f aca="false">SUM(B1573:X1573)</f>
        <v>34312.5</v>
      </c>
      <c r="Z1573" s="299"/>
    </row>
    <row r="1574" customFormat="false" ht="14.25" hidden="false" customHeight="false" outlineLevel="0" collapsed="false">
      <c r="A1574" s="299" t="s">
        <v>1614</v>
      </c>
      <c r="B1574" s="300" t="n">
        <v>31826.1</v>
      </c>
      <c r="C1574" s="300"/>
      <c r="D1574" s="300"/>
      <c r="E1574" s="300"/>
      <c r="F1574" s="300"/>
      <c r="G1574" s="300"/>
      <c r="H1574" s="300"/>
      <c r="I1574" s="300"/>
      <c r="J1574" s="300"/>
      <c r="K1574" s="300"/>
      <c r="L1574" s="300"/>
      <c r="M1574" s="300"/>
      <c r="N1574" s="300"/>
      <c r="O1574" s="300"/>
      <c r="P1574" s="300"/>
      <c r="Q1574" s="300"/>
      <c r="R1574" s="300"/>
      <c r="S1574" s="300"/>
      <c r="T1574" s="300"/>
      <c r="U1574" s="300"/>
      <c r="V1574" s="300"/>
      <c r="W1574" s="300"/>
      <c r="X1574" s="300"/>
      <c r="Y1574" s="301" t="n">
        <f aca="false">SUM(B1574:X1574)</f>
        <v>31826.1</v>
      </c>
      <c r="Z1574" s="299"/>
    </row>
    <row r="1575" customFormat="false" ht="14.25" hidden="false" customHeight="false" outlineLevel="0" collapsed="false">
      <c r="A1575" s="299" t="s">
        <v>1615</v>
      </c>
      <c r="B1575" s="300"/>
      <c r="C1575" s="300"/>
      <c r="D1575" s="300"/>
      <c r="E1575" s="300"/>
      <c r="F1575" s="300"/>
      <c r="G1575" s="300"/>
      <c r="H1575" s="300"/>
      <c r="I1575" s="300"/>
      <c r="J1575" s="300" t="n">
        <v>21801</v>
      </c>
      <c r="K1575" s="300"/>
      <c r="L1575" s="300"/>
      <c r="M1575" s="300"/>
      <c r="N1575" s="300"/>
      <c r="O1575" s="300"/>
      <c r="P1575" s="300"/>
      <c r="Q1575" s="300"/>
      <c r="R1575" s="300"/>
      <c r="S1575" s="300"/>
      <c r="T1575" s="300"/>
      <c r="U1575" s="300"/>
      <c r="V1575" s="300"/>
      <c r="W1575" s="300"/>
      <c r="X1575" s="300"/>
      <c r="Y1575" s="301" t="n">
        <f aca="false">SUM(B1575:X1575)</f>
        <v>21801</v>
      </c>
      <c r="Z1575" s="299"/>
    </row>
    <row r="1576" customFormat="false" ht="14.25" hidden="false" customHeight="false" outlineLevel="0" collapsed="false">
      <c r="A1576" s="299" t="s">
        <v>1616</v>
      </c>
      <c r="B1576" s="300"/>
      <c r="C1576" s="300"/>
      <c r="D1576" s="300"/>
      <c r="E1576" s="300"/>
      <c r="F1576" s="300"/>
      <c r="G1576" s="300"/>
      <c r="H1576" s="300"/>
      <c r="I1576" s="300"/>
      <c r="J1576" s="300"/>
      <c r="K1576" s="300"/>
      <c r="L1576" s="300" t="n">
        <v>34964.4</v>
      </c>
      <c r="M1576" s="300"/>
      <c r="N1576" s="300"/>
      <c r="O1576" s="300"/>
      <c r="P1576" s="300"/>
      <c r="Q1576" s="300"/>
      <c r="R1576" s="300"/>
      <c r="S1576" s="300"/>
      <c r="T1576" s="300"/>
      <c r="U1576" s="300"/>
      <c r="V1576" s="300"/>
      <c r="W1576" s="300"/>
      <c r="X1576" s="300"/>
      <c r="Y1576" s="301" t="n">
        <f aca="false">SUM(B1576:X1576)</f>
        <v>34964.4</v>
      </c>
      <c r="Z1576" s="299"/>
    </row>
    <row r="1577" customFormat="false" ht="14.25" hidden="false" customHeight="false" outlineLevel="0" collapsed="false">
      <c r="A1577" s="299" t="s">
        <v>1617</v>
      </c>
      <c r="B1577" s="300"/>
      <c r="C1577" s="300"/>
      <c r="D1577" s="300"/>
      <c r="E1577" s="300"/>
      <c r="F1577" s="300"/>
      <c r="G1577" s="300"/>
      <c r="H1577" s="300"/>
      <c r="I1577" s="300"/>
      <c r="J1577" s="300" t="n">
        <v>20517.5</v>
      </c>
      <c r="K1577" s="300"/>
      <c r="L1577" s="300"/>
      <c r="M1577" s="300"/>
      <c r="N1577" s="300"/>
      <c r="O1577" s="300"/>
      <c r="P1577" s="300"/>
      <c r="Q1577" s="300"/>
      <c r="R1577" s="300"/>
      <c r="S1577" s="300"/>
      <c r="T1577" s="300"/>
      <c r="U1577" s="300"/>
      <c r="V1577" s="300"/>
      <c r="W1577" s="300"/>
      <c r="X1577" s="300"/>
      <c r="Y1577" s="301" t="n">
        <f aca="false">SUM(B1577:X1577)</f>
        <v>20517.5</v>
      </c>
      <c r="Z1577" s="299"/>
    </row>
    <row r="1578" customFormat="false" ht="14.25" hidden="false" customHeight="false" outlineLevel="0" collapsed="false">
      <c r="A1578" s="299" t="s">
        <v>1618</v>
      </c>
      <c r="B1578" s="300"/>
      <c r="C1578" s="300"/>
      <c r="D1578" s="300"/>
      <c r="E1578" s="300" t="n">
        <v>87824.3</v>
      </c>
      <c r="F1578" s="300"/>
      <c r="G1578" s="300"/>
      <c r="H1578" s="300"/>
      <c r="I1578" s="300"/>
      <c r="J1578" s="300"/>
      <c r="K1578" s="300"/>
      <c r="L1578" s="300"/>
      <c r="M1578" s="300"/>
      <c r="N1578" s="300"/>
      <c r="O1578" s="300"/>
      <c r="P1578" s="300"/>
      <c r="Q1578" s="300"/>
      <c r="R1578" s="300"/>
      <c r="S1578" s="300"/>
      <c r="T1578" s="300"/>
      <c r="U1578" s="300"/>
      <c r="V1578" s="300"/>
      <c r="W1578" s="300"/>
      <c r="X1578" s="300"/>
      <c r="Y1578" s="301" t="n">
        <f aca="false">SUM(B1578:X1578)</f>
        <v>87824.3</v>
      </c>
      <c r="Z1578" s="299"/>
    </row>
    <row r="1579" customFormat="false" ht="14.25" hidden="false" customHeight="false" outlineLevel="0" collapsed="false">
      <c r="A1579" s="299" t="s">
        <v>1619</v>
      </c>
      <c r="B1579" s="300"/>
      <c r="C1579" s="300"/>
      <c r="D1579" s="300"/>
      <c r="E1579" s="300"/>
      <c r="F1579" s="300"/>
      <c r="G1579" s="300"/>
      <c r="H1579" s="300"/>
      <c r="I1579" s="300"/>
      <c r="J1579" s="300"/>
      <c r="K1579" s="300"/>
      <c r="L1579" s="300"/>
      <c r="M1579" s="300"/>
      <c r="N1579" s="300" t="n">
        <v>46531.9</v>
      </c>
      <c r="O1579" s="300"/>
      <c r="P1579" s="300"/>
      <c r="Q1579" s="300"/>
      <c r="R1579" s="300"/>
      <c r="S1579" s="300"/>
      <c r="T1579" s="300"/>
      <c r="U1579" s="300"/>
      <c r="V1579" s="300"/>
      <c r="W1579" s="300"/>
      <c r="X1579" s="300"/>
      <c r="Y1579" s="301" t="n">
        <f aca="false">SUM(B1579:X1579)</f>
        <v>46531.9</v>
      </c>
      <c r="Z1579" s="299"/>
    </row>
    <row r="1580" customFormat="false" ht="14.25" hidden="false" customHeight="false" outlineLevel="0" collapsed="false">
      <c r="A1580" s="299" t="s">
        <v>1620</v>
      </c>
      <c r="B1580" s="300"/>
      <c r="C1580" s="300"/>
      <c r="D1580" s="300"/>
      <c r="E1580" s="300"/>
      <c r="F1580" s="300"/>
      <c r="G1580" s="300"/>
      <c r="H1580" s="300"/>
      <c r="I1580" s="300"/>
      <c r="J1580" s="300"/>
      <c r="K1580" s="300"/>
      <c r="L1580" s="300"/>
      <c r="M1580" s="300"/>
      <c r="N1580" s="300" t="n">
        <v>241514.8</v>
      </c>
      <c r="O1580" s="300"/>
      <c r="P1580" s="300"/>
      <c r="Q1580" s="300"/>
      <c r="R1580" s="300"/>
      <c r="S1580" s="300"/>
      <c r="T1580" s="300"/>
      <c r="U1580" s="300"/>
      <c r="V1580" s="300"/>
      <c r="W1580" s="300"/>
      <c r="X1580" s="300"/>
      <c r="Y1580" s="301" t="n">
        <f aca="false">SUM(B1580:X1580)</f>
        <v>241514.8</v>
      </c>
      <c r="Z1580" s="299"/>
    </row>
    <row r="1581" customFormat="false" ht="14.25" hidden="false" customHeight="false" outlineLevel="0" collapsed="false">
      <c r="A1581" s="299" t="s">
        <v>1621</v>
      </c>
      <c r="B1581" s="300"/>
      <c r="C1581" s="300"/>
      <c r="D1581" s="300"/>
      <c r="E1581" s="300" t="n">
        <v>11860</v>
      </c>
      <c r="F1581" s="300"/>
      <c r="G1581" s="300"/>
      <c r="H1581" s="300"/>
      <c r="I1581" s="300"/>
      <c r="J1581" s="300"/>
      <c r="K1581" s="300"/>
      <c r="L1581" s="300"/>
      <c r="M1581" s="300"/>
      <c r="N1581" s="300"/>
      <c r="O1581" s="300"/>
      <c r="P1581" s="300"/>
      <c r="Q1581" s="300"/>
      <c r="R1581" s="300"/>
      <c r="S1581" s="300"/>
      <c r="T1581" s="300"/>
      <c r="U1581" s="300"/>
      <c r="V1581" s="300"/>
      <c r="W1581" s="300"/>
      <c r="X1581" s="300"/>
      <c r="Y1581" s="301" t="n">
        <f aca="false">SUM(B1581:X1581)</f>
        <v>11860</v>
      </c>
      <c r="Z1581" s="299"/>
    </row>
    <row r="1582" customFormat="false" ht="14.25" hidden="false" customHeight="false" outlineLevel="0" collapsed="false">
      <c r="A1582" s="299" t="s">
        <v>1622</v>
      </c>
      <c r="B1582" s="300" t="n">
        <v>33815</v>
      </c>
      <c r="C1582" s="300"/>
      <c r="D1582" s="300"/>
      <c r="E1582" s="300"/>
      <c r="F1582" s="300"/>
      <c r="G1582" s="300"/>
      <c r="H1582" s="300"/>
      <c r="I1582" s="300"/>
      <c r="J1582" s="300"/>
      <c r="K1582" s="300"/>
      <c r="L1582" s="300"/>
      <c r="M1582" s="300"/>
      <c r="N1582" s="300"/>
      <c r="O1582" s="300"/>
      <c r="P1582" s="300"/>
      <c r="Q1582" s="300"/>
      <c r="R1582" s="300"/>
      <c r="S1582" s="300"/>
      <c r="T1582" s="300"/>
      <c r="U1582" s="300"/>
      <c r="V1582" s="300"/>
      <c r="W1582" s="300"/>
      <c r="X1582" s="300"/>
      <c r="Y1582" s="301" t="n">
        <f aca="false">SUM(B1582:X1582)</f>
        <v>33815</v>
      </c>
      <c r="Z1582" s="299"/>
    </row>
    <row r="1583" customFormat="false" ht="14.25" hidden="false" customHeight="false" outlineLevel="0" collapsed="false">
      <c r="A1583" s="299" t="s">
        <v>1623</v>
      </c>
      <c r="B1583" s="300"/>
      <c r="C1583" s="300"/>
      <c r="D1583" s="300"/>
      <c r="E1583" s="300"/>
      <c r="F1583" s="300"/>
      <c r="G1583" s="300"/>
      <c r="H1583" s="300"/>
      <c r="I1583" s="300"/>
      <c r="J1583" s="300" t="n">
        <v>333538.3</v>
      </c>
      <c r="K1583" s="300"/>
      <c r="L1583" s="300"/>
      <c r="M1583" s="300"/>
      <c r="N1583" s="300"/>
      <c r="O1583" s="300"/>
      <c r="P1583" s="300"/>
      <c r="Q1583" s="300"/>
      <c r="R1583" s="300"/>
      <c r="S1583" s="300"/>
      <c r="T1583" s="300"/>
      <c r="U1583" s="300"/>
      <c r="V1583" s="300"/>
      <c r="W1583" s="300"/>
      <c r="X1583" s="300"/>
      <c r="Y1583" s="301" t="n">
        <f aca="false">SUM(B1583:X1583)</f>
        <v>333538.3</v>
      </c>
      <c r="Z1583" s="299"/>
    </row>
    <row r="1584" customFormat="false" ht="14.25" hidden="false" customHeight="false" outlineLevel="0" collapsed="false">
      <c r="A1584" s="299" t="s">
        <v>1624</v>
      </c>
      <c r="B1584" s="300"/>
      <c r="C1584" s="300"/>
      <c r="D1584" s="300"/>
      <c r="E1584" s="300"/>
      <c r="F1584" s="300"/>
      <c r="G1584" s="300"/>
      <c r="H1584" s="300"/>
      <c r="I1584" s="300"/>
      <c r="J1584" s="300"/>
      <c r="K1584" s="300"/>
      <c r="L1584" s="300" t="n">
        <v>248407.4</v>
      </c>
      <c r="M1584" s="300"/>
      <c r="N1584" s="300"/>
      <c r="O1584" s="300"/>
      <c r="P1584" s="300"/>
      <c r="Q1584" s="300"/>
      <c r="R1584" s="300"/>
      <c r="S1584" s="300"/>
      <c r="T1584" s="300"/>
      <c r="U1584" s="300"/>
      <c r="V1584" s="300"/>
      <c r="W1584" s="300"/>
      <c r="X1584" s="300"/>
      <c r="Y1584" s="301" t="n">
        <f aca="false">SUM(B1584:X1584)</f>
        <v>248407.4</v>
      </c>
      <c r="Z1584" s="299"/>
    </row>
    <row r="1585" customFormat="false" ht="14.25" hidden="false" customHeight="false" outlineLevel="0" collapsed="false">
      <c r="A1585" s="299" t="s">
        <v>1625</v>
      </c>
      <c r="B1585" s="300"/>
      <c r="C1585" s="300"/>
      <c r="D1585" s="300"/>
      <c r="E1585" s="300"/>
      <c r="F1585" s="300"/>
      <c r="G1585" s="300" t="n">
        <v>11398.8</v>
      </c>
      <c r="H1585" s="300"/>
      <c r="I1585" s="300"/>
      <c r="J1585" s="300"/>
      <c r="K1585" s="300"/>
      <c r="L1585" s="300"/>
      <c r="M1585" s="300"/>
      <c r="N1585" s="300"/>
      <c r="O1585" s="300"/>
      <c r="P1585" s="300"/>
      <c r="Q1585" s="300"/>
      <c r="R1585" s="300"/>
      <c r="S1585" s="300"/>
      <c r="T1585" s="300"/>
      <c r="U1585" s="300"/>
      <c r="V1585" s="300"/>
      <c r="W1585" s="300"/>
      <c r="X1585" s="300"/>
      <c r="Y1585" s="301" t="n">
        <f aca="false">SUM(B1585:X1585)</f>
        <v>11398.8</v>
      </c>
      <c r="Z1585" s="299"/>
    </row>
    <row r="1586" customFormat="false" ht="14.25" hidden="false" customHeight="false" outlineLevel="0" collapsed="false">
      <c r="A1586" s="299" t="s">
        <v>1626</v>
      </c>
      <c r="B1586" s="300" t="n">
        <v>200499.3</v>
      </c>
      <c r="C1586" s="300"/>
      <c r="D1586" s="300"/>
      <c r="E1586" s="300"/>
      <c r="F1586" s="300"/>
      <c r="G1586" s="300"/>
      <c r="H1586" s="300"/>
      <c r="I1586" s="300"/>
      <c r="J1586" s="300"/>
      <c r="K1586" s="300"/>
      <c r="L1586" s="300"/>
      <c r="M1586" s="300"/>
      <c r="N1586" s="300"/>
      <c r="O1586" s="300"/>
      <c r="P1586" s="300"/>
      <c r="Q1586" s="300"/>
      <c r="R1586" s="300"/>
      <c r="S1586" s="300"/>
      <c r="T1586" s="300"/>
      <c r="U1586" s="300"/>
      <c r="V1586" s="300"/>
      <c r="W1586" s="300"/>
      <c r="X1586" s="300"/>
      <c r="Y1586" s="301" t="n">
        <f aca="false">SUM(B1586:X1586)</f>
        <v>200499.3</v>
      </c>
      <c r="Z1586" s="299"/>
    </row>
    <row r="1587" customFormat="false" ht="14.25" hidden="false" customHeight="false" outlineLevel="0" collapsed="false">
      <c r="A1587" s="299" t="s">
        <v>1627</v>
      </c>
      <c r="B1587" s="300"/>
      <c r="C1587" s="300"/>
      <c r="D1587" s="300"/>
      <c r="E1587" s="300"/>
      <c r="F1587" s="300"/>
      <c r="G1587" s="300"/>
      <c r="H1587" s="300"/>
      <c r="I1587" s="300"/>
      <c r="J1587" s="300"/>
      <c r="K1587" s="300"/>
      <c r="L1587" s="300"/>
      <c r="M1587" s="300"/>
      <c r="N1587" s="300" t="n">
        <v>96837.2</v>
      </c>
      <c r="O1587" s="300"/>
      <c r="P1587" s="300"/>
      <c r="Q1587" s="300"/>
      <c r="R1587" s="300"/>
      <c r="S1587" s="300"/>
      <c r="T1587" s="300"/>
      <c r="U1587" s="300"/>
      <c r="V1587" s="300"/>
      <c r="W1587" s="300"/>
      <c r="X1587" s="300"/>
      <c r="Y1587" s="301" t="n">
        <f aca="false">SUM(B1587:X1587)</f>
        <v>96837.2</v>
      </c>
      <c r="Z1587" s="299"/>
    </row>
    <row r="1588" customFormat="false" ht="14.25" hidden="false" customHeight="false" outlineLevel="0" collapsed="false">
      <c r="A1588" s="299" t="s">
        <v>1628</v>
      </c>
      <c r="B1588" s="300"/>
      <c r="C1588" s="300" t="n">
        <v>6040</v>
      </c>
      <c r="D1588" s="300"/>
      <c r="E1588" s="300"/>
      <c r="F1588" s="300"/>
      <c r="G1588" s="300"/>
      <c r="H1588" s="300"/>
      <c r="I1588" s="300"/>
      <c r="J1588" s="300"/>
      <c r="K1588" s="300"/>
      <c r="L1588" s="300"/>
      <c r="M1588" s="300"/>
      <c r="N1588" s="300"/>
      <c r="O1588" s="300"/>
      <c r="P1588" s="300"/>
      <c r="Q1588" s="300"/>
      <c r="R1588" s="300"/>
      <c r="S1588" s="300"/>
      <c r="T1588" s="300"/>
      <c r="U1588" s="300"/>
      <c r="V1588" s="300"/>
      <c r="W1588" s="300"/>
      <c r="X1588" s="300"/>
      <c r="Y1588" s="301" t="n">
        <f aca="false">SUM(B1588:X1588)</f>
        <v>6040</v>
      </c>
      <c r="Z1588" s="299"/>
    </row>
    <row r="1589" customFormat="false" ht="14.25" hidden="false" customHeight="false" outlineLevel="0" collapsed="false">
      <c r="A1589" s="299" t="s">
        <v>1629</v>
      </c>
      <c r="B1589" s="300"/>
      <c r="C1589" s="300"/>
      <c r="D1589" s="300"/>
      <c r="E1589" s="300" t="n">
        <v>74070.3</v>
      </c>
      <c r="F1589" s="300"/>
      <c r="G1589" s="300"/>
      <c r="H1589" s="300"/>
      <c r="I1589" s="300"/>
      <c r="J1589" s="300"/>
      <c r="K1589" s="300"/>
      <c r="L1589" s="300"/>
      <c r="M1589" s="300"/>
      <c r="N1589" s="300"/>
      <c r="O1589" s="300"/>
      <c r="P1589" s="300"/>
      <c r="Q1589" s="300"/>
      <c r="R1589" s="300"/>
      <c r="S1589" s="300"/>
      <c r="T1589" s="300"/>
      <c r="U1589" s="300"/>
      <c r="V1589" s="300"/>
      <c r="W1589" s="300"/>
      <c r="X1589" s="300"/>
      <c r="Y1589" s="301" t="n">
        <f aca="false">SUM(B1589:X1589)</f>
        <v>74070.3</v>
      </c>
      <c r="Z1589" s="299"/>
    </row>
    <row r="1590" customFormat="false" ht="14.25" hidden="false" customHeight="false" outlineLevel="0" collapsed="false">
      <c r="A1590" s="299" t="s">
        <v>1630</v>
      </c>
      <c r="B1590" s="300"/>
      <c r="C1590" s="300"/>
      <c r="D1590" s="300"/>
      <c r="E1590" s="300"/>
      <c r="F1590" s="300"/>
      <c r="G1590" s="300"/>
      <c r="H1590" s="300"/>
      <c r="I1590" s="300"/>
      <c r="J1590" s="300" t="n">
        <v>14200</v>
      </c>
      <c r="K1590" s="300"/>
      <c r="L1590" s="300"/>
      <c r="M1590" s="300"/>
      <c r="N1590" s="300"/>
      <c r="O1590" s="300"/>
      <c r="P1590" s="300"/>
      <c r="Q1590" s="300"/>
      <c r="R1590" s="300"/>
      <c r="S1590" s="300"/>
      <c r="T1590" s="300"/>
      <c r="U1590" s="300"/>
      <c r="V1590" s="300"/>
      <c r="W1590" s="300"/>
      <c r="X1590" s="300"/>
      <c r="Y1590" s="301" t="n">
        <f aca="false">SUM(B1590:X1590)</f>
        <v>14200</v>
      </c>
      <c r="Z1590" s="299"/>
    </row>
    <row r="1591" customFormat="false" ht="14.25" hidden="false" customHeight="false" outlineLevel="0" collapsed="false">
      <c r="A1591" s="299" t="s">
        <v>1631</v>
      </c>
      <c r="B1591" s="300"/>
      <c r="C1591" s="300"/>
      <c r="D1591" s="300"/>
      <c r="E1591" s="300" t="n">
        <v>20412</v>
      </c>
      <c r="F1591" s="300"/>
      <c r="G1591" s="300"/>
      <c r="H1591" s="300"/>
      <c r="I1591" s="300"/>
      <c r="J1591" s="300"/>
      <c r="K1591" s="300"/>
      <c r="L1591" s="300"/>
      <c r="M1591" s="300"/>
      <c r="N1591" s="300"/>
      <c r="O1591" s="300"/>
      <c r="P1591" s="300"/>
      <c r="Q1591" s="300"/>
      <c r="R1591" s="300"/>
      <c r="S1591" s="300"/>
      <c r="T1591" s="300"/>
      <c r="U1591" s="300"/>
      <c r="V1591" s="300"/>
      <c r="W1591" s="300"/>
      <c r="X1591" s="300"/>
      <c r="Y1591" s="301" t="n">
        <f aca="false">SUM(B1591:X1591)</f>
        <v>20412</v>
      </c>
      <c r="Z1591" s="299"/>
    </row>
    <row r="1592" customFormat="false" ht="14.25" hidden="false" customHeight="false" outlineLevel="0" collapsed="false">
      <c r="A1592" s="299" t="s">
        <v>1632</v>
      </c>
      <c r="B1592" s="300"/>
      <c r="C1592" s="300"/>
      <c r="D1592" s="300"/>
      <c r="E1592" s="300"/>
      <c r="F1592" s="300"/>
      <c r="G1592" s="300"/>
      <c r="H1592" s="300"/>
      <c r="I1592" s="300"/>
      <c r="J1592" s="300" t="n">
        <v>63593.3</v>
      </c>
      <c r="K1592" s="300"/>
      <c r="L1592" s="300"/>
      <c r="M1592" s="300"/>
      <c r="N1592" s="300"/>
      <c r="O1592" s="300"/>
      <c r="P1592" s="300"/>
      <c r="Q1592" s="300"/>
      <c r="R1592" s="300"/>
      <c r="S1592" s="300"/>
      <c r="T1592" s="300"/>
      <c r="U1592" s="300"/>
      <c r="V1592" s="300"/>
      <c r="W1592" s="300"/>
      <c r="X1592" s="300"/>
      <c r="Y1592" s="301" t="n">
        <f aca="false">SUM(B1592:X1592)</f>
        <v>63593.3</v>
      </c>
      <c r="Z1592" s="299"/>
    </row>
    <row r="1593" customFormat="false" ht="14.25" hidden="false" customHeight="false" outlineLevel="0" collapsed="false">
      <c r="A1593" s="299" t="s">
        <v>1633</v>
      </c>
      <c r="B1593" s="300" t="n">
        <v>-517116</v>
      </c>
      <c r="C1593" s="300" t="n">
        <v>19533</v>
      </c>
      <c r="D1593" s="300" t="n">
        <v>-7</v>
      </c>
      <c r="E1593" s="300" t="n">
        <v>-2002</v>
      </c>
      <c r="F1593" s="300" t="n">
        <v>6409</v>
      </c>
      <c r="G1593" s="300"/>
      <c r="H1593" s="300" t="n">
        <v>2100</v>
      </c>
      <c r="I1593" s="300" t="n">
        <v>3048</v>
      </c>
      <c r="J1593" s="300" t="n">
        <v>-22</v>
      </c>
      <c r="K1593" s="300"/>
      <c r="L1593" s="300" t="n">
        <v>38264.655</v>
      </c>
      <c r="M1593" s="300" t="n">
        <v>-1</v>
      </c>
      <c r="N1593" s="300" t="n">
        <v>8655</v>
      </c>
      <c r="O1593" s="300" t="n">
        <v>-2</v>
      </c>
      <c r="P1593" s="300"/>
      <c r="Q1593" s="300"/>
      <c r="R1593" s="300"/>
      <c r="S1593" s="300"/>
      <c r="T1593" s="300"/>
      <c r="U1593" s="300"/>
      <c r="V1593" s="300"/>
      <c r="W1593" s="300"/>
      <c r="X1593" s="300"/>
      <c r="Y1593" s="301" t="n">
        <f aca="false">SUM(B1593:X1593)</f>
        <v>-441140.345</v>
      </c>
      <c r="Z1593" s="299"/>
    </row>
    <row r="1594" customFormat="false" ht="14.25" hidden="false" customHeight="false" outlineLevel="0" collapsed="false">
      <c r="A1594" s="299" t="s">
        <v>1634</v>
      </c>
      <c r="B1594" s="300" t="n">
        <v>-179960.0137</v>
      </c>
      <c r="C1594" s="300" t="n">
        <v>913908.4635</v>
      </c>
      <c r="D1594" s="300" t="n">
        <v>217301.3105</v>
      </c>
      <c r="E1594" s="300" t="n">
        <v>216690.6119</v>
      </c>
      <c r="F1594" s="300" t="n">
        <v>9847969.534</v>
      </c>
      <c r="G1594" s="300" t="n">
        <v>-9669927.5915</v>
      </c>
      <c r="H1594" s="300" t="n">
        <v>44542.6525</v>
      </c>
      <c r="I1594" s="300" t="n">
        <v>39603.142</v>
      </c>
      <c r="J1594" s="300" t="n">
        <v>936412.665</v>
      </c>
      <c r="K1594" s="300"/>
      <c r="L1594" s="300" t="n">
        <v>-111236.2128</v>
      </c>
      <c r="M1594" s="300" t="n">
        <v>-22383.261</v>
      </c>
      <c r="N1594" s="300" t="n">
        <v>-689129.0602</v>
      </c>
      <c r="O1594" s="300" t="n">
        <v>1732593.451</v>
      </c>
      <c r="P1594" s="300" t="n">
        <v>-170991.654</v>
      </c>
      <c r="Q1594" s="300" t="n">
        <v>-2800</v>
      </c>
      <c r="R1594" s="300" t="n">
        <v>-9211.166</v>
      </c>
      <c r="S1594" s="300"/>
      <c r="T1594" s="300" t="n">
        <v>8901</v>
      </c>
      <c r="U1594" s="300"/>
      <c r="V1594" s="300" t="n">
        <v>-1100</v>
      </c>
      <c r="W1594" s="300" t="n">
        <v>2715</v>
      </c>
      <c r="X1594" s="300"/>
      <c r="Y1594" s="301" t="n">
        <f aca="false">SUM(B1594:X1594)</f>
        <v>3103898.8712</v>
      </c>
      <c r="Z1594" s="299"/>
    </row>
    <row r="1595" customFormat="false" ht="14.25" hidden="false" customHeight="false" outlineLevel="0" collapsed="false">
      <c r="A1595" s="299" t="s">
        <v>1375</v>
      </c>
      <c r="B1595" s="300" t="n">
        <v>-146794.7121</v>
      </c>
      <c r="C1595" s="300" t="n">
        <v>-4172.5936</v>
      </c>
      <c r="D1595" s="300" t="n">
        <v>-1558.458</v>
      </c>
      <c r="E1595" s="300" t="n">
        <v>-27137.8969</v>
      </c>
      <c r="F1595" s="300" t="n">
        <v>-203280.324</v>
      </c>
      <c r="G1595" s="300" t="n">
        <v>-1725.696</v>
      </c>
      <c r="H1595" s="300" t="n">
        <v>-83.6324</v>
      </c>
      <c r="I1595" s="300" t="n">
        <v>-108306.831</v>
      </c>
      <c r="J1595" s="300" t="n">
        <v>-75262.0275</v>
      </c>
      <c r="K1595" s="300"/>
      <c r="L1595" s="300" t="n">
        <v>-24040.5859</v>
      </c>
      <c r="M1595" s="300" t="n">
        <v>472.725</v>
      </c>
      <c r="N1595" s="300" t="n">
        <v>-1706.074</v>
      </c>
      <c r="O1595" s="300" t="n">
        <v>876.36</v>
      </c>
      <c r="P1595" s="300" t="n">
        <v>-1262.298</v>
      </c>
      <c r="Q1595" s="300"/>
      <c r="R1595" s="300" t="n">
        <v>-445.059</v>
      </c>
      <c r="S1595" s="300" t="n">
        <v>5625</v>
      </c>
      <c r="T1595" s="300" t="n">
        <v>-10</v>
      </c>
      <c r="U1595" s="300"/>
      <c r="V1595" s="300"/>
      <c r="W1595" s="300" t="n">
        <v>-2130</v>
      </c>
      <c r="X1595" s="300"/>
      <c r="Y1595" s="301" t="n">
        <f aca="false">SUM(B1595:X1595)</f>
        <v>-590942.1034</v>
      </c>
      <c r="Z1595" s="299"/>
    </row>
    <row r="1596" customFormat="false" ht="14.25" hidden="false" customHeight="false" outlineLevel="0" collapsed="false">
      <c r="A1596" s="299"/>
      <c r="B1596" s="300"/>
      <c r="C1596" s="300"/>
      <c r="D1596" s="300"/>
      <c r="E1596" s="300"/>
      <c r="F1596" s="300"/>
      <c r="G1596" s="300"/>
      <c r="H1596" s="300"/>
      <c r="I1596" s="300"/>
      <c r="J1596" s="300"/>
      <c r="K1596" s="300"/>
      <c r="L1596" s="300"/>
      <c r="M1596" s="300"/>
      <c r="N1596" s="300"/>
      <c r="O1596" s="300"/>
      <c r="P1596" s="300"/>
      <c r="Q1596" s="300"/>
      <c r="R1596" s="300"/>
      <c r="S1596" s="300"/>
      <c r="T1596" s="300"/>
      <c r="U1596" s="300"/>
      <c r="V1596" s="300"/>
      <c r="W1596" s="300"/>
      <c r="X1596" s="300"/>
      <c r="Y1596" s="301" t="n">
        <f aca="false">SUM(B1596:X1596)</f>
        <v>0</v>
      </c>
      <c r="Z1596" s="299"/>
      <c r="AA1596" s="276" t="n">
        <f aca="false">SUM(Y1553:Y1596)</f>
        <v>-2215160.0115</v>
      </c>
    </row>
    <row r="1597" customFormat="false" ht="14.25" hidden="false" customHeight="false" outlineLevel="0" collapsed="false">
      <c r="A1597" s="302" t="s">
        <v>1635</v>
      </c>
      <c r="B1597" s="303" t="n">
        <f aca="false">SUM(B4:B1596)</f>
        <v>-3808017.4952</v>
      </c>
      <c r="C1597" s="303" t="n">
        <f aca="false">SUM(C4:C1596)</f>
        <v>-1119356.905</v>
      </c>
      <c r="D1597" s="303" t="n">
        <f aca="false">SUM(D4:D1596)</f>
        <v>943986.0291</v>
      </c>
      <c r="E1597" s="303" t="n">
        <f aca="false">SUM(E4:E1596)</f>
        <v>-405987.862</v>
      </c>
      <c r="F1597" s="303" t="n">
        <f aca="false">SUM(F4:F1596)</f>
        <v>-8553665.5907</v>
      </c>
      <c r="G1597" s="303" t="n">
        <f aca="false">SUM(G4:G1596)</f>
        <v>-9883995.4129</v>
      </c>
      <c r="H1597" s="303" t="n">
        <f aca="false">SUM(H4:H1596)</f>
        <v>-47638.0516</v>
      </c>
      <c r="I1597" s="303" t="n">
        <f aca="false">SUM(I4:I1596)</f>
        <v>843536.6875</v>
      </c>
      <c r="J1597" s="303" t="n">
        <f aca="false">SUM(J4:J1596)</f>
        <v>-3937151.8478</v>
      </c>
      <c r="K1597" s="303" t="n">
        <f aca="false">SUM(K4:K1596)</f>
        <v>0</v>
      </c>
      <c r="L1597" s="303" t="n">
        <f aca="false">SUM(L4:L1596)</f>
        <v>-1422649.7892</v>
      </c>
      <c r="M1597" s="303" t="n">
        <f aca="false">SUM(M4:M1596)</f>
        <v>-159924.9904</v>
      </c>
      <c r="N1597" s="303" t="n">
        <f aca="false">SUM(N4:N1596)</f>
        <v>-1624028.6328</v>
      </c>
      <c r="O1597" s="303" t="n">
        <f aca="false">SUM(O4:O1596)</f>
        <v>-188686.5625</v>
      </c>
      <c r="P1597" s="303" t="n">
        <f aca="false">SUM(P4:P1596)</f>
        <v>-735646.961</v>
      </c>
      <c r="Q1597" s="303" t="n">
        <f aca="false">SUM(Q4:Q1596)</f>
        <v>-1371</v>
      </c>
      <c r="R1597" s="303" t="n">
        <f aca="false">SUM(R4:R1596)</f>
        <v>-56478.977</v>
      </c>
      <c r="S1597" s="303" t="n">
        <f aca="false">SUM(S4:S1596)</f>
        <v>3233</v>
      </c>
      <c r="T1597" s="303" t="n">
        <f aca="false">SUM(T4:T1596)</f>
        <v>4586</v>
      </c>
      <c r="U1597" s="303" t="n">
        <f aca="false">SUM(U4:U1596)</f>
        <v>0</v>
      </c>
      <c r="V1597" s="303" t="n">
        <f aca="false">SUM(V4:V1596)</f>
        <v>82</v>
      </c>
      <c r="W1597" s="303" t="n">
        <f aca="false">SUM(W4:W1596)</f>
        <v>4554</v>
      </c>
      <c r="X1597" s="303" t="n">
        <f aca="false">SUM(X4:X1596)</f>
        <v>1022</v>
      </c>
      <c r="Y1597" s="304" t="n">
        <f aca="false">SUM(B1597:X1597)</f>
        <v>-30143600.3615</v>
      </c>
      <c r="Z1597" s="305"/>
      <c r="AA1597" s="306" t="n">
        <f aca="false">AA1319+AA1329+AA1470+AA1596+AA1529+AA1552</f>
        <v>-30948556.0615</v>
      </c>
    </row>
    <row r="1598" customFormat="false" ht="14.25" hidden="false" customHeight="false" outlineLevel="0" collapsed="false">
      <c r="A1598" s="9" t="s">
        <v>1636</v>
      </c>
    </row>
    <row r="1599" customFormat="false" ht="14.25" hidden="false" customHeight="false" outlineLevel="0" collapsed="false">
      <c r="A1599" s="307" t="s">
        <v>1637</v>
      </c>
    </row>
    <row r="1600" customFormat="false" ht="14.25" hidden="false" customHeight="false" outlineLevel="0" collapsed="false">
      <c r="A1600" s="308" t="s">
        <v>1638</v>
      </c>
    </row>
    <row r="1601" customFormat="false" ht="14.25" hidden="false" customHeight="false" outlineLevel="0" collapsed="false">
      <c r="A1601" s="309" t="s">
        <v>1639</v>
      </c>
      <c r="E1601" s="286"/>
    </row>
    <row r="1602" customFormat="false" ht="14.25" hidden="false" customHeight="false" outlineLevel="0" collapsed="false">
      <c r="A1602" s="310" t="s">
        <v>1640</v>
      </c>
      <c r="E1602" s="286"/>
    </row>
    <row r="1603" customFormat="false" ht="14.25" hidden="false" customHeight="false" outlineLevel="0" collapsed="false">
      <c r="A1603" s="311" t="s">
        <v>1641</v>
      </c>
      <c r="E1603" s="286"/>
    </row>
    <row r="1604" customFormat="false" ht="14.25" hidden="false" customHeight="false" outlineLevel="0" collapsed="false">
      <c r="A1604" s="312" t="s">
        <v>1642</v>
      </c>
    </row>
  </sheetData>
  <autoFilter ref="A3:Z1604"/>
  <mergeCells count="1">
    <mergeCell ref="A1:Y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AI2116"/>
  <sheetViews>
    <sheetView showFormulas="false" showGridLines="false" showRowColHeaders="true" showZeros="true" rightToLeft="false" tabSelected="false" showOutlineSymbols="true" defaultGridColor="true" view="normal" topLeftCell="A2041" colorId="64" zoomScale="80" zoomScaleNormal="80" zoomScalePageLayoutView="100" workbookViewId="0">
      <selection pane="topLeft" activeCell="J2058" activeCellId="0" sqref="J2058"/>
    </sheetView>
  </sheetViews>
  <sheetFormatPr defaultColWidth="9.18359375" defaultRowHeight="14.25" zeroHeight="false" outlineLevelRow="0" outlineLevelCol="0"/>
  <cols>
    <col collapsed="false" customWidth="true" hidden="false" outlineLevel="0" max="1" min="1" style="44" width="54.18"/>
    <col collapsed="false" customWidth="true" hidden="false" outlineLevel="0" max="2" min="2" style="44" width="8.54"/>
    <col collapsed="false" customWidth="true" hidden="false" outlineLevel="0" max="4" min="3" style="44" width="17.45"/>
    <col collapsed="false" customWidth="true" hidden="false" outlineLevel="0" max="5" min="5" style="44" width="15.18"/>
    <col collapsed="false" customWidth="true" hidden="false" outlineLevel="0" max="6" min="6" style="44" width="17.36"/>
    <col collapsed="false" customWidth="true" hidden="false" outlineLevel="0" max="7" min="7" style="44" width="14.54"/>
    <col collapsed="false" customWidth="true" hidden="false" outlineLevel="0" max="8" min="8" style="44" width="9.54"/>
    <col collapsed="false" customWidth="true" hidden="false" outlineLevel="0" max="9" min="9" style="44" width="13.73"/>
    <col collapsed="false" customWidth="true" hidden="false" outlineLevel="0" max="10" min="10" style="313" width="10.45"/>
    <col collapsed="false" customWidth="true" hidden="false" outlineLevel="0" max="11" min="11" style="44" width="12.73"/>
    <col collapsed="false" customWidth="true" hidden="false" outlineLevel="0" max="12" min="12" style="162" width="16.45"/>
    <col collapsed="false" customWidth="true" hidden="false" outlineLevel="0" max="13" min="13" style="44" width="20.45"/>
    <col collapsed="false" customWidth="true" hidden="false" outlineLevel="0" max="14" min="14" style="44" width="14.45"/>
    <col collapsed="false" customWidth="true" hidden="false" outlineLevel="0" max="15" min="15" style="314" width="16.45"/>
    <col collapsed="false" customWidth="true" hidden="false" outlineLevel="0" max="16" min="16" style="314" width="20.82"/>
    <col collapsed="false" customWidth="true" hidden="false" outlineLevel="0" max="17" min="17" style="44" width="14"/>
    <col collapsed="false" customWidth="true" hidden="false" outlineLevel="0" max="18" min="18" style="44" width="17.45"/>
    <col collapsed="false" customWidth="true" hidden="false" outlineLevel="0" max="19" min="19" style="44" width="17.73"/>
    <col collapsed="false" customWidth="false" hidden="false" outlineLevel="0" max="20" min="20" style="44" width="9.18"/>
    <col collapsed="false" customWidth="true" hidden="false" outlineLevel="0" max="21" min="21" style="44" width="14"/>
    <col collapsed="false" customWidth="true" hidden="false" outlineLevel="0" max="22" min="22" style="44" width="15.54"/>
    <col collapsed="false" customWidth="true" hidden="false" outlineLevel="0" max="23" min="23" style="44" width="18.18"/>
    <col collapsed="false" customWidth="true" hidden="false" outlineLevel="0" max="24" min="24" style="44" width="16.45"/>
    <col collapsed="false" customWidth="true" hidden="false" outlineLevel="0" max="25" min="25" style="44" width="16.82"/>
    <col collapsed="false" customWidth="true" hidden="false" outlineLevel="0" max="26" min="26" style="44" width="16.45"/>
    <col collapsed="false" customWidth="true" hidden="false" outlineLevel="0" max="27" min="27" style="44" width="16.82"/>
    <col collapsed="false" customWidth="true" hidden="false" outlineLevel="0" max="28" min="28" style="44" width="17.82"/>
    <col collapsed="false" customWidth="true" hidden="false" outlineLevel="0" max="29" min="29" style="44" width="17.45"/>
    <col collapsed="false" customWidth="true" hidden="false" outlineLevel="0" max="30" min="30" style="44" width="16.45"/>
    <col collapsed="false" customWidth="true" hidden="false" outlineLevel="0" max="31" min="31" style="44" width="16.82"/>
    <col collapsed="false" customWidth="true" hidden="false" outlineLevel="0" max="32" min="32" style="44" width="16.73"/>
    <col collapsed="false" customWidth="true" hidden="false" outlineLevel="0" max="33" min="33" style="44" width="18.18"/>
    <col collapsed="false" customWidth="true" hidden="false" outlineLevel="0" max="34" min="34" style="44" width="16.73"/>
    <col collapsed="false" customWidth="true" hidden="false" outlineLevel="0" max="35" min="35" style="44" width="18.45"/>
    <col collapsed="false" customWidth="false" hidden="false" outlineLevel="0" max="16384" min="36" style="44" width="9.18"/>
  </cols>
  <sheetData>
    <row r="1" customFormat="false" ht="14.25" hidden="false" customHeight="true" outlineLevel="0" collapsed="false">
      <c r="A1" s="315" t="s">
        <v>1643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6"/>
    </row>
    <row r="2" customFormat="false" ht="15" hidden="false" customHeight="true" outlineLevel="0" collapsed="false"/>
    <row r="3" customFormat="false" ht="15" hidden="false" customHeight="true" outlineLevel="0" collapsed="false">
      <c r="A3" s="317"/>
      <c r="B3" s="317"/>
      <c r="C3" s="318" t="s">
        <v>1644</v>
      </c>
      <c r="D3" s="318"/>
      <c r="E3" s="318"/>
      <c r="F3" s="318"/>
      <c r="G3" s="319" t="n">
        <f aca="false">F66/S66</f>
        <v>1</v>
      </c>
      <c r="I3" s="320" t="s">
        <v>1645</v>
      </c>
      <c r="J3" s="320"/>
      <c r="K3" s="320"/>
      <c r="L3" s="320"/>
      <c r="M3" s="319" t="n">
        <f aca="false">L66/S66</f>
        <v>0</v>
      </c>
      <c r="N3" s="321"/>
      <c r="P3" s="320" t="s">
        <v>1646</v>
      </c>
      <c r="Q3" s="320"/>
      <c r="R3" s="320"/>
      <c r="S3" s="320"/>
      <c r="T3" s="320"/>
    </row>
    <row r="4" s="323" customFormat="true" ht="15" hidden="false" customHeight="true" outlineLevel="0" collapsed="false">
      <c r="A4" s="6" t="s">
        <v>1</v>
      </c>
      <c r="B4" s="6"/>
      <c r="C4" s="6"/>
      <c r="D4" s="6"/>
      <c r="E4" s="6" t="s">
        <v>1647</v>
      </c>
      <c r="F4" s="6" t="s">
        <v>1648</v>
      </c>
      <c r="G4" s="6" t="s">
        <v>32</v>
      </c>
      <c r="H4" s="6"/>
      <c r="I4" s="322" t="s">
        <v>1</v>
      </c>
      <c r="J4" s="322"/>
      <c r="K4" s="6" t="s">
        <v>1647</v>
      </c>
      <c r="L4" s="6" t="s">
        <v>1648</v>
      </c>
      <c r="M4" s="6" t="s">
        <v>32</v>
      </c>
      <c r="N4" s="6"/>
      <c r="O4" s="322" t="s">
        <v>1</v>
      </c>
      <c r="P4" s="322" t="s">
        <v>25</v>
      </c>
      <c r="Q4" s="322"/>
      <c r="R4" s="6" t="s">
        <v>1647</v>
      </c>
      <c r="S4" s="6" t="s">
        <v>1648</v>
      </c>
      <c r="T4" s="6" t="s">
        <v>32</v>
      </c>
    </row>
    <row r="5" customFormat="false" ht="14.25" hidden="false" customHeight="false" outlineLevel="0" collapsed="false">
      <c r="A5" s="324" t="str">
        <f aca="false">'COM.'!A4</f>
        <v>Marandú</v>
      </c>
      <c r="B5" s="325"/>
      <c r="C5" s="326" t="s">
        <v>1649</v>
      </c>
      <c r="D5" s="327" t="n">
        <f aca="false">E5/60</f>
        <v>62875</v>
      </c>
      <c r="E5" s="328" t="n">
        <f aca="false">SUMIFS(K142:K2063,F142:F2063,"KG",G142:G2063,"Marandú",J142:J2063,"comum",I142:I2063,"60")</f>
        <v>3772500</v>
      </c>
      <c r="F5" s="329" t="n">
        <f aca="false">SUMIFS(L142:L2063,F142:F2063,"KG",G142:G2063,"Marandú",J142:J2063,"Comum",I142:I2063,"60")</f>
        <v>1002231</v>
      </c>
      <c r="G5" s="330" t="n">
        <f aca="false">IF(E5,F5/E5,0)</f>
        <v>0.2656675944334</v>
      </c>
      <c r="I5" s="324" t="str">
        <f aca="false">'COM.'!A4</f>
        <v>Marandú</v>
      </c>
      <c r="J5" s="326" t="s">
        <v>1649</v>
      </c>
      <c r="K5" s="328" t="n">
        <f aca="false">SUMIFS(K142:K2063,F142:F2063,"PP",G142:G2063,"Marandú",J142:J2063,"Comum",I142:I2063,"60")</f>
        <v>0</v>
      </c>
      <c r="L5" s="329" t="n">
        <f aca="false">SUMIFS(L142:L2063,F142:F2063,"PP",G142:G2063,"Marandú",J142:J2063,"comum")</f>
        <v>0</v>
      </c>
      <c r="M5" s="331" t="n">
        <f aca="false">IF(K5,L5/K5,0)</f>
        <v>0</v>
      </c>
      <c r="N5" s="332"/>
      <c r="O5" s="333" t="str">
        <f aca="false">'COM.'!A4</f>
        <v>Marandú</v>
      </c>
      <c r="P5" s="334" t="n">
        <f aca="false">SUM(R5:R8)</f>
        <v>23403790.6821</v>
      </c>
      <c r="Q5" s="326" t="s">
        <v>1649</v>
      </c>
      <c r="R5" s="328" t="n">
        <f aca="false">K6+E5</f>
        <v>3772500</v>
      </c>
      <c r="S5" s="329" t="n">
        <f aca="false">L5+F5</f>
        <v>1002231</v>
      </c>
      <c r="T5" s="331" t="n">
        <f aca="false">S5/R5</f>
        <v>0.2656675944334</v>
      </c>
    </row>
    <row r="6" customFormat="false" ht="14.25" hidden="false" customHeight="false" outlineLevel="0" collapsed="false">
      <c r="A6" s="324"/>
      <c r="B6" s="6"/>
      <c r="C6" s="335" t="s">
        <v>1650</v>
      </c>
      <c r="D6" s="51" t="n">
        <f aca="false">E6/90</f>
        <v>40538.22</v>
      </c>
      <c r="E6" s="336" t="n">
        <f aca="false">SUMIFS(K142:K2063,F142:F2063,"KG",G142:G2063,"Marandú",J142:J2063,"comum",I142:I2063,"90")</f>
        <v>3648439.8</v>
      </c>
      <c r="F6" s="337" t="n">
        <f aca="false">SUMIFS(L142:L2063,F142:F2063,"KG",G142:G2063,"Marandú",J142:J2063,"Comum",I142:I2063,"90")</f>
        <v>1044094</v>
      </c>
      <c r="G6" s="338" t="n">
        <f aca="false">IF(E6,F6/E6,0)</f>
        <v>0.286175476980599</v>
      </c>
      <c r="I6" s="324"/>
      <c r="J6" s="335" t="s">
        <v>1650</v>
      </c>
      <c r="K6" s="336" t="n">
        <f aca="false">SUMIFS(K142:K2063,F142:F2063,"PP",G142:G2063,"Marandú",J142:J2063,"Comum",I142:I2063,"90")</f>
        <v>0</v>
      </c>
      <c r="L6" s="337" t="n">
        <f aca="false">SUMIFS(L142:L2063,F142:F2063,"PP",G142:G2063,"Marandú",J142:J2063,"comum")</f>
        <v>0</v>
      </c>
      <c r="M6" s="339" t="n">
        <f aca="false">IF(K6,L6/K6,0)</f>
        <v>0</v>
      </c>
      <c r="N6" s="332"/>
      <c r="O6" s="333"/>
      <c r="P6" s="340"/>
      <c r="Q6" s="335" t="s">
        <v>1650</v>
      </c>
      <c r="R6" s="336" t="n">
        <f aca="false">K5+E6</f>
        <v>3648439.8</v>
      </c>
      <c r="S6" s="337" t="n">
        <f aca="false">L6+F6</f>
        <v>1044094</v>
      </c>
      <c r="T6" s="339" t="n">
        <f aca="false">S6/R6</f>
        <v>0.286175476980599</v>
      </c>
    </row>
    <row r="7" customFormat="false" ht="14.25" hidden="false" customHeight="false" outlineLevel="0" collapsed="false">
      <c r="A7" s="324"/>
      <c r="B7" s="6"/>
      <c r="C7" s="335" t="s">
        <v>1651</v>
      </c>
      <c r="D7" s="51" t="n">
        <f aca="false">E7/25.71</f>
        <v>549437.51</v>
      </c>
      <c r="E7" s="336" t="n">
        <f aca="false">SUMIFS(K142:K2063,F142:F2063,"KG",G142:G2063,"Marandú",J142:J2063,"Golden")</f>
        <v>14126038.3821</v>
      </c>
      <c r="F7" s="337" t="n">
        <f aca="false">SUMIFS(L142:L2063,F142:F2063,"KG",G142:G2063,"Marandú",J142:J2063,"Golden")</f>
        <v>6807241.14</v>
      </c>
      <c r="G7" s="338" t="n">
        <f aca="false">IF(E7,F7/E7,0)</f>
        <v>0.481893150497586</v>
      </c>
      <c r="I7" s="324"/>
      <c r="J7" s="335" t="s">
        <v>1651</v>
      </c>
      <c r="K7" s="336" t="n">
        <f aca="false">SUMIFS(K142:K2063,F142:F2063,"PP",G142:G2063,"Marandú",J142:J2063,"Golden")</f>
        <v>0</v>
      </c>
      <c r="L7" s="337" t="n">
        <f aca="false">SUMIFS(L142:L2063,F142:F2063,"PP",G142:G2063,"Marandú",J142:J2063,"Golden")</f>
        <v>0</v>
      </c>
      <c r="M7" s="339" t="n">
        <f aca="false">IF(K7,L7/K7,0)</f>
        <v>0</v>
      </c>
      <c r="N7" s="332"/>
      <c r="O7" s="333"/>
      <c r="P7" s="341" t="n">
        <f aca="false">SUM(S5:S8)</f>
        <v>9680227.11</v>
      </c>
      <c r="Q7" s="335" t="s">
        <v>1651</v>
      </c>
      <c r="R7" s="336" t="n">
        <f aca="false">K7+E7</f>
        <v>14126038.3821</v>
      </c>
      <c r="S7" s="337" t="n">
        <f aca="false">L7+F7</f>
        <v>6807241.14</v>
      </c>
      <c r="T7" s="339" t="n">
        <f aca="false">S7/R7</f>
        <v>0.481893150497586</v>
      </c>
    </row>
    <row r="8" customFormat="false" ht="14.25" hidden="false" customHeight="false" outlineLevel="0" collapsed="false">
      <c r="A8" s="324"/>
      <c r="B8" s="40"/>
      <c r="C8" s="342" t="s">
        <v>1652</v>
      </c>
      <c r="D8" s="263" t="n">
        <f aca="false">E8/37.5</f>
        <v>49515</v>
      </c>
      <c r="E8" s="343" t="n">
        <f aca="false">SUMIFS(K142:K2063,F142:F2063,"KG",G142:G2063,"Marandú",J142:J2063,"Podium")</f>
        <v>1856812.5</v>
      </c>
      <c r="F8" s="344" t="n">
        <f aca="false">SUMIFS(L142:L2063,F142:F2063,"KG",G142:G2063,"Marandú",J142:J2063,"Podium")</f>
        <v>826660.97</v>
      </c>
      <c r="G8" s="345" t="n">
        <f aca="false">IF(E8,F8/E8,0)</f>
        <v>0.445204332693797</v>
      </c>
      <c r="I8" s="324"/>
      <c r="J8" s="342" t="s">
        <v>1652</v>
      </c>
      <c r="K8" s="343" t="n">
        <f aca="false">SUMIFS(K142:K2063,F142:F2063,"PP",G142:G2063,"Marandú",J142:J2063,"Podium")</f>
        <v>0</v>
      </c>
      <c r="L8" s="344" t="n">
        <f aca="false">SUMIFS(L142:L2063,F142:F2063,"PP",G142:G2063,"Marandú",J142:J2063,"Podium")</f>
        <v>0</v>
      </c>
      <c r="M8" s="346" t="n">
        <f aca="false">IF(K8,L8/K8,0)</f>
        <v>0</v>
      </c>
      <c r="N8" s="332"/>
      <c r="O8" s="333"/>
      <c r="P8" s="347" t="n">
        <f aca="false">P7/P5</f>
        <v>0.413617915212503</v>
      </c>
      <c r="Q8" s="342" t="s">
        <v>1652</v>
      </c>
      <c r="R8" s="343" t="n">
        <f aca="false">K8+E8</f>
        <v>1856812.5</v>
      </c>
      <c r="S8" s="344" t="n">
        <f aca="false">L8+F8</f>
        <v>826660.97</v>
      </c>
      <c r="T8" s="346" t="n">
        <f aca="false">S8/R8</f>
        <v>0.445204332693797</v>
      </c>
    </row>
    <row r="9" customFormat="false" ht="14.25" hidden="false" customHeight="false" outlineLevel="0" collapsed="false">
      <c r="A9" s="324" t="str">
        <f aca="false">'COM.'!A5</f>
        <v>Piatã</v>
      </c>
      <c r="B9" s="325"/>
      <c r="C9" s="326" t="s">
        <v>1649</v>
      </c>
      <c r="D9" s="327" t="n">
        <f aca="false">E9/60</f>
        <v>8700</v>
      </c>
      <c r="E9" s="328" t="n">
        <f aca="false">SUMIFS(K142:K2063,F142:F2063,"KG",G142:G2063,"Piatã",J142:J2063,"comum",I142:I2063,"60")</f>
        <v>522000</v>
      </c>
      <c r="F9" s="329" t="n">
        <f aca="false">SUMIFS(L142:L2063,F142:F2063,"KG",G142:G2063,"Piatã",J142:J2063,"Comum",I142:I2063,"60")</f>
        <v>165797.25</v>
      </c>
      <c r="G9" s="330" t="n">
        <f aca="false">IF(E9,F9/E9,0)</f>
        <v>0.317619252873563</v>
      </c>
      <c r="I9" s="324" t="str">
        <f aca="false">'COM.'!A5</f>
        <v>Piatã</v>
      </c>
      <c r="J9" s="326" t="s">
        <v>1649</v>
      </c>
      <c r="K9" s="328" t="n">
        <f aca="false">SUMIFS(K142:K2063,F142:F2063,"PP",G142:G2063,"Piatã",J142:J2063,"Comum",I142:I2063,"60")</f>
        <v>0</v>
      </c>
      <c r="L9" s="329" t="n">
        <f aca="false">SUMIFS(L142:L2063,F142:F2063,"PP",G142:G2063,"Piatã",J142:J2063,"comum")</f>
        <v>0</v>
      </c>
      <c r="M9" s="331" t="n">
        <f aca="false">IF(K9,L9/K9,0)</f>
        <v>0</v>
      </c>
      <c r="N9" s="332"/>
      <c r="O9" s="333" t="str">
        <f aca="false">'COM.'!A5</f>
        <v>Piatã</v>
      </c>
      <c r="P9" s="334" t="n">
        <f aca="false">SUM(R9:R12)</f>
        <v>20555205</v>
      </c>
      <c r="Q9" s="326" t="s">
        <v>1649</v>
      </c>
      <c r="R9" s="328" t="n">
        <f aca="false">K9+E9</f>
        <v>522000</v>
      </c>
      <c r="S9" s="329" t="n">
        <f aca="false">L9+F9</f>
        <v>165797.25</v>
      </c>
      <c r="T9" s="331" t="n">
        <f aca="false">S9/R9</f>
        <v>0.317619252873563</v>
      </c>
    </row>
    <row r="10" customFormat="false" ht="14.25" hidden="false" customHeight="false" outlineLevel="0" collapsed="false">
      <c r="A10" s="324"/>
      <c r="B10" s="6"/>
      <c r="C10" s="335" t="s">
        <v>1650</v>
      </c>
      <c r="D10" s="51" t="n">
        <f aca="false">E10/90</f>
        <v>36580</v>
      </c>
      <c r="E10" s="336" t="n">
        <f aca="false">SUMIFS(K142:K2063,F142:F2063,"KG",G142:G2063,"Piatã",J142:J2063,"comum",I142:I2063,"90")</f>
        <v>3292200</v>
      </c>
      <c r="F10" s="337" t="n">
        <f aca="false">SUMIFS(L142:L2063,F142:F2063,"KG",G142:G2063,"Piatã",J142:J2063,"Comum",I142:I2063,"90")</f>
        <v>875046</v>
      </c>
      <c r="G10" s="338" t="n">
        <f aca="false">IF(E10,F10/E10,0)</f>
        <v>0.265793694186258</v>
      </c>
      <c r="I10" s="324"/>
      <c r="J10" s="335" t="s">
        <v>1650</v>
      </c>
      <c r="K10" s="336" t="n">
        <f aca="false">SUMIFS(K142:K2063,F142:F2063,"PP",G142:G2063,"Piatã",J142:J2063,"Comum",I142:I2063,"90")</f>
        <v>0</v>
      </c>
      <c r="L10" s="337" t="n">
        <f aca="false">SUMIFS(L142:L2063,F142:F2063,"PP",G142:G2063,"Piatã",J142:J2063,"comum")</f>
        <v>0</v>
      </c>
      <c r="M10" s="339" t="n">
        <f aca="false">IF(K10,L10/K10,0)</f>
        <v>0</v>
      </c>
      <c r="N10" s="332"/>
      <c r="O10" s="333"/>
      <c r="P10" s="340"/>
      <c r="Q10" s="335" t="s">
        <v>1650</v>
      </c>
      <c r="R10" s="336" t="n">
        <f aca="false">K10+E10</f>
        <v>3292200</v>
      </c>
      <c r="S10" s="337" t="n">
        <f aca="false">L10+F10</f>
        <v>875046</v>
      </c>
      <c r="T10" s="339" t="n">
        <f aca="false">S10/R10</f>
        <v>0.265793694186258</v>
      </c>
    </row>
    <row r="11" customFormat="false" ht="14.25" hidden="false" customHeight="false" outlineLevel="0" collapsed="false">
      <c r="A11" s="324"/>
      <c r="B11" s="6"/>
      <c r="C11" s="335" t="s">
        <v>1651</v>
      </c>
      <c r="D11" s="51" t="n">
        <f aca="false">E11/30</f>
        <v>123596</v>
      </c>
      <c r="E11" s="336" t="n">
        <f aca="false">SUMIFS(K142:K2063,F142:F2063,"KG",G142:G2063,"Piatã",J142:J2063,"Golden")</f>
        <v>3707880</v>
      </c>
      <c r="F11" s="337" t="n">
        <f aca="false">SUMIFS(L142:L2063,F142:F2063,"KG",G142:G2063,"Piatã",J142:J2063,"Golden")</f>
        <v>1646100.56</v>
      </c>
      <c r="G11" s="338" t="n">
        <f aca="false">IF(E11,F11/E11,0)</f>
        <v>0.443946557062257</v>
      </c>
      <c r="I11" s="324"/>
      <c r="J11" s="335" t="s">
        <v>1651</v>
      </c>
      <c r="K11" s="336" t="n">
        <f aca="false">SUMIFS(K142:K2063,F142:F2063,"PP",G142:G2063,"Piatã",J142:J2063,"Golden")</f>
        <v>0</v>
      </c>
      <c r="L11" s="337" t="n">
        <f aca="false">SUMIFS(L142:L2063,F142:F2063,"PP",G142:G2063,"Piatã",J142:J2063,"Golden")</f>
        <v>0</v>
      </c>
      <c r="M11" s="339" t="n">
        <f aca="false">IF(K11,L11/K11,0)</f>
        <v>0</v>
      </c>
      <c r="N11" s="332"/>
      <c r="O11" s="333"/>
      <c r="P11" s="341" t="n">
        <f aca="false">SUM(S9:S12)</f>
        <v>6783291.49</v>
      </c>
      <c r="Q11" s="335" t="s">
        <v>1651</v>
      </c>
      <c r="R11" s="336" t="n">
        <f aca="false">K11+E11</f>
        <v>3707880</v>
      </c>
      <c r="S11" s="337" t="n">
        <f aca="false">L11+F11</f>
        <v>1646100.56</v>
      </c>
      <c r="T11" s="339" t="n">
        <f aca="false">S11/R11</f>
        <v>0.443946557062257</v>
      </c>
    </row>
    <row r="12" customFormat="false" ht="14.25" hidden="false" customHeight="false" outlineLevel="0" collapsed="false">
      <c r="A12" s="324"/>
      <c r="B12" s="40"/>
      <c r="C12" s="342" t="s">
        <v>1652</v>
      </c>
      <c r="D12" s="263" t="n">
        <f aca="false">E12/45</f>
        <v>289625</v>
      </c>
      <c r="E12" s="343" t="n">
        <f aca="false">SUMIFS(K142:K2063,F142:F2063,"KG",G142:G2063,"Piatã",J142:J2063,"Podium")</f>
        <v>13033125</v>
      </c>
      <c r="F12" s="344" t="n">
        <f aca="false">SUMIFS(L142:L2063,F142:F2063,"KG",G142:G2063,"Piatã",J142:J2063,"Podium")</f>
        <v>4096347.68</v>
      </c>
      <c r="G12" s="345" t="n">
        <f aca="false">IF(E12,F12/E12,0)</f>
        <v>0.314302799980818</v>
      </c>
      <c r="I12" s="324"/>
      <c r="J12" s="342" t="s">
        <v>1652</v>
      </c>
      <c r="K12" s="343" t="n">
        <f aca="false">SUMIFS(K142:K2063,F142:F2063,"PP",G142:G2063,"Piatã",J142:J2063,"Podium")</f>
        <v>0</v>
      </c>
      <c r="L12" s="344" t="n">
        <f aca="false">SUMIFS(L142:L2063,F142:F2063,"PP",G142:G2063,"Piatã",J142:J2063,"Podium")</f>
        <v>0</v>
      </c>
      <c r="M12" s="346" t="n">
        <f aca="false">IF(K12,L12/K12,0)</f>
        <v>0</v>
      </c>
      <c r="N12" s="332"/>
      <c r="O12" s="333"/>
      <c r="P12" s="347" t="n">
        <f aca="false">P11/P9</f>
        <v>0.330003592277479</v>
      </c>
      <c r="Q12" s="342" t="s">
        <v>1652</v>
      </c>
      <c r="R12" s="343" t="n">
        <f aca="false">K12+E12</f>
        <v>13033125</v>
      </c>
      <c r="S12" s="344" t="n">
        <f aca="false">L12+F12</f>
        <v>4096347.68</v>
      </c>
      <c r="T12" s="346" t="n">
        <f aca="false">S12/R12</f>
        <v>0.314302799980818</v>
      </c>
    </row>
    <row r="13" customFormat="false" ht="14.25" hidden="false" customHeight="false" outlineLevel="0" collapsed="false">
      <c r="A13" s="324" t="str">
        <f aca="false">'COM.'!A6</f>
        <v>Decumbens</v>
      </c>
      <c r="B13" s="325"/>
      <c r="C13" s="326" t="s">
        <v>1649</v>
      </c>
      <c r="D13" s="327" t="n">
        <f aca="false">E13/60</f>
        <v>6000</v>
      </c>
      <c r="E13" s="328" t="n">
        <f aca="false">SUMIFS(K142:K2063,F142:F2063,"KG",G142:G2063,"Decumbens",J142:J2063,"comum",I142:I2063,"60")</f>
        <v>360000</v>
      </c>
      <c r="F13" s="329" t="n">
        <f aca="false">SUMIFS(L142:L2063,F142:F2063,"KG",G142:G2063,"Decumbens",J142:J2063,"Comum",I142:I2063,"60")</f>
        <v>108000</v>
      </c>
      <c r="G13" s="330" t="n">
        <f aca="false">IF(E13,F13/E13,0)</f>
        <v>0.3</v>
      </c>
      <c r="I13" s="324" t="str">
        <f aca="false">'COM.'!A6</f>
        <v>Decumbens</v>
      </c>
      <c r="J13" s="326" t="s">
        <v>1649</v>
      </c>
      <c r="K13" s="328" t="n">
        <f aca="false">SUMIFS(K142:K2063,F142:F2063,"PP",G142:G2063,"Decumbens",J142:J2063,"Comum",I142:I2063,"60")</f>
        <v>0</v>
      </c>
      <c r="L13" s="329" t="n">
        <f aca="false">SUMIFS(L142:L2063,F142:F2063,"PP",G142:G2063,"Decumbens",J142:J2063,"comum")</f>
        <v>0</v>
      </c>
      <c r="M13" s="331" t="n">
        <f aca="false">IF(K13,L13/K13,0)</f>
        <v>0</v>
      </c>
      <c r="N13" s="332"/>
      <c r="O13" s="333" t="str">
        <f aca="false">'COM.'!A6</f>
        <v>Decumbens</v>
      </c>
      <c r="P13" s="334" t="n">
        <f aca="false">SUM(R13:R16)</f>
        <v>4512055.86</v>
      </c>
      <c r="Q13" s="326" t="s">
        <v>1649</v>
      </c>
      <c r="R13" s="328" t="n">
        <f aca="false">K13+E13</f>
        <v>360000</v>
      </c>
      <c r="S13" s="329" t="n">
        <f aca="false">L13+F13</f>
        <v>108000</v>
      </c>
      <c r="T13" s="331" t="n">
        <f aca="false">S13/R13</f>
        <v>0.3</v>
      </c>
    </row>
    <row r="14" customFormat="false" ht="14.25" hidden="false" customHeight="false" outlineLevel="0" collapsed="false">
      <c r="A14" s="324"/>
      <c r="B14" s="6"/>
      <c r="C14" s="335" t="s">
        <v>1650</v>
      </c>
      <c r="D14" s="51" t="n">
        <f aca="false">E14/90</f>
        <v>850</v>
      </c>
      <c r="E14" s="336" t="n">
        <f aca="false">SUMIFS(K142:K2063,F142:F2063,"KG",G142:G2063,"Decumbens",J142:J2063,"comum",I142:I2063,"90")</f>
        <v>76500</v>
      </c>
      <c r="F14" s="337" t="n">
        <f aca="false">SUMIFS(L142:L2063,F142:F2063,"KG",G142:G2063,"Decumbens",J142:J2063,"Comum",I142:I2063,"90")</f>
        <v>19402</v>
      </c>
      <c r="G14" s="338" t="n">
        <f aca="false">IF(E14,F14/E14,0)</f>
        <v>0.25362091503268</v>
      </c>
      <c r="I14" s="324"/>
      <c r="J14" s="335" t="s">
        <v>1650</v>
      </c>
      <c r="K14" s="336" t="n">
        <f aca="false">SUMIFS(K142:K2063,F142:F2063,"PP",G142:G2063,"Decumbens",J142:J2063,"comum",I142:I2063,"90")</f>
        <v>0</v>
      </c>
      <c r="L14" s="337" t="n">
        <f aca="false">SUMIFS(L142:L2063,F142:F2063,"PP",G142:G2063,"Decumbens",J142:J2063,"comum")</f>
        <v>0</v>
      </c>
      <c r="M14" s="339" t="n">
        <f aca="false">IF(K14,L14/K14,0)</f>
        <v>0</v>
      </c>
      <c r="N14" s="332"/>
      <c r="O14" s="333"/>
      <c r="P14" s="340"/>
      <c r="Q14" s="335" t="s">
        <v>1650</v>
      </c>
      <c r="R14" s="336" t="n">
        <f aca="false">K14+E14</f>
        <v>76500</v>
      </c>
      <c r="S14" s="337" t="n">
        <f aca="false">L14+F14</f>
        <v>19402</v>
      </c>
      <c r="T14" s="339" t="n">
        <f aca="false">S14/R14</f>
        <v>0.25362091503268</v>
      </c>
    </row>
    <row r="15" customFormat="false" ht="14.25" hidden="false" customHeight="false" outlineLevel="0" collapsed="false">
      <c r="A15" s="324"/>
      <c r="B15" s="6"/>
      <c r="C15" s="335" t="s">
        <v>1651</v>
      </c>
      <c r="D15" s="51" t="n">
        <f aca="false">E15/25.71</f>
        <v>143250</v>
      </c>
      <c r="E15" s="336" t="n">
        <f aca="false">SUMIFS(K142:K2063,F142:F2063,"KG",G142:G2063,"Decumbens",J142:J2063,"Golden")</f>
        <v>3682957.5</v>
      </c>
      <c r="F15" s="337" t="n">
        <f aca="false">SUMIFS(L142:L2063,F142:F2063,"KG",G142:G2063,"Decumbens",J142:J2063,"Golden")</f>
        <v>1827571.9</v>
      </c>
      <c r="G15" s="338" t="n">
        <f aca="false">IF(E15,F15/E15,0)</f>
        <v>0.496223999326628</v>
      </c>
      <c r="I15" s="324"/>
      <c r="J15" s="335" t="s">
        <v>1651</v>
      </c>
      <c r="K15" s="336" t="n">
        <f aca="false">SUMIFS(K142:K2063,F142:F2063,"PP",G142:G2063,"Decumbens",J142:J2063,"Golden")</f>
        <v>0</v>
      </c>
      <c r="L15" s="337" t="n">
        <f aca="false">SUMIFS(L142:L2063,F142:F2063,"PP",G142:G2063,"Decumbens",J142:J2063,"Golden")</f>
        <v>0</v>
      </c>
      <c r="M15" s="339" t="n">
        <f aca="false">IF(K15,L15/K15,0)</f>
        <v>0</v>
      </c>
      <c r="N15" s="332"/>
      <c r="O15" s="333"/>
      <c r="P15" s="341" t="n">
        <f aca="false">SUM(S13:S16)</f>
        <v>2135573.5</v>
      </c>
      <c r="Q15" s="335" t="s">
        <v>1651</v>
      </c>
      <c r="R15" s="336" t="n">
        <f aca="false">K15+E15</f>
        <v>3682957.5</v>
      </c>
      <c r="S15" s="337" t="n">
        <f aca="false">L15+F15</f>
        <v>1827571.9</v>
      </c>
      <c r="T15" s="339" t="n">
        <f aca="false">S15/R15</f>
        <v>0.496223999326628</v>
      </c>
    </row>
    <row r="16" customFormat="false" ht="14.25" hidden="false" customHeight="false" outlineLevel="0" collapsed="false">
      <c r="A16" s="324"/>
      <c r="B16" s="40"/>
      <c r="C16" s="342" t="s">
        <v>1652</v>
      </c>
      <c r="D16" s="263" t="n">
        <f aca="false">E16/36</f>
        <v>10905.51</v>
      </c>
      <c r="E16" s="343" t="n">
        <f aca="false">SUMIFS(K142:K2063,F142:F2063,"KG",G142:G2063,"Decumbens",J142:J2063,"Podium")</f>
        <v>392598.36</v>
      </c>
      <c r="F16" s="344" t="n">
        <f aca="false">SUMIFS(L142:L2063,F142:F2063,"KG",G142:G2063,"Decumbens",J142:J2063,"Podium")</f>
        <v>180599.6</v>
      </c>
      <c r="G16" s="345" t="n">
        <f aca="false">IF(E16,F16/E16,0)</f>
        <v>0.46001109123329</v>
      </c>
      <c r="I16" s="324"/>
      <c r="J16" s="342" t="s">
        <v>1652</v>
      </c>
      <c r="K16" s="343" t="n">
        <f aca="false">SUMIFS(K142:K2063,F142:F2063,"PP",G142:G2063,"Decumbens",J142:J2063,"Podium")</f>
        <v>0</v>
      </c>
      <c r="L16" s="344" t="n">
        <f aca="false">SUMIFS(L142:L2063,F142:F2063,"PP",G142:G2063,"Decumbens",J142:J2063,"Podium")</f>
        <v>0</v>
      </c>
      <c r="M16" s="346" t="n">
        <f aca="false">IF(K16,L16/K16,0)</f>
        <v>0</v>
      </c>
      <c r="N16" s="332"/>
      <c r="O16" s="333"/>
      <c r="P16" s="347" t="n">
        <f aca="false">P15/P13</f>
        <v>0.473303869956965</v>
      </c>
      <c r="Q16" s="342" t="s">
        <v>1652</v>
      </c>
      <c r="R16" s="343" t="n">
        <f aca="false">K16+E16</f>
        <v>392598.36</v>
      </c>
      <c r="S16" s="344" t="n">
        <f aca="false">L16+F16</f>
        <v>180599.6</v>
      </c>
      <c r="T16" s="346" t="n">
        <f aca="false">S16/R16</f>
        <v>0.46001109123329</v>
      </c>
    </row>
    <row r="17" customFormat="false" ht="14.25" hidden="false" customHeight="false" outlineLevel="0" collapsed="false">
      <c r="A17" s="324" t="str">
        <f aca="false">'COM.'!A7</f>
        <v>Xaraes</v>
      </c>
      <c r="B17" s="325"/>
      <c r="C17" s="326" t="s">
        <v>1649</v>
      </c>
      <c r="D17" s="327" t="n">
        <f aca="false">E17/60</f>
        <v>15825</v>
      </c>
      <c r="E17" s="328" t="n">
        <f aca="false">SUMIFS(K142:K2063,F142:F2063,"KG",G142:G2063,"Xaraes",J142:J2063,"comum",I142:I2063,"60")</f>
        <v>949500</v>
      </c>
      <c r="F17" s="329" t="n">
        <f aca="false">SUMIFS(L142:L2063,F142:F2063,"KG",G142:G2063,"Xaraes",J142:J2063,"Comum",I142:I2063,"60")</f>
        <v>317880</v>
      </c>
      <c r="G17" s="330" t="n">
        <f aca="false">IF(E17,F17/E17,0)</f>
        <v>0.33478672985782</v>
      </c>
      <c r="I17" s="324" t="str">
        <f aca="false">'COM.'!A7</f>
        <v>Xaraes</v>
      </c>
      <c r="J17" s="326" t="s">
        <v>1649</v>
      </c>
      <c r="K17" s="328" t="n">
        <f aca="false">SUMIFS(K142:K2063,F142:F2063,"PP",G142:G2063,"Xaraes",J142:J2063,"Comum")</f>
        <v>0</v>
      </c>
      <c r="L17" s="329" t="n">
        <f aca="false">SUMIFS(L142:L2063,F142:F2063,"PP",G142:G2063,"Xaraes",J142:J2063,"comum")</f>
        <v>0</v>
      </c>
      <c r="M17" s="331" t="n">
        <f aca="false">IF(K17,L17/K17,0)</f>
        <v>0</v>
      </c>
      <c r="N17" s="332"/>
      <c r="O17" s="333" t="str">
        <f aca="false">'COM.'!A7</f>
        <v>Xaraes</v>
      </c>
      <c r="P17" s="334" t="n">
        <f aca="false">SUM(R17:R20)</f>
        <v>10706235</v>
      </c>
      <c r="Q17" s="326" t="s">
        <v>1649</v>
      </c>
      <c r="R17" s="328" t="n">
        <f aca="false">K17+E17</f>
        <v>949500</v>
      </c>
      <c r="S17" s="329" t="n">
        <f aca="false">L17+F17</f>
        <v>317880</v>
      </c>
      <c r="T17" s="331" t="n">
        <f aca="false">S17/R17</f>
        <v>0.33478672985782</v>
      </c>
    </row>
    <row r="18" customFormat="false" ht="14.25" hidden="false" customHeight="false" outlineLevel="0" collapsed="false">
      <c r="A18" s="324"/>
      <c r="B18" s="6"/>
      <c r="C18" s="335" t="s">
        <v>1650</v>
      </c>
      <c r="D18" s="51" t="n">
        <f aca="false">E18/90</f>
        <v>6928</v>
      </c>
      <c r="E18" s="336" t="n">
        <f aca="false">SUMIFS(K142:K2063,F142:F2063,"KG",G142:G2063,"Xaraes",J142:J2063,"comum",I142:I2063,"90")</f>
        <v>623520</v>
      </c>
      <c r="F18" s="337" t="n">
        <f aca="false">SUMIFS(L142:L2063,F142:F2063,"KG",G142:G2063,"Xaraes",J142:J2063,"Comum",I142:I2063,"90")</f>
        <v>201930.46</v>
      </c>
      <c r="G18" s="338" t="n">
        <f aca="false">IF(E18,F18/E18,0)</f>
        <v>0.323855626122658</v>
      </c>
      <c r="I18" s="324"/>
      <c r="J18" s="335" t="s">
        <v>1650</v>
      </c>
      <c r="K18" s="336" t="n">
        <f aca="false">SUMIFS(K142:K2063,F142:F2063,"PP",G142:G2063,"Xaraes",J142:J2063,"Comum")</f>
        <v>0</v>
      </c>
      <c r="L18" s="337" t="n">
        <f aca="false">SUMIFS(L142:L2063,F142:F2063,"PP",G142:G2063,"Xaraes",J142:J2063,"comum")</f>
        <v>0</v>
      </c>
      <c r="M18" s="339" t="n">
        <f aca="false">IF(K18,L18/K18,0)</f>
        <v>0</v>
      </c>
      <c r="N18" s="332"/>
      <c r="O18" s="333"/>
      <c r="P18" s="340"/>
      <c r="Q18" s="335" t="s">
        <v>1650</v>
      </c>
      <c r="R18" s="336" t="n">
        <f aca="false">K18+E18</f>
        <v>623520</v>
      </c>
      <c r="S18" s="337" t="n">
        <f aca="false">L18+F18</f>
        <v>201930.46</v>
      </c>
      <c r="T18" s="339" t="n">
        <f aca="false">S18/R18</f>
        <v>0.323855626122658</v>
      </c>
    </row>
    <row r="19" customFormat="false" ht="14.25" hidden="false" customHeight="false" outlineLevel="0" collapsed="false">
      <c r="A19" s="324"/>
      <c r="B19" s="6"/>
      <c r="C19" s="335" t="s">
        <v>1651</v>
      </c>
      <c r="D19" s="51" t="n">
        <f aca="false">E19/30</f>
        <v>271613</v>
      </c>
      <c r="E19" s="336" t="n">
        <f aca="false">SUMIFS(K142:K2063,F142:F2063,"KG",G142:G2063,"Xaraes",J142:J2063,"Golden")</f>
        <v>8148390</v>
      </c>
      <c r="F19" s="337" t="n">
        <f aca="false">SUMIFS(L142:L2063,F142:F2063,"KG",G142:G2063,"Xaraes",J142:J2063,"Golden")</f>
        <v>3857714.18</v>
      </c>
      <c r="G19" s="338" t="n">
        <f aca="false">IF(E19,F19/E19,0)</f>
        <v>0.473432687929763</v>
      </c>
      <c r="I19" s="324"/>
      <c r="J19" s="335" t="s">
        <v>1651</v>
      </c>
      <c r="K19" s="336" t="n">
        <f aca="false">SUMIFS(K142:K2063,F142:F2063,"PP",G142:G2063,"MG-5",J142:J2063,"Golden")</f>
        <v>0</v>
      </c>
      <c r="L19" s="337" t="n">
        <f aca="false">SUMIFS(L142:L2063,F142:F2063,"PP",G142:G2063,"Xaraes",J142:J2063,"Golden")</f>
        <v>0</v>
      </c>
      <c r="M19" s="339" t="n">
        <f aca="false">IF(K19,L19/K19,0)</f>
        <v>0</v>
      </c>
      <c r="N19" s="332"/>
      <c r="O19" s="333"/>
      <c r="P19" s="341" t="n">
        <f aca="false">SUM(S17:S20)</f>
        <v>4795206.94</v>
      </c>
      <c r="Q19" s="335" t="s">
        <v>1651</v>
      </c>
      <c r="R19" s="336" t="n">
        <f aca="false">K19+E19</f>
        <v>8148390</v>
      </c>
      <c r="S19" s="337" t="n">
        <f aca="false">L19+F19</f>
        <v>3857714.18</v>
      </c>
      <c r="T19" s="339" t="n">
        <f aca="false">S19/R19</f>
        <v>0.473432687929763</v>
      </c>
    </row>
    <row r="20" customFormat="false" ht="14.25" hidden="false" customHeight="false" outlineLevel="0" collapsed="false">
      <c r="A20" s="324"/>
      <c r="B20" s="40"/>
      <c r="C20" s="342" t="s">
        <v>1652</v>
      </c>
      <c r="D20" s="263" t="n">
        <f aca="false">E20/45</f>
        <v>21885</v>
      </c>
      <c r="E20" s="343" t="n">
        <f aca="false">SUMIFS(K142:K2063,F142:F2063,"KG",G142:G2063,"Xaraes",J142:J2063,"Podium")</f>
        <v>984825</v>
      </c>
      <c r="F20" s="344" t="n">
        <f aca="false">SUMIFS(L142:L2063,F142:F2063,"KG",G142:G2063,"Xaraes",J142:J2063,"Podium")</f>
        <v>417682.3</v>
      </c>
      <c r="G20" s="345" t="n">
        <f aca="false">IF(E20,F20/E20,0)</f>
        <v>0.424118295128576</v>
      </c>
      <c r="I20" s="324"/>
      <c r="J20" s="342" t="s">
        <v>1652</v>
      </c>
      <c r="K20" s="343" t="n">
        <f aca="false">SUMIFS(K142:K2063,F142:F2063,"PP",G142:G2063,"MG-5",J142:J2063,"Podium")</f>
        <v>0</v>
      </c>
      <c r="L20" s="344" t="n">
        <f aca="false">SUMIFS(L142:L2063,F142:F2063,"PP",G142:G2063,"Xaraes",J142:J2063,"Podium")</f>
        <v>0</v>
      </c>
      <c r="M20" s="346" t="n">
        <f aca="false">IF(K20,L20/K20,0)</f>
        <v>0</v>
      </c>
      <c r="N20" s="332"/>
      <c r="O20" s="333"/>
      <c r="P20" s="347" t="n">
        <f aca="false">P19/P17</f>
        <v>0.447889191671956</v>
      </c>
      <c r="Q20" s="342" t="s">
        <v>1652</v>
      </c>
      <c r="R20" s="343" t="n">
        <f aca="false">K20+E20</f>
        <v>984825</v>
      </c>
      <c r="S20" s="344" t="n">
        <f aca="false">L20+F20</f>
        <v>417682.3</v>
      </c>
      <c r="T20" s="346" t="n">
        <f aca="false">S20/R20</f>
        <v>0.424118295128576</v>
      </c>
    </row>
    <row r="21" customFormat="false" ht="14.25" hidden="false" customHeight="false" outlineLevel="0" collapsed="false">
      <c r="A21" s="324" t="str">
        <f aca="false">'COM.'!A8</f>
        <v>MG-4</v>
      </c>
      <c r="B21" s="348"/>
      <c r="C21" s="349" t="s">
        <v>1652</v>
      </c>
      <c r="D21" s="350" t="n">
        <f aca="false">E21/C82</f>
        <v>0</v>
      </c>
      <c r="E21" s="343" t="n">
        <f aca="false">SUMIFS(K142:K2063,F142:F2063,"KG",G142:G2063,"MG-4",J142:J2063,"Podium")</f>
        <v>0</v>
      </c>
      <c r="F21" s="344" t="n">
        <f aca="false">SUMIFS(L142:L2063,F142:F2063,"KG",G142:G2063,"MG-4",J142:J2063,"Podium")</f>
        <v>0</v>
      </c>
      <c r="G21" s="345" t="n">
        <f aca="false">IF(E21,F21/E21,0)</f>
        <v>0</v>
      </c>
      <c r="I21" s="324" t="str">
        <f aca="false">'COM.'!A8</f>
        <v>MG-4</v>
      </c>
      <c r="J21" s="351" t="s">
        <v>1652</v>
      </c>
      <c r="K21" s="352" t="n">
        <f aca="false">SUMIFS(K142:K2063,F142:F2063,"PP",G142:G2063,"MG-4")</f>
        <v>0</v>
      </c>
      <c r="L21" s="353" t="n">
        <f aca="false">SUMIFS(L142:L2063,F142:F2063,"PP",G142:G2063,"MG-4")</f>
        <v>0</v>
      </c>
      <c r="M21" s="354" t="n">
        <f aca="false">IF(K21,L21/K21,0)</f>
        <v>0</v>
      </c>
      <c r="N21" s="332"/>
      <c r="O21" s="355" t="str">
        <f aca="false">'COM.'!A8</f>
        <v>MG-4</v>
      </c>
      <c r="P21" s="356"/>
      <c r="Q21" s="351" t="s">
        <v>1652</v>
      </c>
      <c r="R21" s="357" t="n">
        <f aca="false">K21+E21</f>
        <v>0</v>
      </c>
      <c r="S21" s="358" t="n">
        <f aca="false">L21+F21</f>
        <v>0</v>
      </c>
      <c r="T21" s="354" t="e">
        <f aca="false">S21/R21</f>
        <v>#DIV/0!</v>
      </c>
    </row>
    <row r="22" customFormat="false" ht="14.25" hidden="false" customHeight="false" outlineLevel="0" collapsed="false">
      <c r="A22" s="324" t="str">
        <f aca="false">'COM.'!A9</f>
        <v>Ruziziensis</v>
      </c>
      <c r="B22" s="325"/>
      <c r="C22" s="326" t="s">
        <v>1649</v>
      </c>
      <c r="D22" s="327" t="n">
        <f aca="false">E22/60</f>
        <v>0</v>
      </c>
      <c r="E22" s="328" t="n">
        <f aca="false">SUMIFS(K142:K2063,F142:F2063,"KG",G142:G2063,"Ruziziensis",J142:J2063,"comum",I142:I2063,"60")</f>
        <v>0</v>
      </c>
      <c r="F22" s="329" t="n">
        <f aca="false">SUMIFS(L142:L2063,F142:F2063,"KG",G142:G2063,"Ruziziensis",J142:J2063,"Comum",I142:I2063,"60")</f>
        <v>0</v>
      </c>
      <c r="G22" s="330" t="n">
        <f aca="false">IF(E22,F22/E22,0)</f>
        <v>0</v>
      </c>
      <c r="I22" s="324" t="str">
        <f aca="false">'COM.'!A9</f>
        <v>Ruziziensis</v>
      </c>
      <c r="J22" s="326" t="s">
        <v>1649</v>
      </c>
      <c r="K22" s="328" t="n">
        <f aca="false">SUMIFS(K142:K2063,F142:F2063,"PP",G142:G2063,"Ruziziensis",J142:J2063,"Comum")</f>
        <v>0</v>
      </c>
      <c r="L22" s="329" t="n">
        <f aca="false">SUMIFS(L142:L2063,F142:F2063,"PP",G142:G2063,"Ruziziensis",J142:J2063,"comum")</f>
        <v>0</v>
      </c>
      <c r="M22" s="331" t="n">
        <f aca="false">IF(K22,L22/K22,0)</f>
        <v>0</v>
      </c>
      <c r="N22" s="332"/>
      <c r="O22" s="333" t="str">
        <f aca="false">'COM.'!A9</f>
        <v>Ruziziensis</v>
      </c>
      <c r="P22" s="334" t="n">
        <f aca="false">SUM(R22:R25)</f>
        <v>130860917.95</v>
      </c>
      <c r="Q22" s="326" t="s">
        <v>1649</v>
      </c>
      <c r="R22" s="328" t="n">
        <f aca="false">K22+E22</f>
        <v>0</v>
      </c>
      <c r="S22" s="329" t="n">
        <f aca="false">L22+F22</f>
        <v>0</v>
      </c>
      <c r="T22" s="331" t="e">
        <f aca="false">S22/R22</f>
        <v>#DIV/0!</v>
      </c>
    </row>
    <row r="23" customFormat="false" ht="14.25" hidden="false" customHeight="false" outlineLevel="0" collapsed="false">
      <c r="A23" s="324"/>
      <c r="B23" s="6"/>
      <c r="C23" s="335" t="s">
        <v>1650</v>
      </c>
      <c r="D23" s="51" t="n">
        <f aca="false">E23/90</f>
        <v>1121564.44</v>
      </c>
      <c r="E23" s="336" t="n">
        <f aca="false">SUMIFS(K142:K2063,F142:F2063,"KG",G142:G2063,"Ruziziensis",J142:J2063,"comum",I142:I2063,"90")</f>
        <v>100940799.6</v>
      </c>
      <c r="F23" s="337" t="n">
        <f aca="false">SUMIFS(L142:L2063,F142:F2063,"KG",G142:G2063,"Ruziziensis",J142:J2063,"Comum",I142:I2063,"90")</f>
        <v>15080223.46</v>
      </c>
      <c r="G23" s="338" t="n">
        <f aca="false">IF(E23,F23/E23,0)</f>
        <v>0.149396710941053</v>
      </c>
      <c r="I23" s="324"/>
      <c r="J23" s="335" t="s">
        <v>1650</v>
      </c>
      <c r="K23" s="336" t="n">
        <f aca="false">SUMIFS(K142:K2063,F142:F2063,"PP",G142:G2063,"Ruziziensis",J142:J2063,"Comum")</f>
        <v>0</v>
      </c>
      <c r="L23" s="337" t="n">
        <f aca="false">SUMIFS(L142:L2063,F142:F2063,"PP",G142:G2063,"Ruziziensis",J142:J2063,"comum")</f>
        <v>0</v>
      </c>
      <c r="M23" s="339" t="n">
        <f aca="false">IF(K23,L23/K23,0)</f>
        <v>0</v>
      </c>
      <c r="N23" s="332"/>
      <c r="O23" s="333"/>
      <c r="P23" s="340"/>
      <c r="Q23" s="335" t="s">
        <v>1650</v>
      </c>
      <c r="R23" s="336" t="n">
        <f aca="false">K23+E23</f>
        <v>100940799.6</v>
      </c>
      <c r="S23" s="337" t="n">
        <f aca="false">L23+F23</f>
        <v>15080223.46</v>
      </c>
      <c r="T23" s="339" t="n">
        <f aca="false">S23/R23</f>
        <v>0.149396710941053</v>
      </c>
    </row>
    <row r="24" customFormat="false" ht="14.25" hidden="false" customHeight="false" outlineLevel="0" collapsed="false">
      <c r="A24" s="324"/>
      <c r="B24" s="6"/>
      <c r="C24" s="335" t="s">
        <v>1651</v>
      </c>
      <c r="D24" s="51" t="n">
        <f aca="false">E24/25.71</f>
        <v>287785</v>
      </c>
      <c r="E24" s="336" t="n">
        <f aca="false">SUMIFS(K142:K2063,F142:F2063,"KG",G142:G2063,"Ruziziensis",J142:J2063,"Golden")</f>
        <v>7398952.35</v>
      </c>
      <c r="F24" s="337" t="n">
        <f aca="false">SUMIFS(L142:L2063,F142:F2063,"KG",G142:G2063,"Ruziziensis",J142:J2063,"Golden")</f>
        <v>2579057.43</v>
      </c>
      <c r="G24" s="338" t="n">
        <f aca="false">IF(E24,F24/E24,0)</f>
        <v>0.348570622974751</v>
      </c>
      <c r="I24" s="324"/>
      <c r="J24" s="335" t="s">
        <v>1651</v>
      </c>
      <c r="K24" s="336" t="n">
        <f aca="false">SUMIFS(K142:K2063,F142:F2063,"PP",G142:G2063,"Ruziziensis",J142:J2063,"Golden")</f>
        <v>0</v>
      </c>
      <c r="L24" s="337" t="n">
        <f aca="false">SUMIFS(L142:L2063,F142:F2063,"PP",G142:G2063,"Ruziziensis",J142:J2063,"Golden")</f>
        <v>0</v>
      </c>
      <c r="M24" s="339" t="n">
        <f aca="false">IF(K24,L24/K24,0)</f>
        <v>0</v>
      </c>
      <c r="N24" s="332"/>
      <c r="O24" s="333"/>
      <c r="P24" s="341" t="n">
        <f aca="false">SUM(S22:S25)</f>
        <v>24271591.52</v>
      </c>
      <c r="Q24" s="335" t="s">
        <v>1651</v>
      </c>
      <c r="R24" s="336" t="n">
        <f aca="false">K24+E24</f>
        <v>7398952.35</v>
      </c>
      <c r="S24" s="337" t="n">
        <f aca="false">L24+F24</f>
        <v>2579057.43</v>
      </c>
      <c r="T24" s="339" t="n">
        <f aca="false">S24/R24</f>
        <v>0.348570622974751</v>
      </c>
    </row>
    <row r="25" customFormat="false" ht="14.25" hidden="false" customHeight="false" outlineLevel="0" collapsed="false">
      <c r="A25" s="324"/>
      <c r="B25" s="40"/>
      <c r="C25" s="342" t="s">
        <v>1652</v>
      </c>
      <c r="D25" s="263" t="n">
        <f aca="false">E25/38.3</f>
        <v>588020</v>
      </c>
      <c r="E25" s="343" t="n">
        <f aca="false">SUMIFS(K142:K2063,F142:F2063,"KG",G142:G2063,"Ruziziensis",J142:J2063,"Podium")</f>
        <v>22521166</v>
      </c>
      <c r="F25" s="344" t="n">
        <f aca="false">SUMIFS(L142:L2063,F142:F2063,"KG",G142:G2063,"Ruziziensis",J142:J2063,"Podium")</f>
        <v>6612310.63</v>
      </c>
      <c r="G25" s="345" t="n">
        <f aca="false">IF(E25,F25/E25,0)</f>
        <v>0.29360427564008</v>
      </c>
      <c r="I25" s="324"/>
      <c r="J25" s="342" t="s">
        <v>1652</v>
      </c>
      <c r="K25" s="343" t="n">
        <f aca="false">SUMIFS(K142:K2063,F142:F2063,"PP",G142:G2063,"Ruziziensis",J142:J2063,"Podium")</f>
        <v>0</v>
      </c>
      <c r="L25" s="344" t="n">
        <f aca="false">SUMIFS(L142:L2063,F142:F2063,"PP",G142:G2063,"Ruziziensis",J142:J2063,"Podium")</f>
        <v>0</v>
      </c>
      <c r="M25" s="346" t="n">
        <f aca="false">IF(K25,L25/K25,0)</f>
        <v>0</v>
      </c>
      <c r="N25" s="332"/>
      <c r="O25" s="333"/>
      <c r="P25" s="347" t="n">
        <f aca="false">P24/P22</f>
        <v>0.18547624378788</v>
      </c>
      <c r="Q25" s="342" t="s">
        <v>1652</v>
      </c>
      <c r="R25" s="343" t="n">
        <f aca="false">K25+E25</f>
        <v>22521166</v>
      </c>
      <c r="S25" s="344" t="n">
        <f aca="false">L25+F25</f>
        <v>6612310.63</v>
      </c>
      <c r="T25" s="346" t="n">
        <f aca="false">S25/R25</f>
        <v>0.29360427564008</v>
      </c>
    </row>
    <row r="26" customFormat="false" ht="14.25" hidden="false" customHeight="false" outlineLevel="0" collapsed="false">
      <c r="A26" s="324" t="str">
        <f aca="false">'COM.'!A10</f>
        <v>Humidicola</v>
      </c>
      <c r="B26" s="325"/>
      <c r="C26" s="326" t="s">
        <v>1653</v>
      </c>
      <c r="D26" s="327" t="n">
        <f aca="false">E26/40</f>
        <v>0</v>
      </c>
      <c r="E26" s="328" t="n">
        <f aca="false">SUMIFS(K142:K2063,F142:F2063,"KG",G142:G2063,"Humidicola",J142:J2063,"comum")</f>
        <v>0</v>
      </c>
      <c r="F26" s="329" t="n">
        <f aca="false">SUMIFS(L142:L2063,F142:F2063,"KG",G142:G2063,"Humidicola",J142:J2063,"Comum")</f>
        <v>0</v>
      </c>
      <c r="G26" s="330" t="n">
        <f aca="false">IF(E26,F26/E26,0)</f>
        <v>0</v>
      </c>
      <c r="I26" s="324" t="str">
        <f aca="false">'COM.'!A10</f>
        <v>Humidicola</v>
      </c>
      <c r="J26" s="326" t="s">
        <v>1653</v>
      </c>
      <c r="K26" s="328" t="n">
        <f aca="false">SUMIFS(K142:K2063,F142:F2063,"PP",G142:G2063,"Humidicola",J142:J2063,"Comum")</f>
        <v>0</v>
      </c>
      <c r="L26" s="329" t="n">
        <f aca="false">SUMIFS(L142:L2063,F142:F2063,"PP",G142:G2063,"Humidicola",J142:J2063,"comum")</f>
        <v>0</v>
      </c>
      <c r="M26" s="331" t="n">
        <f aca="false">IF(K26,L26/K26,0)</f>
        <v>0</v>
      </c>
      <c r="N26" s="332"/>
      <c r="O26" s="333" t="str">
        <f aca="false">'COM.'!A10</f>
        <v>Humidicola</v>
      </c>
      <c r="P26" s="334" t="n">
        <f aca="false">SUM(R26:R28)</f>
        <v>1263740</v>
      </c>
      <c r="Q26" s="326" t="s">
        <v>1653</v>
      </c>
      <c r="R26" s="328" t="n">
        <f aca="false">K26+E26</f>
        <v>0</v>
      </c>
      <c r="S26" s="329" t="n">
        <f aca="false">L26+F26</f>
        <v>0</v>
      </c>
      <c r="T26" s="331" t="e">
        <f aca="false">S26/R26</f>
        <v>#DIV/0!</v>
      </c>
    </row>
    <row r="27" customFormat="false" ht="14.25" hidden="false" customHeight="false" outlineLevel="0" collapsed="false">
      <c r="A27" s="324"/>
      <c r="B27" s="6"/>
      <c r="C27" s="335" t="s">
        <v>1651</v>
      </c>
      <c r="D27" s="51" t="n">
        <f aca="false">E27/14</f>
        <v>88810</v>
      </c>
      <c r="E27" s="336" t="n">
        <f aca="false">SUMIFS(K142:K2063,F142:F2063,"KG",G142:G2063,"Humidicola",J142:J2063,"Golden")</f>
        <v>1243340</v>
      </c>
      <c r="F27" s="337" t="n">
        <f aca="false">SUMIFS(L142:L2063,F142:F2063,"KG",G142:G2063,"Humidicola",J142:J2063,"Golden")</f>
        <v>4743773.8855</v>
      </c>
      <c r="G27" s="338" t="n">
        <f aca="false">IF(E27,F27/E27,0)</f>
        <v>3.81534727870092</v>
      </c>
      <c r="I27" s="324"/>
      <c r="J27" s="335" t="s">
        <v>1651</v>
      </c>
      <c r="K27" s="336" t="n">
        <f aca="false">SUMIFS(K142:K2063,F142:F2063,"PP",G142:G2063,"Humidicola",J142:J2063,"Golden")</f>
        <v>0</v>
      </c>
      <c r="L27" s="337" t="n">
        <f aca="false">SUMIFS(L142:L2063,F142:F2063,"PP",G142:G2063,"Humidicola",J142:J2063,"Golden")</f>
        <v>0</v>
      </c>
      <c r="M27" s="339" t="n">
        <f aca="false">IF(K27,L27/K27,0)</f>
        <v>0</v>
      </c>
      <c r="N27" s="332"/>
      <c r="O27" s="333"/>
      <c r="P27" s="341" t="n">
        <f aca="false">SUM(S26:S28)</f>
        <v>4810073.8855</v>
      </c>
      <c r="Q27" s="335" t="s">
        <v>1651</v>
      </c>
      <c r="R27" s="336" t="n">
        <f aca="false">K27+E27</f>
        <v>1243340</v>
      </c>
      <c r="S27" s="337" t="n">
        <f aca="false">L27+F27</f>
        <v>4743773.8855</v>
      </c>
      <c r="T27" s="339" t="n">
        <f aca="false">S27/R27</f>
        <v>3.81534727870092</v>
      </c>
    </row>
    <row r="28" customFormat="false" ht="14.25" hidden="false" customHeight="false" outlineLevel="0" collapsed="false">
      <c r="A28" s="324"/>
      <c r="B28" s="40"/>
      <c r="C28" s="342" t="s">
        <v>1652</v>
      </c>
      <c r="D28" s="263" t="n">
        <f aca="false">E28/20</f>
        <v>1020</v>
      </c>
      <c r="E28" s="343" t="n">
        <f aca="false">SUMIFS(K142:K2063,F142:F2063,"KG",G142:G2063,"Humidicola",J142:J2063,"Podium")</f>
        <v>20400</v>
      </c>
      <c r="F28" s="344" t="n">
        <f aca="false">SUMIFS(L142:L2063,F142:F2063,"KG",G142:G2063,"Humidicola",J142:J2063,"Podium")</f>
        <v>66300</v>
      </c>
      <c r="G28" s="345" t="n">
        <f aca="false">IF(E28,F28/E28,0)</f>
        <v>3.25</v>
      </c>
      <c r="I28" s="324"/>
      <c r="J28" s="342" t="s">
        <v>1652</v>
      </c>
      <c r="K28" s="343" t="n">
        <f aca="false">SUMIFS(K142:K2063,F142:F2063,"PP",G142:G2063,"Humidicola",J142:J2063,"Podium")</f>
        <v>0</v>
      </c>
      <c r="L28" s="344" t="n">
        <f aca="false">SUMIFS(L142:L2063,F142:F2063,"PP",G142:G2063,"Humidicola",J142:J2063,"Podium")</f>
        <v>0</v>
      </c>
      <c r="M28" s="346" t="n">
        <f aca="false">IF(K28,L28/K28,0)</f>
        <v>0</v>
      </c>
      <c r="N28" s="332"/>
      <c r="O28" s="333"/>
      <c r="P28" s="347" t="n">
        <f aca="false">P27/P26</f>
        <v>3.80622112578537</v>
      </c>
      <c r="Q28" s="342" t="s">
        <v>1652</v>
      </c>
      <c r="R28" s="343" t="n">
        <f aca="false">K28+E28</f>
        <v>20400</v>
      </c>
      <c r="S28" s="344" t="n">
        <f aca="false">L28+F28</f>
        <v>66300</v>
      </c>
      <c r="T28" s="346" t="n">
        <f aca="false">S28/R28</f>
        <v>3.25</v>
      </c>
    </row>
    <row r="29" customFormat="false" ht="14.25" hidden="false" customHeight="false" outlineLevel="0" collapsed="false">
      <c r="A29" s="324" t="str">
        <f aca="false">'COM.'!A11</f>
        <v>Llanero</v>
      </c>
      <c r="B29" s="325"/>
      <c r="C29" s="326" t="s">
        <v>1649</v>
      </c>
      <c r="D29" s="327" t="n">
        <f aca="false">E29/60</f>
        <v>0</v>
      </c>
      <c r="E29" s="328" t="n">
        <f aca="false">SUMIFS(K142:K2063,F142:F2063,"KG",G142:G2063,"Llanero",J142:J2063,"comum",I142:I2063,"60")</f>
        <v>0</v>
      </c>
      <c r="F29" s="329" t="n">
        <f aca="false">SUMIFS(L142:L2063,F142:F2063,"KG",G142:G2063,"Llanero",J142:J2063,"Comum",I142:I2063,"60")</f>
        <v>0</v>
      </c>
      <c r="G29" s="330" t="n">
        <f aca="false">IF(E29,F29/E29,0)</f>
        <v>0</v>
      </c>
      <c r="I29" s="324" t="str">
        <f aca="false">'COM.'!A11</f>
        <v>Llanero</v>
      </c>
      <c r="J29" s="326" t="s">
        <v>1649</v>
      </c>
      <c r="K29" s="328" t="n">
        <f aca="false">SUMIFS(K142:K2063,F142:F2063,"PP",G142:G2063,"Llanero",J142:J2063,"Comum")</f>
        <v>0</v>
      </c>
      <c r="L29" s="329" t="n">
        <f aca="false">SUMIFS(L142:L2063,F142:F2063,"PP",G142:G2063,"Llanero",J142:J2063,"comum")</f>
        <v>0</v>
      </c>
      <c r="M29" s="331" t="n">
        <f aca="false">IF(K29,L29/K29,0)</f>
        <v>0</v>
      </c>
      <c r="N29" s="332"/>
      <c r="O29" s="333" t="str">
        <f aca="false">'COM.'!A11</f>
        <v>Llanero</v>
      </c>
      <c r="P29" s="334" t="n">
        <f aca="false">SUM(R29:R32)</f>
        <v>874865.7</v>
      </c>
      <c r="Q29" s="326" t="s">
        <v>1649</v>
      </c>
      <c r="R29" s="328" t="n">
        <f aca="false">K29+E29</f>
        <v>0</v>
      </c>
      <c r="S29" s="329" t="n">
        <f aca="false">L29+F29</f>
        <v>0</v>
      </c>
      <c r="T29" s="331" t="e">
        <f aca="false">S29/R29</f>
        <v>#DIV/0!</v>
      </c>
    </row>
    <row r="30" customFormat="false" ht="14.25" hidden="false" customHeight="false" outlineLevel="0" collapsed="false">
      <c r="A30" s="324"/>
      <c r="B30" s="6"/>
      <c r="C30" s="335" t="s">
        <v>1650</v>
      </c>
      <c r="D30" s="51" t="n">
        <f aca="false">E30/90</f>
        <v>0</v>
      </c>
      <c r="E30" s="336" t="n">
        <f aca="false">SUMIFS(K142:K2063,F142:F2063,"KG",G142:G2063,"Llanero",J142:J2063,"comum",I142:I2063,"90")</f>
        <v>0</v>
      </c>
      <c r="F30" s="337" t="n">
        <f aca="false">SUMIFS(L142:L2063,F142:F2063,"KG",G142:G2063,"Llanero",J142:J2063,"Comum",I142:I2063,"90")</f>
        <v>0</v>
      </c>
      <c r="G30" s="338" t="n">
        <f aca="false">IF(E30,F30/E30,0)</f>
        <v>0</v>
      </c>
      <c r="I30" s="324"/>
      <c r="J30" s="335" t="s">
        <v>1650</v>
      </c>
      <c r="K30" s="336" t="n">
        <f aca="false">SUMIFS(K142:K2063,F142:F2063,"PP",G142:G2063,"Llanero",J142:J2063,"Comum")</f>
        <v>0</v>
      </c>
      <c r="L30" s="337" t="n">
        <f aca="false">SUMIFS(L142:L2063,F142:F2063,"PP",G142:G2063,"Llanero",J142:J2063,"comum")</f>
        <v>0</v>
      </c>
      <c r="M30" s="339" t="n">
        <f aca="false">IF(K30,L30/K30,0)</f>
        <v>0</v>
      </c>
      <c r="N30" s="332"/>
      <c r="O30" s="333"/>
      <c r="P30" s="340"/>
      <c r="Q30" s="335" t="s">
        <v>1650</v>
      </c>
      <c r="R30" s="336" t="n">
        <f aca="false">K30+E30</f>
        <v>0</v>
      </c>
      <c r="S30" s="337" t="n">
        <f aca="false">L30+F30</f>
        <v>0</v>
      </c>
      <c r="T30" s="339" t="e">
        <f aca="false">S30/R30</f>
        <v>#DIV/0!</v>
      </c>
    </row>
    <row r="31" customFormat="false" ht="14.25" hidden="false" customHeight="false" outlineLevel="0" collapsed="false">
      <c r="A31" s="324"/>
      <c r="B31" s="6"/>
      <c r="C31" s="335" t="s">
        <v>1651</v>
      </c>
      <c r="D31" s="51" t="n">
        <f aca="false">E31/18</f>
        <v>44790</v>
      </c>
      <c r="E31" s="336" t="n">
        <f aca="false">SUMIFS(K142:K2063,F142:F2063,"KG",G142:G2063,"Llanero",J142:J2063,"Golden")</f>
        <v>806220</v>
      </c>
      <c r="F31" s="337" t="n">
        <f aca="false">SUMIFS(L142:L2063,F142:F2063,"KG",G142:G2063,"Llanero",J142:J2063,"Golden")</f>
        <v>2244958.7</v>
      </c>
      <c r="G31" s="338" t="n">
        <f aca="false">IF(E31,F31/E31,0)</f>
        <v>2.78454851033217</v>
      </c>
      <c r="I31" s="324"/>
      <c r="J31" s="335" t="s">
        <v>1651</v>
      </c>
      <c r="K31" s="336" t="n">
        <f aca="false">SUMIFS(K142:K2063,F142:F2063,"PP",G142:G2063,"Llanero",J142:J2063,"Golden")</f>
        <v>0</v>
      </c>
      <c r="L31" s="337" t="n">
        <f aca="false">SUMIFS(L142:L2063,F142:F2063,"PP",G142:G2063,"Llanero",J142:J2063,"Golden")</f>
        <v>0</v>
      </c>
      <c r="M31" s="339" t="n">
        <f aca="false">IF(K31,L31/K31,0)</f>
        <v>0</v>
      </c>
      <c r="N31" s="332"/>
      <c r="O31" s="333"/>
      <c r="P31" s="341" t="n">
        <f aca="false">SUM(S29:S32)</f>
        <v>2384772.2</v>
      </c>
      <c r="Q31" s="335" t="s">
        <v>1651</v>
      </c>
      <c r="R31" s="336" t="n">
        <f aca="false">K31+E31</f>
        <v>806220</v>
      </c>
      <c r="S31" s="337" t="n">
        <f aca="false">L31+F31</f>
        <v>2244958.7</v>
      </c>
      <c r="T31" s="339" t="n">
        <f aca="false">S31/R31</f>
        <v>2.78454851033217</v>
      </c>
    </row>
    <row r="32" customFormat="false" ht="14.25" hidden="false" customHeight="false" outlineLevel="0" collapsed="false">
      <c r="A32" s="324"/>
      <c r="B32" s="40"/>
      <c r="C32" s="342" t="s">
        <v>1652</v>
      </c>
      <c r="D32" s="263" t="n">
        <f aca="false">E32/25.71</f>
        <v>2670</v>
      </c>
      <c r="E32" s="343" t="n">
        <f aca="false">SUMIFS(K142:K2063,F142:F2063,"KG",G142:G2063,"Llanero",J142:J2063,"Podium")</f>
        <v>68645.7</v>
      </c>
      <c r="F32" s="344" t="n">
        <f aca="false">SUMIFS(L142:L2063,F142:F2063,"KG",G142:G2063,"Llanero",J142:J2063,"Podium")</f>
        <v>139813.5</v>
      </c>
      <c r="G32" s="345" t="n">
        <f aca="false">IF(E32,F32/E32,0)</f>
        <v>2.03674083008841</v>
      </c>
      <c r="I32" s="324"/>
      <c r="J32" s="342" t="s">
        <v>1652</v>
      </c>
      <c r="K32" s="343" t="n">
        <f aca="false">SUMIFS(K142:K2063,F142:F2063,"PP",G142:G2063,"Llanero",J142:J2063,"Podium")</f>
        <v>0</v>
      </c>
      <c r="L32" s="344" t="n">
        <f aca="false">SUMIFS(L142:L2063,F142:F2063,"PP",G142:G2063,"Llanero",J142:J2063,"Podium")</f>
        <v>0</v>
      </c>
      <c r="M32" s="346" t="n">
        <f aca="false">IF(K32,L32/K32,0)</f>
        <v>0</v>
      </c>
      <c r="N32" s="332"/>
      <c r="O32" s="333"/>
      <c r="P32" s="347" t="n">
        <f aca="false">P31/P29</f>
        <v>2.72587232531805</v>
      </c>
      <c r="Q32" s="342" t="s">
        <v>1652</v>
      </c>
      <c r="R32" s="343" t="n">
        <f aca="false">K32+E32</f>
        <v>68645.7</v>
      </c>
      <c r="S32" s="344" t="n">
        <f aca="false">L32+F32</f>
        <v>139813.5</v>
      </c>
      <c r="T32" s="346" t="n">
        <f aca="false">S32/R32</f>
        <v>2.03674083008841</v>
      </c>
    </row>
    <row r="33" customFormat="false" ht="14.25" hidden="false" customHeight="false" outlineLevel="0" collapsed="false">
      <c r="A33" s="324" t="str">
        <f aca="false">'COM.'!A12</f>
        <v>Mombaça</v>
      </c>
      <c r="B33" s="325"/>
      <c r="C33" s="326" t="s">
        <v>1654</v>
      </c>
      <c r="D33" s="327" t="n">
        <f aca="false">E33/40</f>
        <v>64275</v>
      </c>
      <c r="E33" s="328" t="n">
        <f aca="false">SUMIFS(K142:K2063,F142:F2063,"KG",G142:G2063,"Mombaça",J142:J2063,"comum",I142:I2063,"40")</f>
        <v>2571000</v>
      </c>
      <c r="F33" s="329" t="n">
        <f aca="false">SUMIFS(L142:L2063,F142:F2063,"KG",G142:G2063,"Mombaça",J142:J2063,"Comum",I142:I2063,"40")</f>
        <v>810965</v>
      </c>
      <c r="G33" s="330" t="n">
        <f aca="false">IF(E33,F33/E33,0)</f>
        <v>0.315427849085959</v>
      </c>
      <c r="I33" s="324" t="str">
        <f aca="false">'COM.'!A12</f>
        <v>Mombaça</v>
      </c>
      <c r="J33" s="326" t="s">
        <v>1654</v>
      </c>
      <c r="K33" s="328" t="n">
        <f aca="false">SUMIFS(K142:K2063,F142:F2063,"PP",G142:G2063,"Mombaça",J142:J2063,"Comum")</f>
        <v>0</v>
      </c>
      <c r="L33" s="329" t="n">
        <f aca="false">SUMIFS(L142:L2063,F142:F2063,"PP",G142:G2063,"Mombaça",J142:J2063,"comum")</f>
        <v>0</v>
      </c>
      <c r="M33" s="331" t="n">
        <f aca="false">IF(K33,L33/K33,0)</f>
        <v>0</v>
      </c>
      <c r="N33" s="332"/>
      <c r="O33" s="333" t="str">
        <f aca="false">'COM.'!A12</f>
        <v>Mombaça</v>
      </c>
      <c r="P33" s="334" t="n">
        <f aca="false">SUM(R33:R37)</f>
        <v>11835411.475</v>
      </c>
      <c r="Q33" s="326" t="s">
        <v>1654</v>
      </c>
      <c r="R33" s="328" t="n">
        <f aca="false">K33+E33</f>
        <v>2571000</v>
      </c>
      <c r="S33" s="329" t="n">
        <f aca="false">L33+F33</f>
        <v>810965</v>
      </c>
      <c r="T33" s="331" t="n">
        <f aca="false">S33/R33</f>
        <v>0.315427849085959</v>
      </c>
    </row>
    <row r="34" customFormat="false" ht="14.25" hidden="false" customHeight="false" outlineLevel="0" collapsed="false">
      <c r="A34" s="324"/>
      <c r="B34" s="6"/>
      <c r="C34" s="335" t="s">
        <v>1649</v>
      </c>
      <c r="D34" s="51" t="n">
        <f aca="false">E34/55</f>
        <v>2500</v>
      </c>
      <c r="E34" s="336" t="n">
        <f aca="false">SUMIFS(K142:K2063,F142:F2063,"KG",G142:G2063,"Mombaça",J142:J2063,"comum",I142:I2063,"55")</f>
        <v>137500</v>
      </c>
      <c r="F34" s="337" t="n">
        <f aca="false">SUMIFS(L142:L2063,F142:F2063,"KG",G142:G2063,"Mombaça",J142:J2063,"Comum",I142:I2063,"55")</f>
        <v>37500</v>
      </c>
      <c r="G34" s="338" t="n">
        <f aca="false">IF(E34,F34/E34,0)</f>
        <v>0.272727272727273</v>
      </c>
      <c r="I34" s="324"/>
      <c r="J34" s="335" t="s">
        <v>1649</v>
      </c>
      <c r="K34" s="336" t="n">
        <f aca="false">SUMIFS(K142:K2063,F142:F2063,"PP",G142:G2063,"Mombaça",J142:J2063,"Comum")</f>
        <v>0</v>
      </c>
      <c r="L34" s="337" t="n">
        <f aca="false">SUMIFS(L142:L2063,F142:F2063,"PP",G142:G2063,"Mombaça",J142:J2063,"comum")</f>
        <v>0</v>
      </c>
      <c r="M34" s="339" t="n">
        <f aca="false">IF(K34,L34/K34,0)</f>
        <v>0</v>
      </c>
      <c r="N34" s="332"/>
      <c r="O34" s="333"/>
      <c r="P34" s="340"/>
      <c r="Q34" s="335" t="s">
        <v>1649</v>
      </c>
      <c r="R34" s="336" t="n">
        <f aca="false">K34+E34</f>
        <v>137500</v>
      </c>
      <c r="S34" s="337" t="n">
        <f aca="false">L34+F34</f>
        <v>37500</v>
      </c>
      <c r="T34" s="339" t="n">
        <f aca="false">S34/R34</f>
        <v>0.272727272727273</v>
      </c>
    </row>
    <row r="35" customFormat="false" ht="14.25" hidden="false" customHeight="false" outlineLevel="0" collapsed="false">
      <c r="A35" s="324"/>
      <c r="B35" s="6"/>
      <c r="C35" s="335" t="s">
        <v>1650</v>
      </c>
      <c r="D35" s="51" t="n">
        <f aca="false">E35/90</f>
        <v>13655</v>
      </c>
      <c r="E35" s="336" t="n">
        <f aca="false">SUMIFS(K142:K2063,F142:F2063,"KG",G142:G2063,"Mombaça",J142:J2063,"comum",I142:I2063,"90")</f>
        <v>1228950</v>
      </c>
      <c r="F35" s="337" t="n">
        <f aca="false">SUMIFS(L142:L2063,F142:F2063,"KG",G142:G2063,"Mombaça",J142:J2063,"Comum",I142:I2063,"90")</f>
        <v>335630</v>
      </c>
      <c r="G35" s="338" t="n">
        <f aca="false">IF(E35,F35/E35,0)</f>
        <v>0.273103055453843</v>
      </c>
      <c r="I35" s="324"/>
      <c r="J35" s="335" t="s">
        <v>1650</v>
      </c>
      <c r="K35" s="336" t="n">
        <f aca="false">SUMIFS(K142:K2063,F142:F2063,"PP",G142:G2063,"Mombaça",J142:J2063,"Comum")</f>
        <v>0</v>
      </c>
      <c r="L35" s="337" t="n">
        <f aca="false">SUMIFS(L142:L2063,F142:F2063,"PP",G142:G2063,"Mombaça",J142:J2063,"comum")</f>
        <v>0</v>
      </c>
      <c r="M35" s="339" t="n">
        <f aca="false">IF(K35,L35/K35,0)</f>
        <v>0</v>
      </c>
      <c r="N35" s="332"/>
      <c r="O35" s="333"/>
      <c r="P35" s="340"/>
      <c r="Q35" s="335" t="s">
        <v>1650</v>
      </c>
      <c r="R35" s="336" t="n">
        <f aca="false">K35+E35</f>
        <v>1228950</v>
      </c>
      <c r="S35" s="337" t="n">
        <f aca="false">L35+F35</f>
        <v>335630</v>
      </c>
      <c r="T35" s="339" t="n">
        <f aca="false">S35/R35</f>
        <v>0.273103055453843</v>
      </c>
    </row>
    <row r="36" customFormat="false" ht="14.25" hidden="false" customHeight="false" outlineLevel="0" collapsed="false">
      <c r="A36" s="324"/>
      <c r="B36" s="6"/>
      <c r="C36" s="335" t="s">
        <v>1651</v>
      </c>
      <c r="D36" s="51" t="n">
        <f aca="false">E36/22.5</f>
        <v>292245.51</v>
      </c>
      <c r="E36" s="336" t="n">
        <f aca="false">SUMIFS(K142:K2063,F142:F2063,"KG",G142:G2063,"Mombaça",J142:J2063,"Golden")</f>
        <v>6575523.975</v>
      </c>
      <c r="F36" s="337" t="n">
        <f aca="false">SUMIFS(L142:L2063,F142:F2063,"KG",G142:G2063,"Mombaça",J142:J2063,"Golden")</f>
        <v>3297882.9</v>
      </c>
      <c r="G36" s="338" t="n">
        <f aca="false">IF(E36,F36/E36,0)</f>
        <v>0.501539179621043</v>
      </c>
      <c r="I36" s="324"/>
      <c r="J36" s="335" t="s">
        <v>1651</v>
      </c>
      <c r="K36" s="336" t="n">
        <f aca="false">SUMIFS(K142:K2063,F142:F2063,"PP",G142:G2063,"Mombaça",J142:J2063,"Golden")</f>
        <v>0</v>
      </c>
      <c r="L36" s="337" t="n">
        <f aca="false">SUMIFS(L142:L2063,F142:F2063,"PP",G142:G2063,"Mombaça",J142:J2063,"Golden")</f>
        <v>0</v>
      </c>
      <c r="M36" s="339" t="n">
        <f aca="false">IF(K36,L36/K36,0)</f>
        <v>0</v>
      </c>
      <c r="N36" s="332"/>
      <c r="O36" s="333"/>
      <c r="P36" s="341" t="n">
        <f aca="false">SUM(S33:S37)</f>
        <v>5099205.85</v>
      </c>
      <c r="Q36" s="335" t="s">
        <v>1651</v>
      </c>
      <c r="R36" s="336" t="n">
        <f aca="false">K36+E36</f>
        <v>6575523.975</v>
      </c>
      <c r="S36" s="337" t="n">
        <f aca="false">L36+F36</f>
        <v>3297882.9</v>
      </c>
      <c r="T36" s="339" t="n">
        <f aca="false">S36/R36</f>
        <v>0.501539179621043</v>
      </c>
    </row>
    <row r="37" customFormat="false" ht="14.25" hidden="false" customHeight="false" outlineLevel="0" collapsed="false">
      <c r="A37" s="324"/>
      <c r="B37" s="40"/>
      <c r="C37" s="342" t="s">
        <v>1652</v>
      </c>
      <c r="D37" s="263" t="n">
        <f aca="false">E37/37.5</f>
        <v>35265</v>
      </c>
      <c r="E37" s="343" t="n">
        <f aca="false">SUMIFS(K142:K2063,F142:F2063,"KG",G142:G2063,"Mombaça",J142:J2063,"Podium")</f>
        <v>1322437.5</v>
      </c>
      <c r="F37" s="344" t="n">
        <f aca="false">SUMIFS(L142:L2063,F142:F2063,"KG",G142:G2063,"Mombaça",J142:J2063,"Podium")</f>
        <v>617227.95</v>
      </c>
      <c r="G37" s="345" t="n">
        <f aca="false">IF(E37,F37/E37,0)</f>
        <v>0.466735063093719</v>
      </c>
      <c r="I37" s="324"/>
      <c r="J37" s="342" t="s">
        <v>1652</v>
      </c>
      <c r="K37" s="343" t="n">
        <f aca="false">SUMIFS(K142:K2063,F142:F2063,"PP",G142:G2063,"Mombaça",J142:J2063,"Podium")</f>
        <v>0</v>
      </c>
      <c r="L37" s="344" t="n">
        <f aca="false">SUMIFS(L142:L2063,F142:F2063,"PP",G142:G2063,"Mombaça",J142:J2063,"Podium")</f>
        <v>0</v>
      </c>
      <c r="M37" s="346" t="n">
        <f aca="false">IF(K37,L37/K37,0)</f>
        <v>0</v>
      </c>
      <c r="N37" s="332"/>
      <c r="O37" s="333"/>
      <c r="P37" s="347" t="n">
        <f aca="false">P36/P33</f>
        <v>0.430843140584599</v>
      </c>
      <c r="Q37" s="342" t="s">
        <v>1652</v>
      </c>
      <c r="R37" s="343" t="n">
        <f aca="false">K37+E37</f>
        <v>1322437.5</v>
      </c>
      <c r="S37" s="344" t="n">
        <f aca="false">L37+F37</f>
        <v>617227.95</v>
      </c>
      <c r="T37" s="346" t="n">
        <f aca="false">S37/R37</f>
        <v>0.466735063093719</v>
      </c>
    </row>
    <row r="38" customFormat="false" ht="14.25" hidden="false" customHeight="false" outlineLevel="0" collapsed="false">
      <c r="A38" s="324" t="str">
        <f aca="false">'COM.'!A13</f>
        <v>Tanzania</v>
      </c>
      <c r="B38" s="348"/>
      <c r="C38" s="351" t="s">
        <v>1653</v>
      </c>
      <c r="D38" s="359" t="n">
        <f aca="false">E38/40</f>
        <v>0</v>
      </c>
      <c r="E38" s="352" t="n">
        <f aca="false">SUMIFS(K142:K2063,F142:F2063,"KG",G142:G2063,"Tanzania")</f>
        <v>0</v>
      </c>
      <c r="F38" s="358" t="n">
        <f aca="false">SUMIFS(L142:L2063,F142:F2063,"KG",G142:G2063,"Tanzania")</f>
        <v>0</v>
      </c>
      <c r="G38" s="360" t="n">
        <f aca="false">IF(E38,F38/E38,0)</f>
        <v>0</v>
      </c>
      <c r="I38" s="324" t="str">
        <f aca="false">'COM.'!A13</f>
        <v>Tanzania</v>
      </c>
      <c r="J38" s="351" t="s">
        <v>1653</v>
      </c>
      <c r="K38" s="352" t="n">
        <f aca="false">SUMIFS(K142:K2063,F142:F2063,"PP",G142:G2063,"Tanzania")</f>
        <v>0</v>
      </c>
      <c r="L38" s="353" t="n">
        <f aca="false">SUMIFS(L142:L2063,F142:F2063,"PP",G142:G2063,"Tanzania")</f>
        <v>0</v>
      </c>
      <c r="M38" s="354" t="n">
        <f aca="false">IF(K38,L38/K38,0)</f>
        <v>0</v>
      </c>
      <c r="N38" s="332"/>
      <c r="O38" s="333" t="str">
        <f aca="false">'COM.'!A13</f>
        <v>Tanzania</v>
      </c>
      <c r="P38" s="356"/>
      <c r="Q38" s="351" t="s">
        <v>1654</v>
      </c>
      <c r="R38" s="357" t="n">
        <f aca="false">K38+E38</f>
        <v>0</v>
      </c>
      <c r="S38" s="358" t="n">
        <f aca="false">L38+F38</f>
        <v>0</v>
      </c>
      <c r="T38" s="354" t="e">
        <f aca="false">S38/R38</f>
        <v>#DIV/0!</v>
      </c>
    </row>
    <row r="39" customFormat="false" ht="14.25" hidden="false" customHeight="false" outlineLevel="0" collapsed="false">
      <c r="A39" s="324" t="str">
        <f aca="false">'COM.'!A14</f>
        <v>Massai</v>
      </c>
      <c r="B39" s="325"/>
      <c r="C39" s="326" t="s">
        <v>1654</v>
      </c>
      <c r="D39" s="327" t="n">
        <f aca="false">E39/40</f>
        <v>21600</v>
      </c>
      <c r="E39" s="328" t="n">
        <f aca="false">SUMIFS(K142:K2063,F142:F2063,"KG",G142:G2063,"Massai",J142:J2063,"comum",I142:I2063,"40")</f>
        <v>864000</v>
      </c>
      <c r="F39" s="329" t="n">
        <f aca="false">SUMIFS(L142:L2063,F142:F2063,"KG",G142:G2063,"Massai",J142:J2063,"Comum",I142:I2063,"40")</f>
        <v>415700</v>
      </c>
      <c r="G39" s="330" t="n">
        <f aca="false">IF(E39,F39/E39,0)</f>
        <v>0.481134259259259</v>
      </c>
      <c r="I39" s="361" t="str">
        <f aca="false">'COM.'!A14</f>
        <v>Massai</v>
      </c>
      <c r="J39" s="326" t="s">
        <v>1654</v>
      </c>
      <c r="K39" s="328" t="n">
        <f aca="false">SUMIFS(K142:K2063,F142:F2063,"PP",G142:G2063,"Massai",J142:J2063,"Comum")</f>
        <v>0</v>
      </c>
      <c r="L39" s="329" t="n">
        <f aca="false">SUMIFS(L142:L2063,F142:F2063,"PP",G142:G2063,"Massai",J142:J2063,"comum")</f>
        <v>0</v>
      </c>
      <c r="M39" s="331" t="n">
        <f aca="false">IF(K39,L39/K39,0)</f>
        <v>0</v>
      </c>
      <c r="N39" s="332"/>
      <c r="O39" s="362" t="str">
        <f aca="false">'COM.'!A14</f>
        <v>Massai</v>
      </c>
      <c r="P39" s="334" t="n">
        <f aca="false">SUM(R39:R43)</f>
        <v>5134894.125</v>
      </c>
      <c r="Q39" s="326" t="s">
        <v>1654</v>
      </c>
      <c r="R39" s="328" t="n">
        <f aca="false">K39+E39</f>
        <v>864000</v>
      </c>
      <c r="S39" s="329" t="n">
        <f aca="false">L39+F39</f>
        <v>415700</v>
      </c>
      <c r="T39" s="331" t="n">
        <f aca="false">S39/R39</f>
        <v>0.481134259259259</v>
      </c>
    </row>
    <row r="40" customFormat="false" ht="14.25" hidden="false" customHeight="false" outlineLevel="0" collapsed="false">
      <c r="A40" s="324"/>
      <c r="B40" s="6"/>
      <c r="C40" s="335" t="s">
        <v>1649</v>
      </c>
      <c r="D40" s="51" t="n">
        <f aca="false">E40/55</f>
        <v>1500</v>
      </c>
      <c r="E40" s="336" t="n">
        <f aca="false">SUMIFS(K142:K2063,F142:F2063,"KG",G142:G2063,"Massai",J142:J2063,"comum",I142:I2063,"55")</f>
        <v>82500</v>
      </c>
      <c r="F40" s="337" t="n">
        <f aca="false">SUMIFS(L142:L2063,F142:F2063,"KG",G142:G2063,"Massai",J142:J2063,"Comum",I142:I2063,"55")</f>
        <v>33750</v>
      </c>
      <c r="G40" s="338" t="n">
        <f aca="false">IF(E40,F40/E40,0)</f>
        <v>0.409090909090909</v>
      </c>
      <c r="I40" s="361"/>
      <c r="J40" s="335" t="s">
        <v>1649</v>
      </c>
      <c r="K40" s="336" t="n">
        <f aca="false">SUMIFS(K142:K2063,F142:F2063,"PP",G142:G2063,"Massai",J142:J2063,"Comum")</f>
        <v>0</v>
      </c>
      <c r="L40" s="337" t="n">
        <f aca="false">SUMIFS(L142:L2063,F142:F2063,"PP",G142:G2063,"Massai",J142:J2063,"comum")</f>
        <v>0</v>
      </c>
      <c r="M40" s="339" t="n">
        <f aca="false">IF(K40,L40/K40,0)</f>
        <v>0</v>
      </c>
      <c r="N40" s="332"/>
      <c r="O40" s="362"/>
      <c r="P40" s="340"/>
      <c r="Q40" s="335" t="s">
        <v>1649</v>
      </c>
      <c r="R40" s="336" t="n">
        <f aca="false">K40+E40</f>
        <v>82500</v>
      </c>
      <c r="S40" s="337" t="n">
        <f aca="false">L40+F40</f>
        <v>33750</v>
      </c>
      <c r="T40" s="339" t="n">
        <f aca="false">S40/R40</f>
        <v>0.409090909090909</v>
      </c>
    </row>
    <row r="41" customFormat="false" ht="14.25" hidden="false" customHeight="false" outlineLevel="0" collapsed="false">
      <c r="A41" s="324"/>
      <c r="B41" s="6"/>
      <c r="C41" s="335" t="s">
        <v>1650</v>
      </c>
      <c r="D41" s="51" t="n">
        <f aca="false">E41/90</f>
        <v>5430</v>
      </c>
      <c r="E41" s="336" t="n">
        <f aca="false">SUMIFS(K142:K2063,F142:F2063,"KG",G142:G2063,"Massai",J142:J2063,"comum",I142:I2063,"90")</f>
        <v>488700</v>
      </c>
      <c r="F41" s="337" t="n">
        <f aca="false">SUMIFS(L142:L2063,F142:F2063,"KG",G142:G2063,"Massai",J142:J2063,"Comum",I142:I2063,"90")</f>
        <v>164290.68</v>
      </c>
      <c r="G41" s="338" t="n">
        <f aca="false">IF(E41,F41/E41,0)</f>
        <v>0.336179005524862</v>
      </c>
      <c r="I41" s="361"/>
      <c r="J41" s="335" t="s">
        <v>1650</v>
      </c>
      <c r="K41" s="336" t="n">
        <f aca="false">SUMIFS(K142:K2063,F142:F2063,"PP",G142:G2063,"Massai",J142:J2063,"Comum")</f>
        <v>0</v>
      </c>
      <c r="L41" s="337" t="n">
        <f aca="false">SUMIFS(L142:L2063,F142:F2063,"PP",G142:G2063,"Massai",J142:J2063,"comum")</f>
        <v>0</v>
      </c>
      <c r="M41" s="339" t="n">
        <f aca="false">IF(K41,L41/K41,0)</f>
        <v>0</v>
      </c>
      <c r="N41" s="332"/>
      <c r="O41" s="362"/>
      <c r="P41" s="340"/>
      <c r="Q41" s="335" t="s">
        <v>1650</v>
      </c>
      <c r="R41" s="336" t="n">
        <f aca="false">K41+E41</f>
        <v>488700</v>
      </c>
      <c r="S41" s="337" t="n">
        <f aca="false">L41+F41</f>
        <v>164290.68</v>
      </c>
      <c r="T41" s="339" t="n">
        <f aca="false">S41/R41</f>
        <v>0.336179005524862</v>
      </c>
    </row>
    <row r="42" customFormat="false" ht="14.25" hidden="false" customHeight="false" outlineLevel="0" collapsed="false">
      <c r="A42" s="324"/>
      <c r="B42" s="6"/>
      <c r="C42" s="335" t="s">
        <v>1651</v>
      </c>
      <c r="D42" s="51" t="n">
        <f aca="false">E42/22.5</f>
        <v>140280</v>
      </c>
      <c r="E42" s="336" t="n">
        <f aca="false">SUMIFS(K142:K2063,F142:F2063,"KG",G142:G2063,"Massai",J142:J2063,"Golden")</f>
        <v>3156300</v>
      </c>
      <c r="F42" s="337" t="n">
        <f aca="false">SUMIFS(L142:L2063,F142:F2063,"KG",G142:G2063,"Massai",J142:J2063,"Golden")</f>
        <v>2184428.5</v>
      </c>
      <c r="G42" s="338" t="n">
        <f aca="false">IF(E42,F42/E42,0)</f>
        <v>0.692085194689985</v>
      </c>
      <c r="I42" s="361"/>
      <c r="J42" s="335" t="s">
        <v>1651</v>
      </c>
      <c r="K42" s="336" t="n">
        <f aca="false">SUMIFS(K142:K2063,F142:F2063,"PP",G142:G2063,"Massai",J142:J2063,"Golden")</f>
        <v>0</v>
      </c>
      <c r="L42" s="337" t="n">
        <f aca="false">SUMIFS(L142:L2063,F142:F2063,"PP",G142:G2063,"Massai",J142:J2063,"Golden")</f>
        <v>0</v>
      </c>
      <c r="M42" s="339" t="n">
        <f aca="false">IF(K42,L42/K42,0)</f>
        <v>0</v>
      </c>
      <c r="N42" s="332"/>
      <c r="O42" s="362"/>
      <c r="P42" s="341" t="n">
        <f aca="false">SUM(S39:S43)</f>
        <v>3067489.02</v>
      </c>
      <c r="Q42" s="335" t="s">
        <v>1651</v>
      </c>
      <c r="R42" s="336" t="n">
        <f aca="false">K42+E42</f>
        <v>3156300</v>
      </c>
      <c r="S42" s="337" t="n">
        <f aca="false">L42+F42</f>
        <v>2184428.5</v>
      </c>
      <c r="T42" s="339" t="n">
        <f aca="false">S42/R42</f>
        <v>0.692085194689985</v>
      </c>
    </row>
    <row r="43" customFormat="false" ht="14.25" hidden="false" customHeight="false" outlineLevel="0" collapsed="false">
      <c r="A43" s="324"/>
      <c r="B43" s="40"/>
      <c r="C43" s="342" t="s">
        <v>1652</v>
      </c>
      <c r="D43" s="263" t="n">
        <f aca="false">E43/37.5</f>
        <v>14490.51</v>
      </c>
      <c r="E43" s="343" t="n">
        <f aca="false">SUMIFS(K142:K2063,F142:F2063,"KG",G142:G2063,"Massai",J142:J2063,"Podium")</f>
        <v>543394.125</v>
      </c>
      <c r="F43" s="344" t="n">
        <f aca="false">SUMIFS(L142:L2063,F142:F2063,"KG",G142:G2063,"Massai",J142:J2063,"Podium")</f>
        <v>269319.84</v>
      </c>
      <c r="G43" s="345" t="n">
        <f aca="false">IF(E43,F43/E43,0)</f>
        <v>0.495625233342374</v>
      </c>
      <c r="I43" s="361"/>
      <c r="J43" s="342" t="s">
        <v>1652</v>
      </c>
      <c r="K43" s="336" t="n">
        <f aca="false">SUMIFS(K142:K2063,F142:F2063,"PP",G142:G2063,"Massai",J142:J2063,"Podium")</f>
        <v>0</v>
      </c>
      <c r="L43" s="337" t="n">
        <f aca="false">SUMIFS(L142:L2063,F142:F2063,"PP",G142:G2063,"Massai",J142:J2063,"Podium")</f>
        <v>0</v>
      </c>
      <c r="M43" s="339" t="n">
        <f aca="false">IF(K43,L43/K43,0)</f>
        <v>0</v>
      </c>
      <c r="N43" s="332"/>
      <c r="O43" s="362"/>
      <c r="P43" s="363" t="n">
        <f aca="false">P42/P39</f>
        <v>0.597381162167584</v>
      </c>
      <c r="Q43" s="342" t="s">
        <v>1652</v>
      </c>
      <c r="R43" s="336" t="n">
        <f aca="false">K43+E43</f>
        <v>543394.125</v>
      </c>
      <c r="S43" s="337" t="n">
        <f aca="false">L43+F43</f>
        <v>269319.84</v>
      </c>
      <c r="T43" s="339" t="n">
        <f aca="false">S43/R43</f>
        <v>0.495625233342374</v>
      </c>
    </row>
    <row r="44" customFormat="false" ht="14.25" hidden="false" customHeight="false" outlineLevel="0" collapsed="false">
      <c r="A44" s="324" t="str">
        <f aca="false">'COM.'!A15</f>
        <v>Aruana</v>
      </c>
      <c r="B44" s="325"/>
      <c r="C44" s="326" t="s">
        <v>1654</v>
      </c>
      <c r="D44" s="327" t="n">
        <f aca="false">E44/40</f>
        <v>0</v>
      </c>
      <c r="E44" s="328" t="n">
        <f aca="false">SUMIFS(K142:K2063,F142:F2063,"KG",G142:G2063,"Aruana",J142:J2063,"comum",I142:I2063,"40")</f>
        <v>0</v>
      </c>
      <c r="F44" s="329" t="n">
        <f aca="false">SUMIFS(L142:L2063,F142:F2063,"KG",G142:G2063,"Aruana",J142:J2063,"Comum",I142:I2063,"40")</f>
        <v>0</v>
      </c>
      <c r="G44" s="330" t="n">
        <f aca="false">IF(E44,F44/E44,0)</f>
        <v>0</v>
      </c>
      <c r="I44" s="324" t="str">
        <f aca="false">'COM.'!A15</f>
        <v>Aruana</v>
      </c>
      <c r="J44" s="326" t="s">
        <v>1654</v>
      </c>
      <c r="K44" s="364" t="n">
        <f aca="false">SUMIFS(K142:K2063,F142:F2063,"PP",G142:G2063,"Aruana")</f>
        <v>0</v>
      </c>
      <c r="L44" s="365" t="n">
        <f aca="false">SUMIFS(L142:L2063,F142:F2063,"PP",G142:G2063,"Aruana")</f>
        <v>0</v>
      </c>
      <c r="M44" s="331" t="n">
        <f aca="false">IF(K44,L44/K44,0)</f>
        <v>0</v>
      </c>
      <c r="N44" s="332"/>
      <c r="O44" s="333" t="str">
        <f aca="false">'COM.'!A15</f>
        <v>Aruana</v>
      </c>
      <c r="P44" s="334" t="n">
        <f aca="false">SUM(R44:R46)</f>
        <v>468135</v>
      </c>
      <c r="Q44" s="326" t="s">
        <v>1654</v>
      </c>
      <c r="R44" s="328" t="n">
        <f aca="false">K44+E44</f>
        <v>0</v>
      </c>
      <c r="S44" s="329" t="n">
        <f aca="false">L44+F44</f>
        <v>0</v>
      </c>
      <c r="T44" s="331" t="e">
        <f aca="false">S44/R44</f>
        <v>#DIV/0!</v>
      </c>
    </row>
    <row r="45" customFormat="false" ht="14.25" hidden="false" customHeight="false" outlineLevel="0" collapsed="false">
      <c r="A45" s="324"/>
      <c r="B45" s="6"/>
      <c r="C45" s="335" t="s">
        <v>1651</v>
      </c>
      <c r="D45" s="51" t="n">
        <f aca="false">E45/22.5</f>
        <v>20806</v>
      </c>
      <c r="E45" s="336" t="n">
        <f aca="false">SUMIFS(K142:K2063,F142:F2063,"KG",G142:G2063,"Aruana",J142:J2063,"Golden")</f>
        <v>468135</v>
      </c>
      <c r="F45" s="337" t="n">
        <f aca="false">SUMIFS(L142:L2063,F142:F2063,"KG",G142:G2063,"Aruana",J142:J2063,"Golden")</f>
        <v>382204.72</v>
      </c>
      <c r="G45" s="338" t="n">
        <f aca="false">IF(E45,F45/E45,0)</f>
        <v>0.816441240240529</v>
      </c>
      <c r="I45" s="324"/>
      <c r="J45" s="335" t="s">
        <v>1651</v>
      </c>
      <c r="K45" s="336" t="n">
        <f aca="false">SUMIFS(K142:K2063,F142:F2063,"PP",G142:G2063,"Aruana",J142:J2063,"Golden")</f>
        <v>0</v>
      </c>
      <c r="L45" s="337" t="n">
        <f aca="false">SUMIFS(L142:L2063,F142:F2063,"PP",G142:G2063,"Aruana",J142:J2063,"Golden")</f>
        <v>0</v>
      </c>
      <c r="M45" s="339" t="n">
        <f aca="false">IF(K45,L45/K45,0)</f>
        <v>0</v>
      </c>
      <c r="N45" s="332"/>
      <c r="O45" s="333"/>
      <c r="P45" s="341" t="n">
        <f aca="false">SUM(S44:S46)</f>
        <v>382204.72</v>
      </c>
      <c r="Q45" s="335" t="s">
        <v>1651</v>
      </c>
      <c r="R45" s="336" t="n">
        <f aca="false">K45+E45</f>
        <v>468135</v>
      </c>
      <c r="S45" s="337" t="n">
        <f aca="false">L45+F45</f>
        <v>382204.72</v>
      </c>
      <c r="T45" s="339" t="n">
        <f aca="false">S45/R45</f>
        <v>0.816441240240529</v>
      </c>
    </row>
    <row r="46" customFormat="false" ht="14.25" hidden="false" customHeight="false" outlineLevel="0" collapsed="false">
      <c r="A46" s="324"/>
      <c r="B46" s="40"/>
      <c r="C46" s="342" t="s">
        <v>1652</v>
      </c>
      <c r="D46" s="263" t="n">
        <f aca="false">E46/30</f>
        <v>0</v>
      </c>
      <c r="E46" s="343" t="n">
        <f aca="false">SUMIFS(K142:K2063,F142:F2063,"KG",G142:G2063,"Aruana",J142:J2063,"Podium")</f>
        <v>0</v>
      </c>
      <c r="F46" s="344" t="n">
        <f aca="false">SUMIFS(L142:L2063,F142:F2063,"KG",G142:G2063,"Aruana",J142:J2063,"Podium")</f>
        <v>0</v>
      </c>
      <c r="G46" s="345" t="n">
        <f aca="false">IF(E46,F46/E46,0)</f>
        <v>0</v>
      </c>
      <c r="I46" s="324"/>
      <c r="J46" s="342" t="s">
        <v>1652</v>
      </c>
      <c r="K46" s="343" t="n">
        <f aca="false">SUMIFS(K142:K2063,F142:F2063,"PP",G142:G2063,"Aruana",J142:J2063,"Podium")</f>
        <v>0</v>
      </c>
      <c r="L46" s="344" t="n">
        <f aca="false">SUMIFS(L142:L2063,F142:F2063,"PP",G142:G2063,"Aruana",J142:J2063,"Podium")</f>
        <v>0</v>
      </c>
      <c r="M46" s="346" t="n">
        <f aca="false">IF(K46,L46/K46,0)</f>
        <v>0</v>
      </c>
      <c r="N46" s="332"/>
      <c r="O46" s="333"/>
      <c r="P46" s="347" t="n">
        <f aca="false">P45/P44</f>
        <v>0.816441240240529</v>
      </c>
      <c r="Q46" s="342" t="s">
        <v>1652</v>
      </c>
      <c r="R46" s="343" t="n">
        <f aca="false">K46+E46</f>
        <v>0</v>
      </c>
      <c r="S46" s="344" t="n">
        <f aca="false">L46+F46</f>
        <v>0</v>
      </c>
      <c r="T46" s="346" t="e">
        <f aca="false">S46/R46</f>
        <v>#DIV/0!</v>
      </c>
    </row>
    <row r="47" customFormat="false" ht="14.25" hidden="false" customHeight="false" outlineLevel="0" collapsed="false">
      <c r="A47" s="324" t="str">
        <f aca="false">'COM.'!A16</f>
        <v>Zuri</v>
      </c>
      <c r="B47" s="6"/>
      <c r="C47" s="335" t="s">
        <v>1654</v>
      </c>
      <c r="D47" s="51" t="n">
        <f aca="false">E47/40</f>
        <v>13720</v>
      </c>
      <c r="E47" s="336" t="n">
        <f aca="false">SUMIFS(K142:K2063,F142:F2063,"KG",G142:G2063,"Zuri",J142:J2063,"comum",I142:I2063,"40")</f>
        <v>548800</v>
      </c>
      <c r="F47" s="337" t="n">
        <f aca="false">SUMIFS(L142:L2063,F142:F2063,"KG",G142:G2063,"Zuri",J142:J2063,"Comum",I142:I2063,"40")</f>
        <v>201630</v>
      </c>
      <c r="G47" s="338" t="n">
        <f aca="false">IF(E47,F47/E47,0)</f>
        <v>0.367401603498542</v>
      </c>
      <c r="I47" s="366" t="str">
        <f aca="false">'COM.'!A16</f>
        <v>Zuri</v>
      </c>
      <c r="J47" s="335" t="s">
        <v>1654</v>
      </c>
      <c r="K47" s="336" t="n">
        <f aca="false">SUMIFS(K142:K2063,F142:F2063,"PP",G142:G2063,"Zuri",J142:J2063,"Comum")</f>
        <v>0</v>
      </c>
      <c r="L47" s="337" t="n">
        <f aca="false">SUMIFS(L142:L2063,F142:F2063,"PP",G142:G2063,"Zuri",J142:J2063,"comum")</f>
        <v>0</v>
      </c>
      <c r="M47" s="339" t="n">
        <f aca="false">IF(K47,L47/K47,0)</f>
        <v>0</v>
      </c>
      <c r="N47" s="332"/>
      <c r="O47" s="367" t="s">
        <v>17</v>
      </c>
      <c r="P47" s="340" t="n">
        <f aca="false">SUM(R47:R51)</f>
        <v>5652342.5</v>
      </c>
      <c r="Q47" s="335" t="s">
        <v>1654</v>
      </c>
      <c r="R47" s="336" t="n">
        <f aca="false">K47+E47</f>
        <v>548800</v>
      </c>
      <c r="S47" s="337" t="n">
        <f aca="false">L47+F47</f>
        <v>201630</v>
      </c>
      <c r="T47" s="339" t="n">
        <f aca="false">S47/R47</f>
        <v>0.367401603498542</v>
      </c>
    </row>
    <row r="48" customFormat="false" ht="14.25" hidden="false" customHeight="false" outlineLevel="0" collapsed="false">
      <c r="A48" s="324"/>
      <c r="B48" s="6"/>
      <c r="C48" s="335" t="s">
        <v>1649</v>
      </c>
      <c r="D48" s="51" t="n">
        <f aca="false">E48/55</f>
        <v>5200</v>
      </c>
      <c r="E48" s="336" t="n">
        <f aca="false">SUMIFS(K142:K2063,F142:F2063,"KG",G142:G2063,"Zuri",J142:J2063,"comum",I142:I2063,"55")</f>
        <v>286000</v>
      </c>
      <c r="F48" s="337" t="n">
        <f aca="false">SUMIFS(L142:L2063,F142:F2063,"KG",G142:G2063,"Zuri",J142:J2063,"Comum",I142:I2063,"55")</f>
        <v>79750</v>
      </c>
      <c r="G48" s="338" t="n">
        <f aca="false">IF(E48,F48/E48,0)</f>
        <v>0.278846153846154</v>
      </c>
      <c r="I48" s="366"/>
      <c r="J48" s="335" t="s">
        <v>1649</v>
      </c>
      <c r="K48" s="336" t="n">
        <f aca="false">SUMIFS(K142:K2063,F142:F2063,"PP",G142:G2063,"Zuri",J142:J2063,"Comum")</f>
        <v>0</v>
      </c>
      <c r="L48" s="337" t="n">
        <f aca="false">SUMIFS(L142:L2063,F142:F2063,"PP",G142:G2063,"Zuri",J142:J2063,"comum")</f>
        <v>0</v>
      </c>
      <c r="M48" s="339" t="n">
        <f aca="false">IF(K48,L48/K48,0)</f>
        <v>0</v>
      </c>
      <c r="N48" s="332"/>
      <c r="O48" s="367"/>
      <c r="P48" s="340"/>
      <c r="Q48" s="335" t="s">
        <v>1649</v>
      </c>
      <c r="R48" s="336" t="n">
        <f aca="false">K48+E48</f>
        <v>286000</v>
      </c>
      <c r="S48" s="337" t="n">
        <f aca="false">L48+F48</f>
        <v>79750</v>
      </c>
      <c r="T48" s="339" t="n">
        <f aca="false">S48/R48</f>
        <v>0.278846153846154</v>
      </c>
    </row>
    <row r="49" customFormat="false" ht="14.25" hidden="false" customHeight="false" outlineLevel="0" collapsed="false">
      <c r="A49" s="324"/>
      <c r="B49" s="6"/>
      <c r="C49" s="335" t="s">
        <v>1650</v>
      </c>
      <c r="D49" s="51" t="n">
        <f aca="false">E49/90</f>
        <v>2460</v>
      </c>
      <c r="E49" s="336" t="n">
        <f aca="false">SUMIFS(K142:K2063,F142:F2063,"KG",G142:G2063,"Zuri",J142:J2063,"comum",I142:I2063,"90")</f>
        <v>221400</v>
      </c>
      <c r="F49" s="337" t="n">
        <f aca="false">SUMIFS(L142:L2063,F142:F2063,"KG",G142:G2063,"Zuri",J142:J2063,"Comum",I142:I2063,"90")</f>
        <v>58556.6</v>
      </c>
      <c r="G49" s="338" t="n">
        <f aca="false">IF(E49,F49/E49,0)</f>
        <v>0.264483288166215</v>
      </c>
      <c r="I49" s="366"/>
      <c r="J49" s="335" t="s">
        <v>1650</v>
      </c>
      <c r="K49" s="336" t="n">
        <f aca="false">SUMIFS(K142:K2063,F142:F2063,"PP",G142:G2063,"Zuri",J142:J2063,"Comum")</f>
        <v>0</v>
      </c>
      <c r="L49" s="337" t="n">
        <f aca="false">SUMIFS(L142:L2063,F142:F2063,"PP",G142:G2063,"Zuri",J142:J2063,"comum")</f>
        <v>0</v>
      </c>
      <c r="M49" s="339" t="n">
        <f aca="false">IF(K49,L49/K49,0)</f>
        <v>0</v>
      </c>
      <c r="N49" s="332"/>
      <c r="O49" s="367"/>
      <c r="P49" s="340"/>
      <c r="Q49" s="335" t="s">
        <v>1650</v>
      </c>
      <c r="R49" s="336" t="n">
        <f aca="false">K49+E49</f>
        <v>221400</v>
      </c>
      <c r="S49" s="337" t="n">
        <f aca="false">L49+F49</f>
        <v>58556.6</v>
      </c>
      <c r="T49" s="339" t="n">
        <f aca="false">S49/R49</f>
        <v>0.264483288166215</v>
      </c>
    </row>
    <row r="50" customFormat="false" ht="14.25" hidden="false" customHeight="false" outlineLevel="0" collapsed="false">
      <c r="A50" s="324"/>
      <c r="B50" s="6"/>
      <c r="C50" s="335" t="s">
        <v>1651</v>
      </c>
      <c r="D50" s="51" t="n">
        <f aca="false">E50/22.5</f>
        <v>186348</v>
      </c>
      <c r="E50" s="336" t="n">
        <f aca="false">SUMIFS(K142:K2063,F142:F2063,"KG",G142:G2063,"Zuri",J142:J2063,"Golden")</f>
        <v>4192830</v>
      </c>
      <c r="F50" s="337" t="n">
        <f aca="false">SUMIFS(L142:L2063,F142:F2063,"KG",G142:G2063,"Zuri",J142:J2063,"Golden")</f>
        <v>2409025.4</v>
      </c>
      <c r="G50" s="338" t="n">
        <f aca="false">IF(E50,F50/E50,0)</f>
        <v>0.574558329338418</v>
      </c>
      <c r="I50" s="366"/>
      <c r="J50" s="335" t="s">
        <v>1651</v>
      </c>
      <c r="K50" s="336" t="n">
        <f aca="false">SUMIFS(K142:K2063,F142:F2063,"PP",G142:G2063,"Zuri",J142:J2063,"Golden")</f>
        <v>0</v>
      </c>
      <c r="L50" s="337" t="n">
        <f aca="false">SUMIFS(L142:L2063,F142:F2063,"PP",G142:G2063,"Zuri",J142:J2063,"Golden")</f>
        <v>0</v>
      </c>
      <c r="M50" s="339" t="n">
        <f aca="false">IF(K50,L50/K50,0)</f>
        <v>0</v>
      </c>
      <c r="N50" s="332"/>
      <c r="O50" s="367"/>
      <c r="P50" s="341" t="n">
        <f aca="false">SUM(S47:S51)</f>
        <v>2945175.89</v>
      </c>
      <c r="Q50" s="335" t="s">
        <v>1651</v>
      </c>
      <c r="R50" s="336" t="n">
        <f aca="false">K50+E50</f>
        <v>4192830</v>
      </c>
      <c r="S50" s="337" t="n">
        <f aca="false">L50+F50</f>
        <v>2409025.4</v>
      </c>
      <c r="T50" s="339" t="n">
        <f aca="false">S50/R50</f>
        <v>0.574558329338418</v>
      </c>
    </row>
    <row r="51" customFormat="false" ht="14.25" hidden="false" customHeight="false" outlineLevel="0" collapsed="false">
      <c r="A51" s="324"/>
      <c r="B51" s="40"/>
      <c r="C51" s="342" t="s">
        <v>1652</v>
      </c>
      <c r="D51" s="263" t="n">
        <f aca="false">E51/37.5</f>
        <v>10755</v>
      </c>
      <c r="E51" s="343" t="n">
        <f aca="false">SUMIFS(K142:K2063,F142:F2063,"KG",G142:G2063,"Zuri",J142:J2063,"Podium")</f>
        <v>403312.5</v>
      </c>
      <c r="F51" s="344" t="n">
        <f aca="false">SUMIFS(L142:L2063,F142:F2063,"KG",G142:G2063,"Zuri",J142:J2063,"Podium")</f>
        <v>196213.89</v>
      </c>
      <c r="G51" s="345" t="n">
        <f aca="false">IF(E51,F51/E51,0)</f>
        <v>0.486505848442585</v>
      </c>
      <c r="I51" s="366"/>
      <c r="J51" s="342" t="s">
        <v>1652</v>
      </c>
      <c r="K51" s="343" t="n">
        <f aca="false">SUMIFS(K142:K2063,F142:F2063,"PP",G142:G2063,"Zuri",J142:J2063,"Podium")</f>
        <v>0</v>
      </c>
      <c r="L51" s="344" t="n">
        <f aca="false">SUMIFS(L142:L2063,F142:F2063,"PP",G142:G2063,"Zuri",J142:J2063,"Podium")</f>
        <v>0</v>
      </c>
      <c r="M51" s="346" t="n">
        <f aca="false">IF(K51,L51/K51,0)</f>
        <v>0</v>
      </c>
      <c r="N51" s="332"/>
      <c r="O51" s="367"/>
      <c r="P51" s="347" t="n">
        <f aca="false">P50/P47</f>
        <v>0.521054039099719</v>
      </c>
      <c r="Q51" s="342" t="s">
        <v>1652</v>
      </c>
      <c r="R51" s="343" t="n">
        <f aca="false">K51+E51</f>
        <v>403312.5</v>
      </c>
      <c r="S51" s="344" t="n">
        <f aca="false">L51+F51</f>
        <v>196213.89</v>
      </c>
      <c r="T51" s="346" t="n">
        <f aca="false">S51/R51</f>
        <v>0.486505848442585</v>
      </c>
    </row>
    <row r="52" customFormat="false" ht="14.25" hidden="false" customHeight="false" outlineLevel="0" collapsed="false">
      <c r="A52" s="324" t="str">
        <f aca="false">'COM.'!A17</f>
        <v>Paiaguas</v>
      </c>
      <c r="B52" s="325"/>
      <c r="C52" s="326" t="s">
        <v>1655</v>
      </c>
      <c r="D52" s="327" t="n">
        <f aca="false">E52/90</f>
        <v>13384.0666</v>
      </c>
      <c r="E52" s="328" t="n">
        <f aca="false">SUMIFS(K142:K2063,F142:F2063,"KG",G142:G2063,"Paiaguas",J142:J2063,"comum")</f>
        <v>1204565.994</v>
      </c>
      <c r="F52" s="329" t="n">
        <f aca="false">SUMIFS(L142:L2063,F142:F2063,"KG",G142:G2063,"Paiaguas",J142:J2063,"Comum")</f>
        <v>333379.95</v>
      </c>
      <c r="G52" s="330" t="n">
        <f aca="false">IF(E52,F52/E52,0)</f>
        <v>0.276763541109895</v>
      </c>
      <c r="I52" s="324" t="str">
        <f aca="false">'COM.'!A17</f>
        <v>Paiaguas</v>
      </c>
      <c r="J52" s="326" t="s">
        <v>1649</v>
      </c>
      <c r="K52" s="328" t="n">
        <f aca="false">SUMIFS(K142:K2063,F142:F2063,"PP",G142:G2063,"Paiaguas",J142:J2063,"Comum")</f>
        <v>0</v>
      </c>
      <c r="L52" s="329" t="n">
        <f aca="false">SUMIFS(L142:L2063,F142:F2063,"PP",G142:G2063,"Paiaguas",J142:J2063,"comum")</f>
        <v>0</v>
      </c>
      <c r="M52" s="331" t="n">
        <f aca="false">IF(K52,L52/K52,0)</f>
        <v>0</v>
      </c>
      <c r="N52" s="332"/>
      <c r="O52" s="333" t="str">
        <f aca="false">'COM.'!A17</f>
        <v>Paiaguas</v>
      </c>
      <c r="P52" s="334" t="n">
        <f aca="false">SUM(R52:R54)</f>
        <v>2040556.194</v>
      </c>
      <c r="Q52" s="326" t="s">
        <v>1649</v>
      </c>
      <c r="R52" s="328" t="n">
        <f aca="false">K52+E52</f>
        <v>1204565.994</v>
      </c>
      <c r="S52" s="329" t="n">
        <f aca="false">L52+F52</f>
        <v>333379.95</v>
      </c>
      <c r="T52" s="331" t="n">
        <f aca="false">S52/R52</f>
        <v>0.276763541109895</v>
      </c>
    </row>
    <row r="53" customFormat="false" ht="14.25" hidden="false" customHeight="false" outlineLevel="0" collapsed="false">
      <c r="A53" s="324"/>
      <c r="B53" s="6"/>
      <c r="C53" s="335" t="s">
        <v>1651</v>
      </c>
      <c r="D53" s="51" t="n">
        <f aca="false">E53/25.71</f>
        <v>31890</v>
      </c>
      <c r="E53" s="336" t="n">
        <f aca="false">SUMIFS(K142:K2063,F142:F2063,"KG",G142:G2063,"Paiaguas",J142:J2063,"Golden")</f>
        <v>819891.9</v>
      </c>
      <c r="F53" s="337" t="n">
        <f aca="false">SUMIFS(L142:L2063,F142:F2063,"KG",G142:G2063,"Paiaguas",J142:J2063,"Golden")</f>
        <v>524701.4</v>
      </c>
      <c r="G53" s="338" t="n">
        <f aca="false">IF(E53,F53/E53,0)</f>
        <v>0.639964122099511</v>
      </c>
      <c r="I53" s="324"/>
      <c r="J53" s="335" t="s">
        <v>1651</v>
      </c>
      <c r="K53" s="336" t="n">
        <f aca="false">SUMIFS(K142:K2063,F142:F2063,"PP",G142:G2063,"Paiaguas",J142:J2063,"Golden")</f>
        <v>0</v>
      </c>
      <c r="L53" s="337" t="n">
        <f aca="false">SUMIFS(L142:L2063,F142:F2063,"PP",G142:G2063,"Paiaguas",J142:J2063,"Golden")</f>
        <v>0</v>
      </c>
      <c r="M53" s="339" t="n">
        <f aca="false">IF(K53,L53/K53,0)</f>
        <v>0</v>
      </c>
      <c r="N53" s="332"/>
      <c r="O53" s="333"/>
      <c r="P53" s="341" t="n">
        <f aca="false">SUM(S52:S54)</f>
        <v>873426.2</v>
      </c>
      <c r="Q53" s="335" t="s">
        <v>1651</v>
      </c>
      <c r="R53" s="336" t="n">
        <f aca="false">K53+E53</f>
        <v>819891.9</v>
      </c>
      <c r="S53" s="337" t="n">
        <f aca="false">L53+F53</f>
        <v>524701.4</v>
      </c>
      <c r="T53" s="339" t="n">
        <f aca="false">S53/R53</f>
        <v>0.639964122099511</v>
      </c>
    </row>
    <row r="54" customFormat="false" ht="14.25" hidden="false" customHeight="false" outlineLevel="0" collapsed="false">
      <c r="A54" s="324"/>
      <c r="B54" s="40"/>
      <c r="C54" s="342" t="s">
        <v>1652</v>
      </c>
      <c r="D54" s="263" t="n">
        <f aca="false">E54/34.62</f>
        <v>465</v>
      </c>
      <c r="E54" s="343" t="n">
        <f aca="false">SUMIFS(K142:K2063,F142:F2063,"KG",G142:G2063,"Paiaguas",J142:J2063,"Podium")</f>
        <v>16098.3</v>
      </c>
      <c r="F54" s="344" t="n">
        <f aca="false">SUMIFS(L142:L2063,F142:F2063,"KG",G142:G2063,"Paiaguas",J142:J2063,"Podium")</f>
        <v>15344.85</v>
      </c>
      <c r="G54" s="345" t="n">
        <f aca="false">IF(E54,F54/E54,0)</f>
        <v>0.953196921414062</v>
      </c>
      <c r="I54" s="324"/>
      <c r="J54" s="342" t="s">
        <v>1652</v>
      </c>
      <c r="K54" s="343" t="n">
        <f aca="false">SUMIFS(K142:K2063,F142:F2063,"PP",G142:G2063,"Paiaguas",J142:J2063,"Podium")</f>
        <v>0</v>
      </c>
      <c r="L54" s="344" t="n">
        <f aca="false">SUMIFS(L142:L2063,F142:F2063,"PP",G142:G2063,"Paiaguas",J142:J2063,"Podium")</f>
        <v>0</v>
      </c>
      <c r="M54" s="346" t="n">
        <f aca="false">IF(K54,L54/K54,0)</f>
        <v>0</v>
      </c>
      <c r="N54" s="332"/>
      <c r="O54" s="333"/>
      <c r="P54" s="347" t="n">
        <f aca="false">P53/P52</f>
        <v>0.428033397251299</v>
      </c>
      <c r="Q54" s="342" t="s">
        <v>1652</v>
      </c>
      <c r="R54" s="343" t="n">
        <f aca="false">K54+E54</f>
        <v>16098.3</v>
      </c>
      <c r="S54" s="344" t="n">
        <f aca="false">L54+F54</f>
        <v>15344.85</v>
      </c>
      <c r="T54" s="346" t="n">
        <f aca="false">S54/R54</f>
        <v>0.953196921414062</v>
      </c>
    </row>
    <row r="55" customFormat="false" ht="14.25" hidden="false" customHeight="false" outlineLevel="0" collapsed="false">
      <c r="A55" s="361" t="str">
        <f aca="false">'COM.'!A18</f>
        <v>Tamani</v>
      </c>
      <c r="B55" s="325"/>
      <c r="C55" s="326" t="s">
        <v>1655</v>
      </c>
      <c r="D55" s="327" t="n">
        <f aca="false">E55/90</f>
        <v>1350</v>
      </c>
      <c r="E55" s="328" t="n">
        <f aca="false">SUMIFS(K142:K2063,F142:F2063,"KG",G142:G2063,"Tamani",J142:J2063,"comum",I142:I2063,"90")</f>
        <v>121500</v>
      </c>
      <c r="F55" s="329" t="n">
        <f aca="false">SUMIFS(L142:L2063,F142:F2063,"KG",G142:G2063,"Tamani",J142:J2063,"Comum",I142:I2063,"90")</f>
        <v>68499</v>
      </c>
      <c r="G55" s="330" t="n">
        <f aca="false">IF(E55,F55/E55,0)</f>
        <v>0.563777777777778</v>
      </c>
      <c r="I55" s="361" t="str">
        <f aca="false">'COM.'!A18</f>
        <v>Tamani</v>
      </c>
      <c r="J55" s="326" t="s">
        <v>1654</v>
      </c>
      <c r="K55" s="328" t="n">
        <f aca="false">SUMIFS(K142:K2063,F142:F2063,"PP",G142:G2063,"Tamani",J142:J2063,"Comum")</f>
        <v>0</v>
      </c>
      <c r="L55" s="329" t="n">
        <f aca="false">SUMIFS(L142:L2063,F142:F2063,"PP",G142:G2063,"Tamani",J142:J2063,"comum")</f>
        <v>0</v>
      </c>
      <c r="M55" s="331" t="n">
        <f aca="false">IF(K55,L55/K55,0)</f>
        <v>0</v>
      </c>
      <c r="N55" s="332"/>
      <c r="O55" s="362" t="str">
        <f aca="false">'COM.'!A18</f>
        <v>Tamani</v>
      </c>
      <c r="P55" s="334" t="n">
        <f aca="false">SUM(R55:R57)</f>
        <v>1171912.5</v>
      </c>
      <c r="Q55" s="326" t="s">
        <v>1654</v>
      </c>
      <c r="R55" s="328" t="n">
        <f aca="false">K55+E55</f>
        <v>121500</v>
      </c>
      <c r="S55" s="329" t="n">
        <f aca="false">L55+F55</f>
        <v>68499</v>
      </c>
      <c r="T55" s="331" t="n">
        <f aca="false">S55/R55</f>
        <v>0.563777777777778</v>
      </c>
    </row>
    <row r="56" customFormat="false" ht="14.25" hidden="false" customHeight="false" outlineLevel="0" collapsed="false">
      <c r="A56" s="361"/>
      <c r="B56" s="6"/>
      <c r="C56" s="335" t="s">
        <v>1651</v>
      </c>
      <c r="D56" s="51" t="n">
        <f aca="false">E56/22.5</f>
        <v>37260</v>
      </c>
      <c r="E56" s="336" t="n">
        <f aca="false">SUMIFS(K142:K2063,F142:F2063,"KG",G142:G2063,"Tamani",J142:J2063,"Golden")</f>
        <v>838350</v>
      </c>
      <c r="F56" s="337" t="n">
        <f aca="false">SUMIFS(L142:L2063,F142:F2063,"KG",G142:G2063,"Tamani",J142:J2063,"Golden")</f>
        <v>739598.82</v>
      </c>
      <c r="G56" s="338" t="n">
        <f aca="false">IF(E56,F56/E56,0)</f>
        <v>0.882207693684022</v>
      </c>
      <c r="I56" s="361"/>
      <c r="J56" s="335" t="s">
        <v>1651</v>
      </c>
      <c r="K56" s="336" t="n">
        <f aca="false">SUMIFS(K142:K2063,F142:F2063,"PP",G142:G2063,"Tamani",J142:J2063,"Golden")</f>
        <v>0</v>
      </c>
      <c r="L56" s="337" t="n">
        <f aca="false">SUMIFS(L142:L2063,F142:F2063,"PP",G142:G2063,"Tamani",J142:J2063,"Golden")</f>
        <v>0</v>
      </c>
      <c r="M56" s="339" t="n">
        <f aca="false">IF(K56,L56/K56,0)</f>
        <v>0</v>
      </c>
      <c r="N56" s="332"/>
      <c r="O56" s="362"/>
      <c r="P56" s="341" t="n">
        <f aca="false">SUM(S55:S57)</f>
        <v>966396.53</v>
      </c>
      <c r="Q56" s="335" t="s">
        <v>1651</v>
      </c>
      <c r="R56" s="336" t="n">
        <f aca="false">K56+E56</f>
        <v>838350</v>
      </c>
      <c r="S56" s="337" t="n">
        <f aca="false">L56+F56</f>
        <v>739598.82</v>
      </c>
      <c r="T56" s="339" t="n">
        <f aca="false">S56/R56</f>
        <v>0.882207693684022</v>
      </c>
    </row>
    <row r="57" customFormat="false" ht="14.25" hidden="false" customHeight="false" outlineLevel="0" collapsed="false">
      <c r="A57" s="361"/>
      <c r="B57" s="6"/>
      <c r="C57" s="342" t="s">
        <v>1652</v>
      </c>
      <c r="D57" s="263" t="n">
        <f aca="false">E57/37.5</f>
        <v>5655</v>
      </c>
      <c r="E57" s="343" t="n">
        <f aca="false">SUMIFS(K142:K2063,F142:F2063,"KG",G142:G2063,"Tamani",J142:J2063,"Podium")</f>
        <v>212062.5</v>
      </c>
      <c r="F57" s="344" t="n">
        <f aca="false">SUMIFS(L142:L2063,F142:F2063,"KG",G142:G2063,"Tamani",J142:J2063,"Podium")</f>
        <v>158298.71</v>
      </c>
      <c r="G57" s="338" t="n">
        <f aca="false">IF(E57,F57/E57,0)</f>
        <v>0.746471959917477</v>
      </c>
      <c r="I57" s="361"/>
      <c r="J57" s="342" t="s">
        <v>1652</v>
      </c>
      <c r="K57" s="336" t="n">
        <f aca="false">SUMIFS(K142:K2063,F142:F2063,"PP",G142:G2063,"Tamani",J142:J2063,"Podium")</f>
        <v>0</v>
      </c>
      <c r="L57" s="337" t="n">
        <f aca="false">SUMIFS(L142:L2063,F142:F2063,"PP",G142:G2063,"Tamani",J142:J2063,"Podium")</f>
        <v>0</v>
      </c>
      <c r="M57" s="339" t="n">
        <f aca="false">IF(K57,L57/K57,0)</f>
        <v>0</v>
      </c>
      <c r="N57" s="332"/>
      <c r="O57" s="362"/>
      <c r="P57" s="363" t="n">
        <f aca="false">P56/P55</f>
        <v>0.824631984043177</v>
      </c>
      <c r="Q57" s="342" t="s">
        <v>1652</v>
      </c>
      <c r="R57" s="336" t="n">
        <f aca="false">K57+E57</f>
        <v>212062.5</v>
      </c>
      <c r="S57" s="337" t="n">
        <f aca="false">L57+F57</f>
        <v>158298.71</v>
      </c>
      <c r="T57" s="339" t="n">
        <f aca="false">S57/R57</f>
        <v>0.746471959917477</v>
      </c>
    </row>
    <row r="58" customFormat="false" ht="14.25" hidden="false" customHeight="false" outlineLevel="0" collapsed="false">
      <c r="A58" s="324" t="s">
        <v>20</v>
      </c>
      <c r="B58" s="325"/>
      <c r="C58" s="326" t="s">
        <v>1650</v>
      </c>
      <c r="D58" s="327" t="n">
        <f aca="false">E58/90</f>
        <v>10020</v>
      </c>
      <c r="E58" s="328" t="n">
        <f aca="false">SUMIFS(K142:K2063,F142:F2063,"KG",G142:G2063,"Integra",J142:J2063,"comum")</f>
        <v>901800</v>
      </c>
      <c r="F58" s="329" t="n">
        <f aca="false">SUMIFS(L142:L2063,F142:F2063,"KG",G142:G2063,"Integra",J142:J2063,"Comum")</f>
        <v>160113.52</v>
      </c>
      <c r="G58" s="330" t="n">
        <f aca="false">IF(E58,F58/E58,0)</f>
        <v>0.177548813484143</v>
      </c>
      <c r="I58" s="324" t="s">
        <v>20</v>
      </c>
      <c r="J58" s="326" t="s">
        <v>1649</v>
      </c>
      <c r="K58" s="364" t="n">
        <f aca="false">SUMIFS(K142:K2063,F142:F2063,"PP",G142:G2063,"Integra")</f>
        <v>0</v>
      </c>
      <c r="L58" s="365" t="n">
        <f aca="false">SUMIFS(L142:L2063,F142:F2063,"PP",G142:G2063,"Integra")</f>
        <v>0</v>
      </c>
      <c r="M58" s="331" t="n">
        <f aca="false">IF(K58,L58/K58,0)</f>
        <v>0</v>
      </c>
      <c r="N58" s="332"/>
      <c r="O58" s="333" t="s">
        <v>20</v>
      </c>
      <c r="P58" s="334" t="n">
        <f aca="false">SUM(R58:R60)</f>
        <v>3365187.15</v>
      </c>
      <c r="Q58" s="326" t="s">
        <v>1650</v>
      </c>
      <c r="R58" s="328" t="n">
        <f aca="false">K58+E58</f>
        <v>901800</v>
      </c>
      <c r="S58" s="329" t="n">
        <f aca="false">L58+F58</f>
        <v>160113.52</v>
      </c>
      <c r="T58" s="331" t="n">
        <f aca="false">S58/R58</f>
        <v>0.177548813484143</v>
      </c>
    </row>
    <row r="59" customFormat="false" ht="14.25" hidden="false" customHeight="false" outlineLevel="0" collapsed="false">
      <c r="A59" s="324"/>
      <c r="B59" s="6"/>
      <c r="C59" s="335" t="s">
        <v>1651</v>
      </c>
      <c r="D59" s="51" t="n">
        <f aca="false">E59/25.71</f>
        <v>0</v>
      </c>
      <c r="E59" s="336" t="n">
        <f aca="false">SUMIFS(K142:K2063,F142:F2063,"KG",G142:G2063,"Integra",J142:J2063,"Golden")</f>
        <v>0</v>
      </c>
      <c r="F59" s="337" t="n">
        <f aca="false">SUMIFS(L142:L2063,F142:F2063,"KG",G142:G2063,"Integra",J142:J2063,"Golden")</f>
        <v>0</v>
      </c>
      <c r="G59" s="338" t="n">
        <f aca="false">IF(E59,F59/E59,0)</f>
        <v>0</v>
      </c>
      <c r="I59" s="324"/>
      <c r="J59" s="335" t="s">
        <v>1651</v>
      </c>
      <c r="K59" s="336" t="n">
        <f aca="false">SUMIFS(K142:K2063,F142:F2063,"PP",G142:G2063,"Integra",J142:J2063,"Golden")</f>
        <v>0</v>
      </c>
      <c r="L59" s="337" t="n">
        <f aca="false">SUMIFS(L142:L2063,F142:F2063,"PP",G142:G2063,"Integra",J142:J2063,"Golden")</f>
        <v>0</v>
      </c>
      <c r="M59" s="339" t="n">
        <f aca="false">IF(K59,L59/K59,0)</f>
        <v>0</v>
      </c>
      <c r="N59" s="332"/>
      <c r="O59" s="333"/>
      <c r="P59" s="341" t="n">
        <f aca="false">SUM(S58:S60)</f>
        <v>887039.57</v>
      </c>
      <c r="Q59" s="335" t="s">
        <v>1651</v>
      </c>
      <c r="R59" s="336" t="n">
        <f aca="false">K59+E59</f>
        <v>0</v>
      </c>
      <c r="S59" s="337" t="n">
        <f aca="false">L59+F59</f>
        <v>0</v>
      </c>
      <c r="T59" s="339" t="e">
        <f aca="false">S59/R59</f>
        <v>#DIV/0!</v>
      </c>
    </row>
    <row r="60" customFormat="false" ht="14.25" hidden="false" customHeight="false" outlineLevel="0" collapsed="false">
      <c r="A60" s="324"/>
      <c r="B60" s="40"/>
      <c r="C60" s="342" t="s">
        <v>1652</v>
      </c>
      <c r="D60" s="263" t="n">
        <f aca="false">E60/38.29</f>
        <v>64335</v>
      </c>
      <c r="E60" s="350" t="n">
        <f aca="false">SUMIFS(K142:K2063,F142:F2063,"KG",G142:G2063,"Integra",J142:J2063,"Podium")</f>
        <v>2463387.15</v>
      </c>
      <c r="F60" s="344" t="n">
        <f aca="false">SUMIFS(L142:L2063,F142:F2063,"KG",G142:G2063,"Integra",J142:J2063,"Podium")</f>
        <v>726926.05</v>
      </c>
      <c r="G60" s="345" t="n">
        <f aca="false">IF(E60,F60/E60,0)</f>
        <v>0.295092084896197</v>
      </c>
      <c r="I60" s="324"/>
      <c r="J60" s="342" t="s">
        <v>1652</v>
      </c>
      <c r="K60" s="343" t="n">
        <f aca="false">SUMIFS(K142:K2063,F142:F2063,"PP",G142:G2063,"Integra",J142:J2063,"Podium")</f>
        <v>0</v>
      </c>
      <c r="L60" s="344" t="n">
        <f aca="false">SUMIFS(L142:L2063,F142:F2063,"PP",G142:G2063,"Integra",J142:J2063,"Podium")</f>
        <v>0</v>
      </c>
      <c r="M60" s="346" t="n">
        <f aca="false">IF(K60,L60/K60,0)</f>
        <v>0</v>
      </c>
      <c r="N60" s="332"/>
      <c r="O60" s="333"/>
      <c r="P60" s="347" t="n">
        <f aca="false">P59/P58</f>
        <v>0.263592938657216</v>
      </c>
      <c r="Q60" s="342" t="s">
        <v>1652</v>
      </c>
      <c r="R60" s="343" t="n">
        <f aca="false">K60+E60</f>
        <v>2463387.15</v>
      </c>
      <c r="S60" s="344" t="n">
        <f aca="false">L60+F60</f>
        <v>726926.05</v>
      </c>
      <c r="T60" s="346" t="n">
        <f aca="false">S60/R60</f>
        <v>0.295092084896197</v>
      </c>
    </row>
    <row r="61" customFormat="false" ht="14.25" hidden="false" customHeight="false" outlineLevel="0" collapsed="false">
      <c r="A61" s="366" t="str">
        <f aca="false">'COM.'!A20</f>
        <v>Quenia</v>
      </c>
      <c r="B61" s="6"/>
      <c r="C61" s="335" t="s">
        <v>1655</v>
      </c>
      <c r="D61" s="51" t="n">
        <f aca="false">E61/90</f>
        <v>120</v>
      </c>
      <c r="E61" s="336" t="n">
        <f aca="false">SUMIFS(K142:K2063,F142:F2063,"KG",G142:G2063,"Quenia",J142:J2063,"comum")</f>
        <v>10800</v>
      </c>
      <c r="F61" s="337" t="n">
        <f aca="false">SUMIFS(L142:L2063,F142:F2063,"KG",G142:G2063,"Quenia",J142:J2063,"Comum")</f>
        <v>3438.92</v>
      </c>
      <c r="G61" s="338" t="n">
        <f aca="false">IF(E61,F61/E61,0)</f>
        <v>0.318418518518519</v>
      </c>
      <c r="I61" s="366" t="str">
        <f aca="false">'COM.'!A20</f>
        <v>Quenia</v>
      </c>
      <c r="J61" s="335" t="s">
        <v>1654</v>
      </c>
      <c r="K61" s="336" t="n">
        <f aca="false">SUMIFS(K142:K2063,F142:F2063,"PP",G142:G2063,"Quenia",J142:J2063,"Comum")</f>
        <v>0</v>
      </c>
      <c r="L61" s="337" t="n">
        <f aca="false">SUMIFS(L142:L2063,F142:F2063,"PP",G142:G2063,"Quenia",J142:J2063,"comum")</f>
        <v>0</v>
      </c>
      <c r="M61" s="339" t="n">
        <f aca="false">IF(K61,L61/K61,0)</f>
        <v>0</v>
      </c>
      <c r="N61" s="332"/>
      <c r="O61" s="368" t="str">
        <f aca="false">'COM.'!A20</f>
        <v>Quenia</v>
      </c>
      <c r="P61" s="340" t="n">
        <f aca="false">SUM(R61:R63)</f>
        <v>119137.5</v>
      </c>
      <c r="Q61" s="335" t="s">
        <v>1650</v>
      </c>
      <c r="R61" s="336" t="n">
        <f aca="false">K61+E61</f>
        <v>10800</v>
      </c>
      <c r="S61" s="337" t="n">
        <f aca="false">L61+F61</f>
        <v>3438.92</v>
      </c>
      <c r="T61" s="339" t="n">
        <f aca="false">S61/R61</f>
        <v>0.318418518518519</v>
      </c>
    </row>
    <row r="62" customFormat="false" ht="14.25" hidden="false" customHeight="false" outlineLevel="0" collapsed="false">
      <c r="A62" s="366"/>
      <c r="B62" s="6"/>
      <c r="C62" s="335" t="s">
        <v>1651</v>
      </c>
      <c r="D62" s="51" t="n">
        <f aca="false">E62/22.5</f>
        <v>4815</v>
      </c>
      <c r="E62" s="336" t="n">
        <f aca="false">SUMIFS(K142:K2063,F142:F2063,"KG",G142:G2063,"Quenia",J142:J2063,"Golden")</f>
        <v>108337.5</v>
      </c>
      <c r="F62" s="337" t="n">
        <f aca="false">SUMIFS(L142:L2063,F142:F2063,"KG",G142:G2063,"Quenia",J142:J2063,"Golden")</f>
        <v>109214.7</v>
      </c>
      <c r="G62" s="338" t="n">
        <f aca="false">IF(E62,F62/E62,0)</f>
        <v>1.00809691934926</v>
      </c>
      <c r="I62" s="366"/>
      <c r="J62" s="335" t="s">
        <v>1651</v>
      </c>
      <c r="K62" s="336" t="n">
        <f aca="false">SUMIFS(K142:K2063,F142:F2063,"PP",G142:G2063,"Quenia",J142:J2063,"Golden")</f>
        <v>0</v>
      </c>
      <c r="L62" s="337" t="n">
        <f aca="false">SUMIFS(L142:L2063,F142:F2063,"PP",G142:G2063,"Quenia",J142:J2063,"Golden")</f>
        <v>0</v>
      </c>
      <c r="M62" s="339" t="n">
        <f aca="false">IF(K62,L62/K62,0)</f>
        <v>0</v>
      </c>
      <c r="N62" s="332"/>
      <c r="O62" s="368"/>
      <c r="P62" s="341" t="n">
        <f aca="false">SUM(S61:S63)</f>
        <v>112653.62</v>
      </c>
      <c r="Q62" s="335" t="s">
        <v>1651</v>
      </c>
      <c r="R62" s="336" t="n">
        <f aca="false">K62+E62</f>
        <v>108337.5</v>
      </c>
      <c r="S62" s="337" t="n">
        <f aca="false">L62+F62</f>
        <v>109214.7</v>
      </c>
      <c r="T62" s="339" t="n">
        <f aca="false">S62/R62</f>
        <v>1.00809691934926</v>
      </c>
    </row>
    <row r="63" customFormat="false" ht="14.25" hidden="false" customHeight="false" outlineLevel="0" collapsed="false">
      <c r="A63" s="366"/>
      <c r="B63" s="40"/>
      <c r="C63" s="342" t="s">
        <v>1652</v>
      </c>
      <c r="D63" s="263" t="n">
        <f aca="false">E63/37.5</f>
        <v>0</v>
      </c>
      <c r="E63" s="343" t="n">
        <f aca="false">SUMIFS(K142:K2063,F142:F2063,"KG",G142:G2063,"Quenia",J142:J2063,"Podium")</f>
        <v>0</v>
      </c>
      <c r="F63" s="344" t="n">
        <f aca="false">SUMIFS(L142:L2063,F142:F2063,"KG",G142:G2063,"Quenia",J142:J2063,"Podium")</f>
        <v>0</v>
      </c>
      <c r="G63" s="345" t="n">
        <f aca="false">IF(E63,F63/E63,0)</f>
        <v>0</v>
      </c>
      <c r="I63" s="366"/>
      <c r="J63" s="342" t="s">
        <v>1652</v>
      </c>
      <c r="K63" s="343" t="n">
        <f aca="false">SUMIFS(K142:K2063,F142:F2063,"PP",G142:G2063,"Quenia",J142:J2063,"Podium")</f>
        <v>0</v>
      </c>
      <c r="L63" s="344" t="n">
        <f aca="false">SUMIFS(L142:L2063,F142:F2063,"PP",G142:G2063,"Quenia",J142:J2063,"Podium")</f>
        <v>0</v>
      </c>
      <c r="M63" s="346" t="n">
        <f aca="false">IF(K63,L63/K63,0)</f>
        <v>0</v>
      </c>
      <c r="N63" s="332"/>
      <c r="O63" s="368"/>
      <c r="P63" s="347" t="n">
        <f aca="false">P62/P61</f>
        <v>0.945576497744203</v>
      </c>
      <c r="Q63" s="342" t="s">
        <v>1652</v>
      </c>
      <c r="R63" s="343" t="n">
        <f aca="false">K63+E63</f>
        <v>0</v>
      </c>
      <c r="S63" s="344" t="n">
        <f aca="false">L63+F63</f>
        <v>0</v>
      </c>
      <c r="T63" s="346" t="e">
        <f aca="false">S63/R63</f>
        <v>#DIV/0!</v>
      </c>
    </row>
    <row r="64" customFormat="false" ht="14.25" hidden="false" customHeight="false" outlineLevel="0" collapsed="false">
      <c r="A64" s="324" t="str">
        <f aca="false">'COM.'!A23</f>
        <v>Estilosantes</v>
      </c>
      <c r="B64" s="348"/>
      <c r="C64" s="351" t="s">
        <v>1653</v>
      </c>
      <c r="D64" s="359" t="n">
        <f aca="false">E64/1</f>
        <v>19205</v>
      </c>
      <c r="E64" s="352" t="n">
        <f aca="false">SUMIFS(K142:K2063,F142:F2063,"KG",G142:G2063,"Estilosantes")</f>
        <v>19205</v>
      </c>
      <c r="F64" s="358" t="n">
        <f aca="false">SUMIFS(L142:L2063,F142:F2063,"KG",G142:G2063,"Estilosantes")</f>
        <v>782895.19</v>
      </c>
      <c r="G64" s="360" t="n">
        <f aca="false">IF(E64,F64/E64,0)</f>
        <v>40.7651752147878</v>
      </c>
      <c r="I64" s="369" t="str">
        <f aca="false">'COM.'!A23</f>
        <v>Estilosantes</v>
      </c>
      <c r="J64" s="351" t="s">
        <v>1653</v>
      </c>
      <c r="K64" s="352" t="n">
        <f aca="false">SUMIFS(K142:K2063,F142:F2063,"PP",G142:G2063,"Estilosantes")</f>
        <v>0</v>
      </c>
      <c r="L64" s="353" t="n">
        <f aca="false">SUMIFS(L142:L2063,F142:F2063,"PP",G142:G2063,"Estilosantes")</f>
        <v>0</v>
      </c>
      <c r="M64" s="354" t="n">
        <f aca="false">IF(K64,L64/K64,0)</f>
        <v>0</v>
      </c>
      <c r="N64" s="332"/>
      <c r="O64" s="370" t="str">
        <f aca="false">'COM.'!A23</f>
        <v>Estilosantes</v>
      </c>
      <c r="P64" s="356"/>
      <c r="Q64" s="351" t="s">
        <v>1653</v>
      </c>
      <c r="R64" s="357" t="n">
        <f aca="false">K64+E64</f>
        <v>19205</v>
      </c>
      <c r="S64" s="358" t="n">
        <f aca="false">L64+F64</f>
        <v>782895.19</v>
      </c>
      <c r="T64" s="354" t="n">
        <f aca="false">S64/R64</f>
        <v>40.7651752147878</v>
      </c>
    </row>
    <row r="65" customFormat="false" ht="14.25" hidden="false" customHeight="false" outlineLevel="0" collapsed="false">
      <c r="A65" s="324" t="str">
        <f aca="false">'COM.'!A24</f>
        <v>Milheto</v>
      </c>
      <c r="B65" s="348"/>
      <c r="C65" s="351" t="s">
        <v>1653</v>
      </c>
      <c r="D65" s="359" t="n">
        <f aca="false">E65/1</f>
        <v>34670</v>
      </c>
      <c r="E65" s="352" t="n">
        <f aca="false">SUMIFS(K142:K2063,F142:F2063,"KG",G142:G2063,"Milheto")</f>
        <v>34670</v>
      </c>
      <c r="F65" s="358" t="n">
        <f aca="false">SUMIFS(L142:L2063,F142:F2063,"KG",G142:G2063,"Milheto")</f>
        <v>182174.5</v>
      </c>
      <c r="G65" s="360" t="n">
        <f aca="false">IF(E65,F65/E65,0)</f>
        <v>5.25452841072974</v>
      </c>
      <c r="I65" s="369" t="str">
        <f aca="false">'COM.'!A24</f>
        <v>Milheto</v>
      </c>
      <c r="J65" s="351" t="s">
        <v>1653</v>
      </c>
      <c r="K65" s="352" t="n">
        <f aca="false">SUMIFS(K142:K2063,F142:F2063,"PP",G142:G2063,"Milheto")</f>
        <v>0</v>
      </c>
      <c r="L65" s="353" t="n">
        <f aca="false">SUMIFS(L142:L2063,F142:F2063,"pp",G142:G2063,"Milheto")</f>
        <v>0</v>
      </c>
      <c r="M65" s="354" t="n">
        <f aca="false">IF(K65,L65/K65,0)</f>
        <v>0</v>
      </c>
      <c r="N65" s="332"/>
      <c r="O65" s="369" t="str">
        <f aca="false">'COM.'!A24</f>
        <v>Milheto</v>
      </c>
      <c r="P65" s="356"/>
      <c r="Q65" s="351" t="s">
        <v>1653</v>
      </c>
      <c r="R65" s="357" t="n">
        <f aca="false">K65+E65</f>
        <v>34670</v>
      </c>
      <c r="S65" s="358" t="n">
        <f aca="false">L65+F65</f>
        <v>182174.5</v>
      </c>
      <c r="T65" s="354" t="n">
        <f aca="false">S65/R65</f>
        <v>5.25452841072974</v>
      </c>
    </row>
    <row r="66" customFormat="false" ht="14.25" hidden="false" customHeight="false" outlineLevel="0" collapsed="false">
      <c r="A66" s="371" t="s">
        <v>1635</v>
      </c>
      <c r="B66" s="372"/>
      <c r="C66" s="373"/>
      <c r="D66" s="374" t="n">
        <f aca="false">SUBTOTAL(9,D5:D65)</f>
        <v>4826481.7666</v>
      </c>
      <c r="E66" s="374" t="n">
        <f aca="false">SUBTOTAL(9,E5:E65)</f>
        <v>222018261.6361</v>
      </c>
      <c r="F66" s="375" t="n">
        <f aca="false">SUM(F5:F65)</f>
        <v>70159397.7355</v>
      </c>
      <c r="G66" s="376" t="n">
        <f aca="false">F66/E66</f>
        <v>0.316007328489469</v>
      </c>
      <c r="I66" s="371" t="s">
        <v>1635</v>
      </c>
      <c r="J66" s="372"/>
      <c r="K66" s="374" t="n">
        <f aca="false">SUBTOTAL(9,K5:K65)</f>
        <v>0</v>
      </c>
      <c r="L66" s="377" t="n">
        <f aca="false">SUBTOTAL(9,L5:L65)</f>
        <v>0</v>
      </c>
      <c r="M66" s="378" t="e">
        <f aca="false">L66/K66</f>
        <v>#DIV/0!</v>
      </c>
      <c r="N66" s="332"/>
      <c r="O66" s="371" t="s">
        <v>1635</v>
      </c>
      <c r="P66" s="372"/>
      <c r="Q66" s="372"/>
      <c r="R66" s="374" t="n">
        <f aca="false">SUBTOTAL(9,R5:R65)</f>
        <v>222018261.6361</v>
      </c>
      <c r="S66" s="377" t="n">
        <f aca="false">SUBTOTAL(9,S5:S65)</f>
        <v>70159397.7355</v>
      </c>
      <c r="T66" s="378" t="n">
        <f aca="false">S66/R66</f>
        <v>0.316007328489469</v>
      </c>
    </row>
    <row r="67" customFormat="false" ht="14.25" hidden="false" customHeight="false" outlineLevel="0" collapsed="false">
      <c r="A67" s="379" t="s">
        <v>1656</v>
      </c>
      <c r="B67" s="380" t="n">
        <f aca="false">F67/F66</f>
        <v>0.0213341911178157</v>
      </c>
      <c r="C67" s="381" t="n">
        <f aca="false">E67/E66</f>
        <v>0.0185394659415292</v>
      </c>
      <c r="D67" s="381"/>
      <c r="E67" s="382" t="n">
        <f aca="false">E33+E39+E47+E55+E38+E61</f>
        <v>4116100</v>
      </c>
      <c r="F67" s="383" t="n">
        <f aca="false">F33+F39+F47+F55+F38</f>
        <v>1496794</v>
      </c>
      <c r="G67" s="384" t="n">
        <f aca="false">F67/E67</f>
        <v>0.363643740433906</v>
      </c>
      <c r="I67" s="379" t="s">
        <v>1656</v>
      </c>
      <c r="J67" s="379"/>
      <c r="K67" s="385" t="n">
        <f aca="false">K33+K39+K47</f>
        <v>0</v>
      </c>
      <c r="L67" s="386" t="n">
        <f aca="false">L33+L39+L47</f>
        <v>0</v>
      </c>
      <c r="M67" s="176" t="n">
        <v>0</v>
      </c>
      <c r="N67" s="332"/>
      <c r="O67" s="379" t="s">
        <v>1656</v>
      </c>
      <c r="P67" s="387" t="n">
        <f aca="false">S67/S66</f>
        <v>0.0213341911178157</v>
      </c>
      <c r="Q67" s="388" t="n">
        <f aca="false">R67/R66</f>
        <v>0.0184908212943709</v>
      </c>
      <c r="R67" s="382" t="n">
        <f aca="false">R33+R39+R47+R55+R38</f>
        <v>4105300</v>
      </c>
      <c r="S67" s="383" t="n">
        <f aca="false">S33+S39+S47+S55+S38</f>
        <v>1496794</v>
      </c>
      <c r="T67" s="384" t="n">
        <f aca="false">S67/R67</f>
        <v>0.364600394611843</v>
      </c>
    </row>
    <row r="68" customFormat="false" ht="14.25" hidden="false" customHeight="false" outlineLevel="0" collapsed="false">
      <c r="A68" s="379" t="s">
        <v>1657</v>
      </c>
      <c r="B68" s="380" t="n">
        <f aca="false">F68/F66</f>
        <v>0.0407811851633422</v>
      </c>
      <c r="C68" s="381" t="n">
        <f aca="false">E68/E66</f>
        <v>0.0330322872540118</v>
      </c>
      <c r="D68" s="381"/>
      <c r="E68" s="382" t="n">
        <f aca="false">E5+E9+E13+E17+E22+E29+E34+E40+E48+E64+E52</f>
        <v>7333770.994</v>
      </c>
      <c r="F68" s="383" t="n">
        <f aca="false">F5+F9+F13+F17+F22+F29+F34+F40+F48+F64+F52</f>
        <v>2861183.39</v>
      </c>
      <c r="G68" s="384" t="n">
        <f aca="false">F68/E68</f>
        <v>0.390138087532434</v>
      </c>
      <c r="I68" s="379" t="s">
        <v>1657</v>
      </c>
      <c r="J68" s="389"/>
      <c r="K68" s="385" t="n">
        <f aca="false">K5+K9+K13+K17+K64+K22</f>
        <v>0</v>
      </c>
      <c r="L68" s="386" t="n">
        <f aca="false">L5+L9+L13+L17+L64+L22</f>
        <v>0</v>
      </c>
      <c r="M68" s="384" t="e">
        <f aca="false">L68/K68</f>
        <v>#DIV/0!</v>
      </c>
      <c r="N68" s="332"/>
      <c r="O68" s="379" t="s">
        <v>1657</v>
      </c>
      <c r="P68" s="387" t="n">
        <f aca="false">S68/S66</f>
        <v>0.0433777653205265</v>
      </c>
      <c r="Q68" s="388" t="n">
        <f aca="false">R68/R66</f>
        <v>0.0331884455796581</v>
      </c>
      <c r="R68" s="382" t="n">
        <f aca="false">R5+R9+R13+R17+R22+R29+R34+R40+R48+R64+R52+R65</f>
        <v>7368440.994</v>
      </c>
      <c r="S68" s="383" t="n">
        <f aca="false">S5+S9+S13+S17+S22+S29+S34+S40+S48+S64+S52+S65</f>
        <v>3043357.89</v>
      </c>
      <c r="T68" s="384" t="n">
        <f aca="false">S68/R68</f>
        <v>0.413026024430155</v>
      </c>
    </row>
    <row r="69" customFormat="false" ht="14.25" hidden="false" customHeight="false" outlineLevel="0" collapsed="false">
      <c r="A69" s="379" t="s">
        <v>1658</v>
      </c>
      <c r="B69" s="380" t="n">
        <f aca="false">F69/F66</f>
        <v>0.255742298524908</v>
      </c>
      <c r="C69" s="381" t="n">
        <f aca="false">E69/E66</f>
        <v>0.50186101169744</v>
      </c>
      <c r="D69" s="381"/>
      <c r="E69" s="382" t="n">
        <f aca="false">E6+E10+E14+E18+E23+E30+E35+E41+E49+E58</f>
        <v>111422309.4</v>
      </c>
      <c r="F69" s="383" t="n">
        <f aca="false">F6+F10+F14+F18+F23+F30+F35+F41+F49+F58+F61</f>
        <v>17942725.64</v>
      </c>
      <c r="G69" s="384" t="n">
        <f aca="false">F69/E69</f>
        <v>0.161033510583474</v>
      </c>
      <c r="I69" s="379" t="s">
        <v>1658</v>
      </c>
      <c r="J69" s="379"/>
      <c r="K69" s="385" t="n">
        <f aca="false">K6+K10+K14+K18+K23+K30+K35+K41+K49</f>
        <v>0</v>
      </c>
      <c r="L69" s="386" t="n">
        <f aca="false">L6+L10+L14+L18+L23+L30+L35+L41+L49</f>
        <v>0</v>
      </c>
      <c r="M69" s="176" t="n">
        <v>0</v>
      </c>
      <c r="N69" s="332"/>
      <c r="O69" s="379" t="s">
        <v>1658</v>
      </c>
      <c r="P69" s="387" t="n">
        <f aca="false">S69/S66</f>
        <v>0.255742298524908</v>
      </c>
      <c r="Q69" s="388" t="n">
        <f aca="false">R69/R66</f>
        <v>0.50186101169744</v>
      </c>
      <c r="R69" s="382" t="n">
        <f aca="false">R6+R10+R14+R18+R23+R30+R35+R41+R49+R58</f>
        <v>111422309.4</v>
      </c>
      <c r="S69" s="383" t="n">
        <f aca="false">S6+S10+S14+S18+S23+S30+S35+S41+S49+S61+S58</f>
        <v>17942725.64</v>
      </c>
      <c r="T69" s="384" t="n">
        <f aca="false">S69/R69</f>
        <v>0.161033510583474</v>
      </c>
    </row>
    <row r="70" customFormat="false" ht="14.25" hidden="false" customHeight="false" outlineLevel="0" collapsed="false">
      <c r="A70" s="379" t="s">
        <v>1659</v>
      </c>
      <c r="B70" s="380" t="n">
        <f aca="false">F70/F66</f>
        <v>0.477992255035155</v>
      </c>
      <c r="C70" s="381" t="n">
        <f aca="false">E70/E66</f>
        <v>0.249113817032549</v>
      </c>
      <c r="D70" s="381"/>
      <c r="E70" s="382" t="n">
        <f aca="false">E7+E11+E15+E19+E24+E27+E31+E36+E42+E45+E50+E53+E56+E59+E62+E65</f>
        <v>55307816.6071</v>
      </c>
      <c r="F70" s="383" t="n">
        <f aca="false">F7+F11+F15+F19+F24+F27+F31+F36+F42+F45+F50+F53+F56+F59+F62+F65</f>
        <v>33535648.7355</v>
      </c>
      <c r="G70" s="384" t="n">
        <f aca="false">F70/E70</f>
        <v>0.606345554620844</v>
      </c>
      <c r="I70" s="379" t="s">
        <v>1659</v>
      </c>
      <c r="J70" s="379"/>
      <c r="K70" s="385" t="n">
        <f aca="false">SUM(K7+K11+K15+K19+K24+K27+K31+K36+K42+K50+K53+K56+K62)</f>
        <v>0</v>
      </c>
      <c r="L70" s="386" t="n">
        <f aca="false">SUM(L7+L11+L15+L19+L24+L27+L31+L36+L42+L50+L53+L56+L62)</f>
        <v>0</v>
      </c>
      <c r="M70" s="176" t="n">
        <v>0</v>
      </c>
      <c r="N70" s="332"/>
      <c r="O70" s="379" t="s">
        <v>1659</v>
      </c>
      <c r="P70" s="387" t="n">
        <f aca="false">S70/S66</f>
        <v>0.475395674877971</v>
      </c>
      <c r="Q70" s="388" t="n">
        <f aca="false">R70/R66</f>
        <v>0.248957658706903</v>
      </c>
      <c r="R70" s="382" t="n">
        <f aca="false">R7+R11+R15+R19+R24+R27+R31+R36+R42+R45+R50+R53+R56+R59+R62</f>
        <v>55273146.6071</v>
      </c>
      <c r="S70" s="383" t="n">
        <f aca="false">S7+S11+S15+S19+S24+S27+S31+S36+S42++S45+S50+S53+S56+S59+S62</f>
        <v>33353474.2355</v>
      </c>
      <c r="T70" s="384" t="n">
        <f aca="false">S70/R70</f>
        <v>0.603429988753628</v>
      </c>
    </row>
    <row r="71" customFormat="false" ht="14.25" hidden="false" customHeight="false" outlineLevel="0" collapsed="false">
      <c r="A71" s="379" t="s">
        <v>1660</v>
      </c>
      <c r="B71" s="380" t="n">
        <f aca="false">F71/F66</f>
        <v>0.204150070158779</v>
      </c>
      <c r="C71" s="381" t="n">
        <f aca="false">E71/E66</f>
        <v>0.19745341807447</v>
      </c>
      <c r="D71" s="381"/>
      <c r="E71" s="382" t="n">
        <f aca="false">SUM(E8+E12+E16+E20+E25+E28+E32+E37+E43+E51+E54+E57+E63)+E46+E21+E60</f>
        <v>43838264.635</v>
      </c>
      <c r="F71" s="383" t="n">
        <f aca="false">F8+F12+F16+F20+F25+F32+F37+F51+F54+F57+F63+F28+F43+F46+F21+F60</f>
        <v>14323045.97</v>
      </c>
      <c r="G71" s="384" t="n">
        <f aca="false">F71/E71</f>
        <v>0.326724748099737</v>
      </c>
      <c r="I71" s="379" t="s">
        <v>1660</v>
      </c>
      <c r="J71" s="379"/>
      <c r="K71" s="385" t="n">
        <f aca="false">SUM(K8+K12+K16+K20+K25+K28+K32+K37+K43+K51+K54+K57+K63)</f>
        <v>0</v>
      </c>
      <c r="L71" s="386" t="n">
        <f aca="false">SUM(L8+L12+L16+L20+L25+L28+L32+L37+L43+L51+L54+L57+L63)</f>
        <v>0</v>
      </c>
      <c r="M71" s="176" t="n">
        <v>0</v>
      </c>
      <c r="N71" s="332"/>
      <c r="O71" s="379" t="s">
        <v>1660</v>
      </c>
      <c r="P71" s="387" t="n">
        <f aca="false">S71/S66</f>
        <v>0.204150070158779</v>
      </c>
      <c r="Q71" s="388" t="n">
        <f aca="false">R71/R66</f>
        <v>0.19745341807447</v>
      </c>
      <c r="R71" s="382" t="n">
        <f aca="false">R8+R12+R16+R20+R25+R28+R32+R37+R43+R51+R54+R57+R63+R21+R46+R60</f>
        <v>43838264.635</v>
      </c>
      <c r="S71" s="383" t="n">
        <f aca="false">SUM(S8+S12+S16+S20+S25+S28+S32+S37+S43+S51+S54+S57+S63+S21)+S46+S60</f>
        <v>14323045.97</v>
      </c>
      <c r="T71" s="384" t="n">
        <f aca="false">S71/R71</f>
        <v>0.326724748099737</v>
      </c>
    </row>
    <row r="72" customFormat="false" ht="14.25" hidden="false" customHeight="false" outlineLevel="0" collapsed="false">
      <c r="A72" s="379"/>
      <c r="B72" s="379"/>
      <c r="C72" s="98"/>
      <c r="D72" s="98"/>
      <c r="E72" s="390"/>
      <c r="F72" s="391"/>
      <c r="G72" s="392"/>
      <c r="I72" s="393"/>
      <c r="J72" s="394"/>
      <c r="K72" s="393"/>
      <c r="L72" s="246"/>
      <c r="M72" s="392"/>
      <c r="N72" s="392"/>
      <c r="Q72" s="98"/>
      <c r="R72" s="98"/>
    </row>
    <row r="73" customFormat="false" ht="15" hidden="false" customHeight="false" outlineLevel="0" collapsed="false">
      <c r="A73" s="379"/>
      <c r="B73" s="379"/>
      <c r="C73" s="98"/>
      <c r="D73" s="98"/>
      <c r="E73" s="390"/>
      <c r="F73" s="391"/>
      <c r="G73" s="392"/>
      <c r="I73" s="320" t="s">
        <v>1661</v>
      </c>
      <c r="J73" s="320"/>
      <c r="K73" s="320"/>
      <c r="L73" s="320"/>
      <c r="M73" s="319" t="n">
        <f aca="false">L132/S66</f>
        <v>0.0213799218410481</v>
      </c>
      <c r="N73" s="321"/>
      <c r="O73" s="395"/>
      <c r="P73" s="320" t="s">
        <v>1662</v>
      </c>
      <c r="Q73" s="320"/>
      <c r="R73" s="320"/>
      <c r="S73" s="320"/>
      <c r="T73" s="319" t="n">
        <f aca="false">S132/S66</f>
        <v>0.978620078158952</v>
      </c>
    </row>
    <row r="74" customFormat="false" ht="14.25" hidden="false" customHeight="false" outlineLevel="0" collapsed="false">
      <c r="A74" s="396" t="s">
        <v>1663</v>
      </c>
      <c r="B74" s="396"/>
      <c r="C74" s="396"/>
      <c r="D74" s="396"/>
      <c r="E74" s="396"/>
      <c r="F74" s="397" t="s">
        <v>1664</v>
      </c>
      <c r="G74" s="397"/>
      <c r="I74" s="322" t="s">
        <v>1</v>
      </c>
      <c r="J74" s="322"/>
      <c r="K74" s="6" t="s">
        <v>1647</v>
      </c>
      <c r="L74" s="6" t="s">
        <v>1648</v>
      </c>
      <c r="M74" s="6" t="s">
        <v>32</v>
      </c>
      <c r="N74" s="6"/>
      <c r="P74" s="322" t="s">
        <v>1</v>
      </c>
      <c r="Q74" s="322"/>
      <c r="R74" s="6" t="s">
        <v>1647</v>
      </c>
      <c r="S74" s="6" t="s">
        <v>1648</v>
      </c>
      <c r="T74" s="6" t="s">
        <v>32</v>
      </c>
    </row>
    <row r="75" customFormat="false" ht="14.25" hidden="false" customHeight="false" outlineLevel="0" collapsed="false">
      <c r="A75" s="398"/>
      <c r="B75" s="399"/>
      <c r="C75" s="400" t="s">
        <v>1665</v>
      </c>
      <c r="D75" s="400"/>
      <c r="E75" s="401" t="s">
        <v>1666</v>
      </c>
      <c r="F75" s="402" t="s">
        <v>1667</v>
      </c>
      <c r="G75" s="402"/>
      <c r="I75" s="324" t="str">
        <f aca="false">'COM.'!A4</f>
        <v>Marandú</v>
      </c>
      <c r="J75" s="326" t="s">
        <v>1649</v>
      </c>
      <c r="K75" s="364" t="n">
        <f aca="false">SUMIFS(K142:K2063,T142:T2063,"Revenda",G142:G2063,"Marandú",J142:J2063,"Comum",I142:I2063,"60")</f>
        <v>147000</v>
      </c>
      <c r="L75" s="403" t="n">
        <f aca="false">SUMIFS(L142:L2063,T142:T2063,"Revenda",G142:G2063,"Marandú",J142:J2063,"Comum",I142:I2063,"60")</f>
        <v>36750</v>
      </c>
      <c r="M75" s="331" t="n">
        <f aca="false">L75/K75</f>
        <v>0.25</v>
      </c>
      <c r="N75" s="332"/>
      <c r="P75" s="324" t="str">
        <f aca="false">'COM.'!A4</f>
        <v>Marandú</v>
      </c>
      <c r="Q75" s="326" t="s">
        <v>1649</v>
      </c>
      <c r="R75" s="404" t="n">
        <f aca="false">SUMIFS(K142:K2063,T142:T2063,"Venda",G142:G2063,"Marandú",J142:J2063,"Comum",I142:I2063,"60")</f>
        <v>3625500</v>
      </c>
      <c r="S75" s="405" t="n">
        <f aca="false">SUMIFS(L142:L2063,T142:T2063,"Venda",G142:G2063,"Marandú",J142:J2063,"Comum",I142:I2063,"60")</f>
        <v>965481</v>
      </c>
      <c r="T75" s="331" t="n">
        <f aca="false">S75/R75</f>
        <v>0.266302854778651</v>
      </c>
    </row>
    <row r="76" customFormat="false" ht="14.25" hidden="false" customHeight="false" outlineLevel="0" collapsed="false">
      <c r="A76" s="406" t="s">
        <v>18</v>
      </c>
      <c r="B76" s="379"/>
      <c r="C76" s="407" t="n">
        <v>34.62</v>
      </c>
      <c r="D76" s="407"/>
      <c r="E76" s="408" t="n">
        <v>25.71</v>
      </c>
      <c r="F76" s="409" t="s">
        <v>1666</v>
      </c>
      <c r="G76" s="409"/>
      <c r="I76" s="324"/>
      <c r="J76" s="335" t="s">
        <v>1650</v>
      </c>
      <c r="K76" s="390" t="n">
        <f aca="false">SUMIFS(K142:K2063,T142:T2063,"Revenda",G142:G2063,"Marandú",J142:J2063,"Comum",I142:I2063,"90")</f>
        <v>0</v>
      </c>
      <c r="L76" s="410" t="n">
        <f aca="false">SUMIFS(L142:L2063,T142:T2063,"Revenda",G142:G2063,"Marandú",J142:J2063,"Comum",I142:I2063,"90")</f>
        <v>0</v>
      </c>
      <c r="M76" s="339" t="e">
        <f aca="false">L76/K76</f>
        <v>#DIV/0!</v>
      </c>
      <c r="N76" s="332"/>
      <c r="P76" s="324"/>
      <c r="Q76" s="335" t="s">
        <v>1650</v>
      </c>
      <c r="R76" s="45" t="n">
        <f aca="false">SUMIFS(K142:K2063,T142:T2063,"Venda",G142:G2063,"Marandú",J142:J2063,"Comum",I142:I2063,"90")</f>
        <v>3648439.8</v>
      </c>
      <c r="S76" s="411" t="n">
        <f aca="false">SUMIFS(L142:L2063,T142:T2063,"Venda",G142:G2063,"Marandú",J142:J2063,"Comum",I142:I2063,"90")</f>
        <v>1044094</v>
      </c>
      <c r="T76" s="339" t="n">
        <f aca="false">S76/R76</f>
        <v>0.286175476980599</v>
      </c>
    </row>
    <row r="77" customFormat="false" ht="14.25" hidden="false" customHeight="false" outlineLevel="0" collapsed="false">
      <c r="A77" s="406" t="s">
        <v>52</v>
      </c>
      <c r="B77" s="379"/>
      <c r="C77" s="407" t="n">
        <v>37.5</v>
      </c>
      <c r="D77" s="407"/>
      <c r="E77" s="408" t="n">
        <v>25.71</v>
      </c>
      <c r="F77" s="412" t="s">
        <v>1665</v>
      </c>
      <c r="G77" s="412"/>
      <c r="I77" s="324"/>
      <c r="J77" s="335" t="s">
        <v>1651</v>
      </c>
      <c r="K77" s="390" t="n">
        <f aca="false">SUMIFS(K142:K2063,T142:T2063,"Revenda",G142:G2063,"Marandú",J142:J2063,"gOLDEN")</f>
        <v>337829.4</v>
      </c>
      <c r="L77" s="410" t="n">
        <f aca="false">SUMIFS(L142:L2063,T142:T2063,"Revenda",G142:G2063,"Marandú",J142:J2063,"Golden")</f>
        <v>150055.94</v>
      </c>
      <c r="M77" s="339" t="n">
        <f aca="false">L77/K77</f>
        <v>0.444176676156664</v>
      </c>
      <c r="N77" s="332"/>
      <c r="P77" s="324"/>
      <c r="Q77" s="335" t="s">
        <v>1651</v>
      </c>
      <c r="R77" s="45" t="n">
        <f aca="false">SUMIFS(K142:K2063,T142:T2063,"Venda",G142:G2063,"Marandú",J142:J2063,"Golden")</f>
        <v>13788208.9821</v>
      </c>
      <c r="S77" s="411" t="n">
        <f aca="false">SUMIFS(L142:L2063,T142:T2063,"Venda",G142:G2063,"Marandú",J142:J2063,"Golden")</f>
        <v>6657185.2</v>
      </c>
      <c r="T77" s="339" t="n">
        <f aca="false">S77/R77</f>
        <v>0.482817254122158</v>
      </c>
    </row>
    <row r="78" customFormat="false" ht="14.25" hidden="false" customHeight="false" outlineLevel="0" collapsed="false">
      <c r="A78" s="406" t="s">
        <v>1668</v>
      </c>
      <c r="B78" s="379"/>
      <c r="C78" s="407" t="n">
        <v>45</v>
      </c>
      <c r="D78" s="407"/>
      <c r="E78" s="408" t="n">
        <v>30</v>
      </c>
      <c r="F78" s="10"/>
      <c r="G78" s="10"/>
      <c r="I78" s="324"/>
      <c r="J78" s="342" t="s">
        <v>1652</v>
      </c>
      <c r="K78" s="350" t="n">
        <f aca="false">SUMIFS(K142:K2063,T142:T2063,"Revenda",G142:G2063,"Marandú",J142:J2063,"Podium")</f>
        <v>0</v>
      </c>
      <c r="L78" s="413" t="n">
        <f aca="false">SUMIFS(L142:L2063,T142:T2063,"Revenda",G142:G2063,"Marandú",J142:J2063,"Podium")</f>
        <v>0</v>
      </c>
      <c r="M78" s="346" t="e">
        <f aca="false">L78/K78</f>
        <v>#DIV/0!</v>
      </c>
      <c r="N78" s="332"/>
      <c r="P78" s="324"/>
      <c r="Q78" s="342" t="s">
        <v>1652</v>
      </c>
      <c r="R78" s="414" t="n">
        <f aca="false">SUMIFS(K142:K2063,T142:T2063,"Venda",G142:G2063,"Marandú",J142:J2063,"Podium")</f>
        <v>1856812.5</v>
      </c>
      <c r="S78" s="415" t="n">
        <f aca="false">SUMIFS(L142:L2063,T142:T2063,"Venda",G142:G2063,"Marandú",J142:J2063,"Podium")</f>
        <v>826660.97</v>
      </c>
      <c r="T78" s="346" t="n">
        <f aca="false">S78/R78</f>
        <v>0.445204332693797</v>
      </c>
    </row>
    <row r="79" customFormat="false" ht="14.25" hidden="false" customHeight="false" outlineLevel="0" collapsed="false">
      <c r="A79" s="406" t="s">
        <v>1669</v>
      </c>
      <c r="B79" s="379"/>
      <c r="C79" s="407" t="n">
        <v>37.5</v>
      </c>
      <c r="D79" s="407"/>
      <c r="E79" s="408" t="n">
        <v>25.71</v>
      </c>
      <c r="F79" s="416"/>
      <c r="G79" s="416"/>
      <c r="I79" s="324" t="str">
        <f aca="false">'COM.'!A5</f>
        <v>Piatã</v>
      </c>
      <c r="J79" s="326" t="s">
        <v>1649</v>
      </c>
      <c r="K79" s="364" t="n">
        <f aca="false">SUMIFS(K142:K2063,T142:T2063,"Revenda",G142:G2063,"Piatã",J142:J2063,"Comum",I142:I2063,"60")</f>
        <v>0</v>
      </c>
      <c r="L79" s="403" t="n">
        <f aca="false">SUMIFS(L142:L2063,T142:T2063,"Revenda",G142:G2063,"Piatã",J142:J2063,"Comum",I142:I2063,"60")</f>
        <v>0</v>
      </c>
      <c r="M79" s="331" t="e">
        <f aca="false">L79/K79</f>
        <v>#DIV/0!</v>
      </c>
      <c r="N79" s="332"/>
      <c r="P79" s="324" t="str">
        <f aca="false">'COM.'!A5</f>
        <v>Piatã</v>
      </c>
      <c r="Q79" s="326" t="s">
        <v>1649</v>
      </c>
      <c r="R79" s="404" t="n">
        <f aca="false">SUMIFS(K142:K2063,T142:T2063,"Venda",G142:G2063,"Piatã",J142:J2063,"Comum",I142:I2063,"60")</f>
        <v>522000</v>
      </c>
      <c r="S79" s="405" t="n">
        <f aca="false">SUMIFS(L142:L2063,T142:T2063,"Venda",G142:G2063,"Piatã",J142:J2063,"Comum",I142:I2063,"60")</f>
        <v>165797.25</v>
      </c>
      <c r="T79" s="331" t="n">
        <f aca="false">S79/R79</f>
        <v>0.317619252873563</v>
      </c>
    </row>
    <row r="80" customFormat="false" ht="14.25" hidden="false" customHeight="false" outlineLevel="0" collapsed="false">
      <c r="A80" s="406" t="s">
        <v>11</v>
      </c>
      <c r="B80" s="379"/>
      <c r="C80" s="407" t="n">
        <v>20</v>
      </c>
      <c r="D80" s="407"/>
      <c r="E80" s="408" t="n">
        <v>14</v>
      </c>
      <c r="F80" s="9"/>
      <c r="G80" s="9"/>
      <c r="I80" s="324"/>
      <c r="J80" s="335" t="s">
        <v>1650</v>
      </c>
      <c r="K80" s="390" t="n">
        <f aca="false">SUMIFS(K142:K2063,T142:T2063,"Revenda",G142:G2063,"Piatã",J142:J2063,"Comum",I142:I2063,"90")</f>
        <v>0</v>
      </c>
      <c r="L80" s="410" t="n">
        <f aca="false">SUMIFS(L142:L2063,T142:T2063,"Revenda",G142:G2063,"Piatã",J142:J2063,"Comum",I142:I2063,"90")</f>
        <v>0</v>
      </c>
      <c r="M80" s="339" t="e">
        <f aca="false">L80/K80</f>
        <v>#DIV/0!</v>
      </c>
      <c r="N80" s="332"/>
      <c r="P80" s="324"/>
      <c r="Q80" s="335" t="s">
        <v>1650</v>
      </c>
      <c r="R80" s="45" t="n">
        <f aca="false">SUMIFS(K142:K2063,T142:T2063,"Venda",G142:G2063,"Piatã",J142:J2063,"Comum",I142:I2063,"90")</f>
        <v>3292200</v>
      </c>
      <c r="S80" s="411" t="n">
        <f aca="false">SUMIFS(L142:L2063,T142:T2063,"Venda",G142:G2063,"Piatã",J142:J2063,"Comum",I142:I2063,"90")</f>
        <v>875046</v>
      </c>
      <c r="T80" s="339" t="n">
        <f aca="false">S80/R80</f>
        <v>0.265793694186258</v>
      </c>
    </row>
    <row r="81" customFormat="false" ht="14.25" hidden="false" customHeight="false" outlineLevel="0" collapsed="false">
      <c r="A81" s="406" t="s">
        <v>12</v>
      </c>
      <c r="B81" s="379"/>
      <c r="C81" s="407" t="n">
        <v>25.71</v>
      </c>
      <c r="D81" s="407"/>
      <c r="E81" s="408" t="n">
        <v>18</v>
      </c>
      <c r="F81" s="9"/>
      <c r="G81" s="9"/>
      <c r="I81" s="324"/>
      <c r="J81" s="335" t="s">
        <v>1651</v>
      </c>
      <c r="K81" s="390" t="n">
        <f aca="false">SUMIFS(K142:K2063,T142:T2063,"Revenda",G142:G2063,"Piatã",J142:J2063,"Golden")</f>
        <v>0</v>
      </c>
      <c r="L81" s="410" t="n">
        <f aca="false">SUMIFS(L142:L2063,T142:T2063,"Revenda",G142:G2063,"Piatã",J142:J2063,"Golden")</f>
        <v>0</v>
      </c>
      <c r="M81" s="339" t="e">
        <f aca="false">L81/K81</f>
        <v>#DIV/0!</v>
      </c>
      <c r="N81" s="332"/>
      <c r="P81" s="324"/>
      <c r="Q81" s="335" t="s">
        <v>1651</v>
      </c>
      <c r="R81" s="45" t="n">
        <f aca="false">SUMIFS(K142:K2063,T142:T2063,"Venda",G142:G2063,"Piatã",J142:J2063,"Golden")</f>
        <v>3707880</v>
      </c>
      <c r="S81" s="411" t="n">
        <f aca="false">SUMIFS(L142:L2063,T142:T2063,"Venda",G142:G2063,"Piatã",J142:J2063,"Golden")</f>
        <v>1646100.56</v>
      </c>
      <c r="T81" s="339" t="n">
        <f aca="false">S81/R81</f>
        <v>0.443946557062257</v>
      </c>
    </row>
    <row r="82" customFormat="false" ht="14.25" hidden="false" customHeight="false" outlineLevel="0" collapsed="false">
      <c r="A82" s="406" t="s">
        <v>1670</v>
      </c>
      <c r="B82" s="379"/>
      <c r="C82" s="407" t="n">
        <v>36</v>
      </c>
      <c r="D82" s="407"/>
      <c r="E82" s="408" t="n">
        <v>25.71</v>
      </c>
      <c r="F82" s="9"/>
      <c r="G82" s="9"/>
      <c r="I82" s="324"/>
      <c r="J82" s="342" t="s">
        <v>1652</v>
      </c>
      <c r="K82" s="350" t="n">
        <f aca="false">SUMIFS(K142:K2063,T142:T2063,"Revenda",G142:G2063,"Piatã",J142:J2063,"Podium")</f>
        <v>0</v>
      </c>
      <c r="L82" s="413" t="n">
        <f aca="false">SUMIFS(L142:L2063,T142:T2063,"Revenda",G142:G2063,"Piatã",J142:J2063,"Podium")</f>
        <v>0</v>
      </c>
      <c r="M82" s="346" t="e">
        <f aca="false">L82/K82</f>
        <v>#DIV/0!</v>
      </c>
      <c r="N82" s="332"/>
      <c r="P82" s="324"/>
      <c r="Q82" s="342" t="s">
        <v>1652</v>
      </c>
      <c r="R82" s="414" t="n">
        <f aca="false">SUMIFS(K142:K2063,T142:T2063,"Venda",G142:G2063,"Piatã",J142:J2063,"Podium")</f>
        <v>13033125</v>
      </c>
      <c r="S82" s="415" t="n">
        <f aca="false">SUMIFS(L142:L2063,T142:T2063,"Venda",G142:G2063,"Piatã",J142:J2063,"Podium")</f>
        <v>4096347.68</v>
      </c>
      <c r="T82" s="346" t="n">
        <f aca="false">S82/R82</f>
        <v>0.314302799980818</v>
      </c>
    </row>
    <row r="83" customFormat="false" ht="14.25" hidden="false" customHeight="false" outlineLevel="0" collapsed="false">
      <c r="A83" s="406" t="s">
        <v>20</v>
      </c>
      <c r="B83" s="379"/>
      <c r="C83" s="407" t="n">
        <v>38.29</v>
      </c>
      <c r="D83" s="407"/>
      <c r="E83" s="408" t="n">
        <v>25.71</v>
      </c>
      <c r="F83" s="416"/>
      <c r="G83" s="416"/>
      <c r="I83" s="324" t="str">
        <f aca="false">'COM.'!A6</f>
        <v>Decumbens</v>
      </c>
      <c r="J83" s="326" t="s">
        <v>1649</v>
      </c>
      <c r="K83" s="364" t="n">
        <f aca="false">SUMIFS(K142:K2063,T142:T2063,"Revenda",G142:G2063,"Decumbens",J142:J2063,"Comum",I142:I2063,"60")</f>
        <v>0</v>
      </c>
      <c r="L83" s="403" t="n">
        <f aca="false">SUMIFS(L142:L2063,T142:T2063,"Revenda",G142:G2063,"Decumbens",J142:J2063,"Comum",I142:I2063,"60")</f>
        <v>0</v>
      </c>
      <c r="M83" s="331" t="e">
        <f aca="false">L83/K83</f>
        <v>#DIV/0!</v>
      </c>
      <c r="N83" s="332"/>
      <c r="P83" s="324" t="str">
        <f aca="false">'COM.'!A6</f>
        <v>Decumbens</v>
      </c>
      <c r="Q83" s="326" t="s">
        <v>1649</v>
      </c>
      <c r="R83" s="404" t="n">
        <f aca="false">SUMIFS(K142:K2063,T142:T2063,"Venda",G142:G2063,"Decumbens",J142:J2063,"Comum",I142:I2063,"60")</f>
        <v>360000</v>
      </c>
      <c r="S83" s="405" t="n">
        <f aca="false">SUMIFS(L142:L2063,T142:T2063,"Venda",G142:G2063,"Decumbens",J142:J2063,"Comum",I142:I2063,"60")</f>
        <v>108000</v>
      </c>
      <c r="T83" s="331" t="n">
        <f aca="false">S83/R83</f>
        <v>0.3</v>
      </c>
    </row>
    <row r="84" customFormat="false" ht="14.25" hidden="false" customHeight="false" outlineLevel="0" collapsed="false">
      <c r="A84" s="406" t="s">
        <v>10</v>
      </c>
      <c r="B84" s="379"/>
      <c r="C84" s="407" t="n">
        <v>38.3</v>
      </c>
      <c r="D84" s="407"/>
      <c r="E84" s="408" t="n">
        <v>25.71</v>
      </c>
      <c r="F84" s="9"/>
      <c r="G84" s="9"/>
      <c r="I84" s="324"/>
      <c r="J84" s="335" t="s">
        <v>1650</v>
      </c>
      <c r="K84" s="390" t="n">
        <f aca="false">SUMIFS(K142:K2063,T142:T2063,"Revenda",G142:G2063,"Decumbens",J142:J2063,"Comum",I142:I2063,"90")</f>
        <v>0</v>
      </c>
      <c r="L84" s="410" t="n">
        <f aca="false">SUMIFS(L142:L2063,T142:T2063,"Revenda",G142:G2063,"Decumbens",J142:J2063,"Comum",I142:I2063,"90")</f>
        <v>0</v>
      </c>
      <c r="M84" s="339" t="e">
        <f aca="false">L84/K84</f>
        <v>#DIV/0!</v>
      </c>
      <c r="N84" s="332"/>
      <c r="P84" s="324"/>
      <c r="Q84" s="335" t="s">
        <v>1650</v>
      </c>
      <c r="R84" s="45" t="n">
        <f aca="false">SUMIFS(K142:K2063,T142:T2063,"Venda",G142:G2063,"Decumbens",J142:J2063,"Comum",I142:I2063,"90")</f>
        <v>76500</v>
      </c>
      <c r="S84" s="411" t="n">
        <f aca="false">SUMIFS(L142:L2063,T142:T2063,"Venda",G142:G2063,"Decumbens",J142:J2063,"Comum",I142:I2063,"90")</f>
        <v>19402</v>
      </c>
      <c r="T84" s="339" t="n">
        <f aca="false">S84/R84</f>
        <v>0.25362091503268</v>
      </c>
    </row>
    <row r="85" customFormat="false" ht="14.25" hidden="false" customHeight="false" outlineLevel="0" collapsed="false">
      <c r="A85" s="406" t="s">
        <v>1671</v>
      </c>
      <c r="B85" s="379"/>
      <c r="C85" s="407" t="n">
        <v>37.5</v>
      </c>
      <c r="D85" s="407"/>
      <c r="E85" s="408" t="n">
        <v>22.5</v>
      </c>
      <c r="F85" s="9"/>
      <c r="G85" s="9"/>
      <c r="I85" s="324"/>
      <c r="J85" s="335" t="s">
        <v>1651</v>
      </c>
      <c r="K85" s="390" t="n">
        <f aca="false">SUMIFS(K142:K2063,T142:T2063,"Revenda",G142:G2063,"Decumbens",J142:J2063,"Golden")</f>
        <v>655605</v>
      </c>
      <c r="L85" s="410" t="n">
        <f aca="false">SUMIFS(L142:L2063,T142:T2063,"Revenda",G142:G2063,"Decumbens",J142:J2063,"Golden")</f>
        <v>343507.5</v>
      </c>
      <c r="M85" s="339" t="n">
        <f aca="false">L85/K85</f>
        <v>0.523954972887638</v>
      </c>
      <c r="N85" s="332"/>
      <c r="P85" s="324"/>
      <c r="Q85" s="335" t="s">
        <v>1651</v>
      </c>
      <c r="R85" s="45" t="n">
        <f aca="false">SUMIFS(K142:K2063,T142:T2063,"Venda",G142:G2063,"Decumbens",J142:J2063,"Golden")</f>
        <v>3027352.5</v>
      </c>
      <c r="S85" s="411" t="n">
        <f aca="false">SUMIFS(L142:L2063,T142:T2063,"Venda",G142:G2063,"Decumbens",J142:J2063,"Golden")</f>
        <v>1484064.4</v>
      </c>
      <c r="T85" s="339" t="n">
        <f aca="false">S85/R85</f>
        <v>0.490218565561824</v>
      </c>
    </row>
    <row r="86" customFormat="false" ht="14.25" hidden="false" customHeight="false" outlineLevel="0" collapsed="false">
      <c r="A86" s="406" t="s">
        <v>16</v>
      </c>
      <c r="B86" s="379"/>
      <c r="C86" s="407" t="n">
        <v>30</v>
      </c>
      <c r="D86" s="407"/>
      <c r="E86" s="408" t="n">
        <v>22.5</v>
      </c>
      <c r="F86" s="9"/>
      <c r="G86" s="9"/>
      <c r="I86" s="324"/>
      <c r="J86" s="342" t="s">
        <v>1652</v>
      </c>
      <c r="K86" s="350" t="n">
        <f aca="false">SUMIFS(K142:K2063,T142:T2063,"Revenda",G142:G2063,"Decumbens",J142:J2063,"Podium")</f>
        <v>0</v>
      </c>
      <c r="L86" s="413" t="n">
        <f aca="false">SUMIFS(L142:L2063,T142:T2063,"Revenda",G142:G2063,"Decumbens",J142:J2063,"Podium")</f>
        <v>0</v>
      </c>
      <c r="M86" s="346" t="e">
        <f aca="false">L86/K86</f>
        <v>#DIV/0!</v>
      </c>
      <c r="N86" s="332"/>
      <c r="P86" s="324"/>
      <c r="Q86" s="342" t="s">
        <v>1652</v>
      </c>
      <c r="R86" s="414" t="n">
        <f aca="false">SUMIFS(K142:K2063,T142:T2063,"Venda",G142:G2063,"Decumbens",J142:J2063,"Podium")</f>
        <v>392598.36</v>
      </c>
      <c r="S86" s="415" t="n">
        <f aca="false">SUMIFS(L142:L2063,T142:T2063,"Venda",G142:G2063,"Decumbens",J142:J2063,"Podium")</f>
        <v>180599.6</v>
      </c>
      <c r="T86" s="346" t="n">
        <f aca="false">S86/R86</f>
        <v>0.46001109123329</v>
      </c>
    </row>
    <row r="87" customFormat="false" ht="14.25" hidden="false" customHeight="false" outlineLevel="0" collapsed="false">
      <c r="A87" s="417" t="s">
        <v>1672</v>
      </c>
      <c r="B87" s="418"/>
      <c r="C87" s="419" t="n">
        <v>1</v>
      </c>
      <c r="D87" s="419"/>
      <c r="E87" s="420" t="n">
        <v>1</v>
      </c>
      <c r="F87" s="416"/>
      <c r="G87" s="416"/>
      <c r="I87" s="324" t="str">
        <f aca="false">'COM.'!A7</f>
        <v>Xaraes</v>
      </c>
      <c r="J87" s="326" t="s">
        <v>1649</v>
      </c>
      <c r="K87" s="364" t="n">
        <f aca="false">SUMIFS(K142:K2063,T142:T2063,"Revenda",G142:G2063,"Xaraes",J142:J2063,"Comum",I142:I2063,"60")</f>
        <v>0</v>
      </c>
      <c r="L87" s="403" t="n">
        <f aca="false">SUMIFS(L142:L2063,T142:T2063,"Revenda",G142:G2063,"Xaraes",J142:J2063,"Comum",I142:I2063,"60")</f>
        <v>0</v>
      </c>
      <c r="M87" s="331" t="e">
        <f aca="false">L87/K87</f>
        <v>#DIV/0!</v>
      </c>
      <c r="N87" s="332"/>
      <c r="P87" s="324" t="str">
        <f aca="false">'COM.'!A7</f>
        <v>Xaraes</v>
      </c>
      <c r="Q87" s="326" t="s">
        <v>1649</v>
      </c>
      <c r="R87" s="404" t="n">
        <f aca="false">SUMIFS(K142:K2063,T142:T2063,"Venda",G142:G2063,"Xaraes",J142:J2063,"Comum",I142:I2063,"60")</f>
        <v>949500</v>
      </c>
      <c r="S87" s="405" t="n">
        <f aca="false">SUMIFS(L142:L2063,T142:T2063,"Venda",G142:G2063,"Xaraes",J142:J2063,"Comum",I142:I2063,"60")</f>
        <v>317880</v>
      </c>
      <c r="T87" s="331" t="n">
        <f aca="false">S87/R87</f>
        <v>0.33478672985782</v>
      </c>
    </row>
    <row r="88" customFormat="false" ht="14.25" hidden="false" customHeight="false" outlineLevel="0" collapsed="false">
      <c r="A88" s="379"/>
      <c r="B88" s="379"/>
      <c r="C88" s="98"/>
      <c r="D88" s="98"/>
      <c r="E88" s="421"/>
      <c r="F88" s="9"/>
      <c r="G88" s="9"/>
      <c r="I88" s="324"/>
      <c r="J88" s="335" t="s">
        <v>1650</v>
      </c>
      <c r="K88" s="390" t="n">
        <f aca="false">SUMIFS(K142:K2063,T142:T2063,"Revenda",G142:G2063,"Xaraes",J142:J2063,"Comum",I142:I2063,"90")</f>
        <v>0</v>
      </c>
      <c r="L88" s="410" t="n">
        <f aca="false">SUMIFS(L142:L2063,T142:T2063,"Revenda",G142:G2063,"Xaraes",J142:J2063,"Comum",I142:I2063,"90")</f>
        <v>0</v>
      </c>
      <c r="M88" s="339" t="e">
        <f aca="false">L88/K88</f>
        <v>#DIV/0!</v>
      </c>
      <c r="N88" s="332"/>
      <c r="P88" s="324"/>
      <c r="Q88" s="335" t="s">
        <v>1650</v>
      </c>
      <c r="R88" s="45" t="n">
        <f aca="false">SUMIFS(K142:K2063,T142:T2063,"Venda",G142:G2063,"Xaraes",J142:J2063,"Comum",I142:I2063,"90")</f>
        <v>623520</v>
      </c>
      <c r="S88" s="411" t="n">
        <f aca="false">SUMIFS(L142:L2063,T142:T2063,"Venda",G142:G2063,"Xaraes",J142:J2063,"Comum",I142:I2063,"90")</f>
        <v>201930.46</v>
      </c>
      <c r="T88" s="339" t="n">
        <f aca="false">S88/R88</f>
        <v>0.323855626122658</v>
      </c>
    </row>
    <row r="89" customFormat="false" ht="14.25" hidden="false" customHeight="false" outlineLevel="0" collapsed="false">
      <c r="A89" s="379"/>
      <c r="B89" s="379"/>
      <c r="C89" s="422" t="s">
        <v>1673</v>
      </c>
      <c r="D89" s="422"/>
      <c r="E89" s="422"/>
      <c r="F89" s="422"/>
      <c r="G89" s="422"/>
      <c r="I89" s="324"/>
      <c r="J89" s="335" t="s">
        <v>1651</v>
      </c>
      <c r="K89" s="390" t="n">
        <f aca="false">SUMIFS(K142:K2063,T142:T2063,"Revenda",G142:G2063,"Xaraes",J142:J2063,"Golden")</f>
        <v>358650</v>
      </c>
      <c r="L89" s="410" t="n">
        <f aca="false">SUMIFS(L142:L2063,T142:T2063,"Revenda",G142:G2063,"Xaraes",J142:J2063,"Golden")</f>
        <v>149400</v>
      </c>
      <c r="M89" s="339" t="n">
        <f aca="false">L89/K89</f>
        <v>0.416562107904642</v>
      </c>
      <c r="N89" s="332"/>
      <c r="P89" s="324"/>
      <c r="Q89" s="335" t="s">
        <v>1651</v>
      </c>
      <c r="R89" s="45" t="n">
        <f aca="false">SUMIFS(K142:K2063,T142:T2063,"Venda",G142:G2063,"Xaraes",J142:J2063,"Golden")</f>
        <v>7789740</v>
      </c>
      <c r="S89" s="411" t="n">
        <f aca="false">SUMIFS(L142:L2063,T142:T2063,"Venda",G142:G2063,"Xaraes",J142:J2063,"golden")</f>
        <v>3708314.18</v>
      </c>
      <c r="T89" s="339" t="n">
        <f aca="false">S89/R89</f>
        <v>0.476051085145332</v>
      </c>
    </row>
    <row r="90" customFormat="false" ht="14.25" hidden="false" customHeight="false" outlineLevel="0" collapsed="false">
      <c r="A90" s="423" t="s">
        <v>1</v>
      </c>
      <c r="B90" s="423"/>
      <c r="C90" s="424" t="s">
        <v>1667</v>
      </c>
      <c r="D90" s="424"/>
      <c r="E90" s="424" t="s">
        <v>1674</v>
      </c>
      <c r="F90" s="424" t="s">
        <v>1666</v>
      </c>
      <c r="G90" s="425" t="s">
        <v>1665</v>
      </c>
      <c r="H90" s="425" t="s">
        <v>1675</v>
      </c>
      <c r="I90" s="324"/>
      <c r="J90" s="342" t="s">
        <v>1652</v>
      </c>
      <c r="K90" s="350" t="n">
        <f aca="false">SUMIFS(K142:K2063,T142:T2063,"Revenda",G142:G2063,"Xaraes",J142:J2063,"Podium")</f>
        <v>0</v>
      </c>
      <c r="L90" s="413" t="n">
        <f aca="false">SUMIFS(L142:L2063,T142:T2063,"Revenda",G142:G2063,"mg-5",J142:J2063,"Podium")</f>
        <v>0</v>
      </c>
      <c r="M90" s="346" t="e">
        <f aca="false">L90/K90</f>
        <v>#DIV/0!</v>
      </c>
      <c r="N90" s="332"/>
      <c r="P90" s="324"/>
      <c r="Q90" s="342" t="s">
        <v>1652</v>
      </c>
      <c r="R90" s="414" t="n">
        <f aca="false">SUMIFS(K142:K2063,T142:T2063,"Venda",G142:G2063,"Xaraes",J142:J2063,"Podium")</f>
        <v>984825</v>
      </c>
      <c r="S90" s="415" t="n">
        <f aca="false">SUMIFS(L142:L2063,T142:T2063,"Venda",G142:G2063,"Xaraes",J142:J2063,"Podium")</f>
        <v>417682.3</v>
      </c>
      <c r="T90" s="346" t="n">
        <f aca="false">S90/R90</f>
        <v>0.424118295128576</v>
      </c>
    </row>
    <row r="91" customFormat="false" ht="14.25" hidden="false" customHeight="false" outlineLevel="0" collapsed="false">
      <c r="A91" s="426" t="s">
        <v>5</v>
      </c>
      <c r="B91" s="426"/>
      <c r="C91" s="427" t="n">
        <f aca="false">S5/S66</f>
        <v>0.0142850570607575</v>
      </c>
      <c r="D91" s="427"/>
      <c r="E91" s="427" t="n">
        <f aca="false">S6/S66</f>
        <v>0.0148817412021725</v>
      </c>
      <c r="F91" s="427" t="n">
        <f aca="false">S7/S66</f>
        <v>0.0970253645229853</v>
      </c>
      <c r="G91" s="427" t="n">
        <f aca="false">S8/S66</f>
        <v>0.0117826121187143</v>
      </c>
      <c r="H91" s="215" t="n">
        <f aca="false">SUM(C91:G91)</f>
        <v>0.13797477490463</v>
      </c>
      <c r="I91" s="324" t="str">
        <f aca="false">'COM.'!A8</f>
        <v>MG-4</v>
      </c>
      <c r="J91" s="351" t="s">
        <v>1653</v>
      </c>
      <c r="K91" s="352" t="n">
        <f aca="false">SUMIFS(K142:K2063,T142:T2063,"Revenda",G142:G2063,"MG-4")</f>
        <v>0</v>
      </c>
      <c r="L91" s="353" t="n">
        <f aca="false">SUMIFS(L142:L2063,T142:T2063,"Revenda",G142:G2063,"MG-4")</f>
        <v>0</v>
      </c>
      <c r="M91" s="354" t="e">
        <f aca="false">L91/K91</f>
        <v>#DIV/0!</v>
      </c>
      <c r="N91" s="332"/>
      <c r="P91" s="324" t="str">
        <f aca="false">'COM.'!A8</f>
        <v>MG-4</v>
      </c>
      <c r="Q91" s="351" t="s">
        <v>1676</v>
      </c>
      <c r="R91" s="428" t="n">
        <f aca="false">SUMIFS(K142:K2063,T142:T2063,"Venda",G142:G2063,"MG-4")</f>
        <v>0</v>
      </c>
      <c r="S91" s="429" t="n">
        <f aca="false">SUMIFS(L142:L2063,T142:T2063,"Venda",G142:G2063,"MG-4")</f>
        <v>0</v>
      </c>
      <c r="T91" s="354" t="e">
        <f aca="false">S91/R91</f>
        <v>#DIV/0!</v>
      </c>
    </row>
    <row r="92" customFormat="false" ht="14.25" hidden="false" customHeight="false" outlineLevel="0" collapsed="false">
      <c r="A92" s="430" t="s">
        <v>6</v>
      </c>
      <c r="B92" s="430"/>
      <c r="C92" s="431" t="n">
        <f aca="false">S9/S66</f>
        <v>0.00236315098691487</v>
      </c>
      <c r="D92" s="431"/>
      <c r="E92" s="427" t="n">
        <f aca="false">S10/S66</f>
        <v>0.0124722564366774</v>
      </c>
      <c r="F92" s="432" t="n">
        <f aca="false">S11/S66</f>
        <v>0.0234622960448688</v>
      </c>
      <c r="G92" s="432" t="n">
        <f aca="false">S12/S66</f>
        <v>0.0583863005130571</v>
      </c>
      <c r="H92" s="215" t="n">
        <f aca="false">SUM(C92:G92)</f>
        <v>0.0966840039815182</v>
      </c>
      <c r="I92" s="366" t="str">
        <f aca="false">'COM.'!A9</f>
        <v>Ruziziensis</v>
      </c>
      <c r="J92" s="335" t="s">
        <v>1649</v>
      </c>
      <c r="K92" s="390" t="n">
        <f aca="false">SUMIFS(K142:K2063,T142:T2063,"Revenda",G142:G2063,"Ruziziensis",J142:J2063,"Comum",I142:I2063,"60")</f>
        <v>0</v>
      </c>
      <c r="L92" s="410" t="n">
        <f aca="false">SUMIFS(L142:L2063,T142:T2063,"Revenda",G142:G2063,"Ruziziensis",J142:J2063,"Comum",I142:I2063,"60")</f>
        <v>0</v>
      </c>
      <c r="M92" s="339" t="e">
        <f aca="false">L92/K92</f>
        <v>#DIV/0!</v>
      </c>
      <c r="N92" s="332"/>
      <c r="P92" s="324" t="str">
        <f aca="false">'COM.'!A9</f>
        <v>Ruziziensis</v>
      </c>
      <c r="Q92" s="326" t="s">
        <v>1649</v>
      </c>
      <c r="R92" s="404" t="n">
        <f aca="false">SUMIFS(K142:K2063,T142:T2063,"Venda",G142:G2063,"Ruziziensis",J142:J2063,"Comum",I142:I2063,"60")</f>
        <v>0</v>
      </c>
      <c r="S92" s="405" t="n">
        <f aca="false">SUMIFS(L142:L2063,T142:T2063,"Venda",G142:G2063,"Ruziziensis",J142:J2063,"Comum",I142:I2063,"60")</f>
        <v>0</v>
      </c>
      <c r="T92" s="331" t="e">
        <f aca="false">S92/R92</f>
        <v>#DIV/0!</v>
      </c>
    </row>
    <row r="93" customFormat="false" ht="14.25" hidden="false" customHeight="false" outlineLevel="0" collapsed="false">
      <c r="A93" s="430" t="s">
        <v>7</v>
      </c>
      <c r="B93" s="430"/>
      <c r="C93" s="431" t="n">
        <f aca="false">S13/S66</f>
        <v>0.00153935186854309</v>
      </c>
      <c r="D93" s="431"/>
      <c r="E93" s="427" t="n">
        <f aca="false">S14/S66</f>
        <v>0.000276541712532158</v>
      </c>
      <c r="F93" s="432" t="n">
        <f aca="false">S15/S66</f>
        <v>0.0260488538811283</v>
      </c>
      <c r="G93" s="432" t="n">
        <f aca="false">S16/S66</f>
        <v>0.00257413270109385</v>
      </c>
      <c r="H93" s="215" t="n">
        <f aca="false">SUM(C93:G93)</f>
        <v>0.0304388801632974</v>
      </c>
      <c r="I93" s="366"/>
      <c r="J93" s="335" t="s">
        <v>1650</v>
      </c>
      <c r="K93" s="390" t="n">
        <f aca="false">SUMIFS(K142:K2063,T142:T2063,"Revenda",G142:G2063,"Ruziziensis",J142:J2063,"Comum",I142:I2063,"90")</f>
        <v>0</v>
      </c>
      <c r="L93" s="410" t="n">
        <f aca="false">SUMIFS(L142:L2063,T142:T2063,"Revenda",G142:G2063,"Ruziziensis",J142:J2063,"Comum",I142:I2063,"90")</f>
        <v>0</v>
      </c>
      <c r="M93" s="339" t="e">
        <f aca="false">L93/K93</f>
        <v>#DIV/0!</v>
      </c>
      <c r="N93" s="332"/>
      <c r="P93" s="324"/>
      <c r="Q93" s="335" t="s">
        <v>1650</v>
      </c>
      <c r="R93" s="45" t="n">
        <f aca="false">SUMIFS(K142:K2063,T142:T2063,"Venda",G142:G2063,"Ruziziensis",J142:J2063,"Comum",I142:I2063,"90")</f>
        <v>100940799.6</v>
      </c>
      <c r="S93" s="411" t="n">
        <f aca="false">SUMIFS(L142:L2063,T142:T2063,"Venda",G142:G2063,"Ruziziensis",J142:J2063,"Comum",I142:I2063,"90")</f>
        <v>15080223.46</v>
      </c>
      <c r="T93" s="339" t="n">
        <f aca="false">S93/R93</f>
        <v>0.149396710941053</v>
      </c>
    </row>
    <row r="94" customFormat="false" ht="14.25" hidden="false" customHeight="false" outlineLevel="0" collapsed="false">
      <c r="A94" s="379" t="s">
        <v>137</v>
      </c>
      <c r="B94" s="379"/>
      <c r="C94" s="431" t="n">
        <f aca="false">S17/S66</f>
        <v>0.00453082566641184</v>
      </c>
      <c r="D94" s="431"/>
      <c r="E94" s="427" t="n">
        <f aca="false">S18/S66</f>
        <v>0.00287816695293302</v>
      </c>
      <c r="F94" s="432" t="n">
        <f aca="false">S19/S66</f>
        <v>0.0549849956600758</v>
      </c>
      <c r="G94" s="432" t="n">
        <f aca="false">S20/S66</f>
        <v>0.00595333360150349</v>
      </c>
      <c r="H94" s="215" t="n">
        <f aca="false">SUM(C94:G94)</f>
        <v>0.0683473218809242</v>
      </c>
      <c r="I94" s="366"/>
      <c r="J94" s="335" t="s">
        <v>1651</v>
      </c>
      <c r="K94" s="390" t="n">
        <f aca="false">SUMIFS(K142:K2063,T142:T2063,"Revenda",G142:G2063,"Ruziziensis",J142:J2063,"Golden")</f>
        <v>0</v>
      </c>
      <c r="L94" s="410" t="n">
        <f aca="false">SUMIFS(L142:L2063,T142:T2063,"Revenda",G142:G2063,"Ruziziensis",J142:J2063,"Golden")</f>
        <v>0</v>
      </c>
      <c r="M94" s="339" t="e">
        <f aca="false">L94/K94</f>
        <v>#DIV/0!</v>
      </c>
      <c r="N94" s="332"/>
      <c r="P94" s="324"/>
      <c r="Q94" s="335" t="s">
        <v>1651</v>
      </c>
      <c r="R94" s="45" t="n">
        <f aca="false">SUMIFS(K142:K2063,T142:T2063,"Venda",G142:G2063,"Ruziziensis",J142:J2063,"Golden")</f>
        <v>7398952.35</v>
      </c>
      <c r="S94" s="411" t="n">
        <f aca="false">SUMIFS(L142:L2063,T142:T2063,"Venda",G142:G2063,"Ruziziensis",J142:J2063,"Golden")</f>
        <v>2579057.43</v>
      </c>
      <c r="T94" s="339" t="n">
        <f aca="false">S94/R94</f>
        <v>0.348570622974751</v>
      </c>
    </row>
    <row r="95" customFormat="false" ht="14.25" hidden="false" customHeight="false" outlineLevel="0" collapsed="false">
      <c r="A95" s="379" t="s">
        <v>9</v>
      </c>
      <c r="B95" s="379"/>
      <c r="C95" s="431" t="n">
        <v>0</v>
      </c>
      <c r="D95" s="431"/>
      <c r="E95" s="432" t="n">
        <v>0</v>
      </c>
      <c r="F95" s="432" t="n">
        <v>0</v>
      </c>
      <c r="G95" s="432" t="n">
        <f aca="false">S21/S66</f>
        <v>0</v>
      </c>
      <c r="H95" s="215" t="n">
        <f aca="false">SUM(C95:G95)</f>
        <v>0</v>
      </c>
      <c r="I95" s="366"/>
      <c r="J95" s="342" t="s">
        <v>1652</v>
      </c>
      <c r="K95" s="390" t="n">
        <f aca="false">SUMIFS(K142:K2063,T142:T2063,"Revenda",G142:G2063,"Ruziziensis",J142:J2063,"Podium")</f>
        <v>92494.5</v>
      </c>
      <c r="L95" s="410" t="n">
        <f aca="false">SUMIFS(L142:L2063,T142:T2063,"Revenda",G142:G2063,"Ruziziensis",J142:J2063,"Podium")</f>
        <v>29692.5</v>
      </c>
      <c r="M95" s="339" t="n">
        <f aca="false">L95/K95</f>
        <v>0.321019087621426</v>
      </c>
      <c r="N95" s="332"/>
      <c r="P95" s="324"/>
      <c r="Q95" s="342" t="s">
        <v>1652</v>
      </c>
      <c r="R95" s="414" t="n">
        <f aca="false">SUMIFS(K142:K2063,T142:T2063,"Venda",G142:G2063,"Ruziziensis",J142:J2063,"Podium")</f>
        <v>22428671.5</v>
      </c>
      <c r="S95" s="415" t="n">
        <f aca="false">SUMIFS(L142:L2063,T142:T2063,"Venda",G142:G2063,"Ruziziensis",J142:J2063,"Podium")</f>
        <v>6582618.13</v>
      </c>
      <c r="T95" s="346" t="n">
        <f aca="false">S95/R95</f>
        <v>0.293491218594913</v>
      </c>
    </row>
    <row r="96" customFormat="false" ht="14.25" hidden="false" customHeight="false" outlineLevel="0" collapsed="false">
      <c r="A96" s="379" t="s">
        <v>10</v>
      </c>
      <c r="B96" s="379"/>
      <c r="C96" s="431" t="n">
        <f aca="false">S22/S66</f>
        <v>0</v>
      </c>
      <c r="D96" s="431"/>
      <c r="E96" s="427" t="n">
        <f aca="false">S23/S66</f>
        <v>0.214942316307393</v>
      </c>
      <c r="F96" s="432" t="n">
        <f aca="false">S24/S66</f>
        <v>0.0367599710550968</v>
      </c>
      <c r="G96" s="432" t="n">
        <f aca="false">S25/S66</f>
        <v>0.0942469696636839</v>
      </c>
      <c r="H96" s="215" t="n">
        <f aca="false">SUM(C96:G96)</f>
        <v>0.345949257026173</v>
      </c>
      <c r="I96" s="324" t="str">
        <f aca="false">'COM.'!A10</f>
        <v>Humidicola</v>
      </c>
      <c r="J96" s="326" t="s">
        <v>1653</v>
      </c>
      <c r="K96" s="364" t="n">
        <f aca="false">SUMIFS(K142:K2063,T142:T2063,"Revenda",G142:G2063,"Humidicola",J142:J2063,"Comum")</f>
        <v>0</v>
      </c>
      <c r="L96" s="403" t="n">
        <f aca="false">SUMIFS(L142:L2063,T142:T2063,"Revenda",G142:G2063,"Humidicola",J142:J2063,"Comum")</f>
        <v>0</v>
      </c>
      <c r="M96" s="331" t="e">
        <f aca="false">L96/K96</f>
        <v>#DIV/0!</v>
      </c>
      <c r="N96" s="332"/>
      <c r="P96" s="324" t="str">
        <f aca="false">'COM.'!A10</f>
        <v>Humidicola</v>
      </c>
      <c r="Q96" s="326" t="s">
        <v>1653</v>
      </c>
      <c r="R96" s="404" t="n">
        <f aca="false">SUMIFS(K142:K2063,T142:T2063,"Venda",G142:G2063,"Humidicola",J142:J2063,"Comum")</f>
        <v>0</v>
      </c>
      <c r="S96" s="405" t="n">
        <f aca="false">SUMIFS(L142:L2063,T142:T2063,"Venda",G142:G2063,"Humidicola",J142:J2063,"Comum")</f>
        <v>0</v>
      </c>
      <c r="T96" s="331" t="e">
        <f aca="false">S96/R96</f>
        <v>#DIV/0!</v>
      </c>
    </row>
    <row r="97" customFormat="false" ht="14.25" hidden="false" customHeight="false" outlineLevel="0" collapsed="false">
      <c r="A97" s="379" t="s">
        <v>11</v>
      </c>
      <c r="B97" s="379"/>
      <c r="C97" s="431" t="n">
        <f aca="false">S26/S66</f>
        <v>0</v>
      </c>
      <c r="D97" s="431"/>
      <c r="E97" s="427" t="n">
        <v>0</v>
      </c>
      <c r="F97" s="432" t="n">
        <f aca="false">S27/S66</f>
        <v>0.067614233283244</v>
      </c>
      <c r="G97" s="432" t="n">
        <f aca="false">S28/S66</f>
        <v>0.000944991008188955</v>
      </c>
      <c r="H97" s="215" t="n">
        <f aca="false">SUM(C97:G97)</f>
        <v>0.068559224291433</v>
      </c>
      <c r="I97" s="324"/>
      <c r="J97" s="335" t="s">
        <v>1651</v>
      </c>
      <c r="K97" s="390" t="n">
        <f aca="false">SUMIFS(K142:K2063,T142:T2063,"Revenda",G142:G2063,"Humidicola",J142:J2063,"Golden")</f>
        <v>59640</v>
      </c>
      <c r="L97" s="410" t="n">
        <f aca="false">SUMIFS(L142:L2063,T142:T2063,"Revenda",G142:G2063,"Humidicola",J142:J2063,"Golden")</f>
        <v>213000</v>
      </c>
      <c r="M97" s="339" t="n">
        <f aca="false">L97/K97</f>
        <v>3.57142857142857</v>
      </c>
      <c r="N97" s="332"/>
      <c r="P97" s="324"/>
      <c r="Q97" s="335" t="s">
        <v>1677</v>
      </c>
      <c r="R97" s="45" t="n">
        <f aca="false">SUMIFS(K142:K2063,T142:T2063,"Venda",G142:G2063,"Humidicola",J142:J2063,"Golden")</f>
        <v>1183700</v>
      </c>
      <c r="S97" s="411" t="n">
        <f aca="false">SUMIFS(L142:L2063,T142:T2063,"Venda",G142:G2063,"Humidicola",J142:J2063,"Golden")</f>
        <v>4530773.8855</v>
      </c>
      <c r="T97" s="339" t="n">
        <f aca="false">S97/R97</f>
        <v>3.82763697347301</v>
      </c>
    </row>
    <row r="98" customFormat="false" ht="14.25" hidden="false" customHeight="false" outlineLevel="0" collapsed="false">
      <c r="A98" s="379" t="s">
        <v>12</v>
      </c>
      <c r="B98" s="379"/>
      <c r="C98" s="431" t="n">
        <f aca="false">S29/S66</f>
        <v>0</v>
      </c>
      <c r="D98" s="431"/>
      <c r="E98" s="427" t="n">
        <f aca="false">S30/S66</f>
        <v>0</v>
      </c>
      <c r="F98" s="432" t="n">
        <f aca="false">S31/S66</f>
        <v>0.0319979756448803</v>
      </c>
      <c r="G98" s="432" t="n">
        <f aca="false">S32/S66</f>
        <v>0.00199279789326435</v>
      </c>
      <c r="H98" s="215" t="n">
        <f aca="false">SUM(C98:G98)</f>
        <v>0.0339907735381447</v>
      </c>
      <c r="I98" s="324"/>
      <c r="J98" s="342" t="s">
        <v>1652</v>
      </c>
      <c r="K98" s="350" t="n">
        <f aca="false">SUMIFS(K142:K2063,T142:T2063,"Revenda",G142:G2063,"Humidicola",J142:J2063,"Podium")</f>
        <v>0</v>
      </c>
      <c r="L98" s="413" t="n">
        <f aca="false">SUMIFS(L142:L2063,T142:T2063,"Revenda",G142:G2063,"Humidicola",J142:J2063,"Podium")</f>
        <v>0</v>
      </c>
      <c r="M98" s="346" t="e">
        <f aca="false">L98/K98</f>
        <v>#DIV/0!</v>
      </c>
      <c r="N98" s="332"/>
      <c r="P98" s="324"/>
      <c r="Q98" s="342" t="s">
        <v>1676</v>
      </c>
      <c r="R98" s="414" t="n">
        <f aca="false">SUMIFS(K142:K2063,T142:T2063,"Venda",G142:G2063,"Humidicola",J142:J2063,"Podium")</f>
        <v>20400</v>
      </c>
      <c r="S98" s="415" t="n">
        <f aca="false">SUMIFS(L142:L2063,T142:T2063,"Venda",G142:G2063,"Humidicola",J142:J2063,"Podium")</f>
        <v>66300</v>
      </c>
      <c r="T98" s="346" t="n">
        <f aca="false">S98/R98</f>
        <v>3.25</v>
      </c>
    </row>
    <row r="99" customFormat="false" ht="14.25" hidden="false" customHeight="false" outlineLevel="0" collapsed="false">
      <c r="A99" s="379" t="s">
        <v>13</v>
      </c>
      <c r="B99" s="379"/>
      <c r="C99" s="431" t="n">
        <f aca="false">(S33+S34)/S66</f>
        <v>0.0120933905846613</v>
      </c>
      <c r="D99" s="431"/>
      <c r="E99" s="427" t="n">
        <f aca="false">S35/S66</f>
        <v>0.0047838209966585</v>
      </c>
      <c r="F99" s="432" t="n">
        <f aca="false">S36/S66</f>
        <v>0.0470055759662159</v>
      </c>
      <c r="G99" s="432" t="n">
        <f aca="false">S37/S66</f>
        <v>0.00879750924212521</v>
      </c>
      <c r="H99" s="215" t="n">
        <f aca="false">SUM(C99:G99)</f>
        <v>0.0726802967896609</v>
      </c>
      <c r="I99" s="324" t="str">
        <f aca="false">'COM.'!A11</f>
        <v>Llanero</v>
      </c>
      <c r="J99" s="326" t="s">
        <v>1649</v>
      </c>
      <c r="K99" s="364" t="n">
        <f aca="false">SUMIFS(K142:K2063,T142:T2063,"Revenda",G142:G2063,"Llanero",J142:J2063,"Comum",I142:I2063,"60")</f>
        <v>0</v>
      </c>
      <c r="L99" s="403" t="n">
        <f aca="false">SUMIFS(L142:L2063,T142:T2063,"Revenda",G142:G2063,"Llanero",J142:J2063,"Comum",I142:I2063,"60")</f>
        <v>0</v>
      </c>
      <c r="M99" s="331" t="e">
        <f aca="false">L99/K99</f>
        <v>#DIV/0!</v>
      </c>
      <c r="N99" s="332"/>
      <c r="P99" s="324" t="str">
        <f aca="false">'COM.'!A11</f>
        <v>Llanero</v>
      </c>
      <c r="Q99" s="326" t="s">
        <v>1649</v>
      </c>
      <c r="R99" s="404" t="n">
        <f aca="false">SUMIFS(K142:K2063,T142:T2063,"Venda",G142:G2063,"Llanero",J142:J2063,"Comum",I142:I2063,"60")</f>
        <v>0</v>
      </c>
      <c r="S99" s="405" t="n">
        <f aca="false">SUMIFS(L142:L2063,T142:T2063,"Venda",G142:G2063,"Llanero",J142:J2063,"Comum",I142:I2063,"60")</f>
        <v>0</v>
      </c>
      <c r="T99" s="331" t="e">
        <f aca="false">S99/R99</f>
        <v>#DIV/0!</v>
      </c>
    </row>
    <row r="100" customFormat="false" ht="14.25" hidden="false" customHeight="false" outlineLevel="0" collapsed="false">
      <c r="A100" s="379" t="s">
        <v>14</v>
      </c>
      <c r="B100" s="379"/>
      <c r="C100" s="431" t="n">
        <f aca="false">S38/S66</f>
        <v>0</v>
      </c>
      <c r="D100" s="431"/>
      <c r="E100" s="427" t="n">
        <v>0</v>
      </c>
      <c r="F100" s="432" t="n">
        <v>0</v>
      </c>
      <c r="G100" s="432" t="n">
        <v>0</v>
      </c>
      <c r="H100" s="215" t="n">
        <f aca="false">SUM(C100:G100)</f>
        <v>0</v>
      </c>
      <c r="I100" s="324"/>
      <c r="J100" s="335" t="s">
        <v>1650</v>
      </c>
      <c r="K100" s="390" t="n">
        <f aca="false">SUMIFS(K142:K2063,T142:T2063,"Revenda",G142:G2063,"Llanero",J142:J2063,"Comum",I142:I2063,"90")</f>
        <v>0</v>
      </c>
      <c r="L100" s="410" t="n">
        <f aca="false">SUMIFS(L142:L2063,T142:T2063,"Revenda",G142:G2063,"Llanero",J142:J2063,"Comum",I142:I2063,"90")</f>
        <v>0</v>
      </c>
      <c r="M100" s="339" t="e">
        <f aca="false">L100/K100</f>
        <v>#DIV/0!</v>
      </c>
      <c r="N100" s="332"/>
      <c r="P100" s="324"/>
      <c r="Q100" s="335" t="s">
        <v>1650</v>
      </c>
      <c r="R100" s="45" t="n">
        <f aca="false">SUMIFS(K142:K2063,T142:T2063,"Venda",G142:G2063,"Llanero",J142:J2063,"Comum",I142:I2063,"90")</f>
        <v>0</v>
      </c>
      <c r="S100" s="411" t="n">
        <f aca="false">SUMIFS(L142:L2063,T142:T2063,"Venda",G142:G2063,"Llanero",J142:J2063,"Comum",I142:I2063,"90")</f>
        <v>0</v>
      </c>
      <c r="T100" s="339" t="e">
        <f aca="false">S100/R100</f>
        <v>#DIV/0!</v>
      </c>
    </row>
    <row r="101" customFormat="false" ht="14.25" hidden="false" customHeight="false" outlineLevel="0" collapsed="false">
      <c r="A101" s="379" t="s">
        <v>15</v>
      </c>
      <c r="B101" s="379"/>
      <c r="C101" s="431" t="n">
        <f aca="false">(S39+S40)/S66</f>
        <v>0.00640612682700642</v>
      </c>
      <c r="D101" s="431"/>
      <c r="E101" s="427" t="n">
        <f aca="false">S41/S66</f>
        <v>0.00234167745594644</v>
      </c>
      <c r="F101" s="432" t="n">
        <f aca="false">S42/S66</f>
        <v>0.0311352230849425</v>
      </c>
      <c r="G101" s="432" t="n">
        <f aca="false">S43/S66</f>
        <v>0.00383868517536784</v>
      </c>
      <c r="H101" s="215" t="n">
        <f aca="false">SUM(C101:G101)</f>
        <v>0.0437217125432632</v>
      </c>
      <c r="I101" s="324"/>
      <c r="J101" s="335" t="s">
        <v>1651</v>
      </c>
      <c r="K101" s="390" t="n">
        <f aca="false">SUMIFS(K142:K2063,T142:T2063,"Revenda",G142:G2063,"Llanero",J142:J2063,"Golden")</f>
        <v>0</v>
      </c>
      <c r="L101" s="410" t="n">
        <f aca="false">SUMIFS(L142:L2063,T142:T2063,"Revenda",G142:G2063,"Llanero",J142:J2063,"Golden")</f>
        <v>0</v>
      </c>
      <c r="M101" s="339" t="e">
        <f aca="false">L101/K101</f>
        <v>#DIV/0!</v>
      </c>
      <c r="N101" s="332"/>
      <c r="P101" s="324"/>
      <c r="Q101" s="335" t="s">
        <v>1651</v>
      </c>
      <c r="R101" s="45" t="n">
        <f aca="false">SUMIFS(K142:K2063,T142:T2063,"Venda",G142:G2063,"Llanero",J142:J2063,"Golden")</f>
        <v>806220</v>
      </c>
      <c r="S101" s="411" t="n">
        <f aca="false">SUMIFS(L142:L2063,T142:T2063,"Venda",G142:G2063,"Llanero",J142:J2063,"Golden")</f>
        <v>2244958.7</v>
      </c>
      <c r="T101" s="339" t="n">
        <f aca="false">S101/R101</f>
        <v>2.78454851033217</v>
      </c>
    </row>
    <row r="102" customFormat="false" ht="14.25" hidden="false" customHeight="false" outlineLevel="0" collapsed="false">
      <c r="A102" s="430" t="s">
        <v>16</v>
      </c>
      <c r="B102" s="430"/>
      <c r="C102" s="431" t="n">
        <v>0</v>
      </c>
      <c r="D102" s="431"/>
      <c r="E102" s="427" t="n">
        <v>0</v>
      </c>
      <c r="F102" s="432" t="n">
        <f aca="false">S45/S66</f>
        <v>0.00544766249905546</v>
      </c>
      <c r="G102" s="432" t="n">
        <f aca="false">S46/S66</f>
        <v>0</v>
      </c>
      <c r="H102" s="215" t="n">
        <f aca="false">SUM(C102:G102)</f>
        <v>0.00544766249905546</v>
      </c>
      <c r="I102" s="324"/>
      <c r="J102" s="342" t="s">
        <v>1652</v>
      </c>
      <c r="K102" s="350" t="n">
        <f aca="false">SUMIFS(K142:K2063,T142:T2063,"Revenda",G142:G2063,"Llanero",J142:J2063,"Podium")</f>
        <v>0</v>
      </c>
      <c r="L102" s="413" t="n">
        <f aca="false">SUMIFS(L142:L2063,T142:T2063,"Revenda",G142:G2063,"Llanero",J142:J2063,"Podium")</f>
        <v>0</v>
      </c>
      <c r="M102" s="346" t="e">
        <f aca="false">L102/K102</f>
        <v>#DIV/0!</v>
      </c>
      <c r="N102" s="332"/>
      <c r="P102" s="324"/>
      <c r="Q102" s="342" t="s">
        <v>1652</v>
      </c>
      <c r="R102" s="414" t="n">
        <f aca="false">SUMIFS(K142:K2063,T142:T2063,"Venda",G142:G2063,"Llanero",J142:J2063,"Podium")</f>
        <v>68645.7</v>
      </c>
      <c r="S102" s="415" t="n">
        <f aca="false">SUMIFS(L142:L2063,T142:T2063,"Venda",G142:G2063,"Llanero",J142:J2063,"Podium")</f>
        <v>139813.5</v>
      </c>
      <c r="T102" s="346" t="n">
        <f aca="false">S102/R102</f>
        <v>2.03674083008841</v>
      </c>
    </row>
    <row r="103" customFormat="false" ht="14.25" hidden="false" customHeight="false" outlineLevel="0" collapsed="false">
      <c r="A103" s="379" t="s">
        <v>17</v>
      </c>
      <c r="B103" s="379"/>
      <c r="C103" s="431" t="n">
        <f aca="false">(S47+S48)/S66</f>
        <v>0.00401058174787644</v>
      </c>
      <c r="D103" s="431"/>
      <c r="E103" s="427" t="n">
        <f aca="false">S49/S66</f>
        <v>0.000834622329866023</v>
      </c>
      <c r="F103" s="432" t="n">
        <f aca="false">S50/S66</f>
        <v>0.0343364606560905</v>
      </c>
      <c r="G103" s="432" t="n">
        <f aca="false">S51/S66</f>
        <v>0.00279668720560749</v>
      </c>
      <c r="H103" s="215" t="n">
        <f aca="false">SUM(C103:G103)</f>
        <v>0.0419783519394405</v>
      </c>
      <c r="I103" s="324" t="str">
        <f aca="false">'COM.'!A12</f>
        <v>Mombaça</v>
      </c>
      <c r="J103" s="326" t="s">
        <v>1654</v>
      </c>
      <c r="K103" s="364" t="n">
        <f aca="false">SUMIFS(K142:K2063,T142:T2063,"Revenda",G142:G2063,"Mombaça",J142:J2063,"Comum",I142:I2063,"40")</f>
        <v>0</v>
      </c>
      <c r="L103" s="403" t="n">
        <f aca="false">SUMIFS(L142:L2063,T142:T2063,"Revenda",G142:G2063,"Mombaça",J142:J2063,"Comum",I142:I2063,"40")</f>
        <v>0</v>
      </c>
      <c r="M103" s="331" t="e">
        <f aca="false">L103/K103</f>
        <v>#DIV/0!</v>
      </c>
      <c r="N103" s="332"/>
      <c r="P103" s="324" t="str">
        <f aca="false">'COM.'!A12</f>
        <v>Mombaça</v>
      </c>
      <c r="Q103" s="326" t="s">
        <v>1654</v>
      </c>
      <c r="R103" s="404" t="n">
        <f aca="false">SUMIFS(K142:K2063,T142:T2063,"Venda",G142:G2063,"Mombaça",J142:J2063,"Comum",I142:I2063,"40")</f>
        <v>2571000</v>
      </c>
      <c r="S103" s="405" t="n">
        <f aca="false">SUMIFS(L142:L2063,T142:T2063,"Venda",G142:G2063,"Mombaça",J142:J2063,"Comum",I142:I2063,"40")</f>
        <v>810965</v>
      </c>
      <c r="T103" s="331" t="n">
        <f aca="false">S103/R103</f>
        <v>0.315427849085959</v>
      </c>
    </row>
    <row r="104" customFormat="false" ht="14.25" hidden="false" customHeight="false" outlineLevel="0" collapsed="false">
      <c r="A104" s="379" t="s">
        <v>18</v>
      </c>
      <c r="B104" s="379"/>
      <c r="C104" s="431" t="n">
        <f aca="false">S52/S66</f>
        <v>0.00475175045340095</v>
      </c>
      <c r="D104" s="431"/>
      <c r="E104" s="427" t="n">
        <v>0</v>
      </c>
      <c r="F104" s="432" t="n">
        <f aca="false">S53/S66</f>
        <v>0.00747870444923312</v>
      </c>
      <c r="G104" s="432" t="n">
        <f aca="false">S54/S66</f>
        <v>0.000218714106666792</v>
      </c>
      <c r="H104" s="215" t="n">
        <f aca="false">SUM(C104:G104)</f>
        <v>0.0124491690093009</v>
      </c>
      <c r="I104" s="324"/>
      <c r="J104" s="335" t="s">
        <v>1649</v>
      </c>
      <c r="K104" s="390" t="n">
        <f aca="false">SUMIFS(K142:K2063,T142:T2063,"Revenda",G142:G2063,"Mombaça",J142:J2063,"Comum",I142:I2063,"55")</f>
        <v>0</v>
      </c>
      <c r="L104" s="410" t="n">
        <f aca="false">SUMIFS(L142:L2063,T142:T2063,"Revenda",G142:G2063,"Mombaça",J142:J2063,"Comum",I142:I2063,"55")</f>
        <v>0</v>
      </c>
      <c r="M104" s="339" t="e">
        <f aca="false">L104/K104</f>
        <v>#DIV/0!</v>
      </c>
      <c r="N104" s="332"/>
      <c r="P104" s="324"/>
      <c r="Q104" s="335" t="s">
        <v>1649</v>
      </c>
      <c r="R104" s="45" t="n">
        <f aca="false">SUMIFS(K142:K2063,T142:T2063,"Venda",G142:G2063,"Mombaça",J142:J2063,"Comum",I142:I2063,"55")</f>
        <v>137500</v>
      </c>
      <c r="S104" s="411" t="n">
        <f aca="false">SUMIFS(L142:L2063,T142:T2063,"Venda",G142:G2063,"Mombaça",J142:J2063,"Comum",I142:I2063,"55")</f>
        <v>37500</v>
      </c>
      <c r="T104" s="339" t="n">
        <f aca="false">S104/R104</f>
        <v>0.272727272727273</v>
      </c>
    </row>
    <row r="105" customFormat="false" ht="14.25" hidden="false" customHeight="false" outlineLevel="0" collapsed="false">
      <c r="A105" s="379" t="s">
        <v>19</v>
      </c>
      <c r="B105" s="379"/>
      <c r="C105" s="431" t="n">
        <f aca="false">S55/S66</f>
        <v>0.000976333922623457</v>
      </c>
      <c r="D105" s="431"/>
      <c r="E105" s="427" t="n">
        <v>0</v>
      </c>
      <c r="F105" s="432" t="n">
        <f aca="false">S56/S66</f>
        <v>0.0105416928290673</v>
      </c>
      <c r="G105" s="432" t="n">
        <f aca="false">S57/S66</f>
        <v>0.00225627236135612</v>
      </c>
      <c r="H105" s="215" t="n">
        <f aca="false">SUM(C105:G105)</f>
        <v>0.0137742991130469</v>
      </c>
      <c r="I105" s="324"/>
      <c r="J105" s="335" t="s">
        <v>1650</v>
      </c>
      <c r="K105" s="390" t="n">
        <f aca="false">SUMIFS(K142:K2063,T142:T2063,"Revenda",G142:G2063,"Mombaça",J142:J2063,"Comum",I142:I2063,"90")</f>
        <v>0</v>
      </c>
      <c r="L105" s="410" t="n">
        <f aca="false">SUMIFS(L142:L2063,T142:T2063,"Revenda",G142:G2063,"Mombaça",J142:J2063,"Comum",I142:I2063,"90")</f>
        <v>0</v>
      </c>
      <c r="M105" s="339" t="e">
        <f aca="false">L105/K105</f>
        <v>#DIV/0!</v>
      </c>
      <c r="N105" s="332"/>
      <c r="P105" s="324"/>
      <c r="Q105" s="335" t="s">
        <v>1650</v>
      </c>
      <c r="R105" s="45" t="n">
        <f aca="false">SUMIFS(K142:K2063,T142:T2063,"Venda",G142:G2063,"Mombaça",J142:J2063,"Comum",I142:I2063,"90")</f>
        <v>1228950</v>
      </c>
      <c r="S105" s="411" t="n">
        <f aca="false">SUMIFS(L142:L2063,T142:T2063,"Venda",G142:G2063,"Mombaça",J142:J2063,"Comum",I142:I2063,"90")</f>
        <v>335630</v>
      </c>
      <c r="T105" s="339" t="n">
        <f aca="false">S105/R105</f>
        <v>0.273103055453843</v>
      </c>
    </row>
    <row r="106" customFormat="false" ht="14.25" hidden="false" customHeight="false" outlineLevel="0" collapsed="false">
      <c r="A106" s="379" t="s">
        <v>20</v>
      </c>
      <c r="B106" s="379"/>
      <c r="C106" s="431" t="n">
        <v>0</v>
      </c>
      <c r="D106" s="431"/>
      <c r="E106" s="427" t="n">
        <f aca="false">S58/S66</f>
        <v>0.00228213931658344</v>
      </c>
      <c r="F106" s="432" t="n">
        <f aca="false">S59/S66</f>
        <v>0</v>
      </c>
      <c r="G106" s="432" t="n">
        <f aca="false">S60/S66</f>
        <v>0.0103610645681495</v>
      </c>
      <c r="H106" s="215" t="n">
        <f aca="false">SUM(C106:G106)</f>
        <v>0.012643203884733</v>
      </c>
      <c r="I106" s="324"/>
      <c r="J106" s="335" t="s">
        <v>1651</v>
      </c>
      <c r="K106" s="390" t="n">
        <f aca="false">SUMIFS(K142:K2063,T142:T2063,"Revenda",G142:G2063,"Mombaça",J142:J2063,"Golden")</f>
        <v>283500</v>
      </c>
      <c r="L106" s="410" t="n">
        <f aca="false">SUMIFS(L142:L2063,T142:T2063,"Revenda",G142:G2063,"Mombaça",J142:J2063,"Golden")</f>
        <v>115920</v>
      </c>
      <c r="M106" s="339" t="n">
        <f aca="false">L106/K106</f>
        <v>0.408888888888889</v>
      </c>
      <c r="N106" s="332"/>
      <c r="P106" s="324"/>
      <c r="Q106" s="335" t="s">
        <v>1651</v>
      </c>
      <c r="R106" s="45" t="n">
        <f aca="false">SUMIFS(K142:K2063,T142:T2063,"Venda",G142:G2063,"Mombaça",J142:J2063,"Golden")</f>
        <v>6292023.975</v>
      </c>
      <c r="S106" s="411" t="n">
        <f aca="false">SUMIFS(L142:L2063,T142:T2063,"Venda",G142:G2063,"Mombaça",J142:J2063,"Golden")</f>
        <v>3181962.9</v>
      </c>
      <c r="T106" s="339" t="n">
        <f aca="false">S106/R106</f>
        <v>0.505713727831115</v>
      </c>
    </row>
    <row r="107" customFormat="false" ht="14.25" hidden="false" customHeight="false" outlineLevel="0" collapsed="false">
      <c r="A107" s="379" t="s">
        <v>22</v>
      </c>
      <c r="B107" s="379"/>
      <c r="C107" s="431" t="n">
        <f aca="false">S61/S66</f>
        <v>4.90158141460205E-005</v>
      </c>
      <c r="D107" s="431"/>
      <c r="E107" s="427" t="n">
        <v>0</v>
      </c>
      <c r="F107" s="432" t="n">
        <f aca="false">S62/S66</f>
        <v>0.00155666530108679</v>
      </c>
      <c r="G107" s="432" t="n">
        <f aca="false">S63/S66</f>
        <v>0</v>
      </c>
      <c r="H107" s="215" t="n">
        <f aca="false">SUM(C107:G107)</f>
        <v>0.00160568111523281</v>
      </c>
      <c r="I107" s="324"/>
      <c r="J107" s="342" t="s">
        <v>1652</v>
      </c>
      <c r="K107" s="350" t="n">
        <f aca="false">SUMIFS(K142:K2063,T142:T2063,"Revenda",G142:G2063,"Mombaça",J142:J2063,"Podium")</f>
        <v>0</v>
      </c>
      <c r="L107" s="413" t="n">
        <f aca="false">SUMIFS(L142:L2063,T142:T2063,"Revenda",G142:G2063,"Mombaça",J142:J2063,"Podium")</f>
        <v>0</v>
      </c>
      <c r="M107" s="346" t="e">
        <f aca="false">L107/K107</f>
        <v>#DIV/0!</v>
      </c>
      <c r="N107" s="332"/>
      <c r="P107" s="324"/>
      <c r="Q107" s="342" t="s">
        <v>1652</v>
      </c>
      <c r="R107" s="414" t="n">
        <f aca="false">SUMIFS(K142:K2063,T142:T2063,"Venda",G142:G2063,"Mombaça",J142:J2063,"Podium")</f>
        <v>1322437.5</v>
      </c>
      <c r="S107" s="415" t="n">
        <f aca="false">SUMIFS(L142:L2063,T142:T2063,"Venda",G142:G2063,"Mombaça",J142:J2063,"Podium")</f>
        <v>617227.95</v>
      </c>
      <c r="T107" s="346" t="n">
        <f aca="false">S107/R107</f>
        <v>0.466735063093719</v>
      </c>
    </row>
    <row r="108" customFormat="false" ht="14.25" hidden="false" customHeight="false" outlineLevel="0" collapsed="false">
      <c r="A108" s="379" t="s">
        <v>1678</v>
      </c>
      <c r="B108" s="379"/>
      <c r="C108" s="431" t="n">
        <f aca="false">S64/S66</f>
        <v>0.011158807162962</v>
      </c>
      <c r="D108" s="431"/>
      <c r="E108" s="427" t="n">
        <v>0</v>
      </c>
      <c r="F108" s="432" t="n">
        <v>0</v>
      </c>
      <c r="G108" s="432" t="n">
        <v>0</v>
      </c>
      <c r="H108" s="215" t="n">
        <f aca="false">SUM(C108:G108)</f>
        <v>0.011158807162962</v>
      </c>
      <c r="I108" s="324" t="str">
        <f aca="false">'COM.'!A13</f>
        <v>Tanzania</v>
      </c>
      <c r="J108" s="351" t="s">
        <v>1653</v>
      </c>
      <c r="K108" s="352" t="n">
        <f aca="false">SUMIFS(K142:K2063,T142:T2063,"Revenda",G142:G2063,"Tanzania")</f>
        <v>0</v>
      </c>
      <c r="L108" s="433" t="n">
        <f aca="false">SUMIFS(L142:L2063,T142:T2063,"Revenda",G142:G2063,"Tanzania")</f>
        <v>0</v>
      </c>
      <c r="M108" s="354" t="e">
        <f aca="false">L108/K108</f>
        <v>#DIV/0!</v>
      </c>
      <c r="N108" s="332"/>
      <c r="P108" s="324" t="str">
        <f aca="false">'COM.'!A13</f>
        <v>Tanzania</v>
      </c>
      <c r="Q108" s="351" t="s">
        <v>1653</v>
      </c>
      <c r="R108" s="428" t="n">
        <f aca="false">SUMIFS(K142:K2063,T142:T2063,"Venda",G142:G2063,"Tanzania")</f>
        <v>0</v>
      </c>
      <c r="S108" s="429" t="n">
        <f aca="false">SUMIFS(L142:L2063,T142:T2063,"Venda",G142:G2063,"Tanzania")</f>
        <v>0</v>
      </c>
      <c r="T108" s="354" t="e">
        <f aca="false">S108/R108</f>
        <v>#DIV/0!</v>
      </c>
    </row>
    <row r="109" customFormat="false" ht="14.25" hidden="false" customHeight="false" outlineLevel="0" collapsed="false">
      <c r="A109" s="418" t="s">
        <v>21</v>
      </c>
      <c r="B109" s="418"/>
      <c r="C109" s="434" t="n">
        <v>0</v>
      </c>
      <c r="D109" s="434"/>
      <c r="E109" s="434" t="n">
        <v>0</v>
      </c>
      <c r="F109" s="434" t="n">
        <f aca="false">S65/S66</f>
        <v>0.00259658015718429</v>
      </c>
      <c r="G109" s="434" t="n">
        <v>0</v>
      </c>
      <c r="H109" s="435" t="n">
        <f aca="false">SUM(C109:G109)</f>
        <v>0.00259658015718429</v>
      </c>
      <c r="I109" s="361" t="str">
        <f aca="false">'COM.'!A14</f>
        <v>Massai</v>
      </c>
      <c r="J109" s="326" t="s">
        <v>1654</v>
      </c>
      <c r="K109" s="364" t="n">
        <f aca="false">SUMIFS(K142:K2063,T142:T2063,"Revenda",G142:G2063,"Massai",J142:J2063,"Comum",I142:I2063,"40")</f>
        <v>0</v>
      </c>
      <c r="L109" s="403" t="n">
        <f aca="false">SUMIFS(L142:L2063,T142:T2063,"Revenda",G142:G2063,"Massai",J142:J2063,"Comum",I142:I2063,"40")</f>
        <v>0</v>
      </c>
      <c r="M109" s="331" t="e">
        <f aca="false">L109/K109</f>
        <v>#DIV/0!</v>
      </c>
      <c r="N109" s="332"/>
      <c r="P109" s="361" t="str">
        <f aca="false">'COM.'!A14</f>
        <v>Massai</v>
      </c>
      <c r="Q109" s="326" t="s">
        <v>1654</v>
      </c>
      <c r="R109" s="404" t="n">
        <f aca="false">SUMIFS(K142:K2063,T142:T2063,"Venda",G142:G2063,"Massai",J142:J2063,"Comum",I142:I2063,"40")</f>
        <v>864000</v>
      </c>
      <c r="S109" s="405" t="n">
        <f aca="false">SUMIFS(L142:L2063,T142:T2063,"Venda",G142:G2063,"Massai",J142:J2063,"Comum",I142:I2063,"40")</f>
        <v>415700</v>
      </c>
      <c r="T109" s="331" t="n">
        <f aca="false">S109/R109</f>
        <v>0.481134259259259</v>
      </c>
    </row>
    <row r="110" customFormat="false" ht="14.25" hidden="false" customHeight="false" outlineLevel="0" collapsed="false">
      <c r="A110" s="379" t="s">
        <v>25</v>
      </c>
      <c r="B110" s="379"/>
      <c r="C110" s="215" t="n">
        <f aca="false">SUM(C91:C109)</f>
        <v>0.0621643920953039</v>
      </c>
      <c r="D110" s="215"/>
      <c r="E110" s="215" t="n">
        <f aca="false">SUM(E91:E109)</f>
        <v>0.255693282710762</v>
      </c>
      <c r="F110" s="215" t="n">
        <f aca="false">SUM(F91:F109)</f>
        <v>0.477992255035155</v>
      </c>
      <c r="G110" s="215" t="n">
        <f aca="false">SUM(G91:G109)</f>
        <v>0.204150070158779</v>
      </c>
      <c r="H110" s="215" t="n">
        <f aca="false">SUM(H91:H109)</f>
        <v>1</v>
      </c>
      <c r="I110" s="361"/>
      <c r="J110" s="335" t="s">
        <v>1649</v>
      </c>
      <c r="K110" s="390" t="n">
        <f aca="false">SUMIFS(K142:K2063,T142:T2063,"Revenda",G142:G2063,"Massai",J142:J2063,"Comum",I142:I2063,"55")</f>
        <v>0</v>
      </c>
      <c r="L110" s="410" t="n">
        <f aca="false">SUMIFS(L142:L2063,T142:T2063,"Revenda",G142:G2063,"Massai",J142:J2063,"Comum",I142:I2063,"55")</f>
        <v>0</v>
      </c>
      <c r="M110" s="339" t="e">
        <f aca="false">L110/K110</f>
        <v>#DIV/0!</v>
      </c>
      <c r="N110" s="332"/>
      <c r="P110" s="361"/>
      <c r="Q110" s="335" t="s">
        <v>1649</v>
      </c>
      <c r="R110" s="45" t="n">
        <f aca="false">SUMIFS(K142:K2063,T142:T2063,"Venda",G142:G2063,"Massai",J142:J2063,"Comum",I142:I2063,"55")</f>
        <v>82500</v>
      </c>
      <c r="S110" s="411" t="n">
        <f aca="false">SUMIFS(L142:L2063,T142:T2063,"Venda",G142:G2063,"Massai",J142:J2063,"Comum",I142:I2063,"55")</f>
        <v>33750</v>
      </c>
      <c r="T110" s="339" t="n">
        <f aca="false">S110/R110</f>
        <v>0.409090909090909</v>
      </c>
    </row>
    <row r="111" customFormat="false" ht="14.25" hidden="false" customHeight="false" outlineLevel="0" collapsed="false">
      <c r="A111" s="379"/>
      <c r="B111" s="379"/>
      <c r="C111" s="436"/>
      <c r="D111" s="436"/>
      <c r="E111" s="436"/>
      <c r="F111" s="436"/>
      <c r="G111" s="436"/>
      <c r="H111" s="437"/>
      <c r="I111" s="361"/>
      <c r="J111" s="335" t="s">
        <v>1650</v>
      </c>
      <c r="K111" s="390" t="n">
        <f aca="false">SUMIFS(K142:K2063,T142:T2063,"Revenda",G142:G2063,"Massai",J142:J2063,"Comum",I142:I2063,"90")</f>
        <v>0</v>
      </c>
      <c r="L111" s="410" t="n">
        <f aca="false">SUMIFS(L142:L2063,T142:T2063,"Revenda",G142:G2063,"Massai",J142:J2063,"Comum",I142:I2063,"90")</f>
        <v>0</v>
      </c>
      <c r="M111" s="339" t="e">
        <f aca="false">L111/K111</f>
        <v>#DIV/0!</v>
      </c>
      <c r="N111" s="332"/>
      <c r="P111" s="361"/>
      <c r="Q111" s="335" t="s">
        <v>1650</v>
      </c>
      <c r="R111" s="45" t="n">
        <f aca="false">SUMIFS(K142:K2063,T142:T2063,"Venda",G142:G2063,"Massai",J142:J2063,"Comum",I142:I2063,"90")</f>
        <v>488700</v>
      </c>
      <c r="S111" s="411" t="n">
        <f aca="false">SUMIFS(L142:L2063,T142:T2063,"Venda",G142:G2063,"Massai",J142:J2063,"Comum",I142:I2063,"90")</f>
        <v>164290.68</v>
      </c>
      <c r="T111" s="339" t="n">
        <f aca="false">S111/R111</f>
        <v>0.336179005524862</v>
      </c>
    </row>
    <row r="112" customFormat="false" ht="14.25" hidden="false" customHeight="false" outlineLevel="0" collapsed="false">
      <c r="A112" s="379"/>
      <c r="B112" s="379"/>
      <c r="C112" s="438" t="s">
        <v>1679</v>
      </c>
      <c r="D112" s="438"/>
      <c r="E112" s="438"/>
      <c r="F112" s="438"/>
      <c r="G112" s="438"/>
      <c r="H112" s="438"/>
      <c r="I112" s="361"/>
      <c r="J112" s="335" t="s">
        <v>1651</v>
      </c>
      <c r="K112" s="390" t="n">
        <f aca="false">SUMIFS(K142:K2063,T142:T2063,"Revenda",G142:G2063,"Massai",J142:J2063,"Golden")</f>
        <v>388462.5</v>
      </c>
      <c r="L112" s="410" t="n">
        <f aca="false">SUMIFS(L142:L2063,T142:T2063,"Revenda",G142:G2063,"Massai",J142:J2063,"Golden")</f>
        <v>237870</v>
      </c>
      <c r="M112" s="339" t="n">
        <f aca="false">L112/K112</f>
        <v>0.6123370981755</v>
      </c>
      <c r="N112" s="332"/>
      <c r="P112" s="361"/>
      <c r="Q112" s="335" t="s">
        <v>1651</v>
      </c>
      <c r="R112" s="45" t="n">
        <f aca="false">SUMIFS(K142:K2063,T142:T2063,"Venda",G142:G2063,"Massai",J142:J2063,"Golden")</f>
        <v>2767837.5</v>
      </c>
      <c r="S112" s="411" t="n">
        <f aca="false">SUMIFS(L142:L2063,T142:T2063,"Venda",G142:G2063,"Massai",J142:J2063,"Golden")</f>
        <v>1946558.5</v>
      </c>
      <c r="T112" s="339" t="n">
        <f aca="false">S112/R112</f>
        <v>0.703277739390409</v>
      </c>
    </row>
    <row r="113" customFormat="false" ht="14.25" hidden="false" customHeight="false" outlineLevel="0" collapsed="false">
      <c r="A113" s="423" t="s">
        <v>1</v>
      </c>
      <c r="B113" s="423"/>
      <c r="C113" s="424" t="s">
        <v>1667</v>
      </c>
      <c r="D113" s="424"/>
      <c r="E113" s="424" t="s">
        <v>1674</v>
      </c>
      <c r="F113" s="424" t="s">
        <v>1666</v>
      </c>
      <c r="G113" s="425" t="s">
        <v>1665</v>
      </c>
      <c r="H113" s="425" t="s">
        <v>1675</v>
      </c>
      <c r="I113" s="361"/>
      <c r="J113" s="335" t="s">
        <v>1652</v>
      </c>
      <c r="K113" s="390" t="n">
        <f aca="false">SUMIFS(K142:K2063,T142:T2063,"Revenda",G142:G2063,"Massai",J142:J2063,"Podium")</f>
        <v>0</v>
      </c>
      <c r="L113" s="410" t="n">
        <f aca="false">SUMIFS(L142:L2063,T142:T2063,"Revenda",G142:G2063,"Massai",J142:J2063,"Podium")</f>
        <v>0</v>
      </c>
      <c r="M113" s="339" t="e">
        <f aca="false">L113/K113</f>
        <v>#DIV/0!</v>
      </c>
      <c r="N113" s="332"/>
      <c r="P113" s="361"/>
      <c r="Q113" s="335" t="s">
        <v>1652</v>
      </c>
      <c r="R113" s="45" t="n">
        <f aca="false">SUMIFS(K142:K2063,T142:T2063,"Venda",G142:G2063,"Massai",J142:J2063,"Podium")</f>
        <v>543394.125</v>
      </c>
      <c r="S113" s="411" t="n">
        <f aca="false">SUMIFS(L142:L2063,T142:T2063,"Venda",G142:G2063,"Massai",J142:J2063,"Podium")</f>
        <v>269319.84</v>
      </c>
      <c r="T113" s="339" t="n">
        <f aca="false">S113/R113</f>
        <v>0.495625233342374</v>
      </c>
    </row>
    <row r="114" customFormat="false" ht="14.25" hidden="false" customHeight="false" outlineLevel="0" collapsed="false">
      <c r="A114" s="379" t="s">
        <v>5</v>
      </c>
      <c r="B114" s="379"/>
      <c r="C114" s="427" t="n">
        <f aca="false">R5/R66</f>
        <v>0.0169918455004541</v>
      </c>
      <c r="D114" s="427"/>
      <c r="E114" s="427" t="n">
        <f aca="false">R6/R66</f>
        <v>0.0164330617360656</v>
      </c>
      <c r="F114" s="427" t="n">
        <f aca="false">R7/R66</f>
        <v>0.0636255697076547</v>
      </c>
      <c r="G114" s="427" t="n">
        <f aca="false">R8/R66</f>
        <v>0.00836333230571554</v>
      </c>
      <c r="H114" s="215" t="n">
        <f aca="false">SUM(C114:G114)</f>
        <v>0.10541380924989</v>
      </c>
      <c r="I114" s="361" t="str">
        <f aca="false">'COM.'!A15</f>
        <v>Aruana</v>
      </c>
      <c r="J114" s="326" t="s">
        <v>1651</v>
      </c>
      <c r="K114" s="364" t="n">
        <f aca="false">SUMIFS(K142:K2063,T142:T2063,"Revenda",G142:G2063,"Aruana")</f>
        <v>0</v>
      </c>
      <c r="L114" s="403" t="n">
        <f aca="false">SUMIFS(L142:L2063,T142:T2063,"Revenda",G142:G2063,"Aruana")</f>
        <v>0</v>
      </c>
      <c r="M114" s="331" t="e">
        <f aca="false">L114/K114</f>
        <v>#DIV/0!</v>
      </c>
      <c r="N114" s="332"/>
      <c r="P114" s="361" t="str">
        <f aca="false">'COM.'!A15</f>
        <v>Aruana</v>
      </c>
      <c r="Q114" s="326" t="s">
        <v>1651</v>
      </c>
      <c r="R114" s="404" t="n">
        <f aca="false">SUMIFS(K142:K2063,T142:T2063,"Venda",G142:G2063,"Aruana",J142:J2063,"Golden")</f>
        <v>468135</v>
      </c>
      <c r="S114" s="405" t="n">
        <f aca="false">SUMIFS(L142:L2063,T142:T2063,"Venda",G142:G2063,"Aruana",J142:J2063,"Golden")</f>
        <v>382204.72</v>
      </c>
      <c r="T114" s="331" t="n">
        <f aca="false">S114/R114</f>
        <v>0.816441240240529</v>
      </c>
    </row>
    <row r="115" customFormat="false" ht="14.25" hidden="false" customHeight="false" outlineLevel="0" collapsed="false">
      <c r="A115" s="379" t="s">
        <v>6</v>
      </c>
      <c r="B115" s="379"/>
      <c r="C115" s="431" t="n">
        <f aca="false">R9/R66</f>
        <v>0.00235115794598728</v>
      </c>
      <c r="D115" s="431"/>
      <c r="E115" s="427" t="n">
        <f aca="false">R10/R66</f>
        <v>0.014828509942106</v>
      </c>
      <c r="F115" s="432" t="n">
        <f aca="false">R11/R66</f>
        <v>0.0167007883616232</v>
      </c>
      <c r="G115" s="432" t="n">
        <f aca="false">R12/R66</f>
        <v>0.0587029413884971</v>
      </c>
      <c r="H115" s="215" t="n">
        <f aca="false">SUM(C115:G115)</f>
        <v>0.0925833976382137</v>
      </c>
      <c r="I115" s="324" t="s">
        <v>17</v>
      </c>
      <c r="J115" s="326" t="s">
        <v>1654</v>
      </c>
      <c r="K115" s="364" t="n">
        <f aca="false">SUMIFS(K142:K2063,T142:T2063,"Revenda",G142:G2063,"Zuri",J142:J2063,"Comum",I142:I2063,"40")</f>
        <v>0</v>
      </c>
      <c r="L115" s="403" t="n">
        <f aca="false">SUMIFS(L142:L2063,T142:T2063,"Revenda",G142:G2063,"Zuri",J142:J2063,"Comum",I142:I2063,"40")</f>
        <v>0</v>
      </c>
      <c r="M115" s="331" t="e">
        <f aca="false">L115/K115</f>
        <v>#DIV/0!</v>
      </c>
      <c r="N115" s="332"/>
      <c r="P115" s="324" t="str">
        <f aca="false">'COM.'!A16</f>
        <v>Zuri</v>
      </c>
      <c r="Q115" s="326" t="s">
        <v>1654</v>
      </c>
      <c r="R115" s="404" t="n">
        <f aca="false">SUMIFS(K142:K2063,T142:T2063,"Venda",G142:G2063,"Zuri",J142:J2063,"Comum",I142:I2063,"40")</f>
        <v>548800</v>
      </c>
      <c r="S115" s="405" t="n">
        <f aca="false">SUMIFS(L142:L2063,T142:T2063,"Venda",G142:G2063,"Zuri",J142:J2063,"Comum",I142:I2063,"40")</f>
        <v>201630</v>
      </c>
      <c r="T115" s="331" t="n">
        <f aca="false">S115/R115</f>
        <v>0.367401603498542</v>
      </c>
    </row>
    <row r="116" customFormat="false" ht="14.25" hidden="false" customHeight="false" outlineLevel="0" collapsed="false">
      <c r="A116" s="379" t="s">
        <v>7</v>
      </c>
      <c r="B116" s="379"/>
      <c r="C116" s="431" t="n">
        <f aca="false">R13/R66</f>
        <v>0.00162148823861192</v>
      </c>
      <c r="D116" s="431"/>
      <c r="E116" s="427" t="n">
        <f aca="false">R14/R66</f>
        <v>0.000344566250705033</v>
      </c>
      <c r="F116" s="432" t="n">
        <f aca="false">R15/R66</f>
        <v>0.0165885340821043</v>
      </c>
      <c r="G116" s="432" t="n">
        <f aca="false">R16/R66</f>
        <v>0.00176831562010647</v>
      </c>
      <c r="H116" s="215" t="n">
        <f aca="false">SUM(C116:G116)</f>
        <v>0.0203229041915277</v>
      </c>
      <c r="I116" s="324"/>
      <c r="J116" s="335" t="s">
        <v>1649</v>
      </c>
      <c r="K116" s="390" t="n">
        <f aca="false">SUMIFS(K142:K2063,T142:T2063,"Revenda",G142:G2063,"Zuri",J142:J2063,"Comum",I142:I2063,"55")</f>
        <v>0</v>
      </c>
      <c r="L116" s="410" t="n">
        <f aca="false">SUMIFS(L142:L2063,T142:T2063,"Revenda",G142:G2063,"Zuri",J142:J2063,"Comum",I142:I2063,"55")</f>
        <v>0</v>
      </c>
      <c r="M116" s="339" t="e">
        <f aca="false">L116/K116</f>
        <v>#DIV/0!</v>
      </c>
      <c r="N116" s="332"/>
      <c r="P116" s="324"/>
      <c r="Q116" s="335" t="s">
        <v>1649</v>
      </c>
      <c r="R116" s="45" t="n">
        <f aca="false">SUMIFS(K142:K2063,T142:T2063,"Venda",G142:G2063,"Zuri",J142:J2063,"Comum",I142:I2063,"55")</f>
        <v>286000</v>
      </c>
      <c r="S116" s="411" t="n">
        <f aca="false">SUMIFS(L142:L2063,T142:T2063,"Venda",G142:G2063,"Zuri",J142:J2063,"Comum",I142:I2063,"55")</f>
        <v>79750</v>
      </c>
      <c r="T116" s="339" t="n">
        <f aca="false">S116/R116</f>
        <v>0.278846153846154</v>
      </c>
    </row>
    <row r="117" customFormat="false" ht="14.25" hidden="false" customHeight="false" outlineLevel="0" collapsed="false">
      <c r="A117" s="379" t="s">
        <v>137</v>
      </c>
      <c r="B117" s="379"/>
      <c r="C117" s="431" t="n">
        <f aca="false">R17/R66</f>
        <v>0.00427667522933894</v>
      </c>
      <c r="D117" s="431"/>
      <c r="E117" s="427" t="n">
        <f aca="false">R18/R66</f>
        <v>0.00280841762927584</v>
      </c>
      <c r="F117" s="432" t="n">
        <f aca="false">R19/R66</f>
        <v>0.0367014404128416</v>
      </c>
      <c r="G117" s="432" t="n">
        <f aca="false">R20/R66</f>
        <v>0.00443578376275273</v>
      </c>
      <c r="H117" s="215" t="n">
        <f aca="false">SUM(C117:G117)</f>
        <v>0.0482223170342091</v>
      </c>
      <c r="I117" s="324"/>
      <c r="J117" s="335" t="s">
        <v>1650</v>
      </c>
      <c r="K117" s="390" t="n">
        <f aca="false">SUMIFS(K142:K2063,T142:T2063,"Revenda",G142:G2063,"Zuri",J142:J2063,"Comum",I142:I2063,"90")</f>
        <v>0</v>
      </c>
      <c r="L117" s="410" t="n">
        <f aca="false">SUMIFS(L142:L2063,T142:T2063,"Revenda",G142:G2063,"Zuri",J142:J2063,"Comum",I142:I2063,"90")</f>
        <v>0</v>
      </c>
      <c r="M117" s="339" t="e">
        <f aca="false">L117/K117</f>
        <v>#DIV/0!</v>
      </c>
      <c r="N117" s="332"/>
      <c r="P117" s="324"/>
      <c r="Q117" s="335" t="s">
        <v>1650</v>
      </c>
      <c r="R117" s="45" t="n">
        <f aca="false">SUMIFS(K142:K2063,T142:T2063,"Venda",G142:G2063,"Zuri",J142:J2063,"Comum",I142:I2063,"90")</f>
        <v>221400</v>
      </c>
      <c r="S117" s="411" t="n">
        <f aca="false">SUMIFS(L142:L2063,T142:T2063,"Venda",G142:G2063,"Zuri",J142:J2063,"Comum",I142:I2063,"90")</f>
        <v>58556.6</v>
      </c>
      <c r="T117" s="339" t="n">
        <f aca="false">S117/R117</f>
        <v>0.264483288166215</v>
      </c>
    </row>
    <row r="118" customFormat="false" ht="14.25" hidden="false" customHeight="false" outlineLevel="0" collapsed="false">
      <c r="A118" s="379" t="s">
        <v>9</v>
      </c>
      <c r="B118" s="379"/>
      <c r="C118" s="439" t="n">
        <v>0</v>
      </c>
      <c r="D118" s="439"/>
      <c r="E118" s="432" t="n">
        <v>0</v>
      </c>
      <c r="F118" s="432" t="n">
        <v>0</v>
      </c>
      <c r="G118" s="432" t="n">
        <f aca="false">R21/R66</f>
        <v>0</v>
      </c>
      <c r="H118" s="215" t="n">
        <f aca="false">SUM(C118:G118)</f>
        <v>0</v>
      </c>
      <c r="I118" s="324"/>
      <c r="J118" s="335" t="s">
        <v>1651</v>
      </c>
      <c r="K118" s="390" t="n">
        <f aca="false">SUMIFS(K142:K2063,T142:T2063,"Revenda",G142:G2063,"Zuri",J142:J2063,"Golden")</f>
        <v>268987.5</v>
      </c>
      <c r="L118" s="410" t="n">
        <f aca="false">SUMIFS(L142:L2063,T142:T2063,"Revenda",G142:G2063,"Zuri",J142:J2063,"Golden")</f>
        <v>135440</v>
      </c>
      <c r="M118" s="339" t="n">
        <f aca="false">L118/K118</f>
        <v>0.503517821460105</v>
      </c>
      <c r="N118" s="332"/>
      <c r="P118" s="324"/>
      <c r="Q118" s="335" t="s">
        <v>1651</v>
      </c>
      <c r="R118" s="45" t="n">
        <f aca="false">SUMIFS(K142:K2063,T142:T2063,"Venda",G142:G2063,"Zuri",J142:J2063,"Golden")</f>
        <v>3923842.5</v>
      </c>
      <c r="S118" s="411" t="n">
        <f aca="false">SUMIFS(L142:L2063,T142:T2063,"Venda",G142:G2063,"Zuri",J142:J2063,"Golden")</f>
        <v>2273585.4</v>
      </c>
      <c r="T118" s="339" t="n">
        <f aca="false">S118/R118</f>
        <v>0.579428302741509</v>
      </c>
    </row>
    <row r="119" customFormat="false" ht="14.25" hidden="false" customHeight="false" outlineLevel="0" collapsed="false">
      <c r="A119" s="379" t="s">
        <v>10</v>
      </c>
      <c r="B119" s="379"/>
      <c r="C119" s="431" t="n">
        <f aca="false">R22/R66</f>
        <v>0</v>
      </c>
      <c r="D119" s="431"/>
      <c r="E119" s="427" t="n">
        <f aca="false">R23/R66</f>
        <v>0.454650887076341</v>
      </c>
      <c r="F119" s="432" t="n">
        <f aca="false">R24/R66</f>
        <v>0.0333258728154862</v>
      </c>
      <c r="G119" s="432" t="n">
        <f aca="false">R25/R66</f>
        <v>0.101438349413407</v>
      </c>
      <c r="H119" s="215" t="n">
        <f aca="false">SUM(C119:G119)</f>
        <v>0.589415109305234</v>
      </c>
      <c r="I119" s="324"/>
      <c r="J119" s="342" t="s">
        <v>1652</v>
      </c>
      <c r="K119" s="350" t="n">
        <f aca="false">SUMIFS(K142:K2063,T142:T2063,"Revenda",G142:G2063,"Zuri",J142:J2063,"Podium")</f>
        <v>0</v>
      </c>
      <c r="L119" s="413" t="n">
        <f aca="false">SUMIFS(L142:L2063,T142:T2063,"Revenda",G142:G2063,"Zuri",J142:J2063,"Podium")</f>
        <v>0</v>
      </c>
      <c r="M119" s="346" t="e">
        <f aca="false">L119/K119</f>
        <v>#DIV/0!</v>
      </c>
      <c r="N119" s="332"/>
      <c r="P119" s="324"/>
      <c r="Q119" s="342" t="s">
        <v>1652</v>
      </c>
      <c r="R119" s="414" t="n">
        <f aca="false">SUMIFS(K142:K2063,T142:T2063,"Venda",G142:G2063,"Zuri",J142:J2063,"Podium")</f>
        <v>403312.5</v>
      </c>
      <c r="S119" s="415" t="n">
        <f aca="false">SUMIFS(L142:L2063,T142:T2063,"Venda",G142:G2063,"Zuri",J142:J2063,"Podium")</f>
        <v>196213.89</v>
      </c>
      <c r="T119" s="346" t="n">
        <f aca="false">S119/R119</f>
        <v>0.486505848442585</v>
      </c>
    </row>
    <row r="120" customFormat="false" ht="14.25" hidden="false" customHeight="false" outlineLevel="0" collapsed="false">
      <c r="A120" s="379" t="s">
        <v>11</v>
      </c>
      <c r="B120" s="379"/>
      <c r="C120" s="431" t="n">
        <f aca="false">R26/R66</f>
        <v>0</v>
      </c>
      <c r="D120" s="431"/>
      <c r="E120" s="427" t="n">
        <v>0</v>
      </c>
      <c r="F120" s="432" t="n">
        <f aca="false">R27/R66</f>
        <v>0.00560016996276596</v>
      </c>
      <c r="G120" s="432" t="n">
        <f aca="false">R28/R66</f>
        <v>9.18843335213421E-005</v>
      </c>
      <c r="H120" s="215" t="n">
        <f aca="false">SUM(C120:G120)</f>
        <v>0.0056920542962873</v>
      </c>
      <c r="I120" s="324" t="s">
        <v>18</v>
      </c>
      <c r="J120" s="326" t="s">
        <v>1653</v>
      </c>
      <c r="K120" s="364" t="n">
        <f aca="false">SUMIFS(K142:K2063,T142:T2063,"Revenda",G142:G2063,"Paiaguas;i142:i2038;comum")</f>
        <v>0</v>
      </c>
      <c r="L120" s="403" t="n">
        <f aca="false">SUMIFS(L142:L2063,T142:T2063,"Revenda",G142:G2063,"Paiaguas",J142:J2063,"comum")</f>
        <v>0</v>
      </c>
      <c r="M120" s="331" t="e">
        <f aca="false">L120/K120</f>
        <v>#DIV/0!</v>
      </c>
      <c r="N120" s="332"/>
      <c r="P120" s="324" t="str">
        <f aca="false">'COM.'!A17</f>
        <v>Paiaguas</v>
      </c>
      <c r="Q120" s="326" t="s">
        <v>1653</v>
      </c>
      <c r="R120" s="404" t="n">
        <f aca="false">SUMIFS(K142:K2063,T142:T2063,"Venda",G142:G2063,"Paiaguas",J142:J2063,"Comum")</f>
        <v>1204565.994</v>
      </c>
      <c r="S120" s="405" t="n">
        <f aca="false">SUMIFS(L142:L2063,T142:T2063,"Venda",G142:G2063,"Paiaguas",J142:J2063,"Comum")</f>
        <v>333379.95</v>
      </c>
      <c r="T120" s="331" t="n">
        <f aca="false">S120/R120</f>
        <v>0.276763541109895</v>
      </c>
    </row>
    <row r="121" customFormat="false" ht="14.25" hidden="false" customHeight="false" outlineLevel="0" collapsed="false">
      <c r="A121" s="379" t="s">
        <v>12</v>
      </c>
      <c r="B121" s="379"/>
      <c r="C121" s="431" t="n">
        <f aca="false">R29/R66</f>
        <v>0</v>
      </c>
      <c r="D121" s="431"/>
      <c r="E121" s="427" t="n">
        <f aca="false">R30/R66</f>
        <v>0</v>
      </c>
      <c r="F121" s="432" t="n">
        <f aca="false">R31/R66</f>
        <v>0.00363132291037139</v>
      </c>
      <c r="G121" s="432" t="n">
        <f aca="false">R32/R66</f>
        <v>0.000309189431059117</v>
      </c>
      <c r="H121" s="215" t="n">
        <f aca="false">SUM(C121:G121)</f>
        <v>0.00394051234143051</v>
      </c>
      <c r="I121" s="324"/>
      <c r="J121" s="335" t="s">
        <v>1651</v>
      </c>
      <c r="K121" s="390" t="e">
        <f aca="false" t="array" ref="K121:K121">SUMIFS(K142:K2063,T142:T2063,"Revenda",G142:G2063,"Paiaguas",J142:J2063,comum)</f>
        <v>#NAME?</v>
      </c>
      <c r="L121" s="410" t="n">
        <f aca="false">SUMIFS(L142:L2063,T142:T2063,"Revenda",G142:G2063,"Paiaguas",J142:J2063,"Golden")</f>
        <v>0</v>
      </c>
      <c r="M121" s="339" t="e">
        <f aca="false">L121/K121</f>
        <v>#NAME?</v>
      </c>
      <c r="N121" s="332"/>
      <c r="P121" s="324"/>
      <c r="Q121" s="335" t="s">
        <v>1651</v>
      </c>
      <c r="R121" s="45" t="n">
        <f aca="false">SUMIFS(K142:K2063,T142:T2063,"Venda",G142:G2063,"Paiaguas",J142:J2063,"Golden")</f>
        <v>819891.9</v>
      </c>
      <c r="S121" s="411" t="n">
        <f aca="false">SUMIFS(L142:L2063,T142:T2063,"Venda",G142:G2063,"Paiaguas",J142:J2063,"Golden")</f>
        <v>524701.4</v>
      </c>
      <c r="T121" s="339" t="n">
        <f aca="false">S121/R121</f>
        <v>0.639964122099511</v>
      </c>
    </row>
    <row r="122" customFormat="false" ht="14.25" hidden="false" customHeight="false" outlineLevel="0" collapsed="false">
      <c r="A122" s="379" t="s">
        <v>13</v>
      </c>
      <c r="B122" s="379"/>
      <c r="C122" s="431" t="n">
        <f aca="false">(R33+R34)/R66</f>
        <v>0.0121994469285566</v>
      </c>
      <c r="D122" s="431"/>
      <c r="E122" s="427" t="n">
        <f aca="false">R35/R66</f>
        <v>0.00553535547456144</v>
      </c>
      <c r="F122" s="432" t="n">
        <f aca="false">R36/R66</f>
        <v>0.0296170410782589</v>
      </c>
      <c r="G122" s="432" t="n">
        <f aca="false">R37/R66</f>
        <v>0.00595643570152597</v>
      </c>
      <c r="H122" s="215" t="n">
        <f aca="false">SUM(C122:G122)</f>
        <v>0.0533082791829029</v>
      </c>
      <c r="I122" s="324"/>
      <c r="J122" s="342" t="s">
        <v>1652</v>
      </c>
      <c r="K122" s="350" t="n">
        <f aca="false">SUMIFS(K142:K2063,T142:T2063,"Revenda",G142:G2063,"Paiaguas")</f>
        <v>9347.4</v>
      </c>
      <c r="L122" s="413" t="n">
        <f aca="false">SUMIFS(L142:L2063,T142:T2063,"Revenda",G142:G2063,"Paiaguas",J142:J2063,"Podium")</f>
        <v>10962</v>
      </c>
      <c r="M122" s="346" t="n">
        <f aca="false">L122/K122</f>
        <v>1.17273252455228</v>
      </c>
      <c r="N122" s="332"/>
      <c r="P122" s="324"/>
      <c r="Q122" s="342" t="s">
        <v>1652</v>
      </c>
      <c r="R122" s="414" t="n">
        <f aca="false">SUMIFS(K142:K2063,T142:T2063,"Venda",G142:G2063,"Paiaguas",J142:J2063,"Podium")</f>
        <v>6750.9</v>
      </c>
      <c r="S122" s="415" t="n">
        <f aca="false">SUMIFS(L142:L2063,T142:T2063,"Venda",G142:G2063,"Paiaguas",J142:J2063,"Podium")</f>
        <v>4382.85</v>
      </c>
      <c r="T122" s="346" t="n">
        <f aca="false">S122/R122</f>
        <v>0.649224547838066</v>
      </c>
    </row>
    <row r="123" customFormat="false" ht="14.25" hidden="false" customHeight="false" outlineLevel="0" collapsed="false">
      <c r="A123" s="379" t="s">
        <v>14</v>
      </c>
      <c r="B123" s="379"/>
      <c r="C123" s="431" t="n">
        <f aca="false">R38/R66</f>
        <v>0</v>
      </c>
      <c r="D123" s="431"/>
      <c r="E123" s="427" t="n">
        <v>0</v>
      </c>
      <c r="F123" s="432" t="n">
        <v>0</v>
      </c>
      <c r="G123" s="432" t="n">
        <v>0</v>
      </c>
      <c r="H123" s="215" t="n">
        <f aca="false">SUM(C123:G123)</f>
        <v>0</v>
      </c>
      <c r="I123" s="324" t="s">
        <v>19</v>
      </c>
      <c r="J123" s="326" t="s">
        <v>1653</v>
      </c>
      <c r="K123" s="364" t="n">
        <f aca="false">SUMIFS(K142:K2063,T142:T2063,"Revenda",G142:G2063,"Tamani",J142:J2063,"Comum")</f>
        <v>0</v>
      </c>
      <c r="L123" s="403" t="n">
        <f aca="false">SUMIFS(L142:L2063,T142:T2063,"Revenda",G142:G2063,"Tamani",J142:J2063,"Comum")</f>
        <v>0</v>
      </c>
      <c r="M123" s="331" t="e">
        <f aca="false">L123/K123</f>
        <v>#DIV/0!</v>
      </c>
      <c r="N123" s="332"/>
      <c r="P123" s="324" t="str">
        <f aca="false">'COM.'!A18</f>
        <v>Tamani</v>
      </c>
      <c r="Q123" s="326" t="s">
        <v>1653</v>
      </c>
      <c r="R123" s="404" t="n">
        <f aca="false">SUMIFS(K142:K2063,T142:T2063,"Venda",G142:G2063,"Tamani",J142:J2063,"Comum")</f>
        <v>121500</v>
      </c>
      <c r="S123" s="405" t="n">
        <f aca="false">SUMIFS(L142:L2063,T142:T2063,"Venda",G142:G2063,"Tamani",J142:J2063,"Comum")</f>
        <v>68499</v>
      </c>
      <c r="T123" s="331" t="n">
        <f aca="false">S123/R123</f>
        <v>0.563777777777778</v>
      </c>
    </row>
    <row r="124" customFormat="false" ht="14.25" hidden="false" customHeight="false" outlineLevel="0" collapsed="false">
      <c r="A124" s="379" t="s">
        <v>15</v>
      </c>
      <c r="B124" s="379"/>
      <c r="C124" s="431" t="n">
        <f aca="false">(R39+R40)/R66</f>
        <v>0.00426316282735051</v>
      </c>
      <c r="D124" s="431"/>
      <c r="E124" s="427" t="n">
        <f aca="false">R41/R66</f>
        <v>0.00220117028391568</v>
      </c>
      <c r="F124" s="432" t="n">
        <f aca="false">R42/R66</f>
        <v>0.01421639813203</v>
      </c>
      <c r="G124" s="432" t="n">
        <f aca="false">R43/R66</f>
        <v>0.00244751995171754</v>
      </c>
      <c r="H124" s="215" t="n">
        <f aca="false">SUM(C124:G124)</f>
        <v>0.0231282511950137</v>
      </c>
      <c r="I124" s="324"/>
      <c r="J124" s="335" t="s">
        <v>1651</v>
      </c>
      <c r="K124" s="390" t="n">
        <f aca="false">SUMIFS(K142:K2063,T142:T2063,"Revenda",G142:G2063,"Tamani",J142:J2063,"Golden")</f>
        <v>112725</v>
      </c>
      <c r="L124" s="410" t="n">
        <f aca="false">SUMIFS(L142:L2063,T142:T2063,"Revenda",G142:G2063,"Tamani",J142:J2063,"Golden")</f>
        <v>77404.5</v>
      </c>
      <c r="M124" s="339" t="n">
        <f aca="false">L124/K124</f>
        <v>0.686666666666667</v>
      </c>
      <c r="N124" s="332"/>
      <c r="P124" s="324"/>
      <c r="Q124" s="335" t="s">
        <v>1651</v>
      </c>
      <c r="R124" s="45" t="n">
        <f aca="false">SUMIFS(K142:K2063,T142:T2063,"Venda",G142:G2063,"Tamani",J142:J2063,"Golden")</f>
        <v>725625</v>
      </c>
      <c r="S124" s="411" t="n">
        <f aca="false">SUMIFS(L142:L2063,T142:T2063,"Venda",G142:G2063,"Tamani",J142:J2063,"Golden")</f>
        <v>662194.32</v>
      </c>
      <c r="T124" s="339" t="n">
        <f aca="false">S124/R124</f>
        <v>0.912584764857881</v>
      </c>
    </row>
    <row r="125" customFormat="false" ht="14.25" hidden="false" customHeight="false" outlineLevel="0" collapsed="false">
      <c r="A125" s="430" t="s">
        <v>16</v>
      </c>
      <c r="B125" s="430"/>
      <c r="C125" s="431" t="n">
        <v>0</v>
      </c>
      <c r="D125" s="431"/>
      <c r="E125" s="427" t="n">
        <v>0</v>
      </c>
      <c r="F125" s="432" t="n">
        <f aca="false">R45/R66</f>
        <v>0.00210854276828498</v>
      </c>
      <c r="G125" s="432" t="n">
        <f aca="false">R46/R66</f>
        <v>0</v>
      </c>
      <c r="H125" s="215" t="n">
        <f aca="false">SUM(C125:G125)</f>
        <v>0.00210854276828498</v>
      </c>
      <c r="I125" s="324"/>
      <c r="J125" s="342" t="s">
        <v>1652</v>
      </c>
      <c r="K125" s="350" t="n">
        <f aca="false">SUMIFS(K142:K2063,T142:T2063,"Revenda",G142:G2063,"Tamani",J142:J2063,"Podium")</f>
        <v>0</v>
      </c>
      <c r="L125" s="413" t="n">
        <f aca="false">SUMIFS(L142:L2063,T142:T2063,"Revenda",G142:G2063,"Tamani",J142:J2063,"Podium")</f>
        <v>0</v>
      </c>
      <c r="M125" s="346" t="e">
        <f aca="false">L125/K125</f>
        <v>#DIV/0!</v>
      </c>
      <c r="N125" s="332"/>
      <c r="P125" s="324"/>
      <c r="Q125" s="342" t="s">
        <v>1652</v>
      </c>
      <c r="R125" s="414" t="n">
        <f aca="false">SUMIFS(K142:K2063,T142:T2063,"Venda",G142:G2063,"Tamani",J142:J2063,"Podium")</f>
        <v>212062.5</v>
      </c>
      <c r="S125" s="415" t="n">
        <f aca="false">SUMIFS(L142:L2063,T142:T2063,"Venda",G142:G2063,"Tamani",J142:J2063,"Podium")</f>
        <v>158298.71</v>
      </c>
      <c r="T125" s="346" t="n">
        <f aca="false">S125/R125</f>
        <v>0.746471959917477</v>
      </c>
    </row>
    <row r="126" customFormat="false" ht="14.25" hidden="false" customHeight="false" outlineLevel="0" collapsed="false">
      <c r="A126" s="379" t="s">
        <v>17</v>
      </c>
      <c r="B126" s="379"/>
      <c r="C126" s="431" t="n">
        <f aca="false">(R47+R48)/R66</f>
        <v>0.0037600510599812</v>
      </c>
      <c r="D126" s="431"/>
      <c r="E126" s="427" t="n">
        <f aca="false">R49/R66</f>
        <v>0.00099721526674633</v>
      </c>
      <c r="F126" s="432" t="n">
        <f aca="false">R50/R66</f>
        <v>0.0188850681430534</v>
      </c>
      <c r="G126" s="432" t="n">
        <f aca="false">R51/R66</f>
        <v>0.00181657354231992</v>
      </c>
      <c r="H126" s="215" t="n">
        <f aca="false">SUM(C126:G126)</f>
        <v>0.0254589080121008</v>
      </c>
      <c r="I126" s="324" t="s">
        <v>20</v>
      </c>
      <c r="J126" s="349" t="s">
        <v>1651</v>
      </c>
      <c r="K126" s="352" t="n">
        <f aca="false">SUMIFS(K142:K2063,T142:T2063,"Revenda",G142:G2063,"Ipyporã")</f>
        <v>0</v>
      </c>
      <c r="L126" s="433" t="n">
        <f aca="false">SUMIFS(L142:L2063,T142:T2063,"Revenda",G142:G2063,"Ipyporã")</f>
        <v>0</v>
      </c>
      <c r="M126" s="354" t="e">
        <f aca="false">L126/K126</f>
        <v>#DIV/0!</v>
      </c>
      <c r="N126" s="332"/>
      <c r="P126" s="324" t="s">
        <v>20</v>
      </c>
      <c r="Q126" s="349" t="s">
        <v>1651</v>
      </c>
      <c r="R126" s="428" t="n">
        <f aca="false">SUMIFS(K142:K2063,T142:T2063,"Venda",G142:G2063,"Integra")</f>
        <v>3365187.15</v>
      </c>
      <c r="S126" s="429" t="n">
        <f aca="false">SUMIFS(L142:L2063,T142:T2063,"Venda",G142:G2063,"Integra")</f>
        <v>887039.57</v>
      </c>
      <c r="T126" s="354" t="n">
        <f aca="false">S126/R126</f>
        <v>0.263592938657216</v>
      </c>
    </row>
    <row r="127" customFormat="false" ht="14.25" hidden="false" customHeight="false" outlineLevel="0" collapsed="false">
      <c r="A127" s="379" t="s">
        <v>18</v>
      </c>
      <c r="B127" s="379"/>
      <c r="C127" s="431" t="n">
        <f aca="false">R52/R66</f>
        <v>0.00542552664417465</v>
      </c>
      <c r="D127" s="431"/>
      <c r="E127" s="427" t="n">
        <v>0</v>
      </c>
      <c r="F127" s="432" t="n">
        <f aca="false">R53/R66</f>
        <v>0.00369290297995328</v>
      </c>
      <c r="G127" s="432" t="n">
        <f aca="false">R54/R66</f>
        <v>7.25089003101285E-005</v>
      </c>
      <c r="H127" s="215" t="n">
        <f aca="false">SUM(C127:G127)</f>
        <v>0.00919093852443806</v>
      </c>
      <c r="I127" s="324" t="s">
        <v>22</v>
      </c>
      <c r="J127" s="326" t="s">
        <v>1653</v>
      </c>
      <c r="K127" s="364" t="n">
        <f aca="false">SUMIFS(K142:K2063,T142:T2063,"Revenda",G142:G2063,"Tamani",J142:J2063,"Comum")</f>
        <v>0</v>
      </c>
      <c r="L127" s="403" t="n">
        <f aca="false">SUMIFS(L142:L2063,T142:T2063,"Revenda",G142:G2063,"Quenia",J142:J2063,"Comum")</f>
        <v>0</v>
      </c>
      <c r="M127" s="331" t="e">
        <f aca="false">L127/K127</f>
        <v>#DIV/0!</v>
      </c>
      <c r="N127" s="332"/>
      <c r="P127" s="324" t="str">
        <f aca="false">'COM.'!A20</f>
        <v>Quenia</v>
      </c>
      <c r="Q127" s="326" t="s">
        <v>1653</v>
      </c>
      <c r="R127" s="404" t="n">
        <f aca="false">SUMIFS(K142:K2063,T142:T2063,"Venda",G142:G2063,"Quenia",J142:J2063,"Comum")</f>
        <v>10800</v>
      </c>
      <c r="S127" s="405" t="n">
        <f aca="false">SUMIFS(L142:L2063,T142:T2063,"Venda",G142:G2063,"Quenia",J142:J2063,"Comum")</f>
        <v>3438.92</v>
      </c>
      <c r="T127" s="331" t="n">
        <f aca="false">S127/R127</f>
        <v>0.318418518518519</v>
      </c>
    </row>
    <row r="128" customFormat="false" ht="14.25" hidden="false" customHeight="false" outlineLevel="0" collapsed="false">
      <c r="A128" s="379" t="s">
        <v>19</v>
      </c>
      <c r="B128" s="379"/>
      <c r="C128" s="431" t="n">
        <f aca="false">R55/R66</f>
        <v>0.000547252280531523</v>
      </c>
      <c r="D128" s="431"/>
      <c r="E128" s="427" t="n">
        <v>0</v>
      </c>
      <c r="F128" s="432" t="n">
        <f aca="false">R56/R66</f>
        <v>0.00377604073566751</v>
      </c>
      <c r="G128" s="432" t="n">
        <f aca="false">R57/R66</f>
        <v>0.000955157915557334</v>
      </c>
      <c r="H128" s="215" t="n">
        <f aca="false">SUM(C128:G128)</f>
        <v>0.00527845093175636</v>
      </c>
      <c r="I128" s="324"/>
      <c r="J128" s="335" t="s">
        <v>1651</v>
      </c>
      <c r="K128" s="390" t="n">
        <f aca="false">SUMIFS(K142:K2063,T142:T2063,"Revenda",G142:G2063,"Quenia",J142:J2063,"Golden")</f>
        <v>0</v>
      </c>
      <c r="L128" s="410" t="n">
        <f aca="false">SUMIFS(L142:L2063,T142:T2063,"Revenda",G142:G2063,"Quenia",J142:J2063,"Golden")</f>
        <v>0</v>
      </c>
      <c r="M128" s="339" t="e">
        <f aca="false">L128/K128</f>
        <v>#DIV/0!</v>
      </c>
      <c r="N128" s="332"/>
      <c r="P128" s="324"/>
      <c r="Q128" s="335" t="s">
        <v>1651</v>
      </c>
      <c r="R128" s="45" t="n">
        <f aca="false">SUMIFS(K142:K2063,T142:T2063,"Venda",G142:G2063,"Quenia",J142:J2063,"Golden")</f>
        <v>108337.5</v>
      </c>
      <c r="S128" s="411" t="n">
        <f aca="false">SUMIFS(L142:L2063,T142:T2063,"Venda",G142:G2063,"Quenia",J142:J2063,"Golden")</f>
        <v>109214.7</v>
      </c>
      <c r="T128" s="339" t="n">
        <f aca="false">S128/R128</f>
        <v>1.00809691934926</v>
      </c>
    </row>
    <row r="129" customFormat="false" ht="14.25" hidden="false" customHeight="false" outlineLevel="0" collapsed="false">
      <c r="A129" s="379" t="s">
        <v>20</v>
      </c>
      <c r="B129" s="379"/>
      <c r="C129" s="431" t="n">
        <v>0</v>
      </c>
      <c r="D129" s="431"/>
      <c r="E129" s="427" t="n">
        <f aca="false">R58/R66</f>
        <v>0.00406182803772286</v>
      </c>
      <c r="F129" s="432" t="n">
        <f aca="false">R59/R66</f>
        <v>0</v>
      </c>
      <c r="G129" s="432" t="n">
        <f aca="false">R60/R66</f>
        <v>0.0110954258079798</v>
      </c>
      <c r="H129" s="215" t="n">
        <f aca="false">SUM(C129:G129)</f>
        <v>0.0151572538457027</v>
      </c>
      <c r="I129" s="324"/>
      <c r="J129" s="342" t="s">
        <v>1652</v>
      </c>
      <c r="K129" s="350" t="n">
        <f aca="false">SUMIFS(K142:K2063,T142:T2063,"Revenda",G142:G2063,"Quenia",J142:J2063,"Podium")</f>
        <v>0</v>
      </c>
      <c r="L129" s="413" t="n">
        <f aca="false">SUMIFS(L142:L2063,T142:T2063,"Revenda",G142:G2063,"Quenia",J142:J2063,"Podium")</f>
        <v>0</v>
      </c>
      <c r="M129" s="339" t="e">
        <f aca="false">L129/K129</f>
        <v>#DIV/0!</v>
      </c>
      <c r="N129" s="332"/>
      <c r="P129" s="324"/>
      <c r="Q129" s="342" t="s">
        <v>1652</v>
      </c>
      <c r="R129" s="414" t="n">
        <f aca="false">SUMIFS(K142:K2063,T142:T2063,"Venda",G142:G2063,"Quenia",J142:J2063,"Podium")</f>
        <v>0</v>
      </c>
      <c r="S129" s="415" t="n">
        <f aca="false">SUMIFS(L142:L2063,T142:T2063,"Venda",G142:G2063,"Quenia",J142:J2063,"Podium")</f>
        <v>0</v>
      </c>
      <c r="T129" s="346" t="e">
        <f aca="false">S129/R129</f>
        <v>#DIV/0!</v>
      </c>
    </row>
    <row r="130" customFormat="false" ht="14.25" hidden="false" customHeight="false" outlineLevel="0" collapsed="false">
      <c r="A130" s="379" t="s">
        <v>22</v>
      </c>
      <c r="B130" s="379"/>
      <c r="C130" s="431" t="n">
        <f aca="false">R61/R66</f>
        <v>4.86446471583576E-005</v>
      </c>
      <c r="D130" s="431"/>
      <c r="E130" s="427" t="n">
        <v>0</v>
      </c>
      <c r="F130" s="432" t="n">
        <f aca="false">R62/R66</f>
        <v>0.000487966616807274</v>
      </c>
      <c r="G130" s="432" t="n">
        <f aca="false">R63/R66</f>
        <v>0</v>
      </c>
      <c r="H130" s="215" t="n">
        <f aca="false">SUM(C130:G130)</f>
        <v>0.000536611263965632</v>
      </c>
      <c r="I130" s="324" t="s">
        <v>1678</v>
      </c>
      <c r="J130" s="351" t="s">
        <v>1653</v>
      </c>
      <c r="K130" s="352" t="n">
        <f aca="false">SUMIFS(K142:K2063,T142:T2063,"Revenda",G142:G2063,"Estilozante")</f>
        <v>0</v>
      </c>
      <c r="L130" s="433" t="n">
        <f aca="false">SUMIFS(L142:L2063,T142:T2063,"Revenda",G142:G2063,"Estilozante")</f>
        <v>0</v>
      </c>
      <c r="M130" s="354" t="e">
        <f aca="false">L130/K130</f>
        <v>#DIV/0!</v>
      </c>
      <c r="N130" s="332"/>
      <c r="P130" s="369" t="str">
        <f aca="false">'COM.'!A23</f>
        <v>Estilosantes</v>
      </c>
      <c r="Q130" s="351" t="s">
        <v>1653</v>
      </c>
      <c r="R130" s="428" t="n">
        <f aca="false">SUMIFS(K142:K2063,T142:T2063,"Venda",G142:G2063,"Estilosantes")</f>
        <v>19205</v>
      </c>
      <c r="S130" s="429" t="n">
        <f aca="false">SUMIFS(L142:L2063,T142:T2063,"Venda",G142:G2063,"Estilosantes")</f>
        <v>782895.19</v>
      </c>
      <c r="T130" s="354" t="n">
        <f aca="false">S130/R130</f>
        <v>40.7651752147878</v>
      </c>
    </row>
    <row r="131" customFormat="false" ht="14.25" hidden="false" customHeight="false" outlineLevel="0" collapsed="false">
      <c r="A131" s="379" t="s">
        <v>1678</v>
      </c>
      <c r="B131" s="379"/>
      <c r="C131" s="431" t="n">
        <f aca="false">R64/R66</f>
        <v>8.65018933959498E-005</v>
      </c>
      <c r="D131" s="431"/>
      <c r="E131" s="427" t="n">
        <v>0</v>
      </c>
      <c r="F131" s="432" t="n">
        <v>0</v>
      </c>
      <c r="G131" s="432" t="n">
        <v>0</v>
      </c>
      <c r="H131" s="215" t="n">
        <f aca="false">SUM(C131:G131)</f>
        <v>8.65018933959498E-005</v>
      </c>
      <c r="I131" s="324" t="s">
        <v>21</v>
      </c>
      <c r="J131" s="351" t="s">
        <v>1651</v>
      </c>
      <c r="K131" s="352" t="n">
        <f aca="false">SUMIFS(K142:K2063,T142:T2063,"Revenda",G142:G2063,"Milheto")</f>
        <v>0</v>
      </c>
      <c r="L131" s="433" t="n">
        <f aca="false">SUMIFS(L142:L2063,T142:T2063,"Revenda",H142:H2063,"Milheto")</f>
        <v>0</v>
      </c>
      <c r="M131" s="354" t="e">
        <f aca="false">L131/K131</f>
        <v>#DIV/0!</v>
      </c>
      <c r="N131" s="332"/>
      <c r="P131" s="369" t="s">
        <v>21</v>
      </c>
      <c r="Q131" s="351" t="s">
        <v>1653</v>
      </c>
      <c r="R131" s="428" t="n">
        <f aca="false">SUMIFS(K142:K2063,T142:T2063,"Venda",G142:G2063,"Milheto")</f>
        <v>34670</v>
      </c>
      <c r="S131" s="429" t="n">
        <f aca="false">SUMIFS(L142:L2063,T142:T2063,"Venda",G142:G2063,"Milheto")</f>
        <v>182174.5</v>
      </c>
      <c r="T131" s="354" t="n">
        <f aca="false">S131/R131</f>
        <v>5.25452841072974</v>
      </c>
    </row>
    <row r="132" customFormat="false" ht="14.25" hidden="false" customHeight="false" outlineLevel="0" collapsed="false">
      <c r="A132" s="418" t="s">
        <v>21</v>
      </c>
      <c r="B132" s="418"/>
      <c r="C132" s="434" t="n">
        <v>0</v>
      </c>
      <c r="D132" s="434"/>
      <c r="E132" s="434" t="n">
        <v>0</v>
      </c>
      <c r="F132" s="434" t="n">
        <f aca="false">R65/R66</f>
        <v>0.00015615832564632</v>
      </c>
      <c r="G132" s="434" t="n">
        <v>0</v>
      </c>
      <c r="H132" s="435" t="n">
        <f aca="false">SUM(C132:G132)</f>
        <v>0.00015615832564632</v>
      </c>
      <c r="I132" s="371" t="s">
        <v>1635</v>
      </c>
      <c r="J132" s="372"/>
      <c r="K132" s="374" t="e">
        <f aca="false">SUBTOTAL(9,K75:K131)</f>
        <v>#NAME?</v>
      </c>
      <c r="L132" s="377" t="n">
        <f aca="false">SUBTOTAL(9,L75:L131)</f>
        <v>1500002.44</v>
      </c>
      <c r="M132" s="378" t="e">
        <f aca="false">L132/K132</f>
        <v>#NAME?</v>
      </c>
      <c r="N132" s="332"/>
      <c r="O132" s="389"/>
      <c r="P132" s="371" t="s">
        <v>1635</v>
      </c>
      <c r="Q132" s="372"/>
      <c r="R132" s="374" t="n">
        <f aca="false">SUBTOTAL(9,R75:R131)</f>
        <v>219304020.3361</v>
      </c>
      <c r="S132" s="377" t="n">
        <f aca="false">SUBTOTAL(9,S75:S131)</f>
        <v>68659395.2955</v>
      </c>
      <c r="T132" s="378" t="n">
        <f aca="false">S132/R132</f>
        <v>0.313078598332462</v>
      </c>
    </row>
    <row r="133" customFormat="false" ht="14.25" hidden="false" customHeight="false" outlineLevel="0" collapsed="false">
      <c r="A133" s="9" t="s">
        <v>25</v>
      </c>
      <c r="B133" s="9"/>
      <c r="C133" s="215" t="n">
        <f aca="false">SUM(C114:C132)</f>
        <v>0.051571753195541</v>
      </c>
      <c r="D133" s="215"/>
      <c r="E133" s="215" t="n">
        <f aca="false">SUM(E114:E132)</f>
        <v>0.50186101169744</v>
      </c>
      <c r="F133" s="215" t="n">
        <f aca="false">SUM(F114:F132)</f>
        <v>0.249113817032549</v>
      </c>
      <c r="G133" s="215" t="n">
        <f aca="false">SUM(G114:G132)</f>
        <v>0.19745341807447</v>
      </c>
      <c r="H133" s="215" t="n">
        <f aca="false">SUM(H114:H132)</f>
        <v>1</v>
      </c>
      <c r="I133" s="379" t="s">
        <v>1680</v>
      </c>
      <c r="J133" s="388" t="e">
        <f aca="false">K133/K132</f>
        <v>#NAME?</v>
      </c>
      <c r="K133" s="382" t="n">
        <f aca="false">K103+K109+K115+K108+K123</f>
        <v>0</v>
      </c>
      <c r="L133" s="383" t="n">
        <f aca="false">L103+L115+L109+L108+L123</f>
        <v>0</v>
      </c>
      <c r="M133" s="384" t="e">
        <f aca="false">L133/K133</f>
        <v>#DIV/0!</v>
      </c>
      <c r="N133" s="440" t="n">
        <f aca="false">L133/L132</f>
        <v>0</v>
      </c>
      <c r="O133" s="389"/>
      <c r="P133" s="379" t="s">
        <v>1680</v>
      </c>
      <c r="Q133" s="388" t="n">
        <f aca="false">R133/R132</f>
        <v>0.018719675059802</v>
      </c>
      <c r="R133" s="382" t="n">
        <f aca="false">R103+R109+R115+R123+R108</f>
        <v>4105300</v>
      </c>
      <c r="S133" s="383" t="n">
        <f aca="false">S103+S109+S115+S123+S108+S127</f>
        <v>1500232.92</v>
      </c>
      <c r="T133" s="384" t="n">
        <f aca="false">S133/R133</f>
        <v>0.365438072735245</v>
      </c>
      <c r="U133" s="441" t="n">
        <f aca="false">S133/S132</f>
        <v>0.0218503660503157</v>
      </c>
    </row>
    <row r="134" customFormat="false" ht="14.25" hidden="false" customHeight="false" outlineLevel="0" collapsed="false">
      <c r="A134" s="9"/>
      <c r="B134" s="9"/>
      <c r="C134" s="215"/>
      <c r="D134" s="215"/>
      <c r="E134" s="215"/>
      <c r="F134" s="215"/>
      <c r="G134" s="215"/>
      <c r="H134" s="442"/>
      <c r="I134" s="379" t="s">
        <v>1681</v>
      </c>
      <c r="J134" s="388" t="e">
        <f aca="false">K134/K132</f>
        <v>#NAME?</v>
      </c>
      <c r="K134" s="382" t="n">
        <f aca="false">K75+K79+K83+K87+K92+K104+K110+K116+K130</f>
        <v>147000</v>
      </c>
      <c r="L134" s="383" t="n">
        <f aca="false">L75+L79+L83+L87+L92+L104+L110+L116+L130</f>
        <v>36750</v>
      </c>
      <c r="M134" s="384" t="n">
        <f aca="false">L134/K134</f>
        <v>0.25</v>
      </c>
      <c r="N134" s="440" t="n">
        <f aca="false">L134/L132</f>
        <v>0.0244999601467315</v>
      </c>
      <c r="O134" s="389"/>
      <c r="P134" s="379" t="s">
        <v>1681</v>
      </c>
      <c r="Q134" s="388" t="n">
        <f aca="false">R134/R132</f>
        <v>0.0327708127875893</v>
      </c>
      <c r="R134" s="382" t="n">
        <f aca="false">R75+R79+R83+R87+R92+R99+R104+R110+R116+R130+R120</f>
        <v>7186770.994</v>
      </c>
      <c r="S134" s="383" t="n">
        <f aca="false">S75+S79+S83+S87+S92+S99+S104+S110+S116+S130+S120</f>
        <v>2824433.39</v>
      </c>
      <c r="T134" s="384" t="n">
        <f aca="false">S134/R134</f>
        <v>0.393004506802572</v>
      </c>
      <c r="U134" s="441" t="n">
        <f aca="false">S134/S132</f>
        <v>0.0411368812359044</v>
      </c>
    </row>
    <row r="135" customFormat="false" ht="14.25" hidden="false" customHeight="false" outlineLevel="0" collapsed="false">
      <c r="A135" s="9"/>
      <c r="B135" s="9"/>
      <c r="C135" s="215"/>
      <c r="D135" s="215"/>
      <c r="E135" s="215"/>
      <c r="F135" s="215"/>
      <c r="G135" s="215"/>
      <c r="H135" s="442"/>
      <c r="I135" s="379" t="s">
        <v>1658</v>
      </c>
      <c r="J135" s="388" t="e">
        <f aca="false">K135/K132</f>
        <v>#NAME?</v>
      </c>
      <c r="K135" s="382" t="n">
        <f aca="false">K76+K80+K84+K88+K93+K100+K105+K111+K117</f>
        <v>0</v>
      </c>
      <c r="L135" s="383" t="n">
        <f aca="false">L76+L80+L84+L88+L93+L105+L111+L117</f>
        <v>0</v>
      </c>
      <c r="M135" s="384" t="e">
        <f aca="false">L135/K135</f>
        <v>#DIV/0!</v>
      </c>
      <c r="N135" s="440" t="n">
        <f aca="false">L135/L132</f>
        <v>0</v>
      </c>
      <c r="O135" s="389"/>
      <c r="P135" s="379" t="s">
        <v>1658</v>
      </c>
      <c r="Q135" s="388" t="n">
        <f aca="false">R135/R132</f>
        <v>0.503960252213429</v>
      </c>
      <c r="R135" s="382" t="n">
        <f aca="false">R76+R80+R84+R88+R93+R100+R105+R111+R117</f>
        <v>110520509.4</v>
      </c>
      <c r="S135" s="383" t="n">
        <f aca="false">S76+S80+S84+S88+S93+S105+S111+S117+S100</f>
        <v>17779173.2</v>
      </c>
      <c r="T135" s="384" t="n">
        <f aca="false">S135/R135</f>
        <v>0.160867637115686</v>
      </c>
      <c r="U135" s="441" t="n">
        <f aca="false">S135/S132</f>
        <v>0.258947418972757</v>
      </c>
    </row>
    <row r="136" customFormat="false" ht="14.25" hidden="false" customHeight="false" outlineLevel="0" collapsed="false">
      <c r="A136" s="379"/>
      <c r="B136" s="379"/>
      <c r="C136" s="436"/>
      <c r="D136" s="436"/>
      <c r="E136" s="436"/>
      <c r="F136" s="436"/>
      <c r="G136" s="436"/>
      <c r="H136" s="437"/>
      <c r="I136" s="379" t="s">
        <v>1659</v>
      </c>
      <c r="J136" s="388" t="e">
        <f aca="false">K136/K132</f>
        <v>#NAME?</v>
      </c>
      <c r="K136" s="382" t="n">
        <f aca="false">K77+K81+K85+K89+K94+K97+K101+K106+K112+K118+K124+K126+K128</f>
        <v>2465399.4</v>
      </c>
      <c r="L136" s="383" t="n">
        <f aca="false">L77+L81+L85+L89+L94+L97+L101+L106+L112+L118+L124+L126+L128</f>
        <v>1422597.94</v>
      </c>
      <c r="M136" s="384" t="n">
        <f aca="false">L136/K136</f>
        <v>0.577025345264544</v>
      </c>
      <c r="N136" s="440" t="n">
        <f aca="false">L136/L132</f>
        <v>0.948397083940743</v>
      </c>
      <c r="O136" s="389"/>
      <c r="P136" s="379" t="s">
        <v>1659</v>
      </c>
      <c r="Q136" s="388" t="n">
        <f aca="false">R136/R132</f>
        <v>0.256299926790934</v>
      </c>
      <c r="R136" s="382" t="n">
        <f aca="false">R77+R81+R85+R89+R94+R97+R101+R106+R112+R118+R121+R124+R126+R128+R114+R131</f>
        <v>56207604.3571</v>
      </c>
      <c r="S136" s="383" t="n">
        <f aca="false">S77+S81+S85+S89+S94+S97+S101+S106+S112+S114+S118+S121+S124+S128+S126+S131</f>
        <v>33000090.3655</v>
      </c>
      <c r="T136" s="384" t="n">
        <f aca="false">S136/R136</f>
        <v>0.587110778745216</v>
      </c>
      <c r="U136" s="441" t="n">
        <f aca="false">S136/S132</f>
        <v>0.480634736491232</v>
      </c>
    </row>
    <row r="137" customFormat="false" ht="14.25" hidden="false" customHeight="false" outlineLevel="0" collapsed="false">
      <c r="A137" s="430"/>
      <c r="B137" s="430"/>
      <c r="C137" s="436"/>
      <c r="D137" s="436"/>
      <c r="E137" s="436"/>
      <c r="F137" s="436"/>
      <c r="G137" s="436"/>
      <c r="H137" s="437"/>
      <c r="I137" s="379" t="s">
        <v>1660</v>
      </c>
      <c r="J137" s="388" t="e">
        <f aca="false">K137/K132</f>
        <v>#NAME?</v>
      </c>
      <c r="K137" s="382" t="n">
        <f aca="false">K78+K82+K90+K95+K107+K119+K129+K91+K102</f>
        <v>92494.5</v>
      </c>
      <c r="L137" s="383" t="n">
        <f aca="false">SUM(L78+L82+L86+L90+L95+L98+L102+L107+L113+L119+L122+L125+L129+L91)</f>
        <v>40654.5</v>
      </c>
      <c r="M137" s="384" t="n">
        <f aca="false">L137/K137</f>
        <v>0.439534242576586</v>
      </c>
      <c r="N137" s="440" t="n">
        <f aca="false">L137/L132</f>
        <v>0.0271029559125251</v>
      </c>
      <c r="O137" s="389"/>
      <c r="P137" s="379" t="s">
        <v>1660</v>
      </c>
      <c r="Q137" s="388" t="n">
        <f aca="false">R137/R132</f>
        <v>0.188200086445045</v>
      </c>
      <c r="R137" s="382" t="n">
        <f aca="false">R78+R82+R86+R90+R95+R98+R102+R107+R113+R119+R122+R125+R129+R91</f>
        <v>41273035.585</v>
      </c>
      <c r="S137" s="383" t="n">
        <f aca="false">S78+S82+S86+S90+S95+S98+S102+S107+S113+S119+S122+S125+S129+S91</f>
        <v>13555465.42</v>
      </c>
      <c r="T137" s="384" t="n">
        <f aca="false">S137/R137</f>
        <v>0.328433933386923</v>
      </c>
      <c r="U137" s="441" t="n">
        <f aca="false">S137/S132</f>
        <v>0.19743059724979</v>
      </c>
    </row>
    <row r="138" s="44" customFormat="true" ht="14.25" hidden="false" customHeight="false" outlineLevel="0" collapsed="false">
      <c r="A138" s="379"/>
      <c r="B138" s="379"/>
      <c r="C138" s="436"/>
      <c r="D138" s="436"/>
      <c r="E138" s="436"/>
      <c r="F138" s="436"/>
      <c r="G138" s="436"/>
      <c r="H138" s="437"/>
      <c r="I138" s="379"/>
      <c r="K138" s="390"/>
      <c r="L138" s="443"/>
      <c r="M138" s="332"/>
      <c r="N138" s="332"/>
      <c r="O138" s="389"/>
      <c r="P138" s="379"/>
      <c r="R138" s="390"/>
      <c r="S138" s="444"/>
      <c r="T138" s="332"/>
    </row>
    <row r="139" customFormat="false" ht="17.35" hidden="false" customHeight="false" outlineLevel="0" collapsed="false">
      <c r="A139" s="445" t="s">
        <v>1682</v>
      </c>
      <c r="B139" s="445"/>
      <c r="C139" s="445"/>
      <c r="D139" s="445"/>
      <c r="E139" s="445"/>
      <c r="F139" s="445"/>
      <c r="G139" s="445"/>
      <c r="H139" s="445"/>
      <c r="I139" s="445"/>
      <c r="J139" s="445"/>
      <c r="K139" s="445"/>
      <c r="L139" s="445"/>
      <c r="M139" s="445"/>
      <c r="N139" s="445"/>
      <c r="O139" s="445"/>
      <c r="P139" s="445"/>
      <c r="Q139" s="445"/>
      <c r="R139" s="445"/>
      <c r="S139" s="445"/>
      <c r="T139" s="445"/>
      <c r="U139" s="193"/>
    </row>
    <row r="140" customFormat="false" ht="14.25" hidden="false" customHeight="false" outlineLevel="0" collapsed="false">
      <c r="A140" s="446"/>
      <c r="B140" s="446"/>
      <c r="C140" s="446"/>
      <c r="D140" s="446"/>
      <c r="E140" s="446"/>
      <c r="F140" s="446"/>
      <c r="G140" s="446"/>
      <c r="H140" s="446"/>
      <c r="I140" s="446"/>
      <c r="J140" s="447"/>
      <c r="K140" s="446"/>
      <c r="L140" s="448"/>
      <c r="M140" s="446"/>
      <c r="N140" s="446"/>
      <c r="O140" s="449" t="s">
        <v>175</v>
      </c>
      <c r="P140" s="449" t="s">
        <v>175</v>
      </c>
      <c r="Q140" s="449" t="s">
        <v>31</v>
      </c>
      <c r="R140" s="449" t="s">
        <v>31</v>
      </c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</row>
    <row r="141" s="323" customFormat="true" ht="14.25" hidden="false" customHeight="false" outlineLevel="0" collapsed="false">
      <c r="A141" s="450" t="s">
        <v>1683</v>
      </c>
      <c r="B141" s="450"/>
      <c r="C141" s="450" t="s">
        <v>1684</v>
      </c>
      <c r="D141" s="450"/>
      <c r="E141" s="450" t="s">
        <v>1685</v>
      </c>
      <c r="F141" s="450" t="s">
        <v>1686</v>
      </c>
      <c r="G141" s="450" t="s">
        <v>1</v>
      </c>
      <c r="H141" s="450" t="s">
        <v>1687</v>
      </c>
      <c r="I141" s="451" t="s">
        <v>31</v>
      </c>
      <c r="J141" s="450" t="s">
        <v>1688</v>
      </c>
      <c r="K141" s="450" t="s">
        <v>1689</v>
      </c>
      <c r="L141" s="40" t="s">
        <v>1648</v>
      </c>
      <c r="M141" s="450" t="s">
        <v>4</v>
      </c>
      <c r="N141" s="450" t="s">
        <v>1690</v>
      </c>
      <c r="O141" s="451" t="s">
        <v>1691</v>
      </c>
      <c r="P141" s="451" t="s">
        <v>1692</v>
      </c>
      <c r="Q141" s="451" t="s">
        <v>1691</v>
      </c>
      <c r="R141" s="451" t="s">
        <v>1693</v>
      </c>
      <c r="S141" s="452" t="s">
        <v>1694</v>
      </c>
      <c r="T141" s="452" t="s">
        <v>1695</v>
      </c>
      <c r="U141" s="453" t="s">
        <v>1696</v>
      </c>
      <c r="V141" s="454" t="s">
        <v>1697</v>
      </c>
      <c r="W141" s="454" t="s">
        <v>1698</v>
      </c>
      <c r="X141" s="454" t="s">
        <v>1699</v>
      </c>
      <c r="Y141" s="454" t="s">
        <v>1700</v>
      </c>
      <c r="Z141" s="454" t="s">
        <v>1701</v>
      </c>
      <c r="AA141" s="454" t="s">
        <v>1702</v>
      </c>
      <c r="AB141" s="454" t="s">
        <v>1703</v>
      </c>
      <c r="AC141" s="454" t="s">
        <v>1704</v>
      </c>
      <c r="AD141" s="454" t="s">
        <v>1705</v>
      </c>
      <c r="AE141" s="454" t="s">
        <v>1706</v>
      </c>
      <c r="AF141" s="454" t="s">
        <v>1707</v>
      </c>
      <c r="AG141" s="454" t="s">
        <v>1708</v>
      </c>
      <c r="AH141" s="454" t="s">
        <v>1709</v>
      </c>
      <c r="AI141" s="454" t="s">
        <v>1675</v>
      </c>
    </row>
    <row r="142" customFormat="false" ht="15" hidden="false" customHeight="true" outlineLevel="0" collapsed="false">
      <c r="A142" s="455" t="s">
        <v>1710</v>
      </c>
      <c r="C142" s="456" t="n">
        <v>45426</v>
      </c>
      <c r="D142" s="456"/>
      <c r="E142" s="108" t="n">
        <v>13625</v>
      </c>
      <c r="F142" s="323" t="s">
        <v>175</v>
      </c>
      <c r="G142" s="108" t="s">
        <v>42</v>
      </c>
      <c r="H142" s="97" t="n">
        <v>600</v>
      </c>
      <c r="I142" s="457" t="n">
        <v>30</v>
      </c>
      <c r="J142" s="313" t="s">
        <v>1651</v>
      </c>
      <c r="K142" s="458" t="n">
        <f aca="false">I142*H142</f>
        <v>18000</v>
      </c>
      <c r="L142" s="411" t="n">
        <v>10140</v>
      </c>
      <c r="M142" s="459" t="n">
        <f aca="false">L142/K142</f>
        <v>0.563333333333333</v>
      </c>
      <c r="N142" s="460" t="n">
        <f aca="false">I142*M142</f>
        <v>16.9</v>
      </c>
      <c r="O142" s="461" t="n">
        <v>600</v>
      </c>
      <c r="P142" s="462" t="n">
        <f aca="false">H142-O142</f>
        <v>0</v>
      </c>
      <c r="Q142" s="463" t="n">
        <f aca="false">O142*I142</f>
        <v>18000</v>
      </c>
      <c r="R142" s="48" t="n">
        <f aca="false">K142-Q142</f>
        <v>0</v>
      </c>
      <c r="S142" s="108"/>
      <c r="T142" s="2" t="s">
        <v>1711</v>
      </c>
      <c r="V142" s="464"/>
      <c r="W142" s="464"/>
      <c r="X142" s="464"/>
      <c r="Y142" s="464"/>
      <c r="Z142" s="464"/>
      <c r="AA142" s="464"/>
      <c r="AB142" s="464"/>
      <c r="AC142" s="464"/>
      <c r="AD142" s="464"/>
      <c r="AE142" s="464"/>
      <c r="AF142" s="464"/>
      <c r="AG142" s="464"/>
      <c r="AH142" s="465"/>
      <c r="AI142" s="464" t="n">
        <f aca="false">SUM(V142:AH142)</f>
        <v>0</v>
      </c>
    </row>
    <row r="143" customFormat="false" ht="15" hidden="false" customHeight="true" outlineLevel="0" collapsed="false">
      <c r="A143" s="455" t="s">
        <v>1710</v>
      </c>
      <c r="C143" s="456" t="n">
        <v>45426</v>
      </c>
      <c r="D143" s="456"/>
      <c r="E143" s="108" t="n">
        <v>13625</v>
      </c>
      <c r="F143" s="323" t="s">
        <v>175</v>
      </c>
      <c r="G143" s="108" t="s">
        <v>5</v>
      </c>
      <c r="H143" s="97" t="n">
        <v>1000</v>
      </c>
      <c r="I143" s="457" t="n">
        <v>25.71</v>
      </c>
      <c r="J143" s="313" t="s">
        <v>1651</v>
      </c>
      <c r="K143" s="458" t="n">
        <f aca="false">I143*H143</f>
        <v>25710</v>
      </c>
      <c r="L143" s="411" t="n">
        <v>13200</v>
      </c>
      <c r="M143" s="459" t="n">
        <f aca="false">L143/K143</f>
        <v>0.513418903150525</v>
      </c>
      <c r="N143" s="460" t="n">
        <f aca="false">I143*M143</f>
        <v>13.2</v>
      </c>
      <c r="O143" s="461" t="n">
        <v>1000</v>
      </c>
      <c r="P143" s="462" t="n">
        <f aca="false">H143-O143</f>
        <v>0</v>
      </c>
      <c r="Q143" s="463" t="n">
        <f aca="false">O143*I143</f>
        <v>25710</v>
      </c>
      <c r="R143" s="48" t="n">
        <f aca="false">K143-Q143</f>
        <v>0</v>
      </c>
      <c r="S143" s="108"/>
      <c r="T143" s="2" t="s">
        <v>1711</v>
      </c>
      <c r="V143" s="464"/>
      <c r="W143" s="464"/>
      <c r="X143" s="464"/>
      <c r="Y143" s="464"/>
      <c r="Z143" s="464"/>
      <c r="AA143" s="464"/>
      <c r="AB143" s="464"/>
      <c r="AC143" s="464"/>
      <c r="AD143" s="464"/>
      <c r="AE143" s="464"/>
      <c r="AF143" s="464"/>
      <c r="AG143" s="464"/>
      <c r="AH143" s="465"/>
      <c r="AI143" s="464" t="n">
        <f aca="false">SUM(V143:AH143)</f>
        <v>0</v>
      </c>
    </row>
    <row r="144" customFormat="false" ht="15" hidden="false" customHeight="true" outlineLevel="0" collapsed="false">
      <c r="A144" s="455" t="s">
        <v>1710</v>
      </c>
      <c r="C144" s="456" t="n">
        <v>45426</v>
      </c>
      <c r="D144" s="456"/>
      <c r="E144" s="108" t="n">
        <v>13625</v>
      </c>
      <c r="F144" s="323" t="s">
        <v>175</v>
      </c>
      <c r="G144" s="108" t="s">
        <v>7</v>
      </c>
      <c r="H144" s="97" t="n">
        <v>300</v>
      </c>
      <c r="I144" s="457" t="n">
        <v>25.71</v>
      </c>
      <c r="J144" s="313" t="s">
        <v>1651</v>
      </c>
      <c r="K144" s="458" t="n">
        <f aca="false">I144*H144</f>
        <v>7713</v>
      </c>
      <c r="L144" s="411" t="n">
        <v>4770</v>
      </c>
      <c r="M144" s="459" t="n">
        <f aca="false">L144/K144</f>
        <v>0.618436406067678</v>
      </c>
      <c r="N144" s="460" t="n">
        <f aca="false">I144*M144</f>
        <v>15.9</v>
      </c>
      <c r="O144" s="461" t="n">
        <v>300</v>
      </c>
      <c r="P144" s="462" t="n">
        <f aca="false">H144-O144</f>
        <v>0</v>
      </c>
      <c r="Q144" s="463" t="n">
        <f aca="false">O144*I144</f>
        <v>7713</v>
      </c>
      <c r="R144" s="48" t="n">
        <f aca="false">K144-Q144</f>
        <v>0</v>
      </c>
      <c r="S144" s="108"/>
      <c r="T144" s="2" t="s">
        <v>1711</v>
      </c>
      <c r="V144" s="464"/>
      <c r="W144" s="464"/>
      <c r="X144" s="464"/>
      <c r="Y144" s="464"/>
      <c r="Z144" s="464"/>
      <c r="AA144" s="464"/>
      <c r="AB144" s="464"/>
      <c r="AC144" s="464"/>
      <c r="AD144" s="464"/>
      <c r="AE144" s="464"/>
      <c r="AF144" s="464"/>
      <c r="AG144" s="464"/>
      <c r="AH144" s="465"/>
      <c r="AI144" s="464" t="n">
        <f aca="false">SUM(V144:AH144)</f>
        <v>0</v>
      </c>
    </row>
    <row r="145" customFormat="false" ht="15" hidden="false" customHeight="true" outlineLevel="0" collapsed="false">
      <c r="A145" s="455" t="s">
        <v>1710</v>
      </c>
      <c r="C145" s="456" t="n">
        <v>45426</v>
      </c>
      <c r="D145" s="456"/>
      <c r="E145" s="108" t="n">
        <v>13625</v>
      </c>
      <c r="F145" s="323" t="s">
        <v>175</v>
      </c>
      <c r="G145" s="108" t="s">
        <v>11</v>
      </c>
      <c r="H145" s="97" t="n">
        <v>200</v>
      </c>
      <c r="I145" s="457" t="n">
        <v>14</v>
      </c>
      <c r="J145" s="313" t="s">
        <v>1651</v>
      </c>
      <c r="K145" s="458" t="n">
        <f aca="false">I145*H145</f>
        <v>2800</v>
      </c>
      <c r="L145" s="411" t="n">
        <v>11600</v>
      </c>
      <c r="M145" s="459" t="n">
        <f aca="false">L145/K145</f>
        <v>4.14285714285714</v>
      </c>
      <c r="N145" s="460" t="n">
        <f aca="false">I145*M145</f>
        <v>58</v>
      </c>
      <c r="O145" s="461" t="n">
        <v>200</v>
      </c>
      <c r="P145" s="462" t="n">
        <f aca="false">H145-O145</f>
        <v>0</v>
      </c>
      <c r="Q145" s="463" t="n">
        <f aca="false">O145*I145</f>
        <v>2800</v>
      </c>
      <c r="R145" s="48" t="n">
        <f aca="false">K145-Q145</f>
        <v>0</v>
      </c>
      <c r="S145" s="108"/>
      <c r="T145" s="2" t="s">
        <v>1711</v>
      </c>
      <c r="V145" s="464"/>
      <c r="W145" s="464"/>
      <c r="X145" s="464"/>
      <c r="Y145" s="464"/>
      <c r="Z145" s="464"/>
      <c r="AA145" s="464"/>
      <c r="AB145" s="464"/>
      <c r="AC145" s="464"/>
      <c r="AD145" s="464"/>
      <c r="AE145" s="464"/>
      <c r="AF145" s="464"/>
      <c r="AG145" s="464"/>
      <c r="AH145" s="465"/>
      <c r="AI145" s="464" t="n">
        <f aca="false">SUM(V145:AH145)</f>
        <v>0</v>
      </c>
    </row>
    <row r="146" customFormat="false" ht="15" hidden="false" customHeight="true" outlineLevel="0" collapsed="false">
      <c r="A146" s="455" t="s">
        <v>1712</v>
      </c>
      <c r="C146" s="456" t="n">
        <v>45432</v>
      </c>
      <c r="D146" s="456"/>
      <c r="E146" s="108" t="n">
        <v>13631</v>
      </c>
      <c r="F146" s="323" t="s">
        <v>175</v>
      </c>
      <c r="G146" s="108" t="s">
        <v>11</v>
      </c>
      <c r="H146" s="97" t="n">
        <v>100</v>
      </c>
      <c r="I146" s="457" t="n">
        <v>14</v>
      </c>
      <c r="J146" s="313" t="s">
        <v>1651</v>
      </c>
      <c r="K146" s="458" t="n">
        <f aca="false">I146*H146</f>
        <v>1400</v>
      </c>
      <c r="L146" s="411" t="n">
        <v>5500</v>
      </c>
      <c r="M146" s="459" t="n">
        <f aca="false">L146/K146</f>
        <v>3.92857142857143</v>
      </c>
      <c r="N146" s="460" t="n">
        <f aca="false">I146*M146</f>
        <v>55</v>
      </c>
      <c r="O146" s="461" t="n">
        <v>100</v>
      </c>
      <c r="P146" s="462" t="n">
        <f aca="false">H146-O146</f>
        <v>0</v>
      </c>
      <c r="Q146" s="463" t="n">
        <f aca="false">O146*I146</f>
        <v>1400</v>
      </c>
      <c r="R146" s="48" t="n">
        <f aca="false">K146-Q146</f>
        <v>0</v>
      </c>
      <c r="S146" s="108"/>
      <c r="T146" s="2" t="s">
        <v>1711</v>
      </c>
      <c r="V146" s="464"/>
      <c r="W146" s="464"/>
      <c r="X146" s="464"/>
      <c r="Y146" s="464"/>
      <c r="Z146" s="464"/>
      <c r="AA146" s="464"/>
      <c r="AB146" s="464"/>
      <c r="AC146" s="464"/>
      <c r="AD146" s="464"/>
      <c r="AE146" s="464"/>
      <c r="AF146" s="464"/>
      <c r="AG146" s="464"/>
      <c r="AH146" s="465"/>
      <c r="AI146" s="464" t="n">
        <f aca="false">SUM(V146:AH146)</f>
        <v>0</v>
      </c>
    </row>
    <row r="147" customFormat="false" ht="15" hidden="false" customHeight="true" outlineLevel="0" collapsed="false">
      <c r="A147" s="455" t="s">
        <v>1713</v>
      </c>
      <c r="C147" s="456" t="n">
        <v>45440</v>
      </c>
      <c r="D147" s="456"/>
      <c r="E147" s="108" t="n">
        <v>13651</v>
      </c>
      <c r="F147" s="323" t="s">
        <v>175</v>
      </c>
      <c r="G147" s="108" t="s">
        <v>5</v>
      </c>
      <c r="H147" s="97" t="n">
        <v>75</v>
      </c>
      <c r="I147" s="457" t="n">
        <v>25.71</v>
      </c>
      <c r="J147" s="313" t="s">
        <v>1651</v>
      </c>
      <c r="K147" s="458" t="n">
        <f aca="false">I147*H147</f>
        <v>1928.25</v>
      </c>
      <c r="L147" s="411" t="n">
        <v>1053</v>
      </c>
      <c r="M147" s="459" t="n">
        <f aca="false">L147/K147</f>
        <v>0.546091015169195</v>
      </c>
      <c r="N147" s="460" t="n">
        <f aca="false">I147*M147</f>
        <v>14.04</v>
      </c>
      <c r="O147" s="461" t="n">
        <v>75</v>
      </c>
      <c r="P147" s="462" t="n">
        <f aca="false">H147-O147</f>
        <v>0</v>
      </c>
      <c r="Q147" s="463" t="n">
        <f aca="false">O147*I147</f>
        <v>1928.25</v>
      </c>
      <c r="R147" s="48" t="n">
        <f aca="false">K147-Q147</f>
        <v>0</v>
      </c>
      <c r="S147" s="108"/>
      <c r="T147" s="2" t="s">
        <v>1711</v>
      </c>
      <c r="V147" s="464"/>
      <c r="W147" s="464"/>
      <c r="X147" s="464"/>
      <c r="Y147" s="464"/>
      <c r="Z147" s="464"/>
      <c r="AA147" s="464"/>
      <c r="AB147" s="464"/>
      <c r="AC147" s="464"/>
      <c r="AD147" s="464"/>
      <c r="AE147" s="464"/>
      <c r="AF147" s="464"/>
      <c r="AG147" s="464"/>
      <c r="AH147" s="465"/>
      <c r="AI147" s="464" t="n">
        <f aca="false">SUM(V147:AH147)</f>
        <v>0</v>
      </c>
    </row>
    <row r="148" customFormat="false" ht="15" hidden="false" customHeight="true" outlineLevel="0" collapsed="false">
      <c r="A148" s="455" t="s">
        <v>1714</v>
      </c>
      <c r="C148" s="456" t="n">
        <v>45440</v>
      </c>
      <c r="D148" s="456"/>
      <c r="E148" s="108" t="n">
        <v>13652</v>
      </c>
      <c r="F148" s="323" t="s">
        <v>175</v>
      </c>
      <c r="G148" s="108" t="s">
        <v>42</v>
      </c>
      <c r="H148" s="97" t="n">
        <v>500</v>
      </c>
      <c r="I148" s="457" t="n">
        <v>30</v>
      </c>
      <c r="J148" s="313" t="s">
        <v>1651</v>
      </c>
      <c r="K148" s="458" t="n">
        <f aca="false">I148*H148</f>
        <v>15000</v>
      </c>
      <c r="L148" s="411" t="n">
        <v>8450</v>
      </c>
      <c r="M148" s="459" t="n">
        <f aca="false">L148/K148</f>
        <v>0.563333333333333</v>
      </c>
      <c r="N148" s="460" t="n">
        <f aca="false">I148*M148</f>
        <v>16.9</v>
      </c>
      <c r="O148" s="461" t="n">
        <v>500</v>
      </c>
      <c r="P148" s="462" t="n">
        <f aca="false">H148-O148</f>
        <v>0</v>
      </c>
      <c r="Q148" s="463" t="n">
        <f aca="false">O148*I148</f>
        <v>15000</v>
      </c>
      <c r="R148" s="48" t="n">
        <f aca="false">K148-Q148</f>
        <v>0</v>
      </c>
      <c r="S148" s="108"/>
      <c r="T148" s="2" t="s">
        <v>1711</v>
      </c>
      <c r="V148" s="464"/>
      <c r="W148" s="464"/>
      <c r="X148" s="464"/>
      <c r="Y148" s="464"/>
      <c r="Z148" s="464"/>
      <c r="AA148" s="464"/>
      <c r="AB148" s="464"/>
      <c r="AC148" s="464"/>
      <c r="AD148" s="464"/>
      <c r="AE148" s="464"/>
      <c r="AF148" s="464"/>
      <c r="AG148" s="464"/>
      <c r="AH148" s="465"/>
      <c r="AI148" s="464" t="n">
        <f aca="false">SUM(V148:AH148)</f>
        <v>0</v>
      </c>
    </row>
    <row r="149" customFormat="false" ht="15" hidden="false" customHeight="true" outlineLevel="0" collapsed="false">
      <c r="A149" s="455" t="s">
        <v>1714</v>
      </c>
      <c r="C149" s="456" t="n">
        <v>45440</v>
      </c>
      <c r="D149" s="456"/>
      <c r="E149" s="108" t="n">
        <v>13652</v>
      </c>
      <c r="F149" s="323" t="s">
        <v>175</v>
      </c>
      <c r="G149" s="108" t="s">
        <v>5</v>
      </c>
      <c r="H149" s="97" t="n">
        <v>1000</v>
      </c>
      <c r="I149" s="457" t="n">
        <v>25.71</v>
      </c>
      <c r="J149" s="313" t="s">
        <v>1651</v>
      </c>
      <c r="K149" s="458" t="n">
        <f aca="false">I149*H149</f>
        <v>25710</v>
      </c>
      <c r="L149" s="411" t="n">
        <v>15900</v>
      </c>
      <c r="M149" s="459" t="n">
        <f aca="false">L149/K149</f>
        <v>0.618436406067678</v>
      </c>
      <c r="N149" s="460" t="n">
        <f aca="false">I149*M149</f>
        <v>15.9</v>
      </c>
      <c r="O149" s="461" t="n">
        <v>1000</v>
      </c>
      <c r="P149" s="462" t="n">
        <f aca="false">H149-O149</f>
        <v>0</v>
      </c>
      <c r="Q149" s="463" t="n">
        <f aca="false">O149*I149</f>
        <v>25710</v>
      </c>
      <c r="R149" s="48" t="n">
        <f aca="false">K149-Q149</f>
        <v>0</v>
      </c>
      <c r="S149" s="108"/>
      <c r="T149" s="2" t="s">
        <v>1711</v>
      </c>
      <c r="V149" s="464"/>
      <c r="W149" s="464"/>
      <c r="X149" s="464"/>
      <c r="Y149" s="464"/>
      <c r="Z149" s="464"/>
      <c r="AA149" s="464"/>
      <c r="AB149" s="464"/>
      <c r="AC149" s="464"/>
      <c r="AD149" s="464"/>
      <c r="AE149" s="464"/>
      <c r="AF149" s="464"/>
      <c r="AG149" s="464"/>
      <c r="AH149" s="465"/>
      <c r="AI149" s="464" t="n">
        <f aca="false">SUM(V149:AH149)</f>
        <v>0</v>
      </c>
    </row>
    <row r="150" customFormat="false" ht="15" hidden="false" customHeight="true" outlineLevel="0" collapsed="false">
      <c r="A150" s="455" t="s">
        <v>1715</v>
      </c>
      <c r="C150" s="456" t="n">
        <v>45441</v>
      </c>
      <c r="D150" s="456"/>
      <c r="E150" s="108" t="n">
        <v>13653</v>
      </c>
      <c r="F150" s="323" t="s">
        <v>175</v>
      </c>
      <c r="G150" s="108" t="s">
        <v>13</v>
      </c>
      <c r="H150" s="97" t="n">
        <v>15</v>
      </c>
      <c r="I150" s="457" t="n">
        <v>22.5</v>
      </c>
      <c r="J150" s="313" t="s">
        <v>1651</v>
      </c>
      <c r="K150" s="458" t="n">
        <f aca="false">I150*H150</f>
        <v>337.5</v>
      </c>
      <c r="L150" s="411" t="n">
        <v>212.85</v>
      </c>
      <c r="M150" s="459" t="n">
        <f aca="false">L150/K150</f>
        <v>0.630666666666667</v>
      </c>
      <c r="N150" s="460" t="n">
        <f aca="false">I150*M150</f>
        <v>14.19</v>
      </c>
      <c r="O150" s="461" t="n">
        <v>15</v>
      </c>
      <c r="P150" s="462" t="n">
        <f aca="false">H150-O150</f>
        <v>0</v>
      </c>
      <c r="Q150" s="463" t="n">
        <f aca="false">O150*I150</f>
        <v>337.5</v>
      </c>
      <c r="R150" s="48" t="n">
        <f aca="false">K150-Q150</f>
        <v>0</v>
      </c>
      <c r="S150" s="108"/>
      <c r="T150" s="2" t="s">
        <v>1711</v>
      </c>
      <c r="V150" s="464"/>
      <c r="W150" s="464"/>
      <c r="X150" s="464"/>
      <c r="Y150" s="464"/>
      <c r="Z150" s="464"/>
      <c r="AA150" s="464"/>
      <c r="AB150" s="464"/>
      <c r="AC150" s="464"/>
      <c r="AD150" s="464"/>
      <c r="AE150" s="464"/>
      <c r="AF150" s="464"/>
      <c r="AG150" s="464"/>
      <c r="AH150" s="465"/>
      <c r="AI150" s="464" t="n">
        <f aca="false">SUM(V150:AH150)</f>
        <v>0</v>
      </c>
    </row>
    <row r="151" customFormat="false" ht="15" hidden="false" customHeight="true" outlineLevel="0" collapsed="false">
      <c r="A151" s="455" t="s">
        <v>1716</v>
      </c>
      <c r="C151" s="456" t="n">
        <v>45441</v>
      </c>
      <c r="D151" s="456"/>
      <c r="E151" s="108" t="n">
        <v>13658</v>
      </c>
      <c r="F151" s="323" t="s">
        <v>175</v>
      </c>
      <c r="G151" s="323" t="s">
        <v>42</v>
      </c>
      <c r="H151" s="97" t="n">
        <v>3000</v>
      </c>
      <c r="I151" s="457" t="n">
        <v>30</v>
      </c>
      <c r="J151" s="313" t="s">
        <v>1651</v>
      </c>
      <c r="K151" s="458" t="n">
        <f aca="false">I151*H151</f>
        <v>90000</v>
      </c>
      <c r="L151" s="411" t="n">
        <v>50700</v>
      </c>
      <c r="M151" s="459" t="n">
        <f aca="false">L151/K151</f>
        <v>0.563333333333333</v>
      </c>
      <c r="N151" s="460" t="n">
        <f aca="false">I151*M151</f>
        <v>16.9</v>
      </c>
      <c r="O151" s="461" t="n">
        <v>3000</v>
      </c>
      <c r="P151" s="462" t="n">
        <f aca="false">H151-O151</f>
        <v>0</v>
      </c>
      <c r="Q151" s="463" t="n">
        <f aca="false">O151*I151</f>
        <v>90000</v>
      </c>
      <c r="R151" s="48" t="n">
        <f aca="false">K151-Q151</f>
        <v>0</v>
      </c>
      <c r="S151" s="108"/>
      <c r="T151" s="2" t="s">
        <v>1711</v>
      </c>
      <c r="V151" s="464"/>
      <c r="W151" s="464"/>
      <c r="X151" s="464"/>
      <c r="Y151" s="464"/>
      <c r="Z151" s="464"/>
      <c r="AA151" s="464"/>
      <c r="AB151" s="464"/>
      <c r="AC151" s="464"/>
      <c r="AD151" s="464"/>
      <c r="AE151" s="464"/>
      <c r="AF151" s="464"/>
      <c r="AG151" s="464"/>
      <c r="AH151" s="465"/>
      <c r="AI151" s="464"/>
    </row>
    <row r="152" customFormat="false" ht="15" hidden="false" customHeight="true" outlineLevel="0" collapsed="false">
      <c r="A152" s="455" t="s">
        <v>1716</v>
      </c>
      <c r="C152" s="456" t="n">
        <v>45441</v>
      </c>
      <c r="D152" s="456"/>
      <c r="E152" s="108" t="n">
        <v>13658</v>
      </c>
      <c r="F152" s="323" t="s">
        <v>175</v>
      </c>
      <c r="G152" s="323" t="s">
        <v>7</v>
      </c>
      <c r="H152" s="97" t="n">
        <v>1500</v>
      </c>
      <c r="I152" s="457" t="n">
        <v>25.71</v>
      </c>
      <c r="J152" s="313" t="s">
        <v>1651</v>
      </c>
      <c r="K152" s="458" t="n">
        <f aca="false">I152*H152</f>
        <v>38565</v>
      </c>
      <c r="L152" s="411" t="n">
        <v>24300</v>
      </c>
      <c r="M152" s="459" t="n">
        <f aca="false">L152/K152</f>
        <v>0.630105017502917</v>
      </c>
      <c r="N152" s="460" t="n">
        <f aca="false">I152*M152</f>
        <v>16.2</v>
      </c>
      <c r="O152" s="461" t="n">
        <v>1500</v>
      </c>
      <c r="P152" s="462" t="n">
        <f aca="false">H152-O152</f>
        <v>0</v>
      </c>
      <c r="Q152" s="463" t="n">
        <f aca="false">O152*I152</f>
        <v>38565</v>
      </c>
      <c r="R152" s="48" t="n">
        <f aca="false">K152-Q152</f>
        <v>0</v>
      </c>
      <c r="S152" s="108"/>
      <c r="T152" s="2" t="s">
        <v>1711</v>
      </c>
      <c r="V152" s="464"/>
      <c r="W152" s="464"/>
      <c r="X152" s="464"/>
      <c r="Y152" s="464"/>
      <c r="Z152" s="464"/>
      <c r="AA152" s="464"/>
      <c r="AB152" s="464"/>
      <c r="AC152" s="464"/>
      <c r="AD152" s="464"/>
      <c r="AE152" s="464"/>
      <c r="AF152" s="464"/>
      <c r="AG152" s="464"/>
      <c r="AH152" s="465"/>
      <c r="AI152" s="464"/>
    </row>
    <row r="153" customFormat="false" ht="15" hidden="false" customHeight="true" outlineLevel="0" collapsed="false">
      <c r="A153" s="455" t="s">
        <v>1716</v>
      </c>
      <c r="C153" s="456" t="n">
        <v>45441</v>
      </c>
      <c r="D153" s="456"/>
      <c r="E153" s="108" t="n">
        <v>13658</v>
      </c>
      <c r="F153" s="323" t="s">
        <v>175</v>
      </c>
      <c r="G153" s="323" t="s">
        <v>6</v>
      </c>
      <c r="H153" s="98" t="n">
        <v>2000</v>
      </c>
      <c r="I153" s="457" t="n">
        <v>30</v>
      </c>
      <c r="J153" s="313" t="s">
        <v>1651</v>
      </c>
      <c r="K153" s="458" t="n">
        <f aca="false">I153*H153</f>
        <v>60000</v>
      </c>
      <c r="L153" s="411" t="n">
        <v>29800</v>
      </c>
      <c r="M153" s="459" t="n">
        <f aca="false">L153/K153</f>
        <v>0.496666666666667</v>
      </c>
      <c r="N153" s="460" t="n">
        <f aca="false">I153*M153</f>
        <v>14.9</v>
      </c>
      <c r="O153" s="461" t="n">
        <v>2000</v>
      </c>
      <c r="P153" s="462" t="n">
        <f aca="false">H153-O153</f>
        <v>0</v>
      </c>
      <c r="Q153" s="463" t="n">
        <f aca="false">O153*I153</f>
        <v>60000</v>
      </c>
      <c r="R153" s="48" t="n">
        <f aca="false">K153-Q153</f>
        <v>0</v>
      </c>
      <c r="S153" s="108"/>
      <c r="T153" s="2" t="s">
        <v>1711</v>
      </c>
      <c r="V153" s="464"/>
      <c r="W153" s="464"/>
      <c r="X153" s="464"/>
      <c r="Y153" s="464"/>
      <c r="Z153" s="464"/>
      <c r="AA153" s="464"/>
      <c r="AB153" s="464"/>
      <c r="AC153" s="464"/>
      <c r="AD153" s="464"/>
      <c r="AE153" s="464"/>
      <c r="AF153" s="464"/>
      <c r="AG153" s="464"/>
      <c r="AH153" s="465"/>
      <c r="AI153" s="464"/>
    </row>
    <row r="154" customFormat="false" ht="15" hidden="false" customHeight="true" outlineLevel="0" collapsed="false">
      <c r="A154" s="455" t="s">
        <v>1716</v>
      </c>
      <c r="C154" s="456" t="n">
        <v>45441</v>
      </c>
      <c r="D154" s="456"/>
      <c r="E154" s="108" t="n">
        <v>13658</v>
      </c>
      <c r="F154" s="323" t="s">
        <v>175</v>
      </c>
      <c r="G154" s="323" t="s">
        <v>13</v>
      </c>
      <c r="H154" s="98" t="n">
        <v>2000</v>
      </c>
      <c r="I154" s="457" t="n">
        <v>22.5</v>
      </c>
      <c r="J154" s="313" t="s">
        <v>1651</v>
      </c>
      <c r="K154" s="458" t="n">
        <f aca="false">I154*H154</f>
        <v>45000</v>
      </c>
      <c r="L154" s="411" t="n">
        <v>34800</v>
      </c>
      <c r="M154" s="459" t="n">
        <f aca="false">L154/K154</f>
        <v>0.773333333333333</v>
      </c>
      <c r="N154" s="460" t="n">
        <f aca="false">I154*M154</f>
        <v>17.4</v>
      </c>
      <c r="O154" s="461" t="n">
        <v>2000</v>
      </c>
      <c r="P154" s="462" t="n">
        <f aca="false">H154-O154</f>
        <v>0</v>
      </c>
      <c r="Q154" s="463" t="n">
        <f aca="false">O154*I154</f>
        <v>45000</v>
      </c>
      <c r="R154" s="48" t="n">
        <f aca="false">K154-Q154</f>
        <v>0</v>
      </c>
      <c r="S154" s="108"/>
      <c r="T154" s="2" t="s">
        <v>1711</v>
      </c>
      <c r="V154" s="464"/>
      <c r="W154" s="464"/>
      <c r="X154" s="464"/>
      <c r="Y154" s="464"/>
      <c r="Z154" s="464"/>
      <c r="AA154" s="464"/>
      <c r="AB154" s="464"/>
      <c r="AC154" s="464"/>
      <c r="AD154" s="464"/>
      <c r="AE154" s="464"/>
      <c r="AF154" s="464"/>
      <c r="AG154" s="464"/>
      <c r="AH154" s="465"/>
      <c r="AI154" s="464"/>
    </row>
    <row r="155" customFormat="false" ht="15" hidden="false" customHeight="true" outlineLevel="0" collapsed="false">
      <c r="A155" s="455" t="s">
        <v>1717</v>
      </c>
      <c r="C155" s="456" t="n">
        <v>45442</v>
      </c>
      <c r="D155" s="456"/>
      <c r="E155" s="57" t="n">
        <v>13659</v>
      </c>
      <c r="F155" s="57" t="s">
        <v>175</v>
      </c>
      <c r="G155" s="57" t="s">
        <v>5</v>
      </c>
      <c r="H155" s="98" t="n">
        <v>10005</v>
      </c>
      <c r="I155" s="457" t="n">
        <v>25.71</v>
      </c>
      <c r="J155" s="313" t="s">
        <v>1651</v>
      </c>
      <c r="K155" s="98" t="n">
        <f aca="false">I155*H155</f>
        <v>257228.55</v>
      </c>
      <c r="L155" s="411" t="n">
        <v>147073.5</v>
      </c>
      <c r="M155" s="392" t="n">
        <f aca="false">L155/K155</f>
        <v>0.571761960326721</v>
      </c>
      <c r="N155" s="466" t="n">
        <f aca="false">I155*M155</f>
        <v>14.7</v>
      </c>
      <c r="O155" s="461" t="n">
        <v>10005</v>
      </c>
      <c r="P155" s="462" t="n">
        <f aca="false">H155-O155</f>
        <v>0</v>
      </c>
      <c r="Q155" s="463" t="n">
        <f aca="false">O155*I155</f>
        <v>257228.55</v>
      </c>
      <c r="R155" s="48" t="n">
        <f aca="false">K155-Q155</f>
        <v>0</v>
      </c>
      <c r="S155" s="467"/>
      <c r="T155" s="2" t="s">
        <v>1711</v>
      </c>
      <c r="V155" s="464"/>
      <c r="W155" s="464"/>
      <c r="X155" s="464"/>
      <c r="Y155" s="464"/>
      <c r="Z155" s="464"/>
      <c r="AA155" s="464"/>
      <c r="AB155" s="464"/>
      <c r="AC155" s="464"/>
      <c r="AD155" s="464"/>
      <c r="AE155" s="464"/>
      <c r="AF155" s="464"/>
      <c r="AG155" s="464"/>
      <c r="AH155" s="465"/>
      <c r="AI155" s="464"/>
    </row>
    <row r="156" customFormat="false" ht="15" hidden="false" customHeight="true" outlineLevel="0" collapsed="false">
      <c r="A156" s="455" t="s">
        <v>1717</v>
      </c>
      <c r="C156" s="456" t="n">
        <v>45442</v>
      </c>
      <c r="D156" s="456"/>
      <c r="E156" s="57" t="n">
        <v>13659</v>
      </c>
      <c r="F156" s="57" t="s">
        <v>175</v>
      </c>
      <c r="G156" s="57" t="s">
        <v>6</v>
      </c>
      <c r="H156" s="98" t="n">
        <v>8340</v>
      </c>
      <c r="I156" s="457" t="n">
        <v>30</v>
      </c>
      <c r="J156" s="313" t="s">
        <v>1651</v>
      </c>
      <c r="K156" s="98" t="n">
        <f aca="false">I156*H156</f>
        <v>250200</v>
      </c>
      <c r="L156" s="411" t="n">
        <v>122347.8</v>
      </c>
      <c r="M156" s="392" t="n">
        <f aca="false">L156/K156</f>
        <v>0.489</v>
      </c>
      <c r="N156" s="466" t="n">
        <f aca="false">I156*M156</f>
        <v>14.67</v>
      </c>
      <c r="O156" s="461" t="n">
        <v>8340</v>
      </c>
      <c r="P156" s="462" t="n">
        <f aca="false">H156-O156</f>
        <v>0</v>
      </c>
      <c r="Q156" s="463" t="n">
        <f aca="false">O156*I156</f>
        <v>250200</v>
      </c>
      <c r="R156" s="48" t="n">
        <f aca="false">K156-Q156</f>
        <v>0</v>
      </c>
      <c r="S156" s="467"/>
      <c r="T156" s="2" t="s">
        <v>1711</v>
      </c>
      <c r="V156" s="464"/>
      <c r="W156" s="464"/>
      <c r="X156" s="464"/>
      <c r="Y156" s="464"/>
      <c r="Z156" s="464"/>
      <c r="AA156" s="464"/>
      <c r="AB156" s="464"/>
      <c r="AC156" s="464"/>
      <c r="AD156" s="464"/>
      <c r="AE156" s="464"/>
      <c r="AF156" s="464"/>
      <c r="AG156" s="464"/>
      <c r="AH156" s="465"/>
      <c r="AI156" s="464"/>
    </row>
    <row r="157" customFormat="false" ht="15" hidden="false" customHeight="true" outlineLevel="0" collapsed="false">
      <c r="A157" s="455" t="s">
        <v>1717</v>
      </c>
      <c r="C157" s="456" t="n">
        <v>45442</v>
      </c>
      <c r="D157" s="456"/>
      <c r="E157" s="57" t="n">
        <v>13659</v>
      </c>
      <c r="F157" s="57" t="s">
        <v>175</v>
      </c>
      <c r="G157" s="57" t="s">
        <v>10</v>
      </c>
      <c r="H157" s="98" t="n">
        <v>50010</v>
      </c>
      <c r="I157" s="457" t="n">
        <v>25.71</v>
      </c>
      <c r="J157" s="313" t="s">
        <v>1651</v>
      </c>
      <c r="K157" s="98" t="n">
        <f aca="false">I157*H157</f>
        <v>1285757.1</v>
      </c>
      <c r="L157" s="411" t="n">
        <v>375075</v>
      </c>
      <c r="M157" s="392" t="n">
        <f aca="false">L157/K157</f>
        <v>0.29171528588098</v>
      </c>
      <c r="N157" s="466" t="n">
        <f aca="false">I157*M157</f>
        <v>7.5</v>
      </c>
      <c r="O157" s="461" t="n">
        <v>50010</v>
      </c>
      <c r="P157" s="462" t="n">
        <f aca="false">H157-O157</f>
        <v>0</v>
      </c>
      <c r="Q157" s="463" t="n">
        <f aca="false">O157*I157</f>
        <v>1285757.1</v>
      </c>
      <c r="R157" s="48" t="n">
        <f aca="false">K157-Q157</f>
        <v>0</v>
      </c>
      <c r="S157" s="467"/>
      <c r="T157" s="2" t="s">
        <v>1711</v>
      </c>
      <c r="V157" s="464"/>
      <c r="W157" s="464"/>
      <c r="X157" s="464"/>
      <c r="Y157" s="464"/>
      <c r="Z157" s="464"/>
      <c r="AA157" s="464"/>
      <c r="AB157" s="464"/>
      <c r="AC157" s="464"/>
      <c r="AD157" s="464"/>
      <c r="AE157" s="464"/>
      <c r="AF157" s="464"/>
      <c r="AG157" s="464"/>
      <c r="AH157" s="465"/>
      <c r="AI157" s="464"/>
    </row>
    <row r="158" customFormat="false" ht="15" hidden="false" customHeight="true" outlineLevel="0" collapsed="false">
      <c r="A158" s="455" t="s">
        <v>1717</v>
      </c>
      <c r="C158" s="456" t="n">
        <v>45442</v>
      </c>
      <c r="D158" s="456"/>
      <c r="E158" s="57" t="n">
        <v>13659</v>
      </c>
      <c r="F158" s="57" t="s">
        <v>175</v>
      </c>
      <c r="G158" s="57" t="s">
        <v>13</v>
      </c>
      <c r="H158" s="98" t="n">
        <v>2010</v>
      </c>
      <c r="I158" s="457" t="n">
        <v>22.5</v>
      </c>
      <c r="J158" s="313" t="s">
        <v>1651</v>
      </c>
      <c r="K158" s="98" t="n">
        <f aca="false">I158*H158</f>
        <v>45225</v>
      </c>
      <c r="L158" s="411" t="n">
        <v>27939</v>
      </c>
      <c r="M158" s="392" t="n">
        <f aca="false">L158/K158</f>
        <v>0.617777777777778</v>
      </c>
      <c r="N158" s="466" t="n">
        <f aca="false">I158*M158</f>
        <v>13.9</v>
      </c>
      <c r="O158" s="461" t="n">
        <v>2010</v>
      </c>
      <c r="P158" s="462" t="n">
        <f aca="false">H158-O158</f>
        <v>0</v>
      </c>
      <c r="Q158" s="463" t="n">
        <f aca="false">O158*I158</f>
        <v>45225</v>
      </c>
      <c r="R158" s="48" t="n">
        <f aca="false">K158-Q158</f>
        <v>0</v>
      </c>
      <c r="S158" s="467"/>
      <c r="T158" s="2" t="s">
        <v>1711</v>
      </c>
      <c r="V158" s="464"/>
      <c r="W158" s="464"/>
      <c r="X158" s="464"/>
      <c r="Y158" s="464"/>
      <c r="Z158" s="464"/>
      <c r="AA158" s="464"/>
      <c r="AB158" s="464"/>
      <c r="AC158" s="464"/>
      <c r="AD158" s="464"/>
      <c r="AE158" s="464"/>
      <c r="AF158" s="464"/>
      <c r="AG158" s="464"/>
      <c r="AH158" s="465"/>
      <c r="AI158" s="464"/>
    </row>
    <row r="159" customFormat="false" ht="15" hidden="false" customHeight="true" outlineLevel="0" collapsed="false">
      <c r="A159" s="455" t="s">
        <v>1717</v>
      </c>
      <c r="C159" s="456" t="n">
        <v>45442</v>
      </c>
      <c r="D159" s="456"/>
      <c r="E159" s="57" t="n">
        <v>13659</v>
      </c>
      <c r="F159" s="57" t="s">
        <v>175</v>
      </c>
      <c r="G159" s="57" t="s">
        <v>19</v>
      </c>
      <c r="H159" s="98" t="n">
        <v>510</v>
      </c>
      <c r="I159" s="457" t="n">
        <v>22.5</v>
      </c>
      <c r="J159" s="313" t="s">
        <v>1651</v>
      </c>
      <c r="K159" s="98" t="n">
        <f aca="false">I159*H159</f>
        <v>11475</v>
      </c>
      <c r="L159" s="411" t="n">
        <v>10710</v>
      </c>
      <c r="M159" s="392" t="n">
        <f aca="false">L159/K159</f>
        <v>0.933333333333333</v>
      </c>
      <c r="N159" s="466" t="n">
        <f aca="false">I159*M159</f>
        <v>21</v>
      </c>
      <c r="O159" s="461" t="n">
        <v>510</v>
      </c>
      <c r="P159" s="462" t="n">
        <f aca="false">H159-O159</f>
        <v>0</v>
      </c>
      <c r="Q159" s="463" t="n">
        <f aca="false">O159*I159</f>
        <v>11475</v>
      </c>
      <c r="R159" s="48" t="n">
        <f aca="false">K159-Q159</f>
        <v>0</v>
      </c>
      <c r="S159" s="467"/>
      <c r="T159" s="2" t="s">
        <v>1711</v>
      </c>
      <c r="V159" s="464"/>
      <c r="W159" s="464"/>
      <c r="X159" s="464"/>
      <c r="Y159" s="464"/>
      <c r="Z159" s="464"/>
      <c r="AA159" s="464"/>
      <c r="AB159" s="464"/>
      <c r="AC159" s="464"/>
      <c r="AD159" s="464"/>
      <c r="AE159" s="464"/>
      <c r="AF159" s="464"/>
      <c r="AG159" s="464"/>
      <c r="AH159" s="465"/>
      <c r="AI159" s="464"/>
    </row>
    <row r="160" customFormat="false" ht="15" hidden="false" customHeight="true" outlineLevel="0" collapsed="false">
      <c r="A160" s="455" t="s">
        <v>1717</v>
      </c>
      <c r="C160" s="456" t="n">
        <v>45442</v>
      </c>
      <c r="D160" s="456"/>
      <c r="E160" s="57" t="n">
        <v>13659</v>
      </c>
      <c r="F160" s="57" t="s">
        <v>175</v>
      </c>
      <c r="G160" s="57" t="s">
        <v>17</v>
      </c>
      <c r="H160" s="98" t="n">
        <v>2010</v>
      </c>
      <c r="I160" s="457" t="n">
        <v>22.5</v>
      </c>
      <c r="J160" s="313" t="s">
        <v>1651</v>
      </c>
      <c r="K160" s="98" t="n">
        <f aca="false">I160*H160</f>
        <v>45225</v>
      </c>
      <c r="L160" s="411" t="n">
        <v>27939</v>
      </c>
      <c r="M160" s="392" t="n">
        <f aca="false">L160/K160</f>
        <v>0.617777777777778</v>
      </c>
      <c r="N160" s="466" t="n">
        <f aca="false">I160*M160</f>
        <v>13.9</v>
      </c>
      <c r="O160" s="461" t="n">
        <v>2010</v>
      </c>
      <c r="P160" s="462" t="n">
        <f aca="false">H160-O160</f>
        <v>0</v>
      </c>
      <c r="Q160" s="463" t="n">
        <f aca="false">O160*I160</f>
        <v>45225</v>
      </c>
      <c r="R160" s="48" t="n">
        <f aca="false">K160-Q160</f>
        <v>0</v>
      </c>
      <c r="S160" s="467"/>
      <c r="T160" s="2" t="s">
        <v>1711</v>
      </c>
      <c r="V160" s="464"/>
      <c r="W160" s="464"/>
      <c r="X160" s="464"/>
      <c r="Y160" s="464"/>
      <c r="Z160" s="464"/>
      <c r="AA160" s="464"/>
      <c r="AB160" s="464"/>
      <c r="AC160" s="464"/>
      <c r="AD160" s="464"/>
      <c r="AE160" s="464"/>
      <c r="AF160" s="464"/>
      <c r="AG160" s="464"/>
      <c r="AH160" s="465"/>
      <c r="AI160" s="464"/>
    </row>
    <row r="161" customFormat="false" ht="15" hidden="false" customHeight="true" outlineLevel="0" collapsed="false">
      <c r="A161" s="455" t="s">
        <v>1718</v>
      </c>
      <c r="C161" s="456" t="n">
        <v>45443</v>
      </c>
      <c r="D161" s="456"/>
      <c r="E161" s="57" t="n">
        <v>13660</v>
      </c>
      <c r="F161" s="57" t="s">
        <v>175</v>
      </c>
      <c r="G161" s="57" t="s">
        <v>42</v>
      </c>
      <c r="H161" s="98" t="n">
        <v>3000</v>
      </c>
      <c r="I161" s="457" t="n">
        <v>45</v>
      </c>
      <c r="J161" s="313" t="s">
        <v>1652</v>
      </c>
      <c r="K161" s="98" t="n">
        <f aca="false">I161*H161</f>
        <v>135000</v>
      </c>
      <c r="L161" s="411" t="n">
        <v>72750</v>
      </c>
      <c r="M161" s="392" t="n">
        <f aca="false">L161/K161</f>
        <v>0.538888888888889</v>
      </c>
      <c r="N161" s="466" t="n">
        <f aca="false">I161*M161</f>
        <v>24.25</v>
      </c>
      <c r="O161" s="461" t="n">
        <v>3000</v>
      </c>
      <c r="P161" s="462" t="n">
        <f aca="false">H161-O161</f>
        <v>0</v>
      </c>
      <c r="Q161" s="463" t="n">
        <f aca="false">O161*I161</f>
        <v>135000</v>
      </c>
      <c r="R161" s="48" t="n">
        <f aca="false">K161-Q161</f>
        <v>0</v>
      </c>
      <c r="S161" s="108"/>
      <c r="T161" s="2" t="s">
        <v>1711</v>
      </c>
      <c r="V161" s="464"/>
      <c r="W161" s="464"/>
      <c r="X161" s="464"/>
      <c r="Y161" s="464"/>
      <c r="Z161" s="464"/>
      <c r="AA161" s="464"/>
      <c r="AB161" s="464"/>
      <c r="AC161" s="464"/>
      <c r="AD161" s="464"/>
      <c r="AE161" s="464"/>
      <c r="AF161" s="464"/>
      <c r="AG161" s="464"/>
      <c r="AH161" s="465"/>
      <c r="AI161" s="464"/>
    </row>
    <row r="162" customFormat="false" ht="15" hidden="false" customHeight="true" outlineLevel="0" collapsed="false">
      <c r="A162" s="455" t="s">
        <v>1715</v>
      </c>
      <c r="C162" s="456" t="n">
        <v>45449</v>
      </c>
      <c r="D162" s="456"/>
      <c r="E162" s="57" t="n">
        <v>13675</v>
      </c>
      <c r="F162" s="323" t="s">
        <v>175</v>
      </c>
      <c r="G162" s="57" t="s">
        <v>7</v>
      </c>
      <c r="H162" s="98" t="n">
        <v>315</v>
      </c>
      <c r="I162" s="457" t="n">
        <v>25.71</v>
      </c>
      <c r="J162" s="313" t="s">
        <v>1651</v>
      </c>
      <c r="K162" s="98" t="n">
        <f aca="false">I162*H162</f>
        <v>8098.65</v>
      </c>
      <c r="L162" s="411" t="n">
        <v>6936.3</v>
      </c>
      <c r="M162" s="392" t="n">
        <f aca="false">L162/K162</f>
        <v>0.856476079346558</v>
      </c>
      <c r="N162" s="466" t="n">
        <f aca="false">I162*M162</f>
        <v>22.02</v>
      </c>
      <c r="O162" s="461" t="n">
        <v>315</v>
      </c>
      <c r="P162" s="462" t="n">
        <f aca="false">H162-O162</f>
        <v>0</v>
      </c>
      <c r="Q162" s="463" t="n">
        <f aca="false">O162*I162</f>
        <v>8098.65</v>
      </c>
      <c r="R162" s="48" t="n">
        <f aca="false">K162-Q162</f>
        <v>0</v>
      </c>
      <c r="S162" s="108"/>
      <c r="T162" s="2" t="s">
        <v>1711</v>
      </c>
      <c r="V162" s="464"/>
      <c r="W162" s="464"/>
      <c r="X162" s="464"/>
      <c r="Y162" s="464"/>
      <c r="Z162" s="464"/>
      <c r="AA162" s="464"/>
      <c r="AB162" s="464"/>
      <c r="AC162" s="464"/>
      <c r="AD162" s="464"/>
      <c r="AE162" s="464"/>
      <c r="AF162" s="464"/>
      <c r="AG162" s="464"/>
      <c r="AH162" s="465"/>
      <c r="AI162" s="464"/>
    </row>
    <row r="163" customFormat="false" ht="15" hidden="false" customHeight="true" outlineLevel="0" collapsed="false">
      <c r="A163" s="455" t="s">
        <v>1715</v>
      </c>
      <c r="C163" s="456" t="n">
        <v>45449</v>
      </c>
      <c r="D163" s="456"/>
      <c r="E163" s="57" t="n">
        <v>13675</v>
      </c>
      <c r="F163" s="323" t="s">
        <v>175</v>
      </c>
      <c r="G163" s="57" t="s">
        <v>15</v>
      </c>
      <c r="H163" s="98" t="n">
        <v>180</v>
      </c>
      <c r="I163" s="457" t="n">
        <v>22.5</v>
      </c>
      <c r="J163" s="313" t="s">
        <v>1651</v>
      </c>
      <c r="K163" s="98" t="n">
        <f aca="false">I163*H163</f>
        <v>4050</v>
      </c>
      <c r="L163" s="411" t="n">
        <v>4170.6</v>
      </c>
      <c r="M163" s="392" t="n">
        <f aca="false">L163/K163</f>
        <v>1.02977777777778</v>
      </c>
      <c r="N163" s="466" t="n">
        <f aca="false">I163*M163</f>
        <v>23.17</v>
      </c>
      <c r="O163" s="461" t="n">
        <v>180</v>
      </c>
      <c r="P163" s="462" t="n">
        <f aca="false">H163-O163</f>
        <v>0</v>
      </c>
      <c r="Q163" s="463" t="n">
        <f aca="false">O163*I163</f>
        <v>4050</v>
      </c>
      <c r="R163" s="48" t="n">
        <f aca="false">K163-Q163</f>
        <v>0</v>
      </c>
      <c r="S163" s="108"/>
      <c r="T163" s="2" t="s">
        <v>1711</v>
      </c>
      <c r="V163" s="464"/>
      <c r="W163" s="464"/>
      <c r="X163" s="464"/>
      <c r="Y163" s="464"/>
      <c r="Z163" s="464"/>
      <c r="AA163" s="464"/>
      <c r="AB163" s="464"/>
      <c r="AC163" s="464"/>
      <c r="AD163" s="464"/>
      <c r="AE163" s="464"/>
      <c r="AF163" s="464"/>
      <c r="AG163" s="464"/>
      <c r="AH163" s="465"/>
      <c r="AI163" s="464"/>
    </row>
    <row r="164" customFormat="false" ht="15" hidden="false" customHeight="true" outlineLevel="0" collapsed="false">
      <c r="A164" s="455" t="s">
        <v>1715</v>
      </c>
      <c r="C164" s="456" t="n">
        <v>45449</v>
      </c>
      <c r="D164" s="456"/>
      <c r="E164" s="57" t="n">
        <v>13675</v>
      </c>
      <c r="F164" s="323" t="s">
        <v>175</v>
      </c>
      <c r="G164" s="57" t="s">
        <v>13</v>
      </c>
      <c r="H164" s="98" t="n">
        <v>150</v>
      </c>
      <c r="I164" s="457" t="n">
        <v>22.5</v>
      </c>
      <c r="J164" s="313" t="s">
        <v>1651</v>
      </c>
      <c r="K164" s="98" t="n">
        <f aca="false">I164*H164</f>
        <v>3375</v>
      </c>
      <c r="L164" s="411" t="n">
        <v>2128.5</v>
      </c>
      <c r="M164" s="392" t="n">
        <f aca="false">L164/K164</f>
        <v>0.630666666666667</v>
      </c>
      <c r="N164" s="466" t="n">
        <f aca="false">I164*M164</f>
        <v>14.19</v>
      </c>
      <c r="O164" s="461" t="n">
        <v>150</v>
      </c>
      <c r="P164" s="462" t="n">
        <f aca="false">H164-O164</f>
        <v>0</v>
      </c>
      <c r="Q164" s="463" t="n">
        <f aca="false">O164*I164</f>
        <v>3375</v>
      </c>
      <c r="R164" s="48" t="n">
        <f aca="false">K164-Q164</f>
        <v>0</v>
      </c>
      <c r="S164" s="108"/>
      <c r="T164" s="2" t="s">
        <v>1711</v>
      </c>
      <c r="V164" s="464"/>
      <c r="W164" s="464"/>
      <c r="X164" s="464"/>
      <c r="Y164" s="464"/>
      <c r="Z164" s="464"/>
      <c r="AA164" s="464"/>
      <c r="AB164" s="464"/>
      <c r="AC164" s="464"/>
      <c r="AD164" s="464"/>
      <c r="AE164" s="464"/>
      <c r="AF164" s="464"/>
      <c r="AG164" s="464"/>
      <c r="AH164" s="465"/>
      <c r="AI164" s="464"/>
    </row>
    <row r="165" customFormat="false" ht="15" hidden="false" customHeight="true" outlineLevel="0" collapsed="false">
      <c r="A165" s="455" t="s">
        <v>1715</v>
      </c>
      <c r="C165" s="456" t="n">
        <v>45449</v>
      </c>
      <c r="D165" s="456"/>
      <c r="E165" s="57" t="n">
        <v>13675</v>
      </c>
      <c r="F165" s="323" t="s">
        <v>175</v>
      </c>
      <c r="G165" s="57" t="s">
        <v>5</v>
      </c>
      <c r="H165" s="98" t="n">
        <v>45</v>
      </c>
      <c r="I165" s="457" t="n">
        <v>25.71</v>
      </c>
      <c r="J165" s="313" t="s">
        <v>1651</v>
      </c>
      <c r="K165" s="98" t="n">
        <f aca="false">I165*H165</f>
        <v>1156.95</v>
      </c>
      <c r="L165" s="411" t="n">
        <v>748.8</v>
      </c>
      <c r="M165" s="392" t="n">
        <f aca="false">L165/K165</f>
        <v>0.647218980941268</v>
      </c>
      <c r="N165" s="466" t="n">
        <f aca="false">I165*M165</f>
        <v>16.64</v>
      </c>
      <c r="O165" s="461" t="n">
        <v>45</v>
      </c>
      <c r="P165" s="462" t="n">
        <f aca="false">H165-O165</f>
        <v>0</v>
      </c>
      <c r="Q165" s="463" t="n">
        <f aca="false">O165*I165</f>
        <v>1156.95</v>
      </c>
      <c r="R165" s="48" t="n">
        <f aca="false">K165-Q165</f>
        <v>0</v>
      </c>
      <c r="S165" s="108"/>
      <c r="T165" s="2" t="s">
        <v>1711</v>
      </c>
      <c r="V165" s="464"/>
      <c r="W165" s="464"/>
      <c r="X165" s="464"/>
      <c r="Y165" s="464"/>
      <c r="Z165" s="464"/>
      <c r="AA165" s="464"/>
      <c r="AB165" s="464"/>
      <c r="AC165" s="464"/>
      <c r="AD165" s="464"/>
      <c r="AE165" s="464"/>
      <c r="AF165" s="464"/>
      <c r="AG165" s="464"/>
      <c r="AH165" s="465"/>
      <c r="AI165" s="464"/>
    </row>
    <row r="166" customFormat="false" ht="15" hidden="false" customHeight="true" outlineLevel="0" collapsed="false">
      <c r="A166" s="455" t="s">
        <v>1715</v>
      </c>
      <c r="C166" s="456" t="n">
        <v>45449</v>
      </c>
      <c r="D166" s="456"/>
      <c r="E166" s="57" t="n">
        <v>13675</v>
      </c>
      <c r="F166" s="323" t="s">
        <v>175</v>
      </c>
      <c r="G166" s="57" t="s">
        <v>17</v>
      </c>
      <c r="H166" s="98" t="n">
        <v>210</v>
      </c>
      <c r="I166" s="457" t="n">
        <v>22.5</v>
      </c>
      <c r="J166" s="313" t="s">
        <v>1651</v>
      </c>
      <c r="K166" s="98" t="n">
        <f aca="false">I166*H166</f>
        <v>4725</v>
      </c>
      <c r="L166" s="411" t="n">
        <v>2979.9</v>
      </c>
      <c r="M166" s="392" t="n">
        <f aca="false">L166/K166</f>
        <v>0.630666666666667</v>
      </c>
      <c r="N166" s="466" t="n">
        <f aca="false">I166*M166</f>
        <v>14.19</v>
      </c>
      <c r="O166" s="461" t="n">
        <v>210</v>
      </c>
      <c r="P166" s="462" t="n">
        <f aca="false">H166-O166</f>
        <v>0</v>
      </c>
      <c r="Q166" s="463" t="n">
        <f aca="false">O166*I166</f>
        <v>4725</v>
      </c>
      <c r="R166" s="48" t="n">
        <f aca="false">K166-Q166</f>
        <v>0</v>
      </c>
      <c r="S166" s="108"/>
      <c r="T166" s="2" t="s">
        <v>1711</v>
      </c>
      <c r="V166" s="464"/>
      <c r="W166" s="464"/>
      <c r="X166" s="464"/>
      <c r="Y166" s="464"/>
      <c r="Z166" s="464"/>
      <c r="AA166" s="464"/>
      <c r="AB166" s="464"/>
      <c r="AC166" s="464"/>
      <c r="AD166" s="464"/>
      <c r="AE166" s="464"/>
      <c r="AF166" s="464"/>
      <c r="AG166" s="464"/>
      <c r="AH166" s="465"/>
      <c r="AI166" s="464"/>
    </row>
    <row r="167" customFormat="false" ht="15" hidden="false" customHeight="true" outlineLevel="0" collapsed="false">
      <c r="A167" s="455" t="s">
        <v>1719</v>
      </c>
      <c r="C167" s="456" t="n">
        <v>45449</v>
      </c>
      <c r="D167" s="456"/>
      <c r="E167" s="57" t="n">
        <v>13678</v>
      </c>
      <c r="F167" s="57" t="s">
        <v>175</v>
      </c>
      <c r="G167" s="57" t="s">
        <v>12</v>
      </c>
      <c r="H167" s="98" t="n">
        <v>1200</v>
      </c>
      <c r="I167" s="457" t="n">
        <v>18</v>
      </c>
      <c r="J167" s="313" t="s">
        <v>1651</v>
      </c>
      <c r="K167" s="98" t="n">
        <f aca="false">I167*H167</f>
        <v>21600</v>
      </c>
      <c r="L167" s="411" t="n">
        <v>60000</v>
      </c>
      <c r="M167" s="392" t="n">
        <f aca="false">L167/K167</f>
        <v>2.77777777777778</v>
      </c>
      <c r="N167" s="466" t="n">
        <f aca="false">I167*M167</f>
        <v>50</v>
      </c>
      <c r="O167" s="461" t="n">
        <v>1200</v>
      </c>
      <c r="P167" s="462" t="n">
        <f aca="false">H167-O167</f>
        <v>0</v>
      </c>
      <c r="Q167" s="463" t="n">
        <f aca="false">O167*I167</f>
        <v>21600</v>
      </c>
      <c r="R167" s="48" t="n">
        <f aca="false">K167-Q167</f>
        <v>0</v>
      </c>
      <c r="S167" s="467"/>
      <c r="T167" s="2" t="s">
        <v>1711</v>
      </c>
      <c r="V167" s="464"/>
      <c r="W167" s="464"/>
      <c r="X167" s="464"/>
      <c r="Y167" s="464"/>
      <c r="Z167" s="464"/>
      <c r="AA167" s="464"/>
      <c r="AB167" s="464"/>
      <c r="AC167" s="464"/>
      <c r="AD167" s="464"/>
      <c r="AE167" s="464"/>
      <c r="AF167" s="464"/>
      <c r="AG167" s="464"/>
      <c r="AH167" s="465"/>
      <c r="AI167" s="464"/>
    </row>
    <row r="168" customFormat="false" ht="15" hidden="false" customHeight="true" outlineLevel="0" collapsed="false">
      <c r="A168" s="455" t="s">
        <v>1720</v>
      </c>
      <c r="C168" s="456" t="n">
        <v>45449</v>
      </c>
      <c r="D168" s="456"/>
      <c r="E168" s="57" t="n">
        <v>13679</v>
      </c>
      <c r="F168" s="57" t="s">
        <v>175</v>
      </c>
      <c r="G168" s="57" t="s">
        <v>42</v>
      </c>
      <c r="H168" s="98" t="n">
        <v>360</v>
      </c>
      <c r="I168" s="457" t="n">
        <v>30</v>
      </c>
      <c r="J168" s="313" t="s">
        <v>1651</v>
      </c>
      <c r="K168" s="98" t="n">
        <f aca="false">I168*H168</f>
        <v>10800</v>
      </c>
      <c r="L168" s="411" t="n">
        <v>7560</v>
      </c>
      <c r="M168" s="392" t="n">
        <f aca="false">L168/K168</f>
        <v>0.7</v>
      </c>
      <c r="N168" s="466" t="n">
        <f aca="false">I168*M168</f>
        <v>21</v>
      </c>
      <c r="O168" s="461" t="n">
        <v>360</v>
      </c>
      <c r="P168" s="462" t="n">
        <f aca="false">H168-O168</f>
        <v>0</v>
      </c>
      <c r="Q168" s="463" t="n">
        <f aca="false">O168*I168</f>
        <v>10800</v>
      </c>
      <c r="R168" s="48" t="n">
        <f aca="false">K168-Q168</f>
        <v>0</v>
      </c>
      <c r="S168" s="467"/>
      <c r="T168" s="2" t="s">
        <v>1711</v>
      </c>
      <c r="V168" s="464"/>
      <c r="W168" s="464"/>
      <c r="X168" s="464"/>
      <c r="Y168" s="464"/>
      <c r="Z168" s="464"/>
      <c r="AA168" s="464"/>
      <c r="AB168" s="464"/>
      <c r="AC168" s="464"/>
      <c r="AD168" s="464"/>
      <c r="AE168" s="464"/>
      <c r="AF168" s="464"/>
      <c r="AG168" s="464"/>
      <c r="AH168" s="465"/>
      <c r="AI168" s="464"/>
    </row>
    <row r="169" customFormat="false" ht="15" hidden="false" customHeight="true" outlineLevel="0" collapsed="false">
      <c r="A169" s="455" t="s">
        <v>1720</v>
      </c>
      <c r="C169" s="456" t="n">
        <v>45449</v>
      </c>
      <c r="D169" s="456"/>
      <c r="E169" s="57" t="n">
        <v>13679</v>
      </c>
      <c r="F169" s="57" t="s">
        <v>175</v>
      </c>
      <c r="G169" s="57" t="s">
        <v>11</v>
      </c>
      <c r="H169" s="98" t="n">
        <v>30</v>
      </c>
      <c r="I169" s="457" t="n">
        <v>14</v>
      </c>
      <c r="J169" s="313" t="s">
        <v>1651</v>
      </c>
      <c r="K169" s="98" t="n">
        <f aca="false">I169*H169</f>
        <v>420</v>
      </c>
      <c r="L169" s="411" t="n">
        <v>2220</v>
      </c>
      <c r="M169" s="392" t="n">
        <f aca="false">L169/K169</f>
        <v>5.28571428571429</v>
      </c>
      <c r="N169" s="466" t="n">
        <f aca="false">I169*M169</f>
        <v>74</v>
      </c>
      <c r="O169" s="461" t="n">
        <v>30</v>
      </c>
      <c r="P169" s="462" t="n">
        <f aca="false">H169-O169</f>
        <v>0</v>
      </c>
      <c r="Q169" s="463" t="n">
        <f aca="false">O169*I169</f>
        <v>420</v>
      </c>
      <c r="R169" s="48" t="n">
        <f aca="false">K169-Q169</f>
        <v>0</v>
      </c>
      <c r="S169" s="467"/>
      <c r="T169" s="2" t="s">
        <v>1711</v>
      </c>
      <c r="V169" s="464"/>
      <c r="W169" s="464"/>
      <c r="X169" s="464"/>
      <c r="Y169" s="464"/>
      <c r="Z169" s="464"/>
      <c r="AA169" s="464"/>
      <c r="AB169" s="464"/>
      <c r="AC169" s="464"/>
      <c r="AD169" s="464"/>
      <c r="AE169" s="464"/>
      <c r="AF169" s="464"/>
      <c r="AG169" s="464"/>
      <c r="AH169" s="465"/>
      <c r="AI169" s="464"/>
    </row>
    <row r="170" customFormat="false" ht="15" hidden="false" customHeight="true" outlineLevel="0" collapsed="false">
      <c r="A170" s="455" t="s">
        <v>1721</v>
      </c>
      <c r="C170" s="456" t="n">
        <v>45449</v>
      </c>
      <c r="D170" s="456"/>
      <c r="E170" s="57" t="n">
        <v>13680</v>
      </c>
      <c r="F170" s="57" t="s">
        <v>175</v>
      </c>
      <c r="G170" s="57" t="s">
        <v>10</v>
      </c>
      <c r="H170" s="98" t="n">
        <v>510</v>
      </c>
      <c r="I170" s="457" t="n">
        <v>25.71</v>
      </c>
      <c r="J170" s="313" t="s">
        <v>1651</v>
      </c>
      <c r="K170" s="98" t="n">
        <f aca="false">I170*H170</f>
        <v>13112.1</v>
      </c>
      <c r="L170" s="411" t="n">
        <v>5349.9</v>
      </c>
      <c r="M170" s="392" t="n">
        <f aca="false">L170/K170</f>
        <v>0.408012446518864</v>
      </c>
      <c r="N170" s="466" t="n">
        <f aca="false">I170*M170</f>
        <v>10.49</v>
      </c>
      <c r="O170" s="461" t="n">
        <v>510</v>
      </c>
      <c r="P170" s="462" t="n">
        <f aca="false">H170-O170</f>
        <v>0</v>
      </c>
      <c r="Q170" s="463" t="n">
        <f aca="false">O170*I170</f>
        <v>13112.1</v>
      </c>
      <c r="R170" s="48" t="n">
        <f aca="false">K170-Q170</f>
        <v>0</v>
      </c>
      <c r="S170" s="467"/>
      <c r="T170" s="2" t="s">
        <v>1711</v>
      </c>
      <c r="V170" s="464"/>
      <c r="W170" s="464"/>
      <c r="X170" s="464"/>
      <c r="Y170" s="464"/>
      <c r="Z170" s="464"/>
      <c r="AA170" s="464"/>
      <c r="AB170" s="464"/>
      <c r="AC170" s="464"/>
      <c r="AD170" s="464"/>
      <c r="AE170" s="464"/>
      <c r="AF170" s="464"/>
      <c r="AG170" s="464"/>
      <c r="AH170" s="465"/>
      <c r="AI170" s="464"/>
    </row>
    <row r="171" customFormat="false" ht="15" hidden="false" customHeight="true" outlineLevel="0" collapsed="false">
      <c r="A171" s="455" t="s">
        <v>1718</v>
      </c>
      <c r="C171" s="456" t="n">
        <v>45449</v>
      </c>
      <c r="D171" s="456"/>
      <c r="E171" s="57" t="n">
        <v>13683</v>
      </c>
      <c r="F171" s="57" t="s">
        <v>175</v>
      </c>
      <c r="G171" s="57" t="s">
        <v>10</v>
      </c>
      <c r="H171" s="98" t="n">
        <v>24000</v>
      </c>
      <c r="I171" s="457" t="n">
        <v>38.3</v>
      </c>
      <c r="J171" s="313" t="s">
        <v>1652</v>
      </c>
      <c r="K171" s="98" t="n">
        <f aca="false">I171*H171</f>
        <v>919200</v>
      </c>
      <c r="L171" s="411" t="n">
        <v>255840</v>
      </c>
      <c r="M171" s="392" t="n">
        <f aca="false">L171/K171</f>
        <v>0.278328981723238</v>
      </c>
      <c r="N171" s="466" t="n">
        <f aca="false">I171*M171</f>
        <v>10.66</v>
      </c>
      <c r="O171" s="461" t="n">
        <v>11010</v>
      </c>
      <c r="P171" s="468" t="n">
        <f aca="false">H171-O171</f>
        <v>12990</v>
      </c>
      <c r="Q171" s="463" t="n">
        <f aca="false">O171*I171</f>
        <v>421683</v>
      </c>
      <c r="R171" s="48" t="n">
        <f aca="false">K171-Q171</f>
        <v>497517</v>
      </c>
      <c r="S171" s="467" t="n">
        <v>45658</v>
      </c>
      <c r="T171" s="2" t="s">
        <v>1711</v>
      </c>
      <c r="V171" s="464"/>
      <c r="W171" s="464"/>
      <c r="X171" s="464"/>
      <c r="Y171" s="464"/>
      <c r="Z171" s="464"/>
      <c r="AA171" s="464"/>
      <c r="AB171" s="464"/>
      <c r="AC171" s="464"/>
      <c r="AD171" s="464"/>
      <c r="AE171" s="464"/>
      <c r="AF171" s="464"/>
      <c r="AG171" s="464"/>
      <c r="AH171" s="465"/>
      <c r="AI171" s="464"/>
    </row>
    <row r="172" customFormat="false" ht="15" hidden="false" customHeight="true" outlineLevel="0" collapsed="false">
      <c r="A172" s="455" t="s">
        <v>1722</v>
      </c>
      <c r="C172" s="456" t="n">
        <v>45453</v>
      </c>
      <c r="D172" s="456"/>
      <c r="E172" s="57" t="n">
        <v>13693</v>
      </c>
      <c r="F172" s="57" t="s">
        <v>175</v>
      </c>
      <c r="G172" s="57" t="s">
        <v>5</v>
      </c>
      <c r="H172" s="98" t="n">
        <v>405</v>
      </c>
      <c r="I172" s="457" t="n">
        <v>25.71</v>
      </c>
      <c r="J172" s="313" t="s">
        <v>1651</v>
      </c>
      <c r="K172" s="98" t="n">
        <f aca="false">I172*H172</f>
        <v>10412.55</v>
      </c>
      <c r="L172" s="411" t="n">
        <v>4924.8</v>
      </c>
      <c r="M172" s="392" t="n">
        <f aca="false">L172/K172</f>
        <v>0.472967716841696</v>
      </c>
      <c r="N172" s="466" t="n">
        <f aca="false">I172*M172</f>
        <v>12.16</v>
      </c>
      <c r="O172" s="461" t="n">
        <v>405</v>
      </c>
      <c r="P172" s="462" t="n">
        <f aca="false">H172-O172</f>
        <v>0</v>
      </c>
      <c r="Q172" s="463" t="n">
        <f aca="false">O172*I172</f>
        <v>10412.55</v>
      </c>
      <c r="R172" s="48" t="n">
        <f aca="false">K172-Q172</f>
        <v>0</v>
      </c>
      <c r="S172" s="467"/>
      <c r="T172" s="2" t="s">
        <v>1711</v>
      </c>
      <c r="V172" s="464"/>
      <c r="W172" s="464"/>
      <c r="X172" s="464"/>
      <c r="Y172" s="464"/>
      <c r="Z172" s="464"/>
      <c r="AA172" s="464"/>
      <c r="AB172" s="464"/>
      <c r="AC172" s="464"/>
      <c r="AD172" s="464"/>
      <c r="AE172" s="464"/>
      <c r="AF172" s="464"/>
      <c r="AG172" s="464"/>
      <c r="AH172" s="465"/>
      <c r="AI172" s="464"/>
    </row>
    <row r="173" customFormat="false" ht="15" hidden="false" customHeight="true" outlineLevel="0" collapsed="false">
      <c r="A173" s="455" t="s">
        <v>1722</v>
      </c>
      <c r="C173" s="456" t="n">
        <v>45453</v>
      </c>
      <c r="D173" s="456"/>
      <c r="E173" s="57" t="n">
        <v>13693</v>
      </c>
      <c r="F173" s="57" t="s">
        <v>175</v>
      </c>
      <c r="G173" s="57" t="s">
        <v>13</v>
      </c>
      <c r="H173" s="98" t="n">
        <v>165</v>
      </c>
      <c r="I173" s="457" t="n">
        <v>22.5</v>
      </c>
      <c r="J173" s="313" t="s">
        <v>1651</v>
      </c>
      <c r="K173" s="98" t="n">
        <f aca="false">I173*H173</f>
        <v>3712.5</v>
      </c>
      <c r="L173" s="411" t="n">
        <v>1900.8</v>
      </c>
      <c r="M173" s="392" t="n">
        <f aca="false">L173/K173</f>
        <v>0.512</v>
      </c>
      <c r="N173" s="466" t="n">
        <f aca="false">I173*M173</f>
        <v>11.52</v>
      </c>
      <c r="O173" s="461" t="n">
        <v>165</v>
      </c>
      <c r="P173" s="462" t="n">
        <f aca="false">H173-O173</f>
        <v>0</v>
      </c>
      <c r="Q173" s="463" t="n">
        <f aca="false">O173*I173</f>
        <v>3712.5</v>
      </c>
      <c r="R173" s="48" t="n">
        <f aca="false">K173-Q173</f>
        <v>0</v>
      </c>
      <c r="S173" s="467"/>
      <c r="T173" s="2" t="s">
        <v>1711</v>
      </c>
      <c r="V173" s="464"/>
      <c r="W173" s="464"/>
      <c r="X173" s="464"/>
      <c r="Y173" s="464"/>
      <c r="Z173" s="464"/>
      <c r="AA173" s="464"/>
      <c r="AB173" s="464"/>
      <c r="AC173" s="464"/>
      <c r="AD173" s="464"/>
      <c r="AE173" s="464"/>
      <c r="AF173" s="464"/>
      <c r="AG173" s="464"/>
      <c r="AH173" s="465"/>
      <c r="AI173" s="464"/>
    </row>
    <row r="174" customFormat="false" ht="15" hidden="false" customHeight="true" outlineLevel="0" collapsed="false">
      <c r="A174" s="455" t="s">
        <v>1723</v>
      </c>
      <c r="C174" s="456" t="n">
        <v>45453</v>
      </c>
      <c r="D174" s="456"/>
      <c r="E174" s="57" t="n">
        <v>13696</v>
      </c>
      <c r="F174" s="57" t="s">
        <v>175</v>
      </c>
      <c r="G174" s="57" t="s">
        <v>18</v>
      </c>
      <c r="H174" s="98" t="n">
        <v>9270</v>
      </c>
      <c r="I174" s="457" t="n">
        <v>25.71</v>
      </c>
      <c r="J174" s="313" t="s">
        <v>1651</v>
      </c>
      <c r="K174" s="98" t="n">
        <f aca="false">I174*H174</f>
        <v>238331.7</v>
      </c>
      <c r="L174" s="411" t="n">
        <v>135342</v>
      </c>
      <c r="M174" s="392" t="n">
        <f aca="false">L174/K174</f>
        <v>0.567872423181641</v>
      </c>
      <c r="N174" s="466" t="n">
        <f aca="false">I174*M174</f>
        <v>14.6</v>
      </c>
      <c r="O174" s="461" t="n">
        <v>9270</v>
      </c>
      <c r="P174" s="462" t="n">
        <f aca="false">H174-O174</f>
        <v>0</v>
      </c>
      <c r="Q174" s="463" t="n">
        <f aca="false">O174*I174</f>
        <v>238331.7</v>
      </c>
      <c r="R174" s="48" t="n">
        <f aca="false">K174-Q174</f>
        <v>0</v>
      </c>
      <c r="S174" s="467"/>
      <c r="T174" s="2" t="s">
        <v>1711</v>
      </c>
      <c r="V174" s="464"/>
      <c r="W174" s="464"/>
      <c r="X174" s="464"/>
      <c r="Y174" s="464"/>
      <c r="Z174" s="464"/>
      <c r="AA174" s="464"/>
      <c r="AB174" s="464"/>
      <c r="AC174" s="464"/>
      <c r="AD174" s="464"/>
      <c r="AE174" s="464"/>
      <c r="AF174" s="464"/>
      <c r="AG174" s="464"/>
      <c r="AH174" s="465"/>
      <c r="AI174" s="464"/>
    </row>
    <row r="175" customFormat="false" ht="15" hidden="false" customHeight="true" outlineLevel="0" collapsed="false">
      <c r="A175" s="455" t="s">
        <v>1723</v>
      </c>
      <c r="C175" s="456" t="n">
        <v>45453</v>
      </c>
      <c r="D175" s="456"/>
      <c r="E175" s="57" t="n">
        <v>13696</v>
      </c>
      <c r="F175" s="57" t="s">
        <v>175</v>
      </c>
      <c r="G175" s="57" t="s">
        <v>21</v>
      </c>
      <c r="H175" s="98" t="n">
        <v>2000</v>
      </c>
      <c r="I175" s="457" t="n">
        <v>1</v>
      </c>
      <c r="J175" s="313" t="s">
        <v>1653</v>
      </c>
      <c r="K175" s="98" t="n">
        <f aca="false">I175*H175</f>
        <v>2000</v>
      </c>
      <c r="L175" s="411" t="n">
        <v>9800</v>
      </c>
      <c r="M175" s="392" t="n">
        <f aca="false">L175/K175</f>
        <v>4.9</v>
      </c>
      <c r="N175" s="466" t="n">
        <f aca="false">I175*M175</f>
        <v>4.9</v>
      </c>
      <c r="O175" s="461" t="n">
        <v>2000</v>
      </c>
      <c r="P175" s="462" t="n">
        <f aca="false">H175-O175</f>
        <v>0</v>
      </c>
      <c r="Q175" s="463" t="n">
        <f aca="false">O175*I175</f>
        <v>2000</v>
      </c>
      <c r="R175" s="48" t="n">
        <f aca="false">K175-Q175</f>
        <v>0</v>
      </c>
      <c r="S175" s="467"/>
      <c r="T175" s="2" t="s">
        <v>1711</v>
      </c>
      <c r="V175" s="464"/>
      <c r="W175" s="464"/>
      <c r="X175" s="464"/>
      <c r="Y175" s="464"/>
      <c r="Z175" s="464"/>
      <c r="AA175" s="464"/>
      <c r="AB175" s="464"/>
      <c r="AC175" s="464"/>
      <c r="AD175" s="464"/>
      <c r="AE175" s="464"/>
      <c r="AF175" s="464"/>
      <c r="AG175" s="464"/>
      <c r="AH175" s="465"/>
      <c r="AI175" s="464"/>
    </row>
    <row r="176" customFormat="false" ht="15" hidden="false" customHeight="true" outlineLevel="0" collapsed="false">
      <c r="A176" s="455" t="s">
        <v>1724</v>
      </c>
      <c r="C176" s="456" t="n">
        <v>45454</v>
      </c>
      <c r="D176" s="456"/>
      <c r="E176" s="57" t="n">
        <v>13698</v>
      </c>
      <c r="F176" s="323" t="s">
        <v>175</v>
      </c>
      <c r="G176" s="57" t="s">
        <v>5</v>
      </c>
      <c r="H176" s="98" t="n">
        <v>2000</v>
      </c>
      <c r="I176" s="457" t="n">
        <v>25.71</v>
      </c>
      <c r="J176" s="313" t="s">
        <v>1651</v>
      </c>
      <c r="K176" s="98" t="n">
        <f aca="false">I176*H176</f>
        <v>51420</v>
      </c>
      <c r="L176" s="411" t="n">
        <v>25800</v>
      </c>
      <c r="M176" s="392" t="n">
        <f aca="false">L176/K176</f>
        <v>0.501750291715286</v>
      </c>
      <c r="N176" s="466" t="n">
        <f aca="false">I176*M176</f>
        <v>12.9</v>
      </c>
      <c r="O176" s="461" t="n">
        <v>2000</v>
      </c>
      <c r="P176" s="462" t="n">
        <f aca="false">H176-O176</f>
        <v>0</v>
      </c>
      <c r="Q176" s="463" t="n">
        <f aca="false">O176*I176</f>
        <v>51420</v>
      </c>
      <c r="R176" s="48" t="n">
        <f aca="false">K176-Q176</f>
        <v>0</v>
      </c>
      <c r="S176" s="108"/>
      <c r="T176" s="2" t="s">
        <v>1711</v>
      </c>
      <c r="V176" s="464"/>
      <c r="W176" s="464"/>
      <c r="X176" s="464"/>
      <c r="Y176" s="464"/>
      <c r="Z176" s="464"/>
      <c r="AA176" s="464"/>
      <c r="AB176" s="464"/>
      <c r="AC176" s="464"/>
      <c r="AD176" s="464"/>
      <c r="AE176" s="464"/>
      <c r="AF176" s="464"/>
      <c r="AG176" s="464"/>
      <c r="AH176" s="465"/>
      <c r="AI176" s="464"/>
    </row>
    <row r="177" customFormat="false" ht="15" hidden="false" customHeight="true" outlineLevel="0" collapsed="false">
      <c r="A177" s="455" t="s">
        <v>1724</v>
      </c>
      <c r="C177" s="456" t="n">
        <v>45454</v>
      </c>
      <c r="D177" s="456"/>
      <c r="E177" s="57" t="n">
        <v>13698</v>
      </c>
      <c r="F177" s="323" t="s">
        <v>175</v>
      </c>
      <c r="G177" s="57" t="s">
        <v>6</v>
      </c>
      <c r="H177" s="98" t="n">
        <v>2000</v>
      </c>
      <c r="I177" s="457" t="n">
        <v>30</v>
      </c>
      <c r="J177" s="313" t="s">
        <v>1651</v>
      </c>
      <c r="K177" s="98" t="n">
        <f aca="false">I177*H177</f>
        <v>60000</v>
      </c>
      <c r="L177" s="411" t="n">
        <v>25800</v>
      </c>
      <c r="M177" s="392" t="n">
        <f aca="false">L177/K177</f>
        <v>0.43</v>
      </c>
      <c r="N177" s="466" t="n">
        <f aca="false">I177*M177</f>
        <v>12.9</v>
      </c>
      <c r="O177" s="461" t="n">
        <v>2000</v>
      </c>
      <c r="P177" s="462" t="n">
        <f aca="false">H177-O177</f>
        <v>0</v>
      </c>
      <c r="Q177" s="463" t="n">
        <f aca="false">O177*I177</f>
        <v>60000</v>
      </c>
      <c r="R177" s="48" t="n">
        <f aca="false">K177-Q177</f>
        <v>0</v>
      </c>
      <c r="S177" s="108"/>
      <c r="T177" s="2" t="s">
        <v>1711</v>
      </c>
      <c r="V177" s="464"/>
      <c r="W177" s="464"/>
      <c r="X177" s="464"/>
      <c r="Y177" s="464"/>
      <c r="Z177" s="464"/>
      <c r="AA177" s="464"/>
      <c r="AB177" s="464"/>
      <c r="AC177" s="464"/>
      <c r="AD177" s="464"/>
      <c r="AE177" s="464"/>
      <c r="AF177" s="464"/>
      <c r="AG177" s="464"/>
      <c r="AH177" s="465"/>
      <c r="AI177" s="464"/>
    </row>
    <row r="178" customFormat="false" ht="15" hidden="false" customHeight="true" outlineLevel="0" collapsed="false">
      <c r="A178" s="455" t="s">
        <v>1724</v>
      </c>
      <c r="C178" s="456" t="n">
        <v>45454</v>
      </c>
      <c r="D178" s="456"/>
      <c r="E178" s="57" t="n">
        <v>13698</v>
      </c>
      <c r="F178" s="323" t="s">
        <v>175</v>
      </c>
      <c r="G178" s="323" t="s">
        <v>42</v>
      </c>
      <c r="H178" s="98" t="n">
        <v>15000</v>
      </c>
      <c r="I178" s="457" t="n">
        <v>30</v>
      </c>
      <c r="J178" s="313" t="s">
        <v>1651</v>
      </c>
      <c r="K178" s="98" t="n">
        <f aca="false">I178*H178</f>
        <v>450000</v>
      </c>
      <c r="L178" s="411" t="n">
        <v>210000</v>
      </c>
      <c r="M178" s="392" t="n">
        <f aca="false">L178/K178</f>
        <v>0.466666666666667</v>
      </c>
      <c r="N178" s="466" t="n">
        <f aca="false">I178*M178</f>
        <v>14</v>
      </c>
      <c r="O178" s="461" t="n">
        <v>15000</v>
      </c>
      <c r="P178" s="462" t="n">
        <f aca="false">H178-O178</f>
        <v>0</v>
      </c>
      <c r="Q178" s="463" t="n">
        <f aca="false">O178*I178</f>
        <v>450000</v>
      </c>
      <c r="R178" s="48" t="n">
        <f aca="false">K178-Q178</f>
        <v>0</v>
      </c>
      <c r="S178" s="108"/>
      <c r="T178" s="2" t="s">
        <v>1711</v>
      </c>
      <c r="V178" s="464"/>
      <c r="W178" s="464"/>
      <c r="X178" s="464"/>
      <c r="Y178" s="464"/>
      <c r="Z178" s="464"/>
      <c r="AA178" s="464"/>
      <c r="AB178" s="464"/>
      <c r="AC178" s="464"/>
      <c r="AD178" s="464"/>
      <c r="AE178" s="464"/>
      <c r="AF178" s="464"/>
      <c r="AG178" s="464"/>
      <c r="AH178" s="465"/>
      <c r="AI178" s="464"/>
    </row>
    <row r="179" customFormat="false" ht="15" hidden="false" customHeight="true" outlineLevel="0" collapsed="false">
      <c r="A179" s="455" t="s">
        <v>1724</v>
      </c>
      <c r="C179" s="456" t="n">
        <v>45454</v>
      </c>
      <c r="D179" s="456"/>
      <c r="E179" s="57" t="n">
        <v>13698</v>
      </c>
      <c r="F179" s="323" t="s">
        <v>175</v>
      </c>
      <c r="G179" s="323" t="s">
        <v>7</v>
      </c>
      <c r="H179" s="98" t="n">
        <v>6000</v>
      </c>
      <c r="I179" s="457" t="n">
        <v>25.71</v>
      </c>
      <c r="J179" s="313" t="s">
        <v>1651</v>
      </c>
      <c r="K179" s="98" t="n">
        <f aca="false">I179*H179</f>
        <v>154260</v>
      </c>
      <c r="L179" s="411" t="n">
        <v>74400</v>
      </c>
      <c r="M179" s="392" t="n">
        <f aca="false">L179/K179</f>
        <v>0.482302605989887</v>
      </c>
      <c r="N179" s="466" t="n">
        <f aca="false">I179*M179</f>
        <v>12.4</v>
      </c>
      <c r="O179" s="461" t="n">
        <v>6000</v>
      </c>
      <c r="P179" s="462" t="n">
        <f aca="false">H179-O179</f>
        <v>0</v>
      </c>
      <c r="Q179" s="463" t="n">
        <f aca="false">O179*I179</f>
        <v>154260</v>
      </c>
      <c r="R179" s="48" t="n">
        <f aca="false">K179-Q179</f>
        <v>0</v>
      </c>
      <c r="S179" s="108"/>
      <c r="T179" s="2" t="s">
        <v>1711</v>
      </c>
      <c r="V179" s="464"/>
      <c r="W179" s="464"/>
      <c r="X179" s="464"/>
      <c r="Y179" s="464"/>
      <c r="Z179" s="464"/>
      <c r="AA179" s="464"/>
      <c r="AB179" s="464"/>
      <c r="AC179" s="464"/>
      <c r="AD179" s="464"/>
      <c r="AE179" s="464"/>
      <c r="AF179" s="464"/>
      <c r="AG179" s="464"/>
      <c r="AH179" s="465"/>
      <c r="AI179" s="464"/>
    </row>
    <row r="180" customFormat="false" ht="15" hidden="false" customHeight="true" outlineLevel="0" collapsed="false">
      <c r="A180" s="455" t="s">
        <v>1724</v>
      </c>
      <c r="C180" s="456" t="n">
        <v>45454</v>
      </c>
      <c r="D180" s="456"/>
      <c r="E180" s="57" t="n">
        <v>13698</v>
      </c>
      <c r="F180" s="323" t="s">
        <v>175</v>
      </c>
      <c r="G180" s="323" t="s">
        <v>11</v>
      </c>
      <c r="H180" s="98" t="n">
        <v>6000</v>
      </c>
      <c r="I180" s="457" t="n">
        <v>14</v>
      </c>
      <c r="J180" s="313" t="s">
        <v>1651</v>
      </c>
      <c r="K180" s="98" t="n">
        <f aca="false">I180*H180</f>
        <v>84000</v>
      </c>
      <c r="L180" s="411" t="n">
        <v>348000</v>
      </c>
      <c r="M180" s="392" t="n">
        <f aca="false">L180/K180</f>
        <v>4.14285714285714</v>
      </c>
      <c r="N180" s="466" t="n">
        <f aca="false">I180*M180</f>
        <v>58</v>
      </c>
      <c r="O180" s="461" t="n">
        <v>6000</v>
      </c>
      <c r="P180" s="462" t="n">
        <f aca="false">H180-O180</f>
        <v>0</v>
      </c>
      <c r="Q180" s="463" t="n">
        <f aca="false">O180*I180</f>
        <v>84000</v>
      </c>
      <c r="R180" s="48" t="n">
        <f aca="false">K180-Q180</f>
        <v>0</v>
      </c>
      <c r="S180" s="108"/>
      <c r="T180" s="2" t="s">
        <v>1711</v>
      </c>
      <c r="V180" s="464"/>
      <c r="W180" s="464"/>
      <c r="X180" s="464"/>
      <c r="Y180" s="464"/>
      <c r="Z180" s="464"/>
      <c r="AA180" s="464"/>
      <c r="AB180" s="464"/>
      <c r="AC180" s="464"/>
      <c r="AD180" s="464"/>
      <c r="AE180" s="464"/>
      <c r="AF180" s="464"/>
      <c r="AG180" s="464"/>
      <c r="AH180" s="465"/>
      <c r="AI180" s="464"/>
    </row>
    <row r="181" customFormat="false" ht="15" hidden="false" customHeight="true" outlineLevel="0" collapsed="false">
      <c r="A181" s="455" t="s">
        <v>1724</v>
      </c>
      <c r="C181" s="456" t="n">
        <v>45454</v>
      </c>
      <c r="D181" s="456"/>
      <c r="E181" s="57" t="n">
        <v>13698</v>
      </c>
      <c r="F181" s="323" t="s">
        <v>175</v>
      </c>
      <c r="G181" s="323" t="s">
        <v>17</v>
      </c>
      <c r="H181" s="98" t="n">
        <v>3000</v>
      </c>
      <c r="I181" s="457" t="n">
        <v>22.5</v>
      </c>
      <c r="J181" s="313" t="s">
        <v>1651</v>
      </c>
      <c r="K181" s="98" t="n">
        <f aca="false">I181*H181</f>
        <v>67500</v>
      </c>
      <c r="L181" s="411" t="n">
        <v>47700</v>
      </c>
      <c r="M181" s="392" t="n">
        <f aca="false">L181/K181</f>
        <v>0.706666666666667</v>
      </c>
      <c r="N181" s="466" t="n">
        <f aca="false">I181*M181</f>
        <v>15.9</v>
      </c>
      <c r="O181" s="461" t="n">
        <v>3000</v>
      </c>
      <c r="P181" s="462" t="n">
        <f aca="false">H181-O181</f>
        <v>0</v>
      </c>
      <c r="Q181" s="463" t="n">
        <f aca="false">O181*I181</f>
        <v>67500</v>
      </c>
      <c r="R181" s="48" t="n">
        <f aca="false">K181-Q181</f>
        <v>0</v>
      </c>
      <c r="S181" s="108"/>
      <c r="T181" s="2" t="s">
        <v>1711</v>
      </c>
      <c r="V181" s="464"/>
      <c r="W181" s="464"/>
      <c r="X181" s="464"/>
      <c r="Y181" s="464"/>
      <c r="Z181" s="464"/>
      <c r="AA181" s="464"/>
      <c r="AB181" s="464"/>
      <c r="AC181" s="464"/>
      <c r="AD181" s="464"/>
      <c r="AE181" s="464"/>
      <c r="AF181" s="464"/>
      <c r="AG181" s="464"/>
      <c r="AH181" s="465"/>
      <c r="AI181" s="464"/>
    </row>
    <row r="182" customFormat="false" ht="15" hidden="false" customHeight="true" outlineLevel="0" collapsed="false">
      <c r="A182" s="455" t="s">
        <v>1725</v>
      </c>
      <c r="C182" s="456" t="n">
        <v>45450</v>
      </c>
      <c r="D182" s="456"/>
      <c r="E182" s="323" t="n">
        <v>13707</v>
      </c>
      <c r="F182" s="323" t="s">
        <v>175</v>
      </c>
      <c r="G182" s="323" t="s">
        <v>10</v>
      </c>
      <c r="H182" s="98" t="n">
        <v>25000</v>
      </c>
      <c r="I182" s="457" t="n">
        <v>90</v>
      </c>
      <c r="J182" s="313" t="s">
        <v>1653</v>
      </c>
      <c r="K182" s="98" t="n">
        <f aca="false">I182*H182</f>
        <v>2250000</v>
      </c>
      <c r="L182" s="411" t="n">
        <v>412500</v>
      </c>
      <c r="M182" s="392" t="n">
        <f aca="false">L182/K182</f>
        <v>0.183333333333333</v>
      </c>
      <c r="N182" s="466" t="n">
        <f aca="false">I182*M182</f>
        <v>16.5</v>
      </c>
      <c r="O182" s="461" t="n">
        <v>25000</v>
      </c>
      <c r="P182" s="462" t="n">
        <f aca="false">H182-O182</f>
        <v>0</v>
      </c>
      <c r="Q182" s="463" t="n">
        <f aca="false">O182*I182</f>
        <v>2250000</v>
      </c>
      <c r="R182" s="48" t="n">
        <f aca="false">K182-Q182</f>
        <v>0</v>
      </c>
      <c r="S182" s="467"/>
      <c r="T182" s="2" t="s">
        <v>1711</v>
      </c>
      <c r="V182" s="464"/>
      <c r="W182" s="464"/>
      <c r="X182" s="464"/>
      <c r="Y182" s="464"/>
      <c r="Z182" s="464"/>
      <c r="AA182" s="464"/>
      <c r="AB182" s="464"/>
      <c r="AC182" s="464"/>
      <c r="AD182" s="464"/>
      <c r="AE182" s="464"/>
      <c r="AF182" s="464"/>
      <c r="AG182" s="464"/>
      <c r="AH182" s="465"/>
      <c r="AI182" s="464"/>
    </row>
    <row r="183" customFormat="false" ht="15" hidden="false" customHeight="true" outlineLevel="0" collapsed="false">
      <c r="A183" s="455" t="s">
        <v>1726</v>
      </c>
      <c r="C183" s="456" t="n">
        <v>45450</v>
      </c>
      <c r="D183" s="456"/>
      <c r="E183" s="323" t="n">
        <v>13708</v>
      </c>
      <c r="F183" s="323" t="s">
        <v>175</v>
      </c>
      <c r="G183" s="323" t="s">
        <v>10</v>
      </c>
      <c r="H183" s="98" t="n">
        <v>107000</v>
      </c>
      <c r="I183" s="457" t="n">
        <v>90</v>
      </c>
      <c r="J183" s="313" t="s">
        <v>1653</v>
      </c>
      <c r="K183" s="98" t="n">
        <f aca="false">I183*H183</f>
        <v>9630000</v>
      </c>
      <c r="L183" s="411" t="n">
        <v>1765500</v>
      </c>
      <c r="M183" s="392" t="n">
        <f aca="false">L183/K183</f>
        <v>0.183333333333333</v>
      </c>
      <c r="N183" s="466" t="n">
        <f aca="false">I183*M183</f>
        <v>16.5</v>
      </c>
      <c r="O183" s="461" t="n">
        <v>107000</v>
      </c>
      <c r="P183" s="462" t="n">
        <f aca="false">H183-O183</f>
        <v>0</v>
      </c>
      <c r="Q183" s="463" t="n">
        <f aca="false">O183*I183</f>
        <v>9630000</v>
      </c>
      <c r="R183" s="48" t="n">
        <f aca="false">K183-Q183</f>
        <v>0</v>
      </c>
      <c r="S183" s="467"/>
      <c r="T183" s="2" t="s">
        <v>1711</v>
      </c>
      <c r="V183" s="464"/>
      <c r="W183" s="464"/>
      <c r="X183" s="464"/>
      <c r="Y183" s="464"/>
      <c r="Z183" s="464"/>
      <c r="AA183" s="464"/>
      <c r="AB183" s="464"/>
      <c r="AC183" s="464"/>
      <c r="AD183" s="464"/>
      <c r="AE183" s="464"/>
      <c r="AF183" s="464"/>
      <c r="AG183" s="464"/>
      <c r="AH183" s="465"/>
      <c r="AI183" s="464"/>
    </row>
    <row r="184" customFormat="false" ht="15" hidden="false" customHeight="true" outlineLevel="0" collapsed="false">
      <c r="A184" s="455" t="s">
        <v>1727</v>
      </c>
      <c r="C184" s="456" t="n">
        <v>45450</v>
      </c>
      <c r="D184" s="456"/>
      <c r="E184" s="323" t="n">
        <v>13709</v>
      </c>
      <c r="F184" s="323" t="s">
        <v>175</v>
      </c>
      <c r="G184" s="323" t="s">
        <v>10</v>
      </c>
      <c r="H184" s="98" t="n">
        <v>71000</v>
      </c>
      <c r="I184" s="457" t="n">
        <v>90</v>
      </c>
      <c r="J184" s="313" t="s">
        <v>1653</v>
      </c>
      <c r="K184" s="98" t="n">
        <f aca="false">I184*H184</f>
        <v>6390000</v>
      </c>
      <c r="L184" s="411" t="n">
        <v>1171500</v>
      </c>
      <c r="M184" s="392" t="n">
        <f aca="false">L184/K184</f>
        <v>0.183333333333333</v>
      </c>
      <c r="N184" s="466" t="n">
        <f aca="false">I184*M184</f>
        <v>16.5</v>
      </c>
      <c r="O184" s="461" t="n">
        <v>71000</v>
      </c>
      <c r="P184" s="462" t="n">
        <f aca="false">H184-O184</f>
        <v>0</v>
      </c>
      <c r="Q184" s="463" t="n">
        <f aca="false">O184*I184</f>
        <v>6390000</v>
      </c>
      <c r="R184" s="48" t="n">
        <f aca="false">K184-Q184</f>
        <v>0</v>
      </c>
      <c r="S184" s="467"/>
      <c r="T184" s="2" t="s">
        <v>1711</v>
      </c>
      <c r="V184" s="464"/>
      <c r="W184" s="464"/>
      <c r="X184" s="464"/>
      <c r="Y184" s="464"/>
      <c r="Z184" s="464"/>
      <c r="AA184" s="464"/>
      <c r="AB184" s="464"/>
      <c r="AC184" s="464"/>
      <c r="AD184" s="464"/>
      <c r="AE184" s="464"/>
      <c r="AF184" s="464"/>
      <c r="AG184" s="464"/>
      <c r="AH184" s="465"/>
      <c r="AI184" s="464"/>
    </row>
    <row r="185" customFormat="false" ht="15" hidden="false" customHeight="true" outlineLevel="0" collapsed="false">
      <c r="A185" s="455" t="s">
        <v>1728</v>
      </c>
      <c r="C185" s="456" t="n">
        <v>45450</v>
      </c>
      <c r="D185" s="456"/>
      <c r="E185" s="323" t="n">
        <v>13710</v>
      </c>
      <c r="F185" s="323" t="s">
        <v>175</v>
      </c>
      <c r="G185" s="323" t="s">
        <v>10</v>
      </c>
      <c r="H185" s="98" t="n">
        <v>54000</v>
      </c>
      <c r="I185" s="457" t="n">
        <v>90</v>
      </c>
      <c r="J185" s="313" t="s">
        <v>1653</v>
      </c>
      <c r="K185" s="98" t="n">
        <f aca="false">I185*H185</f>
        <v>4860000</v>
      </c>
      <c r="L185" s="411" t="n">
        <v>891000</v>
      </c>
      <c r="M185" s="392" t="n">
        <f aca="false">L185/K185</f>
        <v>0.183333333333333</v>
      </c>
      <c r="N185" s="466" t="n">
        <f aca="false">I185*M185</f>
        <v>16.5</v>
      </c>
      <c r="O185" s="461" t="n">
        <v>54000</v>
      </c>
      <c r="P185" s="462" t="n">
        <f aca="false">H185-O185</f>
        <v>0</v>
      </c>
      <c r="Q185" s="463" t="n">
        <f aca="false">O185*I185</f>
        <v>4860000</v>
      </c>
      <c r="R185" s="48" t="n">
        <f aca="false">K185-Q185</f>
        <v>0</v>
      </c>
      <c r="S185" s="467"/>
      <c r="T185" s="2" t="s">
        <v>1711</v>
      </c>
      <c r="V185" s="464"/>
      <c r="W185" s="464"/>
      <c r="X185" s="464"/>
      <c r="Y185" s="464"/>
      <c r="Z185" s="464"/>
      <c r="AA185" s="464"/>
      <c r="AB185" s="464"/>
      <c r="AC185" s="464"/>
      <c r="AD185" s="464"/>
      <c r="AE185" s="464"/>
      <c r="AF185" s="464"/>
      <c r="AG185" s="464"/>
      <c r="AH185" s="465"/>
      <c r="AI185" s="464"/>
    </row>
    <row r="186" customFormat="false" ht="15" hidden="false" customHeight="true" outlineLevel="0" collapsed="false">
      <c r="A186" s="455" t="s">
        <v>60</v>
      </c>
      <c r="C186" s="456" t="n">
        <v>45460</v>
      </c>
      <c r="D186" s="456"/>
      <c r="E186" s="57" t="n">
        <v>13715</v>
      </c>
      <c r="F186" s="57" t="s">
        <v>175</v>
      </c>
      <c r="G186" s="57" t="s">
        <v>10</v>
      </c>
      <c r="H186" s="98" t="n">
        <v>15000</v>
      </c>
      <c r="I186" s="457" t="n">
        <v>38.3</v>
      </c>
      <c r="J186" s="313" t="s">
        <v>1652</v>
      </c>
      <c r="K186" s="98" t="n">
        <f aca="false">I186*H186</f>
        <v>574500</v>
      </c>
      <c r="L186" s="411" t="n">
        <v>174900</v>
      </c>
      <c r="M186" s="392" t="n">
        <f aca="false">L186/K186</f>
        <v>0.30443864229765</v>
      </c>
      <c r="N186" s="466" t="n">
        <f aca="false">I186*M186</f>
        <v>11.66</v>
      </c>
      <c r="O186" s="461" t="n">
        <v>15000</v>
      </c>
      <c r="P186" s="462" t="n">
        <f aca="false">H186-O186</f>
        <v>0</v>
      </c>
      <c r="Q186" s="463" t="n">
        <f aca="false">O186*I186</f>
        <v>574500</v>
      </c>
      <c r="R186" s="48" t="n">
        <f aca="false">K186-Q186</f>
        <v>0</v>
      </c>
      <c r="S186" s="467"/>
      <c r="T186" s="2" t="s">
        <v>1711</v>
      </c>
      <c r="V186" s="464"/>
      <c r="W186" s="464"/>
      <c r="X186" s="464"/>
      <c r="Y186" s="464"/>
      <c r="Z186" s="464"/>
      <c r="AA186" s="464"/>
      <c r="AB186" s="464"/>
      <c r="AC186" s="464"/>
      <c r="AD186" s="464"/>
      <c r="AE186" s="464"/>
      <c r="AF186" s="464"/>
      <c r="AG186" s="464"/>
      <c r="AH186" s="465"/>
      <c r="AI186" s="464"/>
    </row>
    <row r="187" customFormat="false" ht="15" hidden="false" customHeight="true" outlineLevel="0" collapsed="false">
      <c r="A187" s="455" t="s">
        <v>1717</v>
      </c>
      <c r="C187" s="469" t="n">
        <v>45460</v>
      </c>
      <c r="D187" s="469"/>
      <c r="E187" s="57" t="n">
        <v>13716</v>
      </c>
      <c r="F187" s="57" t="s">
        <v>175</v>
      </c>
      <c r="G187" s="57" t="s">
        <v>10</v>
      </c>
      <c r="H187" s="98" t="n">
        <v>20010</v>
      </c>
      <c r="I187" s="457" t="n">
        <v>25.71</v>
      </c>
      <c r="J187" s="313" t="s">
        <v>1651</v>
      </c>
      <c r="K187" s="98" t="n">
        <f aca="false">I187*H187</f>
        <v>514457.1</v>
      </c>
      <c r="L187" s="411" t="n">
        <v>150075</v>
      </c>
      <c r="M187" s="392" t="n">
        <f aca="false">L187/K187</f>
        <v>0.29171528588098</v>
      </c>
      <c r="N187" s="466" t="n">
        <f aca="false">I187*M187</f>
        <v>7.5</v>
      </c>
      <c r="O187" s="461" t="n">
        <v>20010</v>
      </c>
      <c r="P187" s="462" t="n">
        <f aca="false">H187-O187</f>
        <v>0</v>
      </c>
      <c r="Q187" s="463" t="n">
        <f aca="false">O187*I187</f>
        <v>514457.1</v>
      </c>
      <c r="R187" s="48" t="n">
        <f aca="false">K187-Q187</f>
        <v>0</v>
      </c>
      <c r="S187" s="467"/>
      <c r="T187" s="2" t="s">
        <v>1711</v>
      </c>
      <c r="V187" s="464"/>
      <c r="W187" s="464"/>
      <c r="X187" s="464"/>
      <c r="Y187" s="464"/>
      <c r="Z187" s="464"/>
      <c r="AA187" s="464"/>
      <c r="AB187" s="464"/>
      <c r="AC187" s="464"/>
      <c r="AD187" s="464"/>
      <c r="AE187" s="464"/>
      <c r="AF187" s="464"/>
      <c r="AG187" s="464"/>
      <c r="AH187" s="465"/>
      <c r="AI187" s="464"/>
    </row>
    <row r="188" customFormat="false" ht="15" hidden="false" customHeight="true" outlineLevel="0" collapsed="false">
      <c r="A188" s="455" t="s">
        <v>1729</v>
      </c>
      <c r="C188" s="456" t="n">
        <v>45460</v>
      </c>
      <c r="D188" s="456"/>
      <c r="E188" s="57" t="n">
        <v>13717</v>
      </c>
      <c r="F188" s="57" t="s">
        <v>175</v>
      </c>
      <c r="G188" s="57" t="s">
        <v>10</v>
      </c>
      <c r="H188" s="98" t="n">
        <v>5010</v>
      </c>
      <c r="I188" s="457" t="n">
        <v>38.3</v>
      </c>
      <c r="J188" s="313" t="s">
        <v>1652</v>
      </c>
      <c r="K188" s="98" t="n">
        <f aca="false">I188*H188</f>
        <v>191883</v>
      </c>
      <c r="L188" s="411" t="n">
        <v>48697.2</v>
      </c>
      <c r="M188" s="392" t="n">
        <f aca="false">L188/K188</f>
        <v>0.25378590078329</v>
      </c>
      <c r="N188" s="466" t="n">
        <f aca="false">I188*M188</f>
        <v>9.72</v>
      </c>
      <c r="O188" s="461" t="n">
        <v>5010</v>
      </c>
      <c r="P188" s="462" t="n">
        <f aca="false">H188-O188</f>
        <v>0</v>
      </c>
      <c r="Q188" s="463" t="n">
        <f aca="false">O188*I188</f>
        <v>191883</v>
      </c>
      <c r="R188" s="48" t="n">
        <f aca="false">K188-Q188</f>
        <v>0</v>
      </c>
      <c r="S188" s="467"/>
      <c r="T188" s="2" t="s">
        <v>1711</v>
      </c>
      <c r="V188" s="464"/>
      <c r="W188" s="464"/>
      <c r="X188" s="464"/>
      <c r="Y188" s="464"/>
      <c r="Z188" s="464"/>
      <c r="AA188" s="464"/>
      <c r="AB188" s="464"/>
      <c r="AC188" s="464"/>
      <c r="AD188" s="464"/>
      <c r="AE188" s="464"/>
      <c r="AF188" s="464"/>
      <c r="AG188" s="464"/>
      <c r="AH188" s="465"/>
      <c r="AI188" s="464"/>
    </row>
    <row r="189" customFormat="false" ht="15" hidden="false" customHeight="true" outlineLevel="0" collapsed="false">
      <c r="A189" s="455" t="s">
        <v>1730</v>
      </c>
      <c r="C189" s="456" t="n">
        <v>45461</v>
      </c>
      <c r="D189" s="456"/>
      <c r="E189" s="57" t="n">
        <v>13722</v>
      </c>
      <c r="F189" s="323" t="s">
        <v>175</v>
      </c>
      <c r="G189" s="323" t="s">
        <v>5</v>
      </c>
      <c r="H189" s="98" t="n">
        <v>225</v>
      </c>
      <c r="I189" s="457" t="n">
        <v>25.71</v>
      </c>
      <c r="J189" s="313" t="s">
        <v>1651</v>
      </c>
      <c r="K189" s="99" t="n">
        <f aca="false">I189*H189</f>
        <v>5784.75</v>
      </c>
      <c r="L189" s="411" t="n">
        <v>2364.75</v>
      </c>
      <c r="M189" s="392" t="n">
        <f aca="false">L189/K189</f>
        <v>0.40879035394788</v>
      </c>
      <c r="N189" s="466" t="n">
        <f aca="false">I189*M189</f>
        <v>10.51</v>
      </c>
      <c r="O189" s="461" t="n">
        <v>225</v>
      </c>
      <c r="P189" s="462" t="n">
        <f aca="false">H189-O189</f>
        <v>0</v>
      </c>
      <c r="Q189" s="463" t="n">
        <f aca="false">O189*I189</f>
        <v>5784.75</v>
      </c>
      <c r="R189" s="48" t="n">
        <f aca="false">K189-Q189</f>
        <v>0</v>
      </c>
      <c r="S189" s="108"/>
      <c r="T189" s="2" t="s">
        <v>1711</v>
      </c>
      <c r="V189" s="464"/>
      <c r="W189" s="464"/>
      <c r="X189" s="464"/>
      <c r="Y189" s="464"/>
      <c r="Z189" s="464"/>
      <c r="AA189" s="464"/>
      <c r="AB189" s="464"/>
      <c r="AC189" s="464"/>
      <c r="AD189" s="464"/>
      <c r="AE189" s="464"/>
      <c r="AF189" s="464"/>
      <c r="AG189" s="464"/>
      <c r="AH189" s="465"/>
      <c r="AI189" s="464"/>
    </row>
    <row r="190" customFormat="false" ht="15" hidden="false" customHeight="true" outlineLevel="0" collapsed="false">
      <c r="A190" s="455" t="s">
        <v>1730</v>
      </c>
      <c r="C190" s="456" t="n">
        <v>45461</v>
      </c>
      <c r="D190" s="456"/>
      <c r="E190" s="57" t="n">
        <v>13722</v>
      </c>
      <c r="F190" s="323" t="s">
        <v>175</v>
      </c>
      <c r="G190" s="57" t="s">
        <v>42</v>
      </c>
      <c r="H190" s="98" t="n">
        <v>2250</v>
      </c>
      <c r="I190" s="457" t="n">
        <v>30</v>
      </c>
      <c r="J190" s="313" t="s">
        <v>1651</v>
      </c>
      <c r="K190" s="99" t="n">
        <f aca="false">I190*H190</f>
        <v>67500</v>
      </c>
      <c r="L190" s="411" t="n">
        <v>30735</v>
      </c>
      <c r="M190" s="392" t="n">
        <f aca="false">L190/K190</f>
        <v>0.455333333333333</v>
      </c>
      <c r="N190" s="466" t="n">
        <f aca="false">I190*M190</f>
        <v>13.66</v>
      </c>
      <c r="O190" s="461" t="n">
        <v>2250</v>
      </c>
      <c r="P190" s="462" t="n">
        <f aca="false">H190-O190</f>
        <v>0</v>
      </c>
      <c r="Q190" s="463" t="n">
        <f aca="false">O190*I190</f>
        <v>67500</v>
      </c>
      <c r="R190" s="48" t="n">
        <f aca="false">K190-Q190</f>
        <v>0</v>
      </c>
      <c r="S190" s="108"/>
      <c r="T190" s="2" t="s">
        <v>1711</v>
      </c>
      <c r="V190" s="464"/>
      <c r="W190" s="464"/>
      <c r="X190" s="464"/>
      <c r="Y190" s="464"/>
      <c r="Z190" s="464"/>
      <c r="AA190" s="464"/>
      <c r="AB190" s="464"/>
      <c r="AC190" s="464"/>
      <c r="AD190" s="464"/>
      <c r="AE190" s="464"/>
      <c r="AF190" s="464"/>
      <c r="AG190" s="464"/>
      <c r="AH190" s="465"/>
      <c r="AI190" s="464"/>
    </row>
    <row r="191" customFormat="false" ht="15" hidden="false" customHeight="true" outlineLevel="0" collapsed="false">
      <c r="A191" s="455" t="s">
        <v>1730</v>
      </c>
      <c r="C191" s="456" t="n">
        <v>45461</v>
      </c>
      <c r="D191" s="456"/>
      <c r="E191" s="57" t="n">
        <v>13722</v>
      </c>
      <c r="F191" s="323" t="s">
        <v>175</v>
      </c>
      <c r="G191" s="57" t="s">
        <v>7</v>
      </c>
      <c r="H191" s="98" t="n">
        <v>600</v>
      </c>
      <c r="I191" s="457" t="n">
        <v>25.71</v>
      </c>
      <c r="J191" s="313" t="s">
        <v>1651</v>
      </c>
      <c r="K191" s="99" t="n">
        <f aca="false">I191*H191</f>
        <v>15426</v>
      </c>
      <c r="L191" s="411" t="n">
        <v>6534</v>
      </c>
      <c r="M191" s="392" t="n">
        <f aca="false">L191/K191</f>
        <v>0.423570595099183</v>
      </c>
      <c r="N191" s="466" t="n">
        <f aca="false">I191*M191</f>
        <v>10.89</v>
      </c>
      <c r="O191" s="461" t="n">
        <v>600</v>
      </c>
      <c r="P191" s="462" t="n">
        <f aca="false">H191-O191</f>
        <v>0</v>
      </c>
      <c r="Q191" s="463" t="n">
        <f aca="false">O191*I191</f>
        <v>15426</v>
      </c>
      <c r="R191" s="48" t="n">
        <f aca="false">K191-Q191</f>
        <v>0</v>
      </c>
      <c r="S191" s="108"/>
      <c r="T191" s="2" t="s">
        <v>1711</v>
      </c>
      <c r="V191" s="464"/>
      <c r="W191" s="464"/>
      <c r="X191" s="464"/>
      <c r="Y191" s="464"/>
      <c r="Z191" s="464"/>
      <c r="AA191" s="464"/>
      <c r="AB191" s="464"/>
      <c r="AC191" s="464"/>
      <c r="AD191" s="464"/>
      <c r="AE191" s="464"/>
      <c r="AF191" s="464"/>
      <c r="AG191" s="464"/>
      <c r="AH191" s="465"/>
      <c r="AI191" s="464"/>
    </row>
    <row r="192" customFormat="false" ht="15" hidden="false" customHeight="true" outlineLevel="0" collapsed="false">
      <c r="A192" s="455" t="s">
        <v>1730</v>
      </c>
      <c r="C192" s="456" t="n">
        <v>45461</v>
      </c>
      <c r="D192" s="456"/>
      <c r="E192" s="57" t="n">
        <v>13722</v>
      </c>
      <c r="F192" s="323" t="s">
        <v>175</v>
      </c>
      <c r="G192" s="323" t="s">
        <v>11</v>
      </c>
      <c r="H192" s="98" t="n">
        <v>600</v>
      </c>
      <c r="I192" s="457" t="n">
        <v>14</v>
      </c>
      <c r="J192" s="313" t="s">
        <v>1651</v>
      </c>
      <c r="K192" s="99" t="n">
        <f aca="false">I192*H192</f>
        <v>8400</v>
      </c>
      <c r="L192" s="411" t="n">
        <v>40800</v>
      </c>
      <c r="M192" s="392" t="n">
        <f aca="false">L192/K192</f>
        <v>4.85714285714286</v>
      </c>
      <c r="N192" s="466" t="n">
        <f aca="false">I192*M192</f>
        <v>68</v>
      </c>
      <c r="O192" s="461" t="n">
        <v>600</v>
      </c>
      <c r="P192" s="462" t="n">
        <f aca="false">H192-O192</f>
        <v>0</v>
      </c>
      <c r="Q192" s="463" t="n">
        <f aca="false">O192*I192</f>
        <v>8400</v>
      </c>
      <c r="R192" s="48" t="n">
        <f aca="false">K192-Q192</f>
        <v>0</v>
      </c>
      <c r="S192" s="108"/>
      <c r="T192" s="2" t="s">
        <v>1711</v>
      </c>
      <c r="V192" s="464"/>
      <c r="W192" s="464"/>
      <c r="X192" s="464"/>
      <c r="Y192" s="464"/>
      <c r="Z192" s="464"/>
      <c r="AA192" s="464"/>
      <c r="AB192" s="464"/>
      <c r="AC192" s="464"/>
      <c r="AD192" s="464"/>
      <c r="AE192" s="464"/>
      <c r="AF192" s="464"/>
      <c r="AG192" s="464"/>
      <c r="AH192" s="465"/>
      <c r="AI192" s="464"/>
    </row>
    <row r="193" customFormat="false" ht="15" hidden="false" customHeight="true" outlineLevel="0" collapsed="false">
      <c r="A193" s="455" t="s">
        <v>1730</v>
      </c>
      <c r="C193" s="456" t="n">
        <v>45461</v>
      </c>
      <c r="D193" s="456"/>
      <c r="E193" s="57" t="n">
        <v>13722</v>
      </c>
      <c r="F193" s="323" t="s">
        <v>175</v>
      </c>
      <c r="G193" s="323" t="s">
        <v>13</v>
      </c>
      <c r="H193" s="98" t="n">
        <v>450</v>
      </c>
      <c r="I193" s="457" t="n">
        <v>22.5</v>
      </c>
      <c r="J193" s="313" t="s">
        <v>1651</v>
      </c>
      <c r="K193" s="99" t="n">
        <f aca="false">I193*H193</f>
        <v>10125</v>
      </c>
      <c r="L193" s="411" t="n">
        <v>4729.5</v>
      </c>
      <c r="M193" s="392" t="n">
        <f aca="false">L193/K193</f>
        <v>0.467111111111111</v>
      </c>
      <c r="N193" s="466" t="n">
        <f aca="false">I193*M193</f>
        <v>10.51</v>
      </c>
      <c r="O193" s="461" t="n">
        <v>450</v>
      </c>
      <c r="P193" s="462" t="n">
        <f aca="false">H193-O193</f>
        <v>0</v>
      </c>
      <c r="Q193" s="463" t="n">
        <f aca="false">O193*I193</f>
        <v>10125</v>
      </c>
      <c r="R193" s="48" t="n">
        <f aca="false">K193-Q193</f>
        <v>0</v>
      </c>
      <c r="S193" s="108"/>
      <c r="T193" s="2" t="s">
        <v>1711</v>
      </c>
      <c r="V193" s="464"/>
      <c r="W193" s="464"/>
      <c r="X193" s="464"/>
      <c r="Y193" s="464"/>
      <c r="Z193" s="464"/>
      <c r="AA193" s="464"/>
      <c r="AB193" s="464"/>
      <c r="AC193" s="464"/>
      <c r="AD193" s="464"/>
      <c r="AE193" s="464"/>
      <c r="AF193" s="464"/>
      <c r="AG193" s="464"/>
      <c r="AH193" s="465"/>
      <c r="AI193" s="464"/>
    </row>
    <row r="194" customFormat="false" ht="15" hidden="false" customHeight="true" outlineLevel="0" collapsed="false">
      <c r="A194" s="455" t="s">
        <v>1730</v>
      </c>
      <c r="C194" s="456" t="n">
        <v>45461</v>
      </c>
      <c r="D194" s="456"/>
      <c r="E194" s="57" t="n">
        <v>13722</v>
      </c>
      <c r="F194" s="323" t="s">
        <v>175</v>
      </c>
      <c r="G194" s="323" t="s">
        <v>17</v>
      </c>
      <c r="H194" s="98" t="n">
        <v>525</v>
      </c>
      <c r="I194" s="457" t="n">
        <v>22.5</v>
      </c>
      <c r="J194" s="313" t="s">
        <v>1651</v>
      </c>
      <c r="K194" s="99" t="n">
        <f aca="false">I194*H194</f>
        <v>11812.5</v>
      </c>
      <c r="L194" s="411" t="n">
        <v>5717.25</v>
      </c>
      <c r="M194" s="392" t="n">
        <f aca="false">L194/K194</f>
        <v>0.484</v>
      </c>
      <c r="N194" s="466" t="n">
        <f aca="false">I194*M194</f>
        <v>10.89</v>
      </c>
      <c r="O194" s="461" t="n">
        <v>525</v>
      </c>
      <c r="P194" s="462" t="n">
        <f aca="false">H194-O194</f>
        <v>0</v>
      </c>
      <c r="Q194" s="463" t="n">
        <f aca="false">O194*I194</f>
        <v>11812.5</v>
      </c>
      <c r="R194" s="48" t="n">
        <f aca="false">K194-Q194</f>
        <v>0</v>
      </c>
      <c r="S194" s="108"/>
      <c r="T194" s="2" t="s">
        <v>1711</v>
      </c>
      <c r="V194" s="464"/>
      <c r="W194" s="464"/>
      <c r="X194" s="464"/>
      <c r="Y194" s="464"/>
      <c r="Z194" s="464"/>
      <c r="AA194" s="464"/>
      <c r="AB194" s="464"/>
      <c r="AC194" s="464"/>
      <c r="AD194" s="464"/>
      <c r="AE194" s="464"/>
      <c r="AF194" s="464"/>
      <c r="AG194" s="464"/>
      <c r="AH194" s="465"/>
      <c r="AI194" s="464"/>
    </row>
    <row r="195" customFormat="false" ht="15" hidden="false" customHeight="true" outlineLevel="0" collapsed="false">
      <c r="A195" s="455" t="s">
        <v>63</v>
      </c>
      <c r="B195" s="44" t="s">
        <v>1731</v>
      </c>
      <c r="C195" s="456" t="n">
        <v>45461</v>
      </c>
      <c r="D195" s="456"/>
      <c r="E195" s="323" t="n">
        <v>13723</v>
      </c>
      <c r="F195" s="323" t="s">
        <v>175</v>
      </c>
      <c r="G195" s="323" t="s">
        <v>5</v>
      </c>
      <c r="H195" s="98" t="n">
        <v>10000</v>
      </c>
      <c r="I195" s="457" t="n">
        <v>60</v>
      </c>
      <c r="J195" s="313" t="s">
        <v>1653</v>
      </c>
      <c r="K195" s="98" t="n">
        <f aca="false">I195*H195</f>
        <v>600000</v>
      </c>
      <c r="L195" s="411" t="n">
        <v>175000</v>
      </c>
      <c r="M195" s="392" t="n">
        <f aca="false">L195/K195</f>
        <v>0.291666666666667</v>
      </c>
      <c r="N195" s="466" t="n">
        <f aca="false">I195*M195</f>
        <v>17.5</v>
      </c>
      <c r="O195" s="461" t="n">
        <v>10000</v>
      </c>
      <c r="P195" s="462" t="n">
        <f aca="false">H195-O195</f>
        <v>0</v>
      </c>
      <c r="Q195" s="463" t="n">
        <f aca="false">O195*I195</f>
        <v>600000</v>
      </c>
      <c r="R195" s="48" t="n">
        <f aca="false">K195-Q195</f>
        <v>0</v>
      </c>
      <c r="S195" s="467"/>
      <c r="T195" s="2" t="s">
        <v>1711</v>
      </c>
      <c r="V195" s="464"/>
      <c r="W195" s="464"/>
      <c r="X195" s="464"/>
      <c r="Y195" s="464"/>
      <c r="Z195" s="464"/>
      <c r="AA195" s="464"/>
      <c r="AB195" s="464"/>
      <c r="AC195" s="464"/>
      <c r="AD195" s="464"/>
      <c r="AE195" s="464"/>
      <c r="AF195" s="464"/>
      <c r="AG195" s="464"/>
      <c r="AH195" s="465"/>
      <c r="AI195" s="464"/>
    </row>
    <row r="196" customFormat="false" ht="15" hidden="false" customHeight="true" outlineLevel="0" collapsed="false">
      <c r="A196" s="455" t="s">
        <v>63</v>
      </c>
      <c r="C196" s="456" t="n">
        <v>45461</v>
      </c>
      <c r="D196" s="456"/>
      <c r="E196" s="323" t="n">
        <v>13723</v>
      </c>
      <c r="F196" s="323" t="s">
        <v>175</v>
      </c>
      <c r="G196" s="323" t="s">
        <v>5</v>
      </c>
      <c r="H196" s="98" t="n">
        <v>10005</v>
      </c>
      <c r="I196" s="457" t="n">
        <v>37.5</v>
      </c>
      <c r="J196" s="313" t="s">
        <v>1652</v>
      </c>
      <c r="K196" s="98" t="n">
        <f aca="false">I196*H196</f>
        <v>375187.5</v>
      </c>
      <c r="L196" s="411" t="n">
        <v>145072.5</v>
      </c>
      <c r="M196" s="392" t="n">
        <f aca="false">L196/K196</f>
        <v>0.386666666666667</v>
      </c>
      <c r="N196" s="466" t="n">
        <f aca="false">I196*M196</f>
        <v>14.5</v>
      </c>
      <c r="O196" s="461" t="n">
        <v>10005</v>
      </c>
      <c r="P196" s="462" t="n">
        <f aca="false">H196-O196</f>
        <v>0</v>
      </c>
      <c r="Q196" s="463" t="n">
        <f aca="false">O196*I196</f>
        <v>375187.5</v>
      </c>
      <c r="R196" s="48" t="n">
        <f aca="false">K196-Q196</f>
        <v>0</v>
      </c>
      <c r="S196" s="467"/>
      <c r="T196" s="2" t="s">
        <v>1711</v>
      </c>
      <c r="V196" s="464"/>
      <c r="W196" s="464"/>
      <c r="X196" s="464"/>
      <c r="Y196" s="464"/>
      <c r="Z196" s="464"/>
      <c r="AA196" s="464"/>
      <c r="AB196" s="464"/>
      <c r="AC196" s="464"/>
      <c r="AD196" s="464"/>
      <c r="AE196" s="464"/>
      <c r="AF196" s="464"/>
      <c r="AG196" s="464"/>
      <c r="AH196" s="465"/>
      <c r="AI196" s="464"/>
    </row>
    <row r="197" customFormat="false" ht="15" hidden="false" customHeight="true" outlineLevel="0" collapsed="false">
      <c r="A197" s="455" t="s">
        <v>63</v>
      </c>
      <c r="C197" s="456" t="n">
        <v>45461</v>
      </c>
      <c r="D197" s="456"/>
      <c r="E197" s="323" t="n">
        <v>13723</v>
      </c>
      <c r="F197" s="323" t="s">
        <v>175</v>
      </c>
      <c r="G197" s="323" t="s">
        <v>5</v>
      </c>
      <c r="H197" s="98" t="n">
        <v>40755</v>
      </c>
      <c r="I197" s="457" t="n">
        <v>25.71</v>
      </c>
      <c r="J197" s="313" t="s">
        <v>1651</v>
      </c>
      <c r="K197" s="98" t="n">
        <f aca="false">I197*H197</f>
        <v>1047811.05</v>
      </c>
      <c r="L197" s="411" t="n">
        <v>440154</v>
      </c>
      <c r="M197" s="392" t="n">
        <f aca="false">L197/K197</f>
        <v>0.420070011668611</v>
      </c>
      <c r="N197" s="466" t="n">
        <f aca="false">I197*M197</f>
        <v>10.8</v>
      </c>
      <c r="O197" s="461" t="n">
        <v>40755</v>
      </c>
      <c r="P197" s="462" t="n">
        <f aca="false">H197-O197</f>
        <v>0</v>
      </c>
      <c r="Q197" s="463" t="n">
        <f aca="false">O197*I197</f>
        <v>1047811.05</v>
      </c>
      <c r="R197" s="48" t="n">
        <f aca="false">K197-Q197</f>
        <v>0</v>
      </c>
      <c r="S197" s="467"/>
      <c r="T197" s="2" t="s">
        <v>1711</v>
      </c>
      <c r="V197" s="464"/>
      <c r="W197" s="464"/>
      <c r="X197" s="464"/>
      <c r="Y197" s="464"/>
      <c r="Z197" s="464"/>
      <c r="AA197" s="464"/>
      <c r="AB197" s="464"/>
      <c r="AC197" s="464"/>
      <c r="AD197" s="464"/>
      <c r="AE197" s="464"/>
      <c r="AF197" s="464"/>
      <c r="AG197" s="464"/>
      <c r="AH197" s="465"/>
      <c r="AI197" s="464"/>
    </row>
    <row r="198" customFormat="false" ht="15" hidden="false" customHeight="true" outlineLevel="0" collapsed="false">
      <c r="A198" s="455" t="s">
        <v>63</v>
      </c>
      <c r="B198" s="44" t="s">
        <v>1731</v>
      </c>
      <c r="C198" s="456" t="n">
        <v>45461</v>
      </c>
      <c r="D198" s="456"/>
      <c r="E198" s="323" t="n">
        <v>13723</v>
      </c>
      <c r="F198" s="323" t="s">
        <v>175</v>
      </c>
      <c r="G198" s="323" t="s">
        <v>6</v>
      </c>
      <c r="H198" s="98" t="n">
        <v>5000</v>
      </c>
      <c r="I198" s="457" t="n">
        <v>60</v>
      </c>
      <c r="J198" s="313" t="s">
        <v>1653</v>
      </c>
      <c r="K198" s="98" t="n">
        <f aca="false">I198*H198</f>
        <v>300000</v>
      </c>
      <c r="L198" s="411" t="n">
        <v>87500</v>
      </c>
      <c r="M198" s="392" t="n">
        <f aca="false">L198/K198</f>
        <v>0.291666666666667</v>
      </c>
      <c r="N198" s="466" t="n">
        <f aca="false">I198*M198</f>
        <v>17.5</v>
      </c>
      <c r="O198" s="461" t="n">
        <v>5000</v>
      </c>
      <c r="P198" s="462" t="n">
        <f aca="false">H198-O198</f>
        <v>0</v>
      </c>
      <c r="Q198" s="463" t="n">
        <f aca="false">O198*I198</f>
        <v>300000</v>
      </c>
      <c r="R198" s="48" t="n">
        <f aca="false">K198-Q198</f>
        <v>0</v>
      </c>
      <c r="S198" s="467"/>
      <c r="T198" s="2" t="s">
        <v>1711</v>
      </c>
      <c r="V198" s="464"/>
      <c r="W198" s="464"/>
      <c r="X198" s="464"/>
      <c r="Y198" s="464"/>
      <c r="Z198" s="464"/>
      <c r="AA198" s="464"/>
      <c r="AB198" s="464"/>
      <c r="AC198" s="464"/>
      <c r="AD198" s="464"/>
      <c r="AE198" s="464"/>
      <c r="AF198" s="464"/>
      <c r="AG198" s="464"/>
      <c r="AH198" s="465"/>
      <c r="AI198" s="464"/>
    </row>
    <row r="199" customFormat="false" ht="15" hidden="false" customHeight="true" outlineLevel="0" collapsed="false">
      <c r="A199" s="455" t="s">
        <v>63</v>
      </c>
      <c r="C199" s="456" t="n">
        <v>45461</v>
      </c>
      <c r="D199" s="456"/>
      <c r="E199" s="323" t="n">
        <v>13723</v>
      </c>
      <c r="F199" s="323" t="s">
        <v>175</v>
      </c>
      <c r="G199" s="323" t="s">
        <v>6</v>
      </c>
      <c r="H199" s="98" t="n">
        <v>5010</v>
      </c>
      <c r="I199" s="457" t="n">
        <v>45</v>
      </c>
      <c r="J199" s="313" t="s">
        <v>1652</v>
      </c>
      <c r="K199" s="98" t="n">
        <f aca="false">I199*H199</f>
        <v>225450</v>
      </c>
      <c r="L199" s="411" t="n">
        <v>72645</v>
      </c>
      <c r="M199" s="392" t="n">
        <f aca="false">L199/K199</f>
        <v>0.322222222222222</v>
      </c>
      <c r="N199" s="466" t="n">
        <f aca="false">I199*M199</f>
        <v>14.5</v>
      </c>
      <c r="O199" s="461" t="n">
        <v>5010</v>
      </c>
      <c r="P199" s="462" t="n">
        <f aca="false">H199-O199</f>
        <v>0</v>
      </c>
      <c r="Q199" s="463" t="n">
        <f aca="false">O199*I199</f>
        <v>225450</v>
      </c>
      <c r="R199" s="48" t="n">
        <f aca="false">K199-Q199</f>
        <v>0</v>
      </c>
      <c r="S199" s="467"/>
      <c r="T199" s="2" t="s">
        <v>1711</v>
      </c>
      <c r="V199" s="464"/>
      <c r="W199" s="464"/>
      <c r="X199" s="464"/>
      <c r="Y199" s="464"/>
      <c r="Z199" s="464"/>
      <c r="AA199" s="464"/>
      <c r="AB199" s="464"/>
      <c r="AC199" s="464"/>
      <c r="AD199" s="464"/>
      <c r="AE199" s="464"/>
      <c r="AF199" s="464"/>
      <c r="AG199" s="464"/>
      <c r="AH199" s="465"/>
      <c r="AI199" s="464"/>
    </row>
    <row r="200" customFormat="false" ht="15" hidden="false" customHeight="true" outlineLevel="0" collapsed="false">
      <c r="A200" s="455" t="s">
        <v>63</v>
      </c>
      <c r="C200" s="456" t="n">
        <v>45461</v>
      </c>
      <c r="D200" s="456"/>
      <c r="E200" s="323" t="n">
        <v>13723</v>
      </c>
      <c r="F200" s="323" t="s">
        <v>175</v>
      </c>
      <c r="G200" s="323" t="s">
        <v>6</v>
      </c>
      <c r="H200" s="98" t="n">
        <v>10005</v>
      </c>
      <c r="I200" s="457" t="n">
        <v>30</v>
      </c>
      <c r="J200" s="313" t="s">
        <v>1651</v>
      </c>
      <c r="K200" s="98" t="n">
        <f aca="false">I200*H200</f>
        <v>300150</v>
      </c>
      <c r="L200" s="411" t="n">
        <v>109054.5</v>
      </c>
      <c r="M200" s="392" t="n">
        <f aca="false">L200/K200</f>
        <v>0.363333333333333</v>
      </c>
      <c r="N200" s="466" t="n">
        <f aca="false">I200*M200</f>
        <v>10.9</v>
      </c>
      <c r="O200" s="461" t="n">
        <v>10005</v>
      </c>
      <c r="P200" s="462" t="n">
        <f aca="false">H200-O200</f>
        <v>0</v>
      </c>
      <c r="Q200" s="463" t="n">
        <f aca="false">O200*I200</f>
        <v>300150</v>
      </c>
      <c r="R200" s="48" t="n">
        <f aca="false">K200-Q200</f>
        <v>0</v>
      </c>
      <c r="S200" s="467"/>
      <c r="T200" s="2" t="s">
        <v>1711</v>
      </c>
      <c r="V200" s="464"/>
      <c r="W200" s="464"/>
      <c r="X200" s="464"/>
      <c r="Y200" s="464"/>
      <c r="Z200" s="464"/>
      <c r="AA200" s="464"/>
      <c r="AB200" s="464"/>
      <c r="AC200" s="464"/>
      <c r="AD200" s="464"/>
      <c r="AE200" s="464"/>
      <c r="AF200" s="464"/>
      <c r="AG200" s="464"/>
      <c r="AH200" s="465"/>
      <c r="AI200" s="464"/>
    </row>
    <row r="201" customFormat="false" ht="15" hidden="false" customHeight="true" outlineLevel="0" collapsed="false">
      <c r="A201" s="455" t="s">
        <v>63</v>
      </c>
      <c r="B201" s="44" t="s">
        <v>1731</v>
      </c>
      <c r="C201" s="456" t="n">
        <v>45461</v>
      </c>
      <c r="D201" s="456"/>
      <c r="E201" s="323" t="n">
        <v>13723</v>
      </c>
      <c r="F201" s="323" t="s">
        <v>175</v>
      </c>
      <c r="G201" s="323" t="s">
        <v>42</v>
      </c>
      <c r="H201" s="98" t="n">
        <v>1725</v>
      </c>
      <c r="I201" s="457" t="n">
        <v>60</v>
      </c>
      <c r="J201" s="313" t="s">
        <v>1653</v>
      </c>
      <c r="K201" s="98" t="n">
        <f aca="false">I201*H201</f>
        <v>103500</v>
      </c>
      <c r="L201" s="411" t="n">
        <v>35880</v>
      </c>
      <c r="M201" s="392" t="n">
        <f aca="false">L201/K201</f>
        <v>0.346666666666667</v>
      </c>
      <c r="N201" s="466" t="n">
        <f aca="false">I201*M201</f>
        <v>20.8</v>
      </c>
      <c r="O201" s="461" t="n">
        <v>1725</v>
      </c>
      <c r="P201" s="462" t="n">
        <f aca="false">H201-O201</f>
        <v>0</v>
      </c>
      <c r="Q201" s="463" t="n">
        <f aca="false">O201*I201</f>
        <v>103500</v>
      </c>
      <c r="R201" s="48" t="n">
        <f aca="false">K201-Q201</f>
        <v>0</v>
      </c>
      <c r="S201" s="467"/>
      <c r="T201" s="2" t="s">
        <v>1711</v>
      </c>
      <c r="V201" s="464"/>
      <c r="W201" s="464"/>
      <c r="X201" s="464"/>
      <c r="Y201" s="464"/>
      <c r="Z201" s="464"/>
      <c r="AA201" s="464"/>
      <c r="AB201" s="464"/>
      <c r="AC201" s="464"/>
      <c r="AD201" s="464"/>
      <c r="AE201" s="464"/>
      <c r="AF201" s="464"/>
      <c r="AG201" s="464"/>
      <c r="AH201" s="465"/>
      <c r="AI201" s="464"/>
    </row>
    <row r="202" customFormat="false" ht="15" hidden="false" customHeight="true" outlineLevel="0" collapsed="false">
      <c r="A202" s="455" t="s">
        <v>63</v>
      </c>
      <c r="C202" s="456" t="n">
        <v>45461</v>
      </c>
      <c r="D202" s="456"/>
      <c r="E202" s="323" t="n">
        <v>13723</v>
      </c>
      <c r="F202" s="323" t="s">
        <v>175</v>
      </c>
      <c r="G202" s="323" t="s">
        <v>42</v>
      </c>
      <c r="H202" s="98" t="n">
        <v>10005</v>
      </c>
      <c r="I202" s="457" t="n">
        <v>45</v>
      </c>
      <c r="J202" s="313" t="s">
        <v>1652</v>
      </c>
      <c r="K202" s="98" t="n">
        <f aca="false">I202*H202</f>
        <v>450225</v>
      </c>
      <c r="L202" s="411" t="n">
        <v>185092.5</v>
      </c>
      <c r="M202" s="392" t="n">
        <f aca="false">L202/K202</f>
        <v>0.411111111111111</v>
      </c>
      <c r="N202" s="466" t="n">
        <f aca="false">I202*M202</f>
        <v>18.5</v>
      </c>
      <c r="O202" s="461" t="n">
        <v>10005</v>
      </c>
      <c r="P202" s="462" t="n">
        <f aca="false">H202-O202</f>
        <v>0</v>
      </c>
      <c r="Q202" s="463" t="n">
        <f aca="false">O202*I202</f>
        <v>450225</v>
      </c>
      <c r="R202" s="48" t="n">
        <f aca="false">K202-Q202</f>
        <v>0</v>
      </c>
      <c r="S202" s="467"/>
      <c r="T202" s="2" t="s">
        <v>1711</v>
      </c>
      <c r="V202" s="464"/>
      <c r="W202" s="464"/>
      <c r="X202" s="464"/>
      <c r="Y202" s="464"/>
      <c r="Z202" s="464"/>
      <c r="AA202" s="464"/>
      <c r="AB202" s="464"/>
      <c r="AC202" s="464"/>
      <c r="AD202" s="464"/>
      <c r="AE202" s="464"/>
      <c r="AF202" s="464"/>
      <c r="AG202" s="464"/>
      <c r="AH202" s="465"/>
      <c r="AI202" s="464"/>
    </row>
    <row r="203" customFormat="false" ht="15" hidden="false" customHeight="true" outlineLevel="0" collapsed="false">
      <c r="A203" s="455" t="s">
        <v>63</v>
      </c>
      <c r="C203" s="456" t="n">
        <v>45461</v>
      </c>
      <c r="D203" s="456"/>
      <c r="E203" s="323" t="n">
        <v>13723</v>
      </c>
      <c r="F203" s="323" t="s">
        <v>175</v>
      </c>
      <c r="G203" s="323" t="s">
        <v>42</v>
      </c>
      <c r="H203" s="98" t="n">
        <v>30000</v>
      </c>
      <c r="I203" s="457" t="n">
        <v>30</v>
      </c>
      <c r="J203" s="313" t="s">
        <v>1651</v>
      </c>
      <c r="K203" s="98" t="n">
        <f aca="false">I203*H203</f>
        <v>900000</v>
      </c>
      <c r="L203" s="411" t="n">
        <v>405000</v>
      </c>
      <c r="M203" s="392" t="n">
        <f aca="false">L203/K203</f>
        <v>0.45</v>
      </c>
      <c r="N203" s="466" t="n">
        <f aca="false">I203*M203</f>
        <v>13.5</v>
      </c>
      <c r="O203" s="461" t="n">
        <v>30000</v>
      </c>
      <c r="P203" s="462" t="n">
        <f aca="false">H203-O203</f>
        <v>0</v>
      </c>
      <c r="Q203" s="463" t="n">
        <f aca="false">O203*I203</f>
        <v>900000</v>
      </c>
      <c r="R203" s="48" t="n">
        <f aca="false">K203-Q203</f>
        <v>0</v>
      </c>
      <c r="S203" s="467"/>
      <c r="T203" s="2" t="s">
        <v>1711</v>
      </c>
      <c r="V203" s="464"/>
      <c r="W203" s="464"/>
      <c r="X203" s="464"/>
      <c r="Y203" s="464"/>
      <c r="Z203" s="464"/>
      <c r="AA203" s="464"/>
      <c r="AB203" s="464"/>
      <c r="AC203" s="464"/>
      <c r="AD203" s="464"/>
      <c r="AE203" s="464"/>
      <c r="AF203" s="464"/>
      <c r="AG203" s="464"/>
      <c r="AH203" s="465"/>
      <c r="AI203" s="464"/>
    </row>
    <row r="204" customFormat="false" ht="15" hidden="false" customHeight="true" outlineLevel="0" collapsed="false">
      <c r="A204" s="455" t="s">
        <v>63</v>
      </c>
      <c r="B204" s="44" t="s">
        <v>1731</v>
      </c>
      <c r="C204" s="456" t="n">
        <v>45461</v>
      </c>
      <c r="D204" s="456"/>
      <c r="E204" s="323" t="n">
        <v>13723</v>
      </c>
      <c r="F204" s="323" t="s">
        <v>175</v>
      </c>
      <c r="G204" s="323" t="s">
        <v>7</v>
      </c>
      <c r="H204" s="98" t="n">
        <v>6000</v>
      </c>
      <c r="I204" s="457" t="n">
        <v>60</v>
      </c>
      <c r="J204" s="313" t="s">
        <v>1653</v>
      </c>
      <c r="K204" s="98" t="n">
        <f aca="false">I204*H204</f>
        <v>360000</v>
      </c>
      <c r="L204" s="411" t="n">
        <v>108000</v>
      </c>
      <c r="M204" s="392" t="n">
        <f aca="false">L204/K204</f>
        <v>0.3</v>
      </c>
      <c r="N204" s="466" t="n">
        <f aca="false">I204*M204</f>
        <v>18</v>
      </c>
      <c r="O204" s="461" t="n">
        <v>6000</v>
      </c>
      <c r="P204" s="462" t="n">
        <f aca="false">H204-O204</f>
        <v>0</v>
      </c>
      <c r="Q204" s="463" t="n">
        <f aca="false">O204*I204</f>
        <v>360000</v>
      </c>
      <c r="R204" s="48" t="n">
        <f aca="false">K204-Q204</f>
        <v>0</v>
      </c>
      <c r="S204" s="467"/>
      <c r="T204" s="2" t="s">
        <v>1711</v>
      </c>
      <c r="V204" s="464"/>
      <c r="W204" s="464"/>
      <c r="X204" s="464"/>
      <c r="Y204" s="464"/>
      <c r="Z204" s="464"/>
      <c r="AA204" s="464"/>
      <c r="AB204" s="464"/>
      <c r="AC204" s="464"/>
      <c r="AD204" s="464"/>
      <c r="AE204" s="464"/>
      <c r="AF204" s="464"/>
      <c r="AG204" s="464"/>
      <c r="AH204" s="465"/>
      <c r="AI204" s="464"/>
    </row>
    <row r="205" customFormat="false" ht="15" hidden="false" customHeight="true" outlineLevel="0" collapsed="false">
      <c r="A205" s="455" t="s">
        <v>63</v>
      </c>
      <c r="C205" s="456" t="n">
        <v>45461</v>
      </c>
      <c r="D205" s="456"/>
      <c r="E205" s="323" t="n">
        <v>13723</v>
      </c>
      <c r="F205" s="323" t="s">
        <v>175</v>
      </c>
      <c r="G205" s="323" t="s">
        <v>7</v>
      </c>
      <c r="H205" s="98" t="n">
        <v>10005</v>
      </c>
      <c r="I205" s="457" t="n">
        <v>36</v>
      </c>
      <c r="J205" s="313" t="s">
        <v>1652</v>
      </c>
      <c r="K205" s="98" t="n">
        <f aca="false">I205*H205</f>
        <v>360180</v>
      </c>
      <c r="L205" s="411" t="n">
        <v>157078.5</v>
      </c>
      <c r="M205" s="392" t="n">
        <f aca="false">L205/K205</f>
        <v>0.436111111111111</v>
      </c>
      <c r="N205" s="466" t="n">
        <f aca="false">I205*M205</f>
        <v>15.7</v>
      </c>
      <c r="O205" s="461" t="n">
        <v>10005</v>
      </c>
      <c r="P205" s="462" t="n">
        <f aca="false">H205-O205</f>
        <v>0</v>
      </c>
      <c r="Q205" s="463" t="n">
        <f aca="false">O205*I205</f>
        <v>360180</v>
      </c>
      <c r="R205" s="48" t="n">
        <f aca="false">K205-Q205</f>
        <v>0</v>
      </c>
      <c r="S205" s="467"/>
      <c r="T205" s="2" t="s">
        <v>1711</v>
      </c>
      <c r="V205" s="464"/>
      <c r="W205" s="464"/>
      <c r="X205" s="464"/>
      <c r="Y205" s="464"/>
      <c r="Z205" s="464"/>
      <c r="AA205" s="464"/>
      <c r="AB205" s="464"/>
      <c r="AC205" s="464"/>
      <c r="AD205" s="464"/>
      <c r="AE205" s="464"/>
      <c r="AF205" s="464"/>
      <c r="AG205" s="464"/>
      <c r="AH205" s="465"/>
      <c r="AI205" s="464"/>
    </row>
    <row r="206" customFormat="false" ht="15" hidden="false" customHeight="true" outlineLevel="0" collapsed="false">
      <c r="A206" s="455" t="s">
        <v>63</v>
      </c>
      <c r="C206" s="456" t="n">
        <v>45461</v>
      </c>
      <c r="D206" s="456"/>
      <c r="E206" s="323" t="n">
        <v>13723</v>
      </c>
      <c r="F206" s="323" t="s">
        <v>175</v>
      </c>
      <c r="G206" s="323" t="s">
        <v>7</v>
      </c>
      <c r="H206" s="98" t="n">
        <v>30000</v>
      </c>
      <c r="I206" s="457" t="n">
        <v>25.71</v>
      </c>
      <c r="J206" s="313" t="s">
        <v>1651</v>
      </c>
      <c r="K206" s="98" t="n">
        <f aca="false">I206*H206</f>
        <v>771300</v>
      </c>
      <c r="L206" s="411" t="n">
        <v>327000</v>
      </c>
      <c r="M206" s="392" t="n">
        <f aca="false">L206/K206</f>
        <v>0.423959548813691</v>
      </c>
      <c r="N206" s="466" t="n">
        <f aca="false">I206*M206</f>
        <v>10.9</v>
      </c>
      <c r="O206" s="461" t="n">
        <v>30000</v>
      </c>
      <c r="P206" s="462" t="n">
        <f aca="false">H206-O206</f>
        <v>0</v>
      </c>
      <c r="Q206" s="463" t="n">
        <f aca="false">O206*I206</f>
        <v>771300</v>
      </c>
      <c r="R206" s="48" t="n">
        <f aca="false">K206-Q206</f>
        <v>0</v>
      </c>
      <c r="S206" s="467"/>
      <c r="T206" s="2" t="s">
        <v>1711</v>
      </c>
      <c r="V206" s="464"/>
      <c r="W206" s="464"/>
      <c r="X206" s="464"/>
      <c r="Y206" s="464"/>
      <c r="Z206" s="464"/>
      <c r="AA206" s="464"/>
      <c r="AB206" s="464"/>
      <c r="AC206" s="464"/>
      <c r="AD206" s="464"/>
      <c r="AE206" s="464"/>
      <c r="AF206" s="464"/>
      <c r="AG206" s="464"/>
      <c r="AH206" s="465"/>
      <c r="AI206" s="464"/>
    </row>
    <row r="207" customFormat="false" ht="15" hidden="false" customHeight="true" outlineLevel="0" collapsed="false">
      <c r="A207" s="455" t="s">
        <v>63</v>
      </c>
      <c r="C207" s="456" t="n">
        <v>45461</v>
      </c>
      <c r="D207" s="456"/>
      <c r="E207" s="323" t="n">
        <v>13723</v>
      </c>
      <c r="F207" s="323" t="s">
        <v>175</v>
      </c>
      <c r="G207" s="323" t="s">
        <v>11</v>
      </c>
      <c r="H207" s="98" t="n">
        <v>6000</v>
      </c>
      <c r="I207" s="457" t="n">
        <v>14</v>
      </c>
      <c r="J207" s="313" t="s">
        <v>1651</v>
      </c>
      <c r="K207" s="98" t="n">
        <f aca="false">I207*H207</f>
        <v>84000</v>
      </c>
      <c r="L207" s="411" t="n">
        <v>292500</v>
      </c>
      <c r="M207" s="392" t="n">
        <f aca="false">L207/K207</f>
        <v>3.48214285714286</v>
      </c>
      <c r="N207" s="466" t="n">
        <f aca="false">I207*M207</f>
        <v>48.75</v>
      </c>
      <c r="O207" s="461" t="n">
        <v>6000</v>
      </c>
      <c r="P207" s="462" t="n">
        <f aca="false">H207-O207</f>
        <v>0</v>
      </c>
      <c r="Q207" s="463" t="n">
        <f aca="false">O207*I207</f>
        <v>84000</v>
      </c>
      <c r="R207" s="48" t="n">
        <f aca="false">K207-Q207</f>
        <v>0</v>
      </c>
      <c r="S207" s="467"/>
      <c r="T207" s="2" t="s">
        <v>1711</v>
      </c>
      <c r="V207" s="464"/>
      <c r="W207" s="464"/>
      <c r="X207" s="464"/>
      <c r="Y207" s="464"/>
      <c r="Z207" s="464"/>
      <c r="AA207" s="464"/>
      <c r="AB207" s="464"/>
      <c r="AC207" s="464"/>
      <c r="AD207" s="464"/>
      <c r="AE207" s="464"/>
      <c r="AF207" s="464"/>
      <c r="AG207" s="464"/>
      <c r="AH207" s="465"/>
      <c r="AI207" s="464"/>
    </row>
    <row r="208" customFormat="false" ht="15" hidden="false" customHeight="true" outlineLevel="0" collapsed="false">
      <c r="A208" s="455" t="s">
        <v>63</v>
      </c>
      <c r="C208" s="456" t="n">
        <v>45461</v>
      </c>
      <c r="D208" s="456"/>
      <c r="E208" s="323" t="n">
        <v>13723</v>
      </c>
      <c r="F208" s="323" t="s">
        <v>175</v>
      </c>
      <c r="G208" s="323" t="s">
        <v>12</v>
      </c>
      <c r="H208" s="98" t="n">
        <v>10005</v>
      </c>
      <c r="I208" s="457" t="n">
        <v>18</v>
      </c>
      <c r="J208" s="313" t="s">
        <v>1651</v>
      </c>
      <c r="K208" s="98" t="n">
        <f aca="false">I208*H208</f>
        <v>180090</v>
      </c>
      <c r="L208" s="411" t="n">
        <v>477738.75</v>
      </c>
      <c r="M208" s="392" t="n">
        <f aca="false">L208/K208</f>
        <v>2.65277777777778</v>
      </c>
      <c r="N208" s="466" t="n">
        <f aca="false">I208*M208</f>
        <v>47.75</v>
      </c>
      <c r="O208" s="461" t="n">
        <v>10005</v>
      </c>
      <c r="P208" s="462" t="n">
        <f aca="false">H208-O208</f>
        <v>0</v>
      </c>
      <c r="Q208" s="463" t="n">
        <f aca="false">O208*I208</f>
        <v>180090</v>
      </c>
      <c r="R208" s="48" t="n">
        <f aca="false">K208-Q208</f>
        <v>0</v>
      </c>
      <c r="S208" s="467"/>
      <c r="T208" s="2" t="s">
        <v>1711</v>
      </c>
      <c r="V208" s="464"/>
      <c r="W208" s="464"/>
      <c r="X208" s="464"/>
      <c r="Y208" s="464"/>
      <c r="Z208" s="464"/>
      <c r="AA208" s="464"/>
      <c r="AB208" s="464"/>
      <c r="AC208" s="464"/>
      <c r="AD208" s="464"/>
      <c r="AE208" s="464"/>
      <c r="AF208" s="464"/>
      <c r="AG208" s="464"/>
      <c r="AH208" s="465"/>
      <c r="AI208" s="464"/>
    </row>
    <row r="209" customFormat="false" ht="15" hidden="false" customHeight="true" outlineLevel="0" collapsed="false">
      <c r="A209" s="455" t="s">
        <v>63</v>
      </c>
      <c r="B209" s="44" t="s">
        <v>1731</v>
      </c>
      <c r="C209" s="456" t="n">
        <v>45461</v>
      </c>
      <c r="D209" s="456"/>
      <c r="E209" s="323" t="n">
        <v>13723</v>
      </c>
      <c r="F209" s="323" t="s">
        <v>175</v>
      </c>
      <c r="G209" s="323" t="s">
        <v>13</v>
      </c>
      <c r="H209" s="98" t="n">
        <v>2500</v>
      </c>
      <c r="I209" s="457" t="n">
        <v>55</v>
      </c>
      <c r="J209" s="313" t="s">
        <v>1653</v>
      </c>
      <c r="K209" s="98" t="n">
        <f aca="false">I209*H209</f>
        <v>137500</v>
      </c>
      <c r="L209" s="411" t="n">
        <v>37500</v>
      </c>
      <c r="M209" s="392" t="n">
        <f aca="false">L209/K209</f>
        <v>0.272727272727273</v>
      </c>
      <c r="N209" s="466" t="n">
        <f aca="false">I209*M209</f>
        <v>15</v>
      </c>
      <c r="O209" s="461" t="n">
        <v>2500</v>
      </c>
      <c r="P209" s="462" t="n">
        <f aca="false">H209-O209</f>
        <v>0</v>
      </c>
      <c r="Q209" s="463" t="n">
        <f aca="false">O209*I209</f>
        <v>137500</v>
      </c>
      <c r="R209" s="48" t="n">
        <f aca="false">K209-Q209</f>
        <v>0</v>
      </c>
      <c r="S209" s="467"/>
      <c r="T209" s="2" t="s">
        <v>1711</v>
      </c>
      <c r="V209" s="464"/>
      <c r="W209" s="464"/>
      <c r="X209" s="464"/>
      <c r="Y209" s="464"/>
      <c r="Z209" s="464"/>
      <c r="AA209" s="464"/>
      <c r="AB209" s="464"/>
      <c r="AC209" s="464"/>
      <c r="AD209" s="464"/>
      <c r="AE209" s="464"/>
      <c r="AF209" s="464"/>
      <c r="AG209" s="464"/>
      <c r="AH209" s="465"/>
      <c r="AI209" s="464"/>
    </row>
    <row r="210" customFormat="false" ht="15" hidden="false" customHeight="true" outlineLevel="0" collapsed="false">
      <c r="A210" s="455" t="s">
        <v>63</v>
      </c>
      <c r="C210" s="456" t="n">
        <v>45461</v>
      </c>
      <c r="D210" s="456"/>
      <c r="E210" s="323" t="n">
        <v>13723</v>
      </c>
      <c r="F210" s="323" t="s">
        <v>175</v>
      </c>
      <c r="G210" s="323" t="s">
        <v>13</v>
      </c>
      <c r="H210" s="98" t="n">
        <v>20010</v>
      </c>
      <c r="I210" s="457" t="n">
        <v>37.5</v>
      </c>
      <c r="J210" s="313" t="s">
        <v>1652</v>
      </c>
      <c r="K210" s="98" t="n">
        <f aca="false">I210*H210</f>
        <v>750375</v>
      </c>
      <c r="L210" s="411" t="n">
        <v>310155</v>
      </c>
      <c r="M210" s="392" t="n">
        <f aca="false">L210/K210</f>
        <v>0.413333333333333</v>
      </c>
      <c r="N210" s="466" t="n">
        <f aca="false">I210*M210</f>
        <v>15.5</v>
      </c>
      <c r="O210" s="461" t="n">
        <v>20010</v>
      </c>
      <c r="P210" s="462" t="n">
        <f aca="false">H210-O210</f>
        <v>0</v>
      </c>
      <c r="Q210" s="463" t="n">
        <f aca="false">O210*I210</f>
        <v>750375</v>
      </c>
      <c r="R210" s="48" t="n">
        <f aca="false">K210-Q210</f>
        <v>0</v>
      </c>
      <c r="S210" s="467"/>
      <c r="T210" s="2" t="s">
        <v>1711</v>
      </c>
      <c r="V210" s="464"/>
      <c r="W210" s="464"/>
      <c r="X210" s="464"/>
      <c r="Y210" s="464"/>
      <c r="Z210" s="464"/>
      <c r="AA210" s="464"/>
      <c r="AB210" s="464"/>
      <c r="AC210" s="464"/>
      <c r="AD210" s="464"/>
      <c r="AE210" s="464"/>
      <c r="AF210" s="464"/>
      <c r="AG210" s="464"/>
      <c r="AH210" s="465"/>
      <c r="AI210" s="464"/>
    </row>
    <row r="211" customFormat="false" ht="15" hidden="false" customHeight="true" outlineLevel="0" collapsed="false">
      <c r="A211" s="455" t="s">
        <v>63</v>
      </c>
      <c r="C211" s="456" t="n">
        <v>45461</v>
      </c>
      <c r="D211" s="456"/>
      <c r="E211" s="323" t="n">
        <v>13723</v>
      </c>
      <c r="F211" s="323" t="s">
        <v>175</v>
      </c>
      <c r="G211" s="323" t="s">
        <v>13</v>
      </c>
      <c r="H211" s="98" t="n">
        <v>30000</v>
      </c>
      <c r="I211" s="457" t="n">
        <v>22.5</v>
      </c>
      <c r="J211" s="313" t="s">
        <v>1651</v>
      </c>
      <c r="K211" s="98" t="n">
        <f aca="false">I211*H211</f>
        <v>675000</v>
      </c>
      <c r="L211" s="411" t="n">
        <v>315000</v>
      </c>
      <c r="M211" s="392" t="n">
        <f aca="false">L211/K211</f>
        <v>0.466666666666667</v>
      </c>
      <c r="N211" s="466" t="n">
        <f aca="false">I211*M211</f>
        <v>10.5</v>
      </c>
      <c r="O211" s="461" t="n">
        <v>30000</v>
      </c>
      <c r="P211" s="462" t="n">
        <f aca="false">H211-O211</f>
        <v>0</v>
      </c>
      <c r="Q211" s="463" t="n">
        <f aca="false">O211*I211</f>
        <v>675000</v>
      </c>
      <c r="R211" s="48" t="n">
        <f aca="false">K211-Q211</f>
        <v>0</v>
      </c>
      <c r="S211" s="467"/>
      <c r="T211" s="2" t="s">
        <v>1711</v>
      </c>
      <c r="V211" s="464"/>
      <c r="W211" s="464"/>
      <c r="X211" s="464"/>
      <c r="Y211" s="464"/>
      <c r="Z211" s="464"/>
      <c r="AA211" s="464"/>
      <c r="AB211" s="464"/>
      <c r="AC211" s="464"/>
      <c r="AD211" s="464"/>
      <c r="AE211" s="464"/>
      <c r="AF211" s="464"/>
      <c r="AG211" s="464"/>
      <c r="AH211" s="465"/>
      <c r="AI211" s="464"/>
    </row>
    <row r="212" customFormat="false" ht="15" hidden="false" customHeight="true" outlineLevel="0" collapsed="false">
      <c r="A212" s="455" t="s">
        <v>63</v>
      </c>
      <c r="B212" s="44" t="s">
        <v>1731</v>
      </c>
      <c r="C212" s="456" t="n">
        <v>45461</v>
      </c>
      <c r="D212" s="456"/>
      <c r="E212" s="323" t="n">
        <v>13723</v>
      </c>
      <c r="F212" s="323" t="s">
        <v>175</v>
      </c>
      <c r="G212" s="323" t="s">
        <v>15</v>
      </c>
      <c r="H212" s="98" t="n">
        <v>1500</v>
      </c>
      <c r="I212" s="457" t="n">
        <v>55</v>
      </c>
      <c r="J212" s="313" t="s">
        <v>1653</v>
      </c>
      <c r="K212" s="98" t="n">
        <f aca="false">I212*H212</f>
        <v>82500</v>
      </c>
      <c r="L212" s="411" t="n">
        <v>33750</v>
      </c>
      <c r="M212" s="392" t="n">
        <f aca="false">L212/K212</f>
        <v>0.409090909090909</v>
      </c>
      <c r="N212" s="466" t="n">
        <f aca="false">I212*M212</f>
        <v>22.5</v>
      </c>
      <c r="O212" s="461" t="n">
        <v>1500</v>
      </c>
      <c r="P212" s="462" t="n">
        <f aca="false">H212-O212</f>
        <v>0</v>
      </c>
      <c r="Q212" s="463" t="n">
        <f aca="false">O212*I212</f>
        <v>82500</v>
      </c>
      <c r="R212" s="48" t="n">
        <f aca="false">K212-Q212</f>
        <v>0</v>
      </c>
      <c r="S212" s="467"/>
      <c r="T212" s="2" t="s">
        <v>1711</v>
      </c>
      <c r="V212" s="464"/>
      <c r="W212" s="464"/>
      <c r="X212" s="464"/>
      <c r="Y212" s="464"/>
      <c r="Z212" s="464"/>
      <c r="AA212" s="464"/>
      <c r="AB212" s="464"/>
      <c r="AC212" s="464"/>
      <c r="AD212" s="464"/>
      <c r="AE212" s="464"/>
      <c r="AF212" s="464"/>
      <c r="AG212" s="464"/>
      <c r="AH212" s="465"/>
      <c r="AI212" s="464"/>
    </row>
    <row r="213" customFormat="false" ht="15" hidden="false" customHeight="true" outlineLevel="0" collapsed="false">
      <c r="A213" s="455" t="s">
        <v>63</v>
      </c>
      <c r="C213" s="456" t="n">
        <v>45461</v>
      </c>
      <c r="D213" s="456"/>
      <c r="E213" s="323" t="n">
        <v>13723</v>
      </c>
      <c r="F213" s="323" t="s">
        <v>175</v>
      </c>
      <c r="G213" s="323" t="s">
        <v>15</v>
      </c>
      <c r="H213" s="98" t="n">
        <v>4005</v>
      </c>
      <c r="I213" s="457" t="n">
        <v>22.5</v>
      </c>
      <c r="J213" s="313" t="s">
        <v>1651</v>
      </c>
      <c r="K213" s="98" t="n">
        <f aca="false">I213*H213</f>
        <v>90112.5</v>
      </c>
      <c r="L213" s="411" t="n">
        <v>62037.45</v>
      </c>
      <c r="M213" s="392" t="n">
        <f aca="false">L213/K213</f>
        <v>0.688444444444444</v>
      </c>
      <c r="N213" s="466" t="n">
        <f aca="false">I213*M213</f>
        <v>15.49</v>
      </c>
      <c r="O213" s="461" t="n">
        <v>4005</v>
      </c>
      <c r="P213" s="462" t="n">
        <f aca="false">H213-O213</f>
        <v>0</v>
      </c>
      <c r="Q213" s="463" t="n">
        <f aca="false">O213*I213</f>
        <v>90112.5</v>
      </c>
      <c r="R213" s="48" t="n">
        <f aca="false">K213-Q213</f>
        <v>0</v>
      </c>
      <c r="S213" s="467"/>
      <c r="T213" s="2" t="s">
        <v>1711</v>
      </c>
      <c r="V213" s="464"/>
      <c r="W213" s="464"/>
      <c r="X213" s="464"/>
      <c r="Y213" s="464"/>
      <c r="Z213" s="464"/>
      <c r="AA213" s="464"/>
      <c r="AB213" s="464"/>
      <c r="AC213" s="464"/>
      <c r="AD213" s="464"/>
      <c r="AE213" s="464"/>
      <c r="AF213" s="464"/>
      <c r="AG213" s="464"/>
      <c r="AH213" s="465"/>
      <c r="AI213" s="464"/>
    </row>
    <row r="214" customFormat="false" ht="15" hidden="false" customHeight="true" outlineLevel="0" collapsed="false">
      <c r="A214" s="455" t="s">
        <v>63</v>
      </c>
      <c r="C214" s="456" t="n">
        <v>45461</v>
      </c>
      <c r="D214" s="456"/>
      <c r="E214" s="323" t="n">
        <v>13723</v>
      </c>
      <c r="F214" s="323" t="s">
        <v>175</v>
      </c>
      <c r="G214" s="323" t="s">
        <v>19</v>
      </c>
      <c r="H214" s="98" t="n">
        <v>5010</v>
      </c>
      <c r="I214" s="457" t="n">
        <v>22.5</v>
      </c>
      <c r="J214" s="313" t="s">
        <v>1651</v>
      </c>
      <c r="K214" s="98" t="n">
        <f aca="false">I214*H214</f>
        <v>112725</v>
      </c>
      <c r="L214" s="411" t="n">
        <v>89428.5</v>
      </c>
      <c r="M214" s="392" t="n">
        <f aca="false">L214/K214</f>
        <v>0.793333333333333</v>
      </c>
      <c r="N214" s="466" t="n">
        <f aca="false">I214*M214</f>
        <v>17.85</v>
      </c>
      <c r="O214" s="461" t="n">
        <v>5010</v>
      </c>
      <c r="P214" s="462" t="n">
        <f aca="false">H214-O214</f>
        <v>0</v>
      </c>
      <c r="Q214" s="463" t="n">
        <f aca="false">O214*I214</f>
        <v>112725</v>
      </c>
      <c r="R214" s="48" t="n">
        <f aca="false">K214-Q214</f>
        <v>0</v>
      </c>
      <c r="S214" s="467"/>
      <c r="T214" s="2" t="s">
        <v>1711</v>
      </c>
      <c r="V214" s="464"/>
      <c r="W214" s="464"/>
      <c r="X214" s="464"/>
      <c r="Y214" s="464"/>
      <c r="Z214" s="464"/>
      <c r="AA214" s="464"/>
      <c r="AB214" s="464"/>
      <c r="AC214" s="464"/>
      <c r="AD214" s="464"/>
      <c r="AE214" s="464"/>
      <c r="AF214" s="464"/>
      <c r="AG214" s="464"/>
      <c r="AH214" s="465"/>
      <c r="AI214" s="464"/>
    </row>
    <row r="215" customFormat="false" ht="15" hidden="false" customHeight="true" outlineLevel="0" collapsed="false">
      <c r="A215" s="455" t="s">
        <v>63</v>
      </c>
      <c r="B215" s="44" t="s">
        <v>1731</v>
      </c>
      <c r="C215" s="456" t="n">
        <v>45461</v>
      </c>
      <c r="D215" s="456"/>
      <c r="E215" s="323" t="n">
        <v>13723</v>
      </c>
      <c r="F215" s="323" t="s">
        <v>175</v>
      </c>
      <c r="G215" s="323" t="s">
        <v>17</v>
      </c>
      <c r="H215" s="98" t="n">
        <v>5000</v>
      </c>
      <c r="I215" s="457" t="n">
        <v>55</v>
      </c>
      <c r="J215" s="313" t="s">
        <v>1653</v>
      </c>
      <c r="K215" s="98" t="n">
        <f aca="false">I215*H215</f>
        <v>275000</v>
      </c>
      <c r="L215" s="411" t="n">
        <v>75000</v>
      </c>
      <c r="M215" s="392" t="n">
        <f aca="false">L215/K215</f>
        <v>0.272727272727273</v>
      </c>
      <c r="N215" s="466" t="n">
        <f aca="false">I215*M215</f>
        <v>15</v>
      </c>
      <c r="O215" s="461" t="n">
        <v>5000</v>
      </c>
      <c r="P215" s="462" t="n">
        <f aca="false">H215-O215</f>
        <v>0</v>
      </c>
      <c r="Q215" s="463" t="n">
        <f aca="false">O215*I215</f>
        <v>275000</v>
      </c>
      <c r="R215" s="48" t="n">
        <f aca="false">K215-Q215</f>
        <v>0</v>
      </c>
      <c r="S215" s="467"/>
      <c r="T215" s="2" t="s">
        <v>1711</v>
      </c>
      <c r="V215" s="464"/>
      <c r="W215" s="464"/>
      <c r="X215" s="464"/>
      <c r="Y215" s="464"/>
      <c r="Z215" s="464"/>
      <c r="AA215" s="464"/>
      <c r="AB215" s="464"/>
      <c r="AC215" s="464"/>
      <c r="AD215" s="464"/>
      <c r="AE215" s="464"/>
      <c r="AF215" s="464"/>
      <c r="AG215" s="464"/>
      <c r="AH215" s="465"/>
      <c r="AI215" s="464"/>
    </row>
    <row r="216" customFormat="false" ht="15" hidden="false" customHeight="true" outlineLevel="0" collapsed="false">
      <c r="A216" s="455" t="s">
        <v>63</v>
      </c>
      <c r="C216" s="456" t="n">
        <v>45461</v>
      </c>
      <c r="D216" s="456"/>
      <c r="E216" s="323" t="n">
        <v>13723</v>
      </c>
      <c r="F216" s="323" t="s">
        <v>175</v>
      </c>
      <c r="G216" s="323" t="s">
        <v>17</v>
      </c>
      <c r="H216" s="98" t="n">
        <v>2010</v>
      </c>
      <c r="I216" s="457" t="n">
        <v>37.5</v>
      </c>
      <c r="J216" s="313" t="s">
        <v>1652</v>
      </c>
      <c r="K216" s="98" t="n">
        <f aca="false">I216*H216</f>
        <v>75375</v>
      </c>
      <c r="L216" s="411" t="n">
        <v>32160</v>
      </c>
      <c r="M216" s="392" t="n">
        <f aca="false">L216/K216</f>
        <v>0.426666666666667</v>
      </c>
      <c r="N216" s="466" t="n">
        <f aca="false">I216*M216</f>
        <v>16</v>
      </c>
      <c r="O216" s="461" t="n">
        <v>2010</v>
      </c>
      <c r="P216" s="462" t="n">
        <f aca="false">H216-O216</f>
        <v>0</v>
      </c>
      <c r="Q216" s="463" t="n">
        <f aca="false">O216*I216</f>
        <v>75375</v>
      </c>
      <c r="R216" s="48" t="n">
        <f aca="false">K216-Q216</f>
        <v>0</v>
      </c>
      <c r="S216" s="467"/>
      <c r="T216" s="2" t="s">
        <v>1711</v>
      </c>
      <c r="V216" s="464"/>
      <c r="W216" s="464"/>
      <c r="X216" s="464"/>
      <c r="Y216" s="464"/>
      <c r="Z216" s="464"/>
      <c r="AA216" s="464"/>
      <c r="AB216" s="464"/>
      <c r="AC216" s="464"/>
      <c r="AD216" s="464"/>
      <c r="AE216" s="464"/>
      <c r="AF216" s="464"/>
      <c r="AG216" s="464"/>
      <c r="AH216" s="465"/>
      <c r="AI216" s="464"/>
    </row>
    <row r="217" customFormat="false" ht="15" hidden="false" customHeight="true" outlineLevel="0" collapsed="false">
      <c r="A217" s="455" t="s">
        <v>63</v>
      </c>
      <c r="C217" s="456" t="n">
        <v>45461</v>
      </c>
      <c r="D217" s="456"/>
      <c r="E217" s="323" t="n">
        <v>13723</v>
      </c>
      <c r="F217" s="323" t="s">
        <v>175</v>
      </c>
      <c r="G217" s="323" t="s">
        <v>17</v>
      </c>
      <c r="H217" s="98" t="n">
        <v>10005</v>
      </c>
      <c r="I217" s="457" t="n">
        <v>22.5</v>
      </c>
      <c r="J217" s="313" t="s">
        <v>1651</v>
      </c>
      <c r="K217" s="98" t="n">
        <f aca="false">I217*H217</f>
        <v>225112.5</v>
      </c>
      <c r="L217" s="411" t="n">
        <v>105052.5</v>
      </c>
      <c r="M217" s="392" t="n">
        <f aca="false">L217/K217</f>
        <v>0.466666666666667</v>
      </c>
      <c r="N217" s="466" t="n">
        <f aca="false">I217*M217</f>
        <v>10.5</v>
      </c>
      <c r="O217" s="461" t="n">
        <v>10005</v>
      </c>
      <c r="P217" s="462" t="n">
        <f aca="false">H217-O217</f>
        <v>0</v>
      </c>
      <c r="Q217" s="463" t="n">
        <f aca="false">O217*I217</f>
        <v>225112.5</v>
      </c>
      <c r="R217" s="48" t="n">
        <f aca="false">K217-Q217</f>
        <v>0</v>
      </c>
      <c r="S217" s="467"/>
      <c r="T217" s="2" t="s">
        <v>1711</v>
      </c>
      <c r="V217" s="464"/>
      <c r="W217" s="464"/>
      <c r="X217" s="464"/>
      <c r="Y217" s="464"/>
      <c r="Z217" s="464"/>
      <c r="AA217" s="464"/>
      <c r="AB217" s="464"/>
      <c r="AC217" s="464"/>
      <c r="AD217" s="464"/>
      <c r="AE217" s="464"/>
      <c r="AF217" s="464"/>
      <c r="AG217" s="464"/>
      <c r="AH217" s="465"/>
      <c r="AI217" s="464"/>
    </row>
    <row r="218" customFormat="false" ht="15" hidden="false" customHeight="true" outlineLevel="0" collapsed="false">
      <c r="A218" s="455" t="s">
        <v>1732</v>
      </c>
      <c r="C218" s="456" t="n">
        <v>45461</v>
      </c>
      <c r="D218" s="456"/>
      <c r="E218" s="57" t="n">
        <v>13728</v>
      </c>
      <c r="F218" s="323" t="s">
        <v>175</v>
      </c>
      <c r="G218" s="323" t="s">
        <v>5</v>
      </c>
      <c r="H218" s="98" t="n">
        <v>300</v>
      </c>
      <c r="I218" s="457" t="n">
        <v>25.71</v>
      </c>
      <c r="J218" s="313" t="s">
        <v>1651</v>
      </c>
      <c r="K218" s="98" t="n">
        <f aca="false">I218*H218</f>
        <v>7713</v>
      </c>
      <c r="L218" s="411" t="n">
        <v>4770</v>
      </c>
      <c r="M218" s="392" t="n">
        <f aca="false">L218/K218</f>
        <v>0.618436406067678</v>
      </c>
      <c r="N218" s="466" t="n">
        <f aca="false">I218*M218</f>
        <v>15.9</v>
      </c>
      <c r="O218" s="461" t="n">
        <v>300</v>
      </c>
      <c r="P218" s="462" t="n">
        <f aca="false">H218-O218</f>
        <v>0</v>
      </c>
      <c r="Q218" s="463" t="n">
        <f aca="false">O218*I218</f>
        <v>7713</v>
      </c>
      <c r="R218" s="48" t="n">
        <f aca="false">K218-Q218</f>
        <v>0</v>
      </c>
      <c r="S218" s="108"/>
      <c r="T218" s="2" t="s">
        <v>1711</v>
      </c>
      <c r="V218" s="464"/>
      <c r="W218" s="464"/>
      <c r="X218" s="464"/>
      <c r="Y218" s="464"/>
      <c r="Z218" s="464"/>
      <c r="AA218" s="464"/>
      <c r="AB218" s="464"/>
      <c r="AC218" s="464"/>
      <c r="AD218" s="464"/>
      <c r="AE218" s="464"/>
      <c r="AF218" s="464"/>
      <c r="AG218" s="464"/>
      <c r="AH218" s="465"/>
      <c r="AI218" s="464"/>
    </row>
    <row r="219" customFormat="false" ht="15" hidden="false" customHeight="true" outlineLevel="0" collapsed="false">
      <c r="A219" s="455" t="s">
        <v>1732</v>
      </c>
      <c r="C219" s="456" t="n">
        <v>45461</v>
      </c>
      <c r="D219" s="456"/>
      <c r="E219" s="57" t="n">
        <v>13728</v>
      </c>
      <c r="F219" s="323" t="s">
        <v>175</v>
      </c>
      <c r="G219" s="323" t="s">
        <v>42</v>
      </c>
      <c r="H219" s="98" t="n">
        <v>500</v>
      </c>
      <c r="I219" s="457" t="n">
        <v>30</v>
      </c>
      <c r="J219" s="313" t="s">
        <v>1651</v>
      </c>
      <c r="K219" s="98" t="n">
        <f aca="false">I219*H219</f>
        <v>15000</v>
      </c>
      <c r="L219" s="411" t="n">
        <v>8450</v>
      </c>
      <c r="M219" s="392" t="n">
        <f aca="false">L219/K219</f>
        <v>0.563333333333333</v>
      </c>
      <c r="N219" s="466" t="n">
        <f aca="false">I219*M219</f>
        <v>16.9</v>
      </c>
      <c r="O219" s="461" t="n">
        <v>500</v>
      </c>
      <c r="P219" s="462" t="n">
        <f aca="false">H219-O219</f>
        <v>0</v>
      </c>
      <c r="Q219" s="463" t="n">
        <f aca="false">O219*I219</f>
        <v>15000</v>
      </c>
      <c r="R219" s="48" t="n">
        <f aca="false">K219-Q219</f>
        <v>0</v>
      </c>
      <c r="S219" s="108"/>
      <c r="T219" s="2" t="s">
        <v>1711</v>
      </c>
      <c r="V219" s="464"/>
      <c r="W219" s="464"/>
      <c r="X219" s="464"/>
      <c r="Y219" s="464"/>
      <c r="Z219" s="464"/>
      <c r="AA219" s="464"/>
      <c r="AB219" s="464"/>
      <c r="AC219" s="464"/>
      <c r="AD219" s="464"/>
      <c r="AE219" s="464"/>
      <c r="AF219" s="464"/>
      <c r="AG219" s="464"/>
      <c r="AH219" s="465"/>
      <c r="AI219" s="464"/>
    </row>
    <row r="220" customFormat="false" ht="15" hidden="false" customHeight="true" outlineLevel="0" collapsed="false">
      <c r="A220" s="455" t="s">
        <v>1732</v>
      </c>
      <c r="C220" s="456" t="n">
        <v>45461</v>
      </c>
      <c r="D220" s="456"/>
      <c r="E220" s="57" t="n">
        <v>13728</v>
      </c>
      <c r="F220" s="323" t="s">
        <v>175</v>
      </c>
      <c r="G220" s="323" t="s">
        <v>7</v>
      </c>
      <c r="H220" s="98" t="n">
        <v>500</v>
      </c>
      <c r="I220" s="457" t="n">
        <v>25.71</v>
      </c>
      <c r="J220" s="313" t="s">
        <v>1651</v>
      </c>
      <c r="K220" s="98" t="n">
        <f aca="false">I220*H220</f>
        <v>12855</v>
      </c>
      <c r="L220" s="411" t="n">
        <v>8050</v>
      </c>
      <c r="M220" s="392" t="n">
        <f aca="false">L220/K220</f>
        <v>0.626215480357837</v>
      </c>
      <c r="N220" s="466" t="n">
        <f aca="false">I220*M220</f>
        <v>16.1</v>
      </c>
      <c r="O220" s="461" t="n">
        <v>500</v>
      </c>
      <c r="P220" s="462" t="n">
        <f aca="false">H220-O220</f>
        <v>0</v>
      </c>
      <c r="Q220" s="463" t="n">
        <f aca="false">O220*I220</f>
        <v>12855</v>
      </c>
      <c r="R220" s="48" t="n">
        <f aca="false">K220-Q220</f>
        <v>0</v>
      </c>
      <c r="S220" s="108"/>
      <c r="T220" s="2" t="s">
        <v>1711</v>
      </c>
      <c r="V220" s="464"/>
      <c r="W220" s="464"/>
      <c r="X220" s="464"/>
      <c r="Y220" s="464"/>
      <c r="Z220" s="464"/>
      <c r="AA220" s="464"/>
      <c r="AB220" s="464"/>
      <c r="AC220" s="464"/>
      <c r="AD220" s="464"/>
      <c r="AE220" s="464"/>
      <c r="AF220" s="464"/>
      <c r="AG220" s="464"/>
      <c r="AH220" s="465"/>
      <c r="AI220" s="464"/>
    </row>
    <row r="221" customFormat="false" ht="15" hidden="false" customHeight="true" outlineLevel="0" collapsed="false">
      <c r="A221" s="455" t="s">
        <v>1732</v>
      </c>
      <c r="C221" s="456" t="n">
        <v>45461</v>
      </c>
      <c r="D221" s="456"/>
      <c r="E221" s="57" t="n">
        <v>13728</v>
      </c>
      <c r="F221" s="323" t="s">
        <v>175</v>
      </c>
      <c r="G221" s="323" t="s">
        <v>11</v>
      </c>
      <c r="H221" s="98" t="n">
        <v>200</v>
      </c>
      <c r="I221" s="457" t="n">
        <v>14</v>
      </c>
      <c r="J221" s="313" t="s">
        <v>1651</v>
      </c>
      <c r="K221" s="98" t="n">
        <f aca="false">I221*H221</f>
        <v>2800</v>
      </c>
      <c r="L221" s="411" t="n">
        <v>12800</v>
      </c>
      <c r="M221" s="392" t="n">
        <f aca="false">L221/K221</f>
        <v>4.57142857142857</v>
      </c>
      <c r="N221" s="466" t="n">
        <f aca="false">I221*M221</f>
        <v>64</v>
      </c>
      <c r="O221" s="461" t="n">
        <v>200</v>
      </c>
      <c r="P221" s="462" t="n">
        <f aca="false">H221-O221</f>
        <v>0</v>
      </c>
      <c r="Q221" s="463" t="n">
        <f aca="false">O221*I221</f>
        <v>2800</v>
      </c>
      <c r="R221" s="48" t="n">
        <f aca="false">K221-Q221</f>
        <v>0</v>
      </c>
      <c r="S221" s="108"/>
      <c r="T221" s="2" t="s">
        <v>1711</v>
      </c>
      <c r="V221" s="464"/>
      <c r="W221" s="464"/>
      <c r="X221" s="464"/>
      <c r="Y221" s="464"/>
      <c r="Z221" s="464"/>
      <c r="AA221" s="464"/>
      <c r="AB221" s="464"/>
      <c r="AC221" s="464"/>
      <c r="AD221" s="464"/>
      <c r="AE221" s="464"/>
      <c r="AF221" s="464"/>
      <c r="AG221" s="464"/>
      <c r="AH221" s="465"/>
      <c r="AI221" s="464"/>
    </row>
    <row r="222" customFormat="false" ht="15" hidden="false" customHeight="true" outlineLevel="0" collapsed="false">
      <c r="A222" s="455" t="s">
        <v>1733</v>
      </c>
      <c r="B222" s="44" t="s">
        <v>1731</v>
      </c>
      <c r="C222" s="456" t="n">
        <v>45461</v>
      </c>
      <c r="D222" s="456"/>
      <c r="E222" s="57" t="n">
        <v>13729</v>
      </c>
      <c r="F222" s="323" t="s">
        <v>175</v>
      </c>
      <c r="G222" s="323" t="s">
        <v>5</v>
      </c>
      <c r="H222" s="98" t="n">
        <v>500</v>
      </c>
      <c r="I222" s="457" t="n">
        <v>60</v>
      </c>
      <c r="J222" s="313" t="s">
        <v>1653</v>
      </c>
      <c r="K222" s="98" t="n">
        <f aca="false">I222*H222</f>
        <v>30000</v>
      </c>
      <c r="L222" s="411" t="n">
        <v>9900</v>
      </c>
      <c r="M222" s="392" t="n">
        <f aca="false">L222/K222</f>
        <v>0.33</v>
      </c>
      <c r="N222" s="466" t="n">
        <f aca="false">I222*M222</f>
        <v>19.8</v>
      </c>
      <c r="O222" s="461" t="n">
        <v>500</v>
      </c>
      <c r="P222" s="462" t="n">
        <f aca="false">H222-O222</f>
        <v>0</v>
      </c>
      <c r="Q222" s="463" t="n">
        <f aca="false">O222*I222</f>
        <v>30000</v>
      </c>
      <c r="R222" s="48" t="n">
        <f aca="false">K222-Q222</f>
        <v>0</v>
      </c>
      <c r="S222" s="467"/>
      <c r="T222" s="2" t="s">
        <v>1711</v>
      </c>
      <c r="V222" s="464"/>
      <c r="W222" s="464"/>
      <c r="X222" s="464"/>
      <c r="Y222" s="464"/>
      <c r="Z222" s="464"/>
      <c r="AA222" s="464"/>
      <c r="AB222" s="464"/>
      <c r="AC222" s="464"/>
      <c r="AD222" s="464"/>
      <c r="AE222" s="464"/>
      <c r="AF222" s="464"/>
      <c r="AG222" s="464"/>
      <c r="AH222" s="465"/>
      <c r="AI222" s="464"/>
    </row>
    <row r="223" customFormat="false" ht="15" hidden="false" customHeight="true" outlineLevel="0" collapsed="false">
      <c r="A223" s="455" t="s">
        <v>1733</v>
      </c>
      <c r="C223" s="456" t="n">
        <v>45461</v>
      </c>
      <c r="D223" s="456"/>
      <c r="E223" s="57" t="n">
        <v>13729</v>
      </c>
      <c r="F223" s="323" t="s">
        <v>175</v>
      </c>
      <c r="G223" s="323" t="s">
        <v>11</v>
      </c>
      <c r="H223" s="98" t="n">
        <v>750</v>
      </c>
      <c r="I223" s="457" t="n">
        <v>14</v>
      </c>
      <c r="J223" s="313" t="s">
        <v>1651</v>
      </c>
      <c r="K223" s="98" t="n">
        <f aca="false">I223*H223</f>
        <v>10500</v>
      </c>
      <c r="L223" s="411" t="n">
        <v>39480</v>
      </c>
      <c r="M223" s="392" t="n">
        <f aca="false">L223/K223</f>
        <v>3.76</v>
      </c>
      <c r="N223" s="466" t="n">
        <f aca="false">I223*M223</f>
        <v>52.64</v>
      </c>
      <c r="O223" s="461" t="n">
        <v>750</v>
      </c>
      <c r="P223" s="462" t="n">
        <f aca="false">H223-O223</f>
        <v>0</v>
      </c>
      <c r="Q223" s="463" t="n">
        <f aca="false">O223*I223</f>
        <v>10500</v>
      </c>
      <c r="R223" s="48" t="n">
        <f aca="false">K223-Q223</f>
        <v>0</v>
      </c>
      <c r="S223" s="467"/>
      <c r="T223" s="2" t="s">
        <v>1711</v>
      </c>
      <c r="V223" s="464"/>
      <c r="W223" s="464"/>
      <c r="X223" s="464"/>
      <c r="Y223" s="464"/>
      <c r="Z223" s="464"/>
      <c r="AA223" s="464"/>
      <c r="AB223" s="464"/>
      <c r="AC223" s="464"/>
      <c r="AD223" s="464"/>
      <c r="AE223" s="464"/>
      <c r="AF223" s="464"/>
      <c r="AG223" s="464"/>
      <c r="AH223" s="465"/>
      <c r="AI223" s="464"/>
    </row>
    <row r="224" customFormat="false" ht="15" hidden="false" customHeight="true" outlineLevel="0" collapsed="false">
      <c r="A224" s="455" t="s">
        <v>1733</v>
      </c>
      <c r="B224" s="44" t="s">
        <v>1734</v>
      </c>
      <c r="C224" s="456" t="n">
        <v>45461</v>
      </c>
      <c r="D224" s="456"/>
      <c r="E224" s="57" t="n">
        <v>13729</v>
      </c>
      <c r="F224" s="323" t="s">
        <v>175</v>
      </c>
      <c r="G224" s="323" t="s">
        <v>13</v>
      </c>
      <c r="H224" s="98" t="n">
        <v>7500</v>
      </c>
      <c r="I224" s="457" t="n">
        <v>40</v>
      </c>
      <c r="J224" s="313" t="s">
        <v>1653</v>
      </c>
      <c r="K224" s="98" t="n">
        <f aca="false">I224*H224</f>
        <v>300000</v>
      </c>
      <c r="L224" s="411" t="n">
        <v>120000</v>
      </c>
      <c r="M224" s="392" t="n">
        <f aca="false">L224/K224</f>
        <v>0.4</v>
      </c>
      <c r="N224" s="466" t="n">
        <f aca="false">I224*M224</f>
        <v>16</v>
      </c>
      <c r="O224" s="461" t="n">
        <v>7500</v>
      </c>
      <c r="P224" s="462" t="n">
        <f aca="false">H224-O224</f>
        <v>0</v>
      </c>
      <c r="Q224" s="463" t="n">
        <f aca="false">O224*I224</f>
        <v>300000</v>
      </c>
      <c r="R224" s="48" t="n">
        <f aca="false">K224-Q224</f>
        <v>0</v>
      </c>
      <c r="S224" s="467"/>
      <c r="T224" s="2" t="s">
        <v>1711</v>
      </c>
      <c r="V224" s="464"/>
      <c r="W224" s="464"/>
      <c r="X224" s="464"/>
      <c r="Y224" s="464"/>
      <c r="Z224" s="464"/>
      <c r="AA224" s="464"/>
      <c r="AB224" s="464"/>
      <c r="AC224" s="464"/>
      <c r="AD224" s="464"/>
      <c r="AE224" s="464"/>
      <c r="AF224" s="464"/>
      <c r="AG224" s="464"/>
      <c r="AH224" s="465"/>
      <c r="AI224" s="464"/>
    </row>
    <row r="225" customFormat="false" ht="15" hidden="false" customHeight="true" outlineLevel="0" collapsed="false">
      <c r="A225" s="455" t="s">
        <v>1733</v>
      </c>
      <c r="B225" s="44" t="s">
        <v>1734</v>
      </c>
      <c r="C225" s="456" t="n">
        <v>45461</v>
      </c>
      <c r="D225" s="456"/>
      <c r="E225" s="57" t="n">
        <v>13729</v>
      </c>
      <c r="F225" s="323" t="s">
        <v>175</v>
      </c>
      <c r="G225" s="323" t="s">
        <v>15</v>
      </c>
      <c r="H225" s="98" t="n">
        <v>1250</v>
      </c>
      <c r="I225" s="457" t="n">
        <v>40</v>
      </c>
      <c r="J225" s="313" t="s">
        <v>1653</v>
      </c>
      <c r="K225" s="98" t="n">
        <f aca="false">I225*H225</f>
        <v>50000</v>
      </c>
      <c r="L225" s="411" t="n">
        <v>30375</v>
      </c>
      <c r="M225" s="392" t="n">
        <f aca="false">L225/K225</f>
        <v>0.6075</v>
      </c>
      <c r="N225" s="466" t="n">
        <f aca="false">I225*M225</f>
        <v>24.3</v>
      </c>
      <c r="O225" s="461" t="n">
        <v>1250</v>
      </c>
      <c r="P225" s="462" t="n">
        <f aca="false">H225-O225</f>
        <v>0</v>
      </c>
      <c r="Q225" s="463" t="n">
        <f aca="false">O225*I225</f>
        <v>50000</v>
      </c>
      <c r="R225" s="48" t="n">
        <f aca="false">K225-Q225</f>
        <v>0</v>
      </c>
      <c r="S225" s="467"/>
      <c r="T225" s="2" t="s">
        <v>1711</v>
      </c>
      <c r="V225" s="464"/>
      <c r="W225" s="464"/>
      <c r="X225" s="464"/>
      <c r="Y225" s="464"/>
      <c r="Z225" s="464"/>
      <c r="AA225" s="464"/>
      <c r="AB225" s="464"/>
      <c r="AC225" s="464"/>
      <c r="AD225" s="464"/>
      <c r="AE225" s="464"/>
      <c r="AF225" s="464"/>
      <c r="AG225" s="464"/>
      <c r="AH225" s="465"/>
      <c r="AI225" s="464"/>
    </row>
    <row r="226" customFormat="false" ht="15" hidden="false" customHeight="true" outlineLevel="0" collapsed="false">
      <c r="A226" s="455" t="s">
        <v>1715</v>
      </c>
      <c r="C226" s="456" t="n">
        <v>45462</v>
      </c>
      <c r="D226" s="456"/>
      <c r="E226" s="57" t="n">
        <v>13730</v>
      </c>
      <c r="F226" s="323" t="s">
        <v>175</v>
      </c>
      <c r="G226" s="323" t="s">
        <v>13</v>
      </c>
      <c r="H226" s="98" t="n">
        <v>45</v>
      </c>
      <c r="I226" s="457" t="n">
        <v>22.5</v>
      </c>
      <c r="J226" s="313" t="s">
        <v>1651</v>
      </c>
      <c r="K226" s="98" t="n">
        <f aca="false">I226*H226</f>
        <v>1012.5</v>
      </c>
      <c r="L226" s="411" t="n">
        <v>638.55</v>
      </c>
      <c r="M226" s="392" t="n">
        <f aca="false">L226/K226</f>
        <v>0.630666666666667</v>
      </c>
      <c r="N226" s="466" t="n">
        <f aca="false">I226*M226</f>
        <v>14.19</v>
      </c>
      <c r="O226" s="461" t="n">
        <v>45</v>
      </c>
      <c r="P226" s="462" t="n">
        <f aca="false">H226-O226</f>
        <v>0</v>
      </c>
      <c r="Q226" s="463" t="n">
        <f aca="false">O226*I226</f>
        <v>1012.5</v>
      </c>
      <c r="R226" s="48" t="n">
        <f aca="false">K226-Q226</f>
        <v>0</v>
      </c>
      <c r="S226" s="108"/>
      <c r="T226" s="2" t="s">
        <v>1711</v>
      </c>
      <c r="V226" s="464"/>
      <c r="W226" s="464"/>
      <c r="X226" s="464"/>
      <c r="Y226" s="464"/>
      <c r="Z226" s="464"/>
      <c r="AA226" s="464"/>
      <c r="AB226" s="464"/>
      <c r="AC226" s="464"/>
      <c r="AD226" s="464"/>
      <c r="AE226" s="464"/>
      <c r="AF226" s="464"/>
      <c r="AG226" s="464"/>
      <c r="AH226" s="465"/>
      <c r="AI226" s="464"/>
    </row>
    <row r="227" customFormat="false" ht="15" hidden="false" customHeight="true" outlineLevel="0" collapsed="false">
      <c r="A227" s="455" t="s">
        <v>1735</v>
      </c>
      <c r="C227" s="456" t="n">
        <v>45463</v>
      </c>
      <c r="D227" s="456"/>
      <c r="E227" s="57" t="n">
        <v>13733</v>
      </c>
      <c r="F227" s="323" t="s">
        <v>175</v>
      </c>
      <c r="G227" s="323" t="s">
        <v>5</v>
      </c>
      <c r="H227" s="98" t="n">
        <v>4005</v>
      </c>
      <c r="I227" s="457" t="n">
        <v>25.71</v>
      </c>
      <c r="J227" s="313" t="s">
        <v>1651</v>
      </c>
      <c r="K227" s="98" t="n">
        <f aca="false">I227*H227</f>
        <v>102968.55</v>
      </c>
      <c r="L227" s="411" t="n">
        <v>47259</v>
      </c>
      <c r="M227" s="392" t="n">
        <f aca="false">L227/K227</f>
        <v>0.458965383119409</v>
      </c>
      <c r="N227" s="466" t="n">
        <f aca="false">I227*M227</f>
        <v>11.8</v>
      </c>
      <c r="O227" s="461" t="n">
        <v>4005</v>
      </c>
      <c r="P227" s="462" t="n">
        <f aca="false">H227-O227</f>
        <v>0</v>
      </c>
      <c r="Q227" s="463" t="n">
        <f aca="false">O227*I227</f>
        <v>102968.55</v>
      </c>
      <c r="R227" s="48" t="n">
        <f aca="false">K227-Q227</f>
        <v>0</v>
      </c>
      <c r="S227" s="467"/>
      <c r="T227" s="2" t="s">
        <v>1711</v>
      </c>
      <c r="V227" s="464"/>
      <c r="W227" s="464"/>
      <c r="X227" s="464"/>
      <c r="Y227" s="464"/>
      <c r="Z227" s="464"/>
      <c r="AA227" s="464"/>
      <c r="AB227" s="464"/>
      <c r="AC227" s="464"/>
      <c r="AD227" s="464"/>
      <c r="AE227" s="464"/>
      <c r="AF227" s="464"/>
      <c r="AG227" s="464"/>
      <c r="AH227" s="465"/>
      <c r="AI227" s="464"/>
    </row>
    <row r="228" customFormat="false" ht="15" hidden="false" customHeight="true" outlineLevel="0" collapsed="false">
      <c r="A228" s="455" t="s">
        <v>1735</v>
      </c>
      <c r="C228" s="469" t="n">
        <v>45463</v>
      </c>
      <c r="D228" s="469"/>
      <c r="E228" s="57" t="n">
        <v>13733</v>
      </c>
      <c r="F228" s="323" t="s">
        <v>175</v>
      </c>
      <c r="G228" s="323" t="s">
        <v>20</v>
      </c>
      <c r="H228" s="98" t="n">
        <v>10005</v>
      </c>
      <c r="I228" s="457" t="n">
        <v>38.29</v>
      </c>
      <c r="J228" s="313" t="s">
        <v>1652</v>
      </c>
      <c r="K228" s="98" t="n">
        <f aca="false">I228*H228</f>
        <v>383091.45</v>
      </c>
      <c r="L228" s="411" t="n">
        <v>126063</v>
      </c>
      <c r="M228" s="392" t="n">
        <f aca="false">L228/K228</f>
        <v>0.329067641681901</v>
      </c>
      <c r="N228" s="466" t="n">
        <f aca="false">I228*M228</f>
        <v>12.6</v>
      </c>
      <c r="O228" s="461" t="n">
        <v>10005</v>
      </c>
      <c r="P228" s="462" t="n">
        <f aca="false">H228-O228</f>
        <v>0</v>
      </c>
      <c r="Q228" s="463" t="n">
        <f aca="false">O228*I228</f>
        <v>383091.45</v>
      </c>
      <c r="R228" s="48" t="n">
        <f aca="false">K228-Q228</f>
        <v>0</v>
      </c>
      <c r="S228" s="467"/>
      <c r="T228" s="2" t="s">
        <v>1711</v>
      </c>
      <c r="V228" s="464"/>
      <c r="W228" s="464"/>
      <c r="X228" s="464"/>
      <c r="Y228" s="464"/>
      <c r="Z228" s="464"/>
      <c r="AA228" s="464"/>
      <c r="AB228" s="464"/>
      <c r="AC228" s="464"/>
      <c r="AD228" s="464"/>
      <c r="AE228" s="464"/>
      <c r="AF228" s="464"/>
      <c r="AG228" s="464"/>
      <c r="AH228" s="465"/>
      <c r="AI228" s="464"/>
    </row>
    <row r="229" customFormat="false" ht="15" hidden="false" customHeight="true" outlineLevel="0" collapsed="false">
      <c r="A229" s="455" t="s">
        <v>1735</v>
      </c>
      <c r="C229" s="456" t="n">
        <v>45463</v>
      </c>
      <c r="D229" s="456"/>
      <c r="E229" s="57" t="n">
        <v>13733</v>
      </c>
      <c r="F229" s="323" t="s">
        <v>175</v>
      </c>
      <c r="G229" s="323" t="s">
        <v>17</v>
      </c>
      <c r="H229" s="98" t="n">
        <v>2010</v>
      </c>
      <c r="I229" s="457" t="n">
        <v>22.5</v>
      </c>
      <c r="J229" s="313" t="s">
        <v>1651</v>
      </c>
      <c r="K229" s="98" t="n">
        <f aca="false">I229*H229</f>
        <v>45225</v>
      </c>
      <c r="L229" s="411" t="n">
        <v>25728</v>
      </c>
      <c r="M229" s="392" t="n">
        <f aca="false">L229/K229</f>
        <v>0.568888888888889</v>
      </c>
      <c r="N229" s="466" t="n">
        <f aca="false">I229*M229</f>
        <v>12.8</v>
      </c>
      <c r="O229" s="461" t="n">
        <v>2010</v>
      </c>
      <c r="P229" s="462" t="n">
        <f aca="false">H229-O229</f>
        <v>0</v>
      </c>
      <c r="Q229" s="463" t="n">
        <f aca="false">O229*I229</f>
        <v>45225</v>
      </c>
      <c r="R229" s="48" t="n">
        <f aca="false">K229-Q229</f>
        <v>0</v>
      </c>
      <c r="S229" s="467"/>
      <c r="T229" s="2" t="s">
        <v>1711</v>
      </c>
      <c r="V229" s="464"/>
      <c r="W229" s="464"/>
      <c r="X229" s="464"/>
      <c r="Y229" s="464"/>
      <c r="Z229" s="464"/>
      <c r="AA229" s="464"/>
      <c r="AB229" s="464"/>
      <c r="AC229" s="464"/>
      <c r="AD229" s="464"/>
      <c r="AE229" s="464"/>
      <c r="AF229" s="464"/>
      <c r="AG229" s="464"/>
      <c r="AH229" s="465"/>
      <c r="AI229" s="464"/>
    </row>
    <row r="230" customFormat="false" ht="15" hidden="false" customHeight="true" outlineLevel="0" collapsed="false">
      <c r="A230" s="455" t="s">
        <v>1736</v>
      </c>
      <c r="C230" s="469" t="n">
        <v>45463</v>
      </c>
      <c r="D230" s="469"/>
      <c r="E230" s="57" t="n">
        <v>13749</v>
      </c>
      <c r="F230" s="323" t="s">
        <v>175</v>
      </c>
      <c r="G230" s="323" t="s">
        <v>18</v>
      </c>
      <c r="H230" s="98" t="n">
        <v>600</v>
      </c>
      <c r="I230" s="457" t="n">
        <v>25.71</v>
      </c>
      <c r="J230" s="313" t="s">
        <v>1651</v>
      </c>
      <c r="K230" s="99" t="n">
        <f aca="false">I230*H230</f>
        <v>15426</v>
      </c>
      <c r="L230" s="411" t="n">
        <v>12288</v>
      </c>
      <c r="M230" s="392" t="n">
        <f aca="false">L230/K230</f>
        <v>0.79657720731233</v>
      </c>
      <c r="N230" s="466" t="n">
        <f aca="false">I230*M230</f>
        <v>20.48</v>
      </c>
      <c r="O230" s="461" t="n">
        <v>600</v>
      </c>
      <c r="P230" s="462" t="n">
        <f aca="false">H230-O230</f>
        <v>0</v>
      </c>
      <c r="Q230" s="463" t="n">
        <f aca="false">O230*I230</f>
        <v>15426</v>
      </c>
      <c r="R230" s="48" t="n">
        <f aca="false">K230-Q230</f>
        <v>0</v>
      </c>
      <c r="S230" s="108"/>
      <c r="T230" s="2" t="s">
        <v>1711</v>
      </c>
      <c r="V230" s="464"/>
      <c r="W230" s="464"/>
      <c r="X230" s="464"/>
      <c r="Y230" s="464"/>
      <c r="Z230" s="464"/>
      <c r="AA230" s="464"/>
      <c r="AB230" s="464"/>
      <c r="AC230" s="464"/>
      <c r="AD230" s="464"/>
      <c r="AE230" s="464"/>
      <c r="AF230" s="464"/>
      <c r="AG230" s="464"/>
      <c r="AH230" s="465"/>
      <c r="AI230" s="464"/>
    </row>
    <row r="231" customFormat="false" ht="15" hidden="false" customHeight="true" outlineLevel="0" collapsed="false">
      <c r="A231" s="455" t="s">
        <v>1714</v>
      </c>
      <c r="C231" s="456" t="n">
        <v>45463</v>
      </c>
      <c r="D231" s="456"/>
      <c r="E231" s="57" t="n">
        <v>13757</v>
      </c>
      <c r="F231" s="323" t="s">
        <v>175</v>
      </c>
      <c r="G231" s="323" t="s">
        <v>11</v>
      </c>
      <c r="H231" s="98" t="n">
        <v>130</v>
      </c>
      <c r="I231" s="457" t="n">
        <v>14</v>
      </c>
      <c r="J231" s="313" t="s">
        <v>1651</v>
      </c>
      <c r="K231" s="98" t="n">
        <f aca="false">I231*H231</f>
        <v>1820</v>
      </c>
      <c r="L231" s="411" t="n">
        <v>7540</v>
      </c>
      <c r="M231" s="392" t="n">
        <f aca="false">L231/K231</f>
        <v>4.14285714285714</v>
      </c>
      <c r="N231" s="466" t="n">
        <f aca="false">I231*M231</f>
        <v>58</v>
      </c>
      <c r="O231" s="461" t="n">
        <v>130</v>
      </c>
      <c r="P231" s="462" t="n">
        <f aca="false">H231-O231</f>
        <v>0</v>
      </c>
      <c r="Q231" s="463" t="n">
        <f aca="false">O231*I231</f>
        <v>1820</v>
      </c>
      <c r="R231" s="48" t="n">
        <f aca="false">K231-Q231</f>
        <v>0</v>
      </c>
      <c r="S231" s="108"/>
      <c r="T231" s="2" t="s">
        <v>1711</v>
      </c>
      <c r="V231" s="464"/>
      <c r="W231" s="464"/>
      <c r="X231" s="464"/>
      <c r="Y231" s="464"/>
      <c r="Z231" s="464"/>
      <c r="AA231" s="464"/>
      <c r="AB231" s="464"/>
      <c r="AC231" s="464"/>
      <c r="AD231" s="464"/>
      <c r="AE231" s="464"/>
      <c r="AF231" s="464"/>
      <c r="AG231" s="464"/>
      <c r="AH231" s="465"/>
      <c r="AI231" s="464"/>
    </row>
    <row r="232" customFormat="false" ht="15" hidden="false" customHeight="true" outlineLevel="0" collapsed="false">
      <c r="A232" s="455" t="s">
        <v>1714</v>
      </c>
      <c r="C232" s="456" t="n">
        <v>45463</v>
      </c>
      <c r="D232" s="456"/>
      <c r="E232" s="57" t="n">
        <v>13757</v>
      </c>
      <c r="F232" s="323" t="s">
        <v>175</v>
      </c>
      <c r="G232" s="323" t="s">
        <v>17</v>
      </c>
      <c r="H232" s="98" t="n">
        <v>40</v>
      </c>
      <c r="I232" s="457" t="n">
        <v>22.5</v>
      </c>
      <c r="J232" s="313" t="s">
        <v>1651</v>
      </c>
      <c r="K232" s="98" t="n">
        <f aca="false">I232*H232</f>
        <v>900</v>
      </c>
      <c r="L232" s="411" t="n">
        <v>676</v>
      </c>
      <c r="M232" s="392" t="n">
        <f aca="false">L232/K232</f>
        <v>0.751111111111111</v>
      </c>
      <c r="N232" s="466" t="n">
        <f aca="false">I232*M232</f>
        <v>16.9</v>
      </c>
      <c r="O232" s="461" t="n">
        <v>40</v>
      </c>
      <c r="P232" s="462" t="n">
        <f aca="false">H232-O232</f>
        <v>0</v>
      </c>
      <c r="Q232" s="463" t="n">
        <f aca="false">O232*I232</f>
        <v>900</v>
      </c>
      <c r="R232" s="48" t="n">
        <f aca="false">K232-Q232</f>
        <v>0</v>
      </c>
      <c r="S232" s="108"/>
      <c r="T232" s="2" t="s">
        <v>1711</v>
      </c>
      <c r="V232" s="464"/>
      <c r="W232" s="464"/>
      <c r="X232" s="464"/>
      <c r="Y232" s="464"/>
      <c r="Z232" s="464"/>
      <c r="AA232" s="464"/>
      <c r="AB232" s="464"/>
      <c r="AC232" s="464"/>
      <c r="AD232" s="464"/>
      <c r="AE232" s="464"/>
      <c r="AF232" s="464"/>
      <c r="AG232" s="464"/>
      <c r="AH232" s="465"/>
      <c r="AI232" s="464"/>
    </row>
    <row r="233" customFormat="false" ht="15" hidden="false" customHeight="true" outlineLevel="0" collapsed="false">
      <c r="A233" s="455" t="s">
        <v>1737</v>
      </c>
      <c r="C233" s="456" t="n">
        <v>45463</v>
      </c>
      <c r="D233" s="456"/>
      <c r="E233" s="57" t="n">
        <v>13758</v>
      </c>
      <c r="F233" s="323" t="s">
        <v>175</v>
      </c>
      <c r="G233" s="323" t="s">
        <v>5</v>
      </c>
      <c r="H233" s="98" t="n">
        <v>1500</v>
      </c>
      <c r="I233" s="457" t="n">
        <v>25.71</v>
      </c>
      <c r="J233" s="313" t="s">
        <v>1651</v>
      </c>
      <c r="K233" s="98" t="n">
        <f aca="false">I233*H233</f>
        <v>38565</v>
      </c>
      <c r="L233" s="411" t="n">
        <v>19350</v>
      </c>
      <c r="M233" s="392" t="n">
        <f aca="false">L233/K233</f>
        <v>0.501750291715286</v>
      </c>
      <c r="N233" s="466" t="n">
        <f aca="false">I233*M233</f>
        <v>12.9</v>
      </c>
      <c r="O233" s="461" t="n">
        <v>1500</v>
      </c>
      <c r="P233" s="462" t="n">
        <f aca="false">H233-O233</f>
        <v>0</v>
      </c>
      <c r="Q233" s="463" t="n">
        <f aca="false">O233*I233</f>
        <v>38565</v>
      </c>
      <c r="R233" s="48" t="n">
        <f aca="false">K233-Q233</f>
        <v>0</v>
      </c>
      <c r="S233" s="108"/>
      <c r="T233" s="2" t="s">
        <v>1711</v>
      </c>
      <c r="V233" s="464"/>
      <c r="W233" s="464"/>
      <c r="X233" s="464"/>
      <c r="Y233" s="464"/>
      <c r="Z233" s="464"/>
      <c r="AA233" s="464"/>
      <c r="AB233" s="464"/>
      <c r="AC233" s="464"/>
      <c r="AD233" s="464"/>
      <c r="AE233" s="464"/>
      <c r="AF233" s="464"/>
      <c r="AG233" s="464"/>
      <c r="AH233" s="465"/>
      <c r="AI233" s="464"/>
    </row>
    <row r="234" customFormat="false" ht="15" hidden="false" customHeight="true" outlineLevel="0" collapsed="false">
      <c r="A234" s="455" t="s">
        <v>1737</v>
      </c>
      <c r="C234" s="456" t="n">
        <v>45463</v>
      </c>
      <c r="D234" s="456"/>
      <c r="E234" s="57" t="n">
        <v>13758</v>
      </c>
      <c r="F234" s="323" t="s">
        <v>175</v>
      </c>
      <c r="G234" s="323" t="s">
        <v>42</v>
      </c>
      <c r="H234" s="98" t="n">
        <v>1500</v>
      </c>
      <c r="I234" s="457" t="n">
        <v>30</v>
      </c>
      <c r="J234" s="313" t="s">
        <v>1651</v>
      </c>
      <c r="K234" s="98" t="n">
        <f aca="false">I234*H234</f>
        <v>45000</v>
      </c>
      <c r="L234" s="411" t="n">
        <v>21000</v>
      </c>
      <c r="M234" s="392" t="n">
        <f aca="false">L234/K234</f>
        <v>0.466666666666667</v>
      </c>
      <c r="N234" s="466" t="n">
        <f aca="false">I234*M234</f>
        <v>14</v>
      </c>
      <c r="O234" s="461" t="n">
        <v>1500</v>
      </c>
      <c r="P234" s="462" t="n">
        <f aca="false">H234-O234</f>
        <v>0</v>
      </c>
      <c r="Q234" s="463" t="n">
        <f aca="false">O234*I234</f>
        <v>45000</v>
      </c>
      <c r="R234" s="48" t="n">
        <f aca="false">K234-Q234</f>
        <v>0</v>
      </c>
      <c r="S234" s="108"/>
      <c r="T234" s="2" t="s">
        <v>1711</v>
      </c>
      <c r="V234" s="464"/>
      <c r="W234" s="464"/>
      <c r="X234" s="464"/>
      <c r="Y234" s="464"/>
      <c r="Z234" s="464"/>
      <c r="AA234" s="464"/>
      <c r="AB234" s="464"/>
      <c r="AC234" s="464"/>
      <c r="AD234" s="464"/>
      <c r="AE234" s="464"/>
      <c r="AF234" s="464"/>
      <c r="AG234" s="464"/>
      <c r="AH234" s="465"/>
      <c r="AI234" s="464"/>
    </row>
    <row r="235" customFormat="false" ht="15" hidden="false" customHeight="true" outlineLevel="0" collapsed="false">
      <c r="A235" s="455" t="s">
        <v>1737</v>
      </c>
      <c r="C235" s="456" t="n">
        <v>45463</v>
      </c>
      <c r="D235" s="456"/>
      <c r="E235" s="57" t="n">
        <v>13758</v>
      </c>
      <c r="F235" s="323" t="s">
        <v>175</v>
      </c>
      <c r="G235" s="323" t="s">
        <v>11</v>
      </c>
      <c r="H235" s="98" t="n">
        <v>500</v>
      </c>
      <c r="I235" s="457" t="n">
        <v>14</v>
      </c>
      <c r="J235" s="313" t="s">
        <v>1651</v>
      </c>
      <c r="K235" s="98" t="n">
        <f aca="false">I235*H235</f>
        <v>7000</v>
      </c>
      <c r="L235" s="411" t="n">
        <v>29000</v>
      </c>
      <c r="M235" s="392" t="n">
        <f aca="false">L235/K235</f>
        <v>4.14285714285714</v>
      </c>
      <c r="N235" s="466" t="n">
        <f aca="false">I235*M235</f>
        <v>58</v>
      </c>
      <c r="O235" s="461" t="n">
        <v>500</v>
      </c>
      <c r="P235" s="462" t="n">
        <f aca="false">H235-O235</f>
        <v>0</v>
      </c>
      <c r="Q235" s="463" t="n">
        <f aca="false">O235*I235</f>
        <v>7000</v>
      </c>
      <c r="R235" s="48" t="n">
        <f aca="false">K235-Q235</f>
        <v>0</v>
      </c>
      <c r="S235" s="108"/>
      <c r="T235" s="2" t="s">
        <v>1711</v>
      </c>
      <c r="V235" s="464"/>
      <c r="W235" s="464"/>
      <c r="X235" s="464"/>
      <c r="Y235" s="464"/>
      <c r="Z235" s="464"/>
      <c r="AA235" s="464"/>
      <c r="AB235" s="464"/>
      <c r="AC235" s="464"/>
      <c r="AD235" s="464"/>
      <c r="AE235" s="464"/>
      <c r="AF235" s="464"/>
      <c r="AG235" s="464"/>
      <c r="AH235" s="465"/>
      <c r="AI235" s="464"/>
    </row>
    <row r="236" customFormat="false" ht="15" hidden="false" customHeight="true" outlineLevel="0" collapsed="false">
      <c r="A236" s="455" t="s">
        <v>1738</v>
      </c>
      <c r="C236" s="456" t="n">
        <v>45463</v>
      </c>
      <c r="D236" s="456"/>
      <c r="E236" s="323" t="n">
        <v>13760</v>
      </c>
      <c r="F236" s="323" t="s">
        <v>175</v>
      </c>
      <c r="G236" s="323" t="s">
        <v>10</v>
      </c>
      <c r="H236" s="98" t="n">
        <v>7005</v>
      </c>
      <c r="I236" s="457" t="n">
        <v>38.3</v>
      </c>
      <c r="J236" s="313" t="s">
        <v>1652</v>
      </c>
      <c r="K236" s="98" t="n">
        <f aca="false">I236*H236</f>
        <v>268291.5</v>
      </c>
      <c r="L236" s="411" t="n">
        <v>87562.5</v>
      </c>
      <c r="M236" s="392" t="n">
        <f aca="false">L236/K236</f>
        <v>0.326370757180157</v>
      </c>
      <c r="N236" s="466" t="n">
        <f aca="false">I236*M236</f>
        <v>12.5</v>
      </c>
      <c r="O236" s="461" t="n">
        <v>7005</v>
      </c>
      <c r="P236" s="462" t="n">
        <f aca="false">H236-O236</f>
        <v>0</v>
      </c>
      <c r="Q236" s="463" t="n">
        <f aca="false">O236*I236</f>
        <v>268291.5</v>
      </c>
      <c r="R236" s="48" t="n">
        <f aca="false">K236-Q236</f>
        <v>0</v>
      </c>
      <c r="S236" s="467"/>
      <c r="T236" s="2" t="s">
        <v>1711</v>
      </c>
      <c r="V236" s="464"/>
      <c r="W236" s="464"/>
      <c r="X236" s="464"/>
      <c r="Y236" s="464"/>
      <c r="Z236" s="464"/>
      <c r="AA236" s="464"/>
      <c r="AB236" s="464"/>
      <c r="AC236" s="464"/>
      <c r="AD236" s="464"/>
      <c r="AE236" s="464"/>
      <c r="AF236" s="464"/>
      <c r="AG236" s="464"/>
      <c r="AH236" s="465"/>
      <c r="AI236" s="464"/>
    </row>
    <row r="237" customFormat="false" ht="15" hidden="false" customHeight="true" outlineLevel="0" collapsed="false">
      <c r="A237" s="455" t="s">
        <v>1723</v>
      </c>
      <c r="C237" s="456" t="n">
        <v>45464</v>
      </c>
      <c r="D237" s="456"/>
      <c r="E237" s="323" t="n">
        <v>13766</v>
      </c>
      <c r="F237" s="323" t="s">
        <v>175</v>
      </c>
      <c r="G237" s="323" t="s">
        <v>19</v>
      </c>
      <c r="H237" s="98" t="n">
        <v>15</v>
      </c>
      <c r="I237" s="457" t="n">
        <v>37.5</v>
      </c>
      <c r="J237" s="313" t="s">
        <v>1652</v>
      </c>
      <c r="K237" s="98" t="n">
        <f aca="false">I237*H237</f>
        <v>562.5</v>
      </c>
      <c r="L237" s="411" t="n">
        <v>274.5</v>
      </c>
      <c r="M237" s="392" t="n">
        <f aca="false">L237/K237</f>
        <v>0.488</v>
      </c>
      <c r="N237" s="466" t="n">
        <f aca="false">I237*M237</f>
        <v>18.3</v>
      </c>
      <c r="O237" s="461" t="n">
        <v>15</v>
      </c>
      <c r="P237" s="462" t="n">
        <f aca="false">H237-O237</f>
        <v>0</v>
      </c>
      <c r="Q237" s="463" t="n">
        <f aca="false">O237*I237</f>
        <v>562.5</v>
      </c>
      <c r="R237" s="48" t="n">
        <f aca="false">K237-Q237</f>
        <v>0</v>
      </c>
      <c r="S237" s="108"/>
      <c r="T237" s="2" t="s">
        <v>1711</v>
      </c>
      <c r="V237" s="464"/>
      <c r="W237" s="464"/>
      <c r="X237" s="464"/>
      <c r="Y237" s="464"/>
      <c r="Z237" s="464"/>
      <c r="AA237" s="464"/>
      <c r="AB237" s="464"/>
      <c r="AC237" s="464"/>
      <c r="AD237" s="464"/>
      <c r="AE237" s="464"/>
      <c r="AF237" s="464"/>
      <c r="AG237" s="464"/>
      <c r="AH237" s="465"/>
      <c r="AI237" s="464"/>
    </row>
    <row r="238" customFormat="false" ht="15" hidden="false" customHeight="true" outlineLevel="0" collapsed="false">
      <c r="A238" s="455" t="s">
        <v>1718</v>
      </c>
      <c r="C238" s="456" t="n">
        <v>45464</v>
      </c>
      <c r="D238" s="456"/>
      <c r="E238" s="57" t="n">
        <v>13767</v>
      </c>
      <c r="F238" s="323" t="s">
        <v>175</v>
      </c>
      <c r="G238" s="323" t="s">
        <v>10</v>
      </c>
      <c r="H238" s="98" t="n">
        <v>96000</v>
      </c>
      <c r="I238" s="457" t="n">
        <v>38.3</v>
      </c>
      <c r="J238" s="313" t="s">
        <v>1652</v>
      </c>
      <c r="K238" s="98" t="n">
        <f aca="false">I238*H238</f>
        <v>3676800</v>
      </c>
      <c r="L238" s="411" t="n">
        <v>1119360</v>
      </c>
      <c r="M238" s="392" t="n">
        <f aca="false">L238/K238</f>
        <v>0.30443864229765</v>
      </c>
      <c r="N238" s="466" t="n">
        <f aca="false">I238*M238</f>
        <v>11.66</v>
      </c>
      <c r="O238" s="461" t="n">
        <v>86325</v>
      </c>
      <c r="P238" s="468" t="n">
        <f aca="false">H238-O238</f>
        <v>9675</v>
      </c>
      <c r="Q238" s="463" t="n">
        <f aca="false">O238*I238</f>
        <v>3306247.5</v>
      </c>
      <c r="R238" s="48" t="n">
        <f aca="false">K238-Q238</f>
        <v>370552.5</v>
      </c>
      <c r="S238" s="467" t="n">
        <v>45658</v>
      </c>
      <c r="T238" s="2" t="s">
        <v>1711</v>
      </c>
      <c r="V238" s="464"/>
      <c r="W238" s="464"/>
      <c r="X238" s="464"/>
      <c r="Y238" s="464"/>
      <c r="Z238" s="464"/>
      <c r="AA238" s="464"/>
      <c r="AB238" s="464"/>
      <c r="AC238" s="464"/>
      <c r="AD238" s="464"/>
      <c r="AE238" s="464"/>
      <c r="AF238" s="464"/>
      <c r="AG238" s="464"/>
      <c r="AH238" s="465"/>
      <c r="AI238" s="464"/>
    </row>
    <row r="239" customFormat="false" ht="15" hidden="false" customHeight="true" outlineLevel="0" collapsed="false">
      <c r="A239" s="455" t="s">
        <v>60</v>
      </c>
      <c r="C239" s="456" t="n">
        <v>45464</v>
      </c>
      <c r="D239" s="456"/>
      <c r="E239" s="323" t="n">
        <v>13768</v>
      </c>
      <c r="F239" s="323" t="s">
        <v>175</v>
      </c>
      <c r="G239" s="323" t="s">
        <v>10</v>
      </c>
      <c r="H239" s="98" t="n">
        <v>15000</v>
      </c>
      <c r="I239" s="457" t="n">
        <v>38.3</v>
      </c>
      <c r="J239" s="313" t="s">
        <v>1652</v>
      </c>
      <c r="K239" s="98" t="n">
        <f aca="false">I239*H239</f>
        <v>574500</v>
      </c>
      <c r="L239" s="411" t="n">
        <v>159900</v>
      </c>
      <c r="M239" s="392" t="n">
        <f aca="false">L239/K239</f>
        <v>0.278328981723238</v>
      </c>
      <c r="N239" s="466" t="n">
        <f aca="false">I239*M239</f>
        <v>10.66</v>
      </c>
      <c r="O239" s="461" t="n">
        <v>15000</v>
      </c>
      <c r="P239" s="462" t="n">
        <f aca="false">H239-O239</f>
        <v>0</v>
      </c>
      <c r="Q239" s="463" t="n">
        <f aca="false">O239*I239</f>
        <v>574500</v>
      </c>
      <c r="R239" s="48" t="n">
        <f aca="false">K239-Q239</f>
        <v>0</v>
      </c>
      <c r="S239" s="467"/>
      <c r="T239" s="2" t="s">
        <v>1711</v>
      </c>
      <c r="V239" s="464"/>
      <c r="W239" s="464"/>
      <c r="X239" s="464"/>
      <c r="Y239" s="464"/>
      <c r="Z239" s="464"/>
      <c r="AA239" s="464"/>
      <c r="AB239" s="464"/>
      <c r="AC239" s="464"/>
      <c r="AD239" s="464"/>
      <c r="AE239" s="464"/>
      <c r="AF239" s="464"/>
      <c r="AG239" s="464"/>
      <c r="AH239" s="465"/>
      <c r="AI239" s="464"/>
    </row>
    <row r="240" customFormat="false" ht="15" hidden="false" customHeight="true" outlineLevel="0" collapsed="false">
      <c r="A240" s="455" t="s">
        <v>1739</v>
      </c>
      <c r="C240" s="456" t="n">
        <v>45464</v>
      </c>
      <c r="D240" s="456"/>
      <c r="E240" s="323" t="n">
        <v>13772</v>
      </c>
      <c r="F240" s="323" t="s">
        <v>175</v>
      </c>
      <c r="G240" s="323" t="s">
        <v>5</v>
      </c>
      <c r="H240" s="98" t="n">
        <v>3000</v>
      </c>
      <c r="I240" s="457" t="n">
        <v>25.71</v>
      </c>
      <c r="J240" s="313" t="s">
        <v>1651</v>
      </c>
      <c r="K240" s="98" t="n">
        <f aca="false">I240*H240</f>
        <v>77130</v>
      </c>
      <c r="L240" s="411" t="n">
        <v>32400</v>
      </c>
      <c r="M240" s="392" t="n">
        <f aca="false">L240/K240</f>
        <v>0.420070011668611</v>
      </c>
      <c r="N240" s="466" t="n">
        <f aca="false">I240*M240</f>
        <v>10.8</v>
      </c>
      <c r="O240" s="461" t="n">
        <v>3000</v>
      </c>
      <c r="P240" s="462" t="n">
        <f aca="false">H240-O240</f>
        <v>0</v>
      </c>
      <c r="Q240" s="463" t="n">
        <f aca="false">O240*I240</f>
        <v>77130</v>
      </c>
      <c r="R240" s="48" t="n">
        <f aca="false">K240-Q240</f>
        <v>0</v>
      </c>
      <c r="S240" s="467"/>
      <c r="T240" s="2" t="s">
        <v>1711</v>
      </c>
      <c r="V240" s="464"/>
      <c r="W240" s="464"/>
      <c r="X240" s="464"/>
      <c r="Y240" s="464"/>
      <c r="Z240" s="464"/>
      <c r="AA240" s="464"/>
      <c r="AB240" s="464"/>
      <c r="AC240" s="464"/>
      <c r="AD240" s="464"/>
      <c r="AE240" s="464"/>
      <c r="AF240" s="464"/>
      <c r="AG240" s="464"/>
      <c r="AH240" s="465"/>
      <c r="AI240" s="464"/>
    </row>
    <row r="241" customFormat="false" ht="15" hidden="false" customHeight="true" outlineLevel="0" collapsed="false">
      <c r="A241" s="455" t="s">
        <v>1739</v>
      </c>
      <c r="C241" s="456" t="n">
        <v>45464</v>
      </c>
      <c r="D241" s="456"/>
      <c r="E241" s="323" t="n">
        <v>13772</v>
      </c>
      <c r="F241" s="323" t="s">
        <v>175</v>
      </c>
      <c r="G241" s="323" t="s">
        <v>6</v>
      </c>
      <c r="H241" s="98" t="n">
        <v>2010</v>
      </c>
      <c r="I241" s="457" t="n">
        <v>45</v>
      </c>
      <c r="J241" s="313" t="s">
        <v>1652</v>
      </c>
      <c r="K241" s="98" t="n">
        <f aca="false">I241*H241</f>
        <v>90450</v>
      </c>
      <c r="L241" s="411" t="n">
        <v>29145</v>
      </c>
      <c r="M241" s="392" t="n">
        <f aca="false">L241/K241</f>
        <v>0.322222222222222</v>
      </c>
      <c r="N241" s="466" t="n">
        <f aca="false">I241*M241</f>
        <v>14.5</v>
      </c>
      <c r="O241" s="461" t="n">
        <v>2010</v>
      </c>
      <c r="P241" s="462" t="n">
        <f aca="false">H241-O241</f>
        <v>0</v>
      </c>
      <c r="Q241" s="463" t="n">
        <f aca="false">O241*I241</f>
        <v>90450</v>
      </c>
      <c r="R241" s="48" t="n">
        <f aca="false">K241-Q241</f>
        <v>0</v>
      </c>
      <c r="S241" s="467"/>
      <c r="T241" s="2" t="s">
        <v>1711</v>
      </c>
      <c r="V241" s="464"/>
      <c r="W241" s="464"/>
      <c r="X241" s="464"/>
      <c r="Y241" s="464"/>
      <c r="Z241" s="464"/>
      <c r="AA241" s="464"/>
      <c r="AB241" s="464"/>
      <c r="AC241" s="464"/>
      <c r="AD241" s="464"/>
      <c r="AE241" s="464"/>
      <c r="AF241" s="464"/>
      <c r="AG241" s="464"/>
      <c r="AH241" s="465"/>
      <c r="AI241" s="464"/>
    </row>
    <row r="242" customFormat="false" ht="15" hidden="false" customHeight="true" outlineLevel="0" collapsed="false">
      <c r="A242" s="455" t="s">
        <v>1739</v>
      </c>
      <c r="C242" s="456" t="n">
        <v>45464</v>
      </c>
      <c r="D242" s="456"/>
      <c r="E242" s="323" t="n">
        <v>13772</v>
      </c>
      <c r="F242" s="323" t="s">
        <v>175</v>
      </c>
      <c r="G242" s="323" t="s">
        <v>42</v>
      </c>
      <c r="H242" s="98" t="n">
        <v>705</v>
      </c>
      <c r="I242" s="457" t="n">
        <v>30</v>
      </c>
      <c r="J242" s="313" t="s">
        <v>1651</v>
      </c>
      <c r="K242" s="98" t="n">
        <f aca="false">I242*H242</f>
        <v>21150</v>
      </c>
      <c r="L242" s="411" t="n">
        <v>9517.5</v>
      </c>
      <c r="M242" s="392" t="n">
        <f aca="false">L242/K242</f>
        <v>0.45</v>
      </c>
      <c r="N242" s="466" t="n">
        <f aca="false">I242*M242</f>
        <v>13.5</v>
      </c>
      <c r="O242" s="461" t="n">
        <v>705</v>
      </c>
      <c r="P242" s="462" t="n">
        <f aca="false">H242-O242</f>
        <v>0</v>
      </c>
      <c r="Q242" s="463" t="n">
        <f aca="false">O242*I242</f>
        <v>21150</v>
      </c>
      <c r="R242" s="48" t="n">
        <f aca="false">K242-Q242</f>
        <v>0</v>
      </c>
      <c r="S242" s="467"/>
      <c r="T242" s="2" t="s">
        <v>1711</v>
      </c>
      <c r="V242" s="464"/>
      <c r="W242" s="464"/>
      <c r="X242" s="464"/>
      <c r="Y242" s="464"/>
      <c r="Z242" s="464"/>
      <c r="AA242" s="464"/>
      <c r="AB242" s="464"/>
      <c r="AC242" s="464"/>
      <c r="AD242" s="464"/>
      <c r="AE242" s="464"/>
      <c r="AF242" s="464"/>
      <c r="AG242" s="464"/>
      <c r="AH242" s="465"/>
      <c r="AI242" s="464"/>
    </row>
    <row r="243" customFormat="false" ht="15" hidden="false" customHeight="true" outlineLevel="0" collapsed="false">
      <c r="A243" s="455" t="s">
        <v>1739</v>
      </c>
      <c r="C243" s="456" t="n">
        <v>45464</v>
      </c>
      <c r="D243" s="456"/>
      <c r="E243" s="323" t="n">
        <v>13772</v>
      </c>
      <c r="F243" s="323" t="s">
        <v>175</v>
      </c>
      <c r="G243" s="323" t="s">
        <v>11</v>
      </c>
      <c r="H243" s="98" t="n">
        <v>3000</v>
      </c>
      <c r="I243" s="457" t="n">
        <v>14</v>
      </c>
      <c r="J243" s="313" t="s">
        <v>1651</v>
      </c>
      <c r="K243" s="98" t="n">
        <f aca="false">I243*H243</f>
        <v>42000</v>
      </c>
      <c r="L243" s="411" t="n">
        <v>146250</v>
      </c>
      <c r="M243" s="392" t="n">
        <f aca="false">L243/K243</f>
        <v>3.48214285714286</v>
      </c>
      <c r="N243" s="466" t="n">
        <f aca="false">I243*M243</f>
        <v>48.75</v>
      </c>
      <c r="O243" s="461" t="n">
        <v>3000</v>
      </c>
      <c r="P243" s="462" t="n">
        <f aca="false">H243-O243</f>
        <v>0</v>
      </c>
      <c r="Q243" s="463" t="n">
        <f aca="false">O243*I243</f>
        <v>42000</v>
      </c>
      <c r="R243" s="48" t="n">
        <f aca="false">K243-Q243</f>
        <v>0</v>
      </c>
      <c r="S243" s="467"/>
      <c r="T243" s="2" t="s">
        <v>1711</v>
      </c>
      <c r="V243" s="464"/>
      <c r="W243" s="464"/>
      <c r="X243" s="464"/>
      <c r="Y243" s="464"/>
      <c r="Z243" s="464"/>
      <c r="AA243" s="464"/>
      <c r="AB243" s="464"/>
      <c r="AC243" s="464"/>
      <c r="AD243" s="464"/>
      <c r="AE243" s="464"/>
      <c r="AF243" s="464"/>
      <c r="AG243" s="464"/>
      <c r="AH243" s="465"/>
      <c r="AI243" s="464"/>
    </row>
    <row r="244" customFormat="false" ht="15" hidden="false" customHeight="true" outlineLevel="0" collapsed="false">
      <c r="A244" s="455" t="s">
        <v>1739</v>
      </c>
      <c r="C244" s="456" t="n">
        <v>45464</v>
      </c>
      <c r="D244" s="456"/>
      <c r="E244" s="323" t="n">
        <v>13772</v>
      </c>
      <c r="F244" s="323" t="s">
        <v>175</v>
      </c>
      <c r="G244" s="323" t="s">
        <v>12</v>
      </c>
      <c r="H244" s="98" t="n">
        <v>300</v>
      </c>
      <c r="I244" s="457" t="n">
        <v>18</v>
      </c>
      <c r="J244" s="313" t="s">
        <v>1651</v>
      </c>
      <c r="K244" s="98" t="n">
        <f aca="false">I244*H244</f>
        <v>5400</v>
      </c>
      <c r="L244" s="411" t="n">
        <v>14325</v>
      </c>
      <c r="M244" s="392" t="n">
        <f aca="false">L244/K244</f>
        <v>2.65277777777778</v>
      </c>
      <c r="N244" s="466" t="n">
        <f aca="false">I244*M244</f>
        <v>47.75</v>
      </c>
      <c r="O244" s="461" t="n">
        <v>300</v>
      </c>
      <c r="P244" s="462" t="n">
        <f aca="false">H244-O244</f>
        <v>0</v>
      </c>
      <c r="Q244" s="463" t="n">
        <f aca="false">O244*I244</f>
        <v>5400</v>
      </c>
      <c r="R244" s="48" t="n">
        <f aca="false">K244-Q244</f>
        <v>0</v>
      </c>
      <c r="S244" s="467"/>
      <c r="T244" s="2" t="s">
        <v>1711</v>
      </c>
      <c r="V244" s="464"/>
      <c r="W244" s="464"/>
      <c r="X244" s="464"/>
      <c r="Y244" s="464"/>
      <c r="Z244" s="464"/>
      <c r="AA244" s="464"/>
      <c r="AB244" s="464"/>
      <c r="AC244" s="464"/>
      <c r="AD244" s="464"/>
      <c r="AE244" s="464"/>
      <c r="AF244" s="464"/>
      <c r="AG244" s="464"/>
      <c r="AH244" s="465"/>
      <c r="AI244" s="464"/>
    </row>
    <row r="245" customFormat="false" ht="15" hidden="false" customHeight="true" outlineLevel="0" collapsed="false">
      <c r="A245" s="455" t="s">
        <v>1739</v>
      </c>
      <c r="C245" s="456" t="n">
        <v>45464</v>
      </c>
      <c r="D245" s="456"/>
      <c r="E245" s="323" t="n">
        <v>13772</v>
      </c>
      <c r="F245" s="323" t="s">
        <v>175</v>
      </c>
      <c r="G245" s="323" t="s">
        <v>13</v>
      </c>
      <c r="H245" s="98" t="n">
        <v>1500</v>
      </c>
      <c r="I245" s="457" t="n">
        <v>37.5</v>
      </c>
      <c r="J245" s="313" t="s">
        <v>1652</v>
      </c>
      <c r="K245" s="98" t="n">
        <f aca="false">I245*H245</f>
        <v>56250</v>
      </c>
      <c r="L245" s="411" t="n">
        <v>23250</v>
      </c>
      <c r="M245" s="392" t="n">
        <f aca="false">L245/K245</f>
        <v>0.413333333333333</v>
      </c>
      <c r="N245" s="466" t="n">
        <f aca="false">I245*M245</f>
        <v>15.5</v>
      </c>
      <c r="O245" s="461" t="n">
        <v>1500</v>
      </c>
      <c r="P245" s="462" t="n">
        <f aca="false">H245-O245</f>
        <v>0</v>
      </c>
      <c r="Q245" s="463" t="n">
        <f aca="false">O245*I245</f>
        <v>56250</v>
      </c>
      <c r="R245" s="48" t="n">
        <f aca="false">K245-Q245</f>
        <v>0</v>
      </c>
      <c r="S245" s="467"/>
      <c r="T245" s="2" t="s">
        <v>1711</v>
      </c>
      <c r="V245" s="464"/>
      <c r="W245" s="464"/>
      <c r="X245" s="464"/>
      <c r="Y245" s="464"/>
      <c r="Z245" s="464"/>
      <c r="AA245" s="464"/>
      <c r="AB245" s="464"/>
      <c r="AC245" s="464"/>
      <c r="AD245" s="464"/>
      <c r="AE245" s="464"/>
      <c r="AF245" s="464"/>
      <c r="AG245" s="464"/>
      <c r="AH245" s="465"/>
      <c r="AI245" s="464"/>
    </row>
    <row r="246" customFormat="false" ht="15" hidden="false" customHeight="true" outlineLevel="0" collapsed="false">
      <c r="A246" s="455" t="s">
        <v>1739</v>
      </c>
      <c r="C246" s="456" t="n">
        <v>45464</v>
      </c>
      <c r="D246" s="456"/>
      <c r="E246" s="323" t="n">
        <v>13772</v>
      </c>
      <c r="F246" s="323" t="s">
        <v>175</v>
      </c>
      <c r="G246" s="323" t="s">
        <v>13</v>
      </c>
      <c r="H246" s="98" t="n">
        <v>3000</v>
      </c>
      <c r="I246" s="457" t="n">
        <v>22.5</v>
      </c>
      <c r="J246" s="313" t="s">
        <v>1651</v>
      </c>
      <c r="K246" s="98" t="n">
        <f aca="false">I246*H246</f>
        <v>67500</v>
      </c>
      <c r="L246" s="411" t="n">
        <v>31500</v>
      </c>
      <c r="M246" s="392" t="n">
        <f aca="false">L246/K246</f>
        <v>0.466666666666667</v>
      </c>
      <c r="N246" s="466" t="n">
        <f aca="false">I246*M246</f>
        <v>10.5</v>
      </c>
      <c r="O246" s="461" t="n">
        <v>3000</v>
      </c>
      <c r="P246" s="462" t="n">
        <f aca="false">H246-O246</f>
        <v>0</v>
      </c>
      <c r="Q246" s="463" t="n">
        <f aca="false">O246*I246</f>
        <v>67500</v>
      </c>
      <c r="R246" s="48" t="n">
        <f aca="false">K246-Q246</f>
        <v>0</v>
      </c>
      <c r="S246" s="467"/>
      <c r="T246" s="2" t="s">
        <v>1711</v>
      </c>
      <c r="V246" s="464"/>
      <c r="W246" s="464"/>
      <c r="X246" s="464"/>
      <c r="Y246" s="464"/>
      <c r="Z246" s="464"/>
      <c r="AA246" s="464"/>
      <c r="AB246" s="464"/>
      <c r="AC246" s="464"/>
      <c r="AD246" s="464"/>
      <c r="AE246" s="464"/>
      <c r="AF246" s="464"/>
      <c r="AG246" s="464"/>
      <c r="AH246" s="465"/>
      <c r="AI246" s="464"/>
    </row>
    <row r="247" customFormat="false" ht="15" hidden="false" customHeight="true" outlineLevel="0" collapsed="false">
      <c r="A247" s="455" t="s">
        <v>1739</v>
      </c>
      <c r="C247" s="456" t="n">
        <v>45464</v>
      </c>
      <c r="D247" s="456"/>
      <c r="E247" s="323" t="n">
        <v>13772</v>
      </c>
      <c r="F247" s="323" t="s">
        <v>175</v>
      </c>
      <c r="G247" s="323" t="s">
        <v>15</v>
      </c>
      <c r="H247" s="98" t="n">
        <v>510</v>
      </c>
      <c r="I247" s="457" t="n">
        <v>22.5</v>
      </c>
      <c r="J247" s="313" t="s">
        <v>1651</v>
      </c>
      <c r="K247" s="98" t="n">
        <f aca="false">I247*H247</f>
        <v>11475</v>
      </c>
      <c r="L247" s="411" t="n">
        <v>7899.9</v>
      </c>
      <c r="M247" s="392" t="n">
        <f aca="false">L247/K247</f>
        <v>0.688444444444444</v>
      </c>
      <c r="N247" s="466" t="n">
        <f aca="false">I247*M247</f>
        <v>15.49</v>
      </c>
      <c r="O247" s="461" t="n">
        <v>510</v>
      </c>
      <c r="P247" s="462" t="n">
        <f aca="false">H247-O247</f>
        <v>0</v>
      </c>
      <c r="Q247" s="463" t="n">
        <f aca="false">O247*I247</f>
        <v>11475</v>
      </c>
      <c r="R247" s="48" t="n">
        <f aca="false">K247-Q247</f>
        <v>0</v>
      </c>
      <c r="S247" s="467"/>
      <c r="T247" s="2" t="s">
        <v>1711</v>
      </c>
      <c r="V247" s="464"/>
      <c r="W247" s="464"/>
      <c r="X247" s="464"/>
      <c r="Y247" s="464"/>
      <c r="Z247" s="464"/>
      <c r="AA247" s="464"/>
      <c r="AB247" s="464"/>
      <c r="AC247" s="464"/>
      <c r="AD247" s="464"/>
      <c r="AE247" s="464"/>
      <c r="AF247" s="464"/>
      <c r="AG247" s="464"/>
      <c r="AH247" s="465"/>
      <c r="AI247" s="464"/>
    </row>
    <row r="248" customFormat="false" ht="15" hidden="false" customHeight="true" outlineLevel="0" collapsed="false">
      <c r="A248" s="455" t="s">
        <v>1740</v>
      </c>
      <c r="C248" s="456" t="n">
        <v>45464</v>
      </c>
      <c r="D248" s="456"/>
      <c r="E248" s="323" t="n">
        <v>13773</v>
      </c>
      <c r="F248" s="323" t="s">
        <v>175</v>
      </c>
      <c r="G248" s="323" t="s">
        <v>5</v>
      </c>
      <c r="H248" s="98" t="n">
        <v>2520</v>
      </c>
      <c r="I248" s="457" t="n">
        <v>25.71</v>
      </c>
      <c r="J248" s="313" t="s">
        <v>1651</v>
      </c>
      <c r="K248" s="98" t="n">
        <f aca="false">I248*H248</f>
        <v>64789.2</v>
      </c>
      <c r="L248" s="411" t="n">
        <v>27216</v>
      </c>
      <c r="M248" s="392" t="n">
        <f aca="false">L248/K248</f>
        <v>0.420070011668611</v>
      </c>
      <c r="N248" s="466" t="n">
        <f aca="false">I248*M248</f>
        <v>10.8</v>
      </c>
      <c r="O248" s="461" t="n">
        <v>2520</v>
      </c>
      <c r="P248" s="462" t="n">
        <f aca="false">H248-O248</f>
        <v>0</v>
      </c>
      <c r="Q248" s="463" t="n">
        <f aca="false">O248*I248</f>
        <v>64789.2</v>
      </c>
      <c r="R248" s="48" t="n">
        <f aca="false">K248-Q248</f>
        <v>0</v>
      </c>
      <c r="S248" s="467"/>
      <c r="T248" s="2" t="s">
        <v>1711</v>
      </c>
      <c r="V248" s="464"/>
      <c r="W248" s="464"/>
      <c r="X248" s="464"/>
      <c r="Y248" s="464"/>
      <c r="Z248" s="464"/>
      <c r="AA248" s="464"/>
      <c r="AB248" s="464"/>
      <c r="AC248" s="464"/>
      <c r="AD248" s="464"/>
      <c r="AE248" s="464"/>
      <c r="AF248" s="464"/>
      <c r="AG248" s="464"/>
      <c r="AH248" s="465"/>
      <c r="AI248" s="464"/>
    </row>
    <row r="249" customFormat="false" ht="15" hidden="false" customHeight="true" outlineLevel="0" collapsed="false">
      <c r="A249" s="455" t="s">
        <v>1740</v>
      </c>
      <c r="C249" s="456" t="n">
        <v>45464</v>
      </c>
      <c r="D249" s="456"/>
      <c r="E249" s="323" t="n">
        <v>13773</v>
      </c>
      <c r="F249" s="323" t="s">
        <v>175</v>
      </c>
      <c r="G249" s="323" t="s">
        <v>11</v>
      </c>
      <c r="H249" s="98" t="n">
        <v>2310</v>
      </c>
      <c r="I249" s="457" t="n">
        <v>14</v>
      </c>
      <c r="J249" s="313" t="s">
        <v>1651</v>
      </c>
      <c r="K249" s="98" t="n">
        <f aca="false">I249*H249</f>
        <v>32340</v>
      </c>
      <c r="L249" s="411" t="n">
        <v>112612.5</v>
      </c>
      <c r="M249" s="392" t="n">
        <f aca="false">L249/K249</f>
        <v>3.48214285714286</v>
      </c>
      <c r="N249" s="466" t="n">
        <f aca="false">I249*M249</f>
        <v>48.75</v>
      </c>
      <c r="O249" s="461" t="n">
        <v>2310</v>
      </c>
      <c r="P249" s="462" t="n">
        <f aca="false">H249-O249</f>
        <v>0</v>
      </c>
      <c r="Q249" s="463" t="n">
        <f aca="false">O249*I249</f>
        <v>32340</v>
      </c>
      <c r="R249" s="48" t="n">
        <f aca="false">K249-Q249</f>
        <v>0</v>
      </c>
      <c r="S249" s="467"/>
      <c r="T249" s="2" t="s">
        <v>1711</v>
      </c>
      <c r="V249" s="464"/>
      <c r="W249" s="464"/>
      <c r="X249" s="464"/>
      <c r="Y249" s="464"/>
      <c r="Z249" s="464"/>
      <c r="AA249" s="464"/>
      <c r="AB249" s="464"/>
      <c r="AC249" s="464"/>
      <c r="AD249" s="464"/>
      <c r="AE249" s="464"/>
      <c r="AF249" s="464"/>
      <c r="AG249" s="464"/>
      <c r="AH249" s="465"/>
      <c r="AI249" s="464"/>
    </row>
    <row r="250" customFormat="false" ht="15" hidden="false" customHeight="true" outlineLevel="0" collapsed="false">
      <c r="A250" s="455" t="s">
        <v>1740</v>
      </c>
      <c r="C250" s="456" t="n">
        <v>45464</v>
      </c>
      <c r="D250" s="456"/>
      <c r="E250" s="323" t="n">
        <v>13773</v>
      </c>
      <c r="F250" s="323" t="s">
        <v>175</v>
      </c>
      <c r="G250" s="323" t="s">
        <v>12</v>
      </c>
      <c r="H250" s="98" t="n">
        <v>2310</v>
      </c>
      <c r="I250" s="457" t="n">
        <v>18</v>
      </c>
      <c r="J250" s="313" t="s">
        <v>1651</v>
      </c>
      <c r="K250" s="98" t="n">
        <f aca="false">I250*H250</f>
        <v>41580</v>
      </c>
      <c r="L250" s="411" t="n">
        <v>110302.5</v>
      </c>
      <c r="M250" s="392" t="n">
        <f aca="false">L250/K250</f>
        <v>2.65277777777778</v>
      </c>
      <c r="N250" s="466" t="n">
        <f aca="false">I250*M250</f>
        <v>47.75</v>
      </c>
      <c r="O250" s="461" t="n">
        <v>2310</v>
      </c>
      <c r="P250" s="462" t="n">
        <f aca="false">H250-O250</f>
        <v>0</v>
      </c>
      <c r="Q250" s="463" t="n">
        <f aca="false">O250*I250</f>
        <v>41580</v>
      </c>
      <c r="R250" s="48" t="n">
        <f aca="false">K250-Q250</f>
        <v>0</v>
      </c>
      <c r="S250" s="467"/>
      <c r="T250" s="2" t="s">
        <v>1711</v>
      </c>
      <c r="V250" s="464"/>
      <c r="W250" s="464"/>
      <c r="X250" s="464"/>
      <c r="Y250" s="464"/>
      <c r="Z250" s="464"/>
      <c r="AA250" s="464"/>
      <c r="AB250" s="464"/>
      <c r="AC250" s="464"/>
      <c r="AD250" s="464"/>
      <c r="AE250" s="464"/>
      <c r="AF250" s="464"/>
      <c r="AG250" s="464"/>
      <c r="AH250" s="465"/>
      <c r="AI250" s="464"/>
    </row>
    <row r="251" customFormat="false" ht="15" hidden="false" customHeight="true" outlineLevel="0" collapsed="false">
      <c r="A251" s="455" t="s">
        <v>1740</v>
      </c>
      <c r="C251" s="456" t="n">
        <v>45464</v>
      </c>
      <c r="D251" s="456"/>
      <c r="E251" s="323" t="n">
        <v>13773</v>
      </c>
      <c r="F251" s="323" t="s">
        <v>175</v>
      </c>
      <c r="G251" s="323" t="s">
        <v>13</v>
      </c>
      <c r="H251" s="98" t="n">
        <v>2520</v>
      </c>
      <c r="I251" s="457" t="n">
        <v>22.5</v>
      </c>
      <c r="J251" s="313" t="s">
        <v>1651</v>
      </c>
      <c r="K251" s="98" t="n">
        <f aca="false">I251*H251</f>
        <v>56700</v>
      </c>
      <c r="L251" s="411" t="n">
        <v>26460</v>
      </c>
      <c r="M251" s="392" t="n">
        <f aca="false">L251/K251</f>
        <v>0.466666666666667</v>
      </c>
      <c r="N251" s="466" t="n">
        <f aca="false">I251*M251</f>
        <v>10.5</v>
      </c>
      <c r="O251" s="461" t="n">
        <v>2520</v>
      </c>
      <c r="P251" s="462" t="n">
        <f aca="false">H251-O251</f>
        <v>0</v>
      </c>
      <c r="Q251" s="463" t="n">
        <f aca="false">O251*I251</f>
        <v>56700</v>
      </c>
      <c r="R251" s="48" t="n">
        <f aca="false">K251-Q251</f>
        <v>0</v>
      </c>
      <c r="S251" s="467"/>
      <c r="T251" s="2" t="s">
        <v>1711</v>
      </c>
      <c r="V251" s="464"/>
      <c r="W251" s="464"/>
      <c r="X251" s="464"/>
      <c r="Y251" s="464"/>
      <c r="Z251" s="464"/>
      <c r="AA251" s="464"/>
      <c r="AB251" s="464"/>
      <c r="AC251" s="464"/>
      <c r="AD251" s="464"/>
      <c r="AE251" s="464"/>
      <c r="AF251" s="464"/>
      <c r="AG251" s="464"/>
      <c r="AH251" s="465"/>
      <c r="AI251" s="464"/>
    </row>
    <row r="252" customFormat="false" ht="15" hidden="false" customHeight="true" outlineLevel="0" collapsed="false">
      <c r="A252" s="455" t="s">
        <v>1740</v>
      </c>
      <c r="C252" s="456" t="n">
        <v>45464</v>
      </c>
      <c r="D252" s="456"/>
      <c r="E252" s="323" t="n">
        <v>13773</v>
      </c>
      <c r="F252" s="323" t="s">
        <v>175</v>
      </c>
      <c r="G252" s="323" t="s">
        <v>15</v>
      </c>
      <c r="H252" s="98" t="n">
        <v>2310</v>
      </c>
      <c r="I252" s="457" t="n">
        <v>22.5</v>
      </c>
      <c r="J252" s="313" t="s">
        <v>1651</v>
      </c>
      <c r="K252" s="98" t="n">
        <f aca="false">I252*H252</f>
        <v>51975</v>
      </c>
      <c r="L252" s="411" t="n">
        <v>35781.9</v>
      </c>
      <c r="M252" s="392" t="n">
        <f aca="false">L252/K252</f>
        <v>0.688444444444445</v>
      </c>
      <c r="N252" s="466" t="n">
        <f aca="false">I252*M252</f>
        <v>15.49</v>
      </c>
      <c r="O252" s="461" t="n">
        <v>2310</v>
      </c>
      <c r="P252" s="462" t="n">
        <f aca="false">H252-O252</f>
        <v>0</v>
      </c>
      <c r="Q252" s="463" t="n">
        <f aca="false">O252*I252</f>
        <v>51975</v>
      </c>
      <c r="R252" s="48" t="n">
        <f aca="false">K252-Q252</f>
        <v>0</v>
      </c>
      <c r="S252" s="467"/>
      <c r="T252" s="2" t="s">
        <v>1711</v>
      </c>
      <c r="V252" s="464"/>
      <c r="W252" s="464"/>
      <c r="X252" s="464"/>
      <c r="Y252" s="464"/>
      <c r="Z252" s="464"/>
      <c r="AA252" s="464"/>
      <c r="AB252" s="464"/>
      <c r="AC252" s="464"/>
      <c r="AD252" s="464"/>
      <c r="AE252" s="464"/>
      <c r="AF252" s="464"/>
      <c r="AG252" s="464"/>
      <c r="AH252" s="465"/>
      <c r="AI252" s="464"/>
    </row>
    <row r="253" customFormat="false" ht="15" hidden="false" customHeight="true" outlineLevel="0" collapsed="false">
      <c r="A253" s="455" t="s">
        <v>1740</v>
      </c>
      <c r="C253" s="456" t="n">
        <v>45464</v>
      </c>
      <c r="D253" s="456"/>
      <c r="E253" s="323" t="n">
        <v>13773</v>
      </c>
      <c r="F253" s="323" t="s">
        <v>175</v>
      </c>
      <c r="G253" s="323" t="s">
        <v>17</v>
      </c>
      <c r="H253" s="98" t="n">
        <v>2520</v>
      </c>
      <c r="I253" s="457" t="n">
        <v>22.5</v>
      </c>
      <c r="J253" s="313" t="s">
        <v>1651</v>
      </c>
      <c r="K253" s="98" t="n">
        <f aca="false">I253*H253</f>
        <v>56700</v>
      </c>
      <c r="L253" s="411" t="n">
        <v>26460</v>
      </c>
      <c r="M253" s="392" t="n">
        <f aca="false">L253/K253</f>
        <v>0.466666666666667</v>
      </c>
      <c r="N253" s="466" t="n">
        <f aca="false">I253*M253</f>
        <v>10.5</v>
      </c>
      <c r="O253" s="461" t="n">
        <v>2520</v>
      </c>
      <c r="P253" s="462" t="n">
        <f aca="false">H253-O253</f>
        <v>0</v>
      </c>
      <c r="Q253" s="463" t="n">
        <f aca="false">O253*I253</f>
        <v>56700</v>
      </c>
      <c r="R253" s="48" t="n">
        <f aca="false">K253-Q253</f>
        <v>0</v>
      </c>
      <c r="S253" s="467"/>
      <c r="T253" s="2" t="s">
        <v>1711</v>
      </c>
      <c r="V253" s="464"/>
      <c r="W253" s="464"/>
      <c r="X253" s="464"/>
      <c r="Y253" s="464"/>
      <c r="Z253" s="464"/>
      <c r="AA253" s="464"/>
      <c r="AB253" s="464"/>
      <c r="AC253" s="464"/>
      <c r="AD253" s="464"/>
      <c r="AE253" s="464"/>
      <c r="AF253" s="464"/>
      <c r="AG253" s="464"/>
      <c r="AH253" s="465"/>
      <c r="AI253" s="464"/>
    </row>
    <row r="254" customFormat="false" ht="15" hidden="false" customHeight="true" outlineLevel="0" collapsed="false">
      <c r="A254" s="455" t="s">
        <v>1741</v>
      </c>
      <c r="C254" s="456" t="n">
        <v>45467</v>
      </c>
      <c r="D254" s="456"/>
      <c r="E254" s="323" t="n">
        <v>13785</v>
      </c>
      <c r="F254" s="323" t="s">
        <v>175</v>
      </c>
      <c r="G254" s="323" t="s">
        <v>5</v>
      </c>
      <c r="H254" s="98" t="n">
        <v>6</v>
      </c>
      <c r="I254" s="457" t="n">
        <v>90</v>
      </c>
      <c r="J254" s="313" t="s">
        <v>1653</v>
      </c>
      <c r="K254" s="98" t="n">
        <f aca="false">I254*H254</f>
        <v>540</v>
      </c>
      <c r="L254" s="411" t="n">
        <v>120</v>
      </c>
      <c r="M254" s="392" t="n">
        <f aca="false">L254/K254</f>
        <v>0.222222222222222</v>
      </c>
      <c r="N254" s="466" t="n">
        <f aca="false">I254*M254</f>
        <v>20</v>
      </c>
      <c r="O254" s="461" t="n">
        <v>6</v>
      </c>
      <c r="P254" s="462" t="n">
        <f aca="false">H254-O254</f>
        <v>0</v>
      </c>
      <c r="Q254" s="463" t="n">
        <f aca="false">O254*I254</f>
        <v>540</v>
      </c>
      <c r="R254" s="48" t="n">
        <f aca="false">K254-Q254</f>
        <v>0</v>
      </c>
      <c r="S254" s="108"/>
      <c r="T254" s="2" t="s">
        <v>1711</v>
      </c>
      <c r="V254" s="464"/>
      <c r="W254" s="464"/>
      <c r="X254" s="464"/>
      <c r="Y254" s="464"/>
      <c r="Z254" s="464"/>
      <c r="AA254" s="464"/>
      <c r="AB254" s="464"/>
      <c r="AC254" s="464"/>
      <c r="AD254" s="464"/>
      <c r="AE254" s="464"/>
      <c r="AF254" s="464"/>
      <c r="AG254" s="464"/>
      <c r="AH254" s="465"/>
      <c r="AI254" s="464"/>
    </row>
    <row r="255" customFormat="false" ht="15" hidden="false" customHeight="true" outlineLevel="0" collapsed="false">
      <c r="A255" s="455" t="s">
        <v>1740</v>
      </c>
      <c r="C255" s="456" t="n">
        <v>45467</v>
      </c>
      <c r="D255" s="456"/>
      <c r="E255" s="323" t="n">
        <v>13786</v>
      </c>
      <c r="F255" s="323" t="s">
        <v>175</v>
      </c>
      <c r="G255" s="323" t="s">
        <v>5</v>
      </c>
      <c r="H255" s="98" t="n">
        <v>3000</v>
      </c>
      <c r="I255" s="457" t="n">
        <v>25.71</v>
      </c>
      <c r="J255" s="313" t="s">
        <v>1651</v>
      </c>
      <c r="K255" s="98" t="n">
        <f aca="false">I255*H255</f>
        <v>77130</v>
      </c>
      <c r="L255" s="411" t="n">
        <v>32400</v>
      </c>
      <c r="M255" s="392" t="n">
        <f aca="false">L255/K255</f>
        <v>0.420070011668611</v>
      </c>
      <c r="N255" s="466" t="n">
        <f aca="false">I255*M255</f>
        <v>10.8</v>
      </c>
      <c r="O255" s="461" t="n">
        <v>3000</v>
      </c>
      <c r="P255" s="462" t="n">
        <f aca="false">H255-O255</f>
        <v>0</v>
      </c>
      <c r="Q255" s="463" t="n">
        <f aca="false">O255*I255</f>
        <v>77130</v>
      </c>
      <c r="R255" s="48" t="n">
        <f aca="false">K255-Q255</f>
        <v>0</v>
      </c>
      <c r="S255" s="467"/>
      <c r="T255" s="2" t="s">
        <v>1711</v>
      </c>
      <c r="V255" s="464"/>
      <c r="W255" s="464"/>
      <c r="X255" s="464"/>
      <c r="Y255" s="464"/>
      <c r="Z255" s="464"/>
      <c r="AA255" s="464"/>
      <c r="AB255" s="464"/>
      <c r="AC255" s="464"/>
      <c r="AD255" s="464"/>
      <c r="AE255" s="464"/>
      <c r="AF255" s="464"/>
      <c r="AG255" s="464"/>
      <c r="AH255" s="465"/>
      <c r="AI255" s="464"/>
    </row>
    <row r="256" customFormat="false" ht="15" hidden="false" customHeight="true" outlineLevel="0" collapsed="false">
      <c r="A256" s="455" t="s">
        <v>1740</v>
      </c>
      <c r="C256" s="456" t="n">
        <v>45467</v>
      </c>
      <c r="D256" s="456"/>
      <c r="E256" s="323" t="n">
        <v>13786</v>
      </c>
      <c r="F256" s="323" t="s">
        <v>175</v>
      </c>
      <c r="G256" s="323" t="s">
        <v>11</v>
      </c>
      <c r="H256" s="98" t="n">
        <v>300</v>
      </c>
      <c r="I256" s="457" t="n">
        <v>14</v>
      </c>
      <c r="J256" s="313" t="s">
        <v>1651</v>
      </c>
      <c r="K256" s="98" t="n">
        <f aca="false">I256*H256</f>
        <v>4200</v>
      </c>
      <c r="L256" s="411" t="n">
        <v>14625</v>
      </c>
      <c r="M256" s="392" t="n">
        <f aca="false">L256/K256</f>
        <v>3.48214285714286</v>
      </c>
      <c r="N256" s="466" t="n">
        <f aca="false">I256*M256</f>
        <v>48.75</v>
      </c>
      <c r="O256" s="461" t="n">
        <v>300</v>
      </c>
      <c r="P256" s="462" t="n">
        <f aca="false">H256-O256</f>
        <v>0</v>
      </c>
      <c r="Q256" s="463" t="n">
        <f aca="false">O256*I256</f>
        <v>4200</v>
      </c>
      <c r="R256" s="48" t="n">
        <f aca="false">K256-Q256</f>
        <v>0</v>
      </c>
      <c r="S256" s="467"/>
      <c r="T256" s="2" t="s">
        <v>1711</v>
      </c>
      <c r="V256" s="464"/>
      <c r="W256" s="464"/>
      <c r="X256" s="464"/>
      <c r="Y256" s="464"/>
      <c r="Z256" s="464"/>
      <c r="AA256" s="464"/>
      <c r="AB256" s="464"/>
      <c r="AC256" s="464"/>
      <c r="AD256" s="464"/>
      <c r="AE256" s="464"/>
      <c r="AF256" s="464"/>
      <c r="AG256" s="464"/>
      <c r="AH256" s="465"/>
      <c r="AI256" s="464"/>
    </row>
    <row r="257" customFormat="false" ht="15" hidden="false" customHeight="true" outlineLevel="0" collapsed="false">
      <c r="A257" s="455" t="s">
        <v>1740</v>
      </c>
      <c r="C257" s="456" t="n">
        <v>45467</v>
      </c>
      <c r="D257" s="456"/>
      <c r="E257" s="323" t="n">
        <v>13786</v>
      </c>
      <c r="F257" s="323" t="s">
        <v>175</v>
      </c>
      <c r="G257" s="323" t="s">
        <v>12</v>
      </c>
      <c r="H257" s="98" t="n">
        <v>600</v>
      </c>
      <c r="I257" s="457" t="n">
        <v>18</v>
      </c>
      <c r="J257" s="313" t="s">
        <v>1651</v>
      </c>
      <c r="K257" s="98" t="n">
        <f aca="false">I257*H257</f>
        <v>10800</v>
      </c>
      <c r="L257" s="411" t="n">
        <v>28650</v>
      </c>
      <c r="M257" s="392" t="n">
        <f aca="false">L257/K257</f>
        <v>2.65277777777778</v>
      </c>
      <c r="N257" s="466" t="n">
        <f aca="false">I257*M257</f>
        <v>47.75</v>
      </c>
      <c r="O257" s="461" t="n">
        <v>600</v>
      </c>
      <c r="P257" s="462" t="n">
        <f aca="false">H257-O257</f>
        <v>0</v>
      </c>
      <c r="Q257" s="463" t="n">
        <f aca="false">O257*I257</f>
        <v>10800</v>
      </c>
      <c r="R257" s="48" t="n">
        <f aca="false">K257-Q257</f>
        <v>0</v>
      </c>
      <c r="S257" s="467"/>
      <c r="T257" s="2" t="s">
        <v>1711</v>
      </c>
      <c r="V257" s="464"/>
      <c r="W257" s="464"/>
      <c r="X257" s="464"/>
      <c r="Y257" s="464"/>
      <c r="Z257" s="464"/>
      <c r="AA257" s="464"/>
      <c r="AB257" s="464"/>
      <c r="AC257" s="464"/>
      <c r="AD257" s="464"/>
      <c r="AE257" s="464"/>
      <c r="AF257" s="464"/>
      <c r="AG257" s="464"/>
      <c r="AH257" s="465"/>
      <c r="AI257" s="464"/>
    </row>
    <row r="258" customFormat="false" ht="15" hidden="false" customHeight="true" outlineLevel="0" collapsed="false">
      <c r="A258" s="455" t="s">
        <v>1740</v>
      </c>
      <c r="C258" s="456" t="n">
        <v>45467</v>
      </c>
      <c r="D258" s="456"/>
      <c r="E258" s="323" t="n">
        <v>13786</v>
      </c>
      <c r="F258" s="323" t="s">
        <v>175</v>
      </c>
      <c r="G258" s="323" t="s">
        <v>13</v>
      </c>
      <c r="H258" s="98" t="n">
        <v>6300</v>
      </c>
      <c r="I258" s="457" t="n">
        <v>22.5</v>
      </c>
      <c r="J258" s="313" t="s">
        <v>1651</v>
      </c>
      <c r="K258" s="98" t="n">
        <f aca="false">I258*H258</f>
        <v>141750</v>
      </c>
      <c r="L258" s="411" t="n">
        <v>66150</v>
      </c>
      <c r="M258" s="392" t="n">
        <f aca="false">L258/K258</f>
        <v>0.466666666666667</v>
      </c>
      <c r="N258" s="466" t="n">
        <f aca="false">I258*M258</f>
        <v>10.5</v>
      </c>
      <c r="O258" s="461" t="n">
        <v>6300</v>
      </c>
      <c r="P258" s="462" t="n">
        <f aca="false">H258-O258</f>
        <v>0</v>
      </c>
      <c r="Q258" s="463" t="n">
        <f aca="false">O258*I258</f>
        <v>141750</v>
      </c>
      <c r="R258" s="48" t="n">
        <f aca="false">K258-Q258</f>
        <v>0</v>
      </c>
      <c r="S258" s="467"/>
      <c r="T258" s="2" t="s">
        <v>1711</v>
      </c>
      <c r="V258" s="464"/>
      <c r="W258" s="464"/>
      <c r="X258" s="464"/>
      <c r="Y258" s="464"/>
      <c r="Z258" s="464"/>
      <c r="AA258" s="464"/>
      <c r="AB258" s="464"/>
      <c r="AC258" s="464"/>
      <c r="AD258" s="464"/>
      <c r="AE258" s="464"/>
      <c r="AF258" s="464"/>
      <c r="AG258" s="464"/>
      <c r="AH258" s="465"/>
      <c r="AI258" s="464"/>
    </row>
    <row r="259" customFormat="false" ht="15" hidden="false" customHeight="true" outlineLevel="0" collapsed="false">
      <c r="A259" s="455" t="s">
        <v>1740</v>
      </c>
      <c r="C259" s="456" t="n">
        <v>45467</v>
      </c>
      <c r="D259" s="456"/>
      <c r="E259" s="323" t="n">
        <v>13786</v>
      </c>
      <c r="F259" s="323" t="s">
        <v>175</v>
      </c>
      <c r="G259" s="323" t="s">
        <v>15</v>
      </c>
      <c r="H259" s="98" t="n">
        <v>4800</v>
      </c>
      <c r="I259" s="457" t="n">
        <v>22.5</v>
      </c>
      <c r="J259" s="313" t="s">
        <v>1651</v>
      </c>
      <c r="K259" s="98" t="n">
        <f aca="false">I259*H259</f>
        <v>108000</v>
      </c>
      <c r="L259" s="411" t="n">
        <v>74352</v>
      </c>
      <c r="M259" s="392" t="n">
        <f aca="false">L259/K259</f>
        <v>0.688444444444444</v>
      </c>
      <c r="N259" s="466" t="n">
        <f aca="false">I259*M259</f>
        <v>15.49</v>
      </c>
      <c r="O259" s="461" t="n">
        <v>4800</v>
      </c>
      <c r="P259" s="462" t="n">
        <f aca="false">H259-O259</f>
        <v>0</v>
      </c>
      <c r="Q259" s="463" t="n">
        <f aca="false">O259*I259</f>
        <v>108000</v>
      </c>
      <c r="R259" s="48" t="n">
        <f aca="false">K259-Q259</f>
        <v>0</v>
      </c>
      <c r="S259" s="467"/>
      <c r="T259" s="2" t="s">
        <v>1711</v>
      </c>
      <c r="V259" s="464"/>
      <c r="W259" s="464"/>
      <c r="X259" s="464"/>
      <c r="Y259" s="464"/>
      <c r="Z259" s="464"/>
      <c r="AA259" s="464"/>
      <c r="AB259" s="464"/>
      <c r="AC259" s="464"/>
      <c r="AD259" s="464"/>
      <c r="AE259" s="464"/>
      <c r="AF259" s="464"/>
      <c r="AG259" s="464"/>
      <c r="AH259" s="465"/>
      <c r="AI259" s="464"/>
    </row>
    <row r="260" customFormat="false" ht="15" hidden="false" customHeight="true" outlineLevel="0" collapsed="false">
      <c r="A260" s="455" t="s">
        <v>1742</v>
      </c>
      <c r="C260" s="456" t="n">
        <v>45468</v>
      </c>
      <c r="D260" s="456"/>
      <c r="E260" s="323" t="n">
        <v>13795</v>
      </c>
      <c r="F260" s="323" t="s">
        <v>175</v>
      </c>
      <c r="G260" s="323" t="s">
        <v>10</v>
      </c>
      <c r="H260" s="98" t="n">
        <v>2010</v>
      </c>
      <c r="I260" s="457" t="n">
        <v>38.3</v>
      </c>
      <c r="J260" s="313" t="s">
        <v>1652</v>
      </c>
      <c r="K260" s="98" t="n">
        <f aca="false">I260*H260</f>
        <v>76983</v>
      </c>
      <c r="L260" s="411" t="n">
        <v>25125</v>
      </c>
      <c r="M260" s="392" t="n">
        <f aca="false">L260/K260</f>
        <v>0.326370757180157</v>
      </c>
      <c r="N260" s="466" t="n">
        <f aca="false">I260*M260</f>
        <v>12.5</v>
      </c>
      <c r="O260" s="461" t="n">
        <v>2010</v>
      </c>
      <c r="P260" s="462" t="n">
        <f aca="false">H260-O260</f>
        <v>0</v>
      </c>
      <c r="Q260" s="463" t="n">
        <f aca="false">O260*I260</f>
        <v>76983</v>
      </c>
      <c r="R260" s="48" t="n">
        <f aca="false">K260-Q260</f>
        <v>0</v>
      </c>
      <c r="S260" s="467"/>
      <c r="T260" s="2" t="s">
        <v>1711</v>
      </c>
      <c r="V260" s="464"/>
      <c r="W260" s="464"/>
      <c r="X260" s="464"/>
      <c r="Y260" s="464"/>
      <c r="Z260" s="464"/>
      <c r="AA260" s="464"/>
      <c r="AB260" s="464"/>
      <c r="AC260" s="464"/>
      <c r="AD260" s="464"/>
      <c r="AE260" s="464"/>
      <c r="AF260" s="464"/>
      <c r="AG260" s="464"/>
      <c r="AH260" s="465"/>
      <c r="AI260" s="464"/>
    </row>
    <row r="261" customFormat="false" ht="15" hidden="false" customHeight="true" outlineLevel="0" collapsed="false">
      <c r="A261" s="455" t="s">
        <v>1743</v>
      </c>
      <c r="C261" s="456" t="n">
        <v>45468</v>
      </c>
      <c r="D261" s="456"/>
      <c r="E261" s="323" t="n">
        <v>13797</v>
      </c>
      <c r="F261" s="323" t="s">
        <v>175</v>
      </c>
      <c r="G261" s="323" t="s">
        <v>10</v>
      </c>
      <c r="H261" s="98" t="n">
        <v>1500</v>
      </c>
      <c r="I261" s="457" t="n">
        <v>38.3</v>
      </c>
      <c r="J261" s="313" t="s">
        <v>1652</v>
      </c>
      <c r="K261" s="98" t="n">
        <f aca="false">I261*H261</f>
        <v>57450</v>
      </c>
      <c r="L261" s="411" t="n">
        <v>18750</v>
      </c>
      <c r="M261" s="392" t="n">
        <f aca="false">L261/K261</f>
        <v>0.326370757180157</v>
      </c>
      <c r="N261" s="466" t="n">
        <f aca="false">I261*M261</f>
        <v>12.5</v>
      </c>
      <c r="O261" s="461" t="n">
        <v>1500</v>
      </c>
      <c r="P261" s="462" t="n">
        <f aca="false">H261-O261</f>
        <v>0</v>
      </c>
      <c r="Q261" s="463" t="n">
        <f aca="false">O261*I261</f>
        <v>57450</v>
      </c>
      <c r="R261" s="48" t="n">
        <f aca="false">K261-Q261</f>
        <v>0</v>
      </c>
      <c r="S261" s="467"/>
      <c r="T261" s="2" t="s">
        <v>1711</v>
      </c>
      <c r="V261" s="464"/>
      <c r="W261" s="464"/>
      <c r="X261" s="464"/>
      <c r="Y261" s="464"/>
      <c r="Z261" s="464"/>
      <c r="AA261" s="464"/>
      <c r="AB261" s="464"/>
      <c r="AC261" s="464"/>
      <c r="AD261" s="464"/>
      <c r="AE261" s="464"/>
      <c r="AF261" s="464"/>
      <c r="AG261" s="464"/>
      <c r="AH261" s="465"/>
      <c r="AI261" s="464"/>
    </row>
    <row r="262" customFormat="false" ht="15" hidden="false" customHeight="true" outlineLevel="0" collapsed="false">
      <c r="A262" s="455" t="s">
        <v>1744</v>
      </c>
      <c r="C262" s="456" t="n">
        <v>45468</v>
      </c>
      <c r="D262" s="456"/>
      <c r="E262" s="323" t="n">
        <v>13798</v>
      </c>
      <c r="F262" s="323" t="s">
        <v>175</v>
      </c>
      <c r="G262" s="323" t="s">
        <v>10</v>
      </c>
      <c r="H262" s="98" t="n">
        <v>645</v>
      </c>
      <c r="I262" s="457" t="n">
        <v>38.3</v>
      </c>
      <c r="J262" s="313" t="s">
        <v>1652</v>
      </c>
      <c r="K262" s="98" t="n">
        <f aca="false">I262*H262</f>
        <v>24703.5</v>
      </c>
      <c r="L262" s="411" t="n">
        <v>8062.5</v>
      </c>
      <c r="M262" s="392" t="n">
        <f aca="false">L262/K262</f>
        <v>0.326370757180157</v>
      </c>
      <c r="N262" s="466" t="n">
        <f aca="false">I262*M262</f>
        <v>12.5</v>
      </c>
      <c r="O262" s="461" t="n">
        <v>645</v>
      </c>
      <c r="P262" s="462" t="n">
        <f aca="false">H262-O262</f>
        <v>0</v>
      </c>
      <c r="Q262" s="463" t="n">
        <f aca="false">O262*I262</f>
        <v>24703.5</v>
      </c>
      <c r="R262" s="48" t="n">
        <f aca="false">K262-Q262</f>
        <v>0</v>
      </c>
      <c r="S262" s="467"/>
      <c r="T262" s="2" t="s">
        <v>1711</v>
      </c>
      <c r="V262" s="464"/>
      <c r="W262" s="464"/>
      <c r="X262" s="464"/>
      <c r="Y262" s="464"/>
      <c r="Z262" s="464"/>
      <c r="AA262" s="464"/>
      <c r="AB262" s="464"/>
      <c r="AC262" s="464"/>
      <c r="AD262" s="464"/>
      <c r="AE262" s="464"/>
      <c r="AF262" s="464"/>
      <c r="AG262" s="464"/>
      <c r="AH262" s="465"/>
      <c r="AI262" s="464"/>
    </row>
    <row r="263" customFormat="false" ht="15" hidden="false" customHeight="true" outlineLevel="0" collapsed="false">
      <c r="A263" s="455" t="s">
        <v>1744</v>
      </c>
      <c r="C263" s="456" t="n">
        <v>45468</v>
      </c>
      <c r="D263" s="456"/>
      <c r="E263" s="323" t="n">
        <v>13799</v>
      </c>
      <c r="F263" s="323" t="s">
        <v>175</v>
      </c>
      <c r="G263" s="323" t="s">
        <v>10</v>
      </c>
      <c r="H263" s="98" t="n">
        <v>795</v>
      </c>
      <c r="I263" s="457" t="n">
        <v>38.3</v>
      </c>
      <c r="J263" s="313" t="s">
        <v>1652</v>
      </c>
      <c r="K263" s="98" t="n">
        <f aca="false">I263*H263</f>
        <v>30448.5</v>
      </c>
      <c r="L263" s="411" t="n">
        <v>9937.5</v>
      </c>
      <c r="M263" s="392" t="n">
        <f aca="false">L263/K263</f>
        <v>0.326370757180157</v>
      </c>
      <c r="N263" s="466" t="n">
        <f aca="false">I263*M263</f>
        <v>12.5</v>
      </c>
      <c r="O263" s="461" t="n">
        <v>795</v>
      </c>
      <c r="P263" s="462" t="n">
        <f aca="false">H263-O263</f>
        <v>0</v>
      </c>
      <c r="Q263" s="463" t="n">
        <f aca="false">O263*I263</f>
        <v>30448.5</v>
      </c>
      <c r="R263" s="48" t="n">
        <f aca="false">K263-Q263</f>
        <v>0</v>
      </c>
      <c r="S263" s="467"/>
      <c r="T263" s="2" t="s">
        <v>1711</v>
      </c>
      <c r="V263" s="464"/>
      <c r="W263" s="464"/>
      <c r="X263" s="464"/>
      <c r="Y263" s="464"/>
      <c r="Z263" s="464"/>
      <c r="AA263" s="464"/>
      <c r="AB263" s="464"/>
      <c r="AC263" s="464"/>
      <c r="AD263" s="464"/>
      <c r="AE263" s="464"/>
      <c r="AF263" s="464"/>
      <c r="AG263" s="464"/>
      <c r="AH263" s="465"/>
      <c r="AI263" s="464"/>
    </row>
    <row r="264" customFormat="false" ht="15" hidden="false" customHeight="true" outlineLevel="0" collapsed="false">
      <c r="A264" s="455" t="s">
        <v>1744</v>
      </c>
      <c r="C264" s="456" t="n">
        <v>45468</v>
      </c>
      <c r="D264" s="456"/>
      <c r="E264" s="323" t="n">
        <v>13800</v>
      </c>
      <c r="F264" s="323" t="s">
        <v>175</v>
      </c>
      <c r="G264" s="323" t="s">
        <v>10</v>
      </c>
      <c r="H264" s="98" t="n">
        <v>3045</v>
      </c>
      <c r="I264" s="457" t="n">
        <v>38.3</v>
      </c>
      <c r="J264" s="313" t="s">
        <v>1652</v>
      </c>
      <c r="K264" s="98" t="n">
        <f aca="false">I264*H264</f>
        <v>116623.5</v>
      </c>
      <c r="L264" s="411" t="n">
        <v>38062.5</v>
      </c>
      <c r="M264" s="392" t="n">
        <f aca="false">L264/K264</f>
        <v>0.326370757180157</v>
      </c>
      <c r="N264" s="466" t="n">
        <f aca="false">I264*M264</f>
        <v>12.5</v>
      </c>
      <c r="O264" s="461" t="n">
        <v>3045</v>
      </c>
      <c r="P264" s="462" t="n">
        <f aca="false">H264-O264</f>
        <v>0</v>
      </c>
      <c r="Q264" s="463" t="n">
        <f aca="false">O264*I264</f>
        <v>116623.5</v>
      </c>
      <c r="R264" s="48" t="n">
        <f aca="false">K264-Q264</f>
        <v>0</v>
      </c>
      <c r="S264" s="467"/>
      <c r="T264" s="2" t="s">
        <v>1711</v>
      </c>
      <c r="V264" s="464"/>
      <c r="W264" s="464"/>
      <c r="X264" s="464"/>
      <c r="Y264" s="464"/>
      <c r="Z264" s="464"/>
      <c r="AA264" s="464"/>
      <c r="AB264" s="464"/>
      <c r="AC264" s="464"/>
      <c r="AD264" s="464"/>
      <c r="AE264" s="464"/>
      <c r="AF264" s="464"/>
      <c r="AG264" s="464"/>
      <c r="AH264" s="465"/>
      <c r="AI264" s="464"/>
    </row>
    <row r="265" customFormat="false" ht="15" hidden="false" customHeight="true" outlineLevel="0" collapsed="false">
      <c r="A265" s="455" t="s">
        <v>1742</v>
      </c>
      <c r="C265" s="456" t="n">
        <v>45833</v>
      </c>
      <c r="D265" s="456"/>
      <c r="E265" s="323" t="n">
        <v>13801</v>
      </c>
      <c r="F265" s="323" t="s">
        <v>175</v>
      </c>
      <c r="G265" s="323" t="s">
        <v>10</v>
      </c>
      <c r="H265" s="98" t="n">
        <v>1500</v>
      </c>
      <c r="I265" s="457" t="n">
        <v>38.3</v>
      </c>
      <c r="J265" s="313" t="s">
        <v>1652</v>
      </c>
      <c r="K265" s="98" t="n">
        <f aca="false">I265*H265</f>
        <v>57450</v>
      </c>
      <c r="L265" s="411" t="n">
        <v>18750</v>
      </c>
      <c r="M265" s="392" t="n">
        <f aca="false">L265/K265</f>
        <v>0.326370757180157</v>
      </c>
      <c r="N265" s="466" t="n">
        <f aca="false">I265*M265</f>
        <v>12.5</v>
      </c>
      <c r="O265" s="461" t="n">
        <v>1500</v>
      </c>
      <c r="P265" s="462" t="n">
        <f aca="false">H265-O265</f>
        <v>0</v>
      </c>
      <c r="Q265" s="463" t="n">
        <f aca="false">O265*I265</f>
        <v>57450</v>
      </c>
      <c r="R265" s="48" t="n">
        <f aca="false">K265-Q265</f>
        <v>0</v>
      </c>
      <c r="S265" s="467"/>
      <c r="T265" s="2" t="s">
        <v>1711</v>
      </c>
      <c r="V265" s="464"/>
      <c r="W265" s="464"/>
      <c r="X265" s="464"/>
      <c r="Y265" s="464"/>
      <c r="Z265" s="464"/>
      <c r="AA265" s="464"/>
      <c r="AB265" s="464"/>
      <c r="AC265" s="464"/>
      <c r="AD265" s="464"/>
      <c r="AE265" s="464"/>
      <c r="AF265" s="464"/>
      <c r="AG265" s="464"/>
      <c r="AH265" s="465"/>
      <c r="AI265" s="464"/>
    </row>
    <row r="266" customFormat="false" ht="15" hidden="false" customHeight="true" outlineLevel="0" collapsed="false">
      <c r="A266" s="455" t="s">
        <v>1742</v>
      </c>
      <c r="C266" s="456" t="n">
        <v>45468</v>
      </c>
      <c r="D266" s="456"/>
      <c r="E266" s="323" t="n">
        <v>13803</v>
      </c>
      <c r="F266" s="323" t="s">
        <v>175</v>
      </c>
      <c r="G266" s="323" t="s">
        <v>10</v>
      </c>
      <c r="H266" s="98" t="n">
        <v>2010</v>
      </c>
      <c r="I266" s="457" t="n">
        <v>38.3</v>
      </c>
      <c r="J266" s="313" t="s">
        <v>1652</v>
      </c>
      <c r="K266" s="98" t="n">
        <f aca="false">I266*H266</f>
        <v>76983</v>
      </c>
      <c r="L266" s="411" t="n">
        <v>25125</v>
      </c>
      <c r="M266" s="392" t="n">
        <f aca="false">L266/K266</f>
        <v>0.326370757180157</v>
      </c>
      <c r="N266" s="466" t="n">
        <f aca="false">I266*M266</f>
        <v>12.5</v>
      </c>
      <c r="O266" s="461" t="n">
        <v>2010</v>
      </c>
      <c r="P266" s="462" t="n">
        <f aca="false">H266-O266</f>
        <v>0</v>
      </c>
      <c r="Q266" s="463" t="n">
        <f aca="false">O266*I266</f>
        <v>76983</v>
      </c>
      <c r="R266" s="48" t="n">
        <f aca="false">K266-Q266</f>
        <v>0</v>
      </c>
      <c r="S266" s="467"/>
      <c r="T266" s="2" t="s">
        <v>1711</v>
      </c>
      <c r="V266" s="464"/>
      <c r="W266" s="464"/>
      <c r="X266" s="464"/>
      <c r="Y266" s="464"/>
      <c r="Z266" s="464"/>
      <c r="AA266" s="464"/>
      <c r="AB266" s="464"/>
      <c r="AC266" s="464"/>
      <c r="AD266" s="464"/>
      <c r="AE266" s="464"/>
      <c r="AF266" s="464"/>
      <c r="AG266" s="464"/>
      <c r="AH266" s="465"/>
      <c r="AI266" s="464"/>
    </row>
    <row r="267" customFormat="false" ht="15" hidden="false" customHeight="true" outlineLevel="0" collapsed="false">
      <c r="A267" s="455" t="s">
        <v>1745</v>
      </c>
      <c r="C267" s="456" t="n">
        <v>45469</v>
      </c>
      <c r="D267" s="456"/>
      <c r="E267" s="57" t="n">
        <v>13810</v>
      </c>
      <c r="F267" s="323" t="s">
        <v>175</v>
      </c>
      <c r="G267" s="323" t="s">
        <v>11</v>
      </c>
      <c r="H267" s="98" t="n">
        <v>510</v>
      </c>
      <c r="I267" s="457" t="n">
        <v>14</v>
      </c>
      <c r="J267" s="313" t="s">
        <v>1651</v>
      </c>
      <c r="K267" s="98" t="n">
        <f aca="false">I267*H267</f>
        <v>7140</v>
      </c>
      <c r="L267" s="411" t="n">
        <v>22950</v>
      </c>
      <c r="M267" s="392" t="n">
        <f aca="false">L267/K267</f>
        <v>3.21428571428571</v>
      </c>
      <c r="N267" s="466" t="n">
        <f aca="false">I267*M267</f>
        <v>45</v>
      </c>
      <c r="O267" s="461" t="n">
        <v>510</v>
      </c>
      <c r="P267" s="462" t="n">
        <f aca="false">H267-O267</f>
        <v>0</v>
      </c>
      <c r="Q267" s="463" t="n">
        <f aca="false">O267*I267</f>
        <v>7140</v>
      </c>
      <c r="R267" s="48" t="n">
        <f aca="false">K267-Q267</f>
        <v>0</v>
      </c>
      <c r="S267" s="467"/>
      <c r="T267" s="2" t="s">
        <v>1711</v>
      </c>
      <c r="V267" s="464"/>
      <c r="W267" s="464"/>
      <c r="X267" s="464"/>
      <c r="Y267" s="464"/>
      <c r="Z267" s="464"/>
      <c r="AA267" s="464"/>
      <c r="AB267" s="464"/>
      <c r="AC267" s="464"/>
      <c r="AD267" s="464"/>
      <c r="AE267" s="464"/>
      <c r="AF267" s="464"/>
      <c r="AG267" s="464"/>
      <c r="AH267" s="465"/>
      <c r="AI267" s="464"/>
    </row>
    <row r="268" customFormat="false" ht="15" hidden="false" customHeight="true" outlineLevel="0" collapsed="false">
      <c r="A268" s="455" t="s">
        <v>1746</v>
      </c>
      <c r="C268" s="456" t="n">
        <v>45475</v>
      </c>
      <c r="D268" s="456"/>
      <c r="E268" s="57" t="n">
        <v>3</v>
      </c>
      <c r="F268" s="323" t="s">
        <v>175</v>
      </c>
      <c r="G268" s="323" t="s">
        <v>10</v>
      </c>
      <c r="H268" s="98" t="n">
        <v>2010</v>
      </c>
      <c r="I268" s="457" t="n">
        <v>25.71</v>
      </c>
      <c r="J268" s="313" t="s">
        <v>1651</v>
      </c>
      <c r="K268" s="98" t="n">
        <f aca="false">I268*H268</f>
        <v>51677.1</v>
      </c>
      <c r="L268" s="411" t="n">
        <v>19095</v>
      </c>
      <c r="M268" s="392" t="n">
        <f aca="false">L268/K268</f>
        <v>0.369506028782575</v>
      </c>
      <c r="N268" s="466" t="n">
        <f aca="false">I268*M268</f>
        <v>9.5</v>
      </c>
      <c r="O268" s="461" t="n">
        <v>2010</v>
      </c>
      <c r="P268" s="462" t="n">
        <f aca="false">H268-O268</f>
        <v>0</v>
      </c>
      <c r="Q268" s="463" t="n">
        <f aca="false">O268*I268</f>
        <v>51677.1</v>
      </c>
      <c r="R268" s="48" t="n">
        <f aca="false">K268-Q268</f>
        <v>0</v>
      </c>
      <c r="S268" s="467"/>
      <c r="T268" s="2" t="s">
        <v>1711</v>
      </c>
      <c r="V268" s="464"/>
      <c r="W268" s="464"/>
      <c r="X268" s="464"/>
      <c r="Y268" s="464"/>
      <c r="Z268" s="464"/>
      <c r="AA268" s="464"/>
      <c r="AB268" s="464"/>
      <c r="AC268" s="464"/>
      <c r="AD268" s="464"/>
      <c r="AE268" s="464"/>
      <c r="AF268" s="464"/>
      <c r="AG268" s="464"/>
      <c r="AH268" s="465"/>
      <c r="AI268" s="464"/>
    </row>
    <row r="269" customFormat="false" ht="15" hidden="false" customHeight="true" outlineLevel="0" collapsed="false">
      <c r="A269" s="455" t="s">
        <v>1747</v>
      </c>
      <c r="C269" s="456" t="n">
        <v>45476</v>
      </c>
      <c r="D269" s="456"/>
      <c r="E269" s="57" t="n">
        <v>6</v>
      </c>
      <c r="F269" s="323" t="s">
        <v>175</v>
      </c>
      <c r="G269" s="323" t="s">
        <v>42</v>
      </c>
      <c r="H269" s="98" t="n">
        <v>160</v>
      </c>
      <c r="I269" s="457" t="n">
        <v>30</v>
      </c>
      <c r="J269" s="313" t="s">
        <v>1651</v>
      </c>
      <c r="K269" s="98" t="n">
        <f aca="false">I269*H269</f>
        <v>4800</v>
      </c>
      <c r="L269" s="411" t="n">
        <v>4920</v>
      </c>
      <c r="M269" s="392" t="n">
        <f aca="false">L269/K269</f>
        <v>1.025</v>
      </c>
      <c r="N269" s="466" t="n">
        <f aca="false">I269*M269</f>
        <v>30.75</v>
      </c>
      <c r="O269" s="461" t="n">
        <v>160</v>
      </c>
      <c r="P269" s="462" t="n">
        <f aca="false">H269-O269</f>
        <v>0</v>
      </c>
      <c r="Q269" s="463" t="n">
        <f aca="false">O269*I269</f>
        <v>4800</v>
      </c>
      <c r="R269" s="48" t="n">
        <f aca="false">K269-Q269</f>
        <v>0</v>
      </c>
      <c r="S269" s="467"/>
      <c r="T269" s="2" t="s">
        <v>1711</v>
      </c>
      <c r="V269" s="464"/>
      <c r="W269" s="464"/>
      <c r="X269" s="464"/>
      <c r="Y269" s="464"/>
      <c r="Z269" s="464"/>
      <c r="AA269" s="464"/>
      <c r="AB269" s="464"/>
      <c r="AC269" s="464"/>
      <c r="AD269" s="464"/>
      <c r="AE269" s="464"/>
      <c r="AF269" s="464"/>
      <c r="AG269" s="464"/>
      <c r="AH269" s="465"/>
      <c r="AI269" s="464"/>
    </row>
    <row r="270" customFormat="false" ht="15" hidden="false" customHeight="true" outlineLevel="0" collapsed="false">
      <c r="A270" s="455" t="s">
        <v>1748</v>
      </c>
      <c r="C270" s="456" t="n">
        <v>45476</v>
      </c>
      <c r="D270" s="456"/>
      <c r="E270" s="57" t="n">
        <v>7</v>
      </c>
      <c r="F270" s="323" t="s">
        <v>175</v>
      </c>
      <c r="G270" s="323" t="s">
        <v>5</v>
      </c>
      <c r="H270" s="98" t="n">
        <v>1000</v>
      </c>
      <c r="I270" s="457" t="n">
        <v>25.71</v>
      </c>
      <c r="J270" s="313" t="s">
        <v>1651</v>
      </c>
      <c r="K270" s="98" t="n">
        <f aca="false">I270*H270</f>
        <v>25710</v>
      </c>
      <c r="L270" s="411" t="n">
        <v>13900</v>
      </c>
      <c r="M270" s="392" t="n">
        <f aca="false">L270/K270</f>
        <v>0.540645663166083</v>
      </c>
      <c r="N270" s="466" t="n">
        <f aca="false">I270*M270</f>
        <v>13.9</v>
      </c>
      <c r="O270" s="461" t="n">
        <v>1000</v>
      </c>
      <c r="P270" s="462" t="n">
        <f aca="false">H270-O270</f>
        <v>0</v>
      </c>
      <c r="Q270" s="463" t="n">
        <f aca="false">O270*I270</f>
        <v>25710</v>
      </c>
      <c r="R270" s="48" t="n">
        <f aca="false">K270-Q270</f>
        <v>0</v>
      </c>
      <c r="S270" s="108"/>
      <c r="T270" s="2" t="s">
        <v>1711</v>
      </c>
      <c r="V270" s="464"/>
      <c r="W270" s="464"/>
      <c r="X270" s="464"/>
      <c r="Y270" s="464"/>
      <c r="Z270" s="464"/>
      <c r="AA270" s="464"/>
      <c r="AB270" s="464"/>
      <c r="AC270" s="464"/>
      <c r="AD270" s="464"/>
      <c r="AE270" s="464"/>
      <c r="AF270" s="464"/>
      <c r="AG270" s="464"/>
      <c r="AH270" s="465"/>
      <c r="AI270" s="464"/>
    </row>
    <row r="271" customFormat="false" ht="15" hidden="false" customHeight="true" outlineLevel="0" collapsed="false">
      <c r="A271" s="455" t="s">
        <v>1748</v>
      </c>
      <c r="C271" s="456" t="n">
        <v>45476</v>
      </c>
      <c r="D271" s="456"/>
      <c r="E271" s="57" t="n">
        <v>7</v>
      </c>
      <c r="F271" s="323" t="s">
        <v>175</v>
      </c>
      <c r="G271" s="323" t="s">
        <v>42</v>
      </c>
      <c r="H271" s="98" t="n">
        <v>1000</v>
      </c>
      <c r="I271" s="457" t="n">
        <v>30</v>
      </c>
      <c r="J271" s="313" t="s">
        <v>1651</v>
      </c>
      <c r="K271" s="98" t="n">
        <f aca="false">I271*H271</f>
        <v>30000</v>
      </c>
      <c r="L271" s="411" t="n">
        <v>14800</v>
      </c>
      <c r="M271" s="392" t="n">
        <f aca="false">L271/K271</f>
        <v>0.493333333333333</v>
      </c>
      <c r="N271" s="466" t="n">
        <f aca="false">I271*M271</f>
        <v>14.8</v>
      </c>
      <c r="O271" s="461" t="n">
        <v>1000</v>
      </c>
      <c r="P271" s="462" t="n">
        <f aca="false">H271-O271</f>
        <v>0</v>
      </c>
      <c r="Q271" s="463" t="n">
        <f aca="false">O271*I271</f>
        <v>30000</v>
      </c>
      <c r="R271" s="48" t="n">
        <f aca="false">K271-Q271</f>
        <v>0</v>
      </c>
      <c r="S271" s="108"/>
      <c r="T271" s="2" t="s">
        <v>1711</v>
      </c>
      <c r="V271" s="464"/>
      <c r="W271" s="464"/>
      <c r="X271" s="464"/>
      <c r="Y271" s="464"/>
      <c r="Z271" s="464"/>
      <c r="AA271" s="464"/>
      <c r="AB271" s="464"/>
      <c r="AC271" s="464"/>
      <c r="AD271" s="464"/>
      <c r="AE271" s="464"/>
      <c r="AF271" s="464"/>
      <c r="AG271" s="464"/>
      <c r="AH271" s="465"/>
      <c r="AI271" s="464"/>
    </row>
    <row r="272" customFormat="false" ht="15" hidden="false" customHeight="true" outlineLevel="0" collapsed="false">
      <c r="A272" s="455" t="s">
        <v>1748</v>
      </c>
      <c r="C272" s="456" t="n">
        <v>45476</v>
      </c>
      <c r="D272" s="456"/>
      <c r="E272" s="57" t="n">
        <v>7</v>
      </c>
      <c r="F272" s="323" t="s">
        <v>175</v>
      </c>
      <c r="G272" s="323" t="s">
        <v>11</v>
      </c>
      <c r="H272" s="98" t="n">
        <v>500</v>
      </c>
      <c r="I272" s="457" t="n">
        <v>14</v>
      </c>
      <c r="J272" s="313" t="s">
        <v>1651</v>
      </c>
      <c r="K272" s="98" t="n">
        <f aca="false">I272*H272</f>
        <v>7000</v>
      </c>
      <c r="L272" s="411" t="n">
        <v>29950</v>
      </c>
      <c r="M272" s="392" t="n">
        <f aca="false">L272/K272</f>
        <v>4.27857142857143</v>
      </c>
      <c r="N272" s="466" t="n">
        <f aca="false">I272*M272</f>
        <v>59.9</v>
      </c>
      <c r="O272" s="461" t="n">
        <v>500</v>
      </c>
      <c r="P272" s="462" t="n">
        <f aca="false">H272-O272</f>
        <v>0</v>
      </c>
      <c r="Q272" s="463" t="n">
        <f aca="false">O272*I272</f>
        <v>7000</v>
      </c>
      <c r="R272" s="48" t="n">
        <f aca="false">K272-Q272</f>
        <v>0</v>
      </c>
      <c r="S272" s="108"/>
      <c r="T272" s="2" t="s">
        <v>1711</v>
      </c>
      <c r="V272" s="464"/>
      <c r="W272" s="464"/>
      <c r="X272" s="464"/>
      <c r="Y272" s="464"/>
      <c r="Z272" s="464"/>
      <c r="AA272" s="464"/>
      <c r="AB272" s="464"/>
      <c r="AC272" s="464"/>
      <c r="AD272" s="464"/>
      <c r="AE272" s="464"/>
      <c r="AF272" s="464"/>
      <c r="AG272" s="464"/>
      <c r="AH272" s="465"/>
      <c r="AI272" s="464"/>
    </row>
    <row r="273" customFormat="false" ht="15" hidden="false" customHeight="true" outlineLevel="0" collapsed="false">
      <c r="A273" s="455" t="s">
        <v>1748</v>
      </c>
      <c r="C273" s="456" t="n">
        <v>45476</v>
      </c>
      <c r="D273" s="456"/>
      <c r="E273" s="57" t="n">
        <v>7</v>
      </c>
      <c r="F273" s="57" t="s">
        <v>175</v>
      </c>
      <c r="G273" s="323" t="s">
        <v>6</v>
      </c>
      <c r="H273" s="98" t="n">
        <v>500</v>
      </c>
      <c r="I273" s="457" t="n">
        <v>30</v>
      </c>
      <c r="J273" s="313" t="s">
        <v>1651</v>
      </c>
      <c r="K273" s="98" t="n">
        <f aca="false">I273*H273</f>
        <v>15000</v>
      </c>
      <c r="L273" s="411" t="n">
        <v>6950</v>
      </c>
      <c r="M273" s="392" t="n">
        <f aca="false">L273/K273</f>
        <v>0.463333333333333</v>
      </c>
      <c r="N273" s="466" t="n">
        <f aca="false">I273*M273</f>
        <v>13.9</v>
      </c>
      <c r="O273" s="461" t="n">
        <v>500</v>
      </c>
      <c r="P273" s="462" t="n">
        <f aca="false">H273-O273</f>
        <v>0</v>
      </c>
      <c r="Q273" s="463" t="n">
        <f aca="false">O273*I273</f>
        <v>15000</v>
      </c>
      <c r="R273" s="48" t="n">
        <f aca="false">K273-Q273</f>
        <v>0</v>
      </c>
      <c r="S273" s="108"/>
      <c r="T273" s="2" t="s">
        <v>1711</v>
      </c>
      <c r="V273" s="464"/>
      <c r="W273" s="464"/>
      <c r="X273" s="464"/>
      <c r="Y273" s="464"/>
      <c r="Z273" s="464"/>
      <c r="AA273" s="464"/>
      <c r="AB273" s="464"/>
      <c r="AC273" s="464"/>
      <c r="AD273" s="464"/>
      <c r="AE273" s="464"/>
      <c r="AF273" s="464"/>
      <c r="AG273" s="464"/>
      <c r="AH273" s="465"/>
      <c r="AI273" s="464"/>
    </row>
    <row r="274" customFormat="false" ht="15" hidden="false" customHeight="true" outlineLevel="0" collapsed="false">
      <c r="A274" s="455" t="s">
        <v>1749</v>
      </c>
      <c r="C274" s="456" t="n">
        <v>45476</v>
      </c>
      <c r="D274" s="456"/>
      <c r="E274" s="57" t="n">
        <v>9</v>
      </c>
      <c r="F274" s="323" t="s">
        <v>175</v>
      </c>
      <c r="G274" s="323" t="s">
        <v>5</v>
      </c>
      <c r="H274" s="98" t="n">
        <v>400</v>
      </c>
      <c r="I274" s="457" t="n">
        <v>25.71</v>
      </c>
      <c r="J274" s="313" t="s">
        <v>1651</v>
      </c>
      <c r="K274" s="99" t="n">
        <f aca="false">I274*H274</f>
        <v>10284</v>
      </c>
      <c r="L274" s="411" t="n">
        <v>5160</v>
      </c>
      <c r="M274" s="392" t="n">
        <f aca="false">L274/K274</f>
        <v>0.501750291715286</v>
      </c>
      <c r="N274" s="466" t="n">
        <f aca="false">I274*M274</f>
        <v>12.9</v>
      </c>
      <c r="O274" s="461" t="n">
        <v>400</v>
      </c>
      <c r="P274" s="462" t="n">
        <f aca="false">H274-O274</f>
        <v>0</v>
      </c>
      <c r="Q274" s="463" t="n">
        <f aca="false">O274*I274</f>
        <v>10284</v>
      </c>
      <c r="R274" s="48" t="n">
        <f aca="false">K274-Q274</f>
        <v>0</v>
      </c>
      <c r="S274" s="108"/>
      <c r="T274" s="2" t="s">
        <v>1711</v>
      </c>
      <c r="V274" s="464"/>
      <c r="W274" s="464"/>
      <c r="X274" s="464"/>
      <c r="Y274" s="464"/>
      <c r="Z274" s="464"/>
      <c r="AA274" s="464"/>
      <c r="AB274" s="464"/>
      <c r="AC274" s="464"/>
      <c r="AD274" s="464"/>
      <c r="AE274" s="464"/>
      <c r="AF274" s="464"/>
      <c r="AG274" s="464"/>
      <c r="AH274" s="465"/>
      <c r="AI274" s="464"/>
    </row>
    <row r="275" customFormat="false" ht="15" hidden="false" customHeight="true" outlineLevel="0" collapsed="false">
      <c r="A275" s="455" t="s">
        <v>1749</v>
      </c>
      <c r="C275" s="456" t="n">
        <v>45476</v>
      </c>
      <c r="D275" s="456"/>
      <c r="E275" s="57" t="n">
        <v>9</v>
      </c>
      <c r="F275" s="323" t="s">
        <v>175</v>
      </c>
      <c r="G275" s="323" t="s">
        <v>11</v>
      </c>
      <c r="H275" s="98" t="n">
        <v>2000</v>
      </c>
      <c r="I275" s="457" t="n">
        <v>14</v>
      </c>
      <c r="J275" s="313" t="s">
        <v>1651</v>
      </c>
      <c r="K275" s="99" t="n">
        <f aca="false">I275*H275</f>
        <v>28000</v>
      </c>
      <c r="L275" s="411" t="n">
        <v>118000</v>
      </c>
      <c r="M275" s="392" t="n">
        <f aca="false">L275/K275</f>
        <v>4.21428571428571</v>
      </c>
      <c r="N275" s="466" t="n">
        <f aca="false">I275*M275</f>
        <v>59</v>
      </c>
      <c r="O275" s="461" t="n">
        <v>2000</v>
      </c>
      <c r="P275" s="462" t="n">
        <f aca="false">H275-O275</f>
        <v>0</v>
      </c>
      <c r="Q275" s="463" t="n">
        <f aca="false">O275*I275</f>
        <v>28000</v>
      </c>
      <c r="R275" s="48" t="n">
        <f aca="false">K275-Q275</f>
        <v>0</v>
      </c>
      <c r="S275" s="108"/>
      <c r="T275" s="2" t="s">
        <v>1711</v>
      </c>
      <c r="V275" s="464"/>
      <c r="W275" s="464"/>
      <c r="X275" s="464"/>
      <c r="Y275" s="464"/>
      <c r="Z275" s="464"/>
      <c r="AA275" s="464"/>
      <c r="AB275" s="464"/>
      <c r="AC275" s="464"/>
      <c r="AD275" s="464"/>
      <c r="AE275" s="464"/>
      <c r="AF275" s="464"/>
      <c r="AG275" s="464"/>
      <c r="AH275" s="465"/>
      <c r="AI275" s="464"/>
    </row>
    <row r="276" customFormat="false" ht="15" hidden="false" customHeight="true" outlineLevel="0" collapsed="false">
      <c r="A276" s="455" t="s">
        <v>1749</v>
      </c>
      <c r="C276" s="456" t="n">
        <v>45476</v>
      </c>
      <c r="D276" s="456"/>
      <c r="E276" s="57" t="n">
        <v>9</v>
      </c>
      <c r="F276" s="57" t="s">
        <v>175</v>
      </c>
      <c r="G276" s="323" t="s">
        <v>42</v>
      </c>
      <c r="H276" s="98" t="n">
        <v>3000</v>
      </c>
      <c r="I276" s="457" t="n">
        <v>30</v>
      </c>
      <c r="J276" s="313" t="s">
        <v>1651</v>
      </c>
      <c r="K276" s="99" t="n">
        <f aca="false">I276*H276</f>
        <v>90000</v>
      </c>
      <c r="L276" s="411" t="n">
        <v>38490</v>
      </c>
      <c r="M276" s="392" t="n">
        <f aca="false">L276/K276</f>
        <v>0.427666666666667</v>
      </c>
      <c r="N276" s="466" t="n">
        <f aca="false">I276*M276</f>
        <v>12.83</v>
      </c>
      <c r="O276" s="461" t="n">
        <v>3000</v>
      </c>
      <c r="P276" s="462" t="n">
        <f aca="false">H276-O276</f>
        <v>0</v>
      </c>
      <c r="Q276" s="463" t="n">
        <f aca="false">O276*I276</f>
        <v>90000</v>
      </c>
      <c r="R276" s="48" t="n">
        <f aca="false">K276-Q276</f>
        <v>0</v>
      </c>
      <c r="S276" s="108"/>
      <c r="T276" s="2" t="s">
        <v>1711</v>
      </c>
      <c r="V276" s="464"/>
      <c r="W276" s="464"/>
      <c r="X276" s="464"/>
      <c r="Y276" s="464"/>
      <c r="Z276" s="464"/>
      <c r="AA276" s="464"/>
      <c r="AB276" s="464"/>
      <c r="AC276" s="464"/>
      <c r="AD276" s="464"/>
      <c r="AE276" s="464"/>
      <c r="AF276" s="464"/>
      <c r="AG276" s="464"/>
      <c r="AH276" s="465"/>
      <c r="AI276" s="464"/>
    </row>
    <row r="277" customFormat="false" ht="15" hidden="false" customHeight="true" outlineLevel="0" collapsed="false">
      <c r="A277" s="455" t="s">
        <v>1750</v>
      </c>
      <c r="C277" s="456" t="n">
        <v>45476</v>
      </c>
      <c r="D277" s="456"/>
      <c r="E277" s="57" t="n">
        <v>10</v>
      </c>
      <c r="F277" s="57" t="s">
        <v>175</v>
      </c>
      <c r="G277" s="323" t="s">
        <v>42</v>
      </c>
      <c r="H277" s="98" t="n">
        <v>195</v>
      </c>
      <c r="I277" s="457" t="n">
        <v>30</v>
      </c>
      <c r="J277" s="313" t="s">
        <v>1651</v>
      </c>
      <c r="K277" s="98" t="n">
        <f aca="false">I277*H277</f>
        <v>5850</v>
      </c>
      <c r="L277" s="411" t="n">
        <v>3445</v>
      </c>
      <c r="M277" s="392" t="n">
        <f aca="false">L277/K277</f>
        <v>0.588888888888889</v>
      </c>
      <c r="N277" s="466" t="n">
        <f aca="false">I277*M277</f>
        <v>17.6666666666667</v>
      </c>
      <c r="O277" s="461" t="n">
        <v>195</v>
      </c>
      <c r="P277" s="462" t="n">
        <f aca="false">H277-O277</f>
        <v>0</v>
      </c>
      <c r="Q277" s="463" t="n">
        <f aca="false">O277*I277</f>
        <v>5850</v>
      </c>
      <c r="R277" s="48" t="n">
        <f aca="false">K277-Q277</f>
        <v>0</v>
      </c>
      <c r="S277" s="467"/>
      <c r="T277" s="2" t="s">
        <v>1711</v>
      </c>
      <c r="V277" s="464"/>
      <c r="W277" s="464"/>
      <c r="X277" s="464"/>
      <c r="Y277" s="464"/>
      <c r="Z277" s="464"/>
      <c r="AA277" s="464"/>
      <c r="AB277" s="464"/>
      <c r="AC277" s="464"/>
      <c r="AD277" s="464"/>
      <c r="AE277" s="464"/>
      <c r="AF277" s="464"/>
      <c r="AG277" s="464"/>
      <c r="AH277" s="465"/>
      <c r="AI277" s="464"/>
    </row>
    <row r="278" customFormat="false" ht="15" hidden="false" customHeight="true" outlineLevel="0" collapsed="false">
      <c r="A278" s="455" t="s">
        <v>1751</v>
      </c>
      <c r="C278" s="456" t="n">
        <v>45476</v>
      </c>
      <c r="D278" s="456"/>
      <c r="E278" s="57" t="n">
        <v>11</v>
      </c>
      <c r="F278" s="57" t="s">
        <v>175</v>
      </c>
      <c r="G278" s="323" t="s">
        <v>10</v>
      </c>
      <c r="H278" s="98" t="n">
        <v>405</v>
      </c>
      <c r="I278" s="457" t="n">
        <v>25.71</v>
      </c>
      <c r="J278" s="313" t="s">
        <v>1651</v>
      </c>
      <c r="K278" s="98" t="n">
        <f aca="false">I278*H278</f>
        <v>10412.55</v>
      </c>
      <c r="L278" s="411" t="n">
        <v>3815</v>
      </c>
      <c r="M278" s="392" t="n">
        <f aca="false">L278/K278</f>
        <v>0.366384795271091</v>
      </c>
      <c r="N278" s="466" t="n">
        <f aca="false">I278*M278</f>
        <v>9.41975308641975</v>
      </c>
      <c r="O278" s="461" t="n">
        <v>405</v>
      </c>
      <c r="P278" s="462" t="n">
        <f aca="false">H278-O278</f>
        <v>0</v>
      </c>
      <c r="Q278" s="470" t="n">
        <f aca="false">O278*I278</f>
        <v>10412.55</v>
      </c>
      <c r="R278" s="48" t="n">
        <f aca="false">K278-Q278</f>
        <v>0</v>
      </c>
      <c r="S278" s="108"/>
      <c r="T278" s="2" t="s">
        <v>1711</v>
      </c>
      <c r="V278" s="464"/>
      <c r="W278" s="464"/>
      <c r="X278" s="464"/>
      <c r="Y278" s="464"/>
      <c r="Z278" s="464"/>
      <c r="AA278" s="464"/>
      <c r="AB278" s="464"/>
      <c r="AC278" s="464"/>
      <c r="AD278" s="464"/>
      <c r="AE278" s="464"/>
      <c r="AF278" s="464"/>
      <c r="AG278" s="464"/>
      <c r="AH278" s="465"/>
      <c r="AI278" s="464"/>
    </row>
    <row r="279" customFormat="false" ht="15" hidden="false" customHeight="true" outlineLevel="0" collapsed="false">
      <c r="A279" s="455" t="s">
        <v>1751</v>
      </c>
      <c r="C279" s="456" t="n">
        <v>45476</v>
      </c>
      <c r="D279" s="456"/>
      <c r="E279" s="323" t="n">
        <v>11</v>
      </c>
      <c r="F279" s="323" t="s">
        <v>175</v>
      </c>
      <c r="G279" s="323" t="s">
        <v>11</v>
      </c>
      <c r="H279" s="98" t="n">
        <v>600</v>
      </c>
      <c r="I279" s="457" t="n">
        <v>14</v>
      </c>
      <c r="J279" s="313" t="s">
        <v>1651</v>
      </c>
      <c r="K279" s="98" t="n">
        <f aca="false">I279*H279</f>
        <v>8400</v>
      </c>
      <c r="L279" s="411" t="n">
        <v>42000</v>
      </c>
      <c r="M279" s="392" t="n">
        <f aca="false">L279/K279</f>
        <v>5</v>
      </c>
      <c r="N279" s="466" t="n">
        <f aca="false">I279*M279</f>
        <v>70</v>
      </c>
      <c r="O279" s="461" t="n">
        <v>600</v>
      </c>
      <c r="P279" s="462" t="n">
        <f aca="false">H279-O279</f>
        <v>0</v>
      </c>
      <c r="Q279" s="463" t="n">
        <f aca="false">O279*I279</f>
        <v>8400</v>
      </c>
      <c r="R279" s="48" t="n">
        <f aca="false">K279-Q279</f>
        <v>0</v>
      </c>
      <c r="S279" s="108"/>
      <c r="T279" s="2" t="s">
        <v>1711</v>
      </c>
      <c r="V279" s="464"/>
      <c r="W279" s="464"/>
      <c r="X279" s="464"/>
      <c r="Y279" s="464"/>
      <c r="Z279" s="464"/>
      <c r="AA279" s="464"/>
      <c r="AB279" s="464"/>
      <c r="AC279" s="464"/>
      <c r="AD279" s="464"/>
      <c r="AE279" s="464"/>
      <c r="AF279" s="464"/>
      <c r="AG279" s="464"/>
      <c r="AH279" s="465"/>
      <c r="AI279" s="464"/>
    </row>
    <row r="280" customFormat="false" ht="15" hidden="false" customHeight="true" outlineLevel="0" collapsed="false">
      <c r="A280" s="455" t="s">
        <v>1752</v>
      </c>
      <c r="C280" s="456" t="n">
        <v>45477</v>
      </c>
      <c r="D280" s="456"/>
      <c r="E280" s="57" t="n">
        <v>13</v>
      </c>
      <c r="F280" s="323" t="s">
        <v>175</v>
      </c>
      <c r="G280" s="323" t="s">
        <v>11</v>
      </c>
      <c r="H280" s="98" t="n">
        <v>200</v>
      </c>
      <c r="I280" s="457" t="n">
        <v>14</v>
      </c>
      <c r="J280" s="313" t="s">
        <v>1651</v>
      </c>
      <c r="K280" s="98" t="n">
        <f aca="false">I280*H280</f>
        <v>2800</v>
      </c>
      <c r="L280" s="411" t="n">
        <v>13600</v>
      </c>
      <c r="M280" s="392" t="n">
        <f aca="false">L280/K280</f>
        <v>4.85714285714286</v>
      </c>
      <c r="N280" s="466" t="n">
        <f aca="false">I280*M280</f>
        <v>68</v>
      </c>
      <c r="O280" s="461" t="n">
        <v>200</v>
      </c>
      <c r="P280" s="462" t="n">
        <f aca="false">H280-O280</f>
        <v>0</v>
      </c>
      <c r="Q280" s="463" t="n">
        <f aca="false">O280*I280</f>
        <v>2800</v>
      </c>
      <c r="R280" s="48" t="n">
        <f aca="false">K280-Q280</f>
        <v>0</v>
      </c>
      <c r="S280" s="467"/>
      <c r="T280" s="2" t="s">
        <v>1711</v>
      </c>
      <c r="V280" s="464"/>
      <c r="W280" s="464"/>
      <c r="X280" s="464"/>
      <c r="Y280" s="464"/>
      <c r="Z280" s="464"/>
      <c r="AA280" s="464"/>
      <c r="AB280" s="464"/>
      <c r="AC280" s="464"/>
      <c r="AD280" s="464"/>
      <c r="AE280" s="464"/>
      <c r="AF280" s="464"/>
      <c r="AG280" s="464"/>
      <c r="AH280" s="465"/>
      <c r="AI280" s="464"/>
    </row>
    <row r="281" customFormat="false" ht="15" hidden="false" customHeight="true" outlineLevel="0" collapsed="false">
      <c r="A281" s="455" t="s">
        <v>1752</v>
      </c>
      <c r="C281" s="456" t="n">
        <v>45477</v>
      </c>
      <c r="D281" s="456"/>
      <c r="E281" s="323" t="n">
        <v>13</v>
      </c>
      <c r="F281" s="323" t="s">
        <v>175</v>
      </c>
      <c r="G281" s="323" t="s">
        <v>5</v>
      </c>
      <c r="H281" s="98" t="n">
        <v>200</v>
      </c>
      <c r="I281" s="457" t="n">
        <v>25.71</v>
      </c>
      <c r="J281" s="313" t="s">
        <v>1651</v>
      </c>
      <c r="K281" s="98" t="n">
        <f aca="false">I281*H281</f>
        <v>5142</v>
      </c>
      <c r="L281" s="411" t="n">
        <v>2900</v>
      </c>
      <c r="M281" s="392" t="n">
        <f aca="false">L281/K281</f>
        <v>0.563982886036562</v>
      </c>
      <c r="N281" s="466" t="n">
        <f aca="false">I281*M281</f>
        <v>14.5</v>
      </c>
      <c r="O281" s="461" t="n">
        <v>200</v>
      </c>
      <c r="P281" s="462" t="n">
        <f aca="false">H281-O281</f>
        <v>0</v>
      </c>
      <c r="Q281" s="463" t="n">
        <f aca="false">O281*I281</f>
        <v>5142</v>
      </c>
      <c r="R281" s="48" t="n">
        <f aca="false">K281-Q281</f>
        <v>0</v>
      </c>
      <c r="S281" s="467"/>
      <c r="T281" s="2" t="s">
        <v>1711</v>
      </c>
      <c r="V281" s="464"/>
      <c r="W281" s="464"/>
      <c r="X281" s="464"/>
      <c r="Y281" s="464"/>
      <c r="Z281" s="464"/>
      <c r="AA281" s="464"/>
      <c r="AB281" s="464"/>
      <c r="AC281" s="464"/>
      <c r="AD281" s="464"/>
      <c r="AE281" s="464"/>
      <c r="AF281" s="464"/>
      <c r="AG281" s="464"/>
      <c r="AH281" s="465"/>
      <c r="AI281" s="464"/>
    </row>
    <row r="282" customFormat="false" ht="15" hidden="false" customHeight="true" outlineLevel="0" collapsed="false">
      <c r="A282" s="455" t="s">
        <v>1752</v>
      </c>
      <c r="C282" s="456" t="n">
        <v>45477</v>
      </c>
      <c r="D282" s="456"/>
      <c r="E282" s="57" t="n">
        <v>13</v>
      </c>
      <c r="F282" s="323" t="s">
        <v>175</v>
      </c>
      <c r="G282" s="323" t="s">
        <v>7</v>
      </c>
      <c r="H282" s="98" t="n">
        <v>1000</v>
      </c>
      <c r="I282" s="457" t="n">
        <v>25.71</v>
      </c>
      <c r="J282" s="313" t="s">
        <v>1651</v>
      </c>
      <c r="K282" s="98" t="n">
        <f aca="false">I282*H282</f>
        <v>25710</v>
      </c>
      <c r="L282" s="411" t="n">
        <v>14500</v>
      </c>
      <c r="M282" s="392" t="n">
        <f aca="false">L282/K282</f>
        <v>0.563982886036562</v>
      </c>
      <c r="N282" s="466" t="n">
        <f aca="false">I282*M282</f>
        <v>14.5</v>
      </c>
      <c r="O282" s="461" t="n">
        <v>1000</v>
      </c>
      <c r="P282" s="462" t="n">
        <f aca="false">H282-O282</f>
        <v>0</v>
      </c>
      <c r="Q282" s="463" t="n">
        <f aca="false">O282*I282</f>
        <v>25710</v>
      </c>
      <c r="R282" s="48" t="n">
        <f aca="false">K282-Q282</f>
        <v>0</v>
      </c>
      <c r="S282" s="467"/>
      <c r="T282" s="2" t="s">
        <v>1711</v>
      </c>
      <c r="V282" s="464"/>
      <c r="W282" s="464"/>
      <c r="X282" s="464"/>
      <c r="Y282" s="464"/>
      <c r="Z282" s="464"/>
      <c r="AA282" s="464"/>
      <c r="AB282" s="464"/>
      <c r="AC282" s="464"/>
      <c r="AD282" s="464"/>
      <c r="AE282" s="464"/>
      <c r="AF282" s="464"/>
      <c r="AG282" s="464"/>
      <c r="AH282" s="465"/>
      <c r="AI282" s="464"/>
    </row>
    <row r="283" customFormat="false" ht="15" hidden="false" customHeight="true" outlineLevel="0" collapsed="false">
      <c r="A283" s="455" t="s">
        <v>1753</v>
      </c>
      <c r="C283" s="456" t="n">
        <v>45478</v>
      </c>
      <c r="D283" s="456"/>
      <c r="E283" s="323" t="n">
        <v>19</v>
      </c>
      <c r="F283" s="57" t="s">
        <v>175</v>
      </c>
      <c r="G283" s="323" t="s">
        <v>19</v>
      </c>
      <c r="H283" s="98" t="n">
        <v>1005</v>
      </c>
      <c r="I283" s="457" t="n">
        <v>22.5</v>
      </c>
      <c r="J283" s="313" t="s">
        <v>1651</v>
      </c>
      <c r="K283" s="98" t="n">
        <f aca="false">I283*H283</f>
        <v>22612.5</v>
      </c>
      <c r="L283" s="411" t="n">
        <v>19095</v>
      </c>
      <c r="M283" s="392" t="n">
        <f aca="false">L283/K283</f>
        <v>0.844444444444444</v>
      </c>
      <c r="N283" s="466" t="n">
        <f aca="false">I283*M283</f>
        <v>19</v>
      </c>
      <c r="O283" s="461" t="n">
        <v>1005</v>
      </c>
      <c r="P283" s="462" t="n">
        <f aca="false">H283-O283</f>
        <v>0</v>
      </c>
      <c r="Q283" s="463" t="n">
        <f aca="false">O283*I283</f>
        <v>22612.5</v>
      </c>
      <c r="R283" s="48" t="n">
        <f aca="false">K283-Q283</f>
        <v>0</v>
      </c>
      <c r="S283" s="467"/>
      <c r="T283" s="2" t="s">
        <v>1711</v>
      </c>
      <c r="V283" s="464"/>
      <c r="W283" s="464"/>
      <c r="X283" s="464"/>
      <c r="Y283" s="464"/>
      <c r="Z283" s="464"/>
      <c r="AA283" s="464"/>
      <c r="AB283" s="464"/>
      <c r="AC283" s="464"/>
      <c r="AD283" s="464"/>
      <c r="AE283" s="464"/>
      <c r="AF283" s="464"/>
      <c r="AG283" s="464"/>
      <c r="AH283" s="465"/>
      <c r="AI283" s="464"/>
    </row>
    <row r="284" customFormat="false" ht="15" hidden="false" customHeight="true" outlineLevel="0" collapsed="false">
      <c r="A284" s="455" t="s">
        <v>1753</v>
      </c>
      <c r="C284" s="456" t="n">
        <v>45478</v>
      </c>
      <c r="D284" s="456"/>
      <c r="E284" s="323" t="n">
        <v>19</v>
      </c>
      <c r="F284" s="323" t="s">
        <v>175</v>
      </c>
      <c r="G284" s="323" t="s">
        <v>12</v>
      </c>
      <c r="H284" s="98" t="n">
        <v>3000</v>
      </c>
      <c r="I284" s="457" t="n">
        <v>18</v>
      </c>
      <c r="J284" s="313" t="s">
        <v>1651</v>
      </c>
      <c r="K284" s="98" t="n">
        <f aca="false">I284*H284</f>
        <v>54000</v>
      </c>
      <c r="L284" s="411" t="n">
        <v>149100</v>
      </c>
      <c r="M284" s="392" t="n">
        <f aca="false">L284/K284</f>
        <v>2.76111111111111</v>
      </c>
      <c r="N284" s="466" t="n">
        <f aca="false">I284*M284</f>
        <v>49.7</v>
      </c>
      <c r="O284" s="461" t="n">
        <v>3000</v>
      </c>
      <c r="P284" s="462" t="n">
        <f aca="false">H284-O284</f>
        <v>0</v>
      </c>
      <c r="Q284" s="463" t="n">
        <f aca="false">O284*I284</f>
        <v>54000</v>
      </c>
      <c r="R284" s="48" t="n">
        <f aca="false">K284-Q284</f>
        <v>0</v>
      </c>
      <c r="S284" s="467"/>
      <c r="T284" s="2" t="s">
        <v>1711</v>
      </c>
      <c r="V284" s="464"/>
      <c r="W284" s="464"/>
      <c r="X284" s="464"/>
      <c r="Y284" s="464"/>
      <c r="Z284" s="464"/>
      <c r="AA284" s="464"/>
      <c r="AB284" s="464"/>
      <c r="AC284" s="464"/>
      <c r="AD284" s="464"/>
      <c r="AE284" s="464"/>
      <c r="AF284" s="464"/>
      <c r="AG284" s="464"/>
      <c r="AH284" s="465"/>
      <c r="AI284" s="464"/>
    </row>
    <row r="285" customFormat="false" ht="15" hidden="false" customHeight="true" outlineLevel="0" collapsed="false">
      <c r="A285" s="455" t="s">
        <v>1753</v>
      </c>
      <c r="C285" s="456" t="n">
        <v>45478</v>
      </c>
      <c r="D285" s="456"/>
      <c r="E285" s="323" t="n">
        <v>19</v>
      </c>
      <c r="F285" s="323" t="s">
        <v>175</v>
      </c>
      <c r="G285" s="323" t="s">
        <v>17</v>
      </c>
      <c r="H285" s="98" t="n">
        <v>3000</v>
      </c>
      <c r="I285" s="457" t="n">
        <v>22.5</v>
      </c>
      <c r="J285" s="313" t="s">
        <v>1651</v>
      </c>
      <c r="K285" s="98" t="n">
        <f aca="false">I285*H285</f>
        <v>67500</v>
      </c>
      <c r="L285" s="411" t="n">
        <v>39000</v>
      </c>
      <c r="M285" s="392" t="n">
        <f aca="false">L285/K285</f>
        <v>0.577777777777778</v>
      </c>
      <c r="N285" s="466" t="n">
        <f aca="false">I285*M285</f>
        <v>13</v>
      </c>
      <c r="O285" s="461" t="n">
        <v>3000</v>
      </c>
      <c r="P285" s="462" t="n">
        <f aca="false">H285-O285</f>
        <v>0</v>
      </c>
      <c r="Q285" s="463" t="n">
        <f aca="false">O285*I285</f>
        <v>67500</v>
      </c>
      <c r="R285" s="48" t="n">
        <f aca="false">K285-Q285</f>
        <v>0</v>
      </c>
      <c r="S285" s="467"/>
      <c r="T285" s="2" t="s">
        <v>1711</v>
      </c>
      <c r="V285" s="464"/>
      <c r="W285" s="464"/>
      <c r="X285" s="464"/>
      <c r="Y285" s="464"/>
      <c r="Z285" s="464"/>
      <c r="AA285" s="464"/>
      <c r="AB285" s="464"/>
      <c r="AC285" s="464"/>
      <c r="AD285" s="464"/>
      <c r="AE285" s="464"/>
      <c r="AF285" s="464"/>
      <c r="AG285" s="464"/>
      <c r="AH285" s="465"/>
      <c r="AI285" s="464"/>
    </row>
    <row r="286" customFormat="false" ht="15" hidden="false" customHeight="true" outlineLevel="0" collapsed="false">
      <c r="A286" s="455" t="s">
        <v>1753</v>
      </c>
      <c r="C286" s="456" t="n">
        <v>45478</v>
      </c>
      <c r="D286" s="456"/>
      <c r="E286" s="323" t="n">
        <v>19</v>
      </c>
      <c r="F286" s="323" t="s">
        <v>175</v>
      </c>
      <c r="G286" s="323" t="s">
        <v>42</v>
      </c>
      <c r="H286" s="98" t="n">
        <v>3000</v>
      </c>
      <c r="I286" s="457" t="n">
        <v>30</v>
      </c>
      <c r="J286" s="313" t="s">
        <v>1651</v>
      </c>
      <c r="K286" s="98" t="n">
        <f aca="false">I286*H286</f>
        <v>90000</v>
      </c>
      <c r="L286" s="411" t="n">
        <v>42000</v>
      </c>
      <c r="M286" s="392" t="n">
        <f aca="false">L286/K286</f>
        <v>0.466666666666667</v>
      </c>
      <c r="N286" s="466" t="n">
        <f aca="false">I286*M286</f>
        <v>14</v>
      </c>
      <c r="O286" s="461" t="n">
        <v>3000</v>
      </c>
      <c r="P286" s="462" t="n">
        <f aca="false">H286-O286</f>
        <v>0</v>
      </c>
      <c r="Q286" s="463" t="n">
        <f aca="false">O286*I286</f>
        <v>90000</v>
      </c>
      <c r="R286" s="48" t="n">
        <f aca="false">K286-Q286</f>
        <v>0</v>
      </c>
      <c r="S286" s="467"/>
      <c r="T286" s="2" t="s">
        <v>1711</v>
      </c>
      <c r="V286" s="464"/>
      <c r="W286" s="464"/>
      <c r="X286" s="464"/>
      <c r="Y286" s="464"/>
      <c r="Z286" s="464"/>
      <c r="AA286" s="464"/>
      <c r="AB286" s="464"/>
      <c r="AC286" s="464"/>
      <c r="AD286" s="464"/>
      <c r="AE286" s="464"/>
      <c r="AF286" s="464"/>
      <c r="AG286" s="464"/>
      <c r="AH286" s="465"/>
      <c r="AI286" s="464"/>
    </row>
    <row r="287" customFormat="false" ht="15" hidden="false" customHeight="true" outlineLevel="0" collapsed="false">
      <c r="A287" s="455" t="s">
        <v>1753</v>
      </c>
      <c r="C287" s="456" t="n">
        <v>45478</v>
      </c>
      <c r="D287" s="456"/>
      <c r="E287" s="323" t="n">
        <v>19</v>
      </c>
      <c r="F287" s="323" t="s">
        <v>175</v>
      </c>
      <c r="G287" s="323" t="s">
        <v>11</v>
      </c>
      <c r="H287" s="98" t="n">
        <v>4005</v>
      </c>
      <c r="I287" s="457" t="n">
        <v>14</v>
      </c>
      <c r="J287" s="313" t="s">
        <v>1651</v>
      </c>
      <c r="K287" s="98" t="n">
        <f aca="false">I287*H287</f>
        <v>56070</v>
      </c>
      <c r="L287" s="411" t="n">
        <v>210262.5</v>
      </c>
      <c r="M287" s="392" t="n">
        <f aca="false">L287/K287</f>
        <v>3.75</v>
      </c>
      <c r="N287" s="466" t="n">
        <f aca="false">I287*M287</f>
        <v>52.5</v>
      </c>
      <c r="O287" s="461" t="n">
        <v>4005</v>
      </c>
      <c r="P287" s="462" t="n">
        <f aca="false">H287-O287</f>
        <v>0</v>
      </c>
      <c r="Q287" s="463" t="n">
        <f aca="false">O287*I287</f>
        <v>56070</v>
      </c>
      <c r="R287" s="48" t="n">
        <f aca="false">K287-Q287</f>
        <v>0</v>
      </c>
      <c r="S287" s="467"/>
      <c r="T287" s="2" t="s">
        <v>1711</v>
      </c>
      <c r="V287" s="464"/>
      <c r="W287" s="464"/>
      <c r="X287" s="464"/>
      <c r="Y287" s="464"/>
      <c r="Z287" s="464"/>
      <c r="AA287" s="464"/>
      <c r="AB287" s="464"/>
      <c r="AC287" s="464"/>
      <c r="AD287" s="464"/>
      <c r="AE287" s="464"/>
      <c r="AF287" s="464"/>
      <c r="AG287" s="464"/>
      <c r="AH287" s="465"/>
      <c r="AI287" s="464"/>
    </row>
    <row r="288" customFormat="false" ht="15" hidden="false" customHeight="true" outlineLevel="0" collapsed="false">
      <c r="A288" s="455" t="s">
        <v>1753</v>
      </c>
      <c r="C288" s="456" t="n">
        <v>45478</v>
      </c>
      <c r="D288" s="456"/>
      <c r="E288" s="323" t="n">
        <v>19</v>
      </c>
      <c r="F288" s="323" t="s">
        <v>175</v>
      </c>
      <c r="G288" s="323" t="s">
        <v>15</v>
      </c>
      <c r="H288" s="98" t="n">
        <v>6000</v>
      </c>
      <c r="I288" s="457" t="n">
        <v>22.5</v>
      </c>
      <c r="J288" s="313" t="s">
        <v>1651</v>
      </c>
      <c r="K288" s="98" t="n">
        <f aca="false">I288*H288</f>
        <v>135000</v>
      </c>
      <c r="L288" s="411" t="n">
        <v>93000</v>
      </c>
      <c r="M288" s="392" t="n">
        <f aca="false">L288/K288</f>
        <v>0.688888888888889</v>
      </c>
      <c r="N288" s="466" t="n">
        <f aca="false">I288*M288</f>
        <v>15.5</v>
      </c>
      <c r="O288" s="461" t="n">
        <v>6000</v>
      </c>
      <c r="P288" s="462" t="n">
        <f aca="false">H288-O288</f>
        <v>0</v>
      </c>
      <c r="Q288" s="463" t="n">
        <f aca="false">O288*I288</f>
        <v>135000</v>
      </c>
      <c r="R288" s="48" t="n">
        <f aca="false">K288-Q288</f>
        <v>0</v>
      </c>
      <c r="S288" s="467"/>
      <c r="T288" s="2" t="s">
        <v>1711</v>
      </c>
      <c r="V288" s="464"/>
      <c r="W288" s="464"/>
      <c r="X288" s="464"/>
      <c r="Y288" s="464"/>
      <c r="Z288" s="464"/>
      <c r="AA288" s="464"/>
      <c r="AB288" s="464"/>
      <c r="AC288" s="464"/>
      <c r="AD288" s="464"/>
      <c r="AE288" s="464"/>
      <c r="AF288" s="464"/>
      <c r="AG288" s="464"/>
      <c r="AH288" s="465"/>
      <c r="AI288" s="464"/>
    </row>
    <row r="289" customFormat="false" ht="15" hidden="false" customHeight="true" outlineLevel="0" collapsed="false">
      <c r="A289" s="455" t="s">
        <v>1753</v>
      </c>
      <c r="C289" s="456" t="n">
        <v>45478</v>
      </c>
      <c r="D289" s="456"/>
      <c r="E289" s="323" t="n">
        <v>19</v>
      </c>
      <c r="F289" s="323" t="s">
        <v>175</v>
      </c>
      <c r="G289" s="323" t="s">
        <v>13</v>
      </c>
      <c r="H289" s="98" t="n">
        <v>8010</v>
      </c>
      <c r="I289" s="457" t="n">
        <v>22.5</v>
      </c>
      <c r="J289" s="313" t="s">
        <v>1651</v>
      </c>
      <c r="K289" s="199" t="n">
        <f aca="false">I289*H289</f>
        <v>180225</v>
      </c>
      <c r="L289" s="411" t="n">
        <v>89712</v>
      </c>
      <c r="M289" s="392" t="n">
        <f aca="false">L289/K289</f>
        <v>0.497777777777778</v>
      </c>
      <c r="N289" s="466" t="n">
        <f aca="false">I289*M289</f>
        <v>11.2</v>
      </c>
      <c r="O289" s="461" t="n">
        <v>8010</v>
      </c>
      <c r="P289" s="462" t="n">
        <f aca="false">H289-O289</f>
        <v>0</v>
      </c>
      <c r="Q289" s="463" t="n">
        <f aca="false">O289*I289</f>
        <v>180225</v>
      </c>
      <c r="R289" s="48" t="n">
        <f aca="false">K289-Q289</f>
        <v>0</v>
      </c>
      <c r="S289" s="467"/>
      <c r="T289" s="2" t="s">
        <v>1711</v>
      </c>
      <c r="V289" s="464"/>
      <c r="W289" s="464"/>
      <c r="X289" s="464"/>
      <c r="Y289" s="464"/>
      <c r="Z289" s="464"/>
      <c r="AA289" s="464"/>
      <c r="AB289" s="464"/>
      <c r="AC289" s="464"/>
      <c r="AD289" s="464"/>
      <c r="AE289" s="464"/>
      <c r="AF289" s="464"/>
      <c r="AG289" s="464"/>
      <c r="AH289" s="465"/>
      <c r="AI289" s="464"/>
    </row>
    <row r="290" customFormat="false" ht="15" hidden="false" customHeight="true" outlineLevel="0" collapsed="false">
      <c r="A290" s="455" t="s">
        <v>1753</v>
      </c>
      <c r="C290" s="456" t="n">
        <v>45478</v>
      </c>
      <c r="D290" s="456"/>
      <c r="E290" s="323" t="n">
        <v>19</v>
      </c>
      <c r="F290" s="323" t="s">
        <v>175</v>
      </c>
      <c r="G290" s="323" t="s">
        <v>42</v>
      </c>
      <c r="H290" s="98" t="n">
        <v>2025</v>
      </c>
      <c r="I290" s="457" t="n">
        <v>60</v>
      </c>
      <c r="J290" s="313" t="s">
        <v>1653</v>
      </c>
      <c r="K290" s="98" t="n">
        <f aca="false">I290*H290</f>
        <v>121500</v>
      </c>
      <c r="L290" s="411" t="n">
        <v>40500</v>
      </c>
      <c r="M290" s="392" t="n">
        <f aca="false">L290/K290</f>
        <v>0.333333333333333</v>
      </c>
      <c r="N290" s="466" t="n">
        <f aca="false">I290*M290</f>
        <v>20</v>
      </c>
      <c r="O290" s="461" t="n">
        <v>2025</v>
      </c>
      <c r="P290" s="462" t="n">
        <f aca="false">H290-O290</f>
        <v>0</v>
      </c>
      <c r="Q290" s="463" t="n">
        <f aca="false">O290*I290</f>
        <v>121500</v>
      </c>
      <c r="R290" s="48" t="n">
        <f aca="false">K290-Q290</f>
        <v>0</v>
      </c>
      <c r="S290" s="467"/>
      <c r="T290" s="2" t="s">
        <v>1711</v>
      </c>
      <c r="V290" s="464"/>
      <c r="W290" s="464"/>
      <c r="X290" s="464"/>
      <c r="Y290" s="464"/>
      <c r="Z290" s="464"/>
      <c r="AA290" s="464"/>
      <c r="AB290" s="464"/>
      <c r="AC290" s="464"/>
      <c r="AD290" s="464"/>
      <c r="AE290" s="464"/>
      <c r="AF290" s="464"/>
      <c r="AG290" s="464"/>
      <c r="AH290" s="465"/>
      <c r="AI290" s="464"/>
    </row>
    <row r="291" customFormat="false" ht="15" hidden="false" customHeight="true" outlineLevel="0" collapsed="false">
      <c r="A291" s="455" t="s">
        <v>1753</v>
      </c>
      <c r="C291" s="456" t="n">
        <v>45478</v>
      </c>
      <c r="D291" s="456"/>
      <c r="E291" s="323" t="n">
        <v>19</v>
      </c>
      <c r="F291" s="323" t="s">
        <v>175</v>
      </c>
      <c r="G291" s="323" t="s">
        <v>5</v>
      </c>
      <c r="H291" s="98" t="n">
        <v>3000</v>
      </c>
      <c r="I291" s="457" t="n">
        <v>60</v>
      </c>
      <c r="J291" s="313" t="s">
        <v>1653</v>
      </c>
      <c r="K291" s="98" t="n">
        <f aca="false">I291*H291</f>
        <v>180000</v>
      </c>
      <c r="L291" s="411" t="n">
        <v>54000</v>
      </c>
      <c r="M291" s="392" t="n">
        <f aca="false">L291/K291</f>
        <v>0.3</v>
      </c>
      <c r="N291" s="466" t="n">
        <f aca="false">I291*M291</f>
        <v>18</v>
      </c>
      <c r="O291" s="461" t="n">
        <v>3000</v>
      </c>
      <c r="P291" s="462" t="n">
        <f aca="false">H291-O291</f>
        <v>0</v>
      </c>
      <c r="Q291" s="463" t="n">
        <f aca="false">O291*I291</f>
        <v>180000</v>
      </c>
      <c r="R291" s="48" t="n">
        <f aca="false">K291-Q291</f>
        <v>0</v>
      </c>
      <c r="S291" s="467"/>
      <c r="T291" s="2" t="s">
        <v>1711</v>
      </c>
      <c r="V291" s="464"/>
      <c r="W291" s="464"/>
      <c r="X291" s="464"/>
      <c r="Y291" s="464"/>
      <c r="Z291" s="464"/>
      <c r="AA291" s="464"/>
      <c r="AB291" s="464"/>
      <c r="AC291" s="464"/>
      <c r="AD291" s="464"/>
      <c r="AE291" s="464"/>
      <c r="AF291" s="464"/>
      <c r="AG291" s="464"/>
      <c r="AH291" s="465"/>
      <c r="AI291" s="464"/>
    </row>
    <row r="292" customFormat="false" ht="15" hidden="false" customHeight="true" outlineLevel="0" collapsed="false">
      <c r="A292" s="455" t="s">
        <v>1753</v>
      </c>
      <c r="B292" s="44" t="s">
        <v>1734</v>
      </c>
      <c r="C292" s="456" t="n">
        <v>45478</v>
      </c>
      <c r="D292" s="456"/>
      <c r="E292" s="323" t="n">
        <v>19</v>
      </c>
      <c r="F292" s="323" t="s">
        <v>175</v>
      </c>
      <c r="G292" s="323" t="s">
        <v>17</v>
      </c>
      <c r="H292" s="98" t="n">
        <v>3495</v>
      </c>
      <c r="I292" s="457" t="n">
        <v>40</v>
      </c>
      <c r="J292" s="313" t="s">
        <v>1653</v>
      </c>
      <c r="K292" s="98" t="n">
        <f aca="false">I292*H292</f>
        <v>139800</v>
      </c>
      <c r="L292" s="411" t="n">
        <v>48930</v>
      </c>
      <c r="M292" s="392" t="n">
        <f aca="false">L292/K292</f>
        <v>0.35</v>
      </c>
      <c r="N292" s="466" t="n">
        <f aca="false">I292*M292</f>
        <v>14</v>
      </c>
      <c r="O292" s="461" t="n">
        <v>3495</v>
      </c>
      <c r="P292" s="462" t="n">
        <f aca="false">H292-O292</f>
        <v>0</v>
      </c>
      <c r="Q292" s="463" t="n">
        <f aca="false">O292*I292</f>
        <v>139800</v>
      </c>
      <c r="R292" s="48" t="n">
        <f aca="false">K292-Q292</f>
        <v>0</v>
      </c>
      <c r="S292" s="467"/>
      <c r="T292" s="2" t="s">
        <v>1711</v>
      </c>
      <c r="V292" s="464"/>
      <c r="W292" s="464"/>
      <c r="X292" s="464"/>
      <c r="Y292" s="464"/>
      <c r="Z292" s="464"/>
      <c r="AA292" s="464"/>
      <c r="AB292" s="464"/>
      <c r="AC292" s="464"/>
      <c r="AD292" s="464"/>
      <c r="AE292" s="464"/>
      <c r="AF292" s="464"/>
      <c r="AG292" s="464"/>
      <c r="AH292" s="465"/>
      <c r="AI292" s="464"/>
    </row>
    <row r="293" customFormat="false" ht="15" hidden="false" customHeight="true" outlineLevel="0" collapsed="false">
      <c r="A293" s="455" t="s">
        <v>1753</v>
      </c>
      <c r="C293" s="456" t="n">
        <v>45478</v>
      </c>
      <c r="D293" s="456"/>
      <c r="E293" s="323" t="n">
        <v>19</v>
      </c>
      <c r="F293" s="323" t="s">
        <v>175</v>
      </c>
      <c r="G293" s="323" t="s">
        <v>15</v>
      </c>
      <c r="H293" s="98" t="n">
        <v>4025</v>
      </c>
      <c r="I293" s="457" t="n">
        <v>40</v>
      </c>
      <c r="J293" s="313" t="s">
        <v>1653</v>
      </c>
      <c r="K293" s="98" t="n">
        <f aca="false">I293*H293</f>
        <v>161000</v>
      </c>
      <c r="L293" s="411" t="n">
        <v>74462.5</v>
      </c>
      <c r="M293" s="392" t="n">
        <f aca="false">L293/K293</f>
        <v>0.4625</v>
      </c>
      <c r="N293" s="466" t="n">
        <f aca="false">I293*M293</f>
        <v>18.5</v>
      </c>
      <c r="O293" s="461" t="n">
        <v>4025</v>
      </c>
      <c r="P293" s="462" t="n">
        <f aca="false">H293-O293</f>
        <v>0</v>
      </c>
      <c r="Q293" s="463" t="n">
        <f aca="false">O293*I293</f>
        <v>161000</v>
      </c>
      <c r="R293" s="48" t="n">
        <f aca="false">K293-Q293</f>
        <v>0</v>
      </c>
      <c r="S293" s="467"/>
      <c r="T293" s="2" t="s">
        <v>1711</v>
      </c>
      <c r="V293" s="464"/>
      <c r="W293" s="464"/>
      <c r="X293" s="464"/>
      <c r="Y293" s="464"/>
      <c r="Z293" s="464"/>
      <c r="AA293" s="464"/>
      <c r="AB293" s="464"/>
      <c r="AC293" s="464"/>
      <c r="AD293" s="464"/>
      <c r="AE293" s="464"/>
      <c r="AF293" s="464"/>
      <c r="AG293" s="464"/>
      <c r="AH293" s="465"/>
      <c r="AI293" s="464"/>
    </row>
    <row r="294" customFormat="false" ht="15" hidden="false" customHeight="true" outlineLevel="0" collapsed="false">
      <c r="A294" s="455" t="s">
        <v>1753</v>
      </c>
      <c r="C294" s="456" t="n">
        <v>45478</v>
      </c>
      <c r="D294" s="456"/>
      <c r="E294" s="323" t="n">
        <v>19</v>
      </c>
      <c r="F294" s="323" t="s">
        <v>175</v>
      </c>
      <c r="G294" s="323" t="s">
        <v>13</v>
      </c>
      <c r="H294" s="98" t="n">
        <v>5500</v>
      </c>
      <c r="I294" s="457" t="n">
        <v>40</v>
      </c>
      <c r="J294" s="313" t="s">
        <v>1653</v>
      </c>
      <c r="K294" s="98" t="n">
        <f aca="false">I294*H294</f>
        <v>220000</v>
      </c>
      <c r="L294" s="411" t="n">
        <v>61600</v>
      </c>
      <c r="M294" s="392" t="n">
        <f aca="false">L294/K294</f>
        <v>0.28</v>
      </c>
      <c r="N294" s="466" t="n">
        <f aca="false">I294*M294</f>
        <v>11.2</v>
      </c>
      <c r="O294" s="461" t="n">
        <v>5500</v>
      </c>
      <c r="P294" s="462" t="n">
        <f aca="false">H294-O294</f>
        <v>0</v>
      </c>
      <c r="Q294" s="463" t="n">
        <f aca="false">O294*I294</f>
        <v>220000</v>
      </c>
      <c r="R294" s="48" t="n">
        <f aca="false">K294-Q294</f>
        <v>0</v>
      </c>
      <c r="S294" s="467"/>
      <c r="T294" s="2" t="s">
        <v>1711</v>
      </c>
      <c r="V294" s="464"/>
      <c r="W294" s="464"/>
      <c r="X294" s="464"/>
      <c r="Y294" s="464"/>
      <c r="Z294" s="464"/>
      <c r="AA294" s="464"/>
      <c r="AB294" s="464"/>
      <c r="AC294" s="464"/>
      <c r="AD294" s="464"/>
      <c r="AE294" s="464"/>
      <c r="AF294" s="464"/>
      <c r="AG294" s="464"/>
      <c r="AH294" s="465"/>
      <c r="AI294" s="464"/>
    </row>
    <row r="295" customFormat="false" ht="15" hidden="false" customHeight="true" outlineLevel="0" collapsed="false">
      <c r="A295" s="455" t="s">
        <v>1753</v>
      </c>
      <c r="C295" s="456" t="n">
        <v>45478</v>
      </c>
      <c r="D295" s="456"/>
      <c r="E295" s="57" t="n">
        <v>19</v>
      </c>
      <c r="F295" s="323" t="s">
        <v>175</v>
      </c>
      <c r="G295" s="323" t="s">
        <v>21</v>
      </c>
      <c r="H295" s="98" t="n">
        <v>5000</v>
      </c>
      <c r="I295" s="457" t="n">
        <v>1</v>
      </c>
      <c r="J295" s="313" t="s">
        <v>1653</v>
      </c>
      <c r="K295" s="98" t="n">
        <f aca="false">I295*H295</f>
        <v>5000</v>
      </c>
      <c r="L295" s="411" t="n">
        <v>26000</v>
      </c>
      <c r="M295" s="392" t="n">
        <f aca="false">L295/K295</f>
        <v>5.2</v>
      </c>
      <c r="N295" s="466" t="n">
        <f aca="false">I295*M295</f>
        <v>5.2</v>
      </c>
      <c r="O295" s="461" t="n">
        <v>5000</v>
      </c>
      <c r="P295" s="462" t="n">
        <f aca="false">H295-O295</f>
        <v>0</v>
      </c>
      <c r="Q295" s="463" t="n">
        <f aca="false">O295*I295</f>
        <v>5000</v>
      </c>
      <c r="R295" s="48" t="n">
        <f aca="false">K295-Q295</f>
        <v>0</v>
      </c>
      <c r="S295" s="467"/>
      <c r="T295" s="2" t="s">
        <v>1711</v>
      </c>
      <c r="V295" s="464"/>
      <c r="W295" s="464"/>
      <c r="X295" s="464"/>
      <c r="Y295" s="464"/>
      <c r="Z295" s="464"/>
      <c r="AA295" s="464"/>
      <c r="AB295" s="464"/>
      <c r="AC295" s="464"/>
      <c r="AD295" s="464"/>
      <c r="AE295" s="464"/>
      <c r="AF295" s="464"/>
      <c r="AG295" s="464"/>
      <c r="AH295" s="465"/>
      <c r="AI295" s="464"/>
    </row>
    <row r="296" customFormat="false" ht="15" hidden="false" customHeight="true" outlineLevel="0" collapsed="false">
      <c r="A296" s="455" t="s">
        <v>1753</v>
      </c>
      <c r="C296" s="456" t="n">
        <v>45478</v>
      </c>
      <c r="D296" s="456"/>
      <c r="E296" s="323" t="n">
        <v>20</v>
      </c>
      <c r="F296" s="57" t="s">
        <v>175</v>
      </c>
      <c r="G296" s="323" t="s">
        <v>19</v>
      </c>
      <c r="H296" s="98" t="n">
        <v>1005</v>
      </c>
      <c r="I296" s="457" t="n">
        <v>22.5</v>
      </c>
      <c r="J296" s="313" t="s">
        <v>1651</v>
      </c>
      <c r="K296" s="99" t="n">
        <f aca="false">I296*H296</f>
        <v>22612.5</v>
      </c>
      <c r="L296" s="411" t="n">
        <v>19095</v>
      </c>
      <c r="M296" s="392" t="n">
        <f aca="false">L296/K296</f>
        <v>0.844444444444444</v>
      </c>
      <c r="N296" s="466" t="n">
        <f aca="false">I296*M296</f>
        <v>19</v>
      </c>
      <c r="O296" s="461" t="n">
        <v>1005</v>
      </c>
      <c r="P296" s="462" t="n">
        <f aca="false">H296-O296</f>
        <v>0</v>
      </c>
      <c r="Q296" s="463" t="n">
        <f aca="false">O296*I296</f>
        <v>22612.5</v>
      </c>
      <c r="R296" s="48" t="n">
        <f aca="false">K296-Q296</f>
        <v>0</v>
      </c>
      <c r="S296" s="467"/>
      <c r="T296" s="2" t="s">
        <v>1711</v>
      </c>
      <c r="V296" s="464"/>
      <c r="W296" s="464"/>
      <c r="X296" s="464"/>
      <c r="Y296" s="464"/>
      <c r="Z296" s="464"/>
      <c r="AA296" s="464"/>
      <c r="AB296" s="464"/>
      <c r="AC296" s="464"/>
      <c r="AD296" s="464"/>
      <c r="AE296" s="464"/>
      <c r="AF296" s="464"/>
      <c r="AG296" s="464"/>
      <c r="AH296" s="465"/>
      <c r="AI296" s="464"/>
    </row>
    <row r="297" customFormat="false" ht="15" hidden="false" customHeight="true" outlineLevel="0" collapsed="false">
      <c r="A297" s="455" t="s">
        <v>1753</v>
      </c>
      <c r="C297" s="456" t="n">
        <v>45478</v>
      </c>
      <c r="D297" s="456"/>
      <c r="E297" s="323" t="n">
        <v>20</v>
      </c>
      <c r="F297" s="57" t="s">
        <v>175</v>
      </c>
      <c r="G297" s="323" t="s">
        <v>17</v>
      </c>
      <c r="H297" s="98" t="n">
        <v>1005</v>
      </c>
      <c r="I297" s="457" t="n">
        <v>22.5</v>
      </c>
      <c r="J297" s="313" t="s">
        <v>1651</v>
      </c>
      <c r="K297" s="98" t="n">
        <f aca="false">I297*H297</f>
        <v>22612.5</v>
      </c>
      <c r="L297" s="411" t="n">
        <v>13065</v>
      </c>
      <c r="M297" s="392" t="n">
        <f aca="false">L297/K297</f>
        <v>0.577777777777778</v>
      </c>
      <c r="N297" s="466" t="n">
        <f aca="false">I297*M297</f>
        <v>13</v>
      </c>
      <c r="O297" s="461" t="n">
        <v>1005</v>
      </c>
      <c r="P297" s="462" t="n">
        <f aca="false">H297-O297</f>
        <v>0</v>
      </c>
      <c r="Q297" s="463" t="n">
        <f aca="false">O297*I297</f>
        <v>22612.5</v>
      </c>
      <c r="R297" s="48" t="n">
        <f aca="false">K297-Q297</f>
        <v>0</v>
      </c>
      <c r="S297" s="467"/>
      <c r="T297" s="2" t="s">
        <v>1711</v>
      </c>
      <c r="V297" s="464"/>
      <c r="W297" s="464"/>
      <c r="X297" s="464"/>
      <c r="Y297" s="464"/>
      <c r="Z297" s="464"/>
      <c r="AA297" s="464"/>
      <c r="AB297" s="464"/>
      <c r="AC297" s="464"/>
      <c r="AD297" s="464"/>
      <c r="AE297" s="464"/>
      <c r="AF297" s="464"/>
      <c r="AG297" s="464"/>
      <c r="AH297" s="465"/>
      <c r="AI297" s="464"/>
    </row>
    <row r="298" customFormat="false" ht="15" hidden="false" customHeight="true" outlineLevel="0" collapsed="false">
      <c r="A298" s="455" t="s">
        <v>1753</v>
      </c>
      <c r="C298" s="456" t="n">
        <v>45478</v>
      </c>
      <c r="D298" s="456"/>
      <c r="E298" s="323" t="n">
        <v>20</v>
      </c>
      <c r="F298" s="57" t="s">
        <v>175</v>
      </c>
      <c r="G298" s="323" t="s">
        <v>11</v>
      </c>
      <c r="H298" s="98" t="n">
        <v>2010</v>
      </c>
      <c r="I298" s="457" t="n">
        <v>14</v>
      </c>
      <c r="J298" s="313" t="s">
        <v>1651</v>
      </c>
      <c r="K298" s="98" t="n">
        <f aca="false">I298*H298</f>
        <v>28140</v>
      </c>
      <c r="L298" s="411" t="n">
        <v>105525</v>
      </c>
      <c r="M298" s="392" t="n">
        <f aca="false">L298/K298</f>
        <v>3.75</v>
      </c>
      <c r="N298" s="466" t="n">
        <f aca="false">I298*M298</f>
        <v>52.5</v>
      </c>
      <c r="O298" s="461" t="n">
        <v>2010</v>
      </c>
      <c r="P298" s="462" t="n">
        <f aca="false">H298-O298</f>
        <v>0</v>
      </c>
      <c r="Q298" s="463" t="n">
        <f aca="false">O298*I298</f>
        <v>28140</v>
      </c>
      <c r="R298" s="48" t="n">
        <f aca="false">K298-Q298</f>
        <v>0</v>
      </c>
      <c r="S298" s="467"/>
      <c r="T298" s="2" t="s">
        <v>1711</v>
      </c>
      <c r="V298" s="464"/>
      <c r="W298" s="464"/>
      <c r="X298" s="464"/>
      <c r="Y298" s="464"/>
      <c r="Z298" s="464"/>
      <c r="AA298" s="464"/>
      <c r="AB298" s="464"/>
      <c r="AC298" s="464"/>
      <c r="AD298" s="464"/>
      <c r="AE298" s="464"/>
      <c r="AF298" s="464"/>
      <c r="AG298" s="464"/>
      <c r="AH298" s="465"/>
      <c r="AI298" s="464"/>
    </row>
    <row r="299" customFormat="false" ht="15" hidden="false" customHeight="true" outlineLevel="0" collapsed="false">
      <c r="A299" s="455" t="s">
        <v>1753</v>
      </c>
      <c r="C299" s="456" t="n">
        <v>45478</v>
      </c>
      <c r="D299" s="456"/>
      <c r="E299" s="323" t="n">
        <v>20</v>
      </c>
      <c r="F299" s="57" t="s">
        <v>175</v>
      </c>
      <c r="G299" s="323" t="s">
        <v>12</v>
      </c>
      <c r="H299" s="98" t="n">
        <v>2010</v>
      </c>
      <c r="I299" s="457" t="n">
        <v>18</v>
      </c>
      <c r="J299" s="313" t="s">
        <v>1651</v>
      </c>
      <c r="K299" s="98" t="n">
        <f aca="false">I299*H299</f>
        <v>36180</v>
      </c>
      <c r="L299" s="411" t="n">
        <v>99897</v>
      </c>
      <c r="M299" s="392" t="n">
        <f aca="false">L299/K299</f>
        <v>2.76111111111111</v>
      </c>
      <c r="N299" s="466" t="n">
        <f aca="false">I299*M299</f>
        <v>49.7</v>
      </c>
      <c r="O299" s="461" t="n">
        <v>2010</v>
      </c>
      <c r="P299" s="462" t="n">
        <f aca="false">H299-O299</f>
        <v>0</v>
      </c>
      <c r="Q299" s="463" t="n">
        <f aca="false">O299*I299</f>
        <v>36180</v>
      </c>
      <c r="R299" s="48" t="n">
        <f aca="false">K299-Q299</f>
        <v>0</v>
      </c>
      <c r="S299" s="467"/>
      <c r="T299" s="2" t="s">
        <v>1711</v>
      </c>
      <c r="V299" s="464"/>
      <c r="W299" s="464"/>
      <c r="X299" s="464"/>
      <c r="Y299" s="464"/>
      <c r="Z299" s="464"/>
      <c r="AA299" s="464"/>
      <c r="AB299" s="464"/>
      <c r="AC299" s="464"/>
      <c r="AD299" s="464"/>
      <c r="AE299" s="464"/>
      <c r="AF299" s="464"/>
      <c r="AG299" s="464"/>
      <c r="AH299" s="465"/>
      <c r="AI299" s="464"/>
    </row>
    <row r="300" customFormat="false" ht="15" hidden="false" customHeight="true" outlineLevel="0" collapsed="false">
      <c r="A300" s="455" t="s">
        <v>1753</v>
      </c>
      <c r="C300" s="456" t="n">
        <v>45478</v>
      </c>
      <c r="D300" s="456"/>
      <c r="E300" s="323" t="n">
        <v>20</v>
      </c>
      <c r="F300" s="57" t="s">
        <v>175</v>
      </c>
      <c r="G300" s="323" t="s">
        <v>7</v>
      </c>
      <c r="H300" s="98" t="n">
        <v>2010</v>
      </c>
      <c r="I300" s="457" t="n">
        <v>25.71</v>
      </c>
      <c r="J300" s="313" t="s">
        <v>1651</v>
      </c>
      <c r="K300" s="98" t="n">
        <f aca="false">I300*H300</f>
        <v>51677.1</v>
      </c>
      <c r="L300" s="411" t="n">
        <v>23718</v>
      </c>
      <c r="M300" s="392" t="n">
        <f aca="false">L300/K300</f>
        <v>0.458965383119409</v>
      </c>
      <c r="N300" s="466" t="n">
        <f aca="false">I300*M300</f>
        <v>11.8</v>
      </c>
      <c r="O300" s="461" t="n">
        <v>2010</v>
      </c>
      <c r="P300" s="462" t="n">
        <f aca="false">H300-O300</f>
        <v>0</v>
      </c>
      <c r="Q300" s="463" t="n">
        <f aca="false">O300*I300</f>
        <v>51677.1</v>
      </c>
      <c r="R300" s="48" t="n">
        <f aca="false">K300-Q300</f>
        <v>0</v>
      </c>
      <c r="S300" s="467"/>
      <c r="T300" s="2" t="s">
        <v>1711</v>
      </c>
      <c r="V300" s="464"/>
      <c r="W300" s="464"/>
      <c r="X300" s="464"/>
      <c r="Y300" s="464"/>
      <c r="Z300" s="464"/>
      <c r="AA300" s="464"/>
      <c r="AB300" s="464"/>
      <c r="AC300" s="464"/>
      <c r="AD300" s="464"/>
      <c r="AE300" s="464"/>
      <c r="AF300" s="464"/>
      <c r="AG300" s="464"/>
      <c r="AH300" s="465"/>
      <c r="AI300" s="464"/>
    </row>
    <row r="301" customFormat="false" ht="15" hidden="false" customHeight="true" outlineLevel="0" collapsed="false">
      <c r="A301" s="455" t="s">
        <v>1753</v>
      </c>
      <c r="C301" s="456" t="n">
        <v>45478</v>
      </c>
      <c r="D301" s="456"/>
      <c r="E301" s="323" t="n">
        <v>20</v>
      </c>
      <c r="F301" s="57" t="s">
        <v>175</v>
      </c>
      <c r="G301" s="323" t="s">
        <v>15</v>
      </c>
      <c r="H301" s="98" t="n">
        <v>1005</v>
      </c>
      <c r="I301" s="457" t="n">
        <v>22.5</v>
      </c>
      <c r="J301" s="313" t="s">
        <v>1651</v>
      </c>
      <c r="K301" s="98" t="n">
        <f aca="false">I301*H301</f>
        <v>22612.5</v>
      </c>
      <c r="L301" s="411" t="n">
        <v>38827.5</v>
      </c>
      <c r="M301" s="392" t="n">
        <f aca="false">L301/K301</f>
        <v>1.71708126036484</v>
      </c>
      <c r="N301" s="466" t="n">
        <f aca="false">I301*M301</f>
        <v>38.634328358209</v>
      </c>
      <c r="O301" s="461" t="n">
        <v>1005</v>
      </c>
      <c r="P301" s="462" t="n">
        <f aca="false">H301-O301</f>
        <v>0</v>
      </c>
      <c r="Q301" s="463" t="n">
        <f aca="false">O301*I301</f>
        <v>22612.5</v>
      </c>
      <c r="R301" s="48" t="n">
        <f aca="false">K301-Q301</f>
        <v>0</v>
      </c>
      <c r="S301" s="467"/>
      <c r="T301" s="2" t="s">
        <v>1711</v>
      </c>
      <c r="V301" s="464"/>
      <c r="W301" s="464"/>
      <c r="X301" s="464"/>
      <c r="Y301" s="464"/>
      <c r="Z301" s="464"/>
      <c r="AA301" s="464"/>
      <c r="AB301" s="464"/>
      <c r="AC301" s="464"/>
      <c r="AD301" s="464"/>
      <c r="AE301" s="464"/>
      <c r="AF301" s="464"/>
      <c r="AG301" s="464"/>
      <c r="AH301" s="465"/>
      <c r="AI301" s="464"/>
    </row>
    <row r="302" customFormat="false" ht="15" hidden="false" customHeight="true" outlineLevel="0" collapsed="false">
      <c r="A302" s="455" t="s">
        <v>1753</v>
      </c>
      <c r="C302" s="456" t="n">
        <v>45478</v>
      </c>
      <c r="D302" s="456"/>
      <c r="E302" s="323" t="n">
        <v>20</v>
      </c>
      <c r="F302" s="57" t="s">
        <v>175</v>
      </c>
      <c r="G302" s="323" t="s">
        <v>13</v>
      </c>
      <c r="H302" s="98" t="n">
        <v>3000</v>
      </c>
      <c r="I302" s="457" t="n">
        <v>22.5</v>
      </c>
      <c r="J302" s="313" t="s">
        <v>1651</v>
      </c>
      <c r="K302" s="98" t="n">
        <f aca="false">I302*H302</f>
        <v>67500</v>
      </c>
      <c r="L302" s="411" t="n">
        <v>33600</v>
      </c>
      <c r="M302" s="392" t="n">
        <f aca="false">L302/K302</f>
        <v>0.497777777777778</v>
      </c>
      <c r="N302" s="466" t="n">
        <f aca="false">I302*M302</f>
        <v>11.2</v>
      </c>
      <c r="O302" s="461" t="n">
        <v>3000</v>
      </c>
      <c r="P302" s="462" t="n">
        <f aca="false">H302-O302</f>
        <v>0</v>
      </c>
      <c r="Q302" s="463" t="n">
        <f aca="false">O302*I302</f>
        <v>67500</v>
      </c>
      <c r="R302" s="48" t="n">
        <f aca="false">K302-Q302</f>
        <v>0</v>
      </c>
      <c r="S302" s="467"/>
      <c r="T302" s="2" t="s">
        <v>1711</v>
      </c>
      <c r="V302" s="464"/>
      <c r="W302" s="464"/>
      <c r="X302" s="464"/>
      <c r="Y302" s="464"/>
      <c r="Z302" s="464"/>
      <c r="AA302" s="464"/>
      <c r="AB302" s="464"/>
      <c r="AC302" s="464"/>
      <c r="AD302" s="464"/>
      <c r="AE302" s="464"/>
      <c r="AF302" s="464"/>
      <c r="AG302" s="464"/>
      <c r="AH302" s="465"/>
      <c r="AI302" s="464"/>
    </row>
    <row r="303" customFormat="false" ht="15" hidden="false" customHeight="true" outlineLevel="0" collapsed="false">
      <c r="A303" s="455" t="s">
        <v>1753</v>
      </c>
      <c r="C303" s="456" t="n">
        <v>45478</v>
      </c>
      <c r="D303" s="456"/>
      <c r="E303" s="323" t="n">
        <v>20</v>
      </c>
      <c r="F303" s="57" t="s">
        <v>175</v>
      </c>
      <c r="G303" s="323" t="s">
        <v>42</v>
      </c>
      <c r="H303" s="98" t="n">
        <v>3000</v>
      </c>
      <c r="I303" s="457" t="n">
        <v>30</v>
      </c>
      <c r="J303" s="313" t="s">
        <v>1651</v>
      </c>
      <c r="K303" s="98" t="n">
        <f aca="false">I303*H303</f>
        <v>90000</v>
      </c>
      <c r="L303" s="411" t="n">
        <v>42000</v>
      </c>
      <c r="M303" s="392" t="n">
        <f aca="false">L303/K303</f>
        <v>0.466666666666667</v>
      </c>
      <c r="N303" s="466" t="n">
        <f aca="false">I303*M303</f>
        <v>14</v>
      </c>
      <c r="O303" s="461" t="n">
        <v>3000</v>
      </c>
      <c r="P303" s="462" t="n">
        <f aca="false">H303-O303</f>
        <v>0</v>
      </c>
      <c r="Q303" s="463" t="n">
        <f aca="false">O303*I303</f>
        <v>90000</v>
      </c>
      <c r="R303" s="48" t="n">
        <f aca="false">K303-Q303</f>
        <v>0</v>
      </c>
      <c r="S303" s="467"/>
      <c r="T303" s="2" t="s">
        <v>1711</v>
      </c>
      <c r="V303" s="464"/>
      <c r="W303" s="464"/>
      <c r="X303" s="464"/>
      <c r="Y303" s="464"/>
      <c r="Z303" s="464"/>
      <c r="AA303" s="464"/>
      <c r="AB303" s="464"/>
      <c r="AC303" s="464"/>
      <c r="AD303" s="464"/>
      <c r="AE303" s="464"/>
      <c r="AF303" s="464"/>
      <c r="AG303" s="464"/>
      <c r="AH303" s="465"/>
      <c r="AI303" s="464"/>
    </row>
    <row r="304" customFormat="false" ht="15" hidden="false" customHeight="true" outlineLevel="0" collapsed="false">
      <c r="A304" s="455" t="s">
        <v>1753</v>
      </c>
      <c r="B304" s="44" t="s">
        <v>1731</v>
      </c>
      <c r="C304" s="456" t="n">
        <v>45478</v>
      </c>
      <c r="D304" s="456"/>
      <c r="E304" s="323" t="n">
        <v>20</v>
      </c>
      <c r="F304" s="57" t="s">
        <v>175</v>
      </c>
      <c r="G304" s="323" t="s">
        <v>42</v>
      </c>
      <c r="H304" s="98" t="n">
        <v>2025</v>
      </c>
      <c r="I304" s="457" t="n">
        <v>60</v>
      </c>
      <c r="J304" s="313" t="s">
        <v>1653</v>
      </c>
      <c r="K304" s="98" t="n">
        <f aca="false">I304*H304</f>
        <v>121500</v>
      </c>
      <c r="L304" s="411" t="n">
        <v>40500</v>
      </c>
      <c r="M304" s="392" t="n">
        <f aca="false">L304/K304</f>
        <v>0.333333333333333</v>
      </c>
      <c r="N304" s="466" t="n">
        <f aca="false">I304*M304</f>
        <v>20</v>
      </c>
      <c r="O304" s="461" t="n">
        <v>2025</v>
      </c>
      <c r="P304" s="462" t="n">
        <f aca="false">H304-O304</f>
        <v>0</v>
      </c>
      <c r="Q304" s="463" t="n">
        <f aca="false">O304*I304</f>
        <v>121500</v>
      </c>
      <c r="R304" s="48" t="n">
        <f aca="false">K304-Q304</f>
        <v>0</v>
      </c>
      <c r="S304" s="467"/>
      <c r="T304" s="2" t="s">
        <v>1711</v>
      </c>
      <c r="V304" s="464"/>
      <c r="W304" s="464"/>
      <c r="X304" s="464"/>
      <c r="Y304" s="464"/>
      <c r="Z304" s="464"/>
      <c r="AA304" s="464"/>
      <c r="AB304" s="464"/>
      <c r="AC304" s="464"/>
      <c r="AD304" s="464"/>
      <c r="AE304" s="464"/>
      <c r="AF304" s="464"/>
      <c r="AG304" s="464"/>
      <c r="AH304" s="465"/>
      <c r="AI304" s="464"/>
    </row>
    <row r="305" customFormat="false" ht="15" hidden="false" customHeight="true" outlineLevel="0" collapsed="false">
      <c r="A305" s="455" t="s">
        <v>1753</v>
      </c>
      <c r="B305" s="44" t="s">
        <v>1734</v>
      </c>
      <c r="C305" s="456" t="n">
        <v>45478</v>
      </c>
      <c r="D305" s="456"/>
      <c r="E305" s="323" t="n">
        <v>20</v>
      </c>
      <c r="F305" s="57" t="s">
        <v>175</v>
      </c>
      <c r="G305" s="323" t="s">
        <v>15</v>
      </c>
      <c r="H305" s="98" t="n">
        <v>1050</v>
      </c>
      <c r="I305" s="457" t="n">
        <v>40</v>
      </c>
      <c r="J305" s="313" t="s">
        <v>1653</v>
      </c>
      <c r="K305" s="98" t="n">
        <f aca="false">I305*H305</f>
        <v>42000</v>
      </c>
      <c r="L305" s="411" t="n">
        <v>19425</v>
      </c>
      <c r="M305" s="392" t="n">
        <f aca="false">L305/K305</f>
        <v>0.4625</v>
      </c>
      <c r="N305" s="466" t="n">
        <f aca="false">I305*M305</f>
        <v>18.5</v>
      </c>
      <c r="O305" s="461" t="n">
        <v>1050</v>
      </c>
      <c r="P305" s="462" t="n">
        <f aca="false">H305-O305</f>
        <v>0</v>
      </c>
      <c r="Q305" s="463" t="n">
        <f aca="false">O305*I305</f>
        <v>42000</v>
      </c>
      <c r="R305" s="48" t="n">
        <f aca="false">K305-Q305</f>
        <v>0</v>
      </c>
      <c r="S305" s="467"/>
      <c r="T305" s="2" t="s">
        <v>1711</v>
      </c>
      <c r="V305" s="464"/>
      <c r="W305" s="464"/>
      <c r="X305" s="464"/>
      <c r="Y305" s="464"/>
      <c r="Z305" s="464"/>
      <c r="AA305" s="464"/>
      <c r="AB305" s="464"/>
      <c r="AC305" s="464"/>
      <c r="AD305" s="464"/>
      <c r="AE305" s="464"/>
      <c r="AF305" s="464"/>
      <c r="AG305" s="464"/>
      <c r="AH305" s="465"/>
      <c r="AI305" s="464"/>
    </row>
    <row r="306" customFormat="false" ht="15" hidden="false" customHeight="true" outlineLevel="0" collapsed="false">
      <c r="A306" s="455" t="s">
        <v>1753</v>
      </c>
      <c r="B306" s="44" t="s">
        <v>1734</v>
      </c>
      <c r="C306" s="456" t="n">
        <v>45478</v>
      </c>
      <c r="D306" s="456"/>
      <c r="E306" s="323" t="n">
        <v>20</v>
      </c>
      <c r="F306" s="57" t="s">
        <v>175</v>
      </c>
      <c r="G306" s="323" t="s">
        <v>13</v>
      </c>
      <c r="H306" s="98" t="n">
        <v>4000</v>
      </c>
      <c r="I306" s="457" t="n">
        <v>40</v>
      </c>
      <c r="J306" s="313" t="s">
        <v>1653</v>
      </c>
      <c r="K306" s="98" t="n">
        <f aca="false">I306*H306</f>
        <v>160000</v>
      </c>
      <c r="L306" s="411" t="n">
        <v>44800</v>
      </c>
      <c r="M306" s="392" t="n">
        <f aca="false">L306/K306</f>
        <v>0.28</v>
      </c>
      <c r="N306" s="466" t="n">
        <f aca="false">I306*M306</f>
        <v>11.2</v>
      </c>
      <c r="O306" s="461" t="n">
        <v>4000</v>
      </c>
      <c r="P306" s="462" t="n">
        <f aca="false">H306-O306</f>
        <v>0</v>
      </c>
      <c r="Q306" s="463" t="n">
        <f aca="false">O306*I306</f>
        <v>160000</v>
      </c>
      <c r="R306" s="48" t="n">
        <f aca="false">K306-Q306</f>
        <v>0</v>
      </c>
      <c r="S306" s="467"/>
      <c r="T306" s="2" t="s">
        <v>1711</v>
      </c>
      <c r="V306" s="464"/>
      <c r="W306" s="464"/>
      <c r="X306" s="464"/>
      <c r="Y306" s="464"/>
      <c r="Z306" s="464"/>
      <c r="AA306" s="464"/>
      <c r="AB306" s="464"/>
      <c r="AC306" s="464"/>
      <c r="AD306" s="464"/>
      <c r="AE306" s="464"/>
      <c r="AF306" s="464"/>
      <c r="AG306" s="464"/>
      <c r="AH306" s="465"/>
      <c r="AI306" s="464"/>
    </row>
    <row r="307" customFormat="false" ht="15" hidden="false" customHeight="true" outlineLevel="0" collapsed="false">
      <c r="A307" s="455" t="s">
        <v>1753</v>
      </c>
      <c r="B307" s="44" t="s">
        <v>1734</v>
      </c>
      <c r="C307" s="456" t="n">
        <v>45478</v>
      </c>
      <c r="D307" s="456"/>
      <c r="E307" s="57" t="n">
        <v>21</v>
      </c>
      <c r="F307" s="323" t="s">
        <v>175</v>
      </c>
      <c r="G307" s="323" t="s">
        <v>13</v>
      </c>
      <c r="H307" s="98" t="n">
        <v>2000</v>
      </c>
      <c r="I307" s="457" t="n">
        <v>40</v>
      </c>
      <c r="J307" s="313" t="s">
        <v>1653</v>
      </c>
      <c r="K307" s="98" t="n">
        <f aca="false">I307*H307</f>
        <v>80000</v>
      </c>
      <c r="L307" s="411" t="n">
        <v>22400</v>
      </c>
      <c r="M307" s="392" t="n">
        <f aca="false">L307/K307</f>
        <v>0.28</v>
      </c>
      <c r="N307" s="466" t="n">
        <f aca="false">I307*M307</f>
        <v>11.2</v>
      </c>
      <c r="O307" s="461" t="n">
        <v>2000</v>
      </c>
      <c r="P307" s="462" t="n">
        <f aca="false">H307-O307</f>
        <v>0</v>
      </c>
      <c r="Q307" s="463" t="n">
        <f aca="false">O307*I307</f>
        <v>80000</v>
      </c>
      <c r="R307" s="48" t="n">
        <f aca="false">K307-Q307</f>
        <v>0</v>
      </c>
      <c r="S307" s="467"/>
      <c r="T307" s="2" t="s">
        <v>1711</v>
      </c>
      <c r="V307" s="464"/>
      <c r="W307" s="464"/>
      <c r="X307" s="464"/>
      <c r="Y307" s="464"/>
      <c r="Z307" s="464"/>
      <c r="AA307" s="464"/>
      <c r="AB307" s="464"/>
      <c r="AC307" s="464"/>
      <c r="AD307" s="464"/>
      <c r="AE307" s="464"/>
      <c r="AF307" s="464"/>
      <c r="AG307" s="464"/>
      <c r="AH307" s="465"/>
      <c r="AI307" s="464"/>
    </row>
    <row r="308" customFormat="false" ht="15" hidden="false" customHeight="true" outlineLevel="0" collapsed="false">
      <c r="A308" s="455" t="s">
        <v>1753</v>
      </c>
      <c r="C308" s="456" t="n">
        <v>45478</v>
      </c>
      <c r="D308" s="456"/>
      <c r="E308" s="57" t="n">
        <v>21</v>
      </c>
      <c r="F308" s="323" t="s">
        <v>175</v>
      </c>
      <c r="G308" s="323" t="s">
        <v>19</v>
      </c>
      <c r="H308" s="98" t="n">
        <v>1005</v>
      </c>
      <c r="I308" s="457" t="n">
        <v>22.5</v>
      </c>
      <c r="J308" s="313" t="s">
        <v>1651</v>
      </c>
      <c r="K308" s="98" t="n">
        <f aca="false">I308*H308</f>
        <v>22612.5</v>
      </c>
      <c r="L308" s="411" t="n">
        <v>19095</v>
      </c>
      <c r="M308" s="392" t="n">
        <f aca="false">L308/K308</f>
        <v>0.844444444444444</v>
      </c>
      <c r="N308" s="466" t="n">
        <f aca="false">I308*M308</f>
        <v>19</v>
      </c>
      <c r="O308" s="461" t="n">
        <v>1005</v>
      </c>
      <c r="P308" s="462" t="n">
        <f aca="false">H308-O308</f>
        <v>0</v>
      </c>
      <c r="Q308" s="463" t="n">
        <f aca="false">O308*I308</f>
        <v>22612.5</v>
      </c>
      <c r="R308" s="48" t="n">
        <f aca="false">K308-Q308</f>
        <v>0</v>
      </c>
      <c r="S308" s="467"/>
      <c r="T308" s="2" t="s">
        <v>1711</v>
      </c>
      <c r="V308" s="464"/>
      <c r="W308" s="464"/>
      <c r="X308" s="464"/>
      <c r="Y308" s="464"/>
      <c r="Z308" s="464"/>
      <c r="AA308" s="464"/>
      <c r="AB308" s="464"/>
      <c r="AC308" s="464"/>
      <c r="AD308" s="464"/>
      <c r="AE308" s="464"/>
      <c r="AF308" s="464"/>
      <c r="AG308" s="464"/>
      <c r="AH308" s="465"/>
      <c r="AI308" s="464"/>
    </row>
    <row r="309" customFormat="false" ht="15" hidden="false" customHeight="true" outlineLevel="0" collapsed="false">
      <c r="A309" s="455" t="s">
        <v>1753</v>
      </c>
      <c r="C309" s="456" t="n">
        <v>45478</v>
      </c>
      <c r="D309" s="456"/>
      <c r="E309" s="57" t="n">
        <v>21</v>
      </c>
      <c r="F309" s="323" t="s">
        <v>175</v>
      </c>
      <c r="G309" s="323" t="s">
        <v>17</v>
      </c>
      <c r="H309" s="98" t="n">
        <v>1005</v>
      </c>
      <c r="I309" s="457" t="n">
        <v>22.5</v>
      </c>
      <c r="J309" s="313" t="s">
        <v>1651</v>
      </c>
      <c r="K309" s="98" t="n">
        <f aca="false">I309*H309</f>
        <v>22612.5</v>
      </c>
      <c r="L309" s="411" t="n">
        <v>13065</v>
      </c>
      <c r="M309" s="392" t="n">
        <f aca="false">L309/K309</f>
        <v>0.577777777777778</v>
      </c>
      <c r="N309" s="466" t="n">
        <f aca="false">I309*M309</f>
        <v>13</v>
      </c>
      <c r="O309" s="461" t="n">
        <v>1005</v>
      </c>
      <c r="P309" s="462" t="n">
        <f aca="false">H309-O309</f>
        <v>0</v>
      </c>
      <c r="Q309" s="463" t="n">
        <f aca="false">O309*I309</f>
        <v>22612.5</v>
      </c>
      <c r="R309" s="48" t="n">
        <f aca="false">K309-Q309</f>
        <v>0</v>
      </c>
      <c r="S309" s="467"/>
      <c r="T309" s="2" t="s">
        <v>1711</v>
      </c>
      <c r="V309" s="464"/>
      <c r="W309" s="464"/>
      <c r="X309" s="464"/>
      <c r="Y309" s="464"/>
      <c r="Z309" s="464"/>
      <c r="AA309" s="464"/>
      <c r="AB309" s="464"/>
      <c r="AC309" s="464"/>
      <c r="AD309" s="464"/>
      <c r="AE309" s="464"/>
      <c r="AF309" s="464"/>
      <c r="AG309" s="464"/>
      <c r="AH309" s="465"/>
      <c r="AI309" s="464"/>
    </row>
    <row r="310" customFormat="false" ht="15" hidden="false" customHeight="true" outlineLevel="0" collapsed="false">
      <c r="A310" s="455" t="s">
        <v>1753</v>
      </c>
      <c r="C310" s="456" t="n">
        <v>45478</v>
      </c>
      <c r="D310" s="456"/>
      <c r="E310" s="57" t="n">
        <v>21</v>
      </c>
      <c r="F310" s="323" t="s">
        <v>175</v>
      </c>
      <c r="G310" s="323" t="s">
        <v>11</v>
      </c>
      <c r="H310" s="98" t="n">
        <v>2010</v>
      </c>
      <c r="I310" s="457" t="n">
        <v>14</v>
      </c>
      <c r="J310" s="313" t="s">
        <v>1651</v>
      </c>
      <c r="K310" s="98" t="n">
        <f aca="false">I310*H310</f>
        <v>28140</v>
      </c>
      <c r="L310" s="411" t="n">
        <v>105525</v>
      </c>
      <c r="M310" s="392" t="n">
        <f aca="false">L310/K310</f>
        <v>3.75</v>
      </c>
      <c r="N310" s="466" t="n">
        <f aca="false">I310*M310</f>
        <v>52.5</v>
      </c>
      <c r="O310" s="461" t="n">
        <v>2010</v>
      </c>
      <c r="P310" s="462" t="n">
        <f aca="false">H310-O310</f>
        <v>0</v>
      </c>
      <c r="Q310" s="463" t="n">
        <f aca="false">O310*I310</f>
        <v>28140</v>
      </c>
      <c r="R310" s="48" t="n">
        <f aca="false">K310-Q310</f>
        <v>0</v>
      </c>
      <c r="S310" s="467"/>
      <c r="T310" s="2" t="s">
        <v>1711</v>
      </c>
      <c r="V310" s="464"/>
      <c r="W310" s="464"/>
      <c r="X310" s="464"/>
      <c r="Y310" s="464"/>
      <c r="Z310" s="464"/>
      <c r="AA310" s="464"/>
      <c r="AB310" s="464"/>
      <c r="AC310" s="464"/>
      <c r="AD310" s="464"/>
      <c r="AE310" s="464"/>
      <c r="AF310" s="464"/>
      <c r="AG310" s="464"/>
      <c r="AH310" s="465"/>
      <c r="AI310" s="464"/>
    </row>
    <row r="311" customFormat="false" ht="15" hidden="false" customHeight="true" outlineLevel="0" collapsed="false">
      <c r="A311" s="455" t="s">
        <v>1753</v>
      </c>
      <c r="C311" s="456" t="n">
        <v>45478</v>
      </c>
      <c r="D311" s="456"/>
      <c r="E311" s="57" t="n">
        <v>21</v>
      </c>
      <c r="F311" s="323" t="s">
        <v>175</v>
      </c>
      <c r="G311" s="323" t="s">
        <v>12</v>
      </c>
      <c r="H311" s="98" t="n">
        <v>2010</v>
      </c>
      <c r="I311" s="457" t="n">
        <v>18</v>
      </c>
      <c r="J311" s="313" t="s">
        <v>1651</v>
      </c>
      <c r="K311" s="98" t="n">
        <f aca="false">I311*H311</f>
        <v>36180</v>
      </c>
      <c r="L311" s="411" t="n">
        <v>99897</v>
      </c>
      <c r="M311" s="392" t="n">
        <f aca="false">L311/K311</f>
        <v>2.76111111111111</v>
      </c>
      <c r="N311" s="466" t="n">
        <f aca="false">I311*M311</f>
        <v>49.7</v>
      </c>
      <c r="O311" s="461" t="n">
        <v>2010</v>
      </c>
      <c r="P311" s="462" t="n">
        <f aca="false">H311-O311</f>
        <v>0</v>
      </c>
      <c r="Q311" s="463" t="n">
        <f aca="false">O311*I311</f>
        <v>36180</v>
      </c>
      <c r="R311" s="48" t="n">
        <f aca="false">K311-Q311</f>
        <v>0</v>
      </c>
      <c r="S311" s="467"/>
      <c r="T311" s="2" t="s">
        <v>1711</v>
      </c>
      <c r="V311" s="464"/>
      <c r="W311" s="464"/>
      <c r="X311" s="464"/>
      <c r="Y311" s="464"/>
      <c r="Z311" s="464"/>
      <c r="AA311" s="464"/>
      <c r="AB311" s="464"/>
      <c r="AC311" s="464"/>
      <c r="AD311" s="464"/>
      <c r="AE311" s="464"/>
      <c r="AF311" s="464"/>
      <c r="AG311" s="464"/>
      <c r="AH311" s="465"/>
      <c r="AI311" s="464"/>
    </row>
    <row r="312" customFormat="false" ht="15" hidden="false" customHeight="true" outlineLevel="0" collapsed="false">
      <c r="A312" s="455" t="s">
        <v>1753</v>
      </c>
      <c r="C312" s="456" t="n">
        <v>45478</v>
      </c>
      <c r="D312" s="456"/>
      <c r="E312" s="57" t="n">
        <v>21</v>
      </c>
      <c r="F312" s="323" t="s">
        <v>175</v>
      </c>
      <c r="G312" s="323" t="s">
        <v>42</v>
      </c>
      <c r="H312" s="98" t="n">
        <v>2010</v>
      </c>
      <c r="I312" s="457" t="n">
        <v>30</v>
      </c>
      <c r="J312" s="313" t="s">
        <v>1651</v>
      </c>
      <c r="K312" s="98" t="n">
        <f aca="false">I312*H312</f>
        <v>60300</v>
      </c>
      <c r="L312" s="411" t="n">
        <v>28140</v>
      </c>
      <c r="M312" s="392" t="n">
        <f aca="false">L312/K312</f>
        <v>0.466666666666667</v>
      </c>
      <c r="N312" s="466" t="n">
        <f aca="false">I312*M312</f>
        <v>14</v>
      </c>
      <c r="O312" s="461" t="n">
        <v>2010</v>
      </c>
      <c r="P312" s="462" t="n">
        <f aca="false">H312-O312</f>
        <v>0</v>
      </c>
      <c r="Q312" s="463" t="n">
        <f aca="false">O312*I312</f>
        <v>60300</v>
      </c>
      <c r="R312" s="48" t="n">
        <f aca="false">K312-Q312</f>
        <v>0</v>
      </c>
      <c r="S312" s="467"/>
      <c r="T312" s="2" t="s">
        <v>1711</v>
      </c>
      <c r="V312" s="464"/>
      <c r="W312" s="464"/>
      <c r="X312" s="464"/>
      <c r="Y312" s="464"/>
      <c r="Z312" s="464"/>
      <c r="AA312" s="464"/>
      <c r="AB312" s="464"/>
      <c r="AC312" s="464"/>
      <c r="AD312" s="464"/>
      <c r="AE312" s="464"/>
      <c r="AF312" s="464"/>
      <c r="AG312" s="464"/>
      <c r="AH312" s="465"/>
      <c r="AI312" s="464"/>
    </row>
    <row r="313" customFormat="false" ht="15" hidden="false" customHeight="true" outlineLevel="0" collapsed="false">
      <c r="A313" s="455" t="s">
        <v>1753</v>
      </c>
      <c r="C313" s="456" t="n">
        <v>45478</v>
      </c>
      <c r="D313" s="456"/>
      <c r="E313" s="57" t="n">
        <v>21</v>
      </c>
      <c r="F313" s="323" t="s">
        <v>175</v>
      </c>
      <c r="G313" s="323" t="s">
        <v>7</v>
      </c>
      <c r="H313" s="98" t="n">
        <v>4740</v>
      </c>
      <c r="I313" s="457" t="n">
        <v>25.71</v>
      </c>
      <c r="J313" s="313" t="s">
        <v>1651</v>
      </c>
      <c r="K313" s="98" t="n">
        <f aca="false">I313*H313</f>
        <v>121865.4</v>
      </c>
      <c r="L313" s="411" t="n">
        <v>55932</v>
      </c>
      <c r="M313" s="392" t="n">
        <f aca="false">L313/K313</f>
        <v>0.458965383119409</v>
      </c>
      <c r="N313" s="466" t="n">
        <f aca="false">I313*M313</f>
        <v>11.8</v>
      </c>
      <c r="O313" s="461" t="n">
        <v>4740</v>
      </c>
      <c r="P313" s="462" t="n">
        <f aca="false">H313-O313</f>
        <v>0</v>
      </c>
      <c r="Q313" s="463" t="n">
        <f aca="false">O313*I313</f>
        <v>121865.4</v>
      </c>
      <c r="R313" s="48" t="n">
        <f aca="false">K313-Q313</f>
        <v>0</v>
      </c>
      <c r="S313" s="467"/>
      <c r="T313" s="2" t="s">
        <v>1711</v>
      </c>
      <c r="V313" s="464"/>
      <c r="W313" s="464"/>
      <c r="X313" s="464"/>
      <c r="Y313" s="464"/>
      <c r="Z313" s="464"/>
      <c r="AA313" s="464"/>
      <c r="AB313" s="464"/>
      <c r="AC313" s="464"/>
      <c r="AD313" s="464"/>
      <c r="AE313" s="464"/>
      <c r="AF313" s="464"/>
      <c r="AG313" s="464"/>
      <c r="AH313" s="465"/>
      <c r="AI313" s="464"/>
    </row>
    <row r="314" customFormat="false" ht="15" hidden="false" customHeight="true" outlineLevel="0" collapsed="false">
      <c r="A314" s="455" t="s">
        <v>1753</v>
      </c>
      <c r="C314" s="456" t="n">
        <v>45478</v>
      </c>
      <c r="D314" s="456"/>
      <c r="E314" s="57" t="n">
        <v>21</v>
      </c>
      <c r="F314" s="323" t="s">
        <v>175</v>
      </c>
      <c r="G314" s="323" t="s">
        <v>15</v>
      </c>
      <c r="H314" s="98" t="n">
        <v>5010</v>
      </c>
      <c r="I314" s="457" t="n">
        <v>22.5</v>
      </c>
      <c r="J314" s="313" t="s">
        <v>1651</v>
      </c>
      <c r="K314" s="98" t="n">
        <f aca="false">I314*H314</f>
        <v>112725</v>
      </c>
      <c r="L314" s="411" t="n">
        <v>77655</v>
      </c>
      <c r="M314" s="392" t="n">
        <f aca="false">L314/K314</f>
        <v>0.688888888888889</v>
      </c>
      <c r="N314" s="466" t="n">
        <f aca="false">I314*M314</f>
        <v>15.5</v>
      </c>
      <c r="O314" s="461" t="n">
        <v>5010</v>
      </c>
      <c r="P314" s="462" t="n">
        <f aca="false">H314-O314</f>
        <v>0</v>
      </c>
      <c r="Q314" s="463" t="n">
        <f aca="false">O314*I314</f>
        <v>112725</v>
      </c>
      <c r="R314" s="48" t="n">
        <f aca="false">K314-Q314</f>
        <v>0</v>
      </c>
      <c r="S314" s="467"/>
      <c r="T314" s="2" t="s">
        <v>1711</v>
      </c>
      <c r="V314" s="464"/>
      <c r="W314" s="464"/>
      <c r="X314" s="464"/>
      <c r="Y314" s="464"/>
      <c r="Z314" s="464"/>
      <c r="AA314" s="464"/>
      <c r="AB314" s="464"/>
      <c r="AC314" s="464"/>
      <c r="AD314" s="464"/>
      <c r="AE314" s="464"/>
      <c r="AF314" s="464"/>
      <c r="AG314" s="464"/>
      <c r="AH314" s="465"/>
      <c r="AI314" s="464"/>
    </row>
    <row r="315" customFormat="false" ht="15" hidden="false" customHeight="true" outlineLevel="0" collapsed="false">
      <c r="A315" s="455" t="s">
        <v>1753</v>
      </c>
      <c r="C315" s="456" t="n">
        <v>45478</v>
      </c>
      <c r="D315" s="456"/>
      <c r="E315" s="57" t="n">
        <v>21</v>
      </c>
      <c r="F315" s="323" t="s">
        <v>175</v>
      </c>
      <c r="G315" s="323" t="s">
        <v>13</v>
      </c>
      <c r="H315" s="98" t="n">
        <v>5010</v>
      </c>
      <c r="I315" s="457" t="n">
        <v>22.5</v>
      </c>
      <c r="J315" s="313" t="s">
        <v>1651</v>
      </c>
      <c r="K315" s="98" t="n">
        <f aca="false">I315*H315</f>
        <v>112725</v>
      </c>
      <c r="L315" s="411" t="n">
        <v>56112</v>
      </c>
      <c r="M315" s="392" t="n">
        <f aca="false">L315/K315</f>
        <v>0.497777777777778</v>
      </c>
      <c r="N315" s="466" t="n">
        <f aca="false">I315*M315</f>
        <v>11.2</v>
      </c>
      <c r="O315" s="461" t="n">
        <v>5010</v>
      </c>
      <c r="P315" s="462" t="n">
        <f aca="false">H315-O315</f>
        <v>0</v>
      </c>
      <c r="Q315" s="463" t="n">
        <f aca="false">O315*I315</f>
        <v>112725</v>
      </c>
      <c r="R315" s="48" t="n">
        <f aca="false">K315-Q315</f>
        <v>0</v>
      </c>
      <c r="S315" s="467"/>
      <c r="T315" s="2" t="s">
        <v>1711</v>
      </c>
      <c r="V315" s="464"/>
      <c r="W315" s="464"/>
      <c r="X315" s="464"/>
      <c r="Y315" s="464"/>
      <c r="Z315" s="464"/>
      <c r="AA315" s="464"/>
      <c r="AB315" s="464"/>
      <c r="AC315" s="464"/>
      <c r="AD315" s="464"/>
      <c r="AE315" s="464"/>
      <c r="AF315" s="464"/>
      <c r="AG315" s="464"/>
      <c r="AH315" s="465"/>
      <c r="AI315" s="464"/>
    </row>
    <row r="316" customFormat="false" ht="15" hidden="false" customHeight="true" outlineLevel="0" collapsed="false">
      <c r="A316" s="455" t="s">
        <v>1753</v>
      </c>
      <c r="B316" s="44" t="s">
        <v>1731</v>
      </c>
      <c r="C316" s="456" t="n">
        <v>45478</v>
      </c>
      <c r="D316" s="456"/>
      <c r="E316" s="57" t="n">
        <v>21</v>
      </c>
      <c r="F316" s="323" t="s">
        <v>175</v>
      </c>
      <c r="G316" s="323" t="s">
        <v>42</v>
      </c>
      <c r="H316" s="98" t="n">
        <v>2025</v>
      </c>
      <c r="I316" s="457" t="n">
        <v>60</v>
      </c>
      <c r="J316" s="313" t="s">
        <v>1653</v>
      </c>
      <c r="K316" s="98" t="n">
        <f aca="false">I316*H316</f>
        <v>121500</v>
      </c>
      <c r="L316" s="411" t="n">
        <v>40500</v>
      </c>
      <c r="M316" s="392" t="n">
        <f aca="false">L316/K316</f>
        <v>0.333333333333333</v>
      </c>
      <c r="N316" s="466" t="n">
        <f aca="false">I316*M316</f>
        <v>20</v>
      </c>
      <c r="O316" s="461" t="n">
        <v>2025</v>
      </c>
      <c r="P316" s="462" t="n">
        <f aca="false">H316-O316</f>
        <v>0</v>
      </c>
      <c r="Q316" s="463" t="n">
        <f aca="false">O316*I316</f>
        <v>121500</v>
      </c>
      <c r="R316" s="48" t="n">
        <f aca="false">K316-Q316</f>
        <v>0</v>
      </c>
      <c r="S316" s="467"/>
      <c r="T316" s="2" t="s">
        <v>1711</v>
      </c>
      <c r="V316" s="464"/>
      <c r="W316" s="464"/>
      <c r="X316" s="464"/>
      <c r="Y316" s="464"/>
      <c r="Z316" s="464"/>
      <c r="AA316" s="464"/>
      <c r="AB316" s="464"/>
      <c r="AC316" s="464"/>
      <c r="AD316" s="464"/>
      <c r="AE316" s="464"/>
      <c r="AF316" s="464"/>
      <c r="AG316" s="464"/>
      <c r="AH316" s="465"/>
      <c r="AI316" s="464"/>
    </row>
    <row r="317" customFormat="false" ht="15" hidden="false" customHeight="true" outlineLevel="0" collapsed="false">
      <c r="A317" s="455" t="s">
        <v>1753</v>
      </c>
      <c r="B317" s="44" t="s">
        <v>1734</v>
      </c>
      <c r="C317" s="456" t="n">
        <v>45478</v>
      </c>
      <c r="D317" s="456"/>
      <c r="E317" s="57" t="n">
        <v>21</v>
      </c>
      <c r="F317" s="323" t="s">
        <v>175</v>
      </c>
      <c r="G317" s="323" t="s">
        <v>15</v>
      </c>
      <c r="H317" s="98" t="n">
        <v>2000</v>
      </c>
      <c r="I317" s="457" t="n">
        <v>40</v>
      </c>
      <c r="J317" s="313" t="s">
        <v>1653</v>
      </c>
      <c r="K317" s="98" t="n">
        <f aca="false">I317*H317</f>
        <v>80000</v>
      </c>
      <c r="L317" s="411" t="n">
        <v>37000</v>
      </c>
      <c r="M317" s="392" t="n">
        <f aca="false">L317/K317</f>
        <v>0.4625</v>
      </c>
      <c r="N317" s="466" t="n">
        <f aca="false">I317*M317</f>
        <v>18.5</v>
      </c>
      <c r="O317" s="461" t="n">
        <v>2000</v>
      </c>
      <c r="P317" s="462" t="n">
        <f aca="false">H317-O317</f>
        <v>0</v>
      </c>
      <c r="Q317" s="463" t="n">
        <f aca="false">O317*I317</f>
        <v>80000</v>
      </c>
      <c r="R317" s="48" t="n">
        <f aca="false">K317-Q317</f>
        <v>0</v>
      </c>
      <c r="S317" s="467"/>
      <c r="T317" s="2" t="s">
        <v>1711</v>
      </c>
      <c r="V317" s="464"/>
      <c r="W317" s="464"/>
      <c r="X317" s="464"/>
      <c r="Y317" s="464"/>
      <c r="Z317" s="464"/>
      <c r="AA317" s="464"/>
      <c r="AB317" s="464"/>
      <c r="AC317" s="464"/>
      <c r="AD317" s="464"/>
      <c r="AE317" s="464"/>
      <c r="AF317" s="464"/>
      <c r="AG317" s="464"/>
      <c r="AH317" s="465"/>
      <c r="AI317" s="464"/>
    </row>
    <row r="318" customFormat="false" ht="15" hidden="false" customHeight="true" outlineLevel="0" collapsed="false">
      <c r="A318" s="455" t="s">
        <v>1753</v>
      </c>
      <c r="C318" s="456" t="n">
        <v>45478</v>
      </c>
      <c r="D318" s="456"/>
      <c r="E318" s="57" t="n">
        <v>22</v>
      </c>
      <c r="F318" s="323" t="s">
        <v>175</v>
      </c>
      <c r="G318" s="323" t="s">
        <v>19</v>
      </c>
      <c r="H318" s="98" t="n">
        <v>1005</v>
      </c>
      <c r="I318" s="457" t="n">
        <v>22.5</v>
      </c>
      <c r="J318" s="313" t="s">
        <v>1651</v>
      </c>
      <c r="K318" s="98" t="n">
        <f aca="false">I318*H318</f>
        <v>22612.5</v>
      </c>
      <c r="L318" s="411" t="n">
        <v>19095</v>
      </c>
      <c r="M318" s="392" t="n">
        <f aca="false">L318/K318</f>
        <v>0.844444444444444</v>
      </c>
      <c r="N318" s="466" t="n">
        <f aca="false">I318*M318</f>
        <v>19</v>
      </c>
      <c r="O318" s="461" t="n">
        <v>1005</v>
      </c>
      <c r="P318" s="462" t="n">
        <f aca="false">H318-O318</f>
        <v>0</v>
      </c>
      <c r="Q318" s="463" t="n">
        <f aca="false">O318*I318</f>
        <v>22612.5</v>
      </c>
      <c r="R318" s="48" t="n">
        <f aca="false">K318-Q318</f>
        <v>0</v>
      </c>
      <c r="S318" s="467"/>
      <c r="T318" s="2" t="s">
        <v>1711</v>
      </c>
      <c r="V318" s="464"/>
      <c r="W318" s="464"/>
      <c r="X318" s="464"/>
      <c r="Y318" s="464"/>
      <c r="Z318" s="464"/>
      <c r="AA318" s="464"/>
      <c r="AB318" s="464"/>
      <c r="AC318" s="464"/>
      <c r="AD318" s="464"/>
      <c r="AE318" s="464"/>
      <c r="AF318" s="464"/>
      <c r="AG318" s="464"/>
      <c r="AH318" s="465"/>
      <c r="AI318" s="464"/>
    </row>
    <row r="319" customFormat="false" ht="15" hidden="false" customHeight="true" outlineLevel="0" collapsed="false">
      <c r="A319" s="455" t="s">
        <v>1753</v>
      </c>
      <c r="C319" s="456" t="n">
        <v>45478</v>
      </c>
      <c r="D319" s="456"/>
      <c r="E319" s="57" t="n">
        <v>22</v>
      </c>
      <c r="F319" s="323" t="s">
        <v>175</v>
      </c>
      <c r="G319" s="323" t="s">
        <v>17</v>
      </c>
      <c r="H319" s="98" t="n">
        <v>1005</v>
      </c>
      <c r="I319" s="457" t="n">
        <v>22.5</v>
      </c>
      <c r="J319" s="313" t="s">
        <v>1651</v>
      </c>
      <c r="K319" s="98" t="n">
        <f aca="false">I319*H319</f>
        <v>22612.5</v>
      </c>
      <c r="L319" s="411" t="n">
        <v>13065</v>
      </c>
      <c r="M319" s="392" t="n">
        <f aca="false">L319/K319</f>
        <v>0.577777777777778</v>
      </c>
      <c r="N319" s="466" t="n">
        <f aca="false">I319*M319</f>
        <v>13</v>
      </c>
      <c r="O319" s="461" t="n">
        <v>1005</v>
      </c>
      <c r="P319" s="462" t="n">
        <f aca="false">H319-O319</f>
        <v>0</v>
      </c>
      <c r="Q319" s="463" t="n">
        <f aca="false">O319*I319</f>
        <v>22612.5</v>
      </c>
      <c r="R319" s="48" t="n">
        <f aca="false">K319-Q319</f>
        <v>0</v>
      </c>
      <c r="S319" s="467"/>
      <c r="T319" s="2" t="s">
        <v>1711</v>
      </c>
      <c r="V319" s="464"/>
      <c r="W319" s="464"/>
      <c r="X319" s="464"/>
      <c r="Y319" s="464"/>
      <c r="Z319" s="464"/>
      <c r="AA319" s="464"/>
      <c r="AB319" s="464"/>
      <c r="AC319" s="464"/>
      <c r="AD319" s="464"/>
      <c r="AE319" s="464"/>
      <c r="AF319" s="464"/>
      <c r="AG319" s="464"/>
      <c r="AH319" s="465"/>
      <c r="AI319" s="464"/>
    </row>
    <row r="320" customFormat="false" ht="15" hidden="false" customHeight="true" outlineLevel="0" collapsed="false">
      <c r="A320" s="455" t="s">
        <v>1753</v>
      </c>
      <c r="C320" s="456" t="n">
        <v>45478</v>
      </c>
      <c r="D320" s="456"/>
      <c r="E320" s="57" t="n">
        <v>22</v>
      </c>
      <c r="F320" s="323" t="s">
        <v>175</v>
      </c>
      <c r="G320" s="323" t="s">
        <v>11</v>
      </c>
      <c r="H320" s="98" t="n">
        <v>2010</v>
      </c>
      <c r="I320" s="457" t="n">
        <v>14</v>
      </c>
      <c r="J320" s="313" t="s">
        <v>1651</v>
      </c>
      <c r="K320" s="98" t="n">
        <f aca="false">I320*H320</f>
        <v>28140</v>
      </c>
      <c r="L320" s="411" t="n">
        <v>105525</v>
      </c>
      <c r="M320" s="392" t="n">
        <f aca="false">L320/K320</f>
        <v>3.75</v>
      </c>
      <c r="N320" s="466" t="n">
        <f aca="false">I320*M320</f>
        <v>52.5</v>
      </c>
      <c r="O320" s="461" t="n">
        <v>2010</v>
      </c>
      <c r="P320" s="462" t="n">
        <f aca="false">H320-O320</f>
        <v>0</v>
      </c>
      <c r="Q320" s="463" t="n">
        <f aca="false">O320*I320</f>
        <v>28140</v>
      </c>
      <c r="R320" s="48" t="n">
        <f aca="false">K320-Q320</f>
        <v>0</v>
      </c>
      <c r="S320" s="467"/>
      <c r="T320" s="2" t="s">
        <v>1711</v>
      </c>
      <c r="V320" s="464"/>
      <c r="W320" s="464"/>
      <c r="X320" s="464"/>
      <c r="Y320" s="464"/>
      <c r="Z320" s="464"/>
      <c r="AA320" s="464"/>
      <c r="AB320" s="464"/>
      <c r="AC320" s="464"/>
      <c r="AD320" s="464"/>
      <c r="AE320" s="464"/>
      <c r="AF320" s="464"/>
      <c r="AG320" s="464"/>
      <c r="AH320" s="465"/>
      <c r="AI320" s="464"/>
    </row>
    <row r="321" customFormat="false" ht="15" hidden="false" customHeight="true" outlineLevel="0" collapsed="false">
      <c r="A321" s="455" t="s">
        <v>1753</v>
      </c>
      <c r="C321" s="456" t="n">
        <v>45478</v>
      </c>
      <c r="D321" s="456"/>
      <c r="E321" s="57" t="n">
        <v>22</v>
      </c>
      <c r="F321" s="323" t="s">
        <v>175</v>
      </c>
      <c r="G321" s="323" t="s">
        <v>12</v>
      </c>
      <c r="H321" s="98" t="n">
        <v>2010</v>
      </c>
      <c r="I321" s="457" t="n">
        <v>18</v>
      </c>
      <c r="J321" s="313" t="s">
        <v>1651</v>
      </c>
      <c r="K321" s="98" t="n">
        <f aca="false">I321*H321</f>
        <v>36180</v>
      </c>
      <c r="L321" s="411" t="n">
        <v>99897</v>
      </c>
      <c r="M321" s="392" t="n">
        <f aca="false">L321/K321</f>
        <v>2.76111111111111</v>
      </c>
      <c r="N321" s="466" t="n">
        <f aca="false">I321*M321</f>
        <v>49.7</v>
      </c>
      <c r="O321" s="461" t="n">
        <v>2010</v>
      </c>
      <c r="P321" s="462" t="n">
        <f aca="false">H321-O321</f>
        <v>0</v>
      </c>
      <c r="Q321" s="463" t="n">
        <f aca="false">O321*I321</f>
        <v>36180</v>
      </c>
      <c r="R321" s="48" t="n">
        <f aca="false">K321-Q321</f>
        <v>0</v>
      </c>
      <c r="S321" s="467"/>
      <c r="T321" s="2" t="s">
        <v>1711</v>
      </c>
      <c r="V321" s="464"/>
      <c r="W321" s="464"/>
      <c r="X321" s="464"/>
      <c r="Y321" s="464"/>
      <c r="Z321" s="464"/>
      <c r="AA321" s="464"/>
      <c r="AB321" s="464"/>
      <c r="AC321" s="464"/>
      <c r="AD321" s="464"/>
      <c r="AE321" s="464"/>
      <c r="AF321" s="464"/>
      <c r="AG321" s="464"/>
      <c r="AH321" s="465"/>
      <c r="AI321" s="464"/>
    </row>
    <row r="322" customFormat="false" ht="15" hidden="false" customHeight="true" outlineLevel="0" collapsed="false">
      <c r="A322" s="455" t="s">
        <v>1753</v>
      </c>
      <c r="C322" s="456" t="n">
        <v>45478</v>
      </c>
      <c r="D322" s="456"/>
      <c r="E322" s="57" t="n">
        <v>22</v>
      </c>
      <c r="F322" s="323" t="s">
        <v>175</v>
      </c>
      <c r="G322" s="323" t="s">
        <v>42</v>
      </c>
      <c r="H322" s="98" t="n">
        <v>2010</v>
      </c>
      <c r="I322" s="457" t="n">
        <v>30</v>
      </c>
      <c r="J322" s="313" t="s">
        <v>1651</v>
      </c>
      <c r="K322" s="98" t="n">
        <f aca="false">I322*H322</f>
        <v>60300</v>
      </c>
      <c r="L322" s="411" t="n">
        <v>28140</v>
      </c>
      <c r="M322" s="392" t="n">
        <f aca="false">L322/K322</f>
        <v>0.466666666666667</v>
      </c>
      <c r="N322" s="466" t="n">
        <f aca="false">I322*M322</f>
        <v>14</v>
      </c>
      <c r="O322" s="461" t="n">
        <v>2010</v>
      </c>
      <c r="P322" s="462" t="n">
        <f aca="false">H322-O322</f>
        <v>0</v>
      </c>
      <c r="Q322" s="463" t="n">
        <f aca="false">O322*I322</f>
        <v>60300</v>
      </c>
      <c r="R322" s="48" t="n">
        <f aca="false">K322-Q322</f>
        <v>0</v>
      </c>
      <c r="S322" s="467"/>
      <c r="T322" s="2" t="s">
        <v>1711</v>
      </c>
      <c r="V322" s="464"/>
      <c r="W322" s="464"/>
      <c r="X322" s="464"/>
      <c r="Y322" s="464"/>
      <c r="Z322" s="464"/>
      <c r="AA322" s="464"/>
      <c r="AB322" s="464"/>
      <c r="AC322" s="464"/>
      <c r="AD322" s="464"/>
      <c r="AE322" s="464"/>
      <c r="AF322" s="464"/>
      <c r="AG322" s="464"/>
      <c r="AH322" s="465"/>
      <c r="AI322" s="464"/>
    </row>
    <row r="323" customFormat="false" ht="15" hidden="false" customHeight="true" outlineLevel="0" collapsed="false">
      <c r="A323" s="455" t="s">
        <v>1753</v>
      </c>
      <c r="C323" s="456" t="n">
        <v>45478</v>
      </c>
      <c r="D323" s="456"/>
      <c r="E323" s="57" t="n">
        <v>22</v>
      </c>
      <c r="F323" s="323" t="s">
        <v>175</v>
      </c>
      <c r="G323" s="323" t="s">
        <v>13</v>
      </c>
      <c r="H323" s="98" t="n">
        <v>2505</v>
      </c>
      <c r="I323" s="457" t="n">
        <v>22.5</v>
      </c>
      <c r="J323" s="313" t="s">
        <v>1651</v>
      </c>
      <c r="K323" s="98" t="n">
        <f aca="false">I323*H323</f>
        <v>56362.5</v>
      </c>
      <c r="L323" s="411" t="n">
        <v>28056</v>
      </c>
      <c r="M323" s="392" t="n">
        <f aca="false">L323/K323</f>
        <v>0.497777777777778</v>
      </c>
      <c r="N323" s="466" t="n">
        <f aca="false">I323*M323</f>
        <v>11.2</v>
      </c>
      <c r="O323" s="461" t="n">
        <v>2505</v>
      </c>
      <c r="P323" s="462" t="n">
        <f aca="false">H323-O323</f>
        <v>0</v>
      </c>
      <c r="Q323" s="463" t="n">
        <f aca="false">O323*I323</f>
        <v>56362.5</v>
      </c>
      <c r="R323" s="48" t="n">
        <f aca="false">K323-Q323</f>
        <v>0</v>
      </c>
      <c r="S323" s="467"/>
      <c r="T323" s="2" t="s">
        <v>1711</v>
      </c>
      <c r="V323" s="464"/>
      <c r="W323" s="464"/>
      <c r="X323" s="464"/>
      <c r="Y323" s="464"/>
      <c r="Z323" s="464"/>
      <c r="AA323" s="464"/>
      <c r="AB323" s="464"/>
      <c r="AC323" s="464"/>
      <c r="AD323" s="464"/>
      <c r="AE323" s="464"/>
      <c r="AF323" s="464"/>
      <c r="AG323" s="464"/>
      <c r="AH323" s="465"/>
      <c r="AI323" s="464"/>
    </row>
    <row r="324" customFormat="false" ht="15" hidden="false" customHeight="true" outlineLevel="0" collapsed="false">
      <c r="A324" s="455" t="s">
        <v>1753</v>
      </c>
      <c r="C324" s="456" t="n">
        <v>45478</v>
      </c>
      <c r="D324" s="456"/>
      <c r="E324" s="57" t="n">
        <v>22</v>
      </c>
      <c r="F324" s="323" t="s">
        <v>175</v>
      </c>
      <c r="G324" s="323" t="s">
        <v>15</v>
      </c>
      <c r="H324" s="98" t="n">
        <v>5010</v>
      </c>
      <c r="I324" s="457" t="n">
        <v>22.5</v>
      </c>
      <c r="J324" s="313" t="s">
        <v>1651</v>
      </c>
      <c r="K324" s="98" t="n">
        <f aca="false">I324*H324</f>
        <v>112725</v>
      </c>
      <c r="L324" s="411" t="n">
        <v>77655</v>
      </c>
      <c r="M324" s="392" t="n">
        <f aca="false">L324/K324</f>
        <v>0.688888888888889</v>
      </c>
      <c r="N324" s="466" t="n">
        <f aca="false">I324*M324</f>
        <v>15.5</v>
      </c>
      <c r="O324" s="461" t="n">
        <v>5010</v>
      </c>
      <c r="P324" s="462" t="n">
        <f aca="false">H324-O324</f>
        <v>0</v>
      </c>
      <c r="Q324" s="463" t="n">
        <f aca="false">O324*I324</f>
        <v>112725</v>
      </c>
      <c r="R324" s="48" t="n">
        <f aca="false">K324-Q324</f>
        <v>0</v>
      </c>
      <c r="S324" s="467"/>
      <c r="T324" s="2" t="s">
        <v>1711</v>
      </c>
      <c r="V324" s="464"/>
      <c r="W324" s="464"/>
      <c r="X324" s="464"/>
      <c r="Y324" s="464"/>
      <c r="Z324" s="464"/>
      <c r="AA324" s="464"/>
      <c r="AB324" s="464"/>
      <c r="AC324" s="464"/>
      <c r="AD324" s="464"/>
      <c r="AE324" s="464"/>
      <c r="AF324" s="464"/>
      <c r="AG324" s="464"/>
      <c r="AH324" s="465"/>
      <c r="AI324" s="464"/>
    </row>
    <row r="325" customFormat="false" ht="15" hidden="false" customHeight="true" outlineLevel="0" collapsed="false">
      <c r="A325" s="455" t="s">
        <v>1753</v>
      </c>
      <c r="B325" s="44" t="s">
        <v>1734</v>
      </c>
      <c r="C325" s="456" t="n">
        <v>45478</v>
      </c>
      <c r="D325" s="456"/>
      <c r="E325" s="57" t="n">
        <v>22</v>
      </c>
      <c r="F325" s="323" t="s">
        <v>175</v>
      </c>
      <c r="G325" s="323" t="s">
        <v>13</v>
      </c>
      <c r="H325" s="98" t="n">
        <v>4000</v>
      </c>
      <c r="I325" s="457" t="n">
        <v>40</v>
      </c>
      <c r="J325" s="313" t="s">
        <v>1653</v>
      </c>
      <c r="K325" s="98" t="n">
        <f aca="false">I325*H325</f>
        <v>160000</v>
      </c>
      <c r="L325" s="411" t="n">
        <v>44800</v>
      </c>
      <c r="M325" s="392" t="n">
        <f aca="false">L325/K325</f>
        <v>0.28</v>
      </c>
      <c r="N325" s="466" t="n">
        <f aca="false">I325*M325</f>
        <v>11.2</v>
      </c>
      <c r="O325" s="461" t="n">
        <v>4000</v>
      </c>
      <c r="P325" s="462" t="n">
        <f aca="false">H325-O325</f>
        <v>0</v>
      </c>
      <c r="Q325" s="463" t="n">
        <f aca="false">O325*I325</f>
        <v>160000</v>
      </c>
      <c r="R325" s="48" t="n">
        <f aca="false">K325-Q325</f>
        <v>0</v>
      </c>
      <c r="S325" s="467"/>
      <c r="T325" s="2" t="s">
        <v>1711</v>
      </c>
      <c r="V325" s="464"/>
      <c r="W325" s="464"/>
      <c r="X325" s="464"/>
      <c r="Y325" s="464"/>
      <c r="Z325" s="464"/>
      <c r="AA325" s="464"/>
      <c r="AB325" s="464"/>
      <c r="AC325" s="464"/>
      <c r="AD325" s="464"/>
      <c r="AE325" s="464"/>
      <c r="AF325" s="464"/>
      <c r="AG325" s="464"/>
      <c r="AH325" s="465"/>
      <c r="AI325" s="464"/>
    </row>
    <row r="326" customFormat="false" ht="15" hidden="false" customHeight="true" outlineLevel="0" collapsed="false">
      <c r="A326" s="455" t="s">
        <v>1753</v>
      </c>
      <c r="B326" s="44" t="s">
        <v>1734</v>
      </c>
      <c r="C326" s="456" t="n">
        <v>45478</v>
      </c>
      <c r="D326" s="456"/>
      <c r="E326" s="57" t="n">
        <v>22</v>
      </c>
      <c r="F326" s="323" t="s">
        <v>175</v>
      </c>
      <c r="G326" s="323" t="s">
        <v>15</v>
      </c>
      <c r="H326" s="98" t="n">
        <v>6000</v>
      </c>
      <c r="I326" s="457" t="n">
        <v>40</v>
      </c>
      <c r="J326" s="313" t="s">
        <v>1653</v>
      </c>
      <c r="K326" s="98" t="n">
        <f aca="false">I326*H326</f>
        <v>240000</v>
      </c>
      <c r="L326" s="411" t="n">
        <v>111000</v>
      </c>
      <c r="M326" s="392" t="n">
        <f aca="false">L326/K326</f>
        <v>0.4625</v>
      </c>
      <c r="N326" s="466" t="n">
        <f aca="false">I326*M326</f>
        <v>18.5</v>
      </c>
      <c r="O326" s="461" t="n">
        <v>6000</v>
      </c>
      <c r="P326" s="462" t="n">
        <f aca="false">H326-O326</f>
        <v>0</v>
      </c>
      <c r="Q326" s="463" t="n">
        <f aca="false">O326*I326</f>
        <v>240000</v>
      </c>
      <c r="R326" s="48" t="n">
        <f aca="false">K326-Q326</f>
        <v>0</v>
      </c>
      <c r="S326" s="467"/>
      <c r="T326" s="2" t="s">
        <v>1711</v>
      </c>
      <c r="V326" s="464"/>
      <c r="W326" s="464"/>
      <c r="X326" s="464"/>
      <c r="Y326" s="464"/>
      <c r="Z326" s="464"/>
      <c r="AA326" s="464"/>
      <c r="AB326" s="464"/>
      <c r="AC326" s="464"/>
      <c r="AD326" s="464"/>
      <c r="AE326" s="464"/>
      <c r="AF326" s="464"/>
      <c r="AG326" s="464"/>
      <c r="AH326" s="465"/>
      <c r="AI326" s="464"/>
    </row>
    <row r="327" customFormat="false" ht="15" hidden="false" customHeight="true" outlineLevel="0" collapsed="false">
      <c r="A327" s="455" t="s">
        <v>1753</v>
      </c>
      <c r="C327" s="456" t="n">
        <v>45478</v>
      </c>
      <c r="D327" s="456"/>
      <c r="E327" s="57" t="n">
        <v>22</v>
      </c>
      <c r="F327" s="323" t="s">
        <v>175</v>
      </c>
      <c r="G327" s="323" t="s">
        <v>21</v>
      </c>
      <c r="H327" s="98" t="n">
        <v>3000</v>
      </c>
      <c r="I327" s="457" t="n">
        <v>1</v>
      </c>
      <c r="J327" s="313" t="s">
        <v>1653</v>
      </c>
      <c r="K327" s="98" t="n">
        <f aca="false">I327*H327</f>
        <v>3000</v>
      </c>
      <c r="L327" s="411" t="n">
        <v>15600</v>
      </c>
      <c r="M327" s="392" t="n">
        <f aca="false">L327/K327</f>
        <v>5.2</v>
      </c>
      <c r="N327" s="466" t="n">
        <f aca="false">I327*M327</f>
        <v>5.2</v>
      </c>
      <c r="O327" s="461" t="n">
        <v>3000</v>
      </c>
      <c r="P327" s="462" t="n">
        <f aca="false">H327-O327</f>
        <v>0</v>
      </c>
      <c r="Q327" s="463" t="n">
        <f aca="false">O327*I327</f>
        <v>3000</v>
      </c>
      <c r="R327" s="48" t="n">
        <f aca="false">K327-Q327</f>
        <v>0</v>
      </c>
      <c r="S327" s="467"/>
      <c r="T327" s="2" t="s">
        <v>1711</v>
      </c>
      <c r="V327" s="464"/>
      <c r="W327" s="464"/>
      <c r="X327" s="464"/>
      <c r="Y327" s="464"/>
      <c r="Z327" s="464"/>
      <c r="AA327" s="464"/>
      <c r="AB327" s="464"/>
      <c r="AC327" s="464"/>
      <c r="AD327" s="464"/>
      <c r="AE327" s="464"/>
      <c r="AF327" s="464"/>
      <c r="AG327" s="464"/>
      <c r="AH327" s="465"/>
      <c r="AI327" s="464"/>
    </row>
    <row r="328" customFormat="false" ht="15" hidden="false" customHeight="true" outlineLevel="0" collapsed="false">
      <c r="A328" s="455" t="s">
        <v>1754</v>
      </c>
      <c r="C328" s="456" t="n">
        <v>45478</v>
      </c>
      <c r="D328" s="456"/>
      <c r="E328" s="57" t="n">
        <v>23</v>
      </c>
      <c r="F328" s="323" t="s">
        <v>175</v>
      </c>
      <c r="G328" s="323" t="s">
        <v>5</v>
      </c>
      <c r="H328" s="98" t="n">
        <v>300</v>
      </c>
      <c r="I328" s="457" t="n">
        <v>25.71</v>
      </c>
      <c r="J328" s="313" t="s">
        <v>1651</v>
      </c>
      <c r="K328" s="98" t="n">
        <f aca="false">I328*H328</f>
        <v>7713</v>
      </c>
      <c r="L328" s="411" t="n">
        <v>4119</v>
      </c>
      <c r="M328" s="392" t="n">
        <f aca="false">L328/K328</f>
        <v>0.534033450019448</v>
      </c>
      <c r="N328" s="466" t="n">
        <f aca="false">I328*M328</f>
        <v>13.73</v>
      </c>
      <c r="O328" s="461" t="n">
        <v>300</v>
      </c>
      <c r="P328" s="462" t="n">
        <f aca="false">H328-O328</f>
        <v>0</v>
      </c>
      <c r="Q328" s="463" t="n">
        <f aca="false">O328*I328</f>
        <v>7713</v>
      </c>
      <c r="R328" s="48" t="n">
        <f aca="false">K328-Q328</f>
        <v>0</v>
      </c>
      <c r="S328" s="108"/>
      <c r="T328" s="2" t="s">
        <v>1711</v>
      </c>
      <c r="V328" s="464"/>
      <c r="W328" s="464"/>
      <c r="X328" s="464"/>
      <c r="Y328" s="464"/>
      <c r="Z328" s="464"/>
      <c r="AA328" s="464"/>
      <c r="AB328" s="464"/>
      <c r="AC328" s="464"/>
      <c r="AD328" s="464"/>
      <c r="AE328" s="464"/>
      <c r="AF328" s="464"/>
      <c r="AG328" s="464"/>
      <c r="AH328" s="465"/>
      <c r="AI328" s="464"/>
    </row>
    <row r="329" customFormat="false" ht="15" hidden="false" customHeight="true" outlineLevel="0" collapsed="false">
      <c r="A329" s="455" t="s">
        <v>1755</v>
      </c>
      <c r="C329" s="456" t="n">
        <v>45478</v>
      </c>
      <c r="D329" s="456"/>
      <c r="E329" s="323" t="n">
        <v>24</v>
      </c>
      <c r="F329" s="323" t="s">
        <v>175</v>
      </c>
      <c r="G329" s="323" t="s">
        <v>10</v>
      </c>
      <c r="H329" s="98" t="n">
        <v>20010</v>
      </c>
      <c r="I329" s="457" t="n">
        <v>38.3</v>
      </c>
      <c r="J329" s="313" t="s">
        <v>1652</v>
      </c>
      <c r="K329" s="98" t="n">
        <f aca="false">I329*H329</f>
        <v>766383</v>
      </c>
      <c r="L329" s="411" t="n">
        <v>232516.2</v>
      </c>
      <c r="M329" s="392" t="n">
        <f aca="false">L329/K329</f>
        <v>0.303394255874674</v>
      </c>
      <c r="N329" s="466" t="n">
        <f aca="false">I329*M329</f>
        <v>11.62</v>
      </c>
      <c r="O329" s="461" t="n">
        <v>20010</v>
      </c>
      <c r="P329" s="462" t="n">
        <f aca="false">H329-O329</f>
        <v>0</v>
      </c>
      <c r="Q329" s="463" t="n">
        <f aca="false">O329*I329</f>
        <v>766383</v>
      </c>
      <c r="R329" s="48" t="n">
        <f aca="false">K329-Q329</f>
        <v>0</v>
      </c>
      <c r="S329" s="467"/>
      <c r="T329" s="2" t="s">
        <v>1711</v>
      </c>
      <c r="V329" s="464"/>
      <c r="W329" s="464"/>
      <c r="X329" s="464"/>
      <c r="Y329" s="464"/>
      <c r="Z329" s="464"/>
      <c r="AA329" s="464"/>
      <c r="AB329" s="464"/>
      <c r="AC329" s="464"/>
      <c r="AD329" s="464"/>
      <c r="AE329" s="464"/>
      <c r="AF329" s="464"/>
      <c r="AG329" s="464"/>
      <c r="AH329" s="465"/>
      <c r="AI329" s="464"/>
    </row>
    <row r="330" customFormat="false" ht="15" hidden="false" customHeight="true" outlineLevel="0" collapsed="false">
      <c r="A330" s="455" t="s">
        <v>1755</v>
      </c>
      <c r="C330" s="456" t="n">
        <v>45478</v>
      </c>
      <c r="D330" s="456"/>
      <c r="E330" s="57" t="n">
        <v>25</v>
      </c>
      <c r="F330" s="323" t="s">
        <v>175</v>
      </c>
      <c r="G330" s="323" t="s">
        <v>10</v>
      </c>
      <c r="H330" s="98" t="n">
        <v>20010</v>
      </c>
      <c r="I330" s="457" t="n">
        <v>38.3</v>
      </c>
      <c r="J330" s="313" t="s">
        <v>1652</v>
      </c>
      <c r="K330" s="98" t="n">
        <f aca="false">I330*H330</f>
        <v>766383</v>
      </c>
      <c r="L330" s="411" t="n">
        <v>213306.6</v>
      </c>
      <c r="M330" s="392" t="n">
        <f aca="false">L330/K330</f>
        <v>0.278328981723238</v>
      </c>
      <c r="N330" s="466" t="n">
        <f aca="false">I330*M330</f>
        <v>10.66</v>
      </c>
      <c r="O330" s="461" t="n">
        <v>7110</v>
      </c>
      <c r="P330" s="468" t="n">
        <f aca="false">H330-O330</f>
        <v>12900</v>
      </c>
      <c r="Q330" s="463" t="n">
        <f aca="false">O330*I330</f>
        <v>272313</v>
      </c>
      <c r="R330" s="48" t="n">
        <f aca="false">K330-Q330</f>
        <v>494070</v>
      </c>
      <c r="S330" s="467" t="n">
        <v>45658</v>
      </c>
      <c r="T330" s="2" t="s">
        <v>1711</v>
      </c>
      <c r="V330" s="464"/>
      <c r="W330" s="464"/>
      <c r="X330" s="464"/>
      <c r="Y330" s="464"/>
      <c r="Z330" s="464"/>
      <c r="AA330" s="464"/>
      <c r="AB330" s="464"/>
      <c r="AC330" s="464"/>
      <c r="AD330" s="464"/>
      <c r="AE330" s="464"/>
      <c r="AF330" s="464"/>
      <c r="AG330" s="464"/>
      <c r="AH330" s="465"/>
      <c r="AI330" s="464"/>
    </row>
    <row r="331" customFormat="false" ht="15" hidden="false" customHeight="true" outlineLevel="0" collapsed="false">
      <c r="A331" s="455" t="s">
        <v>1755</v>
      </c>
      <c r="C331" s="456" t="n">
        <v>45478</v>
      </c>
      <c r="D331" s="456"/>
      <c r="E331" s="57" t="n">
        <v>26</v>
      </c>
      <c r="F331" s="323" t="s">
        <v>175</v>
      </c>
      <c r="G331" s="323" t="s">
        <v>20</v>
      </c>
      <c r="H331" s="98" t="n">
        <v>1005</v>
      </c>
      <c r="I331" s="457" t="n">
        <v>38.29</v>
      </c>
      <c r="J331" s="313" t="s">
        <v>1652</v>
      </c>
      <c r="K331" s="98" t="n">
        <f aca="false">I331*H331</f>
        <v>38481.45</v>
      </c>
      <c r="L331" s="411" t="n">
        <v>13858.95</v>
      </c>
      <c r="M331" s="392" t="n">
        <f aca="false">L331/K331</f>
        <v>0.360146252285192</v>
      </c>
      <c r="N331" s="466" t="n">
        <f aca="false">I331*M331</f>
        <v>13.79</v>
      </c>
      <c r="O331" s="461" t="n">
        <v>1005</v>
      </c>
      <c r="P331" s="462" t="n">
        <f aca="false">H331-O331</f>
        <v>0</v>
      </c>
      <c r="Q331" s="463" t="n">
        <f aca="false">O331*I331</f>
        <v>38481.45</v>
      </c>
      <c r="R331" s="48" t="n">
        <f aca="false">K331-Q331</f>
        <v>0</v>
      </c>
      <c r="S331" s="467"/>
      <c r="T331" s="2" t="s">
        <v>1711</v>
      </c>
      <c r="V331" s="464"/>
      <c r="W331" s="464"/>
      <c r="X331" s="464"/>
      <c r="Y331" s="464"/>
      <c r="Z331" s="464"/>
      <c r="AA331" s="464"/>
      <c r="AB331" s="464"/>
      <c r="AC331" s="464"/>
      <c r="AD331" s="464"/>
      <c r="AE331" s="464"/>
      <c r="AF331" s="464"/>
      <c r="AG331" s="464"/>
      <c r="AH331" s="465"/>
      <c r="AI331" s="464"/>
    </row>
    <row r="332" customFormat="false" ht="15" hidden="false" customHeight="true" outlineLevel="0" collapsed="false">
      <c r="A332" s="455" t="s">
        <v>1755</v>
      </c>
      <c r="C332" s="456" t="n">
        <v>45478</v>
      </c>
      <c r="D332" s="456"/>
      <c r="E332" s="57" t="n">
        <v>26</v>
      </c>
      <c r="F332" s="323" t="s">
        <v>175</v>
      </c>
      <c r="G332" s="323" t="s">
        <v>10</v>
      </c>
      <c r="H332" s="98" t="n">
        <v>16440</v>
      </c>
      <c r="I332" s="457" t="n">
        <v>38.3</v>
      </c>
      <c r="J332" s="313" t="s">
        <v>1652</v>
      </c>
      <c r="K332" s="98" t="n">
        <f aca="false">I332*H332</f>
        <v>629652</v>
      </c>
      <c r="L332" s="411" t="n">
        <v>191526</v>
      </c>
      <c r="M332" s="392" t="n">
        <f aca="false">L332/K332</f>
        <v>0.304177545691906</v>
      </c>
      <c r="N332" s="466" t="n">
        <f aca="false">I332*M332</f>
        <v>11.65</v>
      </c>
      <c r="O332" s="461" t="n">
        <v>16440</v>
      </c>
      <c r="P332" s="462" t="n">
        <f aca="false">H332-O332</f>
        <v>0</v>
      </c>
      <c r="Q332" s="463" t="n">
        <f aca="false">O332*I332</f>
        <v>629652</v>
      </c>
      <c r="R332" s="48" t="n">
        <f aca="false">K332-Q332</f>
        <v>0</v>
      </c>
      <c r="S332" s="467"/>
      <c r="T332" s="2" t="s">
        <v>1711</v>
      </c>
      <c r="V332" s="464"/>
      <c r="W332" s="464"/>
      <c r="X332" s="464"/>
      <c r="Y332" s="464"/>
      <c r="Z332" s="464"/>
      <c r="AA332" s="464"/>
      <c r="AB332" s="464"/>
      <c r="AC332" s="464"/>
      <c r="AD332" s="464"/>
      <c r="AE332" s="464"/>
      <c r="AF332" s="464"/>
      <c r="AG332" s="464"/>
      <c r="AH332" s="465"/>
      <c r="AI332" s="464"/>
    </row>
    <row r="333" customFormat="false" ht="15" hidden="false" customHeight="true" outlineLevel="0" collapsed="false">
      <c r="A333" s="455" t="s">
        <v>1755</v>
      </c>
      <c r="C333" s="456" t="n">
        <v>45478</v>
      </c>
      <c r="D333" s="456"/>
      <c r="E333" s="57" t="n">
        <v>26</v>
      </c>
      <c r="F333" s="323" t="s">
        <v>175</v>
      </c>
      <c r="G333" s="323" t="s">
        <v>10</v>
      </c>
      <c r="H333" s="98" t="n">
        <v>3780</v>
      </c>
      <c r="I333" s="457" t="n">
        <v>90</v>
      </c>
      <c r="J333" s="313" t="s">
        <v>1653</v>
      </c>
      <c r="K333" s="98" t="n">
        <f aca="false">I333*H333</f>
        <v>340200</v>
      </c>
      <c r="L333" s="411" t="n">
        <v>56700</v>
      </c>
      <c r="M333" s="392" t="n">
        <f aca="false">L333/K333</f>
        <v>0.166666666666667</v>
      </c>
      <c r="N333" s="466" t="n">
        <f aca="false">I333*M333</f>
        <v>15</v>
      </c>
      <c r="O333" s="461" t="n">
        <v>3780</v>
      </c>
      <c r="P333" s="462" t="n">
        <f aca="false">H333-O333</f>
        <v>0</v>
      </c>
      <c r="Q333" s="463" t="n">
        <f aca="false">O333*I333</f>
        <v>340200</v>
      </c>
      <c r="R333" s="48" t="n">
        <f aca="false">K333-Q333</f>
        <v>0</v>
      </c>
      <c r="S333" s="467"/>
      <c r="T333" s="2" t="s">
        <v>1711</v>
      </c>
      <c r="V333" s="464"/>
      <c r="W333" s="464"/>
      <c r="X333" s="464"/>
      <c r="Y333" s="464"/>
      <c r="Z333" s="464"/>
      <c r="AA333" s="464"/>
      <c r="AB333" s="464"/>
      <c r="AC333" s="464"/>
      <c r="AD333" s="464"/>
      <c r="AE333" s="464"/>
      <c r="AF333" s="464"/>
      <c r="AG333" s="464"/>
      <c r="AH333" s="465"/>
      <c r="AI333" s="464"/>
    </row>
    <row r="334" customFormat="false" ht="15" hidden="false" customHeight="true" outlineLevel="0" collapsed="false">
      <c r="A334" s="455" t="s">
        <v>1755</v>
      </c>
      <c r="C334" s="456" t="n">
        <v>45478</v>
      </c>
      <c r="D334" s="456"/>
      <c r="E334" s="57" t="n">
        <v>27</v>
      </c>
      <c r="F334" s="323" t="s">
        <v>175</v>
      </c>
      <c r="G334" s="323" t="s">
        <v>20</v>
      </c>
      <c r="H334" s="98" t="n">
        <v>1050</v>
      </c>
      <c r="I334" s="457" t="n">
        <v>38.29</v>
      </c>
      <c r="J334" s="313" t="s">
        <v>1652</v>
      </c>
      <c r="K334" s="98" t="n">
        <f aca="false">I334*H334</f>
        <v>40204.5</v>
      </c>
      <c r="L334" s="411" t="n">
        <v>13293</v>
      </c>
      <c r="M334" s="392" t="n">
        <f aca="false">L334/K334</f>
        <v>0.330634630451815</v>
      </c>
      <c r="N334" s="466" t="n">
        <f aca="false">I334*M334</f>
        <v>12.66</v>
      </c>
      <c r="O334" s="461" t="n">
        <v>1050</v>
      </c>
      <c r="P334" s="462" t="n">
        <f aca="false">H334-O334</f>
        <v>0</v>
      </c>
      <c r="Q334" s="463" t="n">
        <f aca="false">O334*I334</f>
        <v>40204.5</v>
      </c>
      <c r="R334" s="48" t="n">
        <f aca="false">K334-Q334</f>
        <v>0</v>
      </c>
      <c r="S334" s="467"/>
      <c r="T334" s="2" t="s">
        <v>1711</v>
      </c>
      <c r="V334" s="464"/>
      <c r="W334" s="464"/>
      <c r="X334" s="464"/>
      <c r="Y334" s="464"/>
      <c r="Z334" s="464"/>
      <c r="AA334" s="464"/>
      <c r="AB334" s="464"/>
      <c r="AC334" s="464"/>
      <c r="AD334" s="464"/>
      <c r="AE334" s="464"/>
      <c r="AF334" s="464"/>
      <c r="AG334" s="464"/>
      <c r="AH334" s="465"/>
      <c r="AI334" s="464"/>
    </row>
    <row r="335" customFormat="false" ht="15" hidden="false" customHeight="true" outlineLevel="0" collapsed="false">
      <c r="A335" s="455" t="s">
        <v>1755</v>
      </c>
      <c r="C335" s="456" t="n">
        <v>45478</v>
      </c>
      <c r="D335" s="456"/>
      <c r="E335" s="57" t="n">
        <v>27</v>
      </c>
      <c r="F335" s="323" t="s">
        <v>175</v>
      </c>
      <c r="G335" s="323" t="s">
        <v>10</v>
      </c>
      <c r="H335" s="98" t="n">
        <v>10005</v>
      </c>
      <c r="I335" s="457" t="n">
        <v>38.3</v>
      </c>
      <c r="J335" s="313" t="s">
        <v>1652</v>
      </c>
      <c r="K335" s="98" t="n">
        <f aca="false">I335*H335</f>
        <v>383191.5</v>
      </c>
      <c r="L335" s="411" t="n">
        <v>106653.3</v>
      </c>
      <c r="M335" s="392" t="n">
        <f aca="false">L335/K335</f>
        <v>0.278328981723238</v>
      </c>
      <c r="N335" s="466" t="n">
        <f aca="false">I335*M335</f>
        <v>10.66</v>
      </c>
      <c r="O335" s="461" t="n">
        <v>4005</v>
      </c>
      <c r="P335" s="468" t="n">
        <f aca="false">H335-O335</f>
        <v>6000</v>
      </c>
      <c r="Q335" s="463" t="n">
        <f aca="false">O335*I335</f>
        <v>153391.5</v>
      </c>
      <c r="R335" s="48" t="n">
        <f aca="false">K335-Q335</f>
        <v>229800</v>
      </c>
      <c r="S335" s="467" t="n">
        <v>45658</v>
      </c>
      <c r="T335" s="2" t="s">
        <v>1711</v>
      </c>
      <c r="V335" s="464"/>
      <c r="W335" s="464"/>
      <c r="X335" s="464"/>
      <c r="Y335" s="464"/>
      <c r="Z335" s="464"/>
      <c r="AA335" s="464"/>
      <c r="AB335" s="464"/>
      <c r="AC335" s="464"/>
      <c r="AD335" s="464"/>
      <c r="AE335" s="464"/>
      <c r="AF335" s="464"/>
      <c r="AG335" s="464"/>
      <c r="AH335" s="465"/>
      <c r="AI335" s="464"/>
    </row>
    <row r="336" customFormat="false" ht="15" hidden="false" customHeight="true" outlineLevel="0" collapsed="false">
      <c r="A336" s="455" t="s">
        <v>1755</v>
      </c>
      <c r="C336" s="456" t="n">
        <v>45478</v>
      </c>
      <c r="D336" s="456"/>
      <c r="E336" s="57" t="n">
        <v>28</v>
      </c>
      <c r="F336" s="323" t="s">
        <v>175</v>
      </c>
      <c r="G336" s="323" t="s">
        <v>10</v>
      </c>
      <c r="H336" s="98" t="n">
        <v>7020</v>
      </c>
      <c r="I336" s="457" t="n">
        <v>38.3</v>
      </c>
      <c r="J336" s="313" t="s">
        <v>1652</v>
      </c>
      <c r="K336" s="98" t="n">
        <f aca="false">I336*H336</f>
        <v>268866</v>
      </c>
      <c r="L336" s="411" t="n">
        <v>74833.2</v>
      </c>
      <c r="M336" s="392" t="n">
        <f aca="false">L336/K336</f>
        <v>0.278328981723238</v>
      </c>
      <c r="N336" s="466" t="n">
        <f aca="false">I336*M336</f>
        <v>10.66</v>
      </c>
      <c r="O336" s="461" t="n">
        <v>7020</v>
      </c>
      <c r="P336" s="462" t="n">
        <f aca="false">H336-O336</f>
        <v>0</v>
      </c>
      <c r="Q336" s="463" t="n">
        <f aca="false">O336*I336</f>
        <v>268866</v>
      </c>
      <c r="R336" s="48" t="n">
        <f aca="false">K336-Q336</f>
        <v>0</v>
      </c>
      <c r="S336" s="467"/>
      <c r="T336" s="2" t="s">
        <v>1711</v>
      </c>
      <c r="V336" s="464"/>
      <c r="W336" s="464"/>
      <c r="X336" s="464"/>
      <c r="Y336" s="464"/>
      <c r="Z336" s="464"/>
      <c r="AA336" s="464"/>
      <c r="AB336" s="464"/>
      <c r="AC336" s="464"/>
      <c r="AD336" s="464"/>
      <c r="AE336" s="464"/>
      <c r="AF336" s="464"/>
      <c r="AG336" s="464"/>
      <c r="AH336" s="465"/>
      <c r="AI336" s="464"/>
    </row>
    <row r="337" customFormat="false" ht="15" hidden="false" customHeight="true" outlineLevel="0" collapsed="false">
      <c r="A337" s="455" t="s">
        <v>1755</v>
      </c>
      <c r="C337" s="456" t="n">
        <v>45478</v>
      </c>
      <c r="D337" s="456"/>
      <c r="E337" s="57" t="n">
        <v>28</v>
      </c>
      <c r="F337" s="323" t="s">
        <v>175</v>
      </c>
      <c r="G337" s="323" t="s">
        <v>20</v>
      </c>
      <c r="H337" s="98" t="n">
        <v>555</v>
      </c>
      <c r="I337" s="457" t="n">
        <v>38.29</v>
      </c>
      <c r="J337" s="313" t="s">
        <v>1652</v>
      </c>
      <c r="K337" s="98" t="n">
        <f aca="false">I337*H337</f>
        <v>21250.95</v>
      </c>
      <c r="L337" s="411" t="n">
        <v>7026.3</v>
      </c>
      <c r="M337" s="392" t="n">
        <f aca="false">L337/K337</f>
        <v>0.330634630451815</v>
      </c>
      <c r="N337" s="466" t="n">
        <f aca="false">I337*M337</f>
        <v>12.66</v>
      </c>
      <c r="O337" s="461" t="n">
        <v>555</v>
      </c>
      <c r="P337" s="462" t="n">
        <f aca="false">H337-O337</f>
        <v>0</v>
      </c>
      <c r="Q337" s="463" t="n">
        <f aca="false">O337*I337</f>
        <v>21250.95</v>
      </c>
      <c r="R337" s="48" t="n">
        <f aca="false">K337-Q337</f>
        <v>0</v>
      </c>
      <c r="S337" s="467"/>
      <c r="T337" s="2" t="s">
        <v>1711</v>
      </c>
      <c r="V337" s="464"/>
      <c r="W337" s="464"/>
      <c r="X337" s="464"/>
      <c r="Y337" s="464"/>
      <c r="Z337" s="464"/>
      <c r="AA337" s="464"/>
      <c r="AB337" s="464"/>
      <c r="AC337" s="464"/>
      <c r="AD337" s="464"/>
      <c r="AE337" s="464"/>
      <c r="AF337" s="464"/>
      <c r="AG337" s="464"/>
      <c r="AH337" s="465"/>
      <c r="AI337" s="464"/>
    </row>
    <row r="338" customFormat="false" ht="15" hidden="false" customHeight="true" outlineLevel="0" collapsed="false">
      <c r="A338" s="455" t="s">
        <v>1755</v>
      </c>
      <c r="C338" s="456" t="n">
        <v>45478</v>
      </c>
      <c r="D338" s="456"/>
      <c r="E338" s="57" t="n">
        <v>28</v>
      </c>
      <c r="F338" s="323" t="s">
        <v>175</v>
      </c>
      <c r="G338" s="323" t="s">
        <v>6</v>
      </c>
      <c r="H338" s="98" t="n">
        <v>7260</v>
      </c>
      <c r="I338" s="457" t="n">
        <v>45</v>
      </c>
      <c r="J338" s="313" t="s">
        <v>1652</v>
      </c>
      <c r="K338" s="98" t="n">
        <f aca="false">I338*H338</f>
        <v>326700</v>
      </c>
      <c r="L338" s="411" t="n">
        <v>106431.6</v>
      </c>
      <c r="M338" s="392" t="n">
        <f aca="false">L338/K338</f>
        <v>0.325777777777778</v>
      </c>
      <c r="N338" s="466" t="n">
        <f aca="false">I338*M338</f>
        <v>14.66</v>
      </c>
      <c r="O338" s="461" t="n">
        <v>7260</v>
      </c>
      <c r="P338" s="462" t="n">
        <f aca="false">H338-O338</f>
        <v>0</v>
      </c>
      <c r="Q338" s="463" t="n">
        <f aca="false">O338*I338</f>
        <v>326700</v>
      </c>
      <c r="R338" s="48" t="n">
        <f aca="false">K338-Q338</f>
        <v>0</v>
      </c>
      <c r="S338" s="467"/>
      <c r="T338" s="2" t="s">
        <v>1711</v>
      </c>
      <c r="V338" s="464"/>
      <c r="W338" s="464"/>
      <c r="X338" s="464"/>
      <c r="Y338" s="464"/>
      <c r="Z338" s="464"/>
      <c r="AA338" s="464"/>
      <c r="AB338" s="464"/>
      <c r="AC338" s="464"/>
      <c r="AD338" s="464"/>
      <c r="AE338" s="464"/>
      <c r="AF338" s="464"/>
      <c r="AG338" s="464"/>
      <c r="AH338" s="465"/>
      <c r="AI338" s="464"/>
    </row>
    <row r="339" customFormat="false" ht="15" hidden="false" customHeight="true" outlineLevel="0" collapsed="false">
      <c r="A339" s="455" t="s">
        <v>1755</v>
      </c>
      <c r="C339" s="456" t="n">
        <v>45478</v>
      </c>
      <c r="D339" s="456"/>
      <c r="E339" s="57" t="n">
        <v>29</v>
      </c>
      <c r="F339" s="323" t="s">
        <v>175</v>
      </c>
      <c r="G339" s="323" t="s">
        <v>10</v>
      </c>
      <c r="H339" s="98" t="n">
        <v>5010</v>
      </c>
      <c r="I339" s="457" t="n">
        <v>38.3</v>
      </c>
      <c r="J339" s="313" t="s">
        <v>1652</v>
      </c>
      <c r="K339" s="98" t="n">
        <f aca="false">I339*H339</f>
        <v>191883</v>
      </c>
      <c r="L339" s="411" t="n">
        <v>58216.2</v>
      </c>
      <c r="M339" s="392" t="n">
        <f aca="false">L339/K339</f>
        <v>0.303394255874674</v>
      </c>
      <c r="N339" s="466" t="n">
        <f aca="false">I339*M339</f>
        <v>11.62</v>
      </c>
      <c r="O339" s="461" t="n">
        <v>5010</v>
      </c>
      <c r="P339" s="462" t="n">
        <f aca="false">H339-O339</f>
        <v>0</v>
      </c>
      <c r="Q339" s="463" t="n">
        <f aca="false">O339*I339</f>
        <v>191883</v>
      </c>
      <c r="R339" s="48" t="n">
        <f aca="false">K339-Q339</f>
        <v>0</v>
      </c>
      <c r="S339" s="467"/>
      <c r="T339" s="2" t="s">
        <v>1711</v>
      </c>
      <c r="V339" s="464"/>
      <c r="W339" s="464"/>
      <c r="X339" s="464"/>
      <c r="Y339" s="464"/>
      <c r="Z339" s="464"/>
      <c r="AA339" s="464"/>
      <c r="AB339" s="464"/>
      <c r="AC339" s="464"/>
      <c r="AD339" s="464"/>
      <c r="AE339" s="464"/>
      <c r="AF339" s="464"/>
      <c r="AG339" s="464"/>
      <c r="AH339" s="465"/>
      <c r="AI339" s="464"/>
    </row>
    <row r="340" customFormat="false" ht="15" hidden="false" customHeight="true" outlineLevel="0" collapsed="false">
      <c r="A340" s="455" t="s">
        <v>1755</v>
      </c>
      <c r="C340" s="456" t="n">
        <v>45478</v>
      </c>
      <c r="D340" s="456"/>
      <c r="E340" s="57" t="n">
        <v>29</v>
      </c>
      <c r="F340" s="323" t="s">
        <v>175</v>
      </c>
      <c r="G340" s="323" t="s">
        <v>20</v>
      </c>
      <c r="H340" s="98" t="n">
        <v>555</v>
      </c>
      <c r="I340" s="457" t="n">
        <v>38.29</v>
      </c>
      <c r="J340" s="313" t="s">
        <v>1652</v>
      </c>
      <c r="K340" s="98" t="n">
        <f aca="false">I340*H340</f>
        <v>21250.95</v>
      </c>
      <c r="L340" s="411" t="n">
        <v>7653.45</v>
      </c>
      <c r="M340" s="392" t="n">
        <f aca="false">L340/K340</f>
        <v>0.360146252285192</v>
      </c>
      <c r="N340" s="466" t="n">
        <f aca="false">I340*M340</f>
        <v>13.79</v>
      </c>
      <c r="O340" s="461" t="n">
        <v>555</v>
      </c>
      <c r="P340" s="462" t="n">
        <f aca="false">H340-O340</f>
        <v>0</v>
      </c>
      <c r="Q340" s="463" t="n">
        <f aca="false">O340*I340</f>
        <v>21250.95</v>
      </c>
      <c r="R340" s="48" t="n">
        <f aca="false">K340-Q340</f>
        <v>0</v>
      </c>
      <c r="S340" s="467"/>
      <c r="T340" s="2" t="s">
        <v>1711</v>
      </c>
      <c r="V340" s="464"/>
      <c r="W340" s="464"/>
      <c r="X340" s="464"/>
      <c r="Y340" s="464"/>
      <c r="Z340" s="464"/>
      <c r="AA340" s="464"/>
      <c r="AB340" s="464"/>
      <c r="AC340" s="464"/>
      <c r="AD340" s="464"/>
      <c r="AE340" s="464"/>
      <c r="AF340" s="464"/>
      <c r="AG340" s="464"/>
      <c r="AH340" s="465"/>
      <c r="AI340" s="464"/>
    </row>
    <row r="341" customFormat="false" ht="15" hidden="false" customHeight="true" outlineLevel="0" collapsed="false">
      <c r="A341" s="455" t="s">
        <v>1755</v>
      </c>
      <c r="C341" s="456" t="n">
        <v>45478</v>
      </c>
      <c r="D341" s="456"/>
      <c r="E341" s="57" t="n">
        <v>29</v>
      </c>
      <c r="F341" s="323" t="s">
        <v>175</v>
      </c>
      <c r="G341" s="323" t="s">
        <v>6</v>
      </c>
      <c r="H341" s="98" t="n">
        <v>4260</v>
      </c>
      <c r="I341" s="457" t="n">
        <v>45</v>
      </c>
      <c r="J341" s="313" t="s">
        <v>1652</v>
      </c>
      <c r="K341" s="98" t="n">
        <f aca="false">I341*H341</f>
        <v>191700</v>
      </c>
      <c r="L341" s="411" t="n">
        <v>67435.8</v>
      </c>
      <c r="M341" s="392" t="n">
        <f aca="false">L341/K341</f>
        <v>0.351777777777778</v>
      </c>
      <c r="N341" s="466" t="n">
        <f aca="false">I341*M341</f>
        <v>15.83</v>
      </c>
      <c r="O341" s="461" t="n">
        <v>4260</v>
      </c>
      <c r="P341" s="462" t="n">
        <f aca="false">H341-O341</f>
        <v>0</v>
      </c>
      <c r="Q341" s="463" t="n">
        <f aca="false">O341*I341</f>
        <v>191700</v>
      </c>
      <c r="R341" s="48" t="n">
        <f aca="false">K341-Q341</f>
        <v>0</v>
      </c>
      <c r="S341" s="467"/>
      <c r="T341" s="2" t="s">
        <v>1711</v>
      </c>
      <c r="V341" s="464"/>
      <c r="W341" s="464"/>
      <c r="X341" s="464"/>
      <c r="Y341" s="464"/>
      <c r="Z341" s="464"/>
      <c r="AA341" s="464"/>
      <c r="AB341" s="464"/>
      <c r="AC341" s="464"/>
      <c r="AD341" s="464"/>
      <c r="AE341" s="464"/>
      <c r="AF341" s="464"/>
      <c r="AG341" s="464"/>
      <c r="AH341" s="465"/>
      <c r="AI341" s="464"/>
    </row>
    <row r="342" customFormat="false" ht="15" hidden="false" customHeight="true" outlineLevel="0" collapsed="false">
      <c r="A342" s="455" t="s">
        <v>1756</v>
      </c>
      <c r="C342" s="456" t="n">
        <v>45468</v>
      </c>
      <c r="D342" s="456"/>
      <c r="E342" s="57" t="n">
        <v>62</v>
      </c>
      <c r="F342" s="323" t="s">
        <v>175</v>
      </c>
      <c r="G342" s="323" t="s">
        <v>10</v>
      </c>
      <c r="H342" s="98" t="n">
        <v>1500</v>
      </c>
      <c r="I342" s="457" t="n">
        <v>38.3</v>
      </c>
      <c r="J342" s="313" t="s">
        <v>1652</v>
      </c>
      <c r="K342" s="98" t="n">
        <f aca="false">I342*H342</f>
        <v>57450</v>
      </c>
      <c r="L342" s="411" t="n">
        <v>18750</v>
      </c>
      <c r="M342" s="392" t="n">
        <f aca="false">L342/K342</f>
        <v>0.326370757180157</v>
      </c>
      <c r="N342" s="466" t="n">
        <f aca="false">I342*M342</f>
        <v>12.5</v>
      </c>
      <c r="O342" s="461" t="n">
        <v>1500</v>
      </c>
      <c r="P342" s="462" t="n">
        <f aca="false">H342-O342</f>
        <v>0</v>
      </c>
      <c r="Q342" s="463" t="n">
        <f aca="false">O342*I342</f>
        <v>57450</v>
      </c>
      <c r="R342" s="48" t="n">
        <f aca="false">K342-Q342</f>
        <v>0</v>
      </c>
      <c r="S342" s="467"/>
      <c r="T342" s="2" t="s">
        <v>1711</v>
      </c>
      <c r="V342" s="464"/>
      <c r="W342" s="464"/>
      <c r="X342" s="464"/>
      <c r="Y342" s="464"/>
      <c r="Z342" s="464"/>
      <c r="AA342" s="464"/>
      <c r="AB342" s="464"/>
      <c r="AC342" s="464"/>
      <c r="AD342" s="464"/>
      <c r="AE342" s="464"/>
      <c r="AF342" s="464"/>
      <c r="AG342" s="464"/>
      <c r="AH342" s="465"/>
      <c r="AI342" s="464"/>
    </row>
    <row r="343" customFormat="false" ht="15" hidden="false" customHeight="true" outlineLevel="0" collapsed="false">
      <c r="A343" s="455" t="s">
        <v>1757</v>
      </c>
      <c r="C343" s="456" t="n">
        <v>45481</v>
      </c>
      <c r="D343" s="456"/>
      <c r="E343" s="108" t="n">
        <v>63</v>
      </c>
      <c r="F343" s="323" t="s">
        <v>175</v>
      </c>
      <c r="G343" s="323" t="s">
        <v>42</v>
      </c>
      <c r="H343" s="97" t="n">
        <v>300</v>
      </c>
      <c r="I343" s="457" t="n">
        <v>30</v>
      </c>
      <c r="J343" s="313" t="s">
        <v>1651</v>
      </c>
      <c r="K343" s="98" t="n">
        <f aca="false">I343*H343</f>
        <v>9000</v>
      </c>
      <c r="L343" s="411" t="n">
        <v>6300</v>
      </c>
      <c r="M343" s="392" t="n">
        <f aca="false">L343/K343</f>
        <v>0.7</v>
      </c>
      <c r="N343" s="466" t="n">
        <f aca="false">I343*M343</f>
        <v>21</v>
      </c>
      <c r="O343" s="461" t="n">
        <v>300</v>
      </c>
      <c r="P343" s="462" t="n">
        <f aca="false">H343-O343</f>
        <v>0</v>
      </c>
      <c r="Q343" s="463" t="n">
        <f aca="false">O343*I343</f>
        <v>9000</v>
      </c>
      <c r="R343" s="48" t="n">
        <f aca="false">K343-Q343</f>
        <v>0</v>
      </c>
      <c r="S343" s="467"/>
      <c r="T343" s="2" t="s">
        <v>1711</v>
      </c>
      <c r="V343" s="464"/>
      <c r="W343" s="464"/>
      <c r="X343" s="464"/>
      <c r="Y343" s="464"/>
      <c r="Z343" s="464"/>
      <c r="AA343" s="464"/>
      <c r="AB343" s="464"/>
      <c r="AC343" s="464"/>
      <c r="AD343" s="464"/>
      <c r="AE343" s="464"/>
      <c r="AF343" s="464"/>
      <c r="AG343" s="464"/>
      <c r="AH343" s="465"/>
      <c r="AI343" s="464"/>
    </row>
    <row r="344" customFormat="false" ht="15" hidden="false" customHeight="true" outlineLevel="0" collapsed="false">
      <c r="A344" s="455" t="s">
        <v>1757</v>
      </c>
      <c r="C344" s="456" t="n">
        <v>45481</v>
      </c>
      <c r="D344" s="456"/>
      <c r="E344" s="108" t="n">
        <v>63</v>
      </c>
      <c r="F344" s="323" t="s">
        <v>175</v>
      </c>
      <c r="G344" s="323" t="s">
        <v>11</v>
      </c>
      <c r="H344" s="97" t="n">
        <v>105</v>
      </c>
      <c r="I344" s="457" t="n">
        <v>14</v>
      </c>
      <c r="J344" s="313" t="s">
        <v>1651</v>
      </c>
      <c r="K344" s="98" t="n">
        <f aca="false">I344*H344</f>
        <v>1470</v>
      </c>
      <c r="L344" s="411" t="n">
        <v>7770</v>
      </c>
      <c r="M344" s="392" t="n">
        <f aca="false">L344/K344</f>
        <v>5.28571428571429</v>
      </c>
      <c r="N344" s="466" t="n">
        <f aca="false">I344*M344</f>
        <v>74</v>
      </c>
      <c r="O344" s="461" t="n">
        <v>105</v>
      </c>
      <c r="P344" s="462" t="n">
        <f aca="false">H344-O344</f>
        <v>0</v>
      </c>
      <c r="Q344" s="463" t="n">
        <f aca="false">O344*I344</f>
        <v>1470</v>
      </c>
      <c r="R344" s="48" t="n">
        <f aca="false">K344-Q344</f>
        <v>0</v>
      </c>
      <c r="S344" s="467"/>
      <c r="T344" s="2" t="s">
        <v>1711</v>
      </c>
      <c r="V344" s="464"/>
      <c r="W344" s="464"/>
      <c r="X344" s="464"/>
      <c r="Y344" s="464"/>
      <c r="Z344" s="464"/>
      <c r="AA344" s="464"/>
      <c r="AB344" s="464"/>
      <c r="AC344" s="464"/>
      <c r="AD344" s="464"/>
      <c r="AE344" s="464"/>
      <c r="AF344" s="464"/>
      <c r="AG344" s="464"/>
      <c r="AH344" s="465"/>
      <c r="AI344" s="464"/>
    </row>
    <row r="345" customFormat="false" ht="15" hidden="false" customHeight="true" outlineLevel="0" collapsed="false">
      <c r="A345" s="455" t="s">
        <v>1757</v>
      </c>
      <c r="C345" s="456" t="n">
        <v>45481</v>
      </c>
      <c r="D345" s="456"/>
      <c r="E345" s="108" t="n">
        <v>63</v>
      </c>
      <c r="F345" s="323" t="s">
        <v>175</v>
      </c>
      <c r="G345" s="323" t="s">
        <v>17</v>
      </c>
      <c r="H345" s="97" t="n">
        <v>60</v>
      </c>
      <c r="I345" s="457" t="n">
        <v>22.5</v>
      </c>
      <c r="J345" s="313" t="s">
        <v>1651</v>
      </c>
      <c r="K345" s="98" t="n">
        <f aca="false">I345*H345</f>
        <v>1350</v>
      </c>
      <c r="L345" s="411" t="n">
        <v>1620</v>
      </c>
      <c r="M345" s="392" t="n">
        <f aca="false">L345/K345</f>
        <v>1.2</v>
      </c>
      <c r="N345" s="466" t="n">
        <f aca="false">I345*M345</f>
        <v>27</v>
      </c>
      <c r="O345" s="461" t="n">
        <v>60</v>
      </c>
      <c r="P345" s="462" t="n">
        <f aca="false">H345-O345</f>
        <v>0</v>
      </c>
      <c r="Q345" s="463" t="n">
        <f aca="false">O345*I345</f>
        <v>1350</v>
      </c>
      <c r="R345" s="48" t="n">
        <f aca="false">K345-Q345</f>
        <v>0</v>
      </c>
      <c r="S345" s="467"/>
      <c r="T345" s="2" t="s">
        <v>1711</v>
      </c>
      <c r="V345" s="464"/>
      <c r="W345" s="464"/>
      <c r="X345" s="464"/>
      <c r="Y345" s="464"/>
      <c r="Z345" s="464"/>
      <c r="AA345" s="464"/>
      <c r="AB345" s="464"/>
      <c r="AC345" s="464"/>
      <c r="AD345" s="464"/>
      <c r="AE345" s="464"/>
      <c r="AF345" s="464"/>
      <c r="AG345" s="464"/>
      <c r="AH345" s="465"/>
      <c r="AI345" s="464"/>
    </row>
    <row r="346" customFormat="false" ht="15" hidden="false" customHeight="true" outlineLevel="0" collapsed="false">
      <c r="A346" s="455" t="s">
        <v>64</v>
      </c>
      <c r="C346" s="456" t="n">
        <v>45463</v>
      </c>
      <c r="D346" s="456"/>
      <c r="E346" s="57" t="n">
        <v>64</v>
      </c>
      <c r="F346" s="323" t="s">
        <v>175</v>
      </c>
      <c r="G346" s="323" t="s">
        <v>5</v>
      </c>
      <c r="H346" s="98" t="n">
        <v>7005</v>
      </c>
      <c r="I346" s="457" t="n">
        <v>25.71</v>
      </c>
      <c r="J346" s="313" t="s">
        <v>1651</v>
      </c>
      <c r="K346" s="98" t="n">
        <f aca="false">I346*H346</f>
        <v>180098.55</v>
      </c>
      <c r="L346" s="411" t="n">
        <v>79997.1</v>
      </c>
      <c r="M346" s="392" t="n">
        <f aca="false">L346/K346</f>
        <v>0.444185141968106</v>
      </c>
      <c r="N346" s="466" t="n">
        <f aca="false">I346*M346</f>
        <v>11.42</v>
      </c>
      <c r="O346" s="461" t="n">
        <v>7005</v>
      </c>
      <c r="P346" s="462" t="n">
        <f aca="false">H346-O346</f>
        <v>0</v>
      </c>
      <c r="Q346" s="463" t="n">
        <f aca="false">O346*I346</f>
        <v>180098.55</v>
      </c>
      <c r="R346" s="48" t="n">
        <f aca="false">K346-Q346</f>
        <v>0</v>
      </c>
      <c r="S346" s="467"/>
      <c r="T346" s="2" t="s">
        <v>1711</v>
      </c>
      <c r="V346" s="464"/>
      <c r="W346" s="464"/>
      <c r="X346" s="464"/>
      <c r="Y346" s="464"/>
      <c r="Z346" s="464"/>
      <c r="AA346" s="464"/>
      <c r="AB346" s="464"/>
      <c r="AC346" s="464"/>
      <c r="AD346" s="464"/>
      <c r="AE346" s="464"/>
      <c r="AF346" s="464"/>
      <c r="AG346" s="464"/>
      <c r="AH346" s="465"/>
      <c r="AI346" s="464"/>
    </row>
    <row r="347" customFormat="false" ht="15" hidden="false" customHeight="true" outlineLevel="0" collapsed="false">
      <c r="A347" s="455" t="s">
        <v>64</v>
      </c>
      <c r="C347" s="469" t="n">
        <v>45463</v>
      </c>
      <c r="D347" s="469"/>
      <c r="E347" s="57" t="n">
        <v>64</v>
      </c>
      <c r="F347" s="323" t="s">
        <v>175</v>
      </c>
      <c r="G347" s="323" t="s">
        <v>42</v>
      </c>
      <c r="H347" s="98" t="n">
        <v>1005</v>
      </c>
      <c r="I347" s="457" t="n">
        <v>30</v>
      </c>
      <c r="J347" s="313" t="s">
        <v>1651</v>
      </c>
      <c r="K347" s="98" t="n">
        <f aca="false">I347*H347</f>
        <v>30150</v>
      </c>
      <c r="L347" s="411" t="n">
        <v>14190.6</v>
      </c>
      <c r="M347" s="392" t="n">
        <f aca="false">L347/K347</f>
        <v>0.470666666666667</v>
      </c>
      <c r="N347" s="466" t="n">
        <f aca="false">I347*M347</f>
        <v>14.12</v>
      </c>
      <c r="O347" s="461" t="n">
        <v>1005</v>
      </c>
      <c r="P347" s="462" t="n">
        <f aca="false">H347-O347</f>
        <v>0</v>
      </c>
      <c r="Q347" s="463" t="n">
        <f aca="false">O347*I347</f>
        <v>30150</v>
      </c>
      <c r="R347" s="48" t="n">
        <f aca="false">K347-Q347</f>
        <v>0</v>
      </c>
      <c r="S347" s="467"/>
      <c r="T347" s="2" t="s">
        <v>1711</v>
      </c>
      <c r="V347" s="464"/>
      <c r="W347" s="464"/>
      <c r="X347" s="464"/>
      <c r="Y347" s="464"/>
      <c r="Z347" s="464"/>
      <c r="AA347" s="464"/>
      <c r="AB347" s="464"/>
      <c r="AC347" s="464"/>
      <c r="AD347" s="464"/>
      <c r="AE347" s="464"/>
      <c r="AF347" s="464"/>
      <c r="AG347" s="464"/>
      <c r="AH347" s="465"/>
      <c r="AI347" s="464"/>
    </row>
    <row r="348" customFormat="false" ht="15" hidden="false" customHeight="true" outlineLevel="0" collapsed="false">
      <c r="A348" s="455" t="s">
        <v>64</v>
      </c>
      <c r="C348" s="456" t="n">
        <v>45463</v>
      </c>
      <c r="D348" s="456"/>
      <c r="E348" s="57" t="n">
        <v>64</v>
      </c>
      <c r="F348" s="323" t="s">
        <v>175</v>
      </c>
      <c r="G348" s="323" t="s">
        <v>11</v>
      </c>
      <c r="H348" s="98" t="n">
        <v>1500</v>
      </c>
      <c r="I348" s="457" t="n">
        <v>14</v>
      </c>
      <c r="J348" s="313" t="s">
        <v>1651</v>
      </c>
      <c r="K348" s="98" t="n">
        <f aca="false">I348*H348</f>
        <v>21000</v>
      </c>
      <c r="L348" s="411" t="n">
        <v>78960</v>
      </c>
      <c r="M348" s="392" t="n">
        <f aca="false">L348/K348</f>
        <v>3.76</v>
      </c>
      <c r="N348" s="466" t="n">
        <f aca="false">I348*M348</f>
        <v>52.64</v>
      </c>
      <c r="O348" s="461" t="n">
        <v>1500</v>
      </c>
      <c r="P348" s="462" t="n">
        <f aca="false">H348-O348</f>
        <v>0</v>
      </c>
      <c r="Q348" s="463" t="n">
        <f aca="false">O348*I348</f>
        <v>21000</v>
      </c>
      <c r="R348" s="48" t="n">
        <f aca="false">K348-Q348</f>
        <v>0</v>
      </c>
      <c r="S348" s="467"/>
      <c r="T348" s="2" t="s">
        <v>1711</v>
      </c>
      <c r="V348" s="464"/>
      <c r="W348" s="464"/>
      <c r="X348" s="464"/>
      <c r="Y348" s="464"/>
      <c r="Z348" s="464"/>
      <c r="AA348" s="464"/>
      <c r="AB348" s="464"/>
      <c r="AC348" s="464"/>
      <c r="AD348" s="464"/>
      <c r="AE348" s="464"/>
      <c r="AF348" s="464"/>
      <c r="AG348" s="464"/>
      <c r="AH348" s="465"/>
      <c r="AI348" s="464"/>
    </row>
    <row r="349" customFormat="false" ht="15" hidden="false" customHeight="true" outlineLevel="0" collapsed="false">
      <c r="A349" s="455" t="s">
        <v>64</v>
      </c>
      <c r="C349" s="469" t="n">
        <v>45463</v>
      </c>
      <c r="D349" s="469"/>
      <c r="E349" s="57" t="n">
        <v>64</v>
      </c>
      <c r="F349" s="323" t="s">
        <v>175</v>
      </c>
      <c r="G349" s="323" t="s">
        <v>13</v>
      </c>
      <c r="H349" s="98" t="n">
        <v>15945</v>
      </c>
      <c r="I349" s="457" t="n">
        <v>22.5</v>
      </c>
      <c r="J349" s="313" t="s">
        <v>1651</v>
      </c>
      <c r="K349" s="98" t="n">
        <f aca="false">I349*H349</f>
        <v>358762.5</v>
      </c>
      <c r="L349" s="411" t="n">
        <v>183367.5</v>
      </c>
      <c r="M349" s="392" t="n">
        <f aca="false">L349/K349</f>
        <v>0.511111111111111</v>
      </c>
      <c r="N349" s="466" t="n">
        <f aca="false">I349*M349</f>
        <v>11.5</v>
      </c>
      <c r="O349" s="461" t="n">
        <v>15945</v>
      </c>
      <c r="P349" s="462" t="n">
        <f aca="false">H349-O349</f>
        <v>0</v>
      </c>
      <c r="Q349" s="463" t="n">
        <f aca="false">O349*I349</f>
        <v>358762.5</v>
      </c>
      <c r="R349" s="48" t="n">
        <f aca="false">K349-Q349</f>
        <v>0</v>
      </c>
      <c r="S349" s="467"/>
      <c r="T349" s="2" t="s">
        <v>1711</v>
      </c>
      <c r="V349" s="464"/>
      <c r="W349" s="464"/>
      <c r="X349" s="464"/>
      <c r="Y349" s="464"/>
      <c r="Z349" s="464"/>
      <c r="AA349" s="464"/>
      <c r="AB349" s="464"/>
      <c r="AC349" s="464"/>
      <c r="AD349" s="464"/>
      <c r="AE349" s="464"/>
      <c r="AF349" s="464"/>
      <c r="AG349" s="464"/>
      <c r="AH349" s="465"/>
      <c r="AI349" s="464"/>
    </row>
    <row r="350" customFormat="false" ht="15" hidden="false" customHeight="true" outlineLevel="0" collapsed="false">
      <c r="A350" s="455" t="s">
        <v>64</v>
      </c>
      <c r="C350" s="456" t="n">
        <v>45463</v>
      </c>
      <c r="D350" s="456"/>
      <c r="E350" s="57" t="n">
        <v>64</v>
      </c>
      <c r="F350" s="323" t="s">
        <v>175</v>
      </c>
      <c r="G350" s="323" t="s">
        <v>12</v>
      </c>
      <c r="H350" s="98" t="n">
        <v>300</v>
      </c>
      <c r="I350" s="457" t="n">
        <v>18</v>
      </c>
      <c r="J350" s="313" t="s">
        <v>1651</v>
      </c>
      <c r="K350" s="98" t="n">
        <f aca="false">I350*H350</f>
        <v>5400</v>
      </c>
      <c r="L350" s="411" t="n">
        <v>14913</v>
      </c>
      <c r="M350" s="392" t="n">
        <f aca="false">L350/K350</f>
        <v>2.76166666666667</v>
      </c>
      <c r="N350" s="466" t="n">
        <f aca="false">I350*M350</f>
        <v>49.71</v>
      </c>
      <c r="O350" s="461" t="n">
        <v>300</v>
      </c>
      <c r="P350" s="462" t="n">
        <f aca="false">H350-O350</f>
        <v>0</v>
      </c>
      <c r="Q350" s="463" t="n">
        <f aca="false">O350*I350</f>
        <v>5400</v>
      </c>
      <c r="R350" s="48" t="n">
        <f aca="false">K350-Q350</f>
        <v>0</v>
      </c>
      <c r="S350" s="467"/>
      <c r="T350" s="2" t="s">
        <v>1711</v>
      </c>
      <c r="V350" s="464"/>
      <c r="W350" s="464"/>
      <c r="X350" s="464"/>
      <c r="Y350" s="464"/>
      <c r="Z350" s="464"/>
      <c r="AA350" s="464"/>
      <c r="AB350" s="464"/>
      <c r="AC350" s="464"/>
      <c r="AD350" s="464"/>
      <c r="AE350" s="464"/>
      <c r="AF350" s="464"/>
      <c r="AG350" s="464"/>
      <c r="AH350" s="465"/>
      <c r="AI350" s="464"/>
    </row>
    <row r="351" customFormat="false" ht="15" hidden="false" customHeight="true" outlineLevel="0" collapsed="false">
      <c r="A351" s="455" t="s">
        <v>64</v>
      </c>
      <c r="C351" s="469" t="n">
        <v>45463</v>
      </c>
      <c r="D351" s="469"/>
      <c r="E351" s="57" t="n">
        <v>64</v>
      </c>
      <c r="F351" s="323" t="s">
        <v>175</v>
      </c>
      <c r="G351" s="323" t="s">
        <v>17</v>
      </c>
      <c r="H351" s="98" t="n">
        <v>10005</v>
      </c>
      <c r="I351" s="457" t="n">
        <v>22.5</v>
      </c>
      <c r="J351" s="313" t="s">
        <v>1651</v>
      </c>
      <c r="K351" s="98" t="n">
        <f aca="false">I351*H351</f>
        <v>225112.5</v>
      </c>
      <c r="L351" s="411" t="n">
        <v>115057.5</v>
      </c>
      <c r="M351" s="392" t="n">
        <f aca="false">L351/K351</f>
        <v>0.511111111111111</v>
      </c>
      <c r="N351" s="466" t="n">
        <f aca="false">I351*M351</f>
        <v>11.5</v>
      </c>
      <c r="O351" s="461" t="n">
        <v>10005</v>
      </c>
      <c r="P351" s="462" t="n">
        <f aca="false">H351-O351</f>
        <v>0</v>
      </c>
      <c r="Q351" s="463" t="n">
        <f aca="false">O351*I351</f>
        <v>225112.5</v>
      </c>
      <c r="R351" s="48" t="n">
        <f aca="false">K351-Q351</f>
        <v>0</v>
      </c>
      <c r="S351" s="467"/>
      <c r="T351" s="2" t="s">
        <v>1711</v>
      </c>
      <c r="V351" s="464"/>
      <c r="W351" s="464"/>
      <c r="X351" s="464"/>
      <c r="Y351" s="464"/>
      <c r="Z351" s="464"/>
      <c r="AA351" s="464"/>
      <c r="AB351" s="464"/>
      <c r="AC351" s="464"/>
      <c r="AD351" s="464"/>
      <c r="AE351" s="464"/>
      <c r="AF351" s="464"/>
      <c r="AG351" s="464"/>
      <c r="AH351" s="465"/>
      <c r="AI351" s="464"/>
    </row>
    <row r="352" customFormat="false" ht="15" hidden="false" customHeight="true" outlineLevel="0" collapsed="false">
      <c r="A352" s="455" t="s">
        <v>64</v>
      </c>
      <c r="C352" s="456" t="n">
        <v>45463</v>
      </c>
      <c r="D352" s="456"/>
      <c r="E352" s="57" t="n">
        <v>64</v>
      </c>
      <c r="F352" s="323" t="s">
        <v>175</v>
      </c>
      <c r="G352" s="323" t="s">
        <v>15</v>
      </c>
      <c r="H352" s="98" t="n">
        <v>1500</v>
      </c>
      <c r="I352" s="457" t="n">
        <v>22.5</v>
      </c>
      <c r="J352" s="313" t="s">
        <v>1651</v>
      </c>
      <c r="K352" s="98" t="n">
        <f aca="false">I352*H352</f>
        <v>33750</v>
      </c>
      <c r="L352" s="411" t="n">
        <v>25200</v>
      </c>
      <c r="M352" s="392" t="n">
        <f aca="false">L352/K352</f>
        <v>0.746666666666667</v>
      </c>
      <c r="N352" s="466" t="n">
        <f aca="false">I352*M352</f>
        <v>16.8</v>
      </c>
      <c r="O352" s="461" t="n">
        <v>1500</v>
      </c>
      <c r="P352" s="462" t="n">
        <f aca="false">H352-O352</f>
        <v>0</v>
      </c>
      <c r="Q352" s="463" t="n">
        <f aca="false">O352*I352</f>
        <v>33750</v>
      </c>
      <c r="R352" s="48" t="n">
        <f aca="false">K352-Q352</f>
        <v>0</v>
      </c>
      <c r="S352" s="467"/>
      <c r="T352" s="2" t="s">
        <v>1711</v>
      </c>
      <c r="V352" s="464"/>
      <c r="W352" s="464"/>
      <c r="X352" s="464"/>
      <c r="Y352" s="464"/>
      <c r="Z352" s="464"/>
      <c r="AA352" s="464"/>
      <c r="AB352" s="464"/>
      <c r="AC352" s="464"/>
      <c r="AD352" s="464"/>
      <c r="AE352" s="464"/>
      <c r="AF352" s="464"/>
      <c r="AG352" s="464"/>
      <c r="AH352" s="465"/>
      <c r="AI352" s="464"/>
    </row>
    <row r="353" customFormat="false" ht="15" hidden="false" customHeight="true" outlineLevel="0" collapsed="false">
      <c r="A353" s="455" t="s">
        <v>1758</v>
      </c>
      <c r="C353" s="456" t="n">
        <v>45449</v>
      </c>
      <c r="D353" s="456"/>
      <c r="E353" s="57" t="n">
        <v>65</v>
      </c>
      <c r="F353" s="57" t="s">
        <v>175</v>
      </c>
      <c r="G353" s="57" t="s">
        <v>5</v>
      </c>
      <c r="H353" s="98" t="n">
        <v>9000</v>
      </c>
      <c r="I353" s="457" t="n">
        <v>25.71</v>
      </c>
      <c r="J353" s="313" t="s">
        <v>1651</v>
      </c>
      <c r="K353" s="98" t="n">
        <f aca="false">I353*H353</f>
        <v>231390</v>
      </c>
      <c r="L353" s="411" t="n">
        <v>99000</v>
      </c>
      <c r="M353" s="392" t="n">
        <f aca="false">L353/K353</f>
        <v>0.427849085958771</v>
      </c>
      <c r="N353" s="466" t="n">
        <f aca="false">I353*M353</f>
        <v>11</v>
      </c>
      <c r="O353" s="461" t="n">
        <v>9000</v>
      </c>
      <c r="P353" s="462" t="n">
        <f aca="false">H353-O353</f>
        <v>0</v>
      </c>
      <c r="Q353" s="463" t="n">
        <f aca="false">O353*I353</f>
        <v>231390</v>
      </c>
      <c r="R353" s="48" t="n">
        <f aca="false">K353-Q353</f>
        <v>0</v>
      </c>
      <c r="S353" s="467"/>
      <c r="T353" s="2" t="s">
        <v>1711</v>
      </c>
      <c r="V353" s="464"/>
      <c r="W353" s="464"/>
      <c r="X353" s="464"/>
      <c r="Y353" s="464"/>
      <c r="Z353" s="464"/>
      <c r="AA353" s="464"/>
      <c r="AB353" s="464"/>
      <c r="AC353" s="464"/>
      <c r="AD353" s="464"/>
      <c r="AE353" s="464"/>
      <c r="AF353" s="464"/>
      <c r="AG353" s="464"/>
      <c r="AH353" s="465"/>
      <c r="AI353" s="464"/>
    </row>
    <row r="354" customFormat="false" ht="15" hidden="false" customHeight="true" outlineLevel="0" collapsed="false">
      <c r="A354" s="455" t="s">
        <v>1758</v>
      </c>
      <c r="C354" s="456" t="n">
        <v>45449</v>
      </c>
      <c r="D354" s="456"/>
      <c r="E354" s="57" t="n">
        <v>65</v>
      </c>
      <c r="F354" s="57" t="s">
        <v>175</v>
      </c>
      <c r="G354" s="57" t="s">
        <v>42</v>
      </c>
      <c r="H354" s="98" t="n">
        <v>600</v>
      </c>
      <c r="I354" s="457" t="n">
        <v>30</v>
      </c>
      <c r="J354" s="313" t="s">
        <v>1651</v>
      </c>
      <c r="K354" s="98" t="n">
        <f aca="false">I354*H354</f>
        <v>18000</v>
      </c>
      <c r="L354" s="411" t="n">
        <v>8100</v>
      </c>
      <c r="M354" s="392" t="n">
        <f aca="false">L354/K354</f>
        <v>0.45</v>
      </c>
      <c r="N354" s="466" t="n">
        <f aca="false">I354*M354</f>
        <v>13.5</v>
      </c>
      <c r="O354" s="461" t="n">
        <v>600</v>
      </c>
      <c r="P354" s="462" t="n">
        <f aca="false">H354-O354</f>
        <v>0</v>
      </c>
      <c r="Q354" s="463" t="n">
        <f aca="false">O354*I354</f>
        <v>18000</v>
      </c>
      <c r="R354" s="48" t="n">
        <f aca="false">K354-Q354</f>
        <v>0</v>
      </c>
      <c r="S354" s="467"/>
      <c r="T354" s="2" t="s">
        <v>1711</v>
      </c>
      <c r="V354" s="464"/>
      <c r="W354" s="464"/>
      <c r="X354" s="464"/>
      <c r="Y354" s="464"/>
      <c r="Z354" s="464"/>
      <c r="AA354" s="464"/>
      <c r="AB354" s="464"/>
      <c r="AC354" s="464"/>
      <c r="AD354" s="464"/>
      <c r="AE354" s="464"/>
      <c r="AF354" s="464"/>
      <c r="AG354" s="464"/>
      <c r="AH354" s="465"/>
      <c r="AI354" s="464"/>
    </row>
    <row r="355" customFormat="false" ht="15" hidden="false" customHeight="true" outlineLevel="0" collapsed="false">
      <c r="A355" s="455" t="s">
        <v>1758</v>
      </c>
      <c r="C355" s="456" t="n">
        <v>45449</v>
      </c>
      <c r="D355" s="456"/>
      <c r="E355" s="57" t="n">
        <v>65</v>
      </c>
      <c r="F355" s="57" t="s">
        <v>175</v>
      </c>
      <c r="G355" s="57" t="s">
        <v>10</v>
      </c>
      <c r="H355" s="98" t="n">
        <v>12000</v>
      </c>
      <c r="I355" s="457" t="n">
        <v>25.71</v>
      </c>
      <c r="J355" s="313" t="s">
        <v>1651</v>
      </c>
      <c r="K355" s="98" t="n">
        <f aca="false">I355*H355</f>
        <v>308520</v>
      </c>
      <c r="L355" s="411" t="n">
        <v>96000</v>
      </c>
      <c r="M355" s="392" t="n">
        <f aca="false">L355/K355</f>
        <v>0.311162971606379</v>
      </c>
      <c r="N355" s="466" t="n">
        <f aca="false">I355*M355</f>
        <v>8</v>
      </c>
      <c r="O355" s="461" t="n">
        <v>12000</v>
      </c>
      <c r="P355" s="462" t="n">
        <f aca="false">H355-O355</f>
        <v>0</v>
      </c>
      <c r="Q355" s="463" t="n">
        <f aca="false">O355*I355</f>
        <v>308520</v>
      </c>
      <c r="R355" s="48" t="n">
        <f aca="false">K355-Q355</f>
        <v>0</v>
      </c>
      <c r="S355" s="467"/>
      <c r="T355" s="2" t="s">
        <v>1711</v>
      </c>
      <c r="V355" s="464"/>
      <c r="W355" s="464"/>
      <c r="X355" s="464"/>
      <c r="Y355" s="464"/>
      <c r="Z355" s="464"/>
      <c r="AA355" s="464"/>
      <c r="AB355" s="464"/>
      <c r="AC355" s="464"/>
      <c r="AD355" s="464"/>
      <c r="AE355" s="464"/>
      <c r="AF355" s="464"/>
      <c r="AG355" s="464"/>
      <c r="AH355" s="465"/>
      <c r="AI355" s="464"/>
    </row>
    <row r="356" customFormat="false" ht="15" hidden="false" customHeight="true" outlineLevel="0" collapsed="false">
      <c r="A356" s="455" t="s">
        <v>1758</v>
      </c>
      <c r="C356" s="456" t="n">
        <v>45449</v>
      </c>
      <c r="D356" s="456"/>
      <c r="E356" s="57" t="n">
        <v>65</v>
      </c>
      <c r="F356" s="57" t="s">
        <v>175</v>
      </c>
      <c r="G356" s="57" t="s">
        <v>16</v>
      </c>
      <c r="H356" s="98" t="n">
        <v>600</v>
      </c>
      <c r="I356" s="457" t="n">
        <v>22.5</v>
      </c>
      <c r="J356" s="313" t="s">
        <v>1651</v>
      </c>
      <c r="K356" s="98" t="n">
        <f aca="false">I356*H356</f>
        <v>13500</v>
      </c>
      <c r="L356" s="411" t="n">
        <v>12300</v>
      </c>
      <c r="M356" s="392" t="n">
        <f aca="false">L356/K356</f>
        <v>0.911111111111111</v>
      </c>
      <c r="N356" s="466" t="n">
        <f aca="false">I356*M356</f>
        <v>20.5</v>
      </c>
      <c r="O356" s="461" t="n">
        <v>600</v>
      </c>
      <c r="P356" s="462" t="n">
        <f aca="false">H356-O356</f>
        <v>0</v>
      </c>
      <c r="Q356" s="463" t="n">
        <f aca="false">O356*I356</f>
        <v>13500</v>
      </c>
      <c r="R356" s="48" t="n">
        <f aca="false">K356-Q356</f>
        <v>0</v>
      </c>
      <c r="S356" s="467"/>
      <c r="T356" s="2" t="s">
        <v>1711</v>
      </c>
      <c r="V356" s="464"/>
      <c r="W356" s="464"/>
      <c r="X356" s="464"/>
      <c r="Y356" s="464"/>
      <c r="Z356" s="464"/>
      <c r="AA356" s="464"/>
      <c r="AB356" s="464"/>
      <c r="AC356" s="464"/>
      <c r="AD356" s="464"/>
      <c r="AE356" s="464"/>
      <c r="AF356" s="464"/>
      <c r="AG356" s="464"/>
      <c r="AH356" s="465"/>
      <c r="AI356" s="464"/>
    </row>
    <row r="357" customFormat="false" ht="15" hidden="false" customHeight="true" outlineLevel="0" collapsed="false">
      <c r="A357" s="455" t="s">
        <v>1758</v>
      </c>
      <c r="C357" s="456" t="n">
        <v>45449</v>
      </c>
      <c r="D357" s="456"/>
      <c r="E357" s="57" t="n">
        <v>65</v>
      </c>
      <c r="F357" s="57" t="s">
        <v>175</v>
      </c>
      <c r="G357" s="323" t="s">
        <v>17</v>
      </c>
      <c r="H357" s="98" t="n">
        <v>450</v>
      </c>
      <c r="I357" s="457" t="n">
        <v>22.5</v>
      </c>
      <c r="J357" s="313" t="s">
        <v>1651</v>
      </c>
      <c r="K357" s="98" t="n">
        <f aca="false">I357*H357</f>
        <v>10125</v>
      </c>
      <c r="L357" s="411" t="n">
        <v>5175</v>
      </c>
      <c r="M357" s="392" t="n">
        <f aca="false">L357/K357</f>
        <v>0.511111111111111</v>
      </c>
      <c r="N357" s="466" t="n">
        <f aca="false">I357*M357</f>
        <v>11.5</v>
      </c>
      <c r="O357" s="461" t="n">
        <v>450</v>
      </c>
      <c r="P357" s="462" t="n">
        <f aca="false">H357-O357</f>
        <v>0</v>
      </c>
      <c r="Q357" s="463" t="n">
        <f aca="false">O357*I357</f>
        <v>10125</v>
      </c>
      <c r="R357" s="48" t="n">
        <f aca="false">K357-Q357</f>
        <v>0</v>
      </c>
      <c r="S357" s="467"/>
      <c r="T357" s="2" t="s">
        <v>1711</v>
      </c>
      <c r="V357" s="464"/>
      <c r="W357" s="464"/>
      <c r="X357" s="464"/>
      <c r="Y357" s="464"/>
      <c r="Z357" s="464"/>
      <c r="AA357" s="464"/>
      <c r="AB357" s="464"/>
      <c r="AC357" s="464"/>
      <c r="AD357" s="464"/>
      <c r="AE357" s="464"/>
      <c r="AF357" s="464"/>
      <c r="AG357" s="464"/>
      <c r="AH357" s="465"/>
      <c r="AI357" s="464"/>
    </row>
    <row r="358" customFormat="false" ht="15" hidden="false" customHeight="true" outlineLevel="0" collapsed="false">
      <c r="A358" s="455" t="s">
        <v>1758</v>
      </c>
      <c r="C358" s="456" t="n">
        <v>45449</v>
      </c>
      <c r="D358" s="456"/>
      <c r="E358" s="57" t="n">
        <v>65</v>
      </c>
      <c r="F358" s="57" t="s">
        <v>175</v>
      </c>
      <c r="G358" s="323" t="s">
        <v>13</v>
      </c>
      <c r="H358" s="98" t="n">
        <v>900</v>
      </c>
      <c r="I358" s="457" t="n">
        <v>22.5</v>
      </c>
      <c r="J358" s="313" t="s">
        <v>1651</v>
      </c>
      <c r="K358" s="98" t="n">
        <f aca="false">I358*H358</f>
        <v>20250</v>
      </c>
      <c r="L358" s="411" t="n">
        <v>10350</v>
      </c>
      <c r="M358" s="392" t="n">
        <f aca="false">L358/K358</f>
        <v>0.511111111111111</v>
      </c>
      <c r="N358" s="466" t="n">
        <f aca="false">I358*M358</f>
        <v>11.5</v>
      </c>
      <c r="O358" s="461" t="n">
        <v>900</v>
      </c>
      <c r="P358" s="462" t="n">
        <f aca="false">H358-O358</f>
        <v>0</v>
      </c>
      <c r="Q358" s="463" t="n">
        <f aca="false">O358*I358</f>
        <v>20250</v>
      </c>
      <c r="R358" s="48" t="n">
        <f aca="false">K358-Q358</f>
        <v>0</v>
      </c>
      <c r="S358" s="467"/>
      <c r="T358" s="2" t="s">
        <v>1711</v>
      </c>
      <c r="V358" s="464"/>
      <c r="W358" s="464"/>
      <c r="X358" s="464"/>
      <c r="Y358" s="464"/>
      <c r="Z358" s="464"/>
      <c r="AA358" s="464"/>
      <c r="AB358" s="464"/>
      <c r="AC358" s="464"/>
      <c r="AD358" s="464"/>
      <c r="AE358" s="464"/>
      <c r="AF358" s="464"/>
      <c r="AG358" s="464"/>
      <c r="AH358" s="465"/>
      <c r="AI358" s="464"/>
    </row>
    <row r="359" customFormat="false" ht="15" hidden="false" customHeight="true" outlineLevel="0" collapsed="false">
      <c r="A359" s="455" t="s">
        <v>1759</v>
      </c>
      <c r="C359" s="456" t="n">
        <v>45449</v>
      </c>
      <c r="D359" s="456"/>
      <c r="E359" s="57" t="n">
        <v>66</v>
      </c>
      <c r="F359" s="57" t="s">
        <v>175</v>
      </c>
      <c r="G359" s="57" t="s">
        <v>5</v>
      </c>
      <c r="H359" s="98" t="n">
        <v>12000</v>
      </c>
      <c r="I359" s="457" t="n">
        <v>25.71</v>
      </c>
      <c r="J359" s="313" t="s">
        <v>1651</v>
      </c>
      <c r="K359" s="98" t="n">
        <f aca="false">I359*H359</f>
        <v>308520</v>
      </c>
      <c r="L359" s="411" t="n">
        <v>132000</v>
      </c>
      <c r="M359" s="392" t="n">
        <f aca="false">L359/K359</f>
        <v>0.427849085958771</v>
      </c>
      <c r="N359" s="466" t="n">
        <f aca="false">I359*M359</f>
        <v>11</v>
      </c>
      <c r="O359" s="461" t="n">
        <v>12000</v>
      </c>
      <c r="P359" s="462" t="n">
        <f aca="false">H359-O359</f>
        <v>0</v>
      </c>
      <c r="Q359" s="463" t="n">
        <f aca="false">O359*I359</f>
        <v>308520</v>
      </c>
      <c r="R359" s="48" t="n">
        <f aca="false">K359-Q359</f>
        <v>0</v>
      </c>
      <c r="S359" s="467"/>
      <c r="T359" s="2" t="s">
        <v>1711</v>
      </c>
      <c r="V359" s="464"/>
      <c r="W359" s="464"/>
      <c r="X359" s="464"/>
      <c r="Y359" s="464"/>
      <c r="Z359" s="464"/>
      <c r="AA359" s="464"/>
      <c r="AB359" s="464"/>
      <c r="AC359" s="464"/>
      <c r="AD359" s="464"/>
      <c r="AE359" s="464"/>
      <c r="AF359" s="464"/>
      <c r="AG359" s="464"/>
      <c r="AH359" s="465"/>
      <c r="AI359" s="464"/>
    </row>
    <row r="360" customFormat="false" ht="15" hidden="false" customHeight="true" outlineLevel="0" collapsed="false">
      <c r="A360" s="455" t="s">
        <v>1759</v>
      </c>
      <c r="C360" s="456" t="n">
        <v>45449</v>
      </c>
      <c r="D360" s="456"/>
      <c r="E360" s="57" t="n">
        <v>66</v>
      </c>
      <c r="F360" s="57" t="s">
        <v>175</v>
      </c>
      <c r="G360" s="57" t="s">
        <v>6</v>
      </c>
      <c r="H360" s="98" t="n">
        <v>1500</v>
      </c>
      <c r="I360" s="457" t="n">
        <v>30</v>
      </c>
      <c r="J360" s="313" t="s">
        <v>1651</v>
      </c>
      <c r="K360" s="98" t="n">
        <f aca="false">I360*H360</f>
        <v>45000</v>
      </c>
      <c r="L360" s="411" t="n">
        <v>18750</v>
      </c>
      <c r="M360" s="392" t="n">
        <f aca="false">L360/K360</f>
        <v>0.416666666666667</v>
      </c>
      <c r="N360" s="466" t="n">
        <f aca="false">I360*M360</f>
        <v>12.5</v>
      </c>
      <c r="O360" s="461" t="n">
        <v>1500</v>
      </c>
      <c r="P360" s="462" t="n">
        <f aca="false">H360-O360</f>
        <v>0</v>
      </c>
      <c r="Q360" s="463" t="n">
        <f aca="false">O360*I360</f>
        <v>45000</v>
      </c>
      <c r="R360" s="48" t="n">
        <f aca="false">K360-Q360</f>
        <v>0</v>
      </c>
      <c r="S360" s="467"/>
      <c r="T360" s="2" t="s">
        <v>1711</v>
      </c>
      <c r="V360" s="464"/>
      <c r="W360" s="464"/>
      <c r="X360" s="464"/>
      <c r="Y360" s="464"/>
      <c r="Z360" s="464"/>
      <c r="AA360" s="464"/>
      <c r="AB360" s="464"/>
      <c r="AC360" s="464"/>
      <c r="AD360" s="464"/>
      <c r="AE360" s="464"/>
      <c r="AF360" s="464"/>
      <c r="AG360" s="464"/>
      <c r="AH360" s="465"/>
      <c r="AI360" s="464"/>
    </row>
    <row r="361" customFormat="false" ht="15" hidden="false" customHeight="true" outlineLevel="0" collapsed="false">
      <c r="A361" s="455" t="s">
        <v>1759</v>
      </c>
      <c r="C361" s="456" t="n">
        <v>45449</v>
      </c>
      <c r="D361" s="456"/>
      <c r="E361" s="57" t="n">
        <v>66</v>
      </c>
      <c r="F361" s="57" t="s">
        <v>175</v>
      </c>
      <c r="G361" s="57" t="s">
        <v>17</v>
      </c>
      <c r="H361" s="98" t="n">
        <v>1500</v>
      </c>
      <c r="I361" s="457" t="n">
        <v>22.5</v>
      </c>
      <c r="J361" s="313" t="s">
        <v>1651</v>
      </c>
      <c r="K361" s="98" t="n">
        <f aca="false">I361*H361</f>
        <v>33750</v>
      </c>
      <c r="L361" s="411" t="n">
        <v>17250</v>
      </c>
      <c r="M361" s="392" t="n">
        <f aca="false">L361/K361</f>
        <v>0.511111111111111</v>
      </c>
      <c r="N361" s="466" t="n">
        <f aca="false">I361*M361</f>
        <v>11.5</v>
      </c>
      <c r="O361" s="461" t="n">
        <v>1500</v>
      </c>
      <c r="P361" s="462" t="n">
        <f aca="false">H361-O361</f>
        <v>0</v>
      </c>
      <c r="Q361" s="463" t="n">
        <f aca="false">O361*I361</f>
        <v>33750</v>
      </c>
      <c r="R361" s="48" t="n">
        <f aca="false">K361-Q361</f>
        <v>0</v>
      </c>
      <c r="S361" s="467"/>
      <c r="T361" s="2" t="s">
        <v>1711</v>
      </c>
      <c r="V361" s="464"/>
      <c r="W361" s="464"/>
      <c r="X361" s="464"/>
      <c r="Y361" s="464"/>
      <c r="Z361" s="464"/>
      <c r="AA361" s="464"/>
      <c r="AB361" s="464"/>
      <c r="AC361" s="464"/>
      <c r="AD361" s="464"/>
      <c r="AE361" s="464"/>
      <c r="AF361" s="464"/>
      <c r="AG361" s="464"/>
      <c r="AH361" s="465"/>
      <c r="AI361" s="464"/>
    </row>
    <row r="362" customFormat="false" ht="15" hidden="false" customHeight="true" outlineLevel="0" collapsed="false">
      <c r="A362" s="455" t="s">
        <v>1760</v>
      </c>
      <c r="C362" s="456" t="n">
        <v>45449</v>
      </c>
      <c r="D362" s="456"/>
      <c r="E362" s="57" t="n">
        <v>67</v>
      </c>
      <c r="F362" s="57" t="s">
        <v>175</v>
      </c>
      <c r="G362" s="57" t="s">
        <v>5</v>
      </c>
      <c r="H362" s="98" t="n">
        <v>5595</v>
      </c>
      <c r="I362" s="457" t="n">
        <v>25.71</v>
      </c>
      <c r="J362" s="313" t="s">
        <v>1651</v>
      </c>
      <c r="K362" s="98" t="n">
        <f aca="false">I362*H362</f>
        <v>143847.45</v>
      </c>
      <c r="L362" s="411" t="n">
        <v>61545</v>
      </c>
      <c r="M362" s="392" t="n">
        <f aca="false">L362/K362</f>
        <v>0.427849085958771</v>
      </c>
      <c r="N362" s="466" t="n">
        <f aca="false">I362*M362</f>
        <v>11</v>
      </c>
      <c r="O362" s="461" t="n">
        <v>5595</v>
      </c>
      <c r="P362" s="462" t="n">
        <f aca="false">H362-O362</f>
        <v>0</v>
      </c>
      <c r="Q362" s="463" t="n">
        <f aca="false">O362*I362</f>
        <v>143847.45</v>
      </c>
      <c r="R362" s="48" t="n">
        <f aca="false">K362-Q362</f>
        <v>0</v>
      </c>
      <c r="S362" s="467"/>
      <c r="T362" s="2" t="s">
        <v>1711</v>
      </c>
      <c r="V362" s="464"/>
      <c r="W362" s="464"/>
      <c r="X362" s="464"/>
      <c r="Y362" s="464"/>
      <c r="Z362" s="464"/>
      <c r="AA362" s="464"/>
      <c r="AB362" s="464"/>
      <c r="AC362" s="464"/>
      <c r="AD362" s="464"/>
      <c r="AE362" s="464"/>
      <c r="AF362" s="464"/>
      <c r="AG362" s="464"/>
      <c r="AH362" s="465"/>
      <c r="AI362" s="464"/>
    </row>
    <row r="363" customFormat="false" ht="15" hidden="false" customHeight="true" outlineLevel="0" collapsed="false">
      <c r="A363" s="455" t="s">
        <v>1760</v>
      </c>
      <c r="C363" s="456" t="n">
        <v>45449</v>
      </c>
      <c r="D363" s="456"/>
      <c r="E363" s="57" t="n">
        <v>67</v>
      </c>
      <c r="F363" s="57" t="s">
        <v>175</v>
      </c>
      <c r="G363" s="57" t="s">
        <v>6</v>
      </c>
      <c r="H363" s="98" t="n">
        <v>600</v>
      </c>
      <c r="I363" s="457" t="n">
        <v>30</v>
      </c>
      <c r="J363" s="313" t="s">
        <v>1651</v>
      </c>
      <c r="K363" s="98" t="n">
        <f aca="false">I363*H363</f>
        <v>18000</v>
      </c>
      <c r="L363" s="411" t="n">
        <v>7500</v>
      </c>
      <c r="M363" s="392" t="n">
        <f aca="false">L363/K363</f>
        <v>0.416666666666667</v>
      </c>
      <c r="N363" s="466" t="n">
        <f aca="false">I363*M363</f>
        <v>12.5</v>
      </c>
      <c r="O363" s="461" t="n">
        <v>600</v>
      </c>
      <c r="P363" s="462" t="n">
        <f aca="false">H363-O363</f>
        <v>0</v>
      </c>
      <c r="Q363" s="463" t="n">
        <f aca="false">O363*I363</f>
        <v>18000</v>
      </c>
      <c r="R363" s="48" t="n">
        <f aca="false">K363-Q363</f>
        <v>0</v>
      </c>
      <c r="S363" s="467"/>
      <c r="T363" s="2" t="s">
        <v>1711</v>
      </c>
      <c r="V363" s="464"/>
      <c r="W363" s="464"/>
      <c r="X363" s="464"/>
      <c r="Y363" s="464"/>
      <c r="Z363" s="464"/>
      <c r="AA363" s="464"/>
      <c r="AB363" s="464"/>
      <c r="AC363" s="464"/>
      <c r="AD363" s="464"/>
      <c r="AE363" s="464"/>
      <c r="AF363" s="464"/>
      <c r="AG363" s="464"/>
      <c r="AH363" s="465"/>
      <c r="AI363" s="464"/>
    </row>
    <row r="364" customFormat="false" ht="15" hidden="false" customHeight="true" outlineLevel="0" collapsed="false">
      <c r="A364" s="455" t="s">
        <v>1760</v>
      </c>
      <c r="C364" s="456" t="n">
        <v>45449</v>
      </c>
      <c r="D364" s="456"/>
      <c r="E364" s="57" t="n">
        <v>67</v>
      </c>
      <c r="F364" s="57" t="s">
        <v>175</v>
      </c>
      <c r="G364" s="57" t="s">
        <v>15</v>
      </c>
      <c r="H364" s="98" t="n">
        <v>750</v>
      </c>
      <c r="I364" s="457" t="n">
        <v>22.5</v>
      </c>
      <c r="J364" s="313" t="s">
        <v>1651</v>
      </c>
      <c r="K364" s="98" t="n">
        <f aca="false">I364*H364</f>
        <v>16875</v>
      </c>
      <c r="L364" s="411" t="n">
        <v>13125</v>
      </c>
      <c r="M364" s="392" t="n">
        <f aca="false">L364/K364</f>
        <v>0.777777777777778</v>
      </c>
      <c r="N364" s="466" t="n">
        <f aca="false">I364*M364</f>
        <v>17.5</v>
      </c>
      <c r="O364" s="461" t="n">
        <v>750</v>
      </c>
      <c r="P364" s="462" t="n">
        <f aca="false">H364-O364</f>
        <v>0</v>
      </c>
      <c r="Q364" s="463" t="n">
        <f aca="false">O364*I364</f>
        <v>16875</v>
      </c>
      <c r="R364" s="48" t="n">
        <f aca="false">K364-Q364</f>
        <v>0</v>
      </c>
      <c r="S364" s="467"/>
      <c r="T364" s="2" t="s">
        <v>1711</v>
      </c>
      <c r="V364" s="464"/>
      <c r="W364" s="464"/>
      <c r="X364" s="464"/>
      <c r="Y364" s="464"/>
      <c r="Z364" s="464"/>
      <c r="AA364" s="464"/>
      <c r="AB364" s="464"/>
      <c r="AC364" s="464"/>
      <c r="AD364" s="464"/>
      <c r="AE364" s="464"/>
      <c r="AF364" s="464"/>
      <c r="AG364" s="464"/>
      <c r="AH364" s="465"/>
      <c r="AI364" s="464"/>
    </row>
    <row r="365" customFormat="false" ht="15" hidden="false" customHeight="true" outlineLevel="0" collapsed="false">
      <c r="A365" s="455" t="s">
        <v>1760</v>
      </c>
      <c r="C365" s="456" t="n">
        <v>45449</v>
      </c>
      <c r="D365" s="456"/>
      <c r="E365" s="57" t="n">
        <v>67</v>
      </c>
      <c r="F365" s="57" t="s">
        <v>175</v>
      </c>
      <c r="G365" s="57" t="s">
        <v>13</v>
      </c>
      <c r="H365" s="98" t="n">
        <v>3000</v>
      </c>
      <c r="I365" s="457" t="n">
        <v>22.5</v>
      </c>
      <c r="J365" s="313" t="s">
        <v>1651</v>
      </c>
      <c r="K365" s="98" t="n">
        <f aca="false">I365*H365</f>
        <v>67500</v>
      </c>
      <c r="L365" s="411" t="n">
        <v>34500</v>
      </c>
      <c r="M365" s="392" t="n">
        <f aca="false">L365/K365</f>
        <v>0.511111111111111</v>
      </c>
      <c r="N365" s="466" t="n">
        <f aca="false">I365*M365</f>
        <v>11.5</v>
      </c>
      <c r="O365" s="461" t="n">
        <v>3000</v>
      </c>
      <c r="P365" s="462" t="n">
        <f aca="false">H365-O365</f>
        <v>0</v>
      </c>
      <c r="Q365" s="463" t="n">
        <f aca="false">O365*I365</f>
        <v>67500</v>
      </c>
      <c r="R365" s="48" t="n">
        <f aca="false">K365-Q365</f>
        <v>0</v>
      </c>
      <c r="S365" s="467"/>
      <c r="T365" s="2" t="s">
        <v>1711</v>
      </c>
      <c r="V365" s="464"/>
      <c r="W365" s="464"/>
      <c r="X365" s="464"/>
      <c r="Y365" s="464"/>
      <c r="Z365" s="464"/>
      <c r="AA365" s="464"/>
      <c r="AB365" s="464"/>
      <c r="AC365" s="464"/>
      <c r="AD365" s="464"/>
      <c r="AE365" s="464"/>
      <c r="AF365" s="464"/>
      <c r="AG365" s="464"/>
      <c r="AH365" s="465"/>
      <c r="AI365" s="464"/>
    </row>
    <row r="366" customFormat="false" ht="15" hidden="false" customHeight="true" outlineLevel="0" collapsed="false">
      <c r="A366" s="455" t="s">
        <v>1761</v>
      </c>
      <c r="C366" s="456" t="n">
        <v>45449</v>
      </c>
      <c r="D366" s="456"/>
      <c r="E366" s="57" t="n">
        <v>68</v>
      </c>
      <c r="F366" s="57" t="s">
        <v>175</v>
      </c>
      <c r="G366" s="57" t="s">
        <v>5</v>
      </c>
      <c r="H366" s="98" t="n">
        <v>3840</v>
      </c>
      <c r="I366" s="457" t="n">
        <v>25.71</v>
      </c>
      <c r="J366" s="313" t="s">
        <v>1651</v>
      </c>
      <c r="K366" s="98" t="n">
        <f aca="false">I366*H366</f>
        <v>98726.4</v>
      </c>
      <c r="L366" s="411" t="n">
        <v>42240</v>
      </c>
      <c r="M366" s="392" t="n">
        <f aca="false">L366/K366</f>
        <v>0.427849085958771</v>
      </c>
      <c r="N366" s="466" t="n">
        <f aca="false">I366*M366</f>
        <v>11</v>
      </c>
      <c r="O366" s="461" t="n">
        <v>3840</v>
      </c>
      <c r="P366" s="462" t="n">
        <f aca="false">H366-O366</f>
        <v>0</v>
      </c>
      <c r="Q366" s="463" t="n">
        <f aca="false">O366*I366</f>
        <v>98726.4</v>
      </c>
      <c r="R366" s="48" t="n">
        <f aca="false">K366-Q366</f>
        <v>0</v>
      </c>
      <c r="S366" s="467"/>
      <c r="T366" s="2" t="s">
        <v>1711</v>
      </c>
      <c r="V366" s="464"/>
      <c r="W366" s="464"/>
      <c r="X366" s="464"/>
      <c r="Y366" s="464"/>
      <c r="Z366" s="464"/>
      <c r="AA366" s="464"/>
      <c r="AB366" s="464"/>
      <c r="AC366" s="464"/>
      <c r="AD366" s="464"/>
      <c r="AE366" s="464"/>
      <c r="AF366" s="464"/>
      <c r="AG366" s="464"/>
      <c r="AH366" s="465"/>
      <c r="AI366" s="464"/>
    </row>
    <row r="367" customFormat="false" ht="15" hidden="false" customHeight="true" outlineLevel="0" collapsed="false">
      <c r="A367" s="455" t="s">
        <v>1761</v>
      </c>
      <c r="C367" s="456" t="n">
        <v>45449</v>
      </c>
      <c r="D367" s="456"/>
      <c r="E367" s="57" t="n">
        <v>68</v>
      </c>
      <c r="F367" s="57" t="s">
        <v>175</v>
      </c>
      <c r="G367" s="57" t="s">
        <v>6</v>
      </c>
      <c r="H367" s="98" t="n">
        <v>450</v>
      </c>
      <c r="I367" s="457" t="n">
        <v>30</v>
      </c>
      <c r="J367" s="313" t="s">
        <v>1651</v>
      </c>
      <c r="K367" s="98" t="n">
        <f aca="false">I367*H367</f>
        <v>13500</v>
      </c>
      <c r="L367" s="411" t="n">
        <v>5625</v>
      </c>
      <c r="M367" s="392" t="n">
        <f aca="false">L367/K367</f>
        <v>0.416666666666667</v>
      </c>
      <c r="N367" s="466" t="n">
        <f aca="false">I367*M367</f>
        <v>12.5</v>
      </c>
      <c r="O367" s="461" t="n">
        <v>450</v>
      </c>
      <c r="P367" s="462" t="n">
        <f aca="false">H367-O367</f>
        <v>0</v>
      </c>
      <c r="Q367" s="463" t="n">
        <f aca="false">O367*I367</f>
        <v>13500</v>
      </c>
      <c r="R367" s="48" t="n">
        <f aca="false">K367-Q367</f>
        <v>0</v>
      </c>
      <c r="S367" s="467"/>
      <c r="T367" s="2" t="s">
        <v>1711</v>
      </c>
      <c r="V367" s="464"/>
      <c r="W367" s="464"/>
      <c r="X367" s="464"/>
      <c r="Y367" s="464"/>
      <c r="Z367" s="464"/>
      <c r="AA367" s="464"/>
      <c r="AB367" s="464"/>
      <c r="AC367" s="464"/>
      <c r="AD367" s="464"/>
      <c r="AE367" s="464"/>
      <c r="AF367" s="464"/>
      <c r="AG367" s="464"/>
      <c r="AH367" s="465"/>
      <c r="AI367" s="464"/>
    </row>
    <row r="368" customFormat="false" ht="15" hidden="false" customHeight="true" outlineLevel="0" collapsed="false">
      <c r="A368" s="455" t="s">
        <v>1761</v>
      </c>
      <c r="C368" s="456" t="n">
        <v>45449</v>
      </c>
      <c r="D368" s="456"/>
      <c r="E368" s="57" t="n">
        <v>68</v>
      </c>
      <c r="F368" s="57" t="s">
        <v>175</v>
      </c>
      <c r="G368" s="57" t="s">
        <v>42</v>
      </c>
      <c r="H368" s="98" t="n">
        <v>3750</v>
      </c>
      <c r="I368" s="457" t="n">
        <v>30</v>
      </c>
      <c r="J368" s="313" t="s">
        <v>1651</v>
      </c>
      <c r="K368" s="98" t="n">
        <f aca="false">I368*H368</f>
        <v>112500</v>
      </c>
      <c r="L368" s="411" t="n">
        <v>50625</v>
      </c>
      <c r="M368" s="392" t="n">
        <f aca="false">L368/K368</f>
        <v>0.45</v>
      </c>
      <c r="N368" s="466" t="n">
        <f aca="false">I368*M368</f>
        <v>13.5</v>
      </c>
      <c r="O368" s="461" t="n">
        <v>3750</v>
      </c>
      <c r="P368" s="462" t="n">
        <f aca="false">H368-O368</f>
        <v>0</v>
      </c>
      <c r="Q368" s="463" t="n">
        <f aca="false">O368*I368</f>
        <v>112500</v>
      </c>
      <c r="R368" s="48" t="n">
        <f aca="false">K368-Q368</f>
        <v>0</v>
      </c>
      <c r="S368" s="467"/>
      <c r="T368" s="2" t="s">
        <v>1711</v>
      </c>
      <c r="V368" s="464"/>
      <c r="W368" s="464"/>
      <c r="X368" s="464"/>
      <c r="Y368" s="464"/>
      <c r="Z368" s="464"/>
      <c r="AA368" s="464"/>
      <c r="AB368" s="464"/>
      <c r="AC368" s="464"/>
      <c r="AD368" s="464"/>
      <c r="AE368" s="464"/>
      <c r="AF368" s="464"/>
      <c r="AG368" s="464"/>
      <c r="AH368" s="465"/>
      <c r="AI368" s="464"/>
    </row>
    <row r="369" customFormat="false" ht="15" hidden="false" customHeight="true" outlineLevel="0" collapsed="false">
      <c r="A369" s="455" t="s">
        <v>1761</v>
      </c>
      <c r="C369" s="456" t="n">
        <v>45449</v>
      </c>
      <c r="D369" s="456"/>
      <c r="E369" s="57" t="n">
        <v>68</v>
      </c>
      <c r="F369" s="323" t="s">
        <v>175</v>
      </c>
      <c r="G369" s="323" t="s">
        <v>16</v>
      </c>
      <c r="H369" s="98" t="n">
        <v>4500</v>
      </c>
      <c r="I369" s="457" t="n">
        <v>22.5</v>
      </c>
      <c r="J369" s="313" t="s">
        <v>1651</v>
      </c>
      <c r="K369" s="98" t="n">
        <f aca="false">I369*H369</f>
        <v>101250</v>
      </c>
      <c r="L369" s="411" t="n">
        <v>92250</v>
      </c>
      <c r="M369" s="392" t="n">
        <f aca="false">L369/K369</f>
        <v>0.911111111111111</v>
      </c>
      <c r="N369" s="466" t="n">
        <f aca="false">I369*M369</f>
        <v>20.5</v>
      </c>
      <c r="O369" s="461" t="n">
        <v>4500</v>
      </c>
      <c r="P369" s="462" t="n">
        <f aca="false">H369-O369</f>
        <v>0</v>
      </c>
      <c r="Q369" s="463" t="n">
        <f aca="false">O369*I369</f>
        <v>101250</v>
      </c>
      <c r="R369" s="48" t="n">
        <f aca="false">K369-Q369</f>
        <v>0</v>
      </c>
      <c r="S369" s="467"/>
      <c r="T369" s="2" t="s">
        <v>1711</v>
      </c>
      <c r="V369" s="464"/>
      <c r="W369" s="464"/>
      <c r="X369" s="464"/>
      <c r="Y369" s="464"/>
      <c r="Z369" s="464"/>
      <c r="AA369" s="464"/>
      <c r="AB369" s="464"/>
      <c r="AC369" s="464"/>
      <c r="AD369" s="464"/>
      <c r="AE369" s="464"/>
      <c r="AF369" s="464"/>
      <c r="AG369" s="464"/>
      <c r="AH369" s="465"/>
      <c r="AI369" s="464"/>
    </row>
    <row r="370" customFormat="false" ht="15" hidden="false" customHeight="true" outlineLevel="0" collapsed="false">
      <c r="A370" s="455" t="s">
        <v>1761</v>
      </c>
      <c r="C370" s="456" t="n">
        <v>45449</v>
      </c>
      <c r="D370" s="456"/>
      <c r="E370" s="57" t="n">
        <v>68</v>
      </c>
      <c r="F370" s="323" t="s">
        <v>175</v>
      </c>
      <c r="G370" s="323" t="s">
        <v>17</v>
      </c>
      <c r="H370" s="98" t="n">
        <v>4500</v>
      </c>
      <c r="I370" s="457" t="n">
        <v>22.5</v>
      </c>
      <c r="J370" s="313" t="s">
        <v>1651</v>
      </c>
      <c r="K370" s="98" t="n">
        <f aca="false">I370*H370</f>
        <v>101250</v>
      </c>
      <c r="L370" s="411" t="n">
        <v>51750</v>
      </c>
      <c r="M370" s="392" t="n">
        <f aca="false">L370/K370</f>
        <v>0.511111111111111</v>
      </c>
      <c r="N370" s="466" t="n">
        <f aca="false">I370*M370</f>
        <v>11.5</v>
      </c>
      <c r="O370" s="461" t="n">
        <v>4500</v>
      </c>
      <c r="P370" s="462" t="n">
        <f aca="false">H370-O370</f>
        <v>0</v>
      </c>
      <c r="Q370" s="463" t="n">
        <f aca="false">O370*I370</f>
        <v>101250</v>
      </c>
      <c r="R370" s="48" t="n">
        <f aca="false">K370-Q370</f>
        <v>0</v>
      </c>
      <c r="S370" s="467"/>
      <c r="T370" s="2" t="s">
        <v>1711</v>
      </c>
      <c r="V370" s="464"/>
      <c r="W370" s="464"/>
      <c r="X370" s="464"/>
      <c r="Y370" s="464"/>
      <c r="Z370" s="464"/>
      <c r="AA370" s="464"/>
      <c r="AB370" s="464"/>
      <c r="AC370" s="464"/>
      <c r="AD370" s="464"/>
      <c r="AE370" s="464"/>
      <c r="AF370" s="464"/>
      <c r="AG370" s="464"/>
      <c r="AH370" s="465"/>
      <c r="AI370" s="464"/>
    </row>
    <row r="371" customFormat="false" ht="15" hidden="false" customHeight="true" outlineLevel="0" collapsed="false">
      <c r="A371" s="455" t="s">
        <v>1761</v>
      </c>
      <c r="C371" s="456" t="n">
        <v>45449</v>
      </c>
      <c r="D371" s="456"/>
      <c r="E371" s="57" t="n">
        <v>68</v>
      </c>
      <c r="F371" s="323" t="s">
        <v>175</v>
      </c>
      <c r="G371" s="323" t="s">
        <v>13</v>
      </c>
      <c r="H371" s="98" t="n">
        <v>450</v>
      </c>
      <c r="I371" s="457" t="n">
        <v>22.5</v>
      </c>
      <c r="J371" s="313" t="s">
        <v>1651</v>
      </c>
      <c r="K371" s="98" t="n">
        <f aca="false">I371*H371</f>
        <v>10125</v>
      </c>
      <c r="L371" s="411" t="n">
        <v>5175</v>
      </c>
      <c r="M371" s="392" t="n">
        <f aca="false">L371/K371</f>
        <v>0.511111111111111</v>
      </c>
      <c r="N371" s="466" t="n">
        <f aca="false">I371*M371</f>
        <v>11.5</v>
      </c>
      <c r="O371" s="461" t="n">
        <v>450</v>
      </c>
      <c r="P371" s="462" t="n">
        <f aca="false">H371-O371</f>
        <v>0</v>
      </c>
      <c r="Q371" s="463" t="n">
        <f aca="false">O371*I371</f>
        <v>10125</v>
      </c>
      <c r="R371" s="48" t="n">
        <f aca="false">K371-Q371</f>
        <v>0</v>
      </c>
      <c r="S371" s="467"/>
      <c r="T371" s="2" t="s">
        <v>1711</v>
      </c>
      <c r="V371" s="464"/>
      <c r="W371" s="464"/>
      <c r="X371" s="464"/>
      <c r="Y371" s="464"/>
      <c r="Z371" s="464"/>
      <c r="AA371" s="464"/>
      <c r="AB371" s="464"/>
      <c r="AC371" s="464"/>
      <c r="AD371" s="464"/>
      <c r="AE371" s="464"/>
      <c r="AF371" s="464"/>
      <c r="AG371" s="464"/>
      <c r="AH371" s="465"/>
      <c r="AI371" s="464"/>
    </row>
    <row r="372" customFormat="false" ht="15" hidden="false" customHeight="true" outlineLevel="0" collapsed="false">
      <c r="A372" s="455" t="s">
        <v>1745</v>
      </c>
      <c r="C372" s="456" t="n">
        <v>45483</v>
      </c>
      <c r="D372" s="456"/>
      <c r="E372" s="57" t="n">
        <v>74</v>
      </c>
      <c r="F372" s="323" t="s">
        <v>175</v>
      </c>
      <c r="G372" s="323" t="s">
        <v>11</v>
      </c>
      <c r="H372" s="98" t="n">
        <v>255</v>
      </c>
      <c r="I372" s="457" t="n">
        <v>14</v>
      </c>
      <c r="J372" s="313" t="s">
        <v>1651</v>
      </c>
      <c r="K372" s="98" t="n">
        <f aca="false">I372*H372</f>
        <v>3570</v>
      </c>
      <c r="L372" s="411" t="n">
        <v>11475</v>
      </c>
      <c r="M372" s="392" t="n">
        <f aca="false">L372/K372</f>
        <v>3.21428571428571</v>
      </c>
      <c r="N372" s="466" t="n">
        <f aca="false">I372*M372</f>
        <v>45</v>
      </c>
      <c r="O372" s="461" t="n">
        <v>255</v>
      </c>
      <c r="P372" s="462" t="n">
        <f aca="false">H372-O372</f>
        <v>0</v>
      </c>
      <c r="Q372" s="463" t="n">
        <f aca="false">O372*I372</f>
        <v>3570</v>
      </c>
      <c r="R372" s="48" t="n">
        <f aca="false">K372-Q372</f>
        <v>0</v>
      </c>
      <c r="S372" s="467"/>
      <c r="T372" s="2" t="s">
        <v>1711</v>
      </c>
      <c r="V372" s="464"/>
      <c r="W372" s="464"/>
      <c r="X372" s="464"/>
      <c r="Y372" s="464"/>
      <c r="Z372" s="464"/>
      <c r="AA372" s="464"/>
      <c r="AB372" s="464"/>
      <c r="AC372" s="464"/>
      <c r="AD372" s="464"/>
      <c r="AE372" s="464"/>
      <c r="AF372" s="464"/>
      <c r="AG372" s="464"/>
      <c r="AH372" s="465"/>
      <c r="AI372" s="464"/>
    </row>
    <row r="373" customFormat="false" ht="15" hidden="false" customHeight="true" outlineLevel="0" collapsed="false">
      <c r="A373" s="455" t="s">
        <v>1745</v>
      </c>
      <c r="C373" s="456" t="n">
        <v>45483</v>
      </c>
      <c r="D373" s="456"/>
      <c r="E373" s="57" t="n">
        <v>74</v>
      </c>
      <c r="F373" s="323" t="s">
        <v>175</v>
      </c>
      <c r="G373" s="323" t="s">
        <v>13</v>
      </c>
      <c r="H373" s="98" t="n">
        <v>300</v>
      </c>
      <c r="I373" s="457" t="n">
        <v>22.5</v>
      </c>
      <c r="J373" s="313" t="s">
        <v>1651</v>
      </c>
      <c r="K373" s="98" t="n">
        <f aca="false">I373*H373</f>
        <v>6750</v>
      </c>
      <c r="L373" s="411" t="n">
        <v>4680</v>
      </c>
      <c r="M373" s="392" t="n">
        <f aca="false">L373/K373</f>
        <v>0.693333333333333</v>
      </c>
      <c r="N373" s="466" t="n">
        <f aca="false">I373*M373</f>
        <v>15.6</v>
      </c>
      <c r="O373" s="461" t="n">
        <v>300</v>
      </c>
      <c r="P373" s="462" t="n">
        <f aca="false">H373-O373</f>
        <v>0</v>
      </c>
      <c r="Q373" s="463" t="n">
        <f aca="false">O373*I373</f>
        <v>6750</v>
      </c>
      <c r="R373" s="48" t="n">
        <f aca="false">K373-Q373</f>
        <v>0</v>
      </c>
      <c r="S373" s="467"/>
      <c r="T373" s="2" t="s">
        <v>1711</v>
      </c>
      <c r="V373" s="464"/>
      <c r="W373" s="464"/>
      <c r="X373" s="464"/>
      <c r="Y373" s="464"/>
      <c r="Z373" s="464"/>
      <c r="AA373" s="464"/>
      <c r="AB373" s="464"/>
      <c r="AC373" s="464"/>
      <c r="AD373" s="464"/>
      <c r="AE373" s="464"/>
      <c r="AF373" s="464"/>
      <c r="AG373" s="464"/>
      <c r="AH373" s="465"/>
      <c r="AI373" s="464"/>
    </row>
    <row r="374" customFormat="false" ht="15" hidden="false" customHeight="true" outlineLevel="0" collapsed="false">
      <c r="A374" s="455" t="s">
        <v>1745</v>
      </c>
      <c r="C374" s="456" t="n">
        <v>45483</v>
      </c>
      <c r="D374" s="456"/>
      <c r="E374" s="57" t="n">
        <v>74</v>
      </c>
      <c r="F374" s="323" t="s">
        <v>175</v>
      </c>
      <c r="G374" s="323" t="s">
        <v>5</v>
      </c>
      <c r="H374" s="98" t="n">
        <v>705</v>
      </c>
      <c r="I374" s="457" t="n">
        <v>25.71</v>
      </c>
      <c r="J374" s="313" t="s">
        <v>1651</v>
      </c>
      <c r="K374" s="98" t="n">
        <f aca="false">I374*H374</f>
        <v>18125.55</v>
      </c>
      <c r="L374" s="411" t="n">
        <v>10998</v>
      </c>
      <c r="M374" s="392" t="n">
        <f aca="false">L374/K374</f>
        <v>0.606767794632439</v>
      </c>
      <c r="N374" s="466" t="n">
        <f aca="false">I374*M374</f>
        <v>15.6</v>
      </c>
      <c r="O374" s="461" t="n">
        <v>705</v>
      </c>
      <c r="P374" s="462" t="n">
        <f aca="false">H374-O374</f>
        <v>0</v>
      </c>
      <c r="Q374" s="463" t="n">
        <f aca="false">O374*I374</f>
        <v>18125.55</v>
      </c>
      <c r="R374" s="48" t="n">
        <f aca="false">K374-Q374</f>
        <v>0</v>
      </c>
      <c r="S374" s="467"/>
      <c r="T374" s="2" t="s">
        <v>1711</v>
      </c>
      <c r="V374" s="464"/>
      <c r="W374" s="464"/>
      <c r="X374" s="464"/>
      <c r="Y374" s="464"/>
      <c r="Z374" s="464"/>
      <c r="AA374" s="464"/>
      <c r="AB374" s="464"/>
      <c r="AC374" s="464"/>
      <c r="AD374" s="464"/>
      <c r="AE374" s="464"/>
      <c r="AF374" s="464"/>
      <c r="AG374" s="464"/>
      <c r="AH374" s="465"/>
      <c r="AI374" s="464"/>
    </row>
    <row r="375" customFormat="false" ht="15" hidden="false" customHeight="true" outlineLevel="0" collapsed="false">
      <c r="A375" s="455" t="s">
        <v>1745</v>
      </c>
      <c r="C375" s="456" t="n">
        <v>45483</v>
      </c>
      <c r="D375" s="456"/>
      <c r="E375" s="57" t="n">
        <v>75</v>
      </c>
      <c r="F375" s="57" t="s">
        <v>175</v>
      </c>
      <c r="G375" s="323" t="s">
        <v>42</v>
      </c>
      <c r="H375" s="98" t="n">
        <v>3510</v>
      </c>
      <c r="I375" s="457" t="n">
        <v>30</v>
      </c>
      <c r="J375" s="313" t="s">
        <v>1651</v>
      </c>
      <c r="K375" s="98" t="n">
        <f aca="false">I375*H375</f>
        <v>105300</v>
      </c>
      <c r="L375" s="411" t="n">
        <v>54756</v>
      </c>
      <c r="M375" s="392" t="n">
        <f aca="false">L375/K375</f>
        <v>0.52</v>
      </c>
      <c r="N375" s="466" t="n">
        <f aca="false">I375*M375</f>
        <v>15.6</v>
      </c>
      <c r="O375" s="461" t="n">
        <v>3510</v>
      </c>
      <c r="P375" s="462" t="n">
        <f aca="false">H375-O375</f>
        <v>0</v>
      </c>
      <c r="Q375" s="463" t="n">
        <f aca="false">O375*I375</f>
        <v>105300</v>
      </c>
      <c r="R375" s="48" t="n">
        <f aca="false">K375-Q375</f>
        <v>0</v>
      </c>
      <c r="S375" s="467"/>
      <c r="T375" s="2" t="s">
        <v>1711</v>
      </c>
      <c r="V375" s="464"/>
      <c r="W375" s="464"/>
      <c r="X375" s="464"/>
      <c r="Y375" s="464"/>
      <c r="Z375" s="464"/>
      <c r="AA375" s="464"/>
      <c r="AB375" s="464"/>
      <c r="AC375" s="464"/>
      <c r="AD375" s="464"/>
      <c r="AE375" s="464"/>
      <c r="AF375" s="464"/>
      <c r="AG375" s="464"/>
      <c r="AH375" s="465"/>
      <c r="AI375" s="464"/>
    </row>
    <row r="376" customFormat="false" ht="15" hidden="false" customHeight="true" outlineLevel="0" collapsed="false">
      <c r="A376" s="455" t="s">
        <v>1762</v>
      </c>
      <c r="C376" s="456" t="n">
        <v>45483</v>
      </c>
      <c r="D376" s="456"/>
      <c r="E376" s="57" t="n">
        <v>76</v>
      </c>
      <c r="F376" s="57" t="s">
        <v>175</v>
      </c>
      <c r="G376" s="323" t="s">
        <v>10</v>
      </c>
      <c r="H376" s="98" t="n">
        <v>4305</v>
      </c>
      <c r="I376" s="457" t="n">
        <v>38.3</v>
      </c>
      <c r="J376" s="313" t="s">
        <v>1652</v>
      </c>
      <c r="K376" s="98" t="n">
        <f aca="false">I376*H376</f>
        <v>164881.5</v>
      </c>
      <c r="L376" s="411" t="n">
        <v>55878.9</v>
      </c>
      <c r="M376" s="392" t="n">
        <f aca="false">L376/K376</f>
        <v>0.338903394255875</v>
      </c>
      <c r="N376" s="466" t="n">
        <f aca="false">I376*M376</f>
        <v>12.98</v>
      </c>
      <c r="O376" s="461" t="n">
        <v>4305</v>
      </c>
      <c r="P376" s="462" t="n">
        <f aca="false">H376-O376</f>
        <v>0</v>
      </c>
      <c r="Q376" s="463" t="n">
        <f aca="false">O376*I376</f>
        <v>164881.5</v>
      </c>
      <c r="R376" s="48" t="n">
        <f aca="false">K376-Q376</f>
        <v>0</v>
      </c>
      <c r="S376" s="467"/>
      <c r="T376" s="2" t="s">
        <v>1711</v>
      </c>
      <c r="V376" s="464"/>
      <c r="W376" s="464"/>
      <c r="X376" s="464"/>
      <c r="Y376" s="464"/>
      <c r="Z376" s="464"/>
      <c r="AA376" s="464"/>
      <c r="AB376" s="464"/>
      <c r="AC376" s="464"/>
      <c r="AD376" s="464"/>
      <c r="AE376" s="464"/>
      <c r="AF376" s="464"/>
      <c r="AG376" s="464"/>
      <c r="AH376" s="465"/>
      <c r="AI376" s="464"/>
    </row>
    <row r="377" customFormat="false" ht="15" hidden="false" customHeight="true" outlineLevel="0" collapsed="false">
      <c r="A377" s="455" t="s">
        <v>1762</v>
      </c>
      <c r="C377" s="456" t="n">
        <v>45483</v>
      </c>
      <c r="D377" s="456"/>
      <c r="E377" s="57" t="n">
        <v>77</v>
      </c>
      <c r="F377" s="57" t="s">
        <v>175</v>
      </c>
      <c r="G377" s="323" t="s">
        <v>10</v>
      </c>
      <c r="H377" s="98" t="n">
        <v>5010</v>
      </c>
      <c r="I377" s="457" t="n">
        <v>38.3</v>
      </c>
      <c r="J377" s="313" t="s">
        <v>1652</v>
      </c>
      <c r="K377" s="98" t="n">
        <f aca="false">I377*H377</f>
        <v>191883</v>
      </c>
      <c r="L377" s="411" t="n">
        <v>65029.8</v>
      </c>
      <c r="M377" s="392" t="n">
        <f aca="false">L377/K377</f>
        <v>0.338903394255875</v>
      </c>
      <c r="N377" s="466" t="n">
        <f aca="false">I377*M377</f>
        <v>12.98</v>
      </c>
      <c r="O377" s="461" t="n">
        <v>5010</v>
      </c>
      <c r="P377" s="462" t="n">
        <f aca="false">H377-O377</f>
        <v>0</v>
      </c>
      <c r="Q377" s="463" t="n">
        <f aca="false">O377*I377</f>
        <v>191883</v>
      </c>
      <c r="R377" s="48" t="n">
        <f aca="false">K377-Q377</f>
        <v>0</v>
      </c>
      <c r="S377" s="467"/>
      <c r="T377" s="2" t="s">
        <v>1711</v>
      </c>
      <c r="V377" s="464"/>
      <c r="W377" s="464"/>
      <c r="X377" s="464"/>
      <c r="Y377" s="464"/>
      <c r="Z377" s="464"/>
      <c r="AA377" s="464"/>
      <c r="AB377" s="464"/>
      <c r="AC377" s="464"/>
      <c r="AD377" s="464"/>
      <c r="AE377" s="464"/>
      <c r="AF377" s="464"/>
      <c r="AG377" s="464"/>
      <c r="AH377" s="465"/>
      <c r="AI377" s="464"/>
    </row>
    <row r="378" customFormat="false" ht="15" hidden="false" customHeight="true" outlineLevel="0" collapsed="false">
      <c r="A378" s="455" t="s">
        <v>1763</v>
      </c>
      <c r="C378" s="456" t="n">
        <v>45483</v>
      </c>
      <c r="D378" s="456"/>
      <c r="E378" s="57" t="n">
        <v>78</v>
      </c>
      <c r="F378" s="57" t="s">
        <v>175</v>
      </c>
      <c r="G378" s="323" t="s">
        <v>5</v>
      </c>
      <c r="H378" s="98" t="n">
        <v>3600</v>
      </c>
      <c r="I378" s="457" t="n">
        <v>37.5</v>
      </c>
      <c r="J378" s="313" t="s">
        <v>1652</v>
      </c>
      <c r="K378" s="98" t="n">
        <f aca="false">I378*H378</f>
        <v>135000</v>
      </c>
      <c r="L378" s="411" t="n">
        <v>45720</v>
      </c>
      <c r="M378" s="392" t="n">
        <f aca="false">L378/K378</f>
        <v>0.338666666666667</v>
      </c>
      <c r="N378" s="466" t="n">
        <f aca="false">I378*M378</f>
        <v>12.7</v>
      </c>
      <c r="O378" s="461" t="n">
        <v>3600</v>
      </c>
      <c r="P378" s="462" t="n">
        <f aca="false">H378-O378</f>
        <v>0</v>
      </c>
      <c r="Q378" s="463" t="n">
        <f aca="false">O378*I378</f>
        <v>135000</v>
      </c>
      <c r="R378" s="48" t="n">
        <f aca="false">K378-Q378</f>
        <v>0</v>
      </c>
      <c r="S378" s="467"/>
      <c r="T378" s="2" t="s">
        <v>1711</v>
      </c>
      <c r="V378" s="464"/>
      <c r="W378" s="464"/>
      <c r="X378" s="464"/>
      <c r="Y378" s="464"/>
      <c r="Z378" s="464"/>
      <c r="AA378" s="464"/>
      <c r="AB378" s="464"/>
      <c r="AC378" s="464"/>
      <c r="AD378" s="464"/>
      <c r="AE378" s="464"/>
      <c r="AF378" s="464"/>
      <c r="AG378" s="464"/>
      <c r="AH378" s="465"/>
      <c r="AI378" s="464"/>
    </row>
    <row r="379" customFormat="false" ht="15" hidden="false" customHeight="true" outlineLevel="0" collapsed="false">
      <c r="A379" s="455" t="s">
        <v>1745</v>
      </c>
      <c r="C379" s="456" t="n">
        <v>45469</v>
      </c>
      <c r="D379" s="456"/>
      <c r="E379" s="57" t="n">
        <v>81</v>
      </c>
      <c r="F379" s="323" t="s">
        <v>175</v>
      </c>
      <c r="G379" s="323" t="s">
        <v>11</v>
      </c>
      <c r="H379" s="98" t="n">
        <v>3195</v>
      </c>
      <c r="I379" s="457" t="n">
        <v>14</v>
      </c>
      <c r="J379" s="313" t="s">
        <v>1651</v>
      </c>
      <c r="K379" s="98" t="n">
        <f aca="false">I379*H379</f>
        <v>44730</v>
      </c>
      <c r="L379" s="411" t="n">
        <v>143451.9855</v>
      </c>
      <c r="M379" s="392" t="n">
        <f aca="false">L379/K379</f>
        <v>3.20706428571429</v>
      </c>
      <c r="N379" s="466" t="n">
        <f aca="false">I379*M379</f>
        <v>44.8989</v>
      </c>
      <c r="O379" s="461" t="n">
        <v>3195</v>
      </c>
      <c r="P379" s="462" t="n">
        <f aca="false">H379-O379</f>
        <v>0</v>
      </c>
      <c r="Q379" s="463" t="n">
        <f aca="false">O379*I379</f>
        <v>44730</v>
      </c>
      <c r="R379" s="48" t="n">
        <f aca="false">K379-Q379</f>
        <v>0</v>
      </c>
      <c r="S379" s="467"/>
      <c r="T379" s="2" t="s">
        <v>1711</v>
      </c>
      <c r="V379" s="464"/>
      <c r="W379" s="464"/>
      <c r="X379" s="464"/>
      <c r="Y379" s="464"/>
      <c r="Z379" s="464"/>
      <c r="AA379" s="464"/>
      <c r="AB379" s="464"/>
      <c r="AC379" s="464"/>
      <c r="AD379" s="464"/>
      <c r="AE379" s="464"/>
      <c r="AF379" s="464"/>
      <c r="AG379" s="464"/>
      <c r="AH379" s="465"/>
      <c r="AI379" s="464"/>
    </row>
    <row r="380" customFormat="false" ht="15" hidden="false" customHeight="true" outlineLevel="0" collapsed="false">
      <c r="A380" s="455" t="s">
        <v>1764</v>
      </c>
      <c r="C380" s="456" t="n">
        <v>45415</v>
      </c>
      <c r="D380" s="456"/>
      <c r="E380" s="108" t="n">
        <v>82</v>
      </c>
      <c r="F380" s="323" t="s">
        <v>175</v>
      </c>
      <c r="G380" s="108" t="s">
        <v>10</v>
      </c>
      <c r="H380" s="97" t="n">
        <v>1005</v>
      </c>
      <c r="I380" s="457" t="n">
        <v>38.3</v>
      </c>
      <c r="J380" s="313" t="s">
        <v>1652</v>
      </c>
      <c r="K380" s="98" t="n">
        <f aca="false">I380*H380</f>
        <v>38491.5</v>
      </c>
      <c r="L380" s="411" t="n">
        <v>12039.9</v>
      </c>
      <c r="M380" s="392" t="n">
        <f aca="false">L380/K380</f>
        <v>0.312793733681462</v>
      </c>
      <c r="N380" s="466" t="n">
        <f aca="false">I380*M380</f>
        <v>11.98</v>
      </c>
      <c r="O380" s="461" t="n">
        <v>1005</v>
      </c>
      <c r="P380" s="462" t="n">
        <f aca="false">H380-O380</f>
        <v>0</v>
      </c>
      <c r="Q380" s="463" t="n">
        <f aca="false">O380*I380</f>
        <v>38491.5</v>
      </c>
      <c r="R380" s="48" t="n">
        <f aca="false">K380-Q380</f>
        <v>0</v>
      </c>
      <c r="S380" s="467"/>
      <c r="T380" s="2" t="s">
        <v>1711</v>
      </c>
      <c r="V380" s="464"/>
      <c r="W380" s="464"/>
      <c r="X380" s="464"/>
      <c r="Y380" s="464"/>
      <c r="Z380" s="464"/>
      <c r="AA380" s="464"/>
      <c r="AB380" s="464"/>
      <c r="AC380" s="464"/>
      <c r="AD380" s="464"/>
      <c r="AE380" s="464"/>
      <c r="AF380" s="464"/>
      <c r="AG380" s="464"/>
      <c r="AH380" s="465"/>
      <c r="AI380" s="464"/>
    </row>
    <row r="381" customFormat="false" ht="15" hidden="false" customHeight="true" outlineLevel="0" collapsed="false">
      <c r="A381" s="455" t="s">
        <v>1715</v>
      </c>
      <c r="C381" s="456" t="n">
        <v>45484</v>
      </c>
      <c r="D381" s="456"/>
      <c r="E381" s="57" t="n">
        <v>93</v>
      </c>
      <c r="F381" s="323" t="s">
        <v>175</v>
      </c>
      <c r="G381" s="323" t="s">
        <v>7</v>
      </c>
      <c r="H381" s="98" t="n">
        <v>540</v>
      </c>
      <c r="I381" s="457" t="n">
        <v>25.71</v>
      </c>
      <c r="J381" s="313" t="s">
        <v>1651</v>
      </c>
      <c r="K381" s="99" t="n">
        <f aca="false">I381*H381</f>
        <v>13883.4</v>
      </c>
      <c r="L381" s="411" t="n">
        <v>7864.56</v>
      </c>
      <c r="M381" s="392" t="n">
        <f aca="false">L381/K381</f>
        <v>0.566472189809413</v>
      </c>
      <c r="N381" s="466" t="n">
        <f aca="false">I381*M381</f>
        <v>14.564</v>
      </c>
      <c r="O381" s="461" t="n">
        <v>540</v>
      </c>
      <c r="P381" s="462" t="n">
        <f aca="false">H381-O381</f>
        <v>0</v>
      </c>
      <c r="Q381" s="463" t="n">
        <f aca="false">O381*I381</f>
        <v>13883.4</v>
      </c>
      <c r="R381" s="48" t="n">
        <f aca="false">K381-Q381</f>
        <v>0</v>
      </c>
      <c r="S381" s="108"/>
      <c r="T381" s="2" t="s">
        <v>1711</v>
      </c>
      <c r="V381" s="464"/>
      <c r="W381" s="464"/>
      <c r="X381" s="464"/>
      <c r="Y381" s="464"/>
      <c r="Z381" s="464"/>
      <c r="AA381" s="464"/>
      <c r="AB381" s="464"/>
      <c r="AC381" s="464"/>
      <c r="AD381" s="464"/>
      <c r="AE381" s="464"/>
      <c r="AF381" s="464"/>
      <c r="AG381" s="464"/>
      <c r="AH381" s="465"/>
      <c r="AI381" s="464"/>
    </row>
    <row r="382" customFormat="false" ht="15" hidden="false" customHeight="true" outlineLevel="0" collapsed="false">
      <c r="A382" s="455" t="s">
        <v>1715</v>
      </c>
      <c r="C382" s="456" t="n">
        <v>45484</v>
      </c>
      <c r="D382" s="456"/>
      <c r="E382" s="57" t="n">
        <v>93</v>
      </c>
      <c r="F382" s="323" t="s">
        <v>175</v>
      </c>
      <c r="G382" s="323" t="s">
        <v>17</v>
      </c>
      <c r="H382" s="98" t="n">
        <v>2265</v>
      </c>
      <c r="I382" s="457" t="n">
        <v>22.5</v>
      </c>
      <c r="J382" s="313" t="s">
        <v>1651</v>
      </c>
      <c r="K382" s="99" t="n">
        <f aca="false">I382*H382</f>
        <v>50962.5</v>
      </c>
      <c r="L382" s="411" t="n">
        <v>36119.2</v>
      </c>
      <c r="M382" s="392" t="n">
        <f aca="false">L382/K382</f>
        <v>0.708740740740741</v>
      </c>
      <c r="N382" s="466" t="n">
        <f aca="false">I382*M382</f>
        <v>15.9466666666667</v>
      </c>
      <c r="O382" s="461" t="n">
        <v>2265</v>
      </c>
      <c r="P382" s="462" t="n">
        <f aca="false">H382-O382</f>
        <v>0</v>
      </c>
      <c r="Q382" s="463" t="n">
        <f aca="false">O382*I382</f>
        <v>50962.5</v>
      </c>
      <c r="R382" s="48" t="n">
        <f aca="false">K382-Q382</f>
        <v>0</v>
      </c>
      <c r="S382" s="108"/>
      <c r="T382" s="2" t="s">
        <v>1711</v>
      </c>
      <c r="V382" s="464"/>
      <c r="W382" s="464"/>
      <c r="X382" s="464"/>
      <c r="Y382" s="464"/>
      <c r="Z382" s="464"/>
      <c r="AA382" s="464"/>
      <c r="AB382" s="464"/>
      <c r="AC382" s="464"/>
      <c r="AD382" s="464"/>
      <c r="AE382" s="464"/>
      <c r="AF382" s="464"/>
      <c r="AG382" s="464"/>
      <c r="AH382" s="465"/>
      <c r="AI382" s="464"/>
    </row>
    <row r="383" customFormat="false" ht="15" hidden="false" customHeight="true" outlineLevel="0" collapsed="false">
      <c r="A383" s="455" t="s">
        <v>1715</v>
      </c>
      <c r="C383" s="456" t="n">
        <v>45484</v>
      </c>
      <c r="D383" s="456"/>
      <c r="E383" s="57" t="n">
        <v>93</v>
      </c>
      <c r="F383" s="323" t="s">
        <v>175</v>
      </c>
      <c r="G383" s="323" t="s">
        <v>15</v>
      </c>
      <c r="H383" s="98" t="n">
        <v>540</v>
      </c>
      <c r="I383" s="457" t="n">
        <v>22.5</v>
      </c>
      <c r="J383" s="313" t="s">
        <v>1651</v>
      </c>
      <c r="K383" s="99" t="n">
        <f aca="false">I383*H383</f>
        <v>12150</v>
      </c>
      <c r="L383" s="411" t="n">
        <v>13008.6</v>
      </c>
      <c r="M383" s="392" t="n">
        <f aca="false">L383/K383</f>
        <v>1.07066666666667</v>
      </c>
      <c r="N383" s="466" t="n">
        <f aca="false">I383*M383</f>
        <v>24.09</v>
      </c>
      <c r="O383" s="461" t="n">
        <v>540</v>
      </c>
      <c r="P383" s="462" t="n">
        <f aca="false">H383-O383</f>
        <v>0</v>
      </c>
      <c r="Q383" s="463" t="n">
        <f aca="false">O383*I383</f>
        <v>12150</v>
      </c>
      <c r="R383" s="48" t="n">
        <f aca="false">K383-Q383</f>
        <v>0</v>
      </c>
      <c r="S383" s="108"/>
      <c r="T383" s="2" t="s">
        <v>1711</v>
      </c>
      <c r="V383" s="464"/>
      <c r="W383" s="464"/>
      <c r="X383" s="464"/>
      <c r="Y383" s="464"/>
      <c r="Z383" s="464"/>
      <c r="AA383" s="464"/>
      <c r="AB383" s="464"/>
      <c r="AC383" s="464"/>
      <c r="AD383" s="464"/>
      <c r="AE383" s="464"/>
      <c r="AF383" s="464"/>
      <c r="AG383" s="464"/>
      <c r="AH383" s="465"/>
      <c r="AI383" s="464"/>
    </row>
    <row r="384" customFormat="false" ht="15" hidden="false" customHeight="true" outlineLevel="0" collapsed="false">
      <c r="A384" s="455" t="s">
        <v>1715</v>
      </c>
      <c r="C384" s="456" t="n">
        <v>45484</v>
      </c>
      <c r="D384" s="456"/>
      <c r="E384" s="57" t="n">
        <v>93</v>
      </c>
      <c r="F384" s="323" t="s">
        <v>175</v>
      </c>
      <c r="G384" s="323" t="s">
        <v>13</v>
      </c>
      <c r="H384" s="98" t="n">
        <v>3105</v>
      </c>
      <c r="I384" s="457" t="n">
        <v>22.5</v>
      </c>
      <c r="J384" s="313" t="s">
        <v>1651</v>
      </c>
      <c r="K384" s="99" t="n">
        <f aca="false">I384*H384</f>
        <v>69862.5</v>
      </c>
      <c r="L384" s="411" t="n">
        <v>49514.4</v>
      </c>
      <c r="M384" s="392" t="n">
        <f aca="false">L384/K384</f>
        <v>0.708740740740741</v>
      </c>
      <c r="N384" s="466" t="n">
        <f aca="false">I384*M384</f>
        <v>15.9466666666667</v>
      </c>
      <c r="O384" s="461" t="n">
        <v>3105</v>
      </c>
      <c r="P384" s="462" t="n">
        <f aca="false">H384-O384</f>
        <v>0</v>
      </c>
      <c r="Q384" s="463" t="n">
        <f aca="false">O384*I384</f>
        <v>69862.5</v>
      </c>
      <c r="R384" s="48" t="n">
        <f aca="false">K384-Q384</f>
        <v>0</v>
      </c>
      <c r="S384" s="108"/>
      <c r="T384" s="2" t="s">
        <v>1711</v>
      </c>
      <c r="V384" s="464"/>
      <c r="W384" s="464"/>
      <c r="X384" s="464"/>
      <c r="Y384" s="464"/>
      <c r="Z384" s="464"/>
      <c r="AA384" s="464"/>
      <c r="AB384" s="464"/>
      <c r="AC384" s="464"/>
      <c r="AD384" s="464"/>
      <c r="AE384" s="464"/>
      <c r="AF384" s="464"/>
      <c r="AG384" s="464"/>
      <c r="AH384" s="465"/>
      <c r="AI384" s="464"/>
    </row>
    <row r="385" customFormat="false" ht="15" hidden="false" customHeight="true" outlineLevel="0" collapsed="false">
      <c r="A385" s="455" t="s">
        <v>1715</v>
      </c>
      <c r="C385" s="456" t="n">
        <v>45484</v>
      </c>
      <c r="D385" s="456"/>
      <c r="E385" s="57" t="n">
        <v>93</v>
      </c>
      <c r="F385" s="323" t="s">
        <v>175</v>
      </c>
      <c r="G385" s="323" t="s">
        <v>5</v>
      </c>
      <c r="H385" s="98" t="n">
        <v>1095</v>
      </c>
      <c r="I385" s="457" t="n">
        <v>25.71</v>
      </c>
      <c r="J385" s="313" t="s">
        <v>1651</v>
      </c>
      <c r="K385" s="99" t="n">
        <f aca="false">I385*H385</f>
        <v>28152.45</v>
      </c>
      <c r="L385" s="411" t="n">
        <v>15547.54</v>
      </c>
      <c r="M385" s="392" t="n">
        <f aca="false">L385/K385</f>
        <v>0.552262414106055</v>
      </c>
      <c r="N385" s="466" t="n">
        <f aca="false">I385*M385</f>
        <v>14.1986666666667</v>
      </c>
      <c r="O385" s="461" t="n">
        <v>1095</v>
      </c>
      <c r="P385" s="462" t="n">
        <f aca="false">H385-O385</f>
        <v>0</v>
      </c>
      <c r="Q385" s="463" t="n">
        <f aca="false">O385*I385</f>
        <v>28152.45</v>
      </c>
      <c r="R385" s="48" t="n">
        <f aca="false">K385-Q385</f>
        <v>0</v>
      </c>
      <c r="S385" s="108"/>
      <c r="T385" s="2" t="s">
        <v>1711</v>
      </c>
      <c r="V385" s="464"/>
      <c r="W385" s="464"/>
      <c r="X385" s="464"/>
      <c r="Y385" s="464"/>
      <c r="Z385" s="464"/>
      <c r="AA385" s="464"/>
      <c r="AB385" s="464"/>
      <c r="AC385" s="464"/>
      <c r="AD385" s="464"/>
      <c r="AE385" s="464"/>
      <c r="AF385" s="464"/>
      <c r="AG385" s="464"/>
      <c r="AH385" s="465"/>
      <c r="AI385" s="464"/>
    </row>
    <row r="386" customFormat="false" ht="15" hidden="false" customHeight="true" outlineLevel="0" collapsed="false">
      <c r="A386" s="455" t="s">
        <v>1715</v>
      </c>
      <c r="C386" s="456" t="n">
        <v>45484</v>
      </c>
      <c r="D386" s="456"/>
      <c r="E386" s="57" t="n">
        <v>93</v>
      </c>
      <c r="F386" s="323" t="s">
        <v>175</v>
      </c>
      <c r="G386" s="323" t="s">
        <v>10</v>
      </c>
      <c r="H386" s="98" t="n">
        <v>300</v>
      </c>
      <c r="I386" s="457" t="n">
        <v>38.3</v>
      </c>
      <c r="J386" s="313" t="s">
        <v>1652</v>
      </c>
      <c r="K386" s="99" t="n">
        <f aca="false">I386*H386</f>
        <v>11490</v>
      </c>
      <c r="L386" s="411" t="n">
        <v>3620</v>
      </c>
      <c r="M386" s="392" t="n">
        <f aca="false">L386/K386</f>
        <v>0.315056570931245</v>
      </c>
      <c r="N386" s="466" t="n">
        <f aca="false">I386*M386</f>
        <v>12.0666666666667</v>
      </c>
      <c r="O386" s="461" t="n">
        <v>300</v>
      </c>
      <c r="P386" s="462" t="n">
        <f aca="false">H386-O386</f>
        <v>0</v>
      </c>
      <c r="Q386" s="463" t="n">
        <f aca="false">O386*I386</f>
        <v>11490</v>
      </c>
      <c r="R386" s="48" t="n">
        <f aca="false">K386-Q386</f>
        <v>0</v>
      </c>
      <c r="S386" s="108"/>
      <c r="T386" s="2" t="s">
        <v>1711</v>
      </c>
      <c r="V386" s="464"/>
      <c r="W386" s="464"/>
      <c r="X386" s="464"/>
      <c r="Y386" s="464"/>
      <c r="Z386" s="464"/>
      <c r="AA386" s="464"/>
      <c r="AB386" s="464"/>
      <c r="AC386" s="464"/>
      <c r="AD386" s="464"/>
      <c r="AE386" s="464"/>
      <c r="AF386" s="464"/>
      <c r="AG386" s="464"/>
      <c r="AH386" s="465"/>
      <c r="AI386" s="464"/>
    </row>
    <row r="387" customFormat="false" ht="15" hidden="false" customHeight="true" outlineLevel="0" collapsed="false">
      <c r="A387" s="455" t="s">
        <v>1765</v>
      </c>
      <c r="C387" s="456" t="n">
        <v>45484</v>
      </c>
      <c r="D387" s="456"/>
      <c r="E387" s="57" t="n">
        <v>94</v>
      </c>
      <c r="F387" s="323" t="s">
        <v>175</v>
      </c>
      <c r="G387" s="323" t="s">
        <v>11</v>
      </c>
      <c r="H387" s="98" t="n">
        <v>100</v>
      </c>
      <c r="I387" s="457" t="n">
        <v>14</v>
      </c>
      <c r="J387" s="313" t="s">
        <v>1651</v>
      </c>
      <c r="K387" s="98" t="n">
        <f aca="false">I387*H387</f>
        <v>1400</v>
      </c>
      <c r="L387" s="411" t="n">
        <v>5900</v>
      </c>
      <c r="M387" s="392" t="n">
        <f aca="false">L387/K387</f>
        <v>4.21428571428571</v>
      </c>
      <c r="N387" s="466" t="n">
        <f aca="false">I387*M387</f>
        <v>59</v>
      </c>
      <c r="O387" s="461" t="n">
        <v>100</v>
      </c>
      <c r="P387" s="462" t="n">
        <f aca="false">H387-O387</f>
        <v>0</v>
      </c>
      <c r="Q387" s="463" t="n">
        <f aca="false">O387*I387</f>
        <v>1400</v>
      </c>
      <c r="R387" s="48" t="n">
        <f aca="false">K387-Q387</f>
        <v>0</v>
      </c>
      <c r="S387" s="467"/>
      <c r="T387" s="2" t="s">
        <v>1711</v>
      </c>
      <c r="V387" s="464"/>
      <c r="W387" s="464"/>
      <c r="X387" s="464"/>
      <c r="Y387" s="464"/>
      <c r="Z387" s="464"/>
      <c r="AA387" s="464"/>
      <c r="AB387" s="464"/>
      <c r="AC387" s="464"/>
      <c r="AD387" s="464"/>
      <c r="AE387" s="464"/>
      <c r="AF387" s="464"/>
      <c r="AG387" s="464"/>
      <c r="AH387" s="465"/>
      <c r="AI387" s="464"/>
    </row>
    <row r="388" customFormat="false" ht="15" hidden="false" customHeight="true" outlineLevel="0" collapsed="false">
      <c r="A388" s="455" t="s">
        <v>1765</v>
      </c>
      <c r="C388" s="456" t="n">
        <v>45484</v>
      </c>
      <c r="D388" s="456"/>
      <c r="E388" s="57" t="n">
        <v>94</v>
      </c>
      <c r="F388" s="323" t="s">
        <v>175</v>
      </c>
      <c r="G388" s="323" t="s">
        <v>7</v>
      </c>
      <c r="H388" s="98" t="n">
        <v>200</v>
      </c>
      <c r="I388" s="457" t="n">
        <v>25.71</v>
      </c>
      <c r="J388" s="313" t="s">
        <v>1651</v>
      </c>
      <c r="K388" s="98" t="n">
        <f aca="false">I388*H388</f>
        <v>5142</v>
      </c>
      <c r="L388" s="411" t="n">
        <v>2240</v>
      </c>
      <c r="M388" s="392" t="n">
        <f aca="false">L388/K388</f>
        <v>0.43562816024893</v>
      </c>
      <c r="N388" s="466" t="n">
        <f aca="false">I388*M388</f>
        <v>11.2</v>
      </c>
      <c r="O388" s="461" t="n">
        <v>200</v>
      </c>
      <c r="P388" s="462" t="n">
        <f aca="false">H388-O388</f>
        <v>0</v>
      </c>
      <c r="Q388" s="463" t="n">
        <f aca="false">O388*I388</f>
        <v>5142</v>
      </c>
      <c r="R388" s="48" t="n">
        <f aca="false">K388-Q388</f>
        <v>0</v>
      </c>
      <c r="S388" s="467"/>
      <c r="T388" s="2" t="s">
        <v>1711</v>
      </c>
      <c r="V388" s="464"/>
      <c r="W388" s="464"/>
      <c r="X388" s="464"/>
      <c r="Y388" s="464"/>
      <c r="Z388" s="464"/>
      <c r="AA388" s="464"/>
      <c r="AB388" s="464"/>
      <c r="AC388" s="464"/>
      <c r="AD388" s="464"/>
      <c r="AE388" s="464"/>
      <c r="AF388" s="464"/>
      <c r="AG388" s="464"/>
      <c r="AH388" s="465"/>
      <c r="AI388" s="464"/>
    </row>
    <row r="389" customFormat="false" ht="15" hidden="false" customHeight="true" outlineLevel="0" collapsed="false">
      <c r="A389" s="455" t="s">
        <v>1765</v>
      </c>
      <c r="C389" s="456" t="n">
        <v>45484</v>
      </c>
      <c r="D389" s="456"/>
      <c r="E389" s="57" t="n">
        <v>94</v>
      </c>
      <c r="F389" s="323" t="s">
        <v>175</v>
      </c>
      <c r="G389" s="323" t="s">
        <v>17</v>
      </c>
      <c r="H389" s="98" t="n">
        <v>200</v>
      </c>
      <c r="I389" s="457" t="n">
        <v>22.5</v>
      </c>
      <c r="J389" s="313" t="s">
        <v>1651</v>
      </c>
      <c r="K389" s="98" t="n">
        <f aca="false">I389*H389</f>
        <v>4500</v>
      </c>
      <c r="L389" s="411" t="n">
        <v>2240</v>
      </c>
      <c r="M389" s="392" t="n">
        <f aca="false">L389/K389</f>
        <v>0.497777777777778</v>
      </c>
      <c r="N389" s="466" t="n">
        <f aca="false">I389*M389</f>
        <v>11.2</v>
      </c>
      <c r="O389" s="461" t="n">
        <v>200</v>
      </c>
      <c r="P389" s="462" t="n">
        <f aca="false">H389-O389</f>
        <v>0</v>
      </c>
      <c r="Q389" s="463" t="n">
        <f aca="false">O389*I389</f>
        <v>4500</v>
      </c>
      <c r="R389" s="48" t="n">
        <f aca="false">K389-Q389</f>
        <v>0</v>
      </c>
      <c r="S389" s="467"/>
      <c r="T389" s="2" t="s">
        <v>1711</v>
      </c>
      <c r="V389" s="464"/>
      <c r="W389" s="464"/>
      <c r="X389" s="464"/>
      <c r="Y389" s="464"/>
      <c r="Z389" s="464"/>
      <c r="AA389" s="464"/>
      <c r="AB389" s="464"/>
      <c r="AC389" s="464"/>
      <c r="AD389" s="464"/>
      <c r="AE389" s="464"/>
      <c r="AF389" s="464"/>
      <c r="AG389" s="464"/>
      <c r="AH389" s="465"/>
      <c r="AI389" s="464"/>
    </row>
    <row r="390" customFormat="false" ht="15" hidden="false" customHeight="true" outlineLevel="0" collapsed="false">
      <c r="A390" s="455" t="s">
        <v>1765</v>
      </c>
      <c r="C390" s="456" t="n">
        <v>45484</v>
      </c>
      <c r="D390" s="456"/>
      <c r="E390" s="57" t="n">
        <v>94</v>
      </c>
      <c r="F390" s="323" t="s">
        <v>175</v>
      </c>
      <c r="G390" s="323" t="s">
        <v>5</v>
      </c>
      <c r="H390" s="98" t="n">
        <v>1100</v>
      </c>
      <c r="I390" s="457" t="n">
        <v>25.71</v>
      </c>
      <c r="J390" s="313" t="s">
        <v>1651</v>
      </c>
      <c r="K390" s="98" t="n">
        <f aca="false">I390*H390</f>
        <v>28281</v>
      </c>
      <c r="L390" s="411" t="n">
        <v>15290</v>
      </c>
      <c r="M390" s="392" t="n">
        <f aca="false">L390/K390</f>
        <v>0.540645663166083</v>
      </c>
      <c r="N390" s="466" t="n">
        <f aca="false">I390*M390</f>
        <v>13.9</v>
      </c>
      <c r="O390" s="461" t="n">
        <v>1100</v>
      </c>
      <c r="P390" s="462" t="n">
        <f aca="false">H390-O390</f>
        <v>0</v>
      </c>
      <c r="Q390" s="463" t="n">
        <f aca="false">O390*I390</f>
        <v>28281</v>
      </c>
      <c r="R390" s="48" t="n">
        <f aca="false">K390-Q390</f>
        <v>0</v>
      </c>
      <c r="S390" s="467"/>
      <c r="T390" s="2" t="s">
        <v>1711</v>
      </c>
      <c r="V390" s="464"/>
      <c r="W390" s="464"/>
      <c r="X390" s="464"/>
      <c r="Y390" s="464"/>
      <c r="Z390" s="464"/>
      <c r="AA390" s="464"/>
      <c r="AB390" s="464"/>
      <c r="AC390" s="464"/>
      <c r="AD390" s="464"/>
      <c r="AE390" s="464"/>
      <c r="AF390" s="464"/>
      <c r="AG390" s="464"/>
      <c r="AH390" s="465"/>
      <c r="AI390" s="464"/>
    </row>
    <row r="391" customFormat="false" ht="15" hidden="false" customHeight="true" outlineLevel="0" collapsed="false">
      <c r="A391" s="455" t="s">
        <v>1765</v>
      </c>
      <c r="C391" s="456" t="n">
        <v>45484</v>
      </c>
      <c r="D391" s="456"/>
      <c r="E391" s="57" t="n">
        <v>94</v>
      </c>
      <c r="F391" s="323" t="s">
        <v>175</v>
      </c>
      <c r="G391" s="323" t="s">
        <v>42</v>
      </c>
      <c r="H391" s="98" t="n">
        <v>1000</v>
      </c>
      <c r="I391" s="457" t="n">
        <v>30</v>
      </c>
      <c r="J391" s="313" t="s">
        <v>1651</v>
      </c>
      <c r="K391" s="98" t="n">
        <f aca="false">I391*H391</f>
        <v>30000</v>
      </c>
      <c r="L391" s="411" t="n">
        <v>14800</v>
      </c>
      <c r="M391" s="392" t="n">
        <f aca="false">L391/K391</f>
        <v>0.493333333333333</v>
      </c>
      <c r="N391" s="466" t="n">
        <f aca="false">I391*M391</f>
        <v>14.8</v>
      </c>
      <c r="O391" s="461" t="n">
        <v>1000</v>
      </c>
      <c r="P391" s="462" t="n">
        <f aca="false">H391-O391</f>
        <v>0</v>
      </c>
      <c r="Q391" s="463" t="n">
        <f aca="false">O391*I391</f>
        <v>30000</v>
      </c>
      <c r="R391" s="48" t="n">
        <f aca="false">K391-Q391</f>
        <v>0</v>
      </c>
      <c r="S391" s="467"/>
      <c r="T391" s="2" t="s">
        <v>1711</v>
      </c>
      <c r="V391" s="464"/>
      <c r="W391" s="464"/>
      <c r="X391" s="464"/>
      <c r="Y391" s="464"/>
      <c r="Z391" s="464"/>
      <c r="AA391" s="464"/>
      <c r="AB391" s="464"/>
      <c r="AC391" s="464"/>
      <c r="AD391" s="464"/>
      <c r="AE391" s="464"/>
      <c r="AF391" s="464"/>
      <c r="AG391" s="464"/>
      <c r="AH391" s="465"/>
      <c r="AI391" s="464"/>
    </row>
    <row r="392" customFormat="false" ht="15" hidden="false" customHeight="true" outlineLevel="0" collapsed="false">
      <c r="A392" s="455" t="s">
        <v>1766</v>
      </c>
      <c r="C392" s="456" t="n">
        <v>45484</v>
      </c>
      <c r="D392" s="456"/>
      <c r="E392" s="57" t="n">
        <v>95</v>
      </c>
      <c r="F392" s="323" t="s">
        <v>175</v>
      </c>
      <c r="G392" s="323" t="s">
        <v>10</v>
      </c>
      <c r="H392" s="98" t="n">
        <v>810</v>
      </c>
      <c r="I392" s="457" t="n">
        <v>38.3</v>
      </c>
      <c r="J392" s="313" t="s">
        <v>1652</v>
      </c>
      <c r="K392" s="98" t="n">
        <f aca="false">I392*H392</f>
        <v>31023</v>
      </c>
      <c r="L392" s="411" t="n">
        <v>9841.5</v>
      </c>
      <c r="M392" s="392" t="n">
        <f aca="false">L392/K392</f>
        <v>0.317232375979112</v>
      </c>
      <c r="N392" s="466" t="n">
        <f aca="false">I392*M392</f>
        <v>12.15</v>
      </c>
      <c r="O392" s="461" t="n">
        <v>810</v>
      </c>
      <c r="P392" s="462" t="n">
        <f aca="false">H392-O392</f>
        <v>0</v>
      </c>
      <c r="Q392" s="463" t="n">
        <f aca="false">O392*I392</f>
        <v>31023</v>
      </c>
      <c r="R392" s="48" t="n">
        <f aca="false">K392-Q392</f>
        <v>0</v>
      </c>
      <c r="S392" s="467"/>
      <c r="T392" s="2" t="s">
        <v>1711</v>
      </c>
      <c r="V392" s="464"/>
      <c r="W392" s="464"/>
      <c r="X392" s="464"/>
      <c r="Y392" s="464"/>
      <c r="Z392" s="464"/>
      <c r="AA392" s="464"/>
      <c r="AB392" s="464"/>
      <c r="AC392" s="464"/>
      <c r="AD392" s="464"/>
      <c r="AE392" s="464"/>
      <c r="AF392" s="464"/>
      <c r="AG392" s="464"/>
      <c r="AH392" s="465"/>
      <c r="AI392" s="464"/>
    </row>
    <row r="393" customFormat="false" ht="15" hidden="false" customHeight="true" outlineLevel="0" collapsed="false">
      <c r="A393" s="455" t="s">
        <v>1766</v>
      </c>
      <c r="C393" s="456" t="n">
        <v>45484</v>
      </c>
      <c r="D393" s="456"/>
      <c r="E393" s="57" t="n">
        <v>95</v>
      </c>
      <c r="F393" s="323" t="s">
        <v>175</v>
      </c>
      <c r="G393" s="323" t="s">
        <v>20</v>
      </c>
      <c r="H393" s="98" t="n">
        <v>600</v>
      </c>
      <c r="I393" s="457" t="n">
        <v>38.29</v>
      </c>
      <c r="J393" s="313" t="s">
        <v>1652</v>
      </c>
      <c r="K393" s="98" t="n">
        <f aca="false">I393*H393</f>
        <v>22974</v>
      </c>
      <c r="L393" s="411" t="n">
        <v>11250</v>
      </c>
      <c r="M393" s="392" t="n">
        <f aca="false">L393/K393</f>
        <v>0.489683990598067</v>
      </c>
      <c r="N393" s="466" t="n">
        <f aca="false">I393*M393</f>
        <v>18.75</v>
      </c>
      <c r="O393" s="461" t="n">
        <v>600</v>
      </c>
      <c r="P393" s="462" t="n">
        <f aca="false">H393-O393</f>
        <v>0</v>
      </c>
      <c r="Q393" s="463" t="n">
        <f aca="false">O393*I393</f>
        <v>22974</v>
      </c>
      <c r="R393" s="48" t="n">
        <f aca="false">K393-Q393</f>
        <v>0</v>
      </c>
      <c r="S393" s="467"/>
      <c r="T393" s="2" t="s">
        <v>1711</v>
      </c>
      <c r="V393" s="464"/>
      <c r="W393" s="464"/>
      <c r="X393" s="464"/>
      <c r="Y393" s="464"/>
      <c r="Z393" s="464"/>
      <c r="AA393" s="464"/>
      <c r="AB393" s="464"/>
      <c r="AC393" s="464"/>
      <c r="AD393" s="464"/>
      <c r="AE393" s="464"/>
      <c r="AF393" s="464"/>
      <c r="AG393" s="464"/>
      <c r="AH393" s="465"/>
      <c r="AI393" s="464"/>
    </row>
    <row r="394" customFormat="false" ht="15" hidden="false" customHeight="true" outlineLevel="0" collapsed="false">
      <c r="A394" s="455" t="s">
        <v>1766</v>
      </c>
      <c r="C394" s="456" t="n">
        <v>45484</v>
      </c>
      <c r="D394" s="456"/>
      <c r="E394" s="57" t="n">
        <v>95</v>
      </c>
      <c r="F394" s="323" t="s">
        <v>175</v>
      </c>
      <c r="G394" s="323" t="s">
        <v>6</v>
      </c>
      <c r="H394" s="98" t="n">
        <v>600</v>
      </c>
      <c r="I394" s="457" t="n">
        <v>45</v>
      </c>
      <c r="J394" s="313" t="s">
        <v>1652</v>
      </c>
      <c r="K394" s="98" t="n">
        <f aca="false">I394*H394</f>
        <v>27000</v>
      </c>
      <c r="L394" s="411" t="n">
        <v>12570</v>
      </c>
      <c r="M394" s="392" t="n">
        <f aca="false">L394/K394</f>
        <v>0.465555555555556</v>
      </c>
      <c r="N394" s="466" t="n">
        <f aca="false">I394*M394</f>
        <v>20.95</v>
      </c>
      <c r="O394" s="461" t="n">
        <v>600</v>
      </c>
      <c r="P394" s="462" t="n">
        <f aca="false">H394-O394</f>
        <v>0</v>
      </c>
      <c r="Q394" s="463" t="n">
        <f aca="false">O394*I394</f>
        <v>27000</v>
      </c>
      <c r="R394" s="48" t="n">
        <f aca="false">K394-Q394</f>
        <v>0</v>
      </c>
      <c r="S394" s="467"/>
      <c r="T394" s="2" t="s">
        <v>1711</v>
      </c>
      <c r="V394" s="464"/>
      <c r="W394" s="464"/>
      <c r="X394" s="464"/>
      <c r="Y394" s="464"/>
      <c r="Z394" s="464"/>
      <c r="AA394" s="464"/>
      <c r="AB394" s="464"/>
      <c r="AC394" s="464"/>
      <c r="AD394" s="464"/>
      <c r="AE394" s="464"/>
      <c r="AF394" s="464"/>
      <c r="AG394" s="464"/>
      <c r="AH394" s="465"/>
      <c r="AI394" s="464"/>
    </row>
    <row r="395" customFormat="false" ht="15" hidden="false" customHeight="true" outlineLevel="0" collapsed="false">
      <c r="A395" s="455" t="s">
        <v>1767</v>
      </c>
      <c r="C395" s="456" t="n">
        <v>45484</v>
      </c>
      <c r="D395" s="456"/>
      <c r="E395" s="57" t="n">
        <v>96</v>
      </c>
      <c r="F395" s="323" t="s">
        <v>175</v>
      </c>
      <c r="G395" s="323" t="s">
        <v>10</v>
      </c>
      <c r="H395" s="98" t="n">
        <v>2340</v>
      </c>
      <c r="I395" s="457" t="n">
        <v>38.3</v>
      </c>
      <c r="J395" s="313" t="s">
        <v>1652</v>
      </c>
      <c r="K395" s="98" t="n">
        <f aca="false">I395*H395</f>
        <v>89622</v>
      </c>
      <c r="L395" s="411" t="n">
        <v>26910</v>
      </c>
      <c r="M395" s="392" t="n">
        <f aca="false">L395/K395</f>
        <v>0.300261096605744</v>
      </c>
      <c r="N395" s="466" t="n">
        <f aca="false">I395*M395</f>
        <v>11.5</v>
      </c>
      <c r="O395" s="461" t="n">
        <v>2340</v>
      </c>
      <c r="P395" s="462" t="n">
        <f aca="false">H395-O395</f>
        <v>0</v>
      </c>
      <c r="Q395" s="463" t="n">
        <f aca="false">O395*I395</f>
        <v>89622</v>
      </c>
      <c r="R395" s="48" t="n">
        <f aca="false">K395-Q395</f>
        <v>0</v>
      </c>
      <c r="S395" s="108"/>
      <c r="T395" s="2" t="s">
        <v>1711</v>
      </c>
      <c r="V395" s="464"/>
      <c r="W395" s="464"/>
      <c r="X395" s="464"/>
      <c r="Y395" s="464"/>
      <c r="Z395" s="464"/>
      <c r="AA395" s="464"/>
      <c r="AB395" s="464"/>
      <c r="AC395" s="464"/>
      <c r="AD395" s="464"/>
      <c r="AE395" s="464"/>
      <c r="AF395" s="464"/>
      <c r="AG395" s="464"/>
      <c r="AH395" s="465"/>
      <c r="AI395" s="464"/>
    </row>
    <row r="396" customFormat="false" ht="15" hidden="false" customHeight="true" outlineLevel="0" collapsed="false">
      <c r="A396" s="455" t="s">
        <v>1723</v>
      </c>
      <c r="C396" s="456" t="n">
        <v>45485</v>
      </c>
      <c r="D396" s="456"/>
      <c r="E396" s="57" t="n">
        <v>100</v>
      </c>
      <c r="F396" s="323" t="s">
        <v>175</v>
      </c>
      <c r="G396" s="57" t="s">
        <v>5</v>
      </c>
      <c r="H396" s="98" t="n">
        <v>15000</v>
      </c>
      <c r="I396" s="457" t="n">
        <v>25.71</v>
      </c>
      <c r="J396" s="313" t="s">
        <v>1651</v>
      </c>
      <c r="K396" s="98" t="n">
        <f aca="false">I396*H396</f>
        <v>385650</v>
      </c>
      <c r="L396" s="411" t="n">
        <v>164850</v>
      </c>
      <c r="M396" s="392" t="n">
        <f aca="false">L396/K396</f>
        <v>0.427460132244263</v>
      </c>
      <c r="N396" s="466" t="n">
        <f aca="false">I396*M396</f>
        <v>10.99</v>
      </c>
      <c r="O396" s="461" t="n">
        <v>15000</v>
      </c>
      <c r="P396" s="462" t="n">
        <f aca="false">H396-O396</f>
        <v>0</v>
      </c>
      <c r="Q396" s="463" t="n">
        <f aca="false">O396*I396</f>
        <v>385650</v>
      </c>
      <c r="R396" s="48" t="n">
        <f aca="false">K396-Q396</f>
        <v>0</v>
      </c>
      <c r="S396" s="467"/>
      <c r="T396" s="2" t="s">
        <v>1711</v>
      </c>
      <c r="V396" s="464"/>
      <c r="W396" s="464"/>
      <c r="X396" s="464"/>
      <c r="Y396" s="464"/>
      <c r="Z396" s="464"/>
      <c r="AA396" s="464"/>
      <c r="AB396" s="464"/>
      <c r="AC396" s="464"/>
      <c r="AD396" s="464"/>
      <c r="AE396" s="464"/>
      <c r="AF396" s="464"/>
      <c r="AG396" s="464"/>
      <c r="AH396" s="465"/>
      <c r="AI396" s="464"/>
    </row>
    <row r="397" customFormat="false" ht="15" hidden="false" customHeight="true" outlineLevel="0" collapsed="false">
      <c r="A397" s="455" t="s">
        <v>1723</v>
      </c>
      <c r="C397" s="456" t="n">
        <v>45485</v>
      </c>
      <c r="D397" s="456"/>
      <c r="E397" s="57" t="n">
        <v>100</v>
      </c>
      <c r="F397" s="57" t="s">
        <v>175</v>
      </c>
      <c r="G397" s="57" t="s">
        <v>18</v>
      </c>
      <c r="H397" s="98" t="n">
        <v>5370</v>
      </c>
      <c r="I397" s="457" t="n">
        <v>25.71</v>
      </c>
      <c r="J397" s="313" t="s">
        <v>1651</v>
      </c>
      <c r="K397" s="98" t="n">
        <f aca="false">I397*H397</f>
        <v>138062.7</v>
      </c>
      <c r="L397" s="411" t="n">
        <v>68736</v>
      </c>
      <c r="M397" s="392" t="n">
        <f aca="false">L397/K397</f>
        <v>0.497860754570206</v>
      </c>
      <c r="N397" s="466" t="n">
        <f aca="false">I397*M397</f>
        <v>12.8</v>
      </c>
      <c r="O397" s="461" t="n">
        <v>5370</v>
      </c>
      <c r="P397" s="462" t="n">
        <f aca="false">H397-O397</f>
        <v>0</v>
      </c>
      <c r="Q397" s="463" t="n">
        <f aca="false">O397*I397</f>
        <v>138062.7</v>
      </c>
      <c r="R397" s="48" t="n">
        <f aca="false">K397-Q397</f>
        <v>0</v>
      </c>
      <c r="S397" s="467"/>
      <c r="T397" s="2" t="s">
        <v>1711</v>
      </c>
      <c r="V397" s="464"/>
      <c r="W397" s="464"/>
      <c r="X397" s="464"/>
      <c r="Y397" s="464"/>
      <c r="Z397" s="464"/>
      <c r="AA397" s="464"/>
      <c r="AB397" s="464"/>
      <c r="AC397" s="464"/>
      <c r="AD397" s="464"/>
      <c r="AE397" s="464"/>
      <c r="AF397" s="464"/>
      <c r="AG397" s="464"/>
      <c r="AH397" s="465"/>
      <c r="AI397" s="464"/>
    </row>
    <row r="398" customFormat="false" ht="15" hidden="false" customHeight="true" outlineLevel="0" collapsed="false">
      <c r="A398" s="455" t="s">
        <v>1723</v>
      </c>
      <c r="C398" s="456" t="n">
        <v>45485</v>
      </c>
      <c r="D398" s="456"/>
      <c r="E398" s="57" t="n">
        <v>100</v>
      </c>
      <c r="F398" s="323" t="s">
        <v>175</v>
      </c>
      <c r="G398" s="57" t="s">
        <v>13</v>
      </c>
      <c r="H398" s="98" t="n">
        <v>8010</v>
      </c>
      <c r="I398" s="457" t="n">
        <v>22.5</v>
      </c>
      <c r="J398" s="313" t="s">
        <v>1651</v>
      </c>
      <c r="K398" s="98" t="n">
        <f aca="false">I398*H398</f>
        <v>180225</v>
      </c>
      <c r="L398" s="411" t="n">
        <v>77136.3</v>
      </c>
      <c r="M398" s="392" t="n">
        <f aca="false">L398/K398</f>
        <v>0.428</v>
      </c>
      <c r="N398" s="466" t="n">
        <f aca="false">I398*M398</f>
        <v>9.63</v>
      </c>
      <c r="O398" s="461" t="n">
        <v>8010</v>
      </c>
      <c r="P398" s="462" t="n">
        <f aca="false">H398-O398</f>
        <v>0</v>
      </c>
      <c r="Q398" s="463" t="n">
        <f aca="false">O398*I398</f>
        <v>180225</v>
      </c>
      <c r="R398" s="48" t="n">
        <f aca="false">K398-Q398</f>
        <v>0</v>
      </c>
      <c r="S398" s="467"/>
      <c r="T398" s="2" t="s">
        <v>1711</v>
      </c>
      <c r="V398" s="464"/>
      <c r="W398" s="464"/>
      <c r="X398" s="464"/>
      <c r="Y398" s="464"/>
      <c r="Z398" s="464"/>
      <c r="AA398" s="464"/>
      <c r="AB398" s="464"/>
      <c r="AC398" s="464"/>
      <c r="AD398" s="464"/>
      <c r="AE398" s="464"/>
      <c r="AF398" s="464"/>
      <c r="AG398" s="464"/>
      <c r="AH398" s="465"/>
      <c r="AI398" s="464"/>
    </row>
    <row r="399" customFormat="false" ht="15" hidden="false" customHeight="true" outlineLevel="0" collapsed="false">
      <c r="A399" s="455" t="s">
        <v>1723</v>
      </c>
      <c r="C399" s="456" t="n">
        <v>45485</v>
      </c>
      <c r="D399" s="456"/>
      <c r="E399" s="57" t="n">
        <v>100</v>
      </c>
      <c r="F399" s="323" t="s">
        <v>175</v>
      </c>
      <c r="G399" s="57" t="s">
        <v>15</v>
      </c>
      <c r="H399" s="98" t="n">
        <v>10005</v>
      </c>
      <c r="I399" s="457" t="n">
        <v>22.5</v>
      </c>
      <c r="J399" s="313" t="s">
        <v>1651</v>
      </c>
      <c r="K399" s="98" t="n">
        <f aca="false">I399*H399</f>
        <v>225112.5</v>
      </c>
      <c r="L399" s="411" t="n">
        <v>129364.65</v>
      </c>
      <c r="M399" s="392" t="n">
        <f aca="false">L399/K399</f>
        <v>0.574666666666667</v>
      </c>
      <c r="N399" s="466" t="n">
        <f aca="false">I399*M399</f>
        <v>12.93</v>
      </c>
      <c r="O399" s="461" t="n">
        <v>10005</v>
      </c>
      <c r="P399" s="462" t="n">
        <f aca="false">H399-O399</f>
        <v>0</v>
      </c>
      <c r="Q399" s="463" t="n">
        <f aca="false">O399*I399</f>
        <v>225112.5</v>
      </c>
      <c r="R399" s="48" t="n">
        <f aca="false">K399-Q399</f>
        <v>0</v>
      </c>
      <c r="S399" s="467"/>
      <c r="T399" s="2" t="s">
        <v>1711</v>
      </c>
      <c r="V399" s="464"/>
      <c r="W399" s="464"/>
      <c r="X399" s="464"/>
      <c r="Y399" s="464"/>
      <c r="Z399" s="464"/>
      <c r="AA399" s="464"/>
      <c r="AB399" s="464"/>
      <c r="AC399" s="464"/>
      <c r="AD399" s="464"/>
      <c r="AE399" s="464"/>
      <c r="AF399" s="464"/>
      <c r="AG399" s="464"/>
      <c r="AH399" s="465"/>
      <c r="AI399" s="464"/>
    </row>
    <row r="400" customFormat="false" ht="15" hidden="false" customHeight="true" outlineLevel="0" collapsed="false">
      <c r="A400" s="455" t="s">
        <v>1723</v>
      </c>
      <c r="C400" s="456" t="n">
        <v>45485</v>
      </c>
      <c r="D400" s="456"/>
      <c r="E400" s="57" t="n">
        <v>100</v>
      </c>
      <c r="F400" s="323" t="s">
        <v>175</v>
      </c>
      <c r="G400" s="323" t="s">
        <v>17</v>
      </c>
      <c r="H400" s="98" t="n">
        <v>2010</v>
      </c>
      <c r="I400" s="457" t="n">
        <v>22.5</v>
      </c>
      <c r="J400" s="313" t="s">
        <v>1651</v>
      </c>
      <c r="K400" s="98" t="n">
        <f aca="false">I400*H400</f>
        <v>45225</v>
      </c>
      <c r="L400" s="411" t="n">
        <v>20542.2</v>
      </c>
      <c r="M400" s="392" t="n">
        <f aca="false">L400/K400</f>
        <v>0.454222222222222</v>
      </c>
      <c r="N400" s="466" t="n">
        <f aca="false">I400*M400</f>
        <v>10.22</v>
      </c>
      <c r="O400" s="461" t="n">
        <v>2010</v>
      </c>
      <c r="P400" s="462" t="n">
        <f aca="false">H400-O400</f>
        <v>0</v>
      </c>
      <c r="Q400" s="463" t="n">
        <f aca="false">O400*I400</f>
        <v>45225</v>
      </c>
      <c r="R400" s="48" t="n">
        <f aca="false">K400-Q400</f>
        <v>0</v>
      </c>
      <c r="S400" s="467"/>
      <c r="T400" s="2" t="s">
        <v>1711</v>
      </c>
      <c r="V400" s="464"/>
      <c r="W400" s="464"/>
      <c r="X400" s="464"/>
      <c r="Y400" s="464"/>
      <c r="Z400" s="464"/>
      <c r="AA400" s="464"/>
      <c r="AB400" s="464"/>
      <c r="AC400" s="464"/>
      <c r="AD400" s="464"/>
      <c r="AE400" s="464"/>
      <c r="AF400" s="464"/>
      <c r="AG400" s="464"/>
      <c r="AH400" s="465"/>
      <c r="AI400" s="464"/>
    </row>
    <row r="401" customFormat="false" ht="15" hidden="false" customHeight="true" outlineLevel="0" collapsed="false">
      <c r="A401" s="455" t="s">
        <v>1723</v>
      </c>
      <c r="C401" s="456" t="n">
        <v>45485</v>
      </c>
      <c r="D401" s="456"/>
      <c r="E401" s="57" t="n">
        <v>100</v>
      </c>
      <c r="F401" s="323" t="s">
        <v>175</v>
      </c>
      <c r="G401" s="323" t="s">
        <v>10</v>
      </c>
      <c r="H401" s="98" t="n">
        <v>2010</v>
      </c>
      <c r="I401" s="457" t="n">
        <v>25.71</v>
      </c>
      <c r="J401" s="313" t="s">
        <v>1651</v>
      </c>
      <c r="K401" s="98" t="n">
        <f aca="false">I401*H401</f>
        <v>51677.1</v>
      </c>
      <c r="L401" s="411" t="n">
        <v>12039.9</v>
      </c>
      <c r="M401" s="392" t="n">
        <f aca="false">L401/K401</f>
        <v>0.232983274990276</v>
      </c>
      <c r="N401" s="466" t="n">
        <f aca="false">I401*M401</f>
        <v>5.99</v>
      </c>
      <c r="O401" s="461" t="n">
        <v>2010</v>
      </c>
      <c r="P401" s="462" t="n">
        <f aca="false">H401-O401</f>
        <v>0</v>
      </c>
      <c r="Q401" s="463" t="n">
        <f aca="false">O401*I401</f>
        <v>51677.1</v>
      </c>
      <c r="R401" s="48" t="n">
        <f aca="false">K401-Q401</f>
        <v>0</v>
      </c>
      <c r="S401" s="467"/>
      <c r="T401" s="2" t="s">
        <v>1711</v>
      </c>
      <c r="V401" s="464"/>
      <c r="W401" s="464"/>
      <c r="X401" s="464"/>
      <c r="Y401" s="464"/>
      <c r="Z401" s="464"/>
      <c r="AA401" s="464"/>
      <c r="AB401" s="464"/>
      <c r="AC401" s="464"/>
      <c r="AD401" s="464"/>
      <c r="AE401" s="464"/>
      <c r="AF401" s="464"/>
      <c r="AG401" s="464"/>
      <c r="AH401" s="465"/>
      <c r="AI401" s="464"/>
    </row>
    <row r="402" customFormat="false" ht="15" hidden="false" customHeight="true" outlineLevel="0" collapsed="false">
      <c r="A402" s="455" t="s">
        <v>1723</v>
      </c>
      <c r="C402" s="456" t="n">
        <v>45485</v>
      </c>
      <c r="D402" s="456"/>
      <c r="E402" s="57" t="n">
        <v>100</v>
      </c>
      <c r="F402" s="323" t="s">
        <v>175</v>
      </c>
      <c r="G402" s="323" t="s">
        <v>7</v>
      </c>
      <c r="H402" s="98" t="n">
        <v>630</v>
      </c>
      <c r="I402" s="457" t="n">
        <v>25.71</v>
      </c>
      <c r="J402" s="313" t="s">
        <v>1651</v>
      </c>
      <c r="K402" s="98" t="n">
        <f aca="false">I402*H402</f>
        <v>16197.3</v>
      </c>
      <c r="L402" s="411" t="n">
        <v>7528.5</v>
      </c>
      <c r="M402" s="392" t="n">
        <f aca="false">L402/K402</f>
        <v>0.464799688837028</v>
      </c>
      <c r="N402" s="466" t="n">
        <f aca="false">I402*M402</f>
        <v>11.95</v>
      </c>
      <c r="O402" s="461" t="n">
        <v>630</v>
      </c>
      <c r="P402" s="462" t="n">
        <f aca="false">H402-O402</f>
        <v>0</v>
      </c>
      <c r="Q402" s="463" t="n">
        <f aca="false">O402*I402</f>
        <v>16197.3</v>
      </c>
      <c r="R402" s="48" t="n">
        <f aca="false">K402-Q402</f>
        <v>0</v>
      </c>
      <c r="S402" s="467"/>
      <c r="T402" s="2" t="s">
        <v>1711</v>
      </c>
      <c r="V402" s="464"/>
      <c r="W402" s="464"/>
      <c r="X402" s="464"/>
      <c r="Y402" s="464"/>
      <c r="Z402" s="464"/>
      <c r="AA402" s="464"/>
      <c r="AB402" s="464"/>
      <c r="AC402" s="464"/>
      <c r="AD402" s="464"/>
      <c r="AE402" s="464"/>
      <c r="AF402" s="464"/>
      <c r="AG402" s="464"/>
      <c r="AH402" s="465"/>
      <c r="AI402" s="464"/>
    </row>
    <row r="403" customFormat="false" ht="15" hidden="false" customHeight="true" outlineLevel="0" collapsed="false">
      <c r="A403" s="455" t="s">
        <v>1768</v>
      </c>
      <c r="C403" s="456" t="n">
        <v>45485</v>
      </c>
      <c r="D403" s="456"/>
      <c r="E403" s="57" t="n">
        <v>101</v>
      </c>
      <c r="F403" s="323" t="s">
        <v>175</v>
      </c>
      <c r="G403" s="323" t="s">
        <v>11</v>
      </c>
      <c r="H403" s="98" t="n">
        <v>60</v>
      </c>
      <c r="I403" s="457" t="n">
        <v>14</v>
      </c>
      <c r="J403" s="313" t="s">
        <v>1651</v>
      </c>
      <c r="K403" s="98" t="n">
        <f aca="false">I403*H403</f>
        <v>840</v>
      </c>
      <c r="L403" s="411" t="n">
        <v>4740</v>
      </c>
      <c r="M403" s="392" t="n">
        <f aca="false">L403/K403</f>
        <v>5.64285714285714</v>
      </c>
      <c r="N403" s="466" t="n">
        <f aca="false">I403*M403</f>
        <v>79</v>
      </c>
      <c r="O403" s="461" t="n">
        <v>60</v>
      </c>
      <c r="P403" s="462" t="n">
        <f aca="false">H403-O403</f>
        <v>0</v>
      </c>
      <c r="Q403" s="463" t="n">
        <f aca="false">O403*I403</f>
        <v>840</v>
      </c>
      <c r="R403" s="48" t="n">
        <f aca="false">K403-Q403</f>
        <v>0</v>
      </c>
      <c r="S403" s="467"/>
      <c r="T403" s="2" t="s">
        <v>1711</v>
      </c>
      <c r="V403" s="464"/>
      <c r="W403" s="464"/>
      <c r="X403" s="464"/>
      <c r="Y403" s="464"/>
      <c r="Z403" s="464"/>
      <c r="AA403" s="464"/>
      <c r="AB403" s="464"/>
      <c r="AC403" s="464"/>
      <c r="AD403" s="464"/>
      <c r="AE403" s="464"/>
      <c r="AF403" s="464"/>
      <c r="AG403" s="464"/>
      <c r="AH403" s="465"/>
      <c r="AI403" s="464"/>
    </row>
    <row r="404" customFormat="false" ht="15" hidden="false" customHeight="true" outlineLevel="0" collapsed="false">
      <c r="A404" s="455" t="s">
        <v>1768</v>
      </c>
      <c r="C404" s="456" t="n">
        <v>45485</v>
      </c>
      <c r="D404" s="456"/>
      <c r="E404" s="57" t="n">
        <v>101</v>
      </c>
      <c r="F404" s="323" t="s">
        <v>175</v>
      </c>
      <c r="G404" s="323" t="s">
        <v>13</v>
      </c>
      <c r="H404" s="98" t="n">
        <v>120</v>
      </c>
      <c r="I404" s="457" t="n">
        <v>22.5</v>
      </c>
      <c r="J404" s="313" t="s">
        <v>1651</v>
      </c>
      <c r="K404" s="98" t="n">
        <f aca="false">I404*H404</f>
        <v>2700</v>
      </c>
      <c r="L404" s="411" t="n">
        <v>1680</v>
      </c>
      <c r="M404" s="392" t="n">
        <f aca="false">L404/K404</f>
        <v>0.622222222222222</v>
      </c>
      <c r="N404" s="466" t="n">
        <f aca="false">I404*M404</f>
        <v>14</v>
      </c>
      <c r="O404" s="461" t="n">
        <v>120</v>
      </c>
      <c r="P404" s="462" t="n">
        <f aca="false">H404-O404</f>
        <v>0</v>
      </c>
      <c r="Q404" s="463" t="n">
        <f aca="false">O404*I404</f>
        <v>2700</v>
      </c>
      <c r="R404" s="48" t="n">
        <f aca="false">K404-Q404</f>
        <v>0</v>
      </c>
      <c r="S404" s="467"/>
      <c r="T404" s="2" t="s">
        <v>1711</v>
      </c>
      <c r="V404" s="464"/>
      <c r="W404" s="464"/>
      <c r="X404" s="464"/>
      <c r="Y404" s="464"/>
      <c r="Z404" s="464"/>
      <c r="AA404" s="464"/>
      <c r="AB404" s="464"/>
      <c r="AC404" s="464"/>
      <c r="AD404" s="464"/>
      <c r="AE404" s="464"/>
      <c r="AF404" s="464"/>
      <c r="AG404" s="464"/>
      <c r="AH404" s="465"/>
      <c r="AI404" s="464"/>
    </row>
    <row r="405" customFormat="false" ht="15" hidden="false" customHeight="true" outlineLevel="0" collapsed="false">
      <c r="A405" s="455" t="s">
        <v>1768</v>
      </c>
      <c r="C405" s="456" t="n">
        <v>45485</v>
      </c>
      <c r="D405" s="456"/>
      <c r="E405" s="57" t="n">
        <v>101</v>
      </c>
      <c r="F405" s="323" t="s">
        <v>175</v>
      </c>
      <c r="G405" s="323" t="s">
        <v>42</v>
      </c>
      <c r="H405" s="98" t="n">
        <v>600</v>
      </c>
      <c r="I405" s="457" t="n">
        <v>30</v>
      </c>
      <c r="J405" s="313" t="s">
        <v>1651</v>
      </c>
      <c r="K405" s="98" t="n">
        <f aca="false">I405*H405</f>
        <v>18000</v>
      </c>
      <c r="L405" s="411" t="n">
        <v>10200</v>
      </c>
      <c r="M405" s="392" t="n">
        <f aca="false">L405/K405</f>
        <v>0.566666666666667</v>
      </c>
      <c r="N405" s="466" t="n">
        <f aca="false">I405*M405</f>
        <v>17</v>
      </c>
      <c r="O405" s="461" t="n">
        <v>600</v>
      </c>
      <c r="P405" s="462" t="n">
        <f aca="false">H405-O405</f>
        <v>0</v>
      </c>
      <c r="Q405" s="463" t="n">
        <f aca="false">O405*I405</f>
        <v>18000</v>
      </c>
      <c r="R405" s="48" t="n">
        <f aca="false">K405-Q405</f>
        <v>0</v>
      </c>
      <c r="S405" s="467"/>
      <c r="T405" s="2" t="s">
        <v>1711</v>
      </c>
      <c r="V405" s="464"/>
      <c r="W405" s="464"/>
      <c r="X405" s="464"/>
      <c r="Y405" s="464"/>
      <c r="Z405" s="464"/>
      <c r="AA405" s="464"/>
      <c r="AB405" s="464"/>
      <c r="AC405" s="464"/>
      <c r="AD405" s="464"/>
      <c r="AE405" s="464"/>
      <c r="AF405" s="464"/>
      <c r="AG405" s="464"/>
      <c r="AH405" s="465"/>
      <c r="AI405" s="464"/>
    </row>
    <row r="406" customFormat="false" ht="15" hidden="false" customHeight="true" outlineLevel="0" collapsed="false">
      <c r="A406" s="455" t="s">
        <v>1769</v>
      </c>
      <c r="C406" s="456" t="n">
        <v>45463</v>
      </c>
      <c r="D406" s="456"/>
      <c r="E406" s="57" t="n">
        <v>104</v>
      </c>
      <c r="F406" s="323" t="s">
        <v>175</v>
      </c>
      <c r="G406" s="323" t="s">
        <v>5</v>
      </c>
      <c r="H406" s="98" t="n">
        <v>12000</v>
      </c>
      <c r="I406" s="457" t="n">
        <v>25.71</v>
      </c>
      <c r="J406" s="313" t="s">
        <v>1651</v>
      </c>
      <c r="K406" s="98" t="n">
        <f aca="false">I406*H406</f>
        <v>308520</v>
      </c>
      <c r="L406" s="411" t="n">
        <v>123360</v>
      </c>
      <c r="M406" s="392" t="n">
        <f aca="false">L406/K406</f>
        <v>0.399844418514197</v>
      </c>
      <c r="N406" s="466" t="n">
        <f aca="false">I406*M406</f>
        <v>10.28</v>
      </c>
      <c r="O406" s="461" t="n">
        <v>12000</v>
      </c>
      <c r="P406" s="462" t="n">
        <f aca="false">H406-O406</f>
        <v>0</v>
      </c>
      <c r="Q406" s="463" t="n">
        <f aca="false">O406*I406</f>
        <v>308520</v>
      </c>
      <c r="R406" s="48" t="n">
        <f aca="false">K406-Q406</f>
        <v>0</v>
      </c>
      <c r="S406" s="467"/>
      <c r="T406" s="2" t="s">
        <v>1711</v>
      </c>
      <c r="V406" s="464"/>
      <c r="W406" s="464"/>
      <c r="X406" s="464"/>
      <c r="Y406" s="464"/>
      <c r="Z406" s="464"/>
      <c r="AA406" s="464"/>
      <c r="AB406" s="464"/>
      <c r="AC406" s="464"/>
      <c r="AD406" s="464"/>
      <c r="AE406" s="464"/>
      <c r="AF406" s="464"/>
      <c r="AG406" s="464"/>
      <c r="AH406" s="465"/>
      <c r="AI406" s="464"/>
    </row>
    <row r="407" customFormat="false" ht="15" hidden="false" customHeight="true" outlineLevel="0" collapsed="false">
      <c r="A407" s="455" t="s">
        <v>1769</v>
      </c>
      <c r="C407" s="456" t="n">
        <v>45463</v>
      </c>
      <c r="D407" s="456"/>
      <c r="E407" s="323" t="n">
        <v>104</v>
      </c>
      <c r="F407" s="323" t="s">
        <v>175</v>
      </c>
      <c r="G407" s="323" t="s">
        <v>13</v>
      </c>
      <c r="H407" s="98" t="n">
        <v>10005</v>
      </c>
      <c r="I407" s="457" t="n">
        <v>22.5</v>
      </c>
      <c r="J407" s="313" t="s">
        <v>1651</v>
      </c>
      <c r="K407" s="98" t="n">
        <f aca="false">I407*H407</f>
        <v>225112.5</v>
      </c>
      <c r="L407" s="411" t="n">
        <v>102851.4</v>
      </c>
      <c r="M407" s="392" t="n">
        <f aca="false">L407/K407</f>
        <v>0.456888888888889</v>
      </c>
      <c r="N407" s="466" t="n">
        <f aca="false">I407*M407</f>
        <v>10.28</v>
      </c>
      <c r="O407" s="461" t="n">
        <v>10005</v>
      </c>
      <c r="P407" s="462" t="n">
        <f aca="false">H407-O407</f>
        <v>0</v>
      </c>
      <c r="Q407" s="463" t="n">
        <f aca="false">O407*I407</f>
        <v>225112.5</v>
      </c>
      <c r="R407" s="48" t="n">
        <f aca="false">K407-Q407</f>
        <v>0</v>
      </c>
      <c r="S407" s="467"/>
      <c r="T407" s="2" t="s">
        <v>1711</v>
      </c>
      <c r="V407" s="464"/>
      <c r="W407" s="464"/>
      <c r="X407" s="464"/>
      <c r="Y407" s="464"/>
      <c r="Z407" s="464"/>
      <c r="AA407" s="464"/>
      <c r="AB407" s="464"/>
      <c r="AC407" s="464"/>
      <c r="AD407" s="464"/>
      <c r="AE407" s="464"/>
      <c r="AF407" s="464"/>
      <c r="AG407" s="464"/>
      <c r="AH407" s="465"/>
      <c r="AI407" s="464"/>
    </row>
    <row r="408" customFormat="false" ht="15" hidden="false" customHeight="true" outlineLevel="0" collapsed="false">
      <c r="A408" s="455" t="s">
        <v>1769</v>
      </c>
      <c r="C408" s="456" t="n">
        <v>45463</v>
      </c>
      <c r="D408" s="456"/>
      <c r="E408" s="57" t="n">
        <v>104</v>
      </c>
      <c r="F408" s="323" t="s">
        <v>175</v>
      </c>
      <c r="G408" s="323" t="s">
        <v>6</v>
      </c>
      <c r="H408" s="98" t="n">
        <v>5010</v>
      </c>
      <c r="I408" s="457" t="n">
        <v>30</v>
      </c>
      <c r="J408" s="313" t="s">
        <v>1651</v>
      </c>
      <c r="K408" s="98" t="n">
        <f aca="false">I408*H408</f>
        <v>150300</v>
      </c>
      <c r="L408" s="411" t="n">
        <v>56913.6</v>
      </c>
      <c r="M408" s="392" t="n">
        <f aca="false">L408/K408</f>
        <v>0.378666666666667</v>
      </c>
      <c r="N408" s="466" t="n">
        <f aca="false">I408*M408</f>
        <v>11.36</v>
      </c>
      <c r="O408" s="461" t="n">
        <v>5010</v>
      </c>
      <c r="P408" s="462" t="n">
        <f aca="false">H408-O408</f>
        <v>0</v>
      </c>
      <c r="Q408" s="463" t="n">
        <f aca="false">O408*I408</f>
        <v>150300</v>
      </c>
      <c r="R408" s="48" t="n">
        <f aca="false">K408-Q408</f>
        <v>0</v>
      </c>
      <c r="S408" s="467"/>
      <c r="T408" s="2" t="s">
        <v>1711</v>
      </c>
      <c r="V408" s="464"/>
      <c r="W408" s="464"/>
      <c r="X408" s="464"/>
      <c r="Y408" s="464"/>
      <c r="Z408" s="464"/>
      <c r="AA408" s="464"/>
      <c r="AB408" s="464"/>
      <c r="AC408" s="464"/>
      <c r="AD408" s="464"/>
      <c r="AE408" s="464"/>
      <c r="AF408" s="464"/>
      <c r="AG408" s="464"/>
      <c r="AH408" s="465"/>
      <c r="AI408" s="464"/>
    </row>
    <row r="409" customFormat="false" ht="15" hidden="false" customHeight="true" outlineLevel="0" collapsed="false">
      <c r="A409" s="455" t="s">
        <v>1770</v>
      </c>
      <c r="C409" s="456" t="n">
        <v>45488</v>
      </c>
      <c r="D409" s="456"/>
      <c r="E409" s="57" t="n">
        <v>106</v>
      </c>
      <c r="F409" s="323" t="s">
        <v>175</v>
      </c>
      <c r="G409" s="323" t="s">
        <v>11</v>
      </c>
      <c r="H409" s="98" t="n">
        <v>50</v>
      </c>
      <c r="I409" s="457" t="n">
        <v>14</v>
      </c>
      <c r="J409" s="313" t="s">
        <v>1651</v>
      </c>
      <c r="K409" s="98" t="n">
        <f aca="false">I409*H409</f>
        <v>700</v>
      </c>
      <c r="L409" s="411" t="n">
        <v>3679.5</v>
      </c>
      <c r="M409" s="392" t="n">
        <f aca="false">L409/K409</f>
        <v>5.25642857142857</v>
      </c>
      <c r="N409" s="466" t="n">
        <f aca="false">I409*M409</f>
        <v>73.59</v>
      </c>
      <c r="O409" s="461" t="n">
        <v>50</v>
      </c>
      <c r="P409" s="462" t="n">
        <f aca="false">H409-O409</f>
        <v>0</v>
      </c>
      <c r="Q409" s="463" t="n">
        <f aca="false">O409*I409</f>
        <v>700</v>
      </c>
      <c r="R409" s="48" t="n">
        <f aca="false">K409-Q409</f>
        <v>0</v>
      </c>
      <c r="S409" s="467"/>
      <c r="T409" s="2" t="s">
        <v>1711</v>
      </c>
      <c r="V409" s="464"/>
      <c r="W409" s="464"/>
      <c r="X409" s="464"/>
      <c r="Y409" s="464"/>
      <c r="Z409" s="464"/>
      <c r="AA409" s="464"/>
      <c r="AB409" s="464"/>
      <c r="AC409" s="464"/>
      <c r="AD409" s="464"/>
      <c r="AE409" s="464"/>
      <c r="AF409" s="464"/>
      <c r="AG409" s="464"/>
      <c r="AH409" s="465"/>
      <c r="AI409" s="464"/>
    </row>
    <row r="410" customFormat="false" ht="15" hidden="false" customHeight="true" outlineLevel="0" collapsed="false">
      <c r="A410" s="455" t="s">
        <v>1770</v>
      </c>
      <c r="C410" s="456" t="n">
        <v>45488</v>
      </c>
      <c r="D410" s="456"/>
      <c r="E410" s="57" t="n">
        <v>106</v>
      </c>
      <c r="F410" s="323" t="s">
        <v>175</v>
      </c>
      <c r="G410" s="323" t="s">
        <v>42</v>
      </c>
      <c r="H410" s="98" t="n">
        <v>300</v>
      </c>
      <c r="I410" s="457" t="n">
        <v>30</v>
      </c>
      <c r="J410" s="313" t="s">
        <v>1651</v>
      </c>
      <c r="K410" s="98" t="n">
        <f aca="false">I410*H410</f>
        <v>9000</v>
      </c>
      <c r="L410" s="411" t="n">
        <v>7242</v>
      </c>
      <c r="M410" s="392" t="n">
        <f aca="false">L410/K410</f>
        <v>0.804666666666667</v>
      </c>
      <c r="N410" s="466" t="n">
        <f aca="false">I410*M410</f>
        <v>24.14</v>
      </c>
      <c r="O410" s="461" t="n">
        <v>300</v>
      </c>
      <c r="P410" s="462" t="n">
        <f aca="false">H410-O410</f>
        <v>0</v>
      </c>
      <c r="Q410" s="463" t="n">
        <f aca="false">O410*I410</f>
        <v>9000</v>
      </c>
      <c r="R410" s="48" t="n">
        <f aca="false">K410-Q410</f>
        <v>0</v>
      </c>
      <c r="S410" s="467"/>
      <c r="T410" s="2" t="s">
        <v>1711</v>
      </c>
      <c r="V410" s="464"/>
      <c r="W410" s="464"/>
      <c r="X410" s="464"/>
      <c r="Y410" s="464"/>
      <c r="Z410" s="464"/>
      <c r="AA410" s="464"/>
      <c r="AB410" s="464"/>
      <c r="AC410" s="464"/>
      <c r="AD410" s="464"/>
      <c r="AE410" s="464"/>
      <c r="AF410" s="464"/>
      <c r="AG410" s="464"/>
      <c r="AH410" s="465"/>
      <c r="AI410" s="464"/>
    </row>
    <row r="411" customFormat="false" ht="15" hidden="false" customHeight="true" outlineLevel="0" collapsed="false">
      <c r="A411" s="455" t="s">
        <v>1771</v>
      </c>
      <c r="C411" s="456" t="n">
        <v>45488</v>
      </c>
      <c r="D411" s="456"/>
      <c r="E411" s="57" t="n">
        <v>107</v>
      </c>
      <c r="F411" s="323" t="s">
        <v>175</v>
      </c>
      <c r="G411" s="323" t="s">
        <v>11</v>
      </c>
      <c r="H411" s="98" t="n">
        <v>200</v>
      </c>
      <c r="I411" s="457" t="n">
        <v>14</v>
      </c>
      <c r="J411" s="313" t="s">
        <v>1651</v>
      </c>
      <c r="K411" s="98" t="n">
        <f aca="false">I411*H411</f>
        <v>2800</v>
      </c>
      <c r="L411" s="411" t="n">
        <v>12800</v>
      </c>
      <c r="M411" s="392" t="n">
        <f aca="false">L411/K411</f>
        <v>4.57142857142857</v>
      </c>
      <c r="N411" s="466" t="n">
        <f aca="false">I411*M411</f>
        <v>64</v>
      </c>
      <c r="O411" s="461" t="n">
        <v>200</v>
      </c>
      <c r="P411" s="462" t="n">
        <f aca="false">H411-O411</f>
        <v>0</v>
      </c>
      <c r="Q411" s="463" t="n">
        <f aca="false">O411*I411</f>
        <v>2800</v>
      </c>
      <c r="R411" s="48" t="n">
        <f aca="false">K411-Q411</f>
        <v>0</v>
      </c>
      <c r="S411" s="467"/>
      <c r="T411" s="2" t="s">
        <v>1711</v>
      </c>
      <c r="V411" s="464"/>
      <c r="W411" s="464"/>
      <c r="X411" s="464"/>
      <c r="Y411" s="464"/>
      <c r="Z411" s="464"/>
      <c r="AA411" s="464"/>
      <c r="AB411" s="464"/>
      <c r="AC411" s="464"/>
      <c r="AD411" s="464"/>
      <c r="AE411" s="464"/>
      <c r="AF411" s="464"/>
      <c r="AG411" s="464"/>
      <c r="AH411" s="465"/>
      <c r="AI411" s="464"/>
    </row>
    <row r="412" customFormat="false" ht="15" hidden="false" customHeight="true" outlineLevel="0" collapsed="false">
      <c r="A412" s="455" t="s">
        <v>1724</v>
      </c>
      <c r="C412" s="456" t="n">
        <v>45488</v>
      </c>
      <c r="D412" s="456"/>
      <c r="E412" s="57" t="n">
        <v>108</v>
      </c>
      <c r="F412" s="57" t="s">
        <v>175</v>
      </c>
      <c r="G412" s="323" t="s">
        <v>10</v>
      </c>
      <c r="H412" s="98" t="n">
        <v>3600</v>
      </c>
      <c r="I412" s="457" t="n">
        <v>38.3</v>
      </c>
      <c r="J412" s="313" t="s">
        <v>1652</v>
      </c>
      <c r="K412" s="98" t="n">
        <f aca="false">I412*H412</f>
        <v>137880</v>
      </c>
      <c r="L412" s="411" t="n">
        <v>37800</v>
      </c>
      <c r="M412" s="392" t="n">
        <f aca="false">L412/K412</f>
        <v>0.274151436031332</v>
      </c>
      <c r="N412" s="466" t="n">
        <f aca="false">I412*M412</f>
        <v>10.5</v>
      </c>
      <c r="O412" s="461" t="n">
        <v>3600</v>
      </c>
      <c r="P412" s="462" t="n">
        <f aca="false">H412-O412</f>
        <v>0</v>
      </c>
      <c r="Q412" s="463" t="n">
        <f aca="false">O412*I412</f>
        <v>137880</v>
      </c>
      <c r="R412" s="48" t="n">
        <f aca="false">K412-Q412</f>
        <v>0</v>
      </c>
      <c r="S412" s="467"/>
      <c r="T412" s="2" t="s">
        <v>1711</v>
      </c>
      <c r="V412" s="464"/>
      <c r="W412" s="464"/>
      <c r="X412" s="464"/>
      <c r="Y412" s="464"/>
      <c r="Z412" s="464"/>
      <c r="AA412" s="464"/>
      <c r="AB412" s="464"/>
      <c r="AC412" s="464"/>
      <c r="AD412" s="464"/>
      <c r="AE412" s="464"/>
      <c r="AF412" s="464"/>
      <c r="AG412" s="464"/>
      <c r="AH412" s="465"/>
      <c r="AI412" s="464"/>
    </row>
    <row r="413" customFormat="false" ht="15" hidden="false" customHeight="true" outlineLevel="0" collapsed="false">
      <c r="A413" s="455" t="s">
        <v>1772</v>
      </c>
      <c r="C413" s="456" t="n">
        <v>45489</v>
      </c>
      <c r="D413" s="456"/>
      <c r="E413" s="57" t="n">
        <v>109</v>
      </c>
      <c r="F413" s="323" t="s">
        <v>175</v>
      </c>
      <c r="G413" s="323" t="s">
        <v>11</v>
      </c>
      <c r="H413" s="98" t="n">
        <v>100</v>
      </c>
      <c r="I413" s="457" t="n">
        <v>14</v>
      </c>
      <c r="J413" s="313" t="s">
        <v>1651</v>
      </c>
      <c r="K413" s="98" t="n">
        <f aca="false">I413*H413</f>
        <v>1400</v>
      </c>
      <c r="L413" s="411" t="n">
        <v>7359</v>
      </c>
      <c r="M413" s="392" t="n">
        <f aca="false">L413/K413</f>
        <v>5.25642857142857</v>
      </c>
      <c r="N413" s="466" t="n">
        <f aca="false">I413*M413</f>
        <v>73.59</v>
      </c>
      <c r="O413" s="461" t="n">
        <v>100</v>
      </c>
      <c r="P413" s="462" t="n">
        <f aca="false">H413-O413</f>
        <v>0</v>
      </c>
      <c r="Q413" s="463" t="n">
        <f aca="false">O413*I413</f>
        <v>1400</v>
      </c>
      <c r="R413" s="48" t="n">
        <f aca="false">K413-Q413</f>
        <v>0</v>
      </c>
      <c r="S413" s="467"/>
      <c r="T413" s="2" t="s">
        <v>1711</v>
      </c>
      <c r="V413" s="464"/>
      <c r="W413" s="464"/>
      <c r="X413" s="464"/>
      <c r="Y413" s="464"/>
      <c r="Z413" s="464"/>
      <c r="AA413" s="464"/>
      <c r="AB413" s="464"/>
      <c r="AC413" s="464"/>
      <c r="AD413" s="464"/>
      <c r="AE413" s="464"/>
      <c r="AF413" s="464"/>
      <c r="AG413" s="464"/>
      <c r="AH413" s="465"/>
      <c r="AI413" s="464"/>
    </row>
    <row r="414" customFormat="false" ht="15" hidden="false" customHeight="true" outlineLevel="0" collapsed="false">
      <c r="A414" s="455" t="s">
        <v>1772</v>
      </c>
      <c r="C414" s="456" t="n">
        <v>45489</v>
      </c>
      <c r="D414" s="456"/>
      <c r="E414" s="57" t="n">
        <v>109</v>
      </c>
      <c r="F414" s="323" t="s">
        <v>175</v>
      </c>
      <c r="G414" s="323" t="s">
        <v>5</v>
      </c>
      <c r="H414" s="98" t="n">
        <v>40</v>
      </c>
      <c r="I414" s="457" t="n">
        <v>25.71</v>
      </c>
      <c r="J414" s="313" t="s">
        <v>1651</v>
      </c>
      <c r="K414" s="98" t="n">
        <f aca="false">I414*H414</f>
        <v>1028.4</v>
      </c>
      <c r="L414" s="411" t="n">
        <v>848</v>
      </c>
      <c r="M414" s="392" t="n">
        <f aca="false">L414/K414</f>
        <v>0.824581874756904</v>
      </c>
      <c r="N414" s="466" t="n">
        <f aca="false">I414*M414</f>
        <v>21.2</v>
      </c>
      <c r="O414" s="461" t="n">
        <v>40</v>
      </c>
      <c r="P414" s="462" t="n">
        <f aca="false">H414-O414</f>
        <v>0</v>
      </c>
      <c r="Q414" s="463" t="n">
        <f aca="false">O414*I414</f>
        <v>1028.4</v>
      </c>
      <c r="R414" s="48" t="n">
        <f aca="false">K414-Q414</f>
        <v>0</v>
      </c>
      <c r="S414" s="467"/>
      <c r="T414" s="2" t="s">
        <v>1711</v>
      </c>
      <c r="V414" s="464"/>
      <c r="W414" s="464"/>
      <c r="X414" s="464"/>
      <c r="Y414" s="464"/>
      <c r="Z414" s="464"/>
      <c r="AA414" s="464"/>
      <c r="AB414" s="464"/>
      <c r="AC414" s="464"/>
      <c r="AD414" s="464"/>
      <c r="AE414" s="464"/>
      <c r="AF414" s="464"/>
      <c r="AG414" s="464"/>
      <c r="AH414" s="465"/>
      <c r="AI414" s="464"/>
    </row>
    <row r="415" customFormat="false" ht="15" hidden="false" customHeight="true" outlineLevel="0" collapsed="false">
      <c r="A415" s="455" t="s">
        <v>1772</v>
      </c>
      <c r="C415" s="456" t="n">
        <v>45489</v>
      </c>
      <c r="D415" s="456"/>
      <c r="E415" s="57" t="n">
        <v>109</v>
      </c>
      <c r="F415" s="323" t="s">
        <v>175</v>
      </c>
      <c r="G415" s="323" t="s">
        <v>42</v>
      </c>
      <c r="H415" s="98" t="n">
        <v>400</v>
      </c>
      <c r="I415" s="457" t="n">
        <v>30</v>
      </c>
      <c r="J415" s="313" t="s">
        <v>1651</v>
      </c>
      <c r="K415" s="98" t="n">
        <f aca="false">I415*H415</f>
        <v>12000</v>
      </c>
      <c r="L415" s="411" t="n">
        <v>9652</v>
      </c>
      <c r="M415" s="392" t="n">
        <f aca="false">L415/K415</f>
        <v>0.804333333333333</v>
      </c>
      <c r="N415" s="466" t="n">
        <f aca="false">I415*M415</f>
        <v>24.13</v>
      </c>
      <c r="O415" s="461" t="n">
        <v>400</v>
      </c>
      <c r="P415" s="462" t="n">
        <f aca="false">H415-O415</f>
        <v>0</v>
      </c>
      <c r="Q415" s="463" t="n">
        <f aca="false">O415*I415</f>
        <v>12000</v>
      </c>
      <c r="R415" s="48" t="n">
        <f aca="false">K415-Q415</f>
        <v>0</v>
      </c>
      <c r="S415" s="467"/>
      <c r="T415" s="2" t="s">
        <v>1711</v>
      </c>
      <c r="V415" s="464"/>
      <c r="W415" s="464"/>
      <c r="X415" s="464"/>
      <c r="Y415" s="464"/>
      <c r="Z415" s="464"/>
      <c r="AA415" s="464"/>
      <c r="AB415" s="464"/>
      <c r="AC415" s="464"/>
      <c r="AD415" s="464"/>
      <c r="AE415" s="464"/>
      <c r="AF415" s="464"/>
      <c r="AG415" s="464"/>
      <c r="AH415" s="465"/>
      <c r="AI415" s="464"/>
    </row>
    <row r="416" customFormat="false" ht="15" hidden="false" customHeight="true" outlineLevel="0" collapsed="false">
      <c r="A416" s="455" t="s">
        <v>1773</v>
      </c>
      <c r="C416" s="456" t="n">
        <v>45489</v>
      </c>
      <c r="D416" s="456"/>
      <c r="E416" s="57" t="n">
        <v>110</v>
      </c>
      <c r="F416" s="323" t="s">
        <v>175</v>
      </c>
      <c r="G416" s="323" t="s">
        <v>6</v>
      </c>
      <c r="H416" s="98" t="n">
        <v>2505</v>
      </c>
      <c r="I416" s="457" t="n">
        <v>45</v>
      </c>
      <c r="J416" s="313" t="s">
        <v>1652</v>
      </c>
      <c r="K416" s="98" t="n">
        <f aca="false">I416*H416</f>
        <v>112725</v>
      </c>
      <c r="L416" s="411" t="n">
        <v>49599</v>
      </c>
      <c r="M416" s="392" t="n">
        <f aca="false">L416/K416</f>
        <v>0.44</v>
      </c>
      <c r="N416" s="466" t="n">
        <f aca="false">I416*M416</f>
        <v>19.8</v>
      </c>
      <c r="O416" s="461" t="n">
        <v>2505</v>
      </c>
      <c r="P416" s="462" t="n">
        <f aca="false">H416-O416</f>
        <v>0</v>
      </c>
      <c r="Q416" s="463" t="n">
        <f aca="false">O416*I416</f>
        <v>112725</v>
      </c>
      <c r="R416" s="48" t="n">
        <f aca="false">K416-Q416</f>
        <v>0</v>
      </c>
      <c r="S416" s="467"/>
      <c r="T416" s="2" t="s">
        <v>1711</v>
      </c>
      <c r="V416" s="464"/>
      <c r="W416" s="464"/>
      <c r="X416" s="464"/>
      <c r="Y416" s="464"/>
      <c r="Z416" s="464"/>
      <c r="AA416" s="464"/>
      <c r="AB416" s="464"/>
      <c r="AC416" s="464"/>
      <c r="AD416" s="464"/>
      <c r="AE416" s="464"/>
      <c r="AF416" s="464"/>
      <c r="AG416" s="464"/>
      <c r="AH416" s="465"/>
      <c r="AI416" s="464"/>
    </row>
    <row r="417" customFormat="false" ht="15" hidden="false" customHeight="true" outlineLevel="0" collapsed="false">
      <c r="A417" s="455" t="s">
        <v>1774</v>
      </c>
      <c r="C417" s="456" t="n">
        <v>45491</v>
      </c>
      <c r="D417" s="456"/>
      <c r="E417" s="57" t="n">
        <v>111</v>
      </c>
      <c r="F417" s="323" t="s">
        <v>175</v>
      </c>
      <c r="G417" s="323" t="s">
        <v>12</v>
      </c>
      <c r="H417" s="98" t="n">
        <v>75</v>
      </c>
      <c r="I417" s="457" t="n">
        <v>18</v>
      </c>
      <c r="J417" s="313" t="s">
        <v>1651</v>
      </c>
      <c r="K417" s="98" t="n">
        <f aca="false">I417*H417</f>
        <v>1350</v>
      </c>
      <c r="L417" s="411" t="n">
        <v>5025</v>
      </c>
      <c r="M417" s="392" t="n">
        <f aca="false">L417/K417</f>
        <v>3.72222222222222</v>
      </c>
      <c r="N417" s="466" t="n">
        <f aca="false">I417*M417</f>
        <v>67</v>
      </c>
      <c r="O417" s="461" t="n">
        <v>75</v>
      </c>
      <c r="P417" s="462" t="n">
        <f aca="false">H417-O417</f>
        <v>0</v>
      </c>
      <c r="Q417" s="463" t="n">
        <f aca="false">O417*I417</f>
        <v>1350</v>
      </c>
      <c r="R417" s="48" t="n">
        <f aca="false">K417-Q417</f>
        <v>0</v>
      </c>
      <c r="S417" s="467"/>
      <c r="T417" s="2" t="s">
        <v>1711</v>
      </c>
      <c r="V417" s="464"/>
      <c r="W417" s="464"/>
      <c r="X417" s="464"/>
      <c r="Y417" s="464"/>
      <c r="Z417" s="464"/>
      <c r="AA417" s="464"/>
      <c r="AB417" s="464"/>
      <c r="AC417" s="464"/>
      <c r="AD417" s="464"/>
      <c r="AE417" s="464"/>
      <c r="AF417" s="464"/>
      <c r="AG417" s="464"/>
      <c r="AH417" s="465"/>
      <c r="AI417" s="464"/>
    </row>
    <row r="418" customFormat="false" ht="15" hidden="false" customHeight="true" outlineLevel="0" collapsed="false">
      <c r="A418" s="455" t="s">
        <v>1774</v>
      </c>
      <c r="C418" s="456" t="n">
        <v>45491</v>
      </c>
      <c r="D418" s="456"/>
      <c r="E418" s="57" t="n">
        <v>111</v>
      </c>
      <c r="F418" s="323" t="s">
        <v>175</v>
      </c>
      <c r="G418" s="323" t="s">
        <v>17</v>
      </c>
      <c r="H418" s="98" t="n">
        <v>330</v>
      </c>
      <c r="I418" s="457" t="n">
        <v>22.5</v>
      </c>
      <c r="J418" s="313" t="s">
        <v>1651</v>
      </c>
      <c r="K418" s="98" t="n">
        <f aca="false">I418*H418</f>
        <v>7425</v>
      </c>
      <c r="L418" s="411" t="n">
        <v>5940</v>
      </c>
      <c r="M418" s="392" t="n">
        <f aca="false">L418/K418</f>
        <v>0.8</v>
      </c>
      <c r="N418" s="466" t="n">
        <f aca="false">I418*M418</f>
        <v>18</v>
      </c>
      <c r="O418" s="461" t="n">
        <v>330</v>
      </c>
      <c r="P418" s="462" t="n">
        <f aca="false">H418-O418</f>
        <v>0</v>
      </c>
      <c r="Q418" s="463" t="n">
        <f aca="false">O418*I418</f>
        <v>7425</v>
      </c>
      <c r="R418" s="48" t="n">
        <f aca="false">K418-Q418</f>
        <v>0</v>
      </c>
      <c r="S418" s="467"/>
      <c r="T418" s="2" t="s">
        <v>1711</v>
      </c>
      <c r="V418" s="464"/>
      <c r="W418" s="464"/>
      <c r="X418" s="464"/>
      <c r="Y418" s="464"/>
      <c r="Z418" s="464"/>
      <c r="AA418" s="464"/>
      <c r="AB418" s="464"/>
      <c r="AC418" s="464"/>
      <c r="AD418" s="464"/>
      <c r="AE418" s="464"/>
      <c r="AF418" s="464"/>
      <c r="AG418" s="464"/>
      <c r="AH418" s="465"/>
      <c r="AI418" s="464"/>
    </row>
    <row r="419" customFormat="false" ht="15" hidden="false" customHeight="true" outlineLevel="0" collapsed="false">
      <c r="A419" s="455" t="s">
        <v>1775</v>
      </c>
      <c r="C419" s="456" t="n">
        <v>45491</v>
      </c>
      <c r="D419" s="456"/>
      <c r="E419" s="57" t="n">
        <v>112</v>
      </c>
      <c r="F419" s="323" t="s">
        <v>175</v>
      </c>
      <c r="G419" s="323" t="s">
        <v>10</v>
      </c>
      <c r="H419" s="98" t="n">
        <v>105</v>
      </c>
      <c r="I419" s="457" t="n">
        <v>25.71</v>
      </c>
      <c r="J419" s="313" t="s">
        <v>1651</v>
      </c>
      <c r="K419" s="98" t="n">
        <f aca="false">I419*H419</f>
        <v>2699.55</v>
      </c>
      <c r="L419" s="411" t="n">
        <v>1032.15</v>
      </c>
      <c r="M419" s="392" t="n">
        <f aca="false">L419/K419</f>
        <v>0.382341501361338</v>
      </c>
      <c r="N419" s="466" t="n">
        <f aca="false">I419*M419</f>
        <v>9.83</v>
      </c>
      <c r="O419" s="461" t="n">
        <v>105</v>
      </c>
      <c r="P419" s="462" t="n">
        <f aca="false">H419-O419</f>
        <v>0</v>
      </c>
      <c r="Q419" s="463" t="n">
        <f aca="false">O419*I419</f>
        <v>2699.55</v>
      </c>
      <c r="R419" s="48" t="n">
        <f aca="false">K419-Q419</f>
        <v>0</v>
      </c>
      <c r="S419" s="467"/>
      <c r="T419" s="2" t="s">
        <v>1711</v>
      </c>
      <c r="V419" s="464"/>
      <c r="W419" s="464"/>
      <c r="X419" s="464"/>
      <c r="Y419" s="464"/>
      <c r="Z419" s="464"/>
      <c r="AA419" s="464"/>
      <c r="AB419" s="464"/>
      <c r="AC419" s="464"/>
      <c r="AD419" s="464"/>
      <c r="AE419" s="464"/>
      <c r="AF419" s="464"/>
      <c r="AG419" s="464"/>
      <c r="AH419" s="465"/>
      <c r="AI419" s="464"/>
    </row>
    <row r="420" customFormat="false" ht="15" hidden="false" customHeight="true" outlineLevel="0" collapsed="false">
      <c r="A420" s="455" t="s">
        <v>1776</v>
      </c>
      <c r="C420" s="456" t="n">
        <v>45491</v>
      </c>
      <c r="D420" s="456"/>
      <c r="E420" s="57" t="n">
        <v>113</v>
      </c>
      <c r="F420" s="323" t="s">
        <v>175</v>
      </c>
      <c r="G420" s="323" t="s">
        <v>6</v>
      </c>
      <c r="H420" s="98" t="n">
        <v>75</v>
      </c>
      <c r="I420" s="457" t="n">
        <v>30</v>
      </c>
      <c r="J420" s="313" t="s">
        <v>1651</v>
      </c>
      <c r="K420" s="98" t="n">
        <f aca="false">I420*H420</f>
        <v>2250</v>
      </c>
      <c r="L420" s="411" t="n">
        <v>1687.5</v>
      </c>
      <c r="M420" s="392" t="n">
        <f aca="false">L420/K420</f>
        <v>0.75</v>
      </c>
      <c r="N420" s="466" t="n">
        <f aca="false">I420*M420</f>
        <v>22.5</v>
      </c>
      <c r="O420" s="461" t="n">
        <v>75</v>
      </c>
      <c r="P420" s="462" t="n">
        <f aca="false">H420-O420</f>
        <v>0</v>
      </c>
      <c r="Q420" s="463" t="n">
        <f aca="false">O420*I420</f>
        <v>2250</v>
      </c>
      <c r="R420" s="48" t="n">
        <f aca="false">K420-Q420</f>
        <v>0</v>
      </c>
      <c r="S420" s="467"/>
      <c r="T420" s="2" t="s">
        <v>1711</v>
      </c>
      <c r="V420" s="464"/>
      <c r="W420" s="464"/>
      <c r="X420" s="464"/>
      <c r="Y420" s="464"/>
      <c r="Z420" s="464"/>
      <c r="AA420" s="464"/>
      <c r="AB420" s="464"/>
      <c r="AC420" s="464"/>
      <c r="AD420" s="464"/>
      <c r="AE420" s="464"/>
      <c r="AF420" s="464"/>
      <c r="AG420" s="464"/>
      <c r="AH420" s="465"/>
      <c r="AI420" s="464"/>
    </row>
    <row r="421" customFormat="false" ht="15" hidden="false" customHeight="true" outlineLevel="0" collapsed="false">
      <c r="A421" s="455" t="s">
        <v>1776</v>
      </c>
      <c r="C421" s="456" t="n">
        <v>45491</v>
      </c>
      <c r="D421" s="456"/>
      <c r="E421" s="57" t="n">
        <v>113</v>
      </c>
      <c r="F421" s="323" t="s">
        <v>175</v>
      </c>
      <c r="G421" s="323" t="s">
        <v>17</v>
      </c>
      <c r="H421" s="98" t="n">
        <v>105</v>
      </c>
      <c r="I421" s="457" t="n">
        <v>22.5</v>
      </c>
      <c r="J421" s="313" t="s">
        <v>1651</v>
      </c>
      <c r="K421" s="98" t="n">
        <f aca="false">I421*H421</f>
        <v>2362.5</v>
      </c>
      <c r="L421" s="411" t="n">
        <v>3045</v>
      </c>
      <c r="M421" s="392" t="n">
        <f aca="false">L421/K421</f>
        <v>1.28888888888889</v>
      </c>
      <c r="N421" s="466" t="n">
        <f aca="false">I421*M421</f>
        <v>29</v>
      </c>
      <c r="O421" s="461" t="n">
        <v>105</v>
      </c>
      <c r="P421" s="462" t="n">
        <f aca="false">H421-O421</f>
        <v>0</v>
      </c>
      <c r="Q421" s="463" t="n">
        <f aca="false">O421*I421</f>
        <v>2362.5</v>
      </c>
      <c r="R421" s="48" t="n">
        <f aca="false">K421-Q421</f>
        <v>0</v>
      </c>
      <c r="S421" s="467"/>
      <c r="T421" s="2" t="s">
        <v>1711</v>
      </c>
      <c r="V421" s="464"/>
      <c r="W421" s="464"/>
      <c r="X421" s="464"/>
      <c r="Y421" s="464"/>
      <c r="Z421" s="464"/>
      <c r="AA421" s="464"/>
      <c r="AB421" s="464"/>
      <c r="AC421" s="464"/>
      <c r="AD421" s="464"/>
      <c r="AE421" s="464"/>
      <c r="AF421" s="464"/>
      <c r="AG421" s="464"/>
      <c r="AH421" s="465"/>
      <c r="AI421" s="464"/>
    </row>
    <row r="422" customFormat="false" ht="15" hidden="false" customHeight="true" outlineLevel="0" collapsed="false">
      <c r="A422" s="455" t="s">
        <v>1777</v>
      </c>
      <c r="C422" s="456" t="n">
        <v>45492</v>
      </c>
      <c r="D422" s="456"/>
      <c r="E422" s="57" t="n">
        <v>114</v>
      </c>
      <c r="F422" s="323" t="s">
        <v>175</v>
      </c>
      <c r="G422" s="323" t="s">
        <v>11</v>
      </c>
      <c r="H422" s="98" t="n">
        <v>510</v>
      </c>
      <c r="I422" s="457" t="n">
        <v>14</v>
      </c>
      <c r="J422" s="313" t="s">
        <v>1651</v>
      </c>
      <c r="K422" s="98" t="n">
        <f aca="false">I422*H422</f>
        <v>7140</v>
      </c>
      <c r="L422" s="411" t="n">
        <v>30574.5</v>
      </c>
      <c r="M422" s="392" t="n">
        <f aca="false">L422/K422</f>
        <v>4.28214285714286</v>
      </c>
      <c r="N422" s="466" t="n">
        <f aca="false">I422*M422</f>
        <v>59.95</v>
      </c>
      <c r="O422" s="461" t="n">
        <v>510</v>
      </c>
      <c r="P422" s="462" t="n">
        <f aca="false">H422-O422</f>
        <v>0</v>
      </c>
      <c r="Q422" s="463" t="n">
        <f aca="false">O422*I422</f>
        <v>7140</v>
      </c>
      <c r="R422" s="48" t="n">
        <f aca="false">K422-Q422</f>
        <v>0</v>
      </c>
      <c r="S422" s="467"/>
      <c r="T422" s="2" t="s">
        <v>1711</v>
      </c>
      <c r="V422" s="464"/>
      <c r="W422" s="464"/>
      <c r="X422" s="464"/>
      <c r="Y422" s="464"/>
      <c r="Z422" s="464"/>
      <c r="AA422" s="464"/>
      <c r="AB422" s="464"/>
      <c r="AC422" s="464"/>
      <c r="AD422" s="464"/>
      <c r="AE422" s="464"/>
      <c r="AF422" s="464"/>
      <c r="AG422" s="464"/>
      <c r="AH422" s="465"/>
      <c r="AI422" s="464"/>
    </row>
    <row r="423" customFormat="false" ht="15" hidden="false" customHeight="true" outlineLevel="0" collapsed="false">
      <c r="A423" s="455" t="s">
        <v>1777</v>
      </c>
      <c r="C423" s="456" t="n">
        <v>45492</v>
      </c>
      <c r="D423" s="456"/>
      <c r="E423" s="57" t="n">
        <v>114</v>
      </c>
      <c r="F423" s="323" t="s">
        <v>175</v>
      </c>
      <c r="G423" s="323" t="s">
        <v>6</v>
      </c>
      <c r="H423" s="98" t="n">
        <v>3000</v>
      </c>
      <c r="I423" s="457" t="n">
        <v>30</v>
      </c>
      <c r="J423" s="313" t="s">
        <v>1651</v>
      </c>
      <c r="K423" s="98" t="n">
        <f aca="false">I423*H423</f>
        <v>90000</v>
      </c>
      <c r="L423" s="411" t="n">
        <v>36300</v>
      </c>
      <c r="M423" s="392" t="n">
        <f aca="false">L423/K423</f>
        <v>0.403333333333333</v>
      </c>
      <c r="N423" s="466" t="n">
        <f aca="false">I423*M423</f>
        <v>12.1</v>
      </c>
      <c r="O423" s="461" t="n">
        <v>3000</v>
      </c>
      <c r="P423" s="462" t="n">
        <f aca="false">H423-O423</f>
        <v>0</v>
      </c>
      <c r="Q423" s="463" t="n">
        <f aca="false">O423*I423</f>
        <v>90000</v>
      </c>
      <c r="R423" s="48" t="n">
        <f aca="false">K423-Q423</f>
        <v>0</v>
      </c>
      <c r="S423" s="467"/>
      <c r="T423" s="2" t="s">
        <v>1711</v>
      </c>
      <c r="V423" s="464"/>
      <c r="W423" s="464"/>
      <c r="X423" s="464"/>
      <c r="Y423" s="464"/>
      <c r="Z423" s="464"/>
      <c r="AA423" s="464"/>
      <c r="AB423" s="464"/>
      <c r="AC423" s="464"/>
      <c r="AD423" s="464"/>
      <c r="AE423" s="464"/>
      <c r="AF423" s="464"/>
      <c r="AG423" s="464"/>
      <c r="AH423" s="465"/>
      <c r="AI423" s="464"/>
    </row>
    <row r="424" customFormat="false" ht="15" hidden="false" customHeight="true" outlineLevel="0" collapsed="false">
      <c r="A424" s="455" t="s">
        <v>1777</v>
      </c>
      <c r="C424" s="456" t="n">
        <v>45492</v>
      </c>
      <c r="D424" s="456"/>
      <c r="E424" s="57" t="n">
        <v>114</v>
      </c>
      <c r="F424" s="323" t="s">
        <v>175</v>
      </c>
      <c r="G424" s="323" t="s">
        <v>5</v>
      </c>
      <c r="H424" s="98" t="n">
        <v>15000</v>
      </c>
      <c r="I424" s="457" t="n">
        <v>25.71</v>
      </c>
      <c r="J424" s="313" t="s">
        <v>1651</v>
      </c>
      <c r="K424" s="98" t="n">
        <f aca="false">I424*H424</f>
        <v>385650</v>
      </c>
      <c r="L424" s="411" t="n">
        <v>181500</v>
      </c>
      <c r="M424" s="392" t="n">
        <f aca="false">L424/K424</f>
        <v>0.470633994554648</v>
      </c>
      <c r="N424" s="466" t="n">
        <f aca="false">I424*M424</f>
        <v>12.1</v>
      </c>
      <c r="O424" s="461" t="n">
        <v>15000</v>
      </c>
      <c r="P424" s="462" t="n">
        <f aca="false">H424-O424</f>
        <v>0</v>
      </c>
      <c r="Q424" s="463" t="n">
        <f aca="false">O424*I424</f>
        <v>385650</v>
      </c>
      <c r="R424" s="48" t="n">
        <f aca="false">K424-Q424</f>
        <v>0</v>
      </c>
      <c r="S424" s="467"/>
      <c r="T424" s="2" t="s">
        <v>1711</v>
      </c>
      <c r="V424" s="464"/>
      <c r="W424" s="464"/>
      <c r="X424" s="464"/>
      <c r="Y424" s="464"/>
      <c r="Z424" s="464"/>
      <c r="AA424" s="464"/>
      <c r="AB424" s="464"/>
      <c r="AC424" s="464"/>
      <c r="AD424" s="464"/>
      <c r="AE424" s="464"/>
      <c r="AF424" s="464"/>
      <c r="AG424" s="464"/>
      <c r="AH424" s="465"/>
      <c r="AI424" s="464"/>
    </row>
    <row r="425" customFormat="false" ht="15" hidden="false" customHeight="true" outlineLevel="0" collapsed="false">
      <c r="A425" s="455" t="s">
        <v>1777</v>
      </c>
      <c r="C425" s="456" t="n">
        <v>45492</v>
      </c>
      <c r="D425" s="456"/>
      <c r="E425" s="57" t="n">
        <v>114</v>
      </c>
      <c r="F425" s="323" t="s">
        <v>175</v>
      </c>
      <c r="G425" s="323" t="s">
        <v>12</v>
      </c>
      <c r="H425" s="98" t="n">
        <v>510</v>
      </c>
      <c r="I425" s="457" t="n">
        <v>18</v>
      </c>
      <c r="J425" s="313" t="s">
        <v>1651</v>
      </c>
      <c r="K425" s="98" t="n">
        <f aca="false">I425*H425</f>
        <v>9180</v>
      </c>
      <c r="L425" s="411" t="n">
        <v>24199.5</v>
      </c>
      <c r="M425" s="392" t="n">
        <f aca="false">L425/K425</f>
        <v>2.63611111111111</v>
      </c>
      <c r="N425" s="466" t="n">
        <f aca="false">I425*M425</f>
        <v>47.45</v>
      </c>
      <c r="O425" s="461" t="n">
        <v>510</v>
      </c>
      <c r="P425" s="462" t="n">
        <f aca="false">H425-O425</f>
        <v>0</v>
      </c>
      <c r="Q425" s="463" t="n">
        <f aca="false">O425*I425</f>
        <v>9180</v>
      </c>
      <c r="R425" s="48" t="n">
        <f aca="false">K425-Q425</f>
        <v>0</v>
      </c>
      <c r="S425" s="467"/>
      <c r="T425" s="2" t="s">
        <v>1711</v>
      </c>
      <c r="V425" s="464"/>
      <c r="W425" s="464"/>
      <c r="X425" s="464"/>
      <c r="Y425" s="464"/>
      <c r="Z425" s="464"/>
      <c r="AA425" s="464"/>
      <c r="AB425" s="464"/>
      <c r="AC425" s="464"/>
      <c r="AD425" s="464"/>
      <c r="AE425" s="464"/>
      <c r="AF425" s="464"/>
      <c r="AG425" s="464"/>
      <c r="AH425" s="465"/>
      <c r="AI425" s="464"/>
    </row>
    <row r="426" customFormat="false" ht="15" hidden="false" customHeight="true" outlineLevel="0" collapsed="false">
      <c r="A426" s="455" t="s">
        <v>1777</v>
      </c>
      <c r="C426" s="456" t="n">
        <v>45492</v>
      </c>
      <c r="D426" s="456"/>
      <c r="E426" s="57" t="n">
        <v>114</v>
      </c>
      <c r="F426" s="323" t="s">
        <v>175</v>
      </c>
      <c r="G426" s="323" t="s">
        <v>19</v>
      </c>
      <c r="H426" s="98" t="n">
        <v>510</v>
      </c>
      <c r="I426" s="457" t="n">
        <v>22.5</v>
      </c>
      <c r="J426" s="313" t="s">
        <v>1651</v>
      </c>
      <c r="K426" s="98" t="n">
        <f aca="false">I426*H426</f>
        <v>11475</v>
      </c>
      <c r="L426" s="411" t="n">
        <v>10480.5</v>
      </c>
      <c r="M426" s="392" t="n">
        <f aca="false">L426/K426</f>
        <v>0.913333333333333</v>
      </c>
      <c r="N426" s="466" t="n">
        <f aca="false">I426*M426</f>
        <v>20.55</v>
      </c>
      <c r="O426" s="461" t="n">
        <v>510</v>
      </c>
      <c r="P426" s="462" t="n">
        <f aca="false">H426-O426</f>
        <v>0</v>
      </c>
      <c r="Q426" s="463" t="n">
        <f aca="false">O426*I426</f>
        <v>11475</v>
      </c>
      <c r="R426" s="48" t="n">
        <f aca="false">K426-Q426</f>
        <v>0</v>
      </c>
      <c r="S426" s="467"/>
      <c r="T426" s="2" t="s">
        <v>1711</v>
      </c>
      <c r="V426" s="464"/>
      <c r="W426" s="464"/>
      <c r="X426" s="464"/>
      <c r="Y426" s="464"/>
      <c r="Z426" s="464"/>
      <c r="AA426" s="464"/>
      <c r="AB426" s="464"/>
      <c r="AC426" s="464"/>
      <c r="AD426" s="464"/>
      <c r="AE426" s="464"/>
      <c r="AF426" s="464"/>
      <c r="AG426" s="464"/>
      <c r="AH426" s="465"/>
      <c r="AI426" s="464"/>
    </row>
    <row r="427" customFormat="false" ht="15" hidden="false" customHeight="true" outlineLevel="0" collapsed="false">
      <c r="A427" s="455" t="s">
        <v>1777</v>
      </c>
      <c r="C427" s="456" t="n">
        <v>45492</v>
      </c>
      <c r="D427" s="456"/>
      <c r="E427" s="57" t="n">
        <v>114</v>
      </c>
      <c r="F427" s="323" t="s">
        <v>175</v>
      </c>
      <c r="G427" s="323" t="s">
        <v>15</v>
      </c>
      <c r="H427" s="98" t="n">
        <v>510</v>
      </c>
      <c r="I427" s="457" t="n">
        <v>22.5</v>
      </c>
      <c r="J427" s="313" t="s">
        <v>1651</v>
      </c>
      <c r="K427" s="98" t="n">
        <f aca="false">I427*H427</f>
        <v>11475</v>
      </c>
      <c r="L427" s="411" t="n">
        <v>10480.5</v>
      </c>
      <c r="M427" s="392" t="n">
        <f aca="false">L427/K427</f>
        <v>0.913333333333333</v>
      </c>
      <c r="N427" s="466" t="n">
        <f aca="false">I427*M427</f>
        <v>20.55</v>
      </c>
      <c r="O427" s="461" t="n">
        <v>510</v>
      </c>
      <c r="P427" s="462" t="n">
        <f aca="false">H427-O427</f>
        <v>0</v>
      </c>
      <c r="Q427" s="463" t="n">
        <f aca="false">O427*I427</f>
        <v>11475</v>
      </c>
      <c r="R427" s="48" t="n">
        <f aca="false">K427-Q427</f>
        <v>0</v>
      </c>
      <c r="S427" s="467"/>
      <c r="T427" s="2" t="s">
        <v>1711</v>
      </c>
      <c r="V427" s="464"/>
      <c r="W427" s="464"/>
      <c r="X427" s="464"/>
      <c r="Y427" s="464"/>
      <c r="Z427" s="464"/>
      <c r="AA427" s="464"/>
      <c r="AB427" s="464"/>
      <c r="AC427" s="464"/>
      <c r="AD427" s="464"/>
      <c r="AE427" s="464"/>
      <c r="AF427" s="464"/>
      <c r="AG427" s="464"/>
      <c r="AH427" s="465"/>
      <c r="AI427" s="464"/>
    </row>
    <row r="428" customFormat="false" ht="15" hidden="false" customHeight="true" outlineLevel="0" collapsed="false">
      <c r="A428" s="455" t="s">
        <v>1777</v>
      </c>
      <c r="C428" s="456" t="n">
        <v>45492</v>
      </c>
      <c r="D428" s="456"/>
      <c r="E428" s="57" t="n">
        <v>114</v>
      </c>
      <c r="F428" s="323" t="s">
        <v>175</v>
      </c>
      <c r="G428" s="323" t="s">
        <v>17</v>
      </c>
      <c r="H428" s="98" t="n">
        <v>2010</v>
      </c>
      <c r="I428" s="457" t="n">
        <v>22.5</v>
      </c>
      <c r="J428" s="313" t="s">
        <v>1651</v>
      </c>
      <c r="K428" s="98" t="n">
        <f aca="false">I428*H428</f>
        <v>45225</v>
      </c>
      <c r="L428" s="411" t="n">
        <v>27336</v>
      </c>
      <c r="M428" s="392" t="n">
        <f aca="false">L428/K428</f>
        <v>0.604444444444445</v>
      </c>
      <c r="N428" s="466" t="n">
        <f aca="false">I428*M428</f>
        <v>13.6</v>
      </c>
      <c r="O428" s="461" t="n">
        <v>2010</v>
      </c>
      <c r="P428" s="462" t="n">
        <f aca="false">H428-O428</f>
        <v>0</v>
      </c>
      <c r="Q428" s="463" t="n">
        <f aca="false">O428*I428</f>
        <v>45225</v>
      </c>
      <c r="R428" s="48" t="n">
        <f aca="false">K428-Q428</f>
        <v>0</v>
      </c>
      <c r="S428" s="467"/>
      <c r="T428" s="2" t="s">
        <v>1711</v>
      </c>
      <c r="V428" s="464"/>
      <c r="W428" s="464"/>
      <c r="X428" s="464"/>
      <c r="Y428" s="464"/>
      <c r="Z428" s="464"/>
      <c r="AA428" s="464"/>
      <c r="AB428" s="464"/>
      <c r="AC428" s="464"/>
      <c r="AD428" s="464"/>
      <c r="AE428" s="464"/>
      <c r="AF428" s="464"/>
      <c r="AG428" s="464"/>
      <c r="AH428" s="465"/>
      <c r="AI428" s="464"/>
    </row>
    <row r="429" customFormat="false" ht="15" hidden="false" customHeight="true" outlineLevel="0" collapsed="false">
      <c r="A429" s="455" t="s">
        <v>1777</v>
      </c>
      <c r="C429" s="456" t="n">
        <v>45492</v>
      </c>
      <c r="D429" s="456"/>
      <c r="E429" s="57" t="n">
        <v>114</v>
      </c>
      <c r="F429" s="323" t="s">
        <v>175</v>
      </c>
      <c r="G429" s="323" t="s">
        <v>13</v>
      </c>
      <c r="H429" s="98" t="n">
        <v>2010</v>
      </c>
      <c r="I429" s="457" t="n">
        <v>22.5</v>
      </c>
      <c r="J429" s="313" t="s">
        <v>1651</v>
      </c>
      <c r="K429" s="98" t="n">
        <f aca="false">I429*H429</f>
        <v>45225</v>
      </c>
      <c r="L429" s="411" t="n">
        <v>27336</v>
      </c>
      <c r="M429" s="392" t="n">
        <f aca="false">L429/K429</f>
        <v>0.604444444444445</v>
      </c>
      <c r="N429" s="466" t="n">
        <f aca="false">I429*M429</f>
        <v>13.6</v>
      </c>
      <c r="O429" s="461" t="n">
        <v>2010</v>
      </c>
      <c r="P429" s="462" t="n">
        <f aca="false">H429-O429</f>
        <v>0</v>
      </c>
      <c r="Q429" s="463" t="n">
        <f aca="false">O429*I429</f>
        <v>45225</v>
      </c>
      <c r="R429" s="48" t="n">
        <f aca="false">K429-Q429</f>
        <v>0</v>
      </c>
      <c r="S429" s="467"/>
      <c r="T429" s="2" t="s">
        <v>1711</v>
      </c>
      <c r="V429" s="464"/>
      <c r="W429" s="464"/>
      <c r="X429" s="464"/>
      <c r="Y429" s="464"/>
      <c r="Z429" s="464"/>
      <c r="AA429" s="464"/>
      <c r="AB429" s="464"/>
      <c r="AC429" s="464"/>
      <c r="AD429" s="464"/>
      <c r="AE429" s="464"/>
      <c r="AF429" s="464"/>
      <c r="AG429" s="464"/>
      <c r="AH429" s="465"/>
      <c r="AI429" s="464"/>
    </row>
    <row r="430" customFormat="false" ht="15" hidden="false" customHeight="true" outlineLevel="0" collapsed="false">
      <c r="A430" s="455" t="s">
        <v>1778</v>
      </c>
      <c r="C430" s="456" t="n">
        <v>45492</v>
      </c>
      <c r="D430" s="456"/>
      <c r="E430" s="323" t="n">
        <v>115</v>
      </c>
      <c r="F430" s="323" t="s">
        <v>175</v>
      </c>
      <c r="G430" s="323" t="s">
        <v>6</v>
      </c>
      <c r="H430" s="98" t="n">
        <v>1020</v>
      </c>
      <c r="I430" s="457" t="n">
        <v>90</v>
      </c>
      <c r="J430" s="313" t="s">
        <v>1653</v>
      </c>
      <c r="K430" s="98" t="n">
        <f aca="false">I430*H430</f>
        <v>91800</v>
      </c>
      <c r="L430" s="411" t="n">
        <v>29580</v>
      </c>
      <c r="M430" s="392" t="n">
        <f aca="false">L430/K430</f>
        <v>0.322222222222222</v>
      </c>
      <c r="N430" s="466" t="n">
        <f aca="false">I430*M430</f>
        <v>29</v>
      </c>
      <c r="O430" s="461" t="n">
        <v>1020</v>
      </c>
      <c r="P430" s="462" t="n">
        <f aca="false">H430-O430</f>
        <v>0</v>
      </c>
      <c r="Q430" s="463" t="n">
        <f aca="false">O430*I430</f>
        <v>91800</v>
      </c>
      <c r="R430" s="48" t="n">
        <f aca="false">K430-Q430</f>
        <v>0</v>
      </c>
      <c r="S430" s="467"/>
      <c r="T430" s="2" t="s">
        <v>1711</v>
      </c>
      <c r="V430" s="464"/>
      <c r="W430" s="464"/>
      <c r="X430" s="464"/>
      <c r="Y430" s="464"/>
      <c r="Z430" s="464"/>
      <c r="AA430" s="464"/>
      <c r="AB430" s="464"/>
      <c r="AC430" s="464"/>
      <c r="AD430" s="464"/>
      <c r="AE430" s="464"/>
      <c r="AF430" s="464"/>
      <c r="AG430" s="464"/>
      <c r="AH430" s="465"/>
      <c r="AI430" s="464"/>
    </row>
    <row r="431" customFormat="false" ht="15" hidden="false" customHeight="true" outlineLevel="0" collapsed="false">
      <c r="A431" s="455" t="s">
        <v>1779</v>
      </c>
      <c r="C431" s="456" t="n">
        <v>45492</v>
      </c>
      <c r="D431" s="456"/>
      <c r="E431" s="323" t="n">
        <v>116</v>
      </c>
      <c r="F431" s="323" t="s">
        <v>175</v>
      </c>
      <c r="G431" s="323" t="s">
        <v>5</v>
      </c>
      <c r="H431" s="98" t="n">
        <v>1500</v>
      </c>
      <c r="I431" s="457" t="n">
        <v>25.71</v>
      </c>
      <c r="J431" s="313" t="s">
        <v>1651</v>
      </c>
      <c r="K431" s="98" t="n">
        <f aca="false">I431*H431</f>
        <v>38565</v>
      </c>
      <c r="L431" s="411" t="n">
        <v>20850</v>
      </c>
      <c r="M431" s="392" t="n">
        <f aca="false">L431/K431</f>
        <v>0.540645663166083</v>
      </c>
      <c r="N431" s="466" t="n">
        <f aca="false">I431*M431</f>
        <v>13.9</v>
      </c>
      <c r="O431" s="461" t="n">
        <v>1500</v>
      </c>
      <c r="P431" s="462" t="n">
        <f aca="false">H431-O431</f>
        <v>0</v>
      </c>
      <c r="Q431" s="463" t="n">
        <f aca="false">O431*I431</f>
        <v>38565</v>
      </c>
      <c r="R431" s="48" t="n">
        <f aca="false">K431-Q431</f>
        <v>0</v>
      </c>
      <c r="S431" s="467"/>
      <c r="T431" s="2" t="s">
        <v>1711</v>
      </c>
      <c r="V431" s="464"/>
      <c r="W431" s="464"/>
      <c r="X431" s="464"/>
      <c r="Y431" s="464"/>
      <c r="Z431" s="464"/>
      <c r="AA431" s="464"/>
      <c r="AB431" s="464"/>
      <c r="AC431" s="464"/>
      <c r="AD431" s="464"/>
      <c r="AE431" s="464"/>
      <c r="AF431" s="464"/>
      <c r="AG431" s="464"/>
      <c r="AH431" s="465"/>
      <c r="AI431" s="464"/>
    </row>
    <row r="432" customFormat="false" ht="15" hidden="false" customHeight="true" outlineLevel="0" collapsed="false">
      <c r="A432" s="455" t="s">
        <v>1780</v>
      </c>
      <c r="C432" s="456" t="n">
        <v>45492</v>
      </c>
      <c r="D432" s="456"/>
      <c r="E432" s="323" t="n">
        <v>117</v>
      </c>
      <c r="F432" s="57" t="s">
        <v>175</v>
      </c>
      <c r="G432" s="323" t="s">
        <v>5</v>
      </c>
      <c r="H432" s="98" t="n">
        <v>510</v>
      </c>
      <c r="I432" s="457" t="n">
        <v>37.5</v>
      </c>
      <c r="J432" s="313" t="s">
        <v>1652</v>
      </c>
      <c r="K432" s="98" t="n">
        <f aca="false">I432*H432</f>
        <v>19125</v>
      </c>
      <c r="L432" s="411" t="n">
        <v>10200</v>
      </c>
      <c r="M432" s="392" t="n">
        <f aca="false">L432/K432</f>
        <v>0.533333333333333</v>
      </c>
      <c r="N432" s="466" t="n">
        <f aca="false">I432*M432</f>
        <v>20</v>
      </c>
      <c r="O432" s="461" t="n">
        <v>510</v>
      </c>
      <c r="P432" s="462" t="n">
        <f aca="false">H432-O432</f>
        <v>0</v>
      </c>
      <c r="Q432" s="463" t="n">
        <f aca="false">O432*I432</f>
        <v>19125</v>
      </c>
      <c r="R432" s="48" t="n">
        <f aca="false">K432-Q432</f>
        <v>0</v>
      </c>
      <c r="S432" s="467"/>
      <c r="T432" s="2" t="s">
        <v>1711</v>
      </c>
      <c r="V432" s="464"/>
      <c r="W432" s="464"/>
      <c r="X432" s="464"/>
      <c r="Y432" s="464"/>
      <c r="Z432" s="464"/>
      <c r="AA432" s="464"/>
      <c r="AB432" s="464"/>
      <c r="AC432" s="464"/>
      <c r="AD432" s="464"/>
      <c r="AE432" s="464"/>
      <c r="AF432" s="464"/>
      <c r="AG432" s="464"/>
      <c r="AH432" s="465"/>
      <c r="AI432" s="464"/>
    </row>
    <row r="433" customFormat="false" ht="15" hidden="false" customHeight="true" outlineLevel="0" collapsed="false">
      <c r="A433" s="455" t="s">
        <v>1781</v>
      </c>
      <c r="C433" s="456" t="n">
        <v>45492</v>
      </c>
      <c r="D433" s="456"/>
      <c r="E433" s="323" t="n">
        <v>118</v>
      </c>
      <c r="F433" s="57" t="s">
        <v>175</v>
      </c>
      <c r="G433" s="323" t="s">
        <v>5</v>
      </c>
      <c r="H433" s="98" t="n">
        <v>2010</v>
      </c>
      <c r="I433" s="457" t="n">
        <v>25.71</v>
      </c>
      <c r="J433" s="313" t="s">
        <v>1651</v>
      </c>
      <c r="K433" s="98" t="n">
        <f aca="false">I433*H433</f>
        <v>51677.1</v>
      </c>
      <c r="L433" s="411" t="n">
        <v>23014.5</v>
      </c>
      <c r="M433" s="392" t="n">
        <f aca="false">L433/K433</f>
        <v>0.44535200311163</v>
      </c>
      <c r="N433" s="466" t="n">
        <f aca="false">I433*M433</f>
        <v>11.45</v>
      </c>
      <c r="O433" s="461" t="n">
        <v>2010</v>
      </c>
      <c r="P433" s="462" t="n">
        <f aca="false">H433-O433</f>
        <v>0</v>
      </c>
      <c r="Q433" s="463" t="n">
        <f aca="false">O433*I433</f>
        <v>51677.1</v>
      </c>
      <c r="R433" s="471" t="n">
        <f aca="false">K433-Q433</f>
        <v>0</v>
      </c>
      <c r="S433" s="467"/>
      <c r="T433" s="2" t="s">
        <v>1711</v>
      </c>
      <c r="V433" s="464"/>
      <c r="W433" s="464"/>
      <c r="X433" s="464"/>
      <c r="Y433" s="464"/>
      <c r="Z433" s="464"/>
      <c r="AA433" s="464"/>
      <c r="AB433" s="464"/>
      <c r="AC433" s="464"/>
      <c r="AD433" s="464"/>
      <c r="AE433" s="464"/>
      <c r="AF433" s="464"/>
      <c r="AG433" s="464"/>
      <c r="AH433" s="465"/>
      <c r="AI433" s="464"/>
    </row>
    <row r="434" customFormat="false" ht="15" hidden="false" customHeight="true" outlineLevel="0" collapsed="false">
      <c r="A434" s="455" t="s">
        <v>1782</v>
      </c>
      <c r="C434" s="456" t="n">
        <v>45495</v>
      </c>
      <c r="D434" s="456"/>
      <c r="E434" s="323" t="n">
        <v>119</v>
      </c>
      <c r="F434" s="57" t="s">
        <v>175</v>
      </c>
      <c r="G434" s="323" t="s">
        <v>13</v>
      </c>
      <c r="H434" s="99" t="n">
        <v>0.51</v>
      </c>
      <c r="I434" s="457" t="n">
        <v>22.5</v>
      </c>
      <c r="J434" s="313" t="s">
        <v>1651</v>
      </c>
      <c r="K434" s="98" t="n">
        <f aca="false">I434*H434</f>
        <v>11.475</v>
      </c>
      <c r="L434" s="411" t="n">
        <v>5.23</v>
      </c>
      <c r="M434" s="392" t="n">
        <f aca="false">L434/K434</f>
        <v>0.455773420479303</v>
      </c>
      <c r="N434" s="466" t="n">
        <f aca="false">I434*M434</f>
        <v>10.2549019607843</v>
      </c>
      <c r="O434" s="461" t="n">
        <v>0.51</v>
      </c>
      <c r="P434" s="472" t="n">
        <f aca="false">H434-O434</f>
        <v>0</v>
      </c>
      <c r="Q434" s="463" t="n">
        <f aca="false">O434*I434</f>
        <v>11.475</v>
      </c>
      <c r="R434" s="471" t="n">
        <f aca="false">K434-Q434</f>
        <v>0</v>
      </c>
      <c r="S434" s="467"/>
      <c r="T434" s="2" t="s">
        <v>1711</v>
      </c>
      <c r="V434" s="464"/>
      <c r="W434" s="464"/>
      <c r="X434" s="464"/>
      <c r="Y434" s="464"/>
      <c r="Z434" s="464"/>
      <c r="AA434" s="464"/>
      <c r="AB434" s="464"/>
      <c r="AC434" s="464"/>
      <c r="AD434" s="464"/>
      <c r="AE434" s="464"/>
      <c r="AF434" s="464"/>
      <c r="AG434" s="464"/>
      <c r="AH434" s="465"/>
      <c r="AI434" s="464"/>
    </row>
    <row r="435" customFormat="false" ht="15" hidden="false" customHeight="true" outlineLevel="0" collapsed="false">
      <c r="A435" s="455" t="s">
        <v>1782</v>
      </c>
      <c r="C435" s="456" t="n">
        <v>45495</v>
      </c>
      <c r="D435" s="456"/>
      <c r="E435" s="323" t="n">
        <v>119</v>
      </c>
      <c r="F435" s="57" t="s">
        <v>175</v>
      </c>
      <c r="G435" s="323" t="s">
        <v>5</v>
      </c>
      <c r="H435" s="99" t="n">
        <v>0.51</v>
      </c>
      <c r="I435" s="457" t="n">
        <v>25.71</v>
      </c>
      <c r="J435" s="313" t="s">
        <v>1651</v>
      </c>
      <c r="K435" s="98" t="n">
        <f aca="false">I435*H435</f>
        <v>13.1121</v>
      </c>
      <c r="L435" s="411" t="n">
        <v>6.22</v>
      </c>
      <c r="M435" s="392" t="n">
        <f aca="false">L435/K435</f>
        <v>0.474371000831293</v>
      </c>
      <c r="N435" s="466" t="n">
        <f aca="false">I435*M435</f>
        <v>12.1960784313726</v>
      </c>
      <c r="O435" s="461" t="n">
        <v>0.51</v>
      </c>
      <c r="P435" s="472" t="n">
        <f aca="false">H435-O435</f>
        <v>0</v>
      </c>
      <c r="Q435" s="463" t="n">
        <f aca="false">O435*I435</f>
        <v>13.1121</v>
      </c>
      <c r="R435" s="471" t="n">
        <f aca="false">K435-Q435</f>
        <v>0</v>
      </c>
      <c r="S435" s="467"/>
      <c r="T435" s="2" t="s">
        <v>1711</v>
      </c>
      <c r="V435" s="464"/>
      <c r="W435" s="464"/>
      <c r="X435" s="464"/>
      <c r="Y435" s="464"/>
      <c r="Z435" s="464"/>
      <c r="AA435" s="464"/>
      <c r="AB435" s="464"/>
      <c r="AC435" s="464"/>
      <c r="AD435" s="464"/>
      <c r="AE435" s="464"/>
      <c r="AF435" s="464"/>
      <c r="AG435" s="464"/>
      <c r="AH435" s="465"/>
      <c r="AI435" s="464"/>
    </row>
    <row r="436" customFormat="false" ht="15" hidden="false" customHeight="true" outlineLevel="0" collapsed="false">
      <c r="A436" s="455" t="s">
        <v>1782</v>
      </c>
      <c r="C436" s="456" t="n">
        <v>45495</v>
      </c>
      <c r="D436" s="456"/>
      <c r="E436" s="323" t="n">
        <v>119</v>
      </c>
      <c r="F436" s="57" t="s">
        <v>175</v>
      </c>
      <c r="G436" s="323" t="s">
        <v>7</v>
      </c>
      <c r="H436" s="99" t="n">
        <v>0.51</v>
      </c>
      <c r="I436" s="457" t="n">
        <v>36</v>
      </c>
      <c r="J436" s="313" t="s">
        <v>1652</v>
      </c>
      <c r="K436" s="98" t="n">
        <f aca="false">I436*H436</f>
        <v>18.36</v>
      </c>
      <c r="L436" s="411" t="n">
        <v>7.2</v>
      </c>
      <c r="M436" s="392" t="n">
        <f aca="false">L436/K436</f>
        <v>0.392156862745098</v>
      </c>
      <c r="N436" s="466" t="n">
        <f aca="false">I436*M436</f>
        <v>14.1176470588235</v>
      </c>
      <c r="O436" s="461" t="n">
        <v>0.51</v>
      </c>
      <c r="P436" s="472" t="n">
        <f aca="false">H436-O436</f>
        <v>0</v>
      </c>
      <c r="Q436" s="463" t="n">
        <f aca="false">O436*I436</f>
        <v>18.36</v>
      </c>
      <c r="R436" s="471" t="n">
        <f aca="false">K436-Q436</f>
        <v>0</v>
      </c>
      <c r="S436" s="467"/>
      <c r="T436" s="2" t="s">
        <v>1711</v>
      </c>
      <c r="V436" s="464"/>
      <c r="W436" s="464"/>
      <c r="X436" s="464"/>
      <c r="Y436" s="464"/>
      <c r="Z436" s="464"/>
      <c r="AA436" s="464"/>
      <c r="AB436" s="464"/>
      <c r="AC436" s="464"/>
      <c r="AD436" s="464"/>
      <c r="AE436" s="464"/>
      <c r="AF436" s="464"/>
      <c r="AG436" s="464"/>
      <c r="AH436" s="465"/>
      <c r="AI436" s="464"/>
    </row>
    <row r="437" customFormat="false" ht="15" hidden="false" customHeight="true" outlineLevel="0" collapsed="false">
      <c r="A437" s="455" t="s">
        <v>1782</v>
      </c>
      <c r="C437" s="456" t="n">
        <v>45495</v>
      </c>
      <c r="D437" s="456"/>
      <c r="E437" s="323" t="n">
        <v>119</v>
      </c>
      <c r="F437" s="57" t="s">
        <v>175</v>
      </c>
      <c r="G437" s="323" t="s">
        <v>15</v>
      </c>
      <c r="H437" s="99" t="n">
        <v>0.51</v>
      </c>
      <c r="I437" s="457" t="n">
        <v>37.5</v>
      </c>
      <c r="J437" s="313" t="s">
        <v>1652</v>
      </c>
      <c r="K437" s="473" t="n">
        <f aca="false">I437*H437</f>
        <v>19.125</v>
      </c>
      <c r="L437" s="411" t="n">
        <v>6.25</v>
      </c>
      <c r="M437" s="392" t="n">
        <f aca="false">L437/K437</f>
        <v>0.326797385620915</v>
      </c>
      <c r="N437" s="466" t="n">
        <f aca="false">I437*M437</f>
        <v>12.2549019607843</v>
      </c>
      <c r="O437" s="461" t="n">
        <v>0.51</v>
      </c>
      <c r="P437" s="472" t="n">
        <f aca="false">H437-O437</f>
        <v>0</v>
      </c>
      <c r="Q437" s="463" t="n">
        <f aca="false">O437*I437</f>
        <v>19.125</v>
      </c>
      <c r="R437" s="471" t="n">
        <f aca="false">K437-Q437</f>
        <v>0</v>
      </c>
      <c r="S437" s="467"/>
      <c r="T437" s="2" t="s">
        <v>1711</v>
      </c>
      <c r="V437" s="464"/>
      <c r="W437" s="464"/>
      <c r="X437" s="464"/>
      <c r="Y437" s="464"/>
      <c r="Z437" s="464"/>
      <c r="AA437" s="464"/>
      <c r="AB437" s="464"/>
      <c r="AC437" s="464"/>
      <c r="AD437" s="464"/>
      <c r="AE437" s="464"/>
      <c r="AF437" s="464"/>
      <c r="AG437" s="464"/>
      <c r="AH437" s="465"/>
      <c r="AI437" s="464"/>
    </row>
    <row r="438" customFormat="false" ht="15" hidden="false" customHeight="true" outlineLevel="0" collapsed="false">
      <c r="A438" s="455" t="s">
        <v>1783</v>
      </c>
      <c r="C438" s="456" t="n">
        <v>45496</v>
      </c>
      <c r="D438" s="456"/>
      <c r="E438" s="323" t="n">
        <v>120</v>
      </c>
      <c r="F438" s="57" t="s">
        <v>175</v>
      </c>
      <c r="G438" s="323" t="s">
        <v>10</v>
      </c>
      <c r="H438" s="98" t="n">
        <v>20010</v>
      </c>
      <c r="I438" s="457" t="n">
        <v>90</v>
      </c>
      <c r="J438" s="313" t="s">
        <v>1653</v>
      </c>
      <c r="K438" s="98" t="n">
        <f aca="false">I438*H438</f>
        <v>1800900</v>
      </c>
      <c r="L438" s="411" t="n">
        <v>290145</v>
      </c>
      <c r="M438" s="392" t="n">
        <f aca="false">L438/K438</f>
        <v>0.161111111111111</v>
      </c>
      <c r="N438" s="466" t="n">
        <f aca="false">I438*M438</f>
        <v>14.5</v>
      </c>
      <c r="O438" s="461" t="n">
        <v>20010</v>
      </c>
      <c r="P438" s="462" t="n">
        <f aca="false">H438-O438</f>
        <v>0</v>
      </c>
      <c r="Q438" s="463" t="n">
        <f aca="false">O438*I438</f>
        <v>1800900</v>
      </c>
      <c r="R438" s="48" t="n">
        <f aca="false">K438-Q438</f>
        <v>0</v>
      </c>
      <c r="S438" s="467"/>
      <c r="T438" s="2" t="s">
        <v>1711</v>
      </c>
      <c r="V438" s="464"/>
      <c r="W438" s="464"/>
      <c r="X438" s="464"/>
      <c r="Y438" s="464"/>
      <c r="Z438" s="464"/>
      <c r="AA438" s="464"/>
      <c r="AB438" s="464"/>
      <c r="AC438" s="464"/>
      <c r="AD438" s="464"/>
      <c r="AE438" s="464"/>
      <c r="AF438" s="464"/>
      <c r="AG438" s="464"/>
      <c r="AH438" s="465"/>
      <c r="AI438" s="464"/>
    </row>
    <row r="439" customFormat="false" ht="15" hidden="false" customHeight="true" outlineLevel="0" collapsed="false">
      <c r="A439" s="455" t="s">
        <v>1784</v>
      </c>
      <c r="C439" s="456" t="n">
        <v>45497</v>
      </c>
      <c r="D439" s="456"/>
      <c r="E439" s="323" t="n">
        <v>121</v>
      </c>
      <c r="F439" s="57" t="s">
        <v>175</v>
      </c>
      <c r="G439" s="323" t="s">
        <v>10</v>
      </c>
      <c r="H439" s="98" t="n">
        <v>3210</v>
      </c>
      <c r="I439" s="457" t="n">
        <v>38.3</v>
      </c>
      <c r="J439" s="313" t="s">
        <v>1652</v>
      </c>
      <c r="K439" s="98" t="n">
        <f aca="false">I439*H439</f>
        <v>122943</v>
      </c>
      <c r="L439" s="411" t="n">
        <v>34668</v>
      </c>
      <c r="M439" s="392" t="n">
        <f aca="false">L439/K439</f>
        <v>0.281984334203655</v>
      </c>
      <c r="N439" s="466" t="n">
        <f aca="false">I439*M439</f>
        <v>10.8</v>
      </c>
      <c r="O439" s="461" t="n">
        <v>3210</v>
      </c>
      <c r="P439" s="462" t="n">
        <f aca="false">H439-O439</f>
        <v>0</v>
      </c>
      <c r="Q439" s="463" t="n">
        <f aca="false">O439*I439</f>
        <v>122943</v>
      </c>
      <c r="R439" s="48" t="n">
        <f aca="false">K439-Q439</f>
        <v>0</v>
      </c>
      <c r="S439" s="467"/>
      <c r="T439" s="2" t="s">
        <v>1711</v>
      </c>
      <c r="V439" s="464"/>
      <c r="W439" s="464"/>
      <c r="X439" s="464"/>
      <c r="Y439" s="464"/>
      <c r="Z439" s="464"/>
      <c r="AA439" s="464"/>
      <c r="AB439" s="464"/>
      <c r="AC439" s="464"/>
      <c r="AD439" s="464"/>
      <c r="AE439" s="464"/>
      <c r="AF439" s="464"/>
      <c r="AG439" s="464"/>
      <c r="AH439" s="465"/>
      <c r="AI439" s="464"/>
    </row>
    <row r="440" customFormat="false" ht="15" hidden="false" customHeight="true" outlineLevel="0" collapsed="false">
      <c r="A440" s="455" t="s">
        <v>1785</v>
      </c>
      <c r="C440" s="456" t="n">
        <v>45497</v>
      </c>
      <c r="D440" s="456"/>
      <c r="E440" s="57" t="n">
        <v>122</v>
      </c>
      <c r="F440" s="323" t="s">
        <v>175</v>
      </c>
      <c r="G440" s="323" t="s">
        <v>10</v>
      </c>
      <c r="H440" s="98" t="n">
        <v>300</v>
      </c>
      <c r="I440" s="457" t="n">
        <v>38.3</v>
      </c>
      <c r="J440" s="313" t="s">
        <v>1652</v>
      </c>
      <c r="K440" s="98" t="n">
        <f aca="false">I440*H440</f>
        <v>11490</v>
      </c>
      <c r="L440" s="411" t="n">
        <v>6600</v>
      </c>
      <c r="M440" s="392" t="n">
        <f aca="false">L440/K440</f>
        <v>0.574412532637076</v>
      </c>
      <c r="N440" s="466" t="n">
        <f aca="false">I440*M440</f>
        <v>22</v>
      </c>
      <c r="O440" s="461" t="n">
        <v>300</v>
      </c>
      <c r="P440" s="462" t="n">
        <f aca="false">H440-O440</f>
        <v>0</v>
      </c>
      <c r="Q440" s="463" t="n">
        <f aca="false">O440*I440</f>
        <v>11490</v>
      </c>
      <c r="R440" s="48" t="n">
        <f aca="false">K440-Q440</f>
        <v>0</v>
      </c>
      <c r="S440" s="467"/>
      <c r="T440" s="2" t="s">
        <v>1711</v>
      </c>
      <c r="V440" s="464"/>
      <c r="W440" s="464"/>
      <c r="X440" s="464"/>
      <c r="Y440" s="464"/>
      <c r="Z440" s="464"/>
      <c r="AA440" s="464"/>
      <c r="AB440" s="464"/>
      <c r="AC440" s="464"/>
      <c r="AD440" s="464"/>
      <c r="AE440" s="464"/>
      <c r="AF440" s="464"/>
      <c r="AG440" s="464"/>
      <c r="AH440" s="465"/>
      <c r="AI440" s="464"/>
    </row>
    <row r="441" customFormat="false" ht="15" hidden="false" customHeight="true" outlineLevel="0" collapsed="false">
      <c r="A441" s="455" t="s">
        <v>1786</v>
      </c>
      <c r="B441" s="474"/>
      <c r="C441" s="456" t="n">
        <v>45497</v>
      </c>
      <c r="D441" s="456"/>
      <c r="E441" s="57" t="n">
        <v>123</v>
      </c>
      <c r="F441" s="323" t="s">
        <v>175</v>
      </c>
      <c r="G441" s="323" t="s">
        <v>13</v>
      </c>
      <c r="H441" s="98" t="n">
        <v>600</v>
      </c>
      <c r="I441" s="457" t="n">
        <v>37.5</v>
      </c>
      <c r="J441" s="313" t="s">
        <v>1652</v>
      </c>
      <c r="K441" s="98" t="n">
        <f aca="false">I441*H441</f>
        <v>22500</v>
      </c>
      <c r="L441" s="411" t="n">
        <v>13800</v>
      </c>
      <c r="M441" s="392" t="n">
        <f aca="false">L441/K441</f>
        <v>0.613333333333333</v>
      </c>
      <c r="N441" s="466" t="n">
        <f aca="false">I441*M441</f>
        <v>23</v>
      </c>
      <c r="O441" s="461" t="n">
        <v>600</v>
      </c>
      <c r="P441" s="462" t="n">
        <f aca="false">H441-O441</f>
        <v>0</v>
      </c>
      <c r="Q441" s="463" t="n">
        <f aca="false">O441*I441</f>
        <v>22500</v>
      </c>
      <c r="R441" s="48" t="n">
        <f aca="false">K441-Q441</f>
        <v>0</v>
      </c>
      <c r="S441" s="467"/>
      <c r="T441" s="2" t="s">
        <v>1711</v>
      </c>
      <c r="V441" s="464"/>
      <c r="W441" s="464"/>
      <c r="X441" s="464"/>
      <c r="Y441" s="464"/>
      <c r="Z441" s="464"/>
      <c r="AA441" s="464"/>
      <c r="AB441" s="464"/>
      <c r="AC441" s="464"/>
      <c r="AD441" s="464"/>
      <c r="AE441" s="464"/>
      <c r="AF441" s="464"/>
      <c r="AG441" s="464"/>
      <c r="AH441" s="465"/>
      <c r="AI441" s="464"/>
    </row>
    <row r="442" customFormat="false" ht="15" hidden="false" customHeight="true" outlineLevel="0" collapsed="false">
      <c r="A442" s="455" t="s">
        <v>1786</v>
      </c>
      <c r="C442" s="456" t="n">
        <v>45497</v>
      </c>
      <c r="D442" s="456"/>
      <c r="E442" s="323" t="n">
        <v>123</v>
      </c>
      <c r="F442" s="323" t="s">
        <v>175</v>
      </c>
      <c r="G442" s="323" t="s">
        <v>10</v>
      </c>
      <c r="H442" s="98" t="n">
        <v>8400</v>
      </c>
      <c r="I442" s="457" t="n">
        <v>38.3</v>
      </c>
      <c r="J442" s="313" t="s">
        <v>1652</v>
      </c>
      <c r="K442" s="98" t="n">
        <f aca="false">I442*H442</f>
        <v>321720</v>
      </c>
      <c r="L442" s="411" t="n">
        <v>86100</v>
      </c>
      <c r="M442" s="392" t="n">
        <f aca="false">L442/K442</f>
        <v>0.267624020887728</v>
      </c>
      <c r="N442" s="466" t="n">
        <f aca="false">I442*M442</f>
        <v>10.25</v>
      </c>
      <c r="O442" s="461" t="n">
        <v>8400</v>
      </c>
      <c r="P442" s="462" t="n">
        <f aca="false">H442-O442</f>
        <v>0</v>
      </c>
      <c r="Q442" s="463" t="n">
        <f aca="false">O442*I442</f>
        <v>321720</v>
      </c>
      <c r="R442" s="48" t="n">
        <f aca="false">K442-Q442</f>
        <v>0</v>
      </c>
      <c r="S442" s="467"/>
      <c r="T442" s="2" t="s">
        <v>1711</v>
      </c>
      <c r="V442" s="464"/>
      <c r="W442" s="464"/>
      <c r="X442" s="464"/>
      <c r="Y442" s="464"/>
      <c r="Z442" s="464"/>
      <c r="AA442" s="464"/>
      <c r="AB442" s="464"/>
      <c r="AC442" s="464"/>
      <c r="AD442" s="464"/>
      <c r="AE442" s="464"/>
      <c r="AF442" s="464"/>
      <c r="AG442" s="464"/>
      <c r="AH442" s="465"/>
      <c r="AI442" s="464"/>
    </row>
    <row r="443" customFormat="false" ht="15" hidden="false" customHeight="true" outlineLevel="0" collapsed="false">
      <c r="A443" s="455" t="s">
        <v>1787</v>
      </c>
      <c r="C443" s="456" t="n">
        <v>45497</v>
      </c>
      <c r="D443" s="456"/>
      <c r="E443" s="57" t="n">
        <v>125</v>
      </c>
      <c r="F443" s="323" t="s">
        <v>175</v>
      </c>
      <c r="G443" s="323" t="s">
        <v>11</v>
      </c>
      <c r="H443" s="98" t="n">
        <v>510</v>
      </c>
      <c r="I443" s="457" t="n">
        <v>20</v>
      </c>
      <c r="J443" s="313" t="s">
        <v>1652</v>
      </c>
      <c r="K443" s="98" t="n">
        <f aca="false">I443*H443</f>
        <v>10200</v>
      </c>
      <c r="L443" s="411" t="n">
        <v>33150</v>
      </c>
      <c r="M443" s="392" t="n">
        <f aca="false">L443/K443</f>
        <v>3.25</v>
      </c>
      <c r="N443" s="466" t="n">
        <f aca="false">I443*M443</f>
        <v>65</v>
      </c>
      <c r="O443" s="461" t="n">
        <v>510</v>
      </c>
      <c r="P443" s="462" t="n">
        <f aca="false">H443-O443</f>
        <v>0</v>
      </c>
      <c r="Q443" s="463" t="n">
        <f aca="false">O443*I443</f>
        <v>10200</v>
      </c>
      <c r="R443" s="48" t="n">
        <f aca="false">K443-Q443</f>
        <v>0</v>
      </c>
      <c r="S443" s="467"/>
      <c r="T443" s="2" t="s">
        <v>1711</v>
      </c>
      <c r="V443" s="464"/>
      <c r="W443" s="464"/>
      <c r="X443" s="464"/>
      <c r="Y443" s="464"/>
      <c r="Z443" s="464"/>
      <c r="AA443" s="464"/>
      <c r="AB443" s="464"/>
      <c r="AC443" s="464"/>
      <c r="AD443" s="464"/>
      <c r="AE443" s="464"/>
      <c r="AF443" s="464"/>
      <c r="AG443" s="464"/>
      <c r="AH443" s="465"/>
      <c r="AI443" s="464"/>
    </row>
    <row r="444" customFormat="false" ht="15" hidden="false" customHeight="true" outlineLevel="0" collapsed="false">
      <c r="A444" s="455" t="s">
        <v>1787</v>
      </c>
      <c r="C444" s="456" t="n">
        <v>45497</v>
      </c>
      <c r="D444" s="456"/>
      <c r="E444" s="57" t="n">
        <v>125</v>
      </c>
      <c r="F444" s="323" t="s">
        <v>175</v>
      </c>
      <c r="G444" s="323" t="s">
        <v>17</v>
      </c>
      <c r="H444" s="98" t="n">
        <v>810</v>
      </c>
      <c r="I444" s="457" t="n">
        <v>37.5</v>
      </c>
      <c r="J444" s="313" t="s">
        <v>1652</v>
      </c>
      <c r="K444" s="98" t="n">
        <f aca="false">I444*H444</f>
        <v>30375</v>
      </c>
      <c r="L444" s="411" t="n">
        <v>11340</v>
      </c>
      <c r="M444" s="392" t="n">
        <f aca="false">L444/K444</f>
        <v>0.373333333333333</v>
      </c>
      <c r="N444" s="466" t="n">
        <f aca="false">I444*M444</f>
        <v>14</v>
      </c>
      <c r="O444" s="461" t="n">
        <v>810</v>
      </c>
      <c r="P444" s="462" t="n">
        <f aca="false">H444-O444</f>
        <v>0</v>
      </c>
      <c r="Q444" s="463" t="n">
        <f aca="false">O444*I444</f>
        <v>30375</v>
      </c>
      <c r="R444" s="48" t="n">
        <f aca="false">K444-Q444</f>
        <v>0</v>
      </c>
      <c r="S444" s="467"/>
      <c r="T444" s="2" t="s">
        <v>1711</v>
      </c>
      <c r="V444" s="464"/>
      <c r="W444" s="464"/>
      <c r="X444" s="464"/>
      <c r="Y444" s="464"/>
      <c r="Z444" s="464"/>
      <c r="AA444" s="464"/>
      <c r="AB444" s="464"/>
      <c r="AC444" s="464"/>
      <c r="AD444" s="464"/>
      <c r="AE444" s="464"/>
      <c r="AF444" s="464"/>
      <c r="AG444" s="464"/>
      <c r="AH444" s="465"/>
      <c r="AI444" s="464"/>
    </row>
    <row r="445" customFormat="false" ht="15" hidden="false" customHeight="true" outlineLevel="0" collapsed="false">
      <c r="A445" s="455" t="s">
        <v>1787</v>
      </c>
      <c r="C445" s="456" t="n">
        <v>45497</v>
      </c>
      <c r="D445" s="456"/>
      <c r="E445" s="57" t="n">
        <v>125</v>
      </c>
      <c r="F445" s="323" t="s">
        <v>175</v>
      </c>
      <c r="G445" s="323" t="s">
        <v>10</v>
      </c>
      <c r="H445" s="98" t="n">
        <v>1005</v>
      </c>
      <c r="I445" s="457" t="n">
        <v>38.3</v>
      </c>
      <c r="J445" s="313" t="s">
        <v>1652</v>
      </c>
      <c r="K445" s="98" t="n">
        <f aca="false">I445*H445</f>
        <v>38491.5</v>
      </c>
      <c r="L445" s="411" t="n">
        <v>10552.5</v>
      </c>
      <c r="M445" s="392" t="n">
        <f aca="false">L445/K445</f>
        <v>0.274151436031332</v>
      </c>
      <c r="N445" s="466" t="n">
        <f aca="false">I445*M445</f>
        <v>10.5</v>
      </c>
      <c r="O445" s="461" t="n">
        <v>1005</v>
      </c>
      <c r="P445" s="462" t="n">
        <f aca="false">H445-O445</f>
        <v>0</v>
      </c>
      <c r="Q445" s="463" t="n">
        <f aca="false">O445*I445</f>
        <v>38491.5</v>
      </c>
      <c r="R445" s="48" t="n">
        <f aca="false">K445-Q445</f>
        <v>0</v>
      </c>
      <c r="S445" s="467"/>
      <c r="T445" s="2" t="s">
        <v>1711</v>
      </c>
      <c r="V445" s="464"/>
      <c r="W445" s="464"/>
      <c r="X445" s="464"/>
      <c r="Y445" s="464"/>
      <c r="Z445" s="464"/>
      <c r="AA445" s="464"/>
      <c r="AB445" s="464"/>
      <c r="AC445" s="464"/>
      <c r="AD445" s="464"/>
      <c r="AE445" s="464"/>
      <c r="AF445" s="464"/>
      <c r="AG445" s="464"/>
      <c r="AH445" s="465"/>
      <c r="AI445" s="464"/>
    </row>
    <row r="446" customFormat="false" ht="15" hidden="false" customHeight="true" outlineLevel="0" collapsed="false">
      <c r="A446" s="455" t="s">
        <v>1723</v>
      </c>
      <c r="C446" s="456" t="n">
        <v>45498</v>
      </c>
      <c r="D446" s="456"/>
      <c r="E446" s="57" t="n">
        <v>127</v>
      </c>
      <c r="F446" s="323" t="s">
        <v>175</v>
      </c>
      <c r="G446" s="323" t="s">
        <v>5</v>
      </c>
      <c r="H446" s="98" t="n">
        <v>3000</v>
      </c>
      <c r="I446" s="457" t="n">
        <v>25.71</v>
      </c>
      <c r="J446" s="313" t="s">
        <v>1651</v>
      </c>
      <c r="K446" s="98" t="n">
        <f aca="false">I446*H446</f>
        <v>77130</v>
      </c>
      <c r="L446" s="411" t="n">
        <v>32970</v>
      </c>
      <c r="M446" s="392" t="n">
        <f aca="false">L446/K446</f>
        <v>0.427460132244263</v>
      </c>
      <c r="N446" s="466" t="n">
        <f aca="false">I446*M446</f>
        <v>10.99</v>
      </c>
      <c r="O446" s="461" t="n">
        <v>3000</v>
      </c>
      <c r="P446" s="462" t="n">
        <f aca="false">H446-O446</f>
        <v>0</v>
      </c>
      <c r="Q446" s="463" t="n">
        <f aca="false">O446*I446</f>
        <v>77130</v>
      </c>
      <c r="R446" s="48" t="n">
        <f aca="false">K446-Q446</f>
        <v>0</v>
      </c>
      <c r="S446" s="467"/>
      <c r="T446" s="2" t="s">
        <v>1711</v>
      </c>
      <c r="V446" s="464"/>
      <c r="W446" s="464"/>
      <c r="X446" s="464"/>
      <c r="Y446" s="464"/>
      <c r="Z446" s="464"/>
      <c r="AA446" s="464"/>
      <c r="AB446" s="464"/>
      <c r="AC446" s="464"/>
      <c r="AD446" s="464"/>
      <c r="AE446" s="464"/>
      <c r="AF446" s="464"/>
      <c r="AG446" s="464"/>
      <c r="AH446" s="465"/>
      <c r="AI446" s="464"/>
    </row>
    <row r="447" customFormat="false" ht="15" hidden="false" customHeight="true" outlineLevel="0" collapsed="false">
      <c r="A447" s="455" t="s">
        <v>1723</v>
      </c>
      <c r="C447" s="456" t="n">
        <v>45498</v>
      </c>
      <c r="D447" s="456"/>
      <c r="E447" s="57" t="n">
        <v>127</v>
      </c>
      <c r="F447" s="323" t="s">
        <v>175</v>
      </c>
      <c r="G447" s="323" t="s">
        <v>18</v>
      </c>
      <c r="H447" s="98" t="n">
        <v>390</v>
      </c>
      <c r="I447" s="457" t="n">
        <v>25.71</v>
      </c>
      <c r="J447" s="313" t="s">
        <v>1651</v>
      </c>
      <c r="K447" s="98" t="n">
        <f aca="false">I447*H447</f>
        <v>10026.9</v>
      </c>
      <c r="L447" s="411" t="n">
        <v>4992</v>
      </c>
      <c r="M447" s="392" t="n">
        <f aca="false">L447/K447</f>
        <v>0.497860754570206</v>
      </c>
      <c r="N447" s="466" t="n">
        <f aca="false">I447*M447</f>
        <v>12.8</v>
      </c>
      <c r="O447" s="461" t="n">
        <v>390</v>
      </c>
      <c r="P447" s="462" t="n">
        <f aca="false">H447-O447</f>
        <v>0</v>
      </c>
      <c r="Q447" s="463" t="n">
        <f aca="false">O447*I447</f>
        <v>10026.9</v>
      </c>
      <c r="R447" s="48" t="n">
        <f aca="false">K447-Q447</f>
        <v>0</v>
      </c>
      <c r="S447" s="467"/>
      <c r="T447" s="2" t="s">
        <v>1711</v>
      </c>
      <c r="V447" s="464"/>
      <c r="W447" s="464"/>
      <c r="X447" s="464"/>
      <c r="Y447" s="464"/>
      <c r="Z447" s="464"/>
      <c r="AA447" s="464"/>
      <c r="AB447" s="464"/>
      <c r="AC447" s="464"/>
      <c r="AD447" s="464"/>
      <c r="AE447" s="464"/>
      <c r="AF447" s="464"/>
      <c r="AG447" s="464"/>
      <c r="AH447" s="465"/>
      <c r="AI447" s="464"/>
    </row>
    <row r="448" customFormat="false" ht="15" hidden="false" customHeight="true" outlineLevel="0" collapsed="false">
      <c r="A448" s="455" t="s">
        <v>1788</v>
      </c>
      <c r="C448" s="456" t="n">
        <v>45498</v>
      </c>
      <c r="D448" s="456"/>
      <c r="E448" s="57" t="n">
        <v>128</v>
      </c>
      <c r="F448" s="323" t="s">
        <v>175</v>
      </c>
      <c r="G448" s="323" t="s">
        <v>11</v>
      </c>
      <c r="H448" s="98" t="n">
        <v>255</v>
      </c>
      <c r="I448" s="457" t="n">
        <v>14</v>
      </c>
      <c r="J448" s="313" t="s">
        <v>1651</v>
      </c>
      <c r="K448" s="98" t="n">
        <f aca="false">I448*H448</f>
        <v>3570</v>
      </c>
      <c r="L448" s="411" t="n">
        <v>16320</v>
      </c>
      <c r="M448" s="392" t="n">
        <f aca="false">L448/K448</f>
        <v>4.57142857142857</v>
      </c>
      <c r="N448" s="466" t="n">
        <f aca="false">I448*M448</f>
        <v>64</v>
      </c>
      <c r="O448" s="461" t="n">
        <v>255</v>
      </c>
      <c r="P448" s="462" t="n">
        <f aca="false">H448-O448</f>
        <v>0</v>
      </c>
      <c r="Q448" s="463" t="n">
        <f aca="false">O448*I448</f>
        <v>3570</v>
      </c>
      <c r="R448" s="48" t="n">
        <f aca="false">K448-Q448</f>
        <v>0</v>
      </c>
      <c r="S448" s="467"/>
      <c r="T448" s="2" t="s">
        <v>1711</v>
      </c>
      <c r="V448" s="464"/>
      <c r="W448" s="464"/>
      <c r="X448" s="464"/>
      <c r="Y448" s="464"/>
      <c r="Z448" s="464"/>
      <c r="AA448" s="464"/>
      <c r="AB448" s="464"/>
      <c r="AC448" s="464"/>
      <c r="AD448" s="464"/>
      <c r="AE448" s="464"/>
      <c r="AF448" s="464"/>
      <c r="AG448" s="464"/>
      <c r="AH448" s="465"/>
      <c r="AI448" s="464"/>
    </row>
    <row r="449" customFormat="false" ht="15" hidden="false" customHeight="true" outlineLevel="0" collapsed="false">
      <c r="A449" s="455" t="s">
        <v>1788</v>
      </c>
      <c r="C449" s="456" t="n">
        <v>45498</v>
      </c>
      <c r="D449" s="456"/>
      <c r="E449" s="57" t="n">
        <v>128</v>
      </c>
      <c r="F449" s="323" t="s">
        <v>175</v>
      </c>
      <c r="G449" s="323" t="s">
        <v>7</v>
      </c>
      <c r="H449" s="98" t="n">
        <v>375</v>
      </c>
      <c r="I449" s="457" t="n">
        <v>25.71</v>
      </c>
      <c r="J449" s="313" t="s">
        <v>1651</v>
      </c>
      <c r="K449" s="98" t="n">
        <f aca="false">I449*H449</f>
        <v>9641.25</v>
      </c>
      <c r="L449" s="411" t="n">
        <v>4200</v>
      </c>
      <c r="M449" s="392" t="n">
        <f aca="false">L449/K449</f>
        <v>0.43562816024893</v>
      </c>
      <c r="N449" s="466" t="n">
        <f aca="false">I449*M449</f>
        <v>11.2</v>
      </c>
      <c r="O449" s="461" t="n">
        <v>375</v>
      </c>
      <c r="P449" s="462" t="n">
        <f aca="false">H449-O449</f>
        <v>0</v>
      </c>
      <c r="Q449" s="463" t="n">
        <f aca="false">O449*I449</f>
        <v>9641.25</v>
      </c>
      <c r="R449" s="48" t="n">
        <f aca="false">K449-Q449</f>
        <v>0</v>
      </c>
      <c r="S449" s="467"/>
      <c r="T449" s="2" t="s">
        <v>1711</v>
      </c>
      <c r="V449" s="464"/>
      <c r="W449" s="464"/>
      <c r="X449" s="464"/>
      <c r="Y449" s="464"/>
      <c r="Z449" s="464"/>
      <c r="AA449" s="464"/>
      <c r="AB449" s="464"/>
      <c r="AC449" s="464"/>
      <c r="AD449" s="464"/>
      <c r="AE449" s="464"/>
      <c r="AF449" s="464"/>
      <c r="AG449" s="464"/>
      <c r="AH449" s="465"/>
      <c r="AI449" s="464"/>
    </row>
    <row r="450" customFormat="false" ht="15" hidden="false" customHeight="true" outlineLevel="0" collapsed="false">
      <c r="A450" s="455" t="s">
        <v>1788</v>
      </c>
      <c r="C450" s="456" t="n">
        <v>45498</v>
      </c>
      <c r="D450" s="456"/>
      <c r="E450" s="57" t="n">
        <v>128</v>
      </c>
      <c r="F450" s="323" t="s">
        <v>175</v>
      </c>
      <c r="G450" s="323" t="s">
        <v>17</v>
      </c>
      <c r="H450" s="98" t="n">
        <v>75</v>
      </c>
      <c r="I450" s="457" t="n">
        <v>22.5</v>
      </c>
      <c r="J450" s="313" t="s">
        <v>1651</v>
      </c>
      <c r="K450" s="98" t="n">
        <f aca="false">I450*H450</f>
        <v>1687.5</v>
      </c>
      <c r="L450" s="411" t="n">
        <v>840</v>
      </c>
      <c r="M450" s="392" t="n">
        <f aca="false">L450/K450</f>
        <v>0.497777777777778</v>
      </c>
      <c r="N450" s="466" t="n">
        <f aca="false">I450*M450</f>
        <v>11.2</v>
      </c>
      <c r="O450" s="461" t="n">
        <v>75</v>
      </c>
      <c r="P450" s="462" t="n">
        <f aca="false">H450-O450</f>
        <v>0</v>
      </c>
      <c r="Q450" s="463" t="n">
        <f aca="false">O450*I450</f>
        <v>1687.5</v>
      </c>
      <c r="R450" s="48" t="n">
        <f aca="false">K450-Q450</f>
        <v>0</v>
      </c>
      <c r="S450" s="467"/>
      <c r="T450" s="2" t="s">
        <v>1711</v>
      </c>
      <c r="V450" s="464"/>
      <c r="W450" s="464"/>
      <c r="X450" s="464"/>
      <c r="Y450" s="464"/>
      <c r="Z450" s="464"/>
      <c r="AA450" s="464"/>
      <c r="AB450" s="464"/>
      <c r="AC450" s="464"/>
      <c r="AD450" s="464"/>
      <c r="AE450" s="464"/>
      <c r="AF450" s="464"/>
      <c r="AG450" s="464"/>
      <c r="AH450" s="465"/>
      <c r="AI450" s="464"/>
    </row>
    <row r="451" customFormat="false" ht="15" hidden="false" customHeight="true" outlineLevel="0" collapsed="false">
      <c r="A451" s="455" t="s">
        <v>1788</v>
      </c>
      <c r="C451" s="456" t="n">
        <v>45498</v>
      </c>
      <c r="D451" s="456"/>
      <c r="E451" s="57" t="n">
        <v>128</v>
      </c>
      <c r="F451" s="323" t="s">
        <v>175</v>
      </c>
      <c r="G451" s="323" t="s">
        <v>5</v>
      </c>
      <c r="H451" s="98" t="n">
        <v>105</v>
      </c>
      <c r="I451" s="457" t="n">
        <v>25.71</v>
      </c>
      <c r="J451" s="313" t="s">
        <v>1651</v>
      </c>
      <c r="K451" s="98" t="n">
        <f aca="false">I451*H451</f>
        <v>2699.55</v>
      </c>
      <c r="L451" s="411" t="n">
        <v>1344</v>
      </c>
      <c r="M451" s="392" t="n">
        <f aca="false">L451/K451</f>
        <v>0.497860754570206</v>
      </c>
      <c r="N451" s="466" t="n">
        <f aca="false">I451*M451</f>
        <v>12.8</v>
      </c>
      <c r="O451" s="461" t="n">
        <v>105</v>
      </c>
      <c r="P451" s="462" t="n">
        <f aca="false">H451-O451</f>
        <v>0</v>
      </c>
      <c r="Q451" s="463" t="n">
        <f aca="false">O451*I451</f>
        <v>2699.55</v>
      </c>
      <c r="R451" s="48" t="n">
        <f aca="false">K451-Q451</f>
        <v>0</v>
      </c>
      <c r="S451" s="467"/>
      <c r="T451" s="2" t="s">
        <v>1711</v>
      </c>
      <c r="V451" s="464"/>
      <c r="W451" s="464"/>
      <c r="X451" s="464"/>
      <c r="Y451" s="464"/>
      <c r="Z451" s="464"/>
      <c r="AA451" s="464"/>
      <c r="AB451" s="464"/>
      <c r="AC451" s="464"/>
      <c r="AD451" s="464"/>
      <c r="AE451" s="464"/>
      <c r="AF451" s="464"/>
      <c r="AG451" s="464"/>
      <c r="AH451" s="465"/>
      <c r="AI451" s="464"/>
    </row>
    <row r="452" customFormat="false" ht="15" hidden="false" customHeight="true" outlineLevel="0" collapsed="false">
      <c r="A452" s="455" t="s">
        <v>1788</v>
      </c>
      <c r="C452" s="456" t="n">
        <v>45498</v>
      </c>
      <c r="D452" s="456"/>
      <c r="E452" s="57" t="n">
        <v>128</v>
      </c>
      <c r="F452" s="323" t="s">
        <v>175</v>
      </c>
      <c r="G452" s="323" t="s">
        <v>42</v>
      </c>
      <c r="H452" s="98" t="n">
        <v>375</v>
      </c>
      <c r="I452" s="457" t="n">
        <v>30</v>
      </c>
      <c r="J452" s="313" t="s">
        <v>1651</v>
      </c>
      <c r="K452" s="98" t="n">
        <f aca="false">I452*H452</f>
        <v>11250</v>
      </c>
      <c r="L452" s="411" t="n">
        <v>550</v>
      </c>
      <c r="M452" s="392" t="n">
        <f aca="false">L452/K452</f>
        <v>0.0488888888888889</v>
      </c>
      <c r="N452" s="466" t="n">
        <f aca="false">I452*M452</f>
        <v>1.46666666666667</v>
      </c>
      <c r="O452" s="461" t="n">
        <v>375</v>
      </c>
      <c r="P452" s="462" t="n">
        <f aca="false">H452-O452</f>
        <v>0</v>
      </c>
      <c r="Q452" s="463" t="n">
        <f aca="false">O452*I452</f>
        <v>11250</v>
      </c>
      <c r="R452" s="48" t="n">
        <f aca="false">K452-Q452</f>
        <v>0</v>
      </c>
      <c r="S452" s="467"/>
      <c r="T452" s="2" t="s">
        <v>1711</v>
      </c>
      <c r="V452" s="464"/>
      <c r="W452" s="464"/>
      <c r="X452" s="464"/>
      <c r="Y452" s="464"/>
      <c r="Z452" s="464"/>
      <c r="AA452" s="464"/>
      <c r="AB452" s="464"/>
      <c r="AC452" s="464"/>
      <c r="AD452" s="464"/>
      <c r="AE452" s="464"/>
      <c r="AF452" s="464"/>
      <c r="AG452" s="464"/>
      <c r="AH452" s="465"/>
      <c r="AI452" s="464"/>
    </row>
    <row r="453" customFormat="false" ht="15" hidden="false" customHeight="true" outlineLevel="0" collapsed="false">
      <c r="A453" s="455" t="s">
        <v>1724</v>
      </c>
      <c r="C453" s="456" t="n">
        <v>45498</v>
      </c>
      <c r="D453" s="456"/>
      <c r="E453" s="57" t="n">
        <v>129</v>
      </c>
      <c r="F453" s="323" t="s">
        <v>175</v>
      </c>
      <c r="G453" s="323" t="s">
        <v>10</v>
      </c>
      <c r="H453" s="98" t="n">
        <v>1500</v>
      </c>
      <c r="I453" s="457" t="n">
        <v>38.3</v>
      </c>
      <c r="J453" s="313" t="s">
        <v>1652</v>
      </c>
      <c r="K453" s="98" t="n">
        <f aca="false">I453*H453</f>
        <v>57450</v>
      </c>
      <c r="L453" s="411" t="n">
        <v>15750</v>
      </c>
      <c r="M453" s="392" t="n">
        <f aca="false">L453/K453</f>
        <v>0.274151436031332</v>
      </c>
      <c r="N453" s="466" t="n">
        <f aca="false">I453*M453</f>
        <v>10.5</v>
      </c>
      <c r="O453" s="461" t="n">
        <v>1500</v>
      </c>
      <c r="P453" s="462" t="n">
        <f aca="false">H453-O453</f>
        <v>0</v>
      </c>
      <c r="Q453" s="463" t="n">
        <f aca="false">O453*I453</f>
        <v>57450</v>
      </c>
      <c r="R453" s="48" t="n">
        <f aca="false">K453-Q453</f>
        <v>0</v>
      </c>
      <c r="S453" s="467"/>
      <c r="T453" s="2" t="s">
        <v>1711</v>
      </c>
      <c r="V453" s="464"/>
      <c r="W453" s="464"/>
      <c r="X453" s="464"/>
      <c r="Y453" s="464"/>
      <c r="Z453" s="464"/>
      <c r="AA453" s="464"/>
      <c r="AB453" s="464"/>
      <c r="AC453" s="464"/>
      <c r="AD453" s="464"/>
      <c r="AE453" s="464"/>
      <c r="AF453" s="464"/>
      <c r="AG453" s="464"/>
      <c r="AH453" s="465"/>
      <c r="AI453" s="464"/>
    </row>
    <row r="454" customFormat="false" ht="15" hidden="false" customHeight="true" outlineLevel="0" collapsed="false">
      <c r="A454" s="455" t="s">
        <v>1789</v>
      </c>
      <c r="C454" s="456" t="n">
        <v>45498</v>
      </c>
      <c r="D454" s="456"/>
      <c r="E454" s="57" t="n">
        <v>130</v>
      </c>
      <c r="F454" s="323" t="s">
        <v>175</v>
      </c>
      <c r="G454" s="323" t="s">
        <v>5</v>
      </c>
      <c r="H454" s="98" t="n">
        <v>5010</v>
      </c>
      <c r="I454" s="457" t="n">
        <v>37.5</v>
      </c>
      <c r="J454" s="313" t="s">
        <v>1652</v>
      </c>
      <c r="K454" s="98" t="n">
        <f aca="false">I454*H454</f>
        <v>187875</v>
      </c>
      <c r="L454" s="411" t="n">
        <v>78385.92</v>
      </c>
      <c r="M454" s="392" t="n">
        <f aca="false">L454/K454</f>
        <v>0.41722379241517</v>
      </c>
      <c r="N454" s="466" t="n">
        <f aca="false">I454*M454</f>
        <v>15.6458922155689</v>
      </c>
      <c r="O454" s="461" t="n">
        <v>5010</v>
      </c>
      <c r="P454" s="462" t="n">
        <f aca="false">H454-O454</f>
        <v>0</v>
      </c>
      <c r="Q454" s="463" t="n">
        <f aca="false">O454*I454</f>
        <v>187875</v>
      </c>
      <c r="R454" s="48" t="n">
        <f aca="false">K454-Q454</f>
        <v>0</v>
      </c>
      <c r="S454" s="467"/>
      <c r="T454" s="2" t="s">
        <v>1711</v>
      </c>
      <c r="V454" s="464"/>
      <c r="W454" s="464"/>
      <c r="X454" s="464"/>
      <c r="Y454" s="464"/>
      <c r="Z454" s="464"/>
      <c r="AA454" s="464"/>
      <c r="AB454" s="464"/>
      <c r="AC454" s="464"/>
      <c r="AD454" s="464"/>
      <c r="AE454" s="464"/>
      <c r="AF454" s="464"/>
      <c r="AG454" s="464"/>
      <c r="AH454" s="465"/>
      <c r="AI454" s="464"/>
    </row>
    <row r="455" customFormat="false" ht="15" hidden="false" customHeight="true" outlineLevel="0" collapsed="false">
      <c r="A455" s="455" t="s">
        <v>1789</v>
      </c>
      <c r="C455" s="456" t="n">
        <v>45498</v>
      </c>
      <c r="D455" s="456"/>
      <c r="E455" s="57" t="n">
        <v>130</v>
      </c>
      <c r="F455" s="323" t="s">
        <v>175</v>
      </c>
      <c r="G455" s="323" t="s">
        <v>12</v>
      </c>
      <c r="H455" s="98" t="n">
        <v>1005</v>
      </c>
      <c r="I455" s="457" t="n">
        <v>25.71</v>
      </c>
      <c r="J455" s="313" t="s">
        <v>1652</v>
      </c>
      <c r="K455" s="98" t="n">
        <f aca="false">I455*H455</f>
        <v>25838.55</v>
      </c>
      <c r="L455" s="411" t="n">
        <v>48240</v>
      </c>
      <c r="M455" s="392" t="n">
        <f aca="false">L455/K455</f>
        <v>1.86697782963827</v>
      </c>
      <c r="N455" s="466" t="n">
        <f aca="false">I455*M455</f>
        <v>48</v>
      </c>
      <c r="O455" s="461" t="n">
        <v>1005</v>
      </c>
      <c r="P455" s="462" t="n">
        <f aca="false">H455-O455</f>
        <v>0</v>
      </c>
      <c r="Q455" s="463" t="n">
        <f aca="false">O455*I455</f>
        <v>25838.55</v>
      </c>
      <c r="R455" s="48" t="n">
        <f aca="false">K455-Q455</f>
        <v>0</v>
      </c>
      <c r="S455" s="467"/>
      <c r="T455" s="2" t="s">
        <v>1711</v>
      </c>
      <c r="V455" s="464"/>
      <c r="W455" s="464"/>
      <c r="X455" s="464"/>
      <c r="Y455" s="464"/>
      <c r="Z455" s="464"/>
      <c r="AA455" s="464"/>
      <c r="AB455" s="464"/>
      <c r="AC455" s="464"/>
      <c r="AD455" s="464"/>
      <c r="AE455" s="464"/>
      <c r="AF455" s="464"/>
      <c r="AG455" s="464"/>
      <c r="AH455" s="465"/>
      <c r="AI455" s="464"/>
    </row>
    <row r="456" customFormat="false" ht="15" hidden="false" customHeight="true" outlineLevel="0" collapsed="false">
      <c r="A456" s="455" t="s">
        <v>1789</v>
      </c>
      <c r="C456" s="456" t="n">
        <v>45498</v>
      </c>
      <c r="D456" s="456"/>
      <c r="E456" s="57" t="n">
        <v>130</v>
      </c>
      <c r="F456" s="323" t="s">
        <v>175</v>
      </c>
      <c r="G456" s="323" t="s">
        <v>11</v>
      </c>
      <c r="H456" s="98" t="n">
        <v>510</v>
      </c>
      <c r="I456" s="457" t="n">
        <v>20</v>
      </c>
      <c r="J456" s="313" t="s">
        <v>1652</v>
      </c>
      <c r="K456" s="98" t="n">
        <f aca="false">I456*H456</f>
        <v>10200</v>
      </c>
      <c r="L456" s="411" t="n">
        <v>33150</v>
      </c>
      <c r="M456" s="392" t="n">
        <f aca="false">L456/K456</f>
        <v>3.25</v>
      </c>
      <c r="N456" s="466" t="n">
        <f aca="false">I456*M456</f>
        <v>65</v>
      </c>
      <c r="O456" s="461" t="n">
        <v>510</v>
      </c>
      <c r="P456" s="462" t="n">
        <f aca="false">H456-O456</f>
        <v>0</v>
      </c>
      <c r="Q456" s="463" t="n">
        <f aca="false">O456*I456</f>
        <v>10200</v>
      </c>
      <c r="R456" s="48" t="n">
        <f aca="false">K456-Q456</f>
        <v>0</v>
      </c>
      <c r="S456" s="467"/>
      <c r="T456" s="2" t="s">
        <v>1711</v>
      </c>
      <c r="V456" s="464"/>
      <c r="W456" s="464"/>
      <c r="X456" s="464"/>
      <c r="Y456" s="464"/>
      <c r="Z456" s="464"/>
      <c r="AA456" s="464"/>
      <c r="AB456" s="464"/>
      <c r="AC456" s="464"/>
      <c r="AD456" s="464"/>
      <c r="AE456" s="464"/>
      <c r="AF456" s="464"/>
      <c r="AG456" s="464"/>
      <c r="AH456" s="465"/>
      <c r="AI456" s="464"/>
    </row>
    <row r="457" customFormat="false" ht="15" hidden="false" customHeight="true" outlineLevel="0" collapsed="false">
      <c r="A457" s="455" t="s">
        <v>1760</v>
      </c>
      <c r="C457" s="456" t="n">
        <v>45502</v>
      </c>
      <c r="D457" s="456"/>
      <c r="E457" s="57" t="n">
        <v>131</v>
      </c>
      <c r="F457" s="323" t="s">
        <v>175</v>
      </c>
      <c r="G457" s="323" t="s">
        <v>10</v>
      </c>
      <c r="H457" s="98" t="n">
        <v>510</v>
      </c>
      <c r="I457" s="457" t="n">
        <v>25.71</v>
      </c>
      <c r="J457" s="313" t="s">
        <v>1651</v>
      </c>
      <c r="K457" s="98" t="n">
        <f aca="false">I457*H457</f>
        <v>13112.1</v>
      </c>
      <c r="L457" s="411" t="n">
        <v>9248</v>
      </c>
      <c r="M457" s="392" t="n">
        <f aca="false">L457/K457</f>
        <v>0.705302735641125</v>
      </c>
      <c r="N457" s="466" t="n">
        <f aca="false">I457*M457</f>
        <v>18.1333333333333</v>
      </c>
      <c r="O457" s="461" t="n">
        <v>510</v>
      </c>
      <c r="P457" s="462" t="n">
        <f aca="false">H457-O457</f>
        <v>0</v>
      </c>
      <c r="Q457" s="463" t="n">
        <f aca="false">O457*I457</f>
        <v>13112.1</v>
      </c>
      <c r="R457" s="48" t="n">
        <f aca="false">K457-Q457</f>
        <v>0</v>
      </c>
      <c r="S457" s="467"/>
      <c r="T457" s="2" t="s">
        <v>1711</v>
      </c>
      <c r="V457" s="464"/>
      <c r="W457" s="464"/>
      <c r="X457" s="464"/>
      <c r="Y457" s="464"/>
      <c r="Z457" s="464"/>
      <c r="AA457" s="464"/>
      <c r="AB457" s="464"/>
      <c r="AC457" s="464"/>
      <c r="AD457" s="464"/>
      <c r="AE457" s="464"/>
      <c r="AF457" s="464"/>
      <c r="AG457" s="464"/>
      <c r="AH457" s="465"/>
      <c r="AI457" s="464"/>
    </row>
    <row r="458" customFormat="false" ht="15" hidden="false" customHeight="true" outlineLevel="0" collapsed="false">
      <c r="A458" s="455" t="s">
        <v>1760</v>
      </c>
      <c r="C458" s="456" t="n">
        <v>45502</v>
      </c>
      <c r="D458" s="456"/>
      <c r="E458" s="57" t="n">
        <v>131</v>
      </c>
      <c r="F458" s="323" t="s">
        <v>175</v>
      </c>
      <c r="G458" s="323" t="s">
        <v>6</v>
      </c>
      <c r="H458" s="98" t="n">
        <v>300</v>
      </c>
      <c r="I458" s="457" t="n">
        <v>30</v>
      </c>
      <c r="J458" s="313" t="s">
        <v>1651</v>
      </c>
      <c r="K458" s="98" t="n">
        <f aca="false">I458*H458</f>
        <v>9000</v>
      </c>
      <c r="L458" s="411" t="n">
        <v>5000</v>
      </c>
      <c r="M458" s="392" t="n">
        <f aca="false">L458/K458</f>
        <v>0.555555555555556</v>
      </c>
      <c r="N458" s="466" t="n">
        <f aca="false">I458*M458</f>
        <v>16.6666666666667</v>
      </c>
      <c r="O458" s="461" t="n">
        <v>300</v>
      </c>
      <c r="P458" s="462" t="n">
        <f aca="false">H458-O458</f>
        <v>0</v>
      </c>
      <c r="Q458" s="463" t="n">
        <f aca="false">O458*I458</f>
        <v>9000</v>
      </c>
      <c r="R458" s="48" t="n">
        <f aca="false">K458-Q458</f>
        <v>0</v>
      </c>
      <c r="S458" s="467"/>
      <c r="T458" s="2" t="s">
        <v>1711</v>
      </c>
      <c r="V458" s="464"/>
      <c r="W458" s="464"/>
      <c r="X458" s="464"/>
      <c r="Y458" s="464"/>
      <c r="Z458" s="464"/>
      <c r="AA458" s="464"/>
      <c r="AB458" s="464"/>
      <c r="AC458" s="464"/>
      <c r="AD458" s="464"/>
      <c r="AE458" s="464"/>
      <c r="AF458" s="464"/>
      <c r="AG458" s="464"/>
      <c r="AH458" s="465"/>
      <c r="AI458" s="464"/>
    </row>
    <row r="459" customFormat="false" ht="15" hidden="false" customHeight="true" outlineLevel="0" collapsed="false">
      <c r="A459" s="455" t="s">
        <v>1760</v>
      </c>
      <c r="B459" s="44" t="s">
        <v>1734</v>
      </c>
      <c r="C459" s="456" t="n">
        <v>45502</v>
      </c>
      <c r="D459" s="456"/>
      <c r="E459" s="57" t="n">
        <v>131</v>
      </c>
      <c r="F459" s="323" t="s">
        <v>175</v>
      </c>
      <c r="G459" s="323" t="s">
        <v>15</v>
      </c>
      <c r="H459" s="98" t="n">
        <v>1050</v>
      </c>
      <c r="I459" s="457" t="n">
        <v>40</v>
      </c>
      <c r="J459" s="313" t="s">
        <v>1653</v>
      </c>
      <c r="K459" s="98" t="n">
        <f aca="false">I459*H459</f>
        <v>42000</v>
      </c>
      <c r="L459" s="411" t="n">
        <v>26407.5</v>
      </c>
      <c r="M459" s="392" t="n">
        <f aca="false">L459/K459</f>
        <v>0.62875</v>
      </c>
      <c r="N459" s="466" t="n">
        <f aca="false">I459*M459</f>
        <v>25.15</v>
      </c>
      <c r="O459" s="461" t="n">
        <v>1050</v>
      </c>
      <c r="P459" s="462" t="n">
        <f aca="false">H459-O459</f>
        <v>0</v>
      </c>
      <c r="Q459" s="463" t="n">
        <f aca="false">O459*I459</f>
        <v>42000</v>
      </c>
      <c r="R459" s="48" t="n">
        <f aca="false">K459-Q459</f>
        <v>0</v>
      </c>
      <c r="S459" s="467"/>
      <c r="T459" s="2" t="s">
        <v>1711</v>
      </c>
      <c r="V459" s="464"/>
      <c r="W459" s="464"/>
      <c r="X459" s="464"/>
      <c r="Y459" s="464"/>
      <c r="Z459" s="464"/>
      <c r="AA459" s="464"/>
      <c r="AB459" s="464"/>
      <c r="AC459" s="464"/>
      <c r="AD459" s="464"/>
      <c r="AE459" s="464"/>
      <c r="AF459" s="464"/>
      <c r="AG459" s="464"/>
      <c r="AH459" s="465"/>
      <c r="AI459" s="464"/>
    </row>
    <row r="460" customFormat="false" ht="15" hidden="false" customHeight="true" outlineLevel="0" collapsed="false">
      <c r="A460" s="455" t="s">
        <v>1760</v>
      </c>
      <c r="B460" s="44" t="s">
        <v>1790</v>
      </c>
      <c r="C460" s="456" t="n">
        <v>45502</v>
      </c>
      <c r="D460" s="456"/>
      <c r="E460" s="323" t="n">
        <v>131</v>
      </c>
      <c r="F460" s="323" t="s">
        <v>175</v>
      </c>
      <c r="G460" s="323" t="s">
        <v>10</v>
      </c>
      <c r="H460" s="98" t="n">
        <v>1050</v>
      </c>
      <c r="I460" s="457" t="n">
        <v>90</v>
      </c>
      <c r="J460" s="313" t="s">
        <v>1653</v>
      </c>
      <c r="K460" s="98" t="n">
        <f aca="false">I460*H460</f>
        <v>94500</v>
      </c>
      <c r="L460" s="411" t="n">
        <v>14889</v>
      </c>
      <c r="M460" s="392" t="n">
        <f aca="false">L460/K460</f>
        <v>0.157555555555556</v>
      </c>
      <c r="N460" s="466" t="n">
        <f aca="false">I460*M460</f>
        <v>14.18</v>
      </c>
      <c r="O460" s="461" t="n">
        <v>1050</v>
      </c>
      <c r="P460" s="462" t="n">
        <f aca="false">H460-O460</f>
        <v>0</v>
      </c>
      <c r="Q460" s="463" t="n">
        <f aca="false">O460*I460</f>
        <v>94500</v>
      </c>
      <c r="R460" s="48" t="n">
        <f aca="false">K460-Q460</f>
        <v>0</v>
      </c>
      <c r="S460" s="467"/>
      <c r="T460" s="2" t="s">
        <v>1711</v>
      </c>
      <c r="V460" s="464"/>
      <c r="W460" s="464"/>
      <c r="X460" s="464"/>
      <c r="Y460" s="464"/>
      <c r="Z460" s="464"/>
      <c r="AA460" s="464"/>
      <c r="AB460" s="464"/>
      <c r="AC460" s="464"/>
      <c r="AD460" s="464"/>
      <c r="AE460" s="464"/>
      <c r="AF460" s="464"/>
      <c r="AG460" s="464"/>
      <c r="AH460" s="465"/>
      <c r="AI460" s="464"/>
    </row>
    <row r="461" customFormat="false" ht="15" hidden="false" customHeight="true" outlineLevel="0" collapsed="false">
      <c r="A461" s="455" t="s">
        <v>1791</v>
      </c>
      <c r="C461" s="456" t="n">
        <v>45502</v>
      </c>
      <c r="D461" s="456"/>
      <c r="E461" s="57" t="n">
        <v>132</v>
      </c>
      <c r="F461" s="323" t="s">
        <v>175</v>
      </c>
      <c r="G461" s="323" t="s">
        <v>10</v>
      </c>
      <c r="H461" s="98" t="n">
        <v>19020</v>
      </c>
      <c r="I461" s="457" t="n">
        <v>90</v>
      </c>
      <c r="J461" s="313" t="s">
        <v>1653</v>
      </c>
      <c r="K461" s="98" t="n">
        <f aca="false">I461*H461</f>
        <v>1711800</v>
      </c>
      <c r="L461" s="411" t="n">
        <v>266280</v>
      </c>
      <c r="M461" s="392" t="n">
        <f aca="false">L461/K461</f>
        <v>0.155555555555556</v>
      </c>
      <c r="N461" s="466" t="n">
        <f aca="false">I461*M461</f>
        <v>14</v>
      </c>
      <c r="O461" s="461" t="n">
        <v>19020</v>
      </c>
      <c r="P461" s="462" t="n">
        <f aca="false">H461-O461</f>
        <v>0</v>
      </c>
      <c r="Q461" s="463" t="n">
        <f aca="false">O461*I461</f>
        <v>1711800</v>
      </c>
      <c r="R461" s="48" t="n">
        <f aca="false">K461-Q461</f>
        <v>0</v>
      </c>
      <c r="S461" s="467"/>
      <c r="T461" s="2" t="s">
        <v>1711</v>
      </c>
      <c r="V461" s="464"/>
      <c r="W461" s="464"/>
      <c r="X461" s="464"/>
      <c r="Y461" s="464"/>
      <c r="Z461" s="464"/>
      <c r="AA461" s="464"/>
      <c r="AB461" s="464"/>
      <c r="AC461" s="464"/>
      <c r="AD461" s="464"/>
      <c r="AE461" s="464"/>
      <c r="AF461" s="464"/>
      <c r="AG461" s="464"/>
      <c r="AH461" s="465"/>
      <c r="AI461" s="464"/>
    </row>
    <row r="462" customFormat="false" ht="15" hidden="false" customHeight="true" outlineLevel="0" collapsed="false">
      <c r="A462" s="455" t="s">
        <v>1791</v>
      </c>
      <c r="C462" s="456" t="n">
        <v>45502</v>
      </c>
      <c r="D462" s="456"/>
      <c r="E462" s="57" t="n">
        <v>133</v>
      </c>
      <c r="F462" s="323" t="s">
        <v>175</v>
      </c>
      <c r="G462" s="323" t="s">
        <v>10</v>
      </c>
      <c r="H462" s="98" t="n">
        <v>8010</v>
      </c>
      <c r="I462" s="457" t="n">
        <v>90</v>
      </c>
      <c r="J462" s="313" t="s">
        <v>1653</v>
      </c>
      <c r="K462" s="98" t="n">
        <f aca="false">I462*H462</f>
        <v>720900</v>
      </c>
      <c r="L462" s="411" t="n">
        <v>112140</v>
      </c>
      <c r="M462" s="392" t="n">
        <f aca="false">L462/K462</f>
        <v>0.155555555555556</v>
      </c>
      <c r="N462" s="466" t="n">
        <f aca="false">I462*M462</f>
        <v>14</v>
      </c>
      <c r="O462" s="461" t="n">
        <v>8010</v>
      </c>
      <c r="P462" s="462" t="n">
        <f aca="false">H462-O462</f>
        <v>0</v>
      </c>
      <c r="Q462" s="463" t="n">
        <f aca="false">O462*I462</f>
        <v>720900</v>
      </c>
      <c r="R462" s="48" t="n">
        <f aca="false">K462-Q462</f>
        <v>0</v>
      </c>
      <c r="S462" s="467"/>
      <c r="T462" s="2" t="s">
        <v>1711</v>
      </c>
      <c r="V462" s="464"/>
      <c r="W462" s="464"/>
      <c r="X462" s="464"/>
      <c r="Y462" s="464"/>
      <c r="Z462" s="464"/>
      <c r="AA462" s="464"/>
      <c r="AB462" s="464"/>
      <c r="AC462" s="464"/>
      <c r="AD462" s="464"/>
      <c r="AE462" s="464"/>
      <c r="AF462" s="464"/>
      <c r="AG462" s="464"/>
      <c r="AH462" s="465"/>
      <c r="AI462" s="464"/>
    </row>
    <row r="463" customFormat="false" ht="15" hidden="false" customHeight="true" outlineLevel="0" collapsed="false">
      <c r="A463" s="455" t="s">
        <v>1755</v>
      </c>
      <c r="B463" s="44" t="s">
        <v>1790</v>
      </c>
      <c r="C463" s="456" t="n">
        <v>45502</v>
      </c>
      <c r="D463" s="456"/>
      <c r="E463" s="57" t="n">
        <v>134</v>
      </c>
      <c r="F463" s="323" t="s">
        <v>175</v>
      </c>
      <c r="G463" s="323" t="s">
        <v>6</v>
      </c>
      <c r="H463" s="98" t="n">
        <v>2310</v>
      </c>
      <c r="I463" s="457" t="n">
        <v>90</v>
      </c>
      <c r="J463" s="313" t="s">
        <v>1653</v>
      </c>
      <c r="K463" s="98" t="n">
        <f aca="false">I463*H463</f>
        <v>207900</v>
      </c>
      <c r="L463" s="411" t="n">
        <v>59136</v>
      </c>
      <c r="M463" s="392" t="n">
        <f aca="false">L463/K463</f>
        <v>0.284444444444444</v>
      </c>
      <c r="N463" s="466" t="n">
        <f aca="false">I463*M463</f>
        <v>25.6</v>
      </c>
      <c r="O463" s="461" t="n">
        <v>2310</v>
      </c>
      <c r="P463" s="462" t="n">
        <f aca="false">H463-O463</f>
        <v>0</v>
      </c>
      <c r="Q463" s="463" t="n">
        <f aca="false">O463*I463</f>
        <v>207900</v>
      </c>
      <c r="R463" s="48" t="n">
        <f aca="false">K463-Q463</f>
        <v>0</v>
      </c>
      <c r="S463" s="467"/>
      <c r="T463" s="2" t="s">
        <v>1711</v>
      </c>
      <c r="V463" s="464"/>
      <c r="W463" s="464"/>
      <c r="X463" s="464"/>
      <c r="Y463" s="464"/>
      <c r="Z463" s="464"/>
      <c r="AA463" s="464"/>
      <c r="AB463" s="464"/>
      <c r="AC463" s="464"/>
      <c r="AD463" s="464"/>
      <c r="AE463" s="464"/>
      <c r="AF463" s="464"/>
      <c r="AG463" s="464"/>
      <c r="AH463" s="465"/>
      <c r="AI463" s="464"/>
    </row>
    <row r="464" customFormat="false" ht="15" hidden="false" customHeight="true" outlineLevel="0" collapsed="false">
      <c r="A464" s="455" t="s">
        <v>1792</v>
      </c>
      <c r="C464" s="456" t="n">
        <v>45502</v>
      </c>
      <c r="D464" s="456"/>
      <c r="E464" s="57" t="n">
        <v>135</v>
      </c>
      <c r="F464" s="323" t="s">
        <v>175</v>
      </c>
      <c r="G464" s="323" t="s">
        <v>11</v>
      </c>
      <c r="H464" s="98" t="n">
        <v>135</v>
      </c>
      <c r="I464" s="457" t="n">
        <v>14</v>
      </c>
      <c r="J464" s="313" t="s">
        <v>1651</v>
      </c>
      <c r="K464" s="98" t="n">
        <f aca="false">I464*H464</f>
        <v>1890</v>
      </c>
      <c r="L464" s="411" t="n">
        <v>10935</v>
      </c>
      <c r="M464" s="392" t="n">
        <f aca="false">L464/K464</f>
        <v>5.78571428571429</v>
      </c>
      <c r="N464" s="466" t="n">
        <f aca="false">I464*M464</f>
        <v>81</v>
      </c>
      <c r="O464" s="461" t="n">
        <v>135</v>
      </c>
      <c r="P464" s="462" t="n">
        <f aca="false">H464-O464</f>
        <v>0</v>
      </c>
      <c r="Q464" s="463" t="n">
        <f aca="false">O464*I464</f>
        <v>1890</v>
      </c>
      <c r="R464" s="48" t="n">
        <f aca="false">K464-Q464</f>
        <v>0</v>
      </c>
      <c r="S464" s="467"/>
      <c r="T464" s="2" t="s">
        <v>1711</v>
      </c>
      <c r="V464" s="464"/>
      <c r="W464" s="464"/>
      <c r="X464" s="464"/>
      <c r="Y464" s="464"/>
      <c r="Z464" s="464"/>
      <c r="AA464" s="464"/>
      <c r="AB464" s="464"/>
      <c r="AC464" s="464"/>
      <c r="AD464" s="464"/>
      <c r="AE464" s="464"/>
      <c r="AF464" s="464"/>
      <c r="AG464" s="464"/>
      <c r="AH464" s="465"/>
      <c r="AI464" s="464"/>
    </row>
    <row r="465" customFormat="false" ht="15" hidden="false" customHeight="true" outlineLevel="0" collapsed="false">
      <c r="A465" s="455" t="s">
        <v>1745</v>
      </c>
      <c r="C465" s="456" t="n">
        <v>45502</v>
      </c>
      <c r="D465" s="456"/>
      <c r="E465" s="57" t="n">
        <v>136</v>
      </c>
      <c r="F465" s="323" t="s">
        <v>175</v>
      </c>
      <c r="G465" s="323" t="s">
        <v>11</v>
      </c>
      <c r="H465" s="98" t="n">
        <v>150</v>
      </c>
      <c r="I465" s="457" t="n">
        <v>14</v>
      </c>
      <c r="J465" s="313" t="s">
        <v>1651</v>
      </c>
      <c r="K465" s="98" t="n">
        <f aca="false">I465*H465</f>
        <v>2100</v>
      </c>
      <c r="L465" s="411" t="n">
        <v>6735</v>
      </c>
      <c r="M465" s="392" t="n">
        <f aca="false">L465/K465</f>
        <v>3.20714285714286</v>
      </c>
      <c r="N465" s="466" t="n">
        <f aca="false">I465*M465</f>
        <v>44.9</v>
      </c>
      <c r="O465" s="461" t="n">
        <v>150</v>
      </c>
      <c r="P465" s="462" t="n">
        <f aca="false">H465-O465</f>
        <v>0</v>
      </c>
      <c r="Q465" s="463" t="n">
        <f aca="false">O465*I465</f>
        <v>2100</v>
      </c>
      <c r="R465" s="48" t="n">
        <f aca="false">K465-Q465</f>
        <v>0</v>
      </c>
      <c r="S465" s="467"/>
      <c r="T465" s="2" t="s">
        <v>1711</v>
      </c>
      <c r="V465" s="464"/>
      <c r="W465" s="464"/>
      <c r="X465" s="464"/>
      <c r="Y465" s="464"/>
      <c r="Z465" s="464"/>
      <c r="AA465" s="464"/>
      <c r="AB465" s="464"/>
      <c r="AC465" s="464"/>
      <c r="AD465" s="464"/>
      <c r="AE465" s="464"/>
      <c r="AF465" s="464"/>
      <c r="AG465" s="464"/>
      <c r="AH465" s="465"/>
      <c r="AI465" s="464"/>
    </row>
    <row r="466" customFormat="false" ht="15" hidden="false" customHeight="true" outlineLevel="0" collapsed="false">
      <c r="A466" s="455" t="s">
        <v>1793</v>
      </c>
      <c r="C466" s="456" t="n">
        <v>45502</v>
      </c>
      <c r="D466" s="456"/>
      <c r="E466" s="57" t="n">
        <v>137</v>
      </c>
      <c r="F466" s="323" t="s">
        <v>175</v>
      </c>
      <c r="G466" s="323" t="s">
        <v>5</v>
      </c>
      <c r="H466" s="98" t="n">
        <v>300</v>
      </c>
      <c r="I466" s="457" t="n">
        <v>25.71</v>
      </c>
      <c r="J466" s="313" t="s">
        <v>1651</v>
      </c>
      <c r="K466" s="98" t="n">
        <f aca="false">I466*H466</f>
        <v>7713</v>
      </c>
      <c r="L466" s="411" t="n">
        <v>4500</v>
      </c>
      <c r="M466" s="392" t="n">
        <f aca="false">L466/K466</f>
        <v>0.58343057176196</v>
      </c>
      <c r="N466" s="466" t="n">
        <f aca="false">I466*M466</f>
        <v>15</v>
      </c>
      <c r="O466" s="461" t="n">
        <v>300</v>
      </c>
      <c r="P466" s="462" t="n">
        <f aca="false">H466-O466</f>
        <v>0</v>
      </c>
      <c r="Q466" s="463" t="n">
        <f aca="false">O466*I466</f>
        <v>7713</v>
      </c>
      <c r="R466" s="48" t="n">
        <f aca="false">K466-Q466</f>
        <v>0</v>
      </c>
      <c r="S466" s="467"/>
      <c r="T466" s="2" t="s">
        <v>1711</v>
      </c>
      <c r="V466" s="464"/>
      <c r="W466" s="464"/>
      <c r="X466" s="464"/>
      <c r="Y466" s="464"/>
      <c r="Z466" s="464"/>
      <c r="AA466" s="464"/>
      <c r="AB466" s="464"/>
      <c r="AC466" s="464"/>
      <c r="AD466" s="464"/>
      <c r="AE466" s="464"/>
      <c r="AF466" s="464"/>
      <c r="AG466" s="464"/>
      <c r="AH466" s="465"/>
      <c r="AI466" s="464"/>
    </row>
    <row r="467" customFormat="false" ht="15" hidden="false" customHeight="true" outlineLevel="0" collapsed="false">
      <c r="A467" s="455" t="s">
        <v>1794</v>
      </c>
      <c r="C467" s="456" t="n">
        <v>45504</v>
      </c>
      <c r="D467" s="456"/>
      <c r="E467" s="57" t="n">
        <v>138</v>
      </c>
      <c r="F467" s="323" t="s">
        <v>175</v>
      </c>
      <c r="G467" s="323" t="s">
        <v>20</v>
      </c>
      <c r="H467" s="98" t="n">
        <v>720</v>
      </c>
      <c r="I467" s="457" t="n">
        <v>90</v>
      </c>
      <c r="J467" s="313" t="s">
        <v>1653</v>
      </c>
      <c r="K467" s="98" t="n">
        <f aca="false">I467*H467</f>
        <v>64800</v>
      </c>
      <c r="L467" s="411" t="n">
        <v>18000</v>
      </c>
      <c r="M467" s="392" t="n">
        <f aca="false">L467/K467</f>
        <v>0.277777777777778</v>
      </c>
      <c r="N467" s="466" t="n">
        <f aca="false">I467*M467</f>
        <v>25</v>
      </c>
      <c r="O467" s="461" t="n">
        <v>720</v>
      </c>
      <c r="P467" s="462" t="n">
        <f aca="false">H467-O467</f>
        <v>0</v>
      </c>
      <c r="Q467" s="463" t="n">
        <f aca="false">O467*I467</f>
        <v>64800</v>
      </c>
      <c r="R467" s="48" t="n">
        <f aca="false">K467-Q467</f>
        <v>0</v>
      </c>
      <c r="S467" s="467"/>
      <c r="T467" s="2" t="s">
        <v>1711</v>
      </c>
      <c r="V467" s="464"/>
      <c r="W467" s="464"/>
      <c r="X467" s="464"/>
      <c r="Y467" s="464"/>
      <c r="Z467" s="464"/>
      <c r="AA467" s="464"/>
      <c r="AB467" s="464"/>
      <c r="AC467" s="464"/>
      <c r="AD467" s="464"/>
      <c r="AE467" s="464"/>
      <c r="AF467" s="464"/>
      <c r="AG467" s="464"/>
      <c r="AH467" s="465"/>
      <c r="AI467" s="464"/>
    </row>
    <row r="468" customFormat="false" ht="15" hidden="false" customHeight="true" outlineLevel="0" collapsed="false">
      <c r="A468" s="455" t="s">
        <v>1794</v>
      </c>
      <c r="C468" s="456" t="n">
        <v>45504</v>
      </c>
      <c r="D468" s="456"/>
      <c r="E468" s="57" t="n">
        <v>138</v>
      </c>
      <c r="F468" s="323" t="s">
        <v>175</v>
      </c>
      <c r="G468" s="323" t="s">
        <v>6</v>
      </c>
      <c r="H468" s="98" t="n">
        <v>900</v>
      </c>
      <c r="I468" s="457" t="n">
        <v>90</v>
      </c>
      <c r="J468" s="313" t="s">
        <v>1653</v>
      </c>
      <c r="K468" s="98" t="n">
        <f aca="false">I468*H468</f>
        <v>81000</v>
      </c>
      <c r="L468" s="411" t="n">
        <v>26100</v>
      </c>
      <c r="M468" s="392" t="n">
        <f aca="false">L468/K468</f>
        <v>0.322222222222222</v>
      </c>
      <c r="N468" s="466" t="n">
        <f aca="false">I468*M468</f>
        <v>29</v>
      </c>
      <c r="O468" s="461" t="n">
        <v>900</v>
      </c>
      <c r="P468" s="462" t="n">
        <f aca="false">H468-O468</f>
        <v>0</v>
      </c>
      <c r="Q468" s="463" t="n">
        <f aca="false">O468*I468</f>
        <v>81000</v>
      </c>
      <c r="R468" s="48" t="n">
        <f aca="false">K468-Q468</f>
        <v>0</v>
      </c>
      <c r="S468" s="467"/>
      <c r="T468" s="2" t="s">
        <v>1711</v>
      </c>
      <c r="V468" s="464"/>
      <c r="W468" s="464"/>
      <c r="X468" s="464"/>
      <c r="Y468" s="464"/>
      <c r="Z468" s="464"/>
      <c r="AA468" s="464"/>
      <c r="AB468" s="464"/>
      <c r="AC468" s="464"/>
      <c r="AD468" s="464"/>
      <c r="AE468" s="464"/>
      <c r="AF468" s="464"/>
      <c r="AG468" s="464"/>
      <c r="AH468" s="465"/>
      <c r="AI468" s="464"/>
    </row>
    <row r="469" customFormat="false" ht="15" hidden="false" customHeight="true" outlineLevel="0" collapsed="false">
      <c r="A469" s="455" t="s">
        <v>1795</v>
      </c>
      <c r="C469" s="456" t="n">
        <v>45504</v>
      </c>
      <c r="D469" s="456"/>
      <c r="E469" s="57" t="n">
        <v>139</v>
      </c>
      <c r="F469" s="323" t="s">
        <v>175</v>
      </c>
      <c r="G469" s="323" t="s">
        <v>6</v>
      </c>
      <c r="H469" s="98" t="n">
        <v>54000</v>
      </c>
      <c r="I469" s="457" t="n">
        <v>45</v>
      </c>
      <c r="J469" s="313" t="s">
        <v>1652</v>
      </c>
      <c r="K469" s="98" t="n">
        <f aca="false">I469*H469</f>
        <v>2430000</v>
      </c>
      <c r="L469" s="411" t="n">
        <v>594000</v>
      </c>
      <c r="M469" s="392" t="n">
        <f aca="false">L469/K469</f>
        <v>0.244444444444444</v>
      </c>
      <c r="N469" s="466" t="n">
        <f aca="false">I469*M469</f>
        <v>11</v>
      </c>
      <c r="O469" s="461" t="n">
        <v>54000</v>
      </c>
      <c r="P469" s="462" t="n">
        <f aca="false">H469-O469</f>
        <v>0</v>
      </c>
      <c r="Q469" s="463" t="n">
        <f aca="false">O469*I469</f>
        <v>2430000</v>
      </c>
      <c r="R469" s="48" t="n">
        <f aca="false">K469-Q469</f>
        <v>0</v>
      </c>
      <c r="S469" s="467"/>
      <c r="T469" s="2" t="s">
        <v>1711</v>
      </c>
      <c r="V469" s="464"/>
      <c r="W469" s="464"/>
      <c r="X469" s="464"/>
      <c r="Y469" s="464"/>
      <c r="Z469" s="464"/>
      <c r="AA469" s="464"/>
      <c r="AB469" s="464"/>
      <c r="AC469" s="464"/>
      <c r="AD469" s="464"/>
      <c r="AE469" s="464"/>
      <c r="AF469" s="464"/>
      <c r="AG469" s="464"/>
      <c r="AH469" s="465"/>
      <c r="AI469" s="464"/>
    </row>
    <row r="470" customFormat="false" ht="15" hidden="false" customHeight="true" outlineLevel="0" collapsed="false">
      <c r="A470" s="455" t="s">
        <v>1795</v>
      </c>
      <c r="C470" s="456" t="n">
        <v>45504</v>
      </c>
      <c r="D470" s="456"/>
      <c r="E470" s="57" t="n">
        <v>140</v>
      </c>
      <c r="F470" s="323" t="s">
        <v>175</v>
      </c>
      <c r="G470" s="323" t="s">
        <v>6</v>
      </c>
      <c r="H470" s="98" t="n">
        <v>66000</v>
      </c>
      <c r="I470" s="457" t="n">
        <v>45</v>
      </c>
      <c r="J470" s="313" t="s">
        <v>1652</v>
      </c>
      <c r="K470" s="98" t="n">
        <f aca="false">I470*H470</f>
        <v>2970000</v>
      </c>
      <c r="L470" s="411" t="n">
        <v>726000</v>
      </c>
      <c r="M470" s="392" t="n">
        <f aca="false">L470/K470</f>
        <v>0.244444444444444</v>
      </c>
      <c r="N470" s="466" t="n">
        <f aca="false">I470*M470</f>
        <v>11</v>
      </c>
      <c r="O470" s="461" t="n">
        <v>66000</v>
      </c>
      <c r="P470" s="462" t="n">
        <f aca="false">H470-O470</f>
        <v>0</v>
      </c>
      <c r="Q470" s="463" t="n">
        <f aca="false">O470*I470</f>
        <v>2970000</v>
      </c>
      <c r="R470" s="48" t="n">
        <f aca="false">K470-Q470</f>
        <v>0</v>
      </c>
      <c r="S470" s="467"/>
      <c r="T470" s="2" t="s">
        <v>1711</v>
      </c>
      <c r="V470" s="464"/>
      <c r="W470" s="464"/>
      <c r="X470" s="464"/>
      <c r="Y470" s="464"/>
      <c r="Z470" s="464"/>
      <c r="AA470" s="464"/>
      <c r="AB470" s="464"/>
      <c r="AC470" s="464"/>
      <c r="AD470" s="464"/>
      <c r="AE470" s="464"/>
      <c r="AF470" s="464"/>
      <c r="AG470" s="464"/>
      <c r="AH470" s="465"/>
      <c r="AI470" s="464"/>
    </row>
    <row r="471" customFormat="false" ht="15" hidden="false" customHeight="true" outlineLevel="0" collapsed="false">
      <c r="A471" s="455" t="s">
        <v>1796</v>
      </c>
      <c r="C471" s="456" t="n">
        <v>45505</v>
      </c>
      <c r="D471" s="456"/>
      <c r="E471" s="323" t="n">
        <v>142</v>
      </c>
      <c r="F471" s="57" t="s">
        <v>175</v>
      </c>
      <c r="G471" s="323" t="s">
        <v>7</v>
      </c>
      <c r="H471" s="98" t="n">
        <v>495</v>
      </c>
      <c r="I471" s="457" t="n">
        <v>25.71</v>
      </c>
      <c r="J471" s="313" t="s">
        <v>1651</v>
      </c>
      <c r="K471" s="98" t="n">
        <f aca="false">I471*H471</f>
        <v>12726.45</v>
      </c>
      <c r="L471" s="411" t="n">
        <v>5940</v>
      </c>
      <c r="M471" s="392" t="n">
        <f aca="false">L471/K471</f>
        <v>0.466744457409568</v>
      </c>
      <c r="N471" s="466" t="n">
        <f aca="false">I471*M471</f>
        <v>12</v>
      </c>
      <c r="O471" s="461" t="n">
        <v>495</v>
      </c>
      <c r="P471" s="462" t="n">
        <f aca="false">H471-O471</f>
        <v>0</v>
      </c>
      <c r="Q471" s="463" t="n">
        <f aca="false">O471*I471</f>
        <v>12726.45</v>
      </c>
      <c r="R471" s="48" t="n">
        <f aca="false">K471-Q471</f>
        <v>0</v>
      </c>
      <c r="S471" s="467"/>
      <c r="T471" s="2" t="s">
        <v>1797</v>
      </c>
      <c r="V471" s="464"/>
      <c r="W471" s="464"/>
      <c r="X471" s="464"/>
      <c r="Y471" s="464"/>
      <c r="Z471" s="464"/>
      <c r="AA471" s="464"/>
      <c r="AB471" s="464"/>
      <c r="AC471" s="464"/>
      <c r="AD471" s="464"/>
      <c r="AE471" s="464"/>
      <c r="AF471" s="464"/>
      <c r="AG471" s="464"/>
      <c r="AH471" s="465"/>
      <c r="AI471" s="464"/>
    </row>
    <row r="472" customFormat="false" ht="15" hidden="false" customHeight="true" outlineLevel="0" collapsed="false">
      <c r="A472" s="455" t="s">
        <v>1798</v>
      </c>
      <c r="C472" s="456" t="n">
        <v>45505</v>
      </c>
      <c r="D472" s="456"/>
      <c r="E472" s="323" t="n">
        <v>143</v>
      </c>
      <c r="F472" s="57" t="s">
        <v>175</v>
      </c>
      <c r="G472" s="323" t="s">
        <v>5</v>
      </c>
      <c r="H472" s="98" t="n">
        <v>330</v>
      </c>
      <c r="I472" s="457" t="n">
        <v>25.71</v>
      </c>
      <c r="J472" s="313" t="s">
        <v>1651</v>
      </c>
      <c r="K472" s="98" t="n">
        <f aca="false">I472*H472</f>
        <v>8484.3</v>
      </c>
      <c r="L472" s="411" t="n">
        <v>5042.4</v>
      </c>
      <c r="M472" s="392" t="n">
        <f aca="false">L472/K472</f>
        <v>0.594321275768184</v>
      </c>
      <c r="N472" s="466" t="n">
        <f aca="false">I472*M472</f>
        <v>15.28</v>
      </c>
      <c r="O472" s="461" t="n">
        <v>330</v>
      </c>
      <c r="P472" s="462" t="n">
        <f aca="false">H472-O472</f>
        <v>0</v>
      </c>
      <c r="Q472" s="463" t="n">
        <f aca="false">O472*I472</f>
        <v>8484.3</v>
      </c>
      <c r="R472" s="48" t="n">
        <f aca="false">K472-Q472</f>
        <v>0</v>
      </c>
      <c r="S472" s="467"/>
      <c r="T472" s="2" t="s">
        <v>1711</v>
      </c>
      <c r="V472" s="464"/>
      <c r="W472" s="464"/>
      <c r="X472" s="464"/>
      <c r="Y472" s="464"/>
      <c r="Z472" s="464"/>
      <c r="AA472" s="464"/>
      <c r="AB472" s="464"/>
      <c r="AC472" s="464"/>
      <c r="AD472" s="464"/>
      <c r="AE472" s="464"/>
      <c r="AF472" s="464"/>
      <c r="AG472" s="464"/>
      <c r="AH472" s="465"/>
      <c r="AI472" s="464"/>
    </row>
    <row r="473" customFormat="false" ht="15" hidden="false" customHeight="true" outlineLevel="0" collapsed="false">
      <c r="A473" s="455" t="s">
        <v>1799</v>
      </c>
      <c r="C473" s="456" t="n">
        <v>45506</v>
      </c>
      <c r="D473" s="456"/>
      <c r="E473" s="323" t="n">
        <v>145</v>
      </c>
      <c r="F473" s="57" t="s">
        <v>175</v>
      </c>
      <c r="G473" s="323" t="s">
        <v>5</v>
      </c>
      <c r="H473" s="98" t="n">
        <v>5505</v>
      </c>
      <c r="I473" s="457" t="n">
        <v>37.5</v>
      </c>
      <c r="J473" s="313" t="s">
        <v>1652</v>
      </c>
      <c r="K473" s="98" t="n">
        <f aca="false">I473*H473</f>
        <v>206437.5</v>
      </c>
      <c r="L473" s="411" t="n">
        <v>82575</v>
      </c>
      <c r="M473" s="392" t="n">
        <f aca="false">L473/K473</f>
        <v>0.4</v>
      </c>
      <c r="N473" s="466" t="n">
        <f aca="false">I473*M473</f>
        <v>15</v>
      </c>
      <c r="O473" s="461" t="n">
        <v>5505</v>
      </c>
      <c r="P473" s="462" t="n">
        <f aca="false">H473-O473</f>
        <v>0</v>
      </c>
      <c r="Q473" s="463" t="n">
        <f aca="false">O473*I473</f>
        <v>206437.5</v>
      </c>
      <c r="R473" s="48" t="n">
        <f aca="false">K473-Q473</f>
        <v>0</v>
      </c>
      <c r="S473" s="467"/>
      <c r="T473" s="2" t="s">
        <v>1711</v>
      </c>
      <c r="V473" s="464"/>
      <c r="W473" s="464"/>
      <c r="X473" s="464"/>
      <c r="Y473" s="464"/>
      <c r="Z473" s="464"/>
      <c r="AA473" s="464"/>
      <c r="AB473" s="464"/>
      <c r="AC473" s="464"/>
      <c r="AD473" s="464"/>
      <c r="AE473" s="464"/>
      <c r="AF473" s="464"/>
      <c r="AG473" s="464"/>
      <c r="AH473" s="465"/>
      <c r="AI473" s="464"/>
    </row>
    <row r="474" customFormat="false" ht="15" hidden="false" customHeight="true" outlineLevel="0" collapsed="false">
      <c r="A474" s="455" t="s">
        <v>1723</v>
      </c>
      <c r="C474" s="456" t="n">
        <v>45509</v>
      </c>
      <c r="D474" s="456"/>
      <c r="E474" s="323" t="n">
        <v>146</v>
      </c>
      <c r="F474" s="57" t="s">
        <v>175</v>
      </c>
      <c r="G474" s="323" t="s">
        <v>21</v>
      </c>
      <c r="H474" s="98" t="n">
        <v>2000</v>
      </c>
      <c r="I474" s="457" t="n">
        <v>1</v>
      </c>
      <c r="J474" s="313" t="s">
        <v>1653</v>
      </c>
      <c r="K474" s="98" t="n">
        <f aca="false">I474*H474</f>
        <v>2000</v>
      </c>
      <c r="L474" s="411" t="n">
        <v>9800</v>
      </c>
      <c r="M474" s="392" t="n">
        <f aca="false">L474/K474</f>
        <v>4.9</v>
      </c>
      <c r="N474" s="466" t="n">
        <f aca="false">I474*M474</f>
        <v>4.9</v>
      </c>
      <c r="O474" s="461" t="n">
        <v>2000</v>
      </c>
      <c r="P474" s="462" t="n">
        <f aca="false">H474-O474</f>
        <v>0</v>
      </c>
      <c r="Q474" s="463" t="n">
        <f aca="false">O474*I474</f>
        <v>2000</v>
      </c>
      <c r="R474" s="48" t="n">
        <f aca="false">K474-Q474</f>
        <v>0</v>
      </c>
      <c r="S474" s="467"/>
      <c r="T474" s="2" t="s">
        <v>1711</v>
      </c>
      <c r="V474" s="464"/>
      <c r="W474" s="464"/>
      <c r="X474" s="464"/>
      <c r="Y474" s="464"/>
      <c r="Z474" s="464"/>
      <c r="AA474" s="464"/>
      <c r="AB474" s="464"/>
      <c r="AC474" s="464"/>
      <c r="AD474" s="464"/>
      <c r="AE474" s="464"/>
      <c r="AF474" s="464"/>
      <c r="AG474" s="464"/>
      <c r="AH474" s="465"/>
      <c r="AI474" s="464"/>
    </row>
    <row r="475" customFormat="false" ht="15" hidden="false" customHeight="true" outlineLevel="0" collapsed="false">
      <c r="A475" s="455" t="s">
        <v>1723</v>
      </c>
      <c r="C475" s="456" t="n">
        <v>45509</v>
      </c>
      <c r="D475" s="456"/>
      <c r="E475" s="323" t="n">
        <v>146</v>
      </c>
      <c r="F475" s="57" t="s">
        <v>175</v>
      </c>
      <c r="G475" s="323" t="s">
        <v>13</v>
      </c>
      <c r="H475" s="98" t="n">
        <v>2010</v>
      </c>
      <c r="I475" s="457" t="n">
        <v>22.5</v>
      </c>
      <c r="J475" s="313" t="s">
        <v>1651</v>
      </c>
      <c r="K475" s="98" t="n">
        <f aca="false">I475*H475</f>
        <v>45225</v>
      </c>
      <c r="L475" s="411" t="n">
        <v>19356.3</v>
      </c>
      <c r="M475" s="392" t="n">
        <f aca="false">L475/K475</f>
        <v>0.428</v>
      </c>
      <c r="N475" s="466" t="n">
        <f aca="false">I475*M475</f>
        <v>9.63</v>
      </c>
      <c r="O475" s="461" t="n">
        <v>2010</v>
      </c>
      <c r="P475" s="462" t="n">
        <f aca="false">H475-O475</f>
        <v>0</v>
      </c>
      <c r="Q475" s="463" t="n">
        <f aca="false">O475*I475</f>
        <v>45225</v>
      </c>
      <c r="R475" s="48" t="n">
        <f aca="false">K475-Q475</f>
        <v>0</v>
      </c>
      <c r="S475" s="467"/>
      <c r="T475" s="2" t="s">
        <v>1711</v>
      </c>
      <c r="V475" s="464"/>
      <c r="W475" s="464"/>
      <c r="X475" s="464"/>
      <c r="Y475" s="464"/>
      <c r="Z475" s="464"/>
      <c r="AA475" s="464"/>
      <c r="AB475" s="464"/>
      <c r="AC475" s="464"/>
      <c r="AD475" s="464"/>
      <c r="AE475" s="464"/>
      <c r="AF475" s="464"/>
      <c r="AG475" s="464"/>
      <c r="AH475" s="465"/>
      <c r="AI475" s="464"/>
    </row>
    <row r="476" customFormat="false" ht="15" hidden="false" customHeight="true" outlineLevel="0" collapsed="false">
      <c r="A476" s="455" t="s">
        <v>1723</v>
      </c>
      <c r="C476" s="456" t="n">
        <v>45509</v>
      </c>
      <c r="D476" s="456"/>
      <c r="E476" s="323" t="n">
        <v>146</v>
      </c>
      <c r="F476" s="323" t="s">
        <v>175</v>
      </c>
      <c r="G476" s="323" t="s">
        <v>7</v>
      </c>
      <c r="H476" s="98" t="n">
        <v>1005</v>
      </c>
      <c r="I476" s="457" t="n">
        <v>25.71</v>
      </c>
      <c r="J476" s="313" t="s">
        <v>1651</v>
      </c>
      <c r="K476" s="98" t="n">
        <f aca="false">I476*H476</f>
        <v>25838.55</v>
      </c>
      <c r="L476" s="411" t="n">
        <v>12009.75</v>
      </c>
      <c r="M476" s="392" t="n">
        <f aca="false">L476/K476</f>
        <v>0.464799688837028</v>
      </c>
      <c r="N476" s="466" t="n">
        <f aca="false">I476*M476</f>
        <v>11.95</v>
      </c>
      <c r="O476" s="461" t="n">
        <v>1005</v>
      </c>
      <c r="P476" s="462" t="n">
        <f aca="false">H476-O476</f>
        <v>0</v>
      </c>
      <c r="Q476" s="463" t="n">
        <f aca="false">O476*I476</f>
        <v>25838.55</v>
      </c>
      <c r="R476" s="48" t="n">
        <f aca="false">K476-Q476</f>
        <v>0</v>
      </c>
      <c r="S476" s="467"/>
      <c r="T476" s="2" t="s">
        <v>1711</v>
      </c>
      <c r="V476" s="464"/>
      <c r="W476" s="464"/>
      <c r="X476" s="464"/>
      <c r="Y476" s="464"/>
      <c r="Z476" s="464"/>
      <c r="AA476" s="464"/>
      <c r="AB476" s="464"/>
      <c r="AC476" s="464"/>
      <c r="AD476" s="464"/>
      <c r="AE476" s="464"/>
      <c r="AF476" s="464"/>
      <c r="AG476" s="464"/>
      <c r="AH476" s="465"/>
      <c r="AI476" s="464"/>
    </row>
    <row r="477" customFormat="false" ht="15" hidden="false" customHeight="true" outlineLevel="0" collapsed="false">
      <c r="A477" s="455" t="s">
        <v>1723</v>
      </c>
      <c r="C477" s="456" t="n">
        <v>45509</v>
      </c>
      <c r="D477" s="456"/>
      <c r="E477" s="57" t="n">
        <v>146</v>
      </c>
      <c r="F477" s="57" t="s">
        <v>175</v>
      </c>
      <c r="G477" s="323" t="s">
        <v>6</v>
      </c>
      <c r="H477" s="98" t="n">
        <v>2010</v>
      </c>
      <c r="I477" s="457" t="n">
        <v>30</v>
      </c>
      <c r="J477" s="313" t="s">
        <v>1651</v>
      </c>
      <c r="K477" s="98" t="n">
        <f aca="false">I477*H477</f>
        <v>60300</v>
      </c>
      <c r="L477" s="411" t="n">
        <v>22089.9</v>
      </c>
      <c r="M477" s="392" t="n">
        <f aca="false">L477/K477</f>
        <v>0.366333333333333</v>
      </c>
      <c r="N477" s="466" t="n">
        <f aca="false">I477*M477</f>
        <v>10.99</v>
      </c>
      <c r="O477" s="461" t="n">
        <v>2010</v>
      </c>
      <c r="P477" s="462" t="n">
        <f aca="false">H477-O477</f>
        <v>0</v>
      </c>
      <c r="Q477" s="463" t="n">
        <f aca="false">O477*I477</f>
        <v>60300</v>
      </c>
      <c r="R477" s="48" t="n">
        <f aca="false">K477-Q477</f>
        <v>0</v>
      </c>
      <c r="S477" s="467"/>
      <c r="T477" s="2" t="s">
        <v>1711</v>
      </c>
      <c r="V477" s="464"/>
      <c r="W477" s="464"/>
      <c r="X477" s="464"/>
      <c r="Y477" s="464"/>
      <c r="Z477" s="464"/>
      <c r="AA477" s="464"/>
      <c r="AB477" s="464"/>
      <c r="AC477" s="464"/>
      <c r="AD477" s="464"/>
      <c r="AE477" s="464"/>
      <c r="AF477" s="464"/>
      <c r="AG477" s="464"/>
      <c r="AH477" s="465"/>
      <c r="AI477" s="464"/>
    </row>
    <row r="478" customFormat="false" ht="15" hidden="false" customHeight="true" outlineLevel="0" collapsed="false">
      <c r="A478" s="455" t="s">
        <v>1723</v>
      </c>
      <c r="C478" s="456" t="n">
        <v>45509</v>
      </c>
      <c r="D478" s="456"/>
      <c r="E478" s="57" t="n">
        <v>146</v>
      </c>
      <c r="F478" s="57" t="s">
        <v>175</v>
      </c>
      <c r="G478" s="323" t="s">
        <v>18</v>
      </c>
      <c r="H478" s="98" t="n">
        <v>4455</v>
      </c>
      <c r="I478" s="457" t="n">
        <v>25.71</v>
      </c>
      <c r="J478" s="313" t="s">
        <v>1651</v>
      </c>
      <c r="K478" s="98" t="n">
        <f aca="false">I478*H478</f>
        <v>114538.05</v>
      </c>
      <c r="L478" s="411" t="n">
        <v>57024</v>
      </c>
      <c r="M478" s="392" t="n">
        <f aca="false">L478/K478</f>
        <v>0.497860754570206</v>
      </c>
      <c r="N478" s="466" t="n">
        <f aca="false">I478*M478</f>
        <v>12.8</v>
      </c>
      <c r="O478" s="461" t="n">
        <v>4455</v>
      </c>
      <c r="P478" s="462" t="n">
        <f aca="false">H478-O478</f>
        <v>0</v>
      </c>
      <c r="Q478" s="463" t="n">
        <f aca="false">O478*I478</f>
        <v>114538.05</v>
      </c>
      <c r="R478" s="48" t="n">
        <f aca="false">K478-Q478</f>
        <v>0</v>
      </c>
      <c r="S478" s="467"/>
      <c r="T478" s="2" t="s">
        <v>1711</v>
      </c>
      <c r="V478" s="464"/>
      <c r="W478" s="464"/>
      <c r="X478" s="464"/>
      <c r="Y478" s="464"/>
      <c r="Z478" s="464"/>
      <c r="AA478" s="464"/>
      <c r="AB478" s="464"/>
      <c r="AC478" s="464"/>
      <c r="AD478" s="464"/>
      <c r="AE478" s="464"/>
      <c r="AF478" s="464"/>
      <c r="AG478" s="464"/>
      <c r="AH478" s="465"/>
      <c r="AI478" s="464"/>
    </row>
    <row r="479" customFormat="false" ht="15" hidden="false" customHeight="true" outlineLevel="0" collapsed="false">
      <c r="A479" s="455" t="s">
        <v>1723</v>
      </c>
      <c r="C479" s="456" t="n">
        <v>45509</v>
      </c>
      <c r="D479" s="456"/>
      <c r="E479" s="57" t="n">
        <v>146</v>
      </c>
      <c r="F479" s="323" t="s">
        <v>175</v>
      </c>
      <c r="G479" s="323" t="s">
        <v>10</v>
      </c>
      <c r="H479" s="98" t="n">
        <v>3000</v>
      </c>
      <c r="I479" s="457" t="n">
        <v>25.71</v>
      </c>
      <c r="J479" s="313" t="s">
        <v>1651</v>
      </c>
      <c r="K479" s="98" t="n">
        <f aca="false">I479*H479</f>
        <v>77130</v>
      </c>
      <c r="L479" s="411" t="n">
        <v>17970</v>
      </c>
      <c r="M479" s="392" t="n">
        <f aca="false">L479/K479</f>
        <v>0.232983274990276</v>
      </c>
      <c r="N479" s="466" t="n">
        <f aca="false">I479*M479</f>
        <v>5.99</v>
      </c>
      <c r="O479" s="461" t="n">
        <v>3000</v>
      </c>
      <c r="P479" s="462" t="n">
        <f aca="false">H479-O479</f>
        <v>0</v>
      </c>
      <c r="Q479" s="463" t="n">
        <f aca="false">O479*I479</f>
        <v>77130</v>
      </c>
      <c r="R479" s="48" t="n">
        <f aca="false">K479-Q479</f>
        <v>0</v>
      </c>
      <c r="S479" s="467"/>
      <c r="T479" s="2" t="s">
        <v>1711</v>
      </c>
      <c r="V479" s="464"/>
      <c r="W479" s="464"/>
      <c r="X479" s="464"/>
      <c r="Y479" s="464"/>
      <c r="Z479" s="464"/>
      <c r="AA479" s="464"/>
      <c r="AB479" s="464"/>
      <c r="AC479" s="464"/>
      <c r="AD479" s="464"/>
      <c r="AE479" s="464"/>
      <c r="AF479" s="464"/>
      <c r="AG479" s="464"/>
      <c r="AH479" s="465"/>
      <c r="AI479" s="464"/>
    </row>
    <row r="480" customFormat="false" ht="15" hidden="false" customHeight="true" outlineLevel="0" collapsed="false">
      <c r="A480" s="455" t="s">
        <v>58</v>
      </c>
      <c r="C480" s="456" t="n">
        <v>45509</v>
      </c>
      <c r="D480" s="456"/>
      <c r="E480" s="57" t="n">
        <v>147</v>
      </c>
      <c r="F480" s="323" t="s">
        <v>175</v>
      </c>
      <c r="G480" s="323" t="s">
        <v>5</v>
      </c>
      <c r="H480" s="98" t="n">
        <v>75</v>
      </c>
      <c r="I480" s="457" t="n">
        <v>25.71</v>
      </c>
      <c r="J480" s="313" t="s">
        <v>1651</v>
      </c>
      <c r="K480" s="98" t="n">
        <f aca="false">I480*H480</f>
        <v>1928.25</v>
      </c>
      <c r="L480" s="411" t="n">
        <v>823.5</v>
      </c>
      <c r="M480" s="392" t="n">
        <f aca="false">L480/K480</f>
        <v>0.427071178529755</v>
      </c>
      <c r="N480" s="466" t="n">
        <f aca="false">I480*M480</f>
        <v>10.98</v>
      </c>
      <c r="O480" s="461" t="n">
        <v>75</v>
      </c>
      <c r="P480" s="462" t="n">
        <f aca="false">H480-O480</f>
        <v>0</v>
      </c>
      <c r="Q480" s="463" t="n">
        <f aca="false">O480*I480</f>
        <v>1928.25</v>
      </c>
      <c r="R480" s="48" t="n">
        <f aca="false">K480-Q480</f>
        <v>0</v>
      </c>
      <c r="S480" s="467"/>
      <c r="T480" s="2" t="s">
        <v>1711</v>
      </c>
      <c r="V480" s="464"/>
      <c r="W480" s="464"/>
      <c r="X480" s="464"/>
      <c r="Y480" s="464"/>
      <c r="Z480" s="464"/>
      <c r="AA480" s="464"/>
      <c r="AB480" s="464"/>
      <c r="AC480" s="464"/>
      <c r="AD480" s="464"/>
      <c r="AE480" s="464"/>
      <c r="AF480" s="464"/>
      <c r="AG480" s="464"/>
      <c r="AH480" s="465"/>
      <c r="AI480" s="464"/>
    </row>
    <row r="481" customFormat="false" ht="15" hidden="false" customHeight="true" outlineLevel="0" collapsed="false">
      <c r="A481" s="455" t="s">
        <v>58</v>
      </c>
      <c r="C481" s="456" t="n">
        <v>45509</v>
      </c>
      <c r="D481" s="456"/>
      <c r="E481" s="57" t="n">
        <v>147</v>
      </c>
      <c r="F481" s="323" t="s">
        <v>175</v>
      </c>
      <c r="G481" s="323" t="s">
        <v>12</v>
      </c>
      <c r="H481" s="98" t="n">
        <v>450</v>
      </c>
      <c r="I481" s="457" t="n">
        <v>18</v>
      </c>
      <c r="J481" s="313" t="s">
        <v>1651</v>
      </c>
      <c r="K481" s="98" t="n">
        <f aca="false">I481*H481</f>
        <v>8100</v>
      </c>
      <c r="L481" s="411" t="n">
        <v>22050</v>
      </c>
      <c r="M481" s="392" t="n">
        <f aca="false">L481/K481</f>
        <v>2.72222222222222</v>
      </c>
      <c r="N481" s="466" t="n">
        <f aca="false">I481*M481</f>
        <v>49</v>
      </c>
      <c r="O481" s="461" t="n">
        <v>450</v>
      </c>
      <c r="P481" s="462" t="n">
        <f aca="false">H481-O481</f>
        <v>0</v>
      </c>
      <c r="Q481" s="463" t="n">
        <f aca="false">O481*I481</f>
        <v>8100</v>
      </c>
      <c r="R481" s="48" t="n">
        <f aca="false">K481-Q481</f>
        <v>0</v>
      </c>
      <c r="S481" s="467"/>
      <c r="T481" s="2" t="s">
        <v>1711</v>
      </c>
      <c r="V481" s="464"/>
      <c r="W481" s="464"/>
      <c r="X481" s="464"/>
      <c r="Y481" s="464"/>
      <c r="Z481" s="464"/>
      <c r="AA481" s="464"/>
      <c r="AB481" s="464"/>
      <c r="AC481" s="464"/>
      <c r="AD481" s="464"/>
      <c r="AE481" s="464"/>
      <c r="AF481" s="464"/>
      <c r="AG481" s="464"/>
      <c r="AH481" s="465"/>
      <c r="AI481" s="464"/>
    </row>
    <row r="482" customFormat="false" ht="15" hidden="false" customHeight="true" outlineLevel="0" collapsed="false">
      <c r="A482" s="455" t="s">
        <v>58</v>
      </c>
      <c r="C482" s="456" t="n">
        <v>45509</v>
      </c>
      <c r="D482" s="456"/>
      <c r="E482" s="57" t="n">
        <v>147</v>
      </c>
      <c r="F482" s="323" t="s">
        <v>175</v>
      </c>
      <c r="G482" s="323" t="s">
        <v>11</v>
      </c>
      <c r="H482" s="98" t="n">
        <v>450</v>
      </c>
      <c r="I482" s="457" t="n">
        <v>14</v>
      </c>
      <c r="J482" s="313" t="s">
        <v>1651</v>
      </c>
      <c r="K482" s="98" t="n">
        <f aca="false">I482*H482</f>
        <v>6300</v>
      </c>
      <c r="L482" s="411" t="n">
        <v>27180</v>
      </c>
      <c r="M482" s="392" t="n">
        <f aca="false">L482/K482</f>
        <v>4.31428571428571</v>
      </c>
      <c r="N482" s="466" t="n">
        <f aca="false">I482*M482</f>
        <v>60.4</v>
      </c>
      <c r="O482" s="461" t="n">
        <v>450</v>
      </c>
      <c r="P482" s="462" t="n">
        <f aca="false">H482-O482</f>
        <v>0</v>
      </c>
      <c r="Q482" s="463" t="n">
        <f aca="false">O482*I482</f>
        <v>6300</v>
      </c>
      <c r="R482" s="48" t="n">
        <f aca="false">K482-Q482</f>
        <v>0</v>
      </c>
      <c r="S482" s="467"/>
      <c r="T482" s="2" t="s">
        <v>1711</v>
      </c>
      <c r="V482" s="464"/>
      <c r="W482" s="464"/>
      <c r="X482" s="464"/>
      <c r="Y482" s="464"/>
      <c r="Z482" s="464"/>
      <c r="AA482" s="464"/>
      <c r="AB482" s="464"/>
      <c r="AC482" s="464"/>
      <c r="AD482" s="464"/>
      <c r="AE482" s="464"/>
      <c r="AF482" s="464"/>
      <c r="AG482" s="464"/>
      <c r="AH482" s="465"/>
      <c r="AI482" s="464"/>
    </row>
    <row r="483" customFormat="false" ht="15" hidden="false" customHeight="true" outlineLevel="0" collapsed="false">
      <c r="A483" s="455" t="s">
        <v>58</v>
      </c>
      <c r="C483" s="456" t="n">
        <v>45509</v>
      </c>
      <c r="D483" s="456"/>
      <c r="E483" s="57" t="n">
        <v>148</v>
      </c>
      <c r="F483" s="323" t="s">
        <v>175</v>
      </c>
      <c r="G483" s="323" t="s">
        <v>5</v>
      </c>
      <c r="H483" s="98" t="n">
        <v>105</v>
      </c>
      <c r="I483" s="457" t="n">
        <v>25.71</v>
      </c>
      <c r="J483" s="313" t="s">
        <v>1651</v>
      </c>
      <c r="K483" s="98" t="n">
        <f aca="false">I483*H483</f>
        <v>2699.55</v>
      </c>
      <c r="L483" s="411" t="n">
        <v>1152.9</v>
      </c>
      <c r="M483" s="392" t="n">
        <f aca="false">L483/K483</f>
        <v>0.427071178529755</v>
      </c>
      <c r="N483" s="466" t="n">
        <f aca="false">I483*M483</f>
        <v>10.98</v>
      </c>
      <c r="O483" s="461" t="n">
        <v>105</v>
      </c>
      <c r="P483" s="462" t="n">
        <f aca="false">H483-O483</f>
        <v>0</v>
      </c>
      <c r="Q483" s="463" t="n">
        <f aca="false">O483*I483</f>
        <v>2699.55</v>
      </c>
      <c r="R483" s="48" t="n">
        <f aca="false">K483-Q483</f>
        <v>0</v>
      </c>
      <c r="S483" s="467"/>
      <c r="T483" s="2" t="s">
        <v>1711</v>
      </c>
      <c r="V483" s="464"/>
      <c r="W483" s="464"/>
      <c r="X483" s="464"/>
      <c r="Y483" s="464"/>
      <c r="Z483" s="464"/>
      <c r="AA483" s="464"/>
      <c r="AB483" s="464"/>
      <c r="AC483" s="464"/>
      <c r="AD483" s="464"/>
      <c r="AE483" s="464"/>
      <c r="AF483" s="464"/>
      <c r="AG483" s="464"/>
      <c r="AH483" s="465"/>
      <c r="AI483" s="464"/>
    </row>
    <row r="484" customFormat="false" ht="15" hidden="false" customHeight="true" outlineLevel="0" collapsed="false">
      <c r="A484" s="455" t="s">
        <v>58</v>
      </c>
      <c r="C484" s="456" t="n">
        <v>45509</v>
      </c>
      <c r="D484" s="456"/>
      <c r="E484" s="57" t="n">
        <v>148</v>
      </c>
      <c r="F484" s="323" t="s">
        <v>175</v>
      </c>
      <c r="G484" s="323" t="s">
        <v>42</v>
      </c>
      <c r="H484" s="98" t="n">
        <v>105</v>
      </c>
      <c r="I484" s="457" t="n">
        <v>30</v>
      </c>
      <c r="J484" s="313" t="s">
        <v>1651</v>
      </c>
      <c r="K484" s="98" t="n">
        <f aca="false">I484*H484</f>
        <v>3150</v>
      </c>
      <c r="L484" s="411" t="n">
        <v>1646.4</v>
      </c>
      <c r="M484" s="392" t="n">
        <f aca="false">L484/K484</f>
        <v>0.522666666666667</v>
      </c>
      <c r="N484" s="466" t="n">
        <f aca="false">I484*M484</f>
        <v>15.68</v>
      </c>
      <c r="O484" s="461" t="n">
        <v>105</v>
      </c>
      <c r="P484" s="462" t="n">
        <f aca="false">H484-O484</f>
        <v>0</v>
      </c>
      <c r="Q484" s="463" t="n">
        <f aca="false">O484*I484</f>
        <v>3150</v>
      </c>
      <c r="R484" s="48" t="n">
        <f aca="false">K484-Q484</f>
        <v>0</v>
      </c>
      <c r="S484" s="467"/>
      <c r="T484" s="2" t="s">
        <v>1711</v>
      </c>
      <c r="V484" s="464"/>
      <c r="W484" s="464"/>
      <c r="X484" s="464"/>
      <c r="Y484" s="464"/>
      <c r="Z484" s="464"/>
      <c r="AA484" s="464"/>
      <c r="AB484" s="464"/>
      <c r="AC484" s="464"/>
      <c r="AD484" s="464"/>
      <c r="AE484" s="464"/>
      <c r="AF484" s="464"/>
      <c r="AG484" s="464"/>
      <c r="AH484" s="465"/>
      <c r="AI484" s="464"/>
    </row>
    <row r="485" customFormat="false" ht="15" hidden="false" customHeight="true" outlineLevel="0" collapsed="false">
      <c r="A485" s="455" t="s">
        <v>58</v>
      </c>
      <c r="C485" s="456" t="n">
        <v>45509</v>
      </c>
      <c r="D485" s="456"/>
      <c r="E485" s="323" t="n">
        <v>148</v>
      </c>
      <c r="F485" s="323" t="s">
        <v>175</v>
      </c>
      <c r="G485" s="323" t="s">
        <v>6</v>
      </c>
      <c r="H485" s="98" t="n">
        <v>150</v>
      </c>
      <c r="I485" s="457" t="n">
        <v>30</v>
      </c>
      <c r="J485" s="313" t="s">
        <v>1651</v>
      </c>
      <c r="K485" s="98" t="n">
        <f aca="false">I485*H485</f>
        <v>4500</v>
      </c>
      <c r="L485" s="411" t="n">
        <v>1770</v>
      </c>
      <c r="M485" s="392" t="n">
        <f aca="false">L485/K485</f>
        <v>0.393333333333333</v>
      </c>
      <c r="N485" s="466" t="n">
        <f aca="false">I485*M485</f>
        <v>11.8</v>
      </c>
      <c r="O485" s="461" t="n">
        <v>150</v>
      </c>
      <c r="P485" s="462" t="n">
        <f aca="false">H485-O485</f>
        <v>0</v>
      </c>
      <c r="Q485" s="463" t="n">
        <f aca="false">O485*I485</f>
        <v>4500</v>
      </c>
      <c r="R485" s="48" t="n">
        <f aca="false">K485-Q485</f>
        <v>0</v>
      </c>
      <c r="S485" s="467"/>
      <c r="T485" s="2" t="s">
        <v>1711</v>
      </c>
      <c r="V485" s="464"/>
      <c r="W485" s="464"/>
      <c r="X485" s="464"/>
      <c r="Y485" s="464"/>
      <c r="Z485" s="464"/>
      <c r="AA485" s="464"/>
      <c r="AB485" s="464"/>
      <c r="AC485" s="464"/>
      <c r="AD485" s="464"/>
      <c r="AE485" s="464"/>
      <c r="AF485" s="464"/>
      <c r="AG485" s="464"/>
      <c r="AH485" s="465"/>
      <c r="AI485" s="464"/>
    </row>
    <row r="486" customFormat="false" ht="15" hidden="false" customHeight="true" outlineLevel="0" collapsed="false">
      <c r="A486" s="455" t="s">
        <v>58</v>
      </c>
      <c r="C486" s="456" t="n">
        <v>45509</v>
      </c>
      <c r="D486" s="456"/>
      <c r="E486" s="323" t="n">
        <v>148</v>
      </c>
      <c r="F486" s="323" t="s">
        <v>175</v>
      </c>
      <c r="G486" s="323" t="s">
        <v>12</v>
      </c>
      <c r="H486" s="98" t="n">
        <v>150</v>
      </c>
      <c r="I486" s="457" t="n">
        <v>18</v>
      </c>
      <c r="J486" s="313" t="s">
        <v>1651</v>
      </c>
      <c r="K486" s="98" t="n">
        <f aca="false">I486*H486</f>
        <v>2700</v>
      </c>
      <c r="L486" s="411" t="n">
        <v>7350</v>
      </c>
      <c r="M486" s="392" t="n">
        <f aca="false">L486/K486</f>
        <v>2.72222222222222</v>
      </c>
      <c r="N486" s="466" t="n">
        <f aca="false">I486*M486</f>
        <v>49</v>
      </c>
      <c r="O486" s="461" t="n">
        <v>150</v>
      </c>
      <c r="P486" s="462" t="n">
        <f aca="false">H486-O486</f>
        <v>0</v>
      </c>
      <c r="Q486" s="463" t="n">
        <f aca="false">O486*I486</f>
        <v>2700</v>
      </c>
      <c r="R486" s="48" t="n">
        <f aca="false">K486-Q486</f>
        <v>0</v>
      </c>
      <c r="S486" s="467"/>
      <c r="T486" s="2" t="s">
        <v>1711</v>
      </c>
      <c r="V486" s="464"/>
      <c r="W486" s="464"/>
      <c r="X486" s="464"/>
      <c r="Y486" s="464"/>
      <c r="Z486" s="464"/>
      <c r="AA486" s="464"/>
      <c r="AB486" s="464"/>
      <c r="AC486" s="464"/>
      <c r="AD486" s="464"/>
      <c r="AE486" s="464"/>
      <c r="AF486" s="464"/>
      <c r="AG486" s="464"/>
      <c r="AH486" s="465"/>
      <c r="AI486" s="464"/>
    </row>
    <row r="487" customFormat="false" ht="15" hidden="false" customHeight="true" outlineLevel="0" collapsed="false">
      <c r="A487" s="455" t="s">
        <v>58</v>
      </c>
      <c r="C487" s="456" t="n">
        <v>45509</v>
      </c>
      <c r="D487" s="456"/>
      <c r="E487" s="323" t="n">
        <v>148</v>
      </c>
      <c r="F487" s="323" t="s">
        <v>175</v>
      </c>
      <c r="G487" s="323" t="s">
        <v>11</v>
      </c>
      <c r="H487" s="98" t="n">
        <v>150</v>
      </c>
      <c r="I487" s="457" t="n">
        <v>14</v>
      </c>
      <c r="J487" s="313" t="s">
        <v>1651</v>
      </c>
      <c r="K487" s="98" t="n">
        <f aca="false">I487*H487</f>
        <v>2100</v>
      </c>
      <c r="L487" s="411" t="n">
        <v>9060</v>
      </c>
      <c r="M487" s="392" t="n">
        <f aca="false">L487/K487</f>
        <v>4.31428571428571</v>
      </c>
      <c r="N487" s="466" t="n">
        <f aca="false">I487*M487</f>
        <v>60.4</v>
      </c>
      <c r="O487" s="461" t="n">
        <v>150</v>
      </c>
      <c r="P487" s="462" t="n">
        <f aca="false">H487-O487</f>
        <v>0</v>
      </c>
      <c r="Q487" s="463" t="n">
        <f aca="false">O487*I487</f>
        <v>2100</v>
      </c>
      <c r="R487" s="48" t="n">
        <f aca="false">K487-Q487</f>
        <v>0</v>
      </c>
      <c r="S487" s="467"/>
      <c r="T487" s="2" t="s">
        <v>1711</v>
      </c>
      <c r="V487" s="464"/>
      <c r="W487" s="464"/>
      <c r="X487" s="464"/>
      <c r="Y487" s="464"/>
      <c r="Z487" s="464"/>
      <c r="AA487" s="464"/>
      <c r="AB487" s="464"/>
      <c r="AC487" s="464"/>
      <c r="AD487" s="464"/>
      <c r="AE487" s="464"/>
      <c r="AF487" s="464"/>
      <c r="AG487" s="464"/>
      <c r="AH487" s="465"/>
      <c r="AI487" s="464"/>
    </row>
    <row r="488" customFormat="false" ht="15" hidden="false" customHeight="true" outlineLevel="0" collapsed="false">
      <c r="A488" s="455" t="s">
        <v>1800</v>
      </c>
      <c r="C488" s="456" t="n">
        <v>45509</v>
      </c>
      <c r="D488" s="456"/>
      <c r="E488" s="323" t="n">
        <v>149</v>
      </c>
      <c r="F488" s="323" t="s">
        <v>175</v>
      </c>
      <c r="G488" s="323" t="s">
        <v>17</v>
      </c>
      <c r="H488" s="98" t="n">
        <v>210</v>
      </c>
      <c r="I488" s="457" t="n">
        <v>37.5</v>
      </c>
      <c r="J488" s="313" t="s">
        <v>1652</v>
      </c>
      <c r="K488" s="98" t="n">
        <f aca="false">I488*H488</f>
        <v>7875</v>
      </c>
      <c r="L488" s="411" t="n">
        <v>5000</v>
      </c>
      <c r="M488" s="392" t="n">
        <f aca="false">L488/K488</f>
        <v>0.634920634920635</v>
      </c>
      <c r="N488" s="466" t="n">
        <f aca="false">I488*M488</f>
        <v>23.8095238095238</v>
      </c>
      <c r="O488" s="461" t="n">
        <v>210</v>
      </c>
      <c r="P488" s="462" t="n">
        <f aca="false">H488-O488</f>
        <v>0</v>
      </c>
      <c r="Q488" s="463" t="n">
        <f aca="false">O488*I488</f>
        <v>7875</v>
      </c>
      <c r="R488" s="48" t="n">
        <f aca="false">K488-Q488</f>
        <v>0</v>
      </c>
      <c r="S488" s="467"/>
      <c r="T488" s="2" t="s">
        <v>1711</v>
      </c>
      <c r="V488" s="464"/>
      <c r="W488" s="464"/>
      <c r="X488" s="464"/>
      <c r="Y488" s="464"/>
      <c r="Z488" s="464"/>
      <c r="AA488" s="464"/>
      <c r="AB488" s="464"/>
      <c r="AC488" s="464"/>
      <c r="AD488" s="464"/>
      <c r="AE488" s="464"/>
      <c r="AF488" s="464"/>
      <c r="AG488" s="464"/>
      <c r="AH488" s="465"/>
      <c r="AI488" s="464"/>
    </row>
    <row r="489" customFormat="false" ht="15" hidden="false" customHeight="true" outlineLevel="0" collapsed="false">
      <c r="A489" s="455" t="s">
        <v>58</v>
      </c>
      <c r="C489" s="456" t="n">
        <v>45509</v>
      </c>
      <c r="D489" s="456"/>
      <c r="E489" s="323" t="n">
        <v>150</v>
      </c>
      <c r="F489" s="323" t="s">
        <v>175</v>
      </c>
      <c r="G489" s="323" t="s">
        <v>5</v>
      </c>
      <c r="H489" s="98" t="n">
        <v>90</v>
      </c>
      <c r="I489" s="457" t="n">
        <v>25.71</v>
      </c>
      <c r="J489" s="313" t="s">
        <v>1651</v>
      </c>
      <c r="K489" s="98" t="n">
        <f aca="false">I489*H489</f>
        <v>2313.9</v>
      </c>
      <c r="L489" s="411" t="n">
        <v>988.2</v>
      </c>
      <c r="M489" s="392" t="n">
        <f aca="false">L489/K489</f>
        <v>0.427071178529755</v>
      </c>
      <c r="N489" s="466" t="n">
        <f aca="false">I489*M489</f>
        <v>10.98</v>
      </c>
      <c r="O489" s="461" t="n">
        <v>90</v>
      </c>
      <c r="P489" s="462" t="n">
        <f aca="false">H489-O489</f>
        <v>0</v>
      </c>
      <c r="Q489" s="463" t="n">
        <f aca="false">O489*I489</f>
        <v>2313.9</v>
      </c>
      <c r="R489" s="48" t="n">
        <f aca="false">K489-Q489</f>
        <v>0</v>
      </c>
      <c r="S489" s="467"/>
      <c r="T489" s="2" t="s">
        <v>1711</v>
      </c>
      <c r="V489" s="464"/>
      <c r="W489" s="464"/>
      <c r="X489" s="464"/>
      <c r="Y489" s="464"/>
      <c r="Z489" s="464"/>
      <c r="AA489" s="464"/>
      <c r="AB489" s="464"/>
      <c r="AC489" s="464"/>
      <c r="AD489" s="464"/>
      <c r="AE489" s="464"/>
      <c r="AF489" s="464"/>
      <c r="AG489" s="464"/>
      <c r="AH489" s="465"/>
      <c r="AI489" s="464"/>
    </row>
    <row r="490" customFormat="false" ht="15" hidden="false" customHeight="true" outlineLevel="0" collapsed="false">
      <c r="A490" s="455" t="s">
        <v>58</v>
      </c>
      <c r="C490" s="456" t="n">
        <v>45509</v>
      </c>
      <c r="D490" s="456"/>
      <c r="E490" s="323" t="n">
        <v>150</v>
      </c>
      <c r="F490" s="323" t="s">
        <v>175</v>
      </c>
      <c r="G490" s="323" t="s">
        <v>42</v>
      </c>
      <c r="H490" s="98" t="n">
        <v>300</v>
      </c>
      <c r="I490" s="457" t="n">
        <v>30</v>
      </c>
      <c r="J490" s="313" t="s">
        <v>1651</v>
      </c>
      <c r="K490" s="98" t="n">
        <f aca="false">I490*H490</f>
        <v>9000</v>
      </c>
      <c r="L490" s="411" t="n">
        <v>4704</v>
      </c>
      <c r="M490" s="392" t="n">
        <f aca="false">L490/K490</f>
        <v>0.522666666666667</v>
      </c>
      <c r="N490" s="466" t="n">
        <f aca="false">I490*M490</f>
        <v>15.68</v>
      </c>
      <c r="O490" s="461" t="n">
        <v>300</v>
      </c>
      <c r="P490" s="462" t="n">
        <f aca="false">H490-O490</f>
        <v>0</v>
      </c>
      <c r="Q490" s="463" t="n">
        <f aca="false">O490*I490</f>
        <v>9000</v>
      </c>
      <c r="R490" s="48" t="n">
        <f aca="false">K490-Q490</f>
        <v>0</v>
      </c>
      <c r="S490" s="467"/>
      <c r="T490" s="2" t="s">
        <v>1711</v>
      </c>
      <c r="V490" s="464"/>
      <c r="W490" s="464"/>
      <c r="X490" s="464"/>
      <c r="Y490" s="464"/>
      <c r="Z490" s="464"/>
      <c r="AA490" s="464"/>
      <c r="AB490" s="464"/>
      <c r="AC490" s="464"/>
      <c r="AD490" s="464"/>
      <c r="AE490" s="464"/>
      <c r="AF490" s="464"/>
      <c r="AG490" s="464"/>
      <c r="AH490" s="465"/>
      <c r="AI490" s="464"/>
    </row>
    <row r="491" customFormat="false" ht="15" hidden="false" customHeight="true" outlineLevel="0" collapsed="false">
      <c r="A491" s="455" t="s">
        <v>58</v>
      </c>
      <c r="C491" s="469" t="n">
        <v>45509</v>
      </c>
      <c r="D491" s="469"/>
      <c r="E491" s="323" t="n">
        <v>150</v>
      </c>
      <c r="F491" s="323" t="s">
        <v>175</v>
      </c>
      <c r="G491" s="323" t="s">
        <v>6</v>
      </c>
      <c r="H491" s="98" t="n">
        <v>450</v>
      </c>
      <c r="I491" s="457" t="n">
        <v>30</v>
      </c>
      <c r="J491" s="313" t="s">
        <v>1651</v>
      </c>
      <c r="K491" s="98" t="n">
        <f aca="false">I491*H491</f>
        <v>13500</v>
      </c>
      <c r="L491" s="411" t="n">
        <v>5310</v>
      </c>
      <c r="M491" s="392" t="n">
        <f aca="false">L491/K491</f>
        <v>0.393333333333333</v>
      </c>
      <c r="N491" s="466" t="n">
        <f aca="false">I491*M491</f>
        <v>11.8</v>
      </c>
      <c r="O491" s="461" t="n">
        <v>450</v>
      </c>
      <c r="P491" s="462" t="n">
        <f aca="false">H491-O491</f>
        <v>0</v>
      </c>
      <c r="Q491" s="463" t="n">
        <f aca="false">O491*I491</f>
        <v>13500</v>
      </c>
      <c r="R491" s="48" t="n">
        <f aca="false">K491-Q491</f>
        <v>0</v>
      </c>
      <c r="S491" s="467"/>
      <c r="T491" s="2" t="s">
        <v>1711</v>
      </c>
      <c r="V491" s="464"/>
      <c r="W491" s="464"/>
      <c r="X491" s="464"/>
      <c r="Y491" s="464"/>
      <c r="Z491" s="464"/>
      <c r="AA491" s="464"/>
      <c r="AB491" s="464"/>
      <c r="AC491" s="464"/>
      <c r="AD491" s="464"/>
      <c r="AE491" s="464"/>
      <c r="AF491" s="464"/>
      <c r="AG491" s="464"/>
      <c r="AH491" s="465"/>
      <c r="AI491" s="464"/>
    </row>
    <row r="492" customFormat="false" ht="15" hidden="false" customHeight="true" outlineLevel="0" collapsed="false">
      <c r="A492" s="455" t="s">
        <v>1798</v>
      </c>
      <c r="C492" s="469" t="n">
        <v>45509</v>
      </c>
      <c r="D492" s="469"/>
      <c r="E492" s="323" t="n">
        <v>151</v>
      </c>
      <c r="F492" s="323" t="s">
        <v>175</v>
      </c>
      <c r="G492" s="323" t="s">
        <v>42</v>
      </c>
      <c r="H492" s="98" t="n">
        <v>420</v>
      </c>
      <c r="I492" s="457" t="n">
        <v>90</v>
      </c>
      <c r="J492" s="313" t="s">
        <v>1653</v>
      </c>
      <c r="K492" s="98" t="n">
        <f aca="false">I492*H492</f>
        <v>37800</v>
      </c>
      <c r="L492" s="411" t="n">
        <v>12600</v>
      </c>
      <c r="M492" s="392" t="n">
        <f aca="false">L492/K492</f>
        <v>0.333333333333333</v>
      </c>
      <c r="N492" s="466" t="n">
        <f aca="false">I492*M492</f>
        <v>30</v>
      </c>
      <c r="O492" s="461" t="n">
        <v>420</v>
      </c>
      <c r="P492" s="462" t="n">
        <f aca="false">H492-O492</f>
        <v>0</v>
      </c>
      <c r="Q492" s="463" t="n">
        <f aca="false">O492*I492</f>
        <v>37800</v>
      </c>
      <c r="R492" s="48" t="n">
        <f aca="false">K492-Q492</f>
        <v>0</v>
      </c>
      <c r="S492" s="467"/>
      <c r="T492" s="2" t="s">
        <v>1711</v>
      </c>
      <c r="V492" s="464"/>
      <c r="W492" s="464"/>
      <c r="X492" s="464"/>
      <c r="Y492" s="464"/>
      <c r="Z492" s="464"/>
      <c r="AA492" s="464"/>
      <c r="AB492" s="464"/>
      <c r="AC492" s="464"/>
      <c r="AD492" s="464"/>
      <c r="AE492" s="464"/>
      <c r="AF492" s="464"/>
      <c r="AG492" s="464"/>
      <c r="AH492" s="465"/>
      <c r="AI492" s="464"/>
    </row>
    <row r="493" customFormat="false" ht="15" hidden="false" customHeight="true" outlineLevel="0" collapsed="false">
      <c r="A493" s="455" t="s">
        <v>1798</v>
      </c>
      <c r="C493" s="469" t="n">
        <v>45509</v>
      </c>
      <c r="D493" s="469"/>
      <c r="E493" s="323" t="n">
        <v>151</v>
      </c>
      <c r="F493" s="323" t="s">
        <v>175</v>
      </c>
      <c r="G493" s="323" t="s">
        <v>5</v>
      </c>
      <c r="H493" s="98" t="n">
        <v>975</v>
      </c>
      <c r="I493" s="457" t="n">
        <v>25.71</v>
      </c>
      <c r="J493" s="313" t="s">
        <v>1651</v>
      </c>
      <c r="K493" s="98" t="n">
        <f aca="false">I493*H493</f>
        <v>25067.25</v>
      </c>
      <c r="L493" s="411" t="n">
        <v>12187.5</v>
      </c>
      <c r="M493" s="392" t="n">
        <f aca="false">L493/K493</f>
        <v>0.486192143134967</v>
      </c>
      <c r="N493" s="466" t="n">
        <f aca="false">I493*M493</f>
        <v>12.5</v>
      </c>
      <c r="O493" s="461" t="n">
        <v>975</v>
      </c>
      <c r="P493" s="462" t="n">
        <f aca="false">H493-O493</f>
        <v>0</v>
      </c>
      <c r="Q493" s="463" t="n">
        <f aca="false">O493*I493</f>
        <v>25067.25</v>
      </c>
      <c r="R493" s="48" t="n">
        <f aca="false">K493-Q493</f>
        <v>0</v>
      </c>
      <c r="S493" s="467"/>
      <c r="T493" s="2" t="s">
        <v>1711</v>
      </c>
      <c r="V493" s="464"/>
      <c r="W493" s="464"/>
      <c r="X493" s="464"/>
      <c r="Y493" s="464"/>
      <c r="Z493" s="464"/>
      <c r="AA493" s="464"/>
      <c r="AB493" s="464"/>
      <c r="AC493" s="464"/>
      <c r="AD493" s="464"/>
      <c r="AE493" s="464"/>
      <c r="AF493" s="464"/>
      <c r="AG493" s="464"/>
      <c r="AH493" s="465"/>
      <c r="AI493" s="464"/>
    </row>
    <row r="494" customFormat="false" ht="15" hidden="false" customHeight="true" outlineLevel="0" collapsed="false">
      <c r="A494" s="455" t="s">
        <v>1798</v>
      </c>
      <c r="C494" s="469" t="n">
        <v>45509</v>
      </c>
      <c r="D494" s="469"/>
      <c r="E494" s="57" t="n">
        <v>152</v>
      </c>
      <c r="F494" s="323" t="s">
        <v>175</v>
      </c>
      <c r="G494" s="323" t="s">
        <v>5</v>
      </c>
      <c r="H494" s="98" t="n">
        <v>1020</v>
      </c>
      <c r="I494" s="457" t="n">
        <v>25.71</v>
      </c>
      <c r="J494" s="313" t="s">
        <v>1651</v>
      </c>
      <c r="K494" s="98" t="n">
        <f aca="false">I494*H494</f>
        <v>26224.2</v>
      </c>
      <c r="L494" s="411" t="n">
        <v>12750</v>
      </c>
      <c r="M494" s="392" t="n">
        <f aca="false">L494/K494</f>
        <v>0.486192143134967</v>
      </c>
      <c r="N494" s="466" t="n">
        <f aca="false">I494*M494</f>
        <v>12.5</v>
      </c>
      <c r="O494" s="461" t="n">
        <v>1020</v>
      </c>
      <c r="P494" s="462" t="n">
        <f aca="false">H494-O494</f>
        <v>0</v>
      </c>
      <c r="Q494" s="463" t="n">
        <f aca="false">O494*I494</f>
        <v>26224.2</v>
      </c>
      <c r="R494" s="48" t="n">
        <f aca="false">K494-Q494</f>
        <v>0</v>
      </c>
      <c r="S494" s="467"/>
      <c r="T494" s="2" t="s">
        <v>1711</v>
      </c>
      <c r="V494" s="464"/>
      <c r="W494" s="464"/>
      <c r="X494" s="464"/>
      <c r="Y494" s="464"/>
      <c r="Z494" s="464"/>
      <c r="AA494" s="464"/>
      <c r="AB494" s="464"/>
      <c r="AC494" s="464"/>
      <c r="AD494" s="464"/>
      <c r="AE494" s="464"/>
      <c r="AF494" s="464"/>
      <c r="AG494" s="464"/>
      <c r="AH494" s="465"/>
      <c r="AI494" s="464"/>
    </row>
    <row r="495" customFormat="false" ht="15" hidden="false" customHeight="true" outlineLevel="0" collapsed="false">
      <c r="A495" s="455" t="s">
        <v>1798</v>
      </c>
      <c r="C495" s="469" t="n">
        <v>45509</v>
      </c>
      <c r="D495" s="469"/>
      <c r="E495" s="57" t="n">
        <v>152</v>
      </c>
      <c r="F495" s="323" t="s">
        <v>175</v>
      </c>
      <c r="G495" s="323" t="s">
        <v>42</v>
      </c>
      <c r="H495" s="98" t="n">
        <v>420</v>
      </c>
      <c r="I495" s="457" t="n">
        <v>90</v>
      </c>
      <c r="J495" s="313" t="s">
        <v>1653</v>
      </c>
      <c r="K495" s="98" t="n">
        <f aca="false">I495*H495</f>
        <v>37800</v>
      </c>
      <c r="L495" s="411" t="n">
        <v>12600</v>
      </c>
      <c r="M495" s="392" t="n">
        <f aca="false">L495/K495</f>
        <v>0.333333333333333</v>
      </c>
      <c r="N495" s="466" t="n">
        <f aca="false">I495*M495</f>
        <v>30</v>
      </c>
      <c r="O495" s="461" t="n">
        <v>420</v>
      </c>
      <c r="P495" s="462" t="n">
        <f aca="false">H495-O495</f>
        <v>0</v>
      </c>
      <c r="Q495" s="463" t="n">
        <f aca="false">O495*I495</f>
        <v>37800</v>
      </c>
      <c r="R495" s="48" t="n">
        <f aca="false">K495-Q495</f>
        <v>0</v>
      </c>
      <c r="S495" s="467"/>
      <c r="T495" s="2" t="s">
        <v>1711</v>
      </c>
      <c r="V495" s="464"/>
      <c r="W495" s="464"/>
      <c r="X495" s="464"/>
      <c r="Y495" s="464"/>
      <c r="Z495" s="464"/>
      <c r="AA495" s="464"/>
      <c r="AB495" s="464"/>
      <c r="AC495" s="464"/>
      <c r="AD495" s="464"/>
      <c r="AE495" s="464"/>
      <c r="AF495" s="464"/>
      <c r="AG495" s="464"/>
      <c r="AH495" s="465"/>
      <c r="AI495" s="464"/>
    </row>
    <row r="496" customFormat="false" ht="15" hidden="false" customHeight="true" outlineLevel="0" collapsed="false">
      <c r="A496" s="455" t="s">
        <v>1798</v>
      </c>
      <c r="C496" s="469" t="n">
        <v>45509</v>
      </c>
      <c r="D496" s="469"/>
      <c r="E496" s="57" t="n">
        <v>153</v>
      </c>
      <c r="F496" s="57" t="s">
        <v>175</v>
      </c>
      <c r="G496" s="323" t="s">
        <v>5</v>
      </c>
      <c r="H496" s="98" t="n">
        <v>975</v>
      </c>
      <c r="I496" s="457" t="n">
        <v>25.71</v>
      </c>
      <c r="J496" s="313" t="s">
        <v>1651</v>
      </c>
      <c r="K496" s="98" t="n">
        <f aca="false">I496*H496</f>
        <v>25067.25</v>
      </c>
      <c r="L496" s="411" t="n">
        <v>12187.5</v>
      </c>
      <c r="M496" s="392" t="n">
        <f aca="false">L496/K496</f>
        <v>0.486192143134967</v>
      </c>
      <c r="N496" s="466" t="n">
        <f aca="false">I496*M496</f>
        <v>12.5</v>
      </c>
      <c r="O496" s="461" t="n">
        <v>975</v>
      </c>
      <c r="P496" s="462" t="n">
        <f aca="false">H496-O496</f>
        <v>0</v>
      </c>
      <c r="Q496" s="463" t="n">
        <f aca="false">O496*I496</f>
        <v>25067.25</v>
      </c>
      <c r="R496" s="48" t="n">
        <f aca="false">K496-Q496</f>
        <v>0</v>
      </c>
      <c r="S496" s="467"/>
      <c r="T496" s="2" t="s">
        <v>1711</v>
      </c>
      <c r="V496" s="464"/>
      <c r="W496" s="464"/>
      <c r="X496" s="464"/>
      <c r="Y496" s="464"/>
      <c r="Z496" s="464"/>
      <c r="AA496" s="464"/>
      <c r="AB496" s="464"/>
      <c r="AC496" s="464"/>
      <c r="AD496" s="464"/>
      <c r="AE496" s="464"/>
      <c r="AF496" s="464"/>
      <c r="AG496" s="464"/>
      <c r="AH496" s="465"/>
      <c r="AI496" s="464"/>
    </row>
    <row r="497" customFormat="false" ht="15" hidden="false" customHeight="true" outlineLevel="0" collapsed="false">
      <c r="A497" s="455" t="s">
        <v>1798</v>
      </c>
      <c r="C497" s="469" t="n">
        <v>45509</v>
      </c>
      <c r="D497" s="469"/>
      <c r="E497" s="323" t="n">
        <v>153</v>
      </c>
      <c r="F497" s="57" t="s">
        <v>175</v>
      </c>
      <c r="G497" s="323" t="s">
        <v>42</v>
      </c>
      <c r="H497" s="98" t="n">
        <v>420</v>
      </c>
      <c r="I497" s="457" t="n">
        <v>90</v>
      </c>
      <c r="J497" s="313" t="s">
        <v>1653</v>
      </c>
      <c r="K497" s="98" t="n">
        <f aca="false">I497*H497</f>
        <v>37800</v>
      </c>
      <c r="L497" s="411" t="n">
        <v>12600</v>
      </c>
      <c r="M497" s="392" t="n">
        <f aca="false">L497/K497</f>
        <v>0.333333333333333</v>
      </c>
      <c r="N497" s="466" t="n">
        <f aca="false">I497*M497</f>
        <v>30</v>
      </c>
      <c r="O497" s="461" t="n">
        <v>420</v>
      </c>
      <c r="P497" s="462" t="n">
        <f aca="false">H497-O497</f>
        <v>0</v>
      </c>
      <c r="Q497" s="463" t="n">
        <f aca="false">O497*I497</f>
        <v>37800</v>
      </c>
      <c r="R497" s="48" t="n">
        <f aca="false">K497-Q497</f>
        <v>0</v>
      </c>
      <c r="S497" s="467"/>
      <c r="T497" s="2" t="s">
        <v>1711</v>
      </c>
      <c r="V497" s="464"/>
      <c r="W497" s="464"/>
      <c r="X497" s="464"/>
      <c r="Y497" s="464"/>
      <c r="Z497" s="464"/>
      <c r="AA497" s="464"/>
      <c r="AB497" s="464"/>
      <c r="AC497" s="464"/>
      <c r="AD497" s="464"/>
      <c r="AE497" s="464"/>
      <c r="AF497" s="464"/>
      <c r="AG497" s="464"/>
      <c r="AH497" s="465"/>
      <c r="AI497" s="464"/>
    </row>
    <row r="498" customFormat="false" ht="15" hidden="false" customHeight="true" outlineLevel="0" collapsed="false">
      <c r="A498" s="455" t="s">
        <v>1798</v>
      </c>
      <c r="C498" s="469" t="n">
        <v>45509</v>
      </c>
      <c r="D498" s="469"/>
      <c r="E498" s="57" t="n">
        <v>154</v>
      </c>
      <c r="F498" s="57" t="s">
        <v>175</v>
      </c>
      <c r="G498" s="323" t="s">
        <v>5</v>
      </c>
      <c r="H498" s="98" t="n">
        <v>1020</v>
      </c>
      <c r="I498" s="457" t="n">
        <v>25.71</v>
      </c>
      <c r="J498" s="313" t="s">
        <v>1651</v>
      </c>
      <c r="K498" s="98" t="n">
        <f aca="false">I498*H498</f>
        <v>26224.2</v>
      </c>
      <c r="L498" s="411" t="n">
        <v>12750</v>
      </c>
      <c r="M498" s="392" t="n">
        <f aca="false">L498/K498</f>
        <v>0.486192143134967</v>
      </c>
      <c r="N498" s="466" t="n">
        <f aca="false">I498*M498</f>
        <v>12.5</v>
      </c>
      <c r="O498" s="461" t="n">
        <v>1020</v>
      </c>
      <c r="P498" s="462" t="n">
        <f aca="false">H498-O498</f>
        <v>0</v>
      </c>
      <c r="Q498" s="463" t="n">
        <f aca="false">O498*I498</f>
        <v>26224.2</v>
      </c>
      <c r="R498" s="48" t="n">
        <f aca="false">K498-Q498</f>
        <v>0</v>
      </c>
      <c r="S498" s="467"/>
      <c r="T498" s="2" t="s">
        <v>1711</v>
      </c>
      <c r="V498" s="464"/>
      <c r="W498" s="464"/>
      <c r="X498" s="464"/>
      <c r="Y498" s="464"/>
      <c r="Z498" s="464"/>
      <c r="AA498" s="464"/>
      <c r="AB498" s="464"/>
      <c r="AC498" s="464"/>
      <c r="AD498" s="464"/>
      <c r="AE498" s="464"/>
      <c r="AF498" s="464"/>
      <c r="AG498" s="464"/>
      <c r="AH498" s="465"/>
      <c r="AI498" s="464"/>
    </row>
    <row r="499" customFormat="false" ht="15" hidden="false" customHeight="true" outlineLevel="0" collapsed="false">
      <c r="A499" s="455" t="s">
        <v>1798</v>
      </c>
      <c r="C499" s="469" t="n">
        <v>45509</v>
      </c>
      <c r="D499" s="469"/>
      <c r="E499" s="57" t="n">
        <v>154</v>
      </c>
      <c r="F499" s="323" t="s">
        <v>175</v>
      </c>
      <c r="G499" s="323" t="s">
        <v>42</v>
      </c>
      <c r="H499" s="98" t="n">
        <v>600</v>
      </c>
      <c r="I499" s="457" t="n">
        <v>90</v>
      </c>
      <c r="J499" s="313" t="s">
        <v>1653</v>
      </c>
      <c r="K499" s="98" t="n">
        <f aca="false">I499*H499</f>
        <v>54000</v>
      </c>
      <c r="L499" s="411" t="n">
        <v>18000</v>
      </c>
      <c r="M499" s="392" t="n">
        <f aca="false">L499/K499</f>
        <v>0.333333333333333</v>
      </c>
      <c r="N499" s="466" t="n">
        <f aca="false">I499*M499</f>
        <v>30</v>
      </c>
      <c r="O499" s="461" t="n">
        <v>600</v>
      </c>
      <c r="P499" s="462" t="n">
        <f aca="false">H499-O499</f>
        <v>0</v>
      </c>
      <c r="Q499" s="463" t="n">
        <f aca="false">O499*I499</f>
        <v>54000</v>
      </c>
      <c r="R499" s="48" t="n">
        <f aca="false">K499-Q499</f>
        <v>0</v>
      </c>
      <c r="S499" s="467"/>
      <c r="T499" s="2" t="s">
        <v>1711</v>
      </c>
      <c r="V499" s="464"/>
      <c r="W499" s="464"/>
      <c r="X499" s="464"/>
      <c r="Y499" s="464"/>
      <c r="Z499" s="464"/>
      <c r="AA499" s="464"/>
      <c r="AB499" s="464"/>
      <c r="AC499" s="464"/>
      <c r="AD499" s="464"/>
      <c r="AE499" s="464"/>
      <c r="AF499" s="464"/>
      <c r="AG499" s="464"/>
      <c r="AH499" s="465"/>
      <c r="AI499" s="464"/>
    </row>
    <row r="500" customFormat="false" ht="15" hidden="false" customHeight="true" outlineLevel="0" collapsed="false">
      <c r="A500" s="455" t="s">
        <v>1801</v>
      </c>
      <c r="C500" s="456" t="n">
        <v>45509</v>
      </c>
      <c r="D500" s="456"/>
      <c r="E500" s="323" t="n">
        <v>155</v>
      </c>
      <c r="F500" s="323" t="s">
        <v>175</v>
      </c>
      <c r="G500" s="323" t="s">
        <v>10</v>
      </c>
      <c r="H500" s="98" t="n">
        <v>5010</v>
      </c>
      <c r="I500" s="457" t="n">
        <v>38.3</v>
      </c>
      <c r="J500" s="313" t="s">
        <v>1652</v>
      </c>
      <c r="K500" s="98" t="n">
        <f aca="false">I500*H500</f>
        <v>191883</v>
      </c>
      <c r="L500" s="411" t="n">
        <v>61623</v>
      </c>
      <c r="M500" s="392" t="n">
        <f aca="false">L500/K500</f>
        <v>0.321148825065274</v>
      </c>
      <c r="N500" s="466" t="n">
        <f aca="false">I500*M500</f>
        <v>12.3</v>
      </c>
      <c r="O500" s="461" t="n">
        <v>5010</v>
      </c>
      <c r="P500" s="462" t="n">
        <f aca="false">H500-O500</f>
        <v>0</v>
      </c>
      <c r="Q500" s="463" t="n">
        <f aca="false">O500*I500</f>
        <v>191883</v>
      </c>
      <c r="R500" s="48" t="n">
        <f aca="false">K500-Q500</f>
        <v>0</v>
      </c>
      <c r="S500" s="467"/>
      <c r="T500" s="2" t="s">
        <v>1711</v>
      </c>
      <c r="V500" s="464"/>
      <c r="W500" s="464"/>
      <c r="X500" s="464"/>
      <c r="Y500" s="464"/>
      <c r="Z500" s="464"/>
      <c r="AA500" s="464"/>
      <c r="AB500" s="464"/>
      <c r="AC500" s="464"/>
      <c r="AD500" s="464"/>
      <c r="AE500" s="464"/>
      <c r="AF500" s="464"/>
      <c r="AG500" s="464"/>
      <c r="AH500" s="465"/>
      <c r="AI500" s="464"/>
    </row>
    <row r="501" customFormat="false" ht="15" hidden="false" customHeight="true" outlineLevel="0" collapsed="false">
      <c r="A501" s="455" t="s">
        <v>1802</v>
      </c>
      <c r="C501" s="456" t="n">
        <v>45509</v>
      </c>
      <c r="D501" s="456"/>
      <c r="E501" s="323" t="n">
        <v>156</v>
      </c>
      <c r="F501" s="323" t="s">
        <v>175</v>
      </c>
      <c r="G501" s="323" t="s">
        <v>10</v>
      </c>
      <c r="H501" s="98" t="n">
        <v>9195</v>
      </c>
      <c r="I501" s="457" t="n">
        <v>38.3</v>
      </c>
      <c r="J501" s="313" t="s">
        <v>1652</v>
      </c>
      <c r="K501" s="98" t="n">
        <f aca="false">I501*H501</f>
        <v>352168.5</v>
      </c>
      <c r="L501" s="411" t="n">
        <v>106662</v>
      </c>
      <c r="M501" s="392" t="n">
        <f aca="false">L501/K501</f>
        <v>0.302872062663185</v>
      </c>
      <c r="N501" s="466" t="n">
        <f aca="false">I501*M501</f>
        <v>11.6</v>
      </c>
      <c r="O501" s="461" t="n">
        <v>9195</v>
      </c>
      <c r="P501" s="462" t="n">
        <f aca="false">H501-O501</f>
        <v>0</v>
      </c>
      <c r="Q501" s="463" t="n">
        <f aca="false">O501*I501</f>
        <v>352168.5</v>
      </c>
      <c r="R501" s="48" t="n">
        <f aca="false">K501-Q501</f>
        <v>0</v>
      </c>
      <c r="S501" s="467"/>
      <c r="T501" s="2" t="s">
        <v>1711</v>
      </c>
      <c r="V501" s="464"/>
      <c r="W501" s="464"/>
      <c r="X501" s="464"/>
      <c r="Y501" s="464"/>
      <c r="Z501" s="464"/>
      <c r="AA501" s="464"/>
      <c r="AB501" s="464"/>
      <c r="AC501" s="464"/>
      <c r="AD501" s="464"/>
      <c r="AE501" s="464"/>
      <c r="AF501" s="464"/>
      <c r="AG501" s="464"/>
      <c r="AH501" s="465"/>
      <c r="AI501" s="464"/>
    </row>
    <row r="502" customFormat="false" ht="15" hidden="false" customHeight="true" outlineLevel="0" collapsed="false">
      <c r="A502" s="455" t="s">
        <v>1803</v>
      </c>
      <c r="C502" s="456" t="n">
        <v>45511</v>
      </c>
      <c r="D502" s="456"/>
      <c r="E502" s="323" t="n">
        <v>159</v>
      </c>
      <c r="F502" s="323" t="s">
        <v>175</v>
      </c>
      <c r="G502" s="323" t="s">
        <v>21</v>
      </c>
      <c r="H502" s="98" t="n">
        <v>150</v>
      </c>
      <c r="I502" s="457" t="n">
        <v>1</v>
      </c>
      <c r="J502" s="313" t="s">
        <v>1653</v>
      </c>
      <c r="K502" s="98" t="n">
        <f aca="false">I502*H502</f>
        <v>150</v>
      </c>
      <c r="L502" s="411" t="n">
        <v>1105.5</v>
      </c>
      <c r="M502" s="392" t="n">
        <f aca="false">L502/K502</f>
        <v>7.37</v>
      </c>
      <c r="N502" s="466" t="n">
        <f aca="false">I502*M502</f>
        <v>7.37</v>
      </c>
      <c r="O502" s="461" t="n">
        <v>150</v>
      </c>
      <c r="P502" s="462" t="n">
        <f aca="false">H502-O502</f>
        <v>0</v>
      </c>
      <c r="Q502" s="463" t="n">
        <f aca="false">O502*I502</f>
        <v>150</v>
      </c>
      <c r="R502" s="48" t="n">
        <f aca="false">K502-Q502</f>
        <v>0</v>
      </c>
      <c r="S502" s="467"/>
      <c r="T502" s="2" t="s">
        <v>1711</v>
      </c>
      <c r="V502" s="464"/>
      <c r="W502" s="464"/>
      <c r="X502" s="464"/>
      <c r="Y502" s="464"/>
      <c r="Z502" s="464"/>
      <c r="AA502" s="464"/>
      <c r="AB502" s="464"/>
      <c r="AC502" s="464"/>
      <c r="AD502" s="464"/>
      <c r="AE502" s="464"/>
      <c r="AF502" s="464"/>
      <c r="AG502" s="464"/>
      <c r="AH502" s="465"/>
      <c r="AI502" s="464"/>
    </row>
    <row r="503" customFormat="false" ht="15" hidden="false" customHeight="true" outlineLevel="0" collapsed="false">
      <c r="A503" s="455" t="s">
        <v>1745</v>
      </c>
      <c r="C503" s="456" t="n">
        <v>45511</v>
      </c>
      <c r="D503" s="456"/>
      <c r="E503" s="323" t="n">
        <v>160</v>
      </c>
      <c r="F503" s="323" t="s">
        <v>175</v>
      </c>
      <c r="G503" s="323" t="s">
        <v>42</v>
      </c>
      <c r="H503" s="98" t="n">
        <v>3510</v>
      </c>
      <c r="I503" s="457" t="n">
        <v>30</v>
      </c>
      <c r="J503" s="313" t="s">
        <v>1651</v>
      </c>
      <c r="K503" s="98" t="n">
        <f aca="false">I503*H503</f>
        <v>105300</v>
      </c>
      <c r="L503" s="411" t="n">
        <v>54756</v>
      </c>
      <c r="M503" s="392" t="n">
        <f aca="false">L503/K503</f>
        <v>0.52</v>
      </c>
      <c r="N503" s="466" t="n">
        <f aca="false">I503*M503</f>
        <v>15.6</v>
      </c>
      <c r="O503" s="461" t="n">
        <v>3510</v>
      </c>
      <c r="P503" s="462" t="n">
        <f aca="false">H503-O503</f>
        <v>0</v>
      </c>
      <c r="Q503" s="463" t="n">
        <f aca="false">O503*I503</f>
        <v>105300</v>
      </c>
      <c r="R503" s="48" t="n">
        <f aca="false">K503-Q503</f>
        <v>0</v>
      </c>
      <c r="S503" s="467"/>
      <c r="T503" s="2" t="s">
        <v>1711</v>
      </c>
      <c r="V503" s="464"/>
      <c r="W503" s="464"/>
      <c r="X503" s="464"/>
      <c r="Y503" s="464"/>
      <c r="Z503" s="464"/>
      <c r="AA503" s="464"/>
      <c r="AB503" s="464"/>
      <c r="AC503" s="464"/>
      <c r="AD503" s="464"/>
      <c r="AE503" s="464"/>
      <c r="AF503" s="464"/>
      <c r="AG503" s="464"/>
      <c r="AH503" s="465"/>
      <c r="AI503" s="464"/>
    </row>
    <row r="504" customFormat="false" ht="15" hidden="false" customHeight="true" outlineLevel="0" collapsed="false">
      <c r="A504" s="455" t="s">
        <v>1745</v>
      </c>
      <c r="C504" s="456" t="n">
        <v>45511</v>
      </c>
      <c r="D504" s="456"/>
      <c r="E504" s="323" t="n">
        <v>160</v>
      </c>
      <c r="F504" s="323" t="s">
        <v>175</v>
      </c>
      <c r="G504" s="323" t="s">
        <v>11</v>
      </c>
      <c r="H504" s="98" t="n">
        <v>705</v>
      </c>
      <c r="I504" s="457" t="n">
        <v>14</v>
      </c>
      <c r="J504" s="313" t="s">
        <v>1651</v>
      </c>
      <c r="K504" s="98" t="n">
        <f aca="false">I504*H504</f>
        <v>9870</v>
      </c>
      <c r="L504" s="411" t="n">
        <v>31725</v>
      </c>
      <c r="M504" s="392" t="n">
        <f aca="false">L504/K504</f>
        <v>3.21428571428571</v>
      </c>
      <c r="N504" s="466" t="n">
        <f aca="false">I504*M504</f>
        <v>45</v>
      </c>
      <c r="O504" s="461" t="n">
        <v>705</v>
      </c>
      <c r="P504" s="462" t="n">
        <f aca="false">H504-O504</f>
        <v>0</v>
      </c>
      <c r="Q504" s="463" t="n">
        <f aca="false">O504*I504</f>
        <v>9870</v>
      </c>
      <c r="R504" s="48" t="n">
        <f aca="false">K504-Q504</f>
        <v>0</v>
      </c>
      <c r="S504" s="467"/>
      <c r="T504" s="2" t="s">
        <v>1711</v>
      </c>
      <c r="V504" s="464"/>
      <c r="W504" s="464"/>
      <c r="X504" s="464"/>
      <c r="Y504" s="464"/>
      <c r="Z504" s="464"/>
      <c r="AA504" s="464"/>
      <c r="AB504" s="464"/>
      <c r="AC504" s="464"/>
      <c r="AD504" s="464"/>
      <c r="AE504" s="464"/>
      <c r="AF504" s="464"/>
      <c r="AG504" s="464"/>
      <c r="AH504" s="465"/>
      <c r="AI504" s="464"/>
    </row>
    <row r="505" customFormat="false" ht="15" hidden="false" customHeight="true" outlineLevel="0" collapsed="false">
      <c r="A505" s="455" t="s">
        <v>1802</v>
      </c>
      <c r="C505" s="456" t="n">
        <v>45512</v>
      </c>
      <c r="D505" s="456"/>
      <c r="E505" s="323" t="n">
        <v>162</v>
      </c>
      <c r="F505" s="323" t="s">
        <v>175</v>
      </c>
      <c r="G505" s="323" t="s">
        <v>10</v>
      </c>
      <c r="H505" s="98" t="n">
        <v>10290</v>
      </c>
      <c r="I505" s="457" t="n">
        <v>38.3</v>
      </c>
      <c r="J505" s="313" t="s">
        <v>1652</v>
      </c>
      <c r="K505" s="98" t="n">
        <f aca="false">I505*H505</f>
        <v>394107</v>
      </c>
      <c r="L505" s="411" t="n">
        <v>119364</v>
      </c>
      <c r="M505" s="392" t="n">
        <f aca="false">L505/K505</f>
        <v>0.302872062663185</v>
      </c>
      <c r="N505" s="466" t="n">
        <f aca="false">I505*M505</f>
        <v>11.6</v>
      </c>
      <c r="O505" s="461" t="n">
        <v>10290</v>
      </c>
      <c r="P505" s="462" t="n">
        <f aca="false">H505-O505</f>
        <v>0</v>
      </c>
      <c r="Q505" s="463" t="n">
        <f aca="false">O505*I505</f>
        <v>394107</v>
      </c>
      <c r="R505" s="48" t="n">
        <f aca="false">K505-Q505</f>
        <v>0</v>
      </c>
      <c r="S505" s="467"/>
      <c r="T505" s="2" t="s">
        <v>1711</v>
      </c>
      <c r="V505" s="464"/>
      <c r="W505" s="464"/>
      <c r="X505" s="464"/>
      <c r="Y505" s="464"/>
      <c r="Z505" s="464"/>
      <c r="AA505" s="464"/>
      <c r="AB505" s="464"/>
      <c r="AC505" s="464"/>
      <c r="AD505" s="464"/>
      <c r="AE505" s="464"/>
      <c r="AF505" s="464"/>
      <c r="AG505" s="464"/>
      <c r="AH505" s="465"/>
      <c r="AI505" s="464"/>
    </row>
    <row r="506" customFormat="false" ht="15" hidden="false" customHeight="true" outlineLevel="0" collapsed="false">
      <c r="A506" s="455" t="s">
        <v>1804</v>
      </c>
      <c r="C506" s="456" t="n">
        <v>45512</v>
      </c>
      <c r="D506" s="456"/>
      <c r="E506" s="57" t="n">
        <v>164</v>
      </c>
      <c r="F506" s="323" t="s">
        <v>175</v>
      </c>
      <c r="G506" s="323" t="s">
        <v>10</v>
      </c>
      <c r="H506" s="98" t="n">
        <v>2010</v>
      </c>
      <c r="I506" s="457" t="n">
        <v>38.3</v>
      </c>
      <c r="J506" s="313" t="s">
        <v>1652</v>
      </c>
      <c r="K506" s="98" t="n">
        <f aca="false">I506*H506</f>
        <v>76983</v>
      </c>
      <c r="L506" s="411" t="n">
        <v>24019.5</v>
      </c>
      <c r="M506" s="392" t="n">
        <f aca="false">L506/K506</f>
        <v>0.31201044386423</v>
      </c>
      <c r="N506" s="466" t="n">
        <f aca="false">I506*M506</f>
        <v>11.95</v>
      </c>
      <c r="O506" s="461" t="n">
        <v>2010</v>
      </c>
      <c r="P506" s="462" t="n">
        <f aca="false">H506-O506</f>
        <v>0</v>
      </c>
      <c r="Q506" s="463" t="n">
        <f aca="false">O506*I506</f>
        <v>76983</v>
      </c>
      <c r="R506" s="48" t="n">
        <f aca="false">K506-Q506</f>
        <v>0</v>
      </c>
      <c r="S506" s="467"/>
      <c r="T506" s="2" t="s">
        <v>1711</v>
      </c>
      <c r="V506" s="464"/>
      <c r="W506" s="464"/>
      <c r="X506" s="464"/>
      <c r="Y506" s="464"/>
      <c r="Z506" s="464"/>
      <c r="AA506" s="464"/>
      <c r="AB506" s="464"/>
      <c r="AC506" s="464"/>
      <c r="AD506" s="464"/>
      <c r="AE506" s="464"/>
      <c r="AF506" s="464"/>
      <c r="AG506" s="464"/>
      <c r="AH506" s="465"/>
      <c r="AI506" s="464"/>
    </row>
    <row r="507" customFormat="false" ht="15" hidden="false" customHeight="true" outlineLevel="0" collapsed="false">
      <c r="A507" s="455" t="s">
        <v>1804</v>
      </c>
      <c r="C507" s="456" t="n">
        <v>45512</v>
      </c>
      <c r="D507" s="456"/>
      <c r="E507" s="323" t="n">
        <v>164</v>
      </c>
      <c r="F507" s="323" t="s">
        <v>175</v>
      </c>
      <c r="G507" s="323" t="s">
        <v>10</v>
      </c>
      <c r="H507" s="98" t="n">
        <v>15000</v>
      </c>
      <c r="I507" s="457" t="n">
        <v>90</v>
      </c>
      <c r="J507" s="313" t="s">
        <v>1653</v>
      </c>
      <c r="K507" s="98" t="n">
        <f aca="false">I507*H507</f>
        <v>1350000</v>
      </c>
      <c r="L507" s="411" t="n">
        <v>202500</v>
      </c>
      <c r="M507" s="392" t="n">
        <f aca="false">L507/K507</f>
        <v>0.15</v>
      </c>
      <c r="N507" s="466" t="n">
        <f aca="false">I507*M507</f>
        <v>13.5</v>
      </c>
      <c r="O507" s="461" t="n">
        <v>15000</v>
      </c>
      <c r="P507" s="462" t="n">
        <f aca="false">H507-O507</f>
        <v>0</v>
      </c>
      <c r="Q507" s="463" t="n">
        <f aca="false">O507*I507</f>
        <v>1350000</v>
      </c>
      <c r="R507" s="48" t="n">
        <f aca="false">K507-Q507</f>
        <v>0</v>
      </c>
      <c r="S507" s="467"/>
      <c r="T507" s="2" t="s">
        <v>1711</v>
      </c>
      <c r="V507" s="464"/>
      <c r="W507" s="464"/>
      <c r="X507" s="464"/>
      <c r="Y507" s="464"/>
      <c r="Z507" s="464"/>
      <c r="AA507" s="464"/>
      <c r="AB507" s="464"/>
      <c r="AC507" s="464"/>
      <c r="AD507" s="464"/>
      <c r="AE507" s="464"/>
      <c r="AF507" s="464"/>
      <c r="AG507" s="464"/>
      <c r="AH507" s="465"/>
      <c r="AI507" s="464"/>
    </row>
    <row r="508" customFormat="false" ht="15" hidden="false" customHeight="true" outlineLevel="0" collapsed="false">
      <c r="A508" s="455" t="s">
        <v>63</v>
      </c>
      <c r="C508" s="456" t="n">
        <v>45513</v>
      </c>
      <c r="D508" s="456"/>
      <c r="E508" s="323" t="n">
        <v>166</v>
      </c>
      <c r="F508" s="323" t="s">
        <v>175</v>
      </c>
      <c r="G508" s="323" t="s">
        <v>15</v>
      </c>
      <c r="H508" s="98" t="n">
        <v>7005</v>
      </c>
      <c r="I508" s="457" t="n">
        <v>37.5</v>
      </c>
      <c r="J508" s="313" t="s">
        <v>1652</v>
      </c>
      <c r="K508" s="98" t="n">
        <f aca="false">I508*H508</f>
        <v>262687.5</v>
      </c>
      <c r="L508" s="411" t="n">
        <v>119085</v>
      </c>
      <c r="M508" s="392" t="n">
        <f aca="false">L508/K508</f>
        <v>0.453333333333333</v>
      </c>
      <c r="N508" s="466" t="n">
        <f aca="false">I508*M508</f>
        <v>17</v>
      </c>
      <c r="O508" s="461" t="n">
        <v>7005</v>
      </c>
      <c r="P508" s="462" t="n">
        <f aca="false">H508-O508</f>
        <v>0</v>
      </c>
      <c r="Q508" s="463" t="n">
        <f aca="false">O508*I508</f>
        <v>262687.5</v>
      </c>
      <c r="R508" s="48" t="n">
        <f aca="false">K508-Q508</f>
        <v>0</v>
      </c>
      <c r="S508" s="467"/>
      <c r="T508" s="2" t="s">
        <v>1711</v>
      </c>
      <c r="V508" s="464"/>
      <c r="W508" s="464"/>
      <c r="X508" s="464"/>
      <c r="Y508" s="464"/>
      <c r="Z508" s="464"/>
      <c r="AA508" s="464"/>
      <c r="AB508" s="464"/>
      <c r="AC508" s="464"/>
      <c r="AD508" s="464"/>
      <c r="AE508" s="464"/>
      <c r="AF508" s="464"/>
      <c r="AG508" s="464"/>
      <c r="AH508" s="465"/>
      <c r="AI508" s="464"/>
    </row>
    <row r="509" customFormat="false" ht="15" hidden="false" customHeight="true" outlineLevel="0" collapsed="false">
      <c r="A509" s="455" t="s">
        <v>1805</v>
      </c>
      <c r="C509" s="456" t="n">
        <v>45516</v>
      </c>
      <c r="D509" s="456"/>
      <c r="E509" s="323" t="n">
        <v>167</v>
      </c>
      <c r="F509" s="323" t="s">
        <v>175</v>
      </c>
      <c r="G509" s="323" t="s">
        <v>5</v>
      </c>
      <c r="H509" s="98" t="n">
        <v>90</v>
      </c>
      <c r="I509" s="457" t="n">
        <v>25.71</v>
      </c>
      <c r="J509" s="313" t="s">
        <v>1651</v>
      </c>
      <c r="K509" s="98" t="n">
        <f aca="false">I509*H509</f>
        <v>2313.9</v>
      </c>
      <c r="L509" s="411" t="n">
        <v>1608.3</v>
      </c>
      <c r="M509" s="392" t="n">
        <f aca="false">L509/K509</f>
        <v>0.695060287825749</v>
      </c>
      <c r="N509" s="466" t="n">
        <f aca="false">I509*M509</f>
        <v>17.87</v>
      </c>
      <c r="O509" s="461" t="n">
        <v>90</v>
      </c>
      <c r="P509" s="462" t="n">
        <f aca="false">H509-O509</f>
        <v>0</v>
      </c>
      <c r="Q509" s="463" t="n">
        <f aca="false">O509*I509</f>
        <v>2313.9</v>
      </c>
      <c r="R509" s="48" t="n">
        <f aca="false">K509-Q509</f>
        <v>0</v>
      </c>
      <c r="S509" s="467"/>
      <c r="T509" s="2" t="s">
        <v>1711</v>
      </c>
      <c r="V509" s="464"/>
      <c r="W509" s="464"/>
      <c r="X509" s="464"/>
      <c r="Y509" s="464"/>
      <c r="Z509" s="464"/>
      <c r="AA509" s="464"/>
      <c r="AB509" s="464"/>
      <c r="AC509" s="464"/>
      <c r="AD509" s="464"/>
      <c r="AE509" s="464"/>
      <c r="AF509" s="464"/>
      <c r="AG509" s="464"/>
      <c r="AH509" s="465"/>
      <c r="AI509" s="464"/>
    </row>
    <row r="510" customFormat="false" ht="15" hidden="false" customHeight="true" outlineLevel="0" collapsed="false">
      <c r="A510" s="455" t="s">
        <v>1796</v>
      </c>
      <c r="C510" s="456" t="n">
        <v>45513</v>
      </c>
      <c r="D510" s="456"/>
      <c r="E510" s="57" t="n">
        <v>169</v>
      </c>
      <c r="F510" s="57" t="s">
        <v>175</v>
      </c>
      <c r="G510" s="323" t="s">
        <v>15</v>
      </c>
      <c r="H510" s="98" t="n">
        <v>1290</v>
      </c>
      <c r="I510" s="457" t="n">
        <v>22.5</v>
      </c>
      <c r="J510" s="313" t="s">
        <v>1651</v>
      </c>
      <c r="K510" s="98" t="n">
        <f aca="false">I510*H510</f>
        <v>29025</v>
      </c>
      <c r="L510" s="411" t="n">
        <v>19350</v>
      </c>
      <c r="M510" s="392" t="n">
        <f aca="false">L510/K510</f>
        <v>0.666666666666667</v>
      </c>
      <c r="N510" s="466" t="n">
        <f aca="false">I510*M510</f>
        <v>15</v>
      </c>
      <c r="O510" s="461" t="n">
        <v>1290</v>
      </c>
      <c r="P510" s="462" t="n">
        <f aca="false">H510-O510</f>
        <v>0</v>
      </c>
      <c r="Q510" s="463" t="n">
        <f aca="false">O510*I510</f>
        <v>29025</v>
      </c>
      <c r="R510" s="48" t="n">
        <f aca="false">K510-Q510</f>
        <v>0</v>
      </c>
      <c r="S510" s="467"/>
      <c r="T510" s="2" t="s">
        <v>1797</v>
      </c>
      <c r="V510" s="464"/>
      <c r="W510" s="464"/>
      <c r="X510" s="464"/>
      <c r="Y510" s="464"/>
      <c r="Z510" s="464"/>
      <c r="AA510" s="464"/>
      <c r="AB510" s="464"/>
      <c r="AC510" s="464"/>
      <c r="AD510" s="464"/>
      <c r="AE510" s="464"/>
      <c r="AF510" s="464"/>
      <c r="AG510" s="464"/>
      <c r="AH510" s="465"/>
      <c r="AI510" s="464"/>
    </row>
    <row r="511" customFormat="false" ht="15" hidden="false" customHeight="true" outlineLevel="0" collapsed="false">
      <c r="A511" s="455" t="s">
        <v>1806</v>
      </c>
      <c r="C511" s="456" t="n">
        <v>45518</v>
      </c>
      <c r="D511" s="456"/>
      <c r="E511" s="57" t="n">
        <v>170</v>
      </c>
      <c r="F511" s="57" t="s">
        <v>175</v>
      </c>
      <c r="G511" s="323" t="s">
        <v>5</v>
      </c>
      <c r="H511" s="98" t="n">
        <v>1500</v>
      </c>
      <c r="I511" s="457" t="n">
        <v>25.71</v>
      </c>
      <c r="J511" s="313" t="s">
        <v>1651</v>
      </c>
      <c r="K511" s="98" t="n">
        <f aca="false">I511*H511</f>
        <v>38565</v>
      </c>
      <c r="L511" s="411" t="n">
        <v>13500</v>
      </c>
      <c r="M511" s="392" t="n">
        <f aca="false">L511/K511</f>
        <v>0.350058343057176</v>
      </c>
      <c r="N511" s="466" t="n">
        <f aca="false">I511*M511</f>
        <v>9</v>
      </c>
      <c r="O511" s="461" t="n">
        <v>1500</v>
      </c>
      <c r="P511" s="462" t="n">
        <f aca="false">H511-O511</f>
        <v>0</v>
      </c>
      <c r="Q511" s="463" t="n">
        <f aca="false">O511*I511</f>
        <v>38565</v>
      </c>
      <c r="R511" s="48" t="n">
        <f aca="false">K511-Q511</f>
        <v>0</v>
      </c>
      <c r="S511" s="467"/>
      <c r="T511" s="2" t="s">
        <v>1711</v>
      </c>
      <c r="V511" s="464"/>
      <c r="W511" s="464"/>
      <c r="X511" s="464"/>
      <c r="Y511" s="464"/>
      <c r="Z511" s="464"/>
      <c r="AA511" s="464"/>
      <c r="AB511" s="464"/>
      <c r="AC511" s="464"/>
      <c r="AD511" s="464"/>
      <c r="AE511" s="464"/>
      <c r="AF511" s="464"/>
      <c r="AG511" s="464"/>
      <c r="AH511" s="465"/>
      <c r="AI511" s="464"/>
    </row>
    <row r="512" customFormat="false" ht="15" hidden="false" customHeight="true" outlineLevel="0" collapsed="false">
      <c r="A512" s="455" t="s">
        <v>1807</v>
      </c>
      <c r="C512" s="456" t="n">
        <v>45518</v>
      </c>
      <c r="D512" s="456"/>
      <c r="E512" s="57" t="n">
        <v>171</v>
      </c>
      <c r="F512" s="57" t="s">
        <v>175</v>
      </c>
      <c r="G512" s="323" t="s">
        <v>5</v>
      </c>
      <c r="H512" s="98" t="n">
        <v>30</v>
      </c>
      <c r="I512" s="457" t="n">
        <v>25.71</v>
      </c>
      <c r="J512" s="313" t="s">
        <v>1651</v>
      </c>
      <c r="K512" s="98" t="n">
        <f aca="false">I512*H512</f>
        <v>771.3</v>
      </c>
      <c r="L512" s="411" t="n">
        <v>279</v>
      </c>
      <c r="M512" s="392" t="n">
        <f aca="false">L512/K512</f>
        <v>0.361726954492415</v>
      </c>
      <c r="N512" s="466" t="n">
        <f aca="false">I512*M512</f>
        <v>9.3</v>
      </c>
      <c r="O512" s="461" t="n">
        <v>30</v>
      </c>
      <c r="P512" s="462" t="n">
        <f aca="false">H512-O512</f>
        <v>0</v>
      </c>
      <c r="Q512" s="463" t="n">
        <f aca="false">O512*I512</f>
        <v>771.3</v>
      </c>
      <c r="R512" s="48" t="n">
        <f aca="false">K512-Q512</f>
        <v>0</v>
      </c>
      <c r="S512" s="467"/>
      <c r="T512" s="2" t="s">
        <v>1711</v>
      </c>
      <c r="V512" s="464"/>
      <c r="W512" s="464"/>
      <c r="X512" s="464"/>
      <c r="Y512" s="464"/>
      <c r="Z512" s="464"/>
      <c r="AA512" s="464"/>
      <c r="AB512" s="464"/>
      <c r="AC512" s="464"/>
      <c r="AD512" s="464"/>
      <c r="AE512" s="464"/>
      <c r="AF512" s="464"/>
      <c r="AG512" s="464"/>
      <c r="AH512" s="465"/>
      <c r="AI512" s="464"/>
    </row>
    <row r="513" customFormat="false" ht="15" hidden="false" customHeight="true" outlineLevel="0" collapsed="false">
      <c r="A513" s="455" t="s">
        <v>1808</v>
      </c>
      <c r="C513" s="456" t="n">
        <v>45518</v>
      </c>
      <c r="D513" s="456"/>
      <c r="E513" s="57" t="n">
        <v>172</v>
      </c>
      <c r="F513" s="57" t="s">
        <v>175</v>
      </c>
      <c r="G513" s="323" t="s">
        <v>5</v>
      </c>
      <c r="H513" s="98" t="n">
        <v>510</v>
      </c>
      <c r="I513" s="457" t="n">
        <v>25.71</v>
      </c>
      <c r="J513" s="313" t="s">
        <v>1651</v>
      </c>
      <c r="K513" s="98" t="n">
        <f aca="false">I513*H513</f>
        <v>13112.1</v>
      </c>
      <c r="L513" s="411" t="n">
        <v>6375</v>
      </c>
      <c r="M513" s="392" t="n">
        <f aca="false">L513/K513</f>
        <v>0.486192143134967</v>
      </c>
      <c r="N513" s="466" t="n">
        <f aca="false">I513*M513</f>
        <v>12.5</v>
      </c>
      <c r="O513" s="461" t="n">
        <v>510</v>
      </c>
      <c r="P513" s="462" t="n">
        <f aca="false">H513-O513</f>
        <v>0</v>
      </c>
      <c r="Q513" s="463" t="n">
        <f aca="false">O513*I513</f>
        <v>13112.1</v>
      </c>
      <c r="R513" s="48" t="n">
        <f aca="false">K513-Q513</f>
        <v>0</v>
      </c>
      <c r="S513" s="467"/>
      <c r="T513" s="2" t="s">
        <v>1711</v>
      </c>
      <c r="V513" s="464"/>
      <c r="W513" s="464"/>
      <c r="X513" s="464"/>
      <c r="Y513" s="464"/>
      <c r="Z513" s="464"/>
      <c r="AA513" s="464"/>
      <c r="AB513" s="464"/>
      <c r="AC513" s="464"/>
      <c r="AD513" s="464"/>
      <c r="AE513" s="464"/>
      <c r="AF513" s="464"/>
      <c r="AG513" s="464"/>
      <c r="AH513" s="465"/>
      <c r="AI513" s="464"/>
    </row>
    <row r="514" customFormat="false" ht="15" hidden="false" customHeight="true" outlineLevel="0" collapsed="false">
      <c r="A514" s="455" t="s">
        <v>1808</v>
      </c>
      <c r="C514" s="456" t="n">
        <v>45518</v>
      </c>
      <c r="D514" s="456"/>
      <c r="E514" s="57" t="n">
        <v>172</v>
      </c>
      <c r="F514" s="57" t="s">
        <v>175</v>
      </c>
      <c r="G514" s="323" t="s">
        <v>13</v>
      </c>
      <c r="H514" s="98" t="n">
        <v>105</v>
      </c>
      <c r="I514" s="457" t="n">
        <v>22.5</v>
      </c>
      <c r="J514" s="313" t="s">
        <v>1651</v>
      </c>
      <c r="K514" s="98" t="n">
        <f aca="false">I514*H514</f>
        <v>2362.5</v>
      </c>
      <c r="L514" s="411" t="n">
        <v>1275.75</v>
      </c>
      <c r="M514" s="392" t="n">
        <f aca="false">L514/K514</f>
        <v>0.54</v>
      </c>
      <c r="N514" s="466" t="n">
        <f aca="false">I514*M514</f>
        <v>12.15</v>
      </c>
      <c r="O514" s="461" t="n">
        <v>105</v>
      </c>
      <c r="P514" s="462" t="n">
        <f aca="false">H514-O514</f>
        <v>0</v>
      </c>
      <c r="Q514" s="463" t="n">
        <f aca="false">O514*I514</f>
        <v>2362.5</v>
      </c>
      <c r="R514" s="48" t="n">
        <f aca="false">K514-Q514</f>
        <v>0</v>
      </c>
      <c r="S514" s="467"/>
      <c r="T514" s="2" t="s">
        <v>1711</v>
      </c>
      <c r="V514" s="464"/>
      <c r="W514" s="464"/>
      <c r="X514" s="464"/>
      <c r="Y514" s="464"/>
      <c r="Z514" s="464"/>
      <c r="AA514" s="464"/>
      <c r="AB514" s="464"/>
      <c r="AC514" s="464"/>
      <c r="AD514" s="464"/>
      <c r="AE514" s="464"/>
      <c r="AF514" s="464"/>
      <c r="AG514" s="464"/>
      <c r="AH514" s="465"/>
      <c r="AI514" s="464"/>
    </row>
    <row r="515" customFormat="false" ht="15" hidden="false" customHeight="true" outlineLevel="0" collapsed="false">
      <c r="A515" s="455" t="s">
        <v>1809</v>
      </c>
      <c r="C515" s="456" t="n">
        <v>45518</v>
      </c>
      <c r="D515" s="456"/>
      <c r="E515" s="57" t="n">
        <v>173</v>
      </c>
      <c r="F515" s="323" t="s">
        <v>175</v>
      </c>
      <c r="G515" s="323" t="s">
        <v>10</v>
      </c>
      <c r="H515" s="98" t="n">
        <v>8010</v>
      </c>
      <c r="I515" s="457" t="n">
        <v>90</v>
      </c>
      <c r="J515" s="313" t="s">
        <v>1653</v>
      </c>
      <c r="K515" s="98" t="n">
        <f aca="false">I515*H515</f>
        <v>720900</v>
      </c>
      <c r="L515" s="411" t="n">
        <v>104130</v>
      </c>
      <c r="M515" s="392" t="n">
        <f aca="false">L515/K515</f>
        <v>0.144444444444444</v>
      </c>
      <c r="N515" s="466" t="n">
        <f aca="false">I515*M515</f>
        <v>13</v>
      </c>
      <c r="O515" s="461" t="n">
        <v>8010</v>
      </c>
      <c r="P515" s="462" t="n">
        <f aca="false">H515-O515</f>
        <v>0</v>
      </c>
      <c r="Q515" s="463" t="n">
        <f aca="false">O515*I515</f>
        <v>720900</v>
      </c>
      <c r="R515" s="48" t="n">
        <f aca="false">K515-Q515</f>
        <v>0</v>
      </c>
      <c r="S515" s="467"/>
      <c r="T515" s="2" t="s">
        <v>1711</v>
      </c>
      <c r="V515" s="464"/>
      <c r="W515" s="464"/>
      <c r="X515" s="464"/>
      <c r="Y515" s="464"/>
      <c r="Z515" s="464"/>
      <c r="AA515" s="464"/>
      <c r="AB515" s="464"/>
      <c r="AC515" s="464"/>
      <c r="AD515" s="464"/>
      <c r="AE515" s="464"/>
      <c r="AF515" s="464"/>
      <c r="AG515" s="464"/>
      <c r="AH515" s="465"/>
      <c r="AI515" s="464"/>
    </row>
    <row r="516" customFormat="false" ht="15" hidden="false" customHeight="true" outlineLevel="0" collapsed="false">
      <c r="A516" s="455" t="s">
        <v>1810</v>
      </c>
      <c r="C516" s="456" t="n">
        <v>45520</v>
      </c>
      <c r="D516" s="456"/>
      <c r="E516" s="57" t="n">
        <v>177</v>
      </c>
      <c r="F516" s="57" t="s">
        <v>175</v>
      </c>
      <c r="G516" s="323" t="s">
        <v>5</v>
      </c>
      <c r="H516" s="98" t="n">
        <v>615</v>
      </c>
      <c r="I516" s="457" t="n">
        <v>25.71</v>
      </c>
      <c r="J516" s="313" t="s">
        <v>1651</v>
      </c>
      <c r="K516" s="98" t="n">
        <f aca="false">I516*H516</f>
        <v>15811.65</v>
      </c>
      <c r="L516" s="411" t="n">
        <v>8917.5</v>
      </c>
      <c r="M516" s="392" t="n">
        <f aca="false">L516/K516</f>
        <v>0.563982886036562</v>
      </c>
      <c r="N516" s="466" t="n">
        <f aca="false">I516*M516</f>
        <v>14.5</v>
      </c>
      <c r="O516" s="461" t="n">
        <v>615</v>
      </c>
      <c r="P516" s="462" t="n">
        <f aca="false">H516-O516</f>
        <v>0</v>
      </c>
      <c r="Q516" s="463" t="n">
        <f aca="false">O516*I516</f>
        <v>15811.65</v>
      </c>
      <c r="R516" s="48" t="n">
        <f aca="false">K516-Q516</f>
        <v>0</v>
      </c>
      <c r="S516" s="467"/>
      <c r="T516" s="2" t="s">
        <v>1711</v>
      </c>
      <c r="V516" s="464"/>
      <c r="W516" s="464"/>
      <c r="X516" s="464"/>
      <c r="Y516" s="464"/>
      <c r="Z516" s="464"/>
      <c r="AA516" s="464"/>
      <c r="AB516" s="464"/>
      <c r="AC516" s="464"/>
      <c r="AD516" s="464"/>
      <c r="AE516" s="464"/>
      <c r="AF516" s="464"/>
      <c r="AG516" s="464"/>
      <c r="AH516" s="465"/>
      <c r="AI516" s="464"/>
    </row>
    <row r="517" customFormat="false" ht="15" hidden="false" customHeight="true" outlineLevel="0" collapsed="false">
      <c r="A517" s="455" t="s">
        <v>1811</v>
      </c>
      <c r="C517" s="456" t="n">
        <v>45520</v>
      </c>
      <c r="D517" s="456"/>
      <c r="E517" s="57" t="n">
        <v>178</v>
      </c>
      <c r="F517" s="57" t="s">
        <v>175</v>
      </c>
      <c r="G517" s="323" t="s">
        <v>13</v>
      </c>
      <c r="H517" s="98" t="n">
        <v>750</v>
      </c>
      <c r="I517" s="457" t="n">
        <v>22.5</v>
      </c>
      <c r="J517" s="313" t="s">
        <v>1651</v>
      </c>
      <c r="K517" s="98" t="n">
        <f aca="false">I517*H517</f>
        <v>16875</v>
      </c>
      <c r="L517" s="411" t="n">
        <v>9750</v>
      </c>
      <c r="M517" s="392" t="n">
        <f aca="false">L517/K517</f>
        <v>0.577777777777778</v>
      </c>
      <c r="N517" s="466" t="n">
        <f aca="false">I517*M517</f>
        <v>13</v>
      </c>
      <c r="O517" s="461" t="n">
        <v>750</v>
      </c>
      <c r="P517" s="462" t="n">
        <f aca="false">H517-O517</f>
        <v>0</v>
      </c>
      <c r="Q517" s="463" t="n">
        <f aca="false">O517*I517</f>
        <v>16875</v>
      </c>
      <c r="R517" s="48" t="n">
        <f aca="false">K517-Q517</f>
        <v>0</v>
      </c>
      <c r="S517" s="467"/>
      <c r="T517" s="2" t="s">
        <v>1711</v>
      </c>
      <c r="V517" s="464"/>
      <c r="W517" s="464"/>
      <c r="X517" s="464"/>
      <c r="Y517" s="464"/>
      <c r="Z517" s="464"/>
      <c r="AA517" s="464"/>
      <c r="AB517" s="464"/>
      <c r="AC517" s="464"/>
      <c r="AD517" s="464"/>
      <c r="AE517" s="464"/>
      <c r="AF517" s="464"/>
      <c r="AG517" s="464"/>
      <c r="AH517" s="465"/>
      <c r="AI517" s="464"/>
    </row>
    <row r="518" customFormat="false" ht="15" hidden="false" customHeight="true" outlineLevel="0" collapsed="false">
      <c r="A518" s="455" t="s">
        <v>1811</v>
      </c>
      <c r="C518" s="456" t="n">
        <v>45520</v>
      </c>
      <c r="D518" s="456"/>
      <c r="E518" s="57" t="n">
        <v>178</v>
      </c>
      <c r="F518" s="57" t="s">
        <v>175</v>
      </c>
      <c r="G518" s="323" t="s">
        <v>13</v>
      </c>
      <c r="H518" s="98" t="n">
        <v>1050</v>
      </c>
      <c r="I518" s="457" t="n">
        <v>22.5</v>
      </c>
      <c r="J518" s="313" t="s">
        <v>1651</v>
      </c>
      <c r="K518" s="98" t="n">
        <f aca="false">I518*H518</f>
        <v>23625</v>
      </c>
      <c r="L518" s="411" t="n">
        <v>13650</v>
      </c>
      <c r="M518" s="392" t="n">
        <f aca="false">L518/K518</f>
        <v>0.577777777777778</v>
      </c>
      <c r="N518" s="466" t="n">
        <f aca="false">I518*M518</f>
        <v>13</v>
      </c>
      <c r="O518" s="461" t="n">
        <v>1050</v>
      </c>
      <c r="P518" s="462" t="n">
        <f aca="false">H518-O518</f>
        <v>0</v>
      </c>
      <c r="Q518" s="463" t="n">
        <f aca="false">O518*I518</f>
        <v>23625</v>
      </c>
      <c r="R518" s="48" t="n">
        <f aca="false">K518-Q518</f>
        <v>0</v>
      </c>
      <c r="S518" s="467"/>
      <c r="T518" s="2" t="s">
        <v>1711</v>
      </c>
      <c r="V518" s="464"/>
      <c r="W518" s="464"/>
      <c r="X518" s="464"/>
      <c r="Y518" s="464"/>
      <c r="Z518" s="464"/>
      <c r="AA518" s="464"/>
      <c r="AB518" s="464"/>
      <c r="AC518" s="464"/>
      <c r="AD518" s="464"/>
      <c r="AE518" s="464"/>
      <c r="AF518" s="464"/>
      <c r="AG518" s="464"/>
      <c r="AH518" s="465"/>
      <c r="AI518" s="464"/>
    </row>
    <row r="519" customFormat="false" ht="15" hidden="false" customHeight="true" outlineLevel="0" collapsed="false">
      <c r="A519" s="455" t="s">
        <v>1811</v>
      </c>
      <c r="C519" s="456" t="n">
        <v>45520</v>
      </c>
      <c r="D519" s="456"/>
      <c r="E519" s="57" t="n">
        <v>178</v>
      </c>
      <c r="F519" s="57" t="s">
        <v>175</v>
      </c>
      <c r="G519" s="323" t="s">
        <v>5</v>
      </c>
      <c r="H519" s="98" t="n">
        <v>3200</v>
      </c>
      <c r="I519" s="457" t="n">
        <v>25.71</v>
      </c>
      <c r="J519" s="313" t="s">
        <v>1651</v>
      </c>
      <c r="K519" s="98" t="n">
        <f aca="false">I519*H519</f>
        <v>82272</v>
      </c>
      <c r="L519" s="411" t="n">
        <v>44800</v>
      </c>
      <c r="M519" s="392" t="n">
        <f aca="false">L519/K519</f>
        <v>0.544535200311163</v>
      </c>
      <c r="N519" s="466" t="n">
        <f aca="false">I519*M519</f>
        <v>14</v>
      </c>
      <c r="O519" s="461" t="n">
        <v>3200</v>
      </c>
      <c r="P519" s="462" t="n">
        <f aca="false">H519-O519</f>
        <v>0</v>
      </c>
      <c r="Q519" s="463" t="n">
        <f aca="false">O519*I519</f>
        <v>82272</v>
      </c>
      <c r="R519" s="48" t="n">
        <f aca="false">K519-Q519</f>
        <v>0</v>
      </c>
      <c r="S519" s="467"/>
      <c r="T519" s="2" t="s">
        <v>1711</v>
      </c>
      <c r="V519" s="464"/>
      <c r="W519" s="464"/>
      <c r="X519" s="464"/>
      <c r="Y519" s="464"/>
      <c r="Z519" s="464"/>
      <c r="AA519" s="464"/>
      <c r="AB519" s="464"/>
      <c r="AC519" s="464"/>
      <c r="AD519" s="464"/>
      <c r="AE519" s="464"/>
      <c r="AF519" s="464"/>
      <c r="AG519" s="464"/>
      <c r="AH519" s="465"/>
      <c r="AI519" s="464"/>
    </row>
    <row r="520" customFormat="false" ht="15" hidden="false" customHeight="true" outlineLevel="0" collapsed="false">
      <c r="A520" s="455" t="s">
        <v>1735</v>
      </c>
      <c r="C520" s="456" t="n">
        <v>45523</v>
      </c>
      <c r="D520" s="456"/>
      <c r="E520" s="57" t="n">
        <v>179</v>
      </c>
      <c r="F520" s="57" t="s">
        <v>175</v>
      </c>
      <c r="G520" s="323" t="s">
        <v>7</v>
      </c>
      <c r="H520" s="98" t="n">
        <v>1050</v>
      </c>
      <c r="I520" s="457" t="n">
        <v>25.71</v>
      </c>
      <c r="J520" s="313" t="s">
        <v>1651</v>
      </c>
      <c r="K520" s="98" t="n">
        <f aca="false">I520*H520</f>
        <v>26995.5</v>
      </c>
      <c r="L520" s="411" t="n">
        <v>18879</v>
      </c>
      <c r="M520" s="392" t="n">
        <f aca="false">L520/K520</f>
        <v>0.699338778685336</v>
      </c>
      <c r="N520" s="466" t="n">
        <f aca="false">I520*M520</f>
        <v>17.98</v>
      </c>
      <c r="O520" s="461" t="n">
        <v>1050</v>
      </c>
      <c r="P520" s="462" t="n">
        <f aca="false">H520-O520</f>
        <v>0</v>
      </c>
      <c r="Q520" s="463" t="n">
        <f aca="false">O520*I520</f>
        <v>26995.5</v>
      </c>
      <c r="R520" s="48" t="n">
        <f aca="false">K520-Q520</f>
        <v>0</v>
      </c>
      <c r="S520" s="467"/>
      <c r="T520" s="2" t="s">
        <v>1711</v>
      </c>
      <c r="V520" s="464"/>
      <c r="W520" s="464"/>
      <c r="X520" s="464"/>
      <c r="Y520" s="464"/>
      <c r="Z520" s="464"/>
      <c r="AA520" s="464"/>
      <c r="AB520" s="464"/>
      <c r="AC520" s="464"/>
      <c r="AD520" s="464"/>
      <c r="AE520" s="464"/>
      <c r="AF520" s="464"/>
      <c r="AG520" s="464"/>
      <c r="AH520" s="465"/>
      <c r="AI520" s="464"/>
    </row>
    <row r="521" customFormat="false" ht="15" hidden="false" customHeight="true" outlineLevel="0" collapsed="false">
      <c r="A521" s="455" t="s">
        <v>1735</v>
      </c>
      <c r="C521" s="456" t="n">
        <v>45523</v>
      </c>
      <c r="D521" s="456"/>
      <c r="E521" s="57" t="n">
        <v>179</v>
      </c>
      <c r="F521" s="57" t="s">
        <v>175</v>
      </c>
      <c r="G521" s="323" t="s">
        <v>42</v>
      </c>
      <c r="H521" s="98" t="n">
        <v>1050</v>
      </c>
      <c r="I521" s="457" t="n">
        <v>30</v>
      </c>
      <c r="J521" s="313" t="s">
        <v>1651</v>
      </c>
      <c r="K521" s="98" t="n">
        <f aca="false">I521*H521</f>
        <v>31500</v>
      </c>
      <c r="L521" s="411" t="n">
        <v>17482.5</v>
      </c>
      <c r="M521" s="392" t="n">
        <f aca="false">L521/K521</f>
        <v>0.555</v>
      </c>
      <c r="N521" s="466" t="n">
        <f aca="false">I521*M521</f>
        <v>16.65</v>
      </c>
      <c r="O521" s="461" t="n">
        <v>1050</v>
      </c>
      <c r="P521" s="462" t="n">
        <f aca="false">H521-O521</f>
        <v>0</v>
      </c>
      <c r="Q521" s="463" t="n">
        <f aca="false">O521*I521</f>
        <v>31500</v>
      </c>
      <c r="R521" s="48" t="n">
        <f aca="false">K521-Q521</f>
        <v>0</v>
      </c>
      <c r="S521" s="467"/>
      <c r="T521" s="2" t="s">
        <v>1711</v>
      </c>
      <c r="V521" s="464"/>
      <c r="W521" s="464"/>
      <c r="X521" s="464"/>
      <c r="Y521" s="464"/>
      <c r="Z521" s="464"/>
      <c r="AA521" s="464"/>
      <c r="AB521" s="464"/>
      <c r="AC521" s="464"/>
      <c r="AD521" s="464"/>
      <c r="AE521" s="464"/>
      <c r="AF521" s="464"/>
      <c r="AG521" s="464"/>
      <c r="AH521" s="465"/>
      <c r="AI521" s="464"/>
    </row>
    <row r="522" customFormat="false" ht="15" hidden="false" customHeight="true" outlineLevel="0" collapsed="false">
      <c r="A522" s="455" t="s">
        <v>1735</v>
      </c>
      <c r="C522" s="456" t="n">
        <v>45523</v>
      </c>
      <c r="D522" s="456"/>
      <c r="E522" s="57" t="n">
        <v>179</v>
      </c>
      <c r="F522" s="57" t="s">
        <v>175</v>
      </c>
      <c r="G522" s="323" t="s">
        <v>6</v>
      </c>
      <c r="H522" s="98" t="n">
        <v>1050</v>
      </c>
      <c r="I522" s="457" t="n">
        <v>30</v>
      </c>
      <c r="J522" s="313" t="s">
        <v>1651</v>
      </c>
      <c r="K522" s="98" t="n">
        <f aca="false">I522*H522</f>
        <v>31500</v>
      </c>
      <c r="L522" s="411" t="n">
        <v>14332.5</v>
      </c>
      <c r="M522" s="392" t="n">
        <f aca="false">L522/K522</f>
        <v>0.455</v>
      </c>
      <c r="N522" s="466" t="n">
        <f aca="false">I522*M522</f>
        <v>13.65</v>
      </c>
      <c r="O522" s="461" t="n">
        <v>1050</v>
      </c>
      <c r="P522" s="462" t="n">
        <f aca="false">H522-O522</f>
        <v>0</v>
      </c>
      <c r="Q522" s="463" t="n">
        <f aca="false">O522*I522</f>
        <v>31500</v>
      </c>
      <c r="R522" s="48" t="n">
        <f aca="false">K522-Q522</f>
        <v>0</v>
      </c>
      <c r="S522" s="467"/>
      <c r="T522" s="2" t="s">
        <v>1711</v>
      </c>
      <c r="V522" s="464"/>
      <c r="W522" s="464"/>
      <c r="X522" s="464"/>
      <c r="Y522" s="464"/>
      <c r="Z522" s="464"/>
      <c r="AA522" s="464"/>
      <c r="AB522" s="464"/>
      <c r="AC522" s="464"/>
      <c r="AD522" s="464"/>
      <c r="AE522" s="464"/>
      <c r="AF522" s="464"/>
      <c r="AG522" s="464"/>
      <c r="AH522" s="465"/>
      <c r="AI522" s="464"/>
    </row>
    <row r="523" customFormat="false" ht="15" hidden="false" customHeight="true" outlineLevel="0" collapsed="false">
      <c r="A523" s="455" t="s">
        <v>1812</v>
      </c>
      <c r="C523" s="456" t="n">
        <v>45523</v>
      </c>
      <c r="D523" s="456"/>
      <c r="E523" s="57" t="n">
        <v>181</v>
      </c>
      <c r="F523" s="57" t="s">
        <v>175</v>
      </c>
      <c r="G523" s="323" t="s">
        <v>19</v>
      </c>
      <c r="H523" s="98" t="n">
        <v>60</v>
      </c>
      <c r="I523" s="457" t="n">
        <v>22.5</v>
      </c>
      <c r="J523" s="313" t="s">
        <v>1651</v>
      </c>
      <c r="K523" s="98" t="n">
        <f aca="false">I523*H523</f>
        <v>1350</v>
      </c>
      <c r="L523" s="411" t="n">
        <v>1203</v>
      </c>
      <c r="M523" s="392" t="n">
        <f aca="false">L523/K523</f>
        <v>0.891111111111111</v>
      </c>
      <c r="N523" s="466" t="n">
        <f aca="false">I523*M523</f>
        <v>20.05</v>
      </c>
      <c r="O523" s="461" t="n">
        <v>60</v>
      </c>
      <c r="P523" s="462" t="n">
        <f aca="false">H523-O523</f>
        <v>0</v>
      </c>
      <c r="Q523" s="463" t="n">
        <f aca="false">O523*I523</f>
        <v>1350</v>
      </c>
      <c r="R523" s="48" t="n">
        <f aca="false">K523-Q523</f>
        <v>0</v>
      </c>
      <c r="S523" s="467"/>
      <c r="T523" s="2" t="s">
        <v>1711</v>
      </c>
      <c r="V523" s="464"/>
      <c r="W523" s="464"/>
      <c r="X523" s="464"/>
      <c r="Y523" s="464"/>
      <c r="Z523" s="464"/>
      <c r="AA523" s="464"/>
      <c r="AB523" s="464"/>
      <c r="AC523" s="464"/>
      <c r="AD523" s="464"/>
      <c r="AE523" s="464"/>
      <c r="AF523" s="464"/>
      <c r="AG523" s="464"/>
      <c r="AH523" s="465"/>
      <c r="AI523" s="464"/>
    </row>
    <row r="524" customFormat="false" ht="15" hidden="false" customHeight="true" outlineLevel="0" collapsed="false">
      <c r="A524" s="455" t="s">
        <v>1813</v>
      </c>
      <c r="C524" s="456" t="n">
        <v>45523</v>
      </c>
      <c r="D524" s="456"/>
      <c r="E524" s="57" t="n">
        <v>182</v>
      </c>
      <c r="F524" s="57" t="s">
        <v>175</v>
      </c>
      <c r="G524" s="323" t="s">
        <v>7</v>
      </c>
      <c r="H524" s="98" t="n">
        <v>100</v>
      </c>
      <c r="I524" s="457" t="n">
        <v>25.71</v>
      </c>
      <c r="J524" s="313" t="s">
        <v>1651</v>
      </c>
      <c r="K524" s="98" t="n">
        <f aca="false">I524*H524</f>
        <v>2571</v>
      </c>
      <c r="L524" s="411" t="n">
        <v>1640</v>
      </c>
      <c r="M524" s="392" t="n">
        <f aca="false">L524/K524</f>
        <v>0.637884091793077</v>
      </c>
      <c r="N524" s="466" t="n">
        <f aca="false">I524*M524</f>
        <v>16.4</v>
      </c>
      <c r="O524" s="461" t="n">
        <v>100</v>
      </c>
      <c r="P524" s="462" t="n">
        <f aca="false">H524-O524</f>
        <v>0</v>
      </c>
      <c r="Q524" s="463" t="n">
        <f aca="false">O524*I524</f>
        <v>2571</v>
      </c>
      <c r="R524" s="48" t="n">
        <f aca="false">K524-Q524</f>
        <v>0</v>
      </c>
      <c r="S524" s="467"/>
      <c r="T524" s="2" t="s">
        <v>1711</v>
      </c>
      <c r="V524" s="464"/>
      <c r="W524" s="464"/>
      <c r="X524" s="464"/>
      <c r="Y524" s="464"/>
      <c r="Z524" s="464"/>
      <c r="AA524" s="464"/>
      <c r="AB524" s="464"/>
      <c r="AC524" s="464"/>
      <c r="AD524" s="464"/>
      <c r="AE524" s="464"/>
      <c r="AF524" s="464"/>
      <c r="AG524" s="464"/>
      <c r="AH524" s="465"/>
      <c r="AI524" s="464"/>
    </row>
    <row r="525" customFormat="false" ht="15" hidden="false" customHeight="true" outlineLevel="0" collapsed="false">
      <c r="A525" s="455" t="s">
        <v>1813</v>
      </c>
      <c r="C525" s="456" t="n">
        <v>45523</v>
      </c>
      <c r="D525" s="456"/>
      <c r="E525" s="57" t="n">
        <v>182</v>
      </c>
      <c r="F525" s="57" t="s">
        <v>175</v>
      </c>
      <c r="G525" s="323" t="s">
        <v>42</v>
      </c>
      <c r="H525" s="98" t="n">
        <v>1000</v>
      </c>
      <c r="I525" s="457" t="n">
        <v>30</v>
      </c>
      <c r="J525" s="313" t="s">
        <v>1651</v>
      </c>
      <c r="K525" s="98" t="n">
        <f aca="false">I525*H525</f>
        <v>30000</v>
      </c>
      <c r="L525" s="411" t="n">
        <v>16900</v>
      </c>
      <c r="M525" s="392" t="n">
        <f aca="false">L525/K525</f>
        <v>0.563333333333333</v>
      </c>
      <c r="N525" s="466" t="n">
        <f aca="false">I525*M525</f>
        <v>16.9</v>
      </c>
      <c r="O525" s="461" t="n">
        <v>1000</v>
      </c>
      <c r="P525" s="462" t="n">
        <f aca="false">H525-O525</f>
        <v>0</v>
      </c>
      <c r="Q525" s="463" t="n">
        <f aca="false">O525*I525</f>
        <v>30000</v>
      </c>
      <c r="R525" s="48" t="n">
        <f aca="false">K525-Q525</f>
        <v>0</v>
      </c>
      <c r="S525" s="467"/>
      <c r="T525" s="2" t="s">
        <v>1711</v>
      </c>
      <c r="V525" s="464"/>
      <c r="W525" s="464"/>
      <c r="X525" s="464"/>
      <c r="Y525" s="464"/>
      <c r="Z525" s="464"/>
      <c r="AA525" s="464"/>
      <c r="AB525" s="464"/>
      <c r="AC525" s="464"/>
      <c r="AD525" s="464"/>
      <c r="AE525" s="464"/>
      <c r="AF525" s="464"/>
      <c r="AG525" s="464"/>
      <c r="AH525" s="465"/>
      <c r="AI525" s="464"/>
    </row>
    <row r="526" customFormat="false" ht="15" hidden="false" customHeight="true" outlineLevel="0" collapsed="false">
      <c r="A526" s="455" t="s">
        <v>1813</v>
      </c>
      <c r="C526" s="456" t="n">
        <v>45523</v>
      </c>
      <c r="D526" s="456"/>
      <c r="E526" s="57" t="n">
        <v>182</v>
      </c>
      <c r="F526" s="57" t="s">
        <v>175</v>
      </c>
      <c r="G526" s="323" t="s">
        <v>11</v>
      </c>
      <c r="H526" s="98" t="n">
        <v>250</v>
      </c>
      <c r="I526" s="457" t="n">
        <v>14</v>
      </c>
      <c r="J526" s="313" t="s">
        <v>1651</v>
      </c>
      <c r="K526" s="98" t="n">
        <f aca="false">I526*H526</f>
        <v>3500</v>
      </c>
      <c r="L526" s="411" t="n">
        <v>16000</v>
      </c>
      <c r="M526" s="392" t="n">
        <f aca="false">L526/K526</f>
        <v>4.57142857142857</v>
      </c>
      <c r="N526" s="466" t="n">
        <f aca="false">I526*M526</f>
        <v>64</v>
      </c>
      <c r="O526" s="461" t="n">
        <v>250</v>
      </c>
      <c r="P526" s="462" t="n">
        <f aca="false">H526-O526</f>
        <v>0</v>
      </c>
      <c r="Q526" s="463" t="n">
        <f aca="false">O526*I526</f>
        <v>3500</v>
      </c>
      <c r="R526" s="48" t="n">
        <f aca="false">K526-Q526</f>
        <v>0</v>
      </c>
      <c r="S526" s="467"/>
      <c r="T526" s="2" t="s">
        <v>1711</v>
      </c>
      <c r="V526" s="464"/>
      <c r="W526" s="464"/>
      <c r="X526" s="464"/>
      <c r="Y526" s="464"/>
      <c r="Z526" s="464"/>
      <c r="AA526" s="464"/>
      <c r="AB526" s="464"/>
      <c r="AC526" s="464"/>
      <c r="AD526" s="464"/>
      <c r="AE526" s="464"/>
      <c r="AF526" s="464"/>
      <c r="AG526" s="464"/>
      <c r="AH526" s="465"/>
      <c r="AI526" s="464"/>
    </row>
    <row r="527" customFormat="false" ht="15" hidden="false" customHeight="true" outlineLevel="0" collapsed="false">
      <c r="A527" s="455" t="s">
        <v>1813</v>
      </c>
      <c r="C527" s="456" t="n">
        <v>45523</v>
      </c>
      <c r="D527" s="456"/>
      <c r="E527" s="57" t="n">
        <v>182</v>
      </c>
      <c r="F527" s="57" t="s">
        <v>175</v>
      </c>
      <c r="G527" s="323" t="s">
        <v>17</v>
      </c>
      <c r="H527" s="98" t="n">
        <v>100</v>
      </c>
      <c r="I527" s="457" t="n">
        <v>22.5</v>
      </c>
      <c r="J527" s="313" t="s">
        <v>1651</v>
      </c>
      <c r="K527" s="98" t="n">
        <f aca="false">I527*H527</f>
        <v>2250</v>
      </c>
      <c r="L527" s="411" t="n">
        <v>1740</v>
      </c>
      <c r="M527" s="392" t="n">
        <f aca="false">L527/K527</f>
        <v>0.773333333333333</v>
      </c>
      <c r="N527" s="466" t="n">
        <f aca="false">I527*M527</f>
        <v>17.4</v>
      </c>
      <c r="O527" s="461" t="n">
        <v>100</v>
      </c>
      <c r="P527" s="462" t="n">
        <f aca="false">H527-O527</f>
        <v>0</v>
      </c>
      <c r="Q527" s="463" t="n">
        <f aca="false">O527*I527</f>
        <v>2250</v>
      </c>
      <c r="R527" s="48" t="n">
        <f aca="false">K527-Q527</f>
        <v>0</v>
      </c>
      <c r="S527" s="467"/>
      <c r="T527" s="2" t="s">
        <v>1711</v>
      </c>
      <c r="V527" s="464"/>
      <c r="W527" s="464"/>
      <c r="X527" s="464"/>
      <c r="Y527" s="464"/>
      <c r="Z527" s="464"/>
      <c r="AA527" s="464"/>
      <c r="AB527" s="464"/>
      <c r="AC527" s="464"/>
      <c r="AD527" s="464"/>
      <c r="AE527" s="464"/>
      <c r="AF527" s="464"/>
      <c r="AG527" s="464"/>
      <c r="AH527" s="465"/>
      <c r="AI527" s="464"/>
    </row>
    <row r="528" customFormat="false" ht="15" hidden="false" customHeight="true" outlineLevel="0" collapsed="false">
      <c r="A528" s="455" t="s">
        <v>1760</v>
      </c>
      <c r="C528" s="456" t="n">
        <v>45523</v>
      </c>
      <c r="D528" s="456"/>
      <c r="E528" s="57" t="n">
        <v>18</v>
      </c>
      <c r="F528" s="57" t="s">
        <v>175</v>
      </c>
      <c r="G528" s="323" t="s">
        <v>5</v>
      </c>
      <c r="H528" s="98" t="n">
        <v>2270</v>
      </c>
      <c r="I528" s="457" t="n">
        <v>25.71</v>
      </c>
      <c r="J528" s="313" t="s">
        <v>1651</v>
      </c>
      <c r="K528" s="98" t="n">
        <f aca="false">I528*H528</f>
        <v>58361.7</v>
      </c>
      <c r="L528" s="411" t="n">
        <v>37455</v>
      </c>
      <c r="M528" s="392" t="n">
        <f aca="false">L528/K528</f>
        <v>0.641773628938156</v>
      </c>
      <c r="N528" s="466" t="n">
        <f aca="false">I528*M528</f>
        <v>16.5</v>
      </c>
      <c r="O528" s="461" t="n">
        <v>2270</v>
      </c>
      <c r="P528" s="462" t="n">
        <f aca="false">H528-O528</f>
        <v>0</v>
      </c>
      <c r="Q528" s="463" t="n">
        <f aca="false">O528*I528</f>
        <v>58361.7</v>
      </c>
      <c r="R528" s="48" t="n">
        <f aca="false">K528-Q528</f>
        <v>0</v>
      </c>
      <c r="S528" s="467"/>
      <c r="T528" s="2" t="s">
        <v>1711</v>
      </c>
      <c r="V528" s="464"/>
      <c r="W528" s="464"/>
      <c r="X528" s="464"/>
      <c r="Y528" s="464"/>
      <c r="Z528" s="464"/>
      <c r="AA528" s="464"/>
      <c r="AB528" s="464"/>
      <c r="AC528" s="464"/>
      <c r="AD528" s="464"/>
      <c r="AE528" s="464"/>
      <c r="AF528" s="464"/>
      <c r="AG528" s="464"/>
      <c r="AH528" s="465"/>
      <c r="AI528" s="464"/>
    </row>
    <row r="529" customFormat="false" ht="15" hidden="false" customHeight="true" outlineLevel="0" collapsed="false">
      <c r="A529" s="455" t="s">
        <v>1747</v>
      </c>
      <c r="C529" s="456" t="n">
        <v>45524</v>
      </c>
      <c r="D529" s="456"/>
      <c r="E529" s="57" t="n">
        <v>190</v>
      </c>
      <c r="F529" s="57" t="s">
        <v>175</v>
      </c>
      <c r="G529" s="323" t="s">
        <v>42</v>
      </c>
      <c r="H529" s="98" t="n">
        <v>80</v>
      </c>
      <c r="I529" s="457" t="n">
        <v>30</v>
      </c>
      <c r="J529" s="313" t="s">
        <v>1651</v>
      </c>
      <c r="K529" s="98" t="n">
        <f aca="false">I529*H529</f>
        <v>2400</v>
      </c>
      <c r="L529" s="411" t="n">
        <v>1640</v>
      </c>
      <c r="M529" s="392" t="n">
        <f aca="false">L529/K529</f>
        <v>0.683333333333333</v>
      </c>
      <c r="N529" s="466" t="n">
        <f aca="false">I529*M529</f>
        <v>20.5</v>
      </c>
      <c r="O529" s="461" t="n">
        <v>80</v>
      </c>
      <c r="P529" s="462" t="n">
        <f aca="false">H529-O529</f>
        <v>0</v>
      </c>
      <c r="Q529" s="463" t="n">
        <f aca="false">O529*I529</f>
        <v>2400</v>
      </c>
      <c r="R529" s="48" t="n">
        <f aca="false">K529-Q529</f>
        <v>0</v>
      </c>
      <c r="S529" s="467"/>
      <c r="T529" s="2" t="s">
        <v>1711</v>
      </c>
      <c r="V529" s="464"/>
      <c r="W529" s="464"/>
      <c r="X529" s="464"/>
      <c r="Y529" s="464"/>
      <c r="Z529" s="464"/>
      <c r="AA529" s="464"/>
      <c r="AB529" s="464"/>
      <c r="AC529" s="464"/>
      <c r="AD529" s="464"/>
      <c r="AE529" s="464"/>
      <c r="AF529" s="464"/>
      <c r="AG529" s="464"/>
      <c r="AH529" s="465"/>
      <c r="AI529" s="464"/>
    </row>
    <row r="530" customFormat="false" ht="15" hidden="false" customHeight="true" outlineLevel="0" collapsed="false">
      <c r="A530" s="455" t="s">
        <v>1814</v>
      </c>
      <c r="C530" s="456" t="n">
        <v>45524</v>
      </c>
      <c r="D530" s="456"/>
      <c r="E530" s="57" t="n">
        <v>191</v>
      </c>
      <c r="F530" s="57" t="s">
        <v>175</v>
      </c>
      <c r="G530" s="323" t="s">
        <v>75</v>
      </c>
      <c r="H530" s="98" t="n">
        <v>4000</v>
      </c>
      <c r="I530" s="457" t="n">
        <v>1</v>
      </c>
      <c r="J530" s="313" t="s">
        <v>1653</v>
      </c>
      <c r="K530" s="98" t="n">
        <f aca="false">I530*H530</f>
        <v>4000</v>
      </c>
      <c r="L530" s="411" t="n">
        <v>180000</v>
      </c>
      <c r="M530" s="392" t="n">
        <f aca="false">L530/K530</f>
        <v>45</v>
      </c>
      <c r="N530" s="466" t="n">
        <f aca="false">I530*M530</f>
        <v>45</v>
      </c>
      <c r="O530" s="461" t="n">
        <v>4000</v>
      </c>
      <c r="P530" s="462" t="n">
        <f aca="false">H530-O530</f>
        <v>0</v>
      </c>
      <c r="Q530" s="463" t="n">
        <f aca="false">O530*I530</f>
        <v>4000</v>
      </c>
      <c r="R530" s="48" t="n">
        <f aca="false">K530-Q530</f>
        <v>0</v>
      </c>
      <c r="S530" s="467"/>
      <c r="T530" s="2" t="s">
        <v>1711</v>
      </c>
      <c r="V530" s="464"/>
      <c r="W530" s="464"/>
      <c r="X530" s="464"/>
      <c r="Y530" s="464"/>
      <c r="Z530" s="464"/>
      <c r="AA530" s="464"/>
      <c r="AB530" s="464"/>
      <c r="AC530" s="464"/>
      <c r="AD530" s="464"/>
      <c r="AE530" s="464"/>
      <c r="AF530" s="464"/>
      <c r="AG530" s="464"/>
      <c r="AH530" s="465"/>
      <c r="AI530" s="464"/>
    </row>
    <row r="531" customFormat="false" ht="15" hidden="false" customHeight="true" outlineLevel="0" collapsed="false">
      <c r="A531" s="455" t="s">
        <v>1815</v>
      </c>
      <c r="C531" s="456" t="n">
        <v>45524</v>
      </c>
      <c r="D531" s="456"/>
      <c r="E531" s="57" t="n">
        <v>192</v>
      </c>
      <c r="F531" s="57" t="s">
        <v>175</v>
      </c>
      <c r="G531" s="323" t="s">
        <v>75</v>
      </c>
      <c r="H531" s="98" t="n">
        <v>1000</v>
      </c>
      <c r="I531" s="457" t="n">
        <v>1</v>
      </c>
      <c r="J531" s="313" t="s">
        <v>1653</v>
      </c>
      <c r="K531" s="98" t="n">
        <f aca="false">I531*H531</f>
        <v>1000</v>
      </c>
      <c r="L531" s="411" t="n">
        <v>45000</v>
      </c>
      <c r="M531" s="392" t="n">
        <f aca="false">L531/K531</f>
        <v>45</v>
      </c>
      <c r="N531" s="466" t="n">
        <f aca="false">I531*M531</f>
        <v>45</v>
      </c>
      <c r="O531" s="461" t="n">
        <v>1000</v>
      </c>
      <c r="P531" s="462" t="n">
        <f aca="false">H531-O531</f>
        <v>0</v>
      </c>
      <c r="Q531" s="463" t="n">
        <f aca="false">O531*I531</f>
        <v>1000</v>
      </c>
      <c r="R531" s="48" t="n">
        <f aca="false">K531-Q531</f>
        <v>0</v>
      </c>
      <c r="S531" s="467"/>
      <c r="T531" s="2" t="s">
        <v>1711</v>
      </c>
      <c r="V531" s="464"/>
      <c r="W531" s="464"/>
      <c r="X531" s="464"/>
      <c r="Y531" s="464"/>
      <c r="Z531" s="464"/>
      <c r="AA531" s="464"/>
      <c r="AB531" s="464"/>
      <c r="AC531" s="464"/>
      <c r="AD531" s="464"/>
      <c r="AE531" s="464"/>
      <c r="AF531" s="464"/>
      <c r="AG531" s="464"/>
      <c r="AH531" s="465"/>
      <c r="AI531" s="464"/>
    </row>
    <row r="532" customFormat="false" ht="15" hidden="false" customHeight="true" outlineLevel="0" collapsed="false">
      <c r="A532" s="455" t="s">
        <v>58</v>
      </c>
      <c r="C532" s="456" t="n">
        <v>45524</v>
      </c>
      <c r="D532" s="456"/>
      <c r="E532" s="57" t="n">
        <v>194</v>
      </c>
      <c r="F532" s="57" t="s">
        <v>175</v>
      </c>
      <c r="G532" s="323" t="s">
        <v>5</v>
      </c>
      <c r="H532" s="98" t="n">
        <v>2250</v>
      </c>
      <c r="I532" s="457" t="n">
        <v>25.71</v>
      </c>
      <c r="J532" s="313" t="s">
        <v>1651</v>
      </c>
      <c r="K532" s="98" t="n">
        <f aca="false">I532*H532</f>
        <v>57847.5</v>
      </c>
      <c r="L532" s="411" t="n">
        <v>24705</v>
      </c>
      <c r="M532" s="392" t="n">
        <f aca="false">L532/K532</f>
        <v>0.427071178529755</v>
      </c>
      <c r="N532" s="466" t="n">
        <f aca="false">I532*M532</f>
        <v>10.98</v>
      </c>
      <c r="O532" s="461" t="n">
        <v>2250</v>
      </c>
      <c r="P532" s="462" t="n">
        <f aca="false">H532-O532</f>
        <v>0</v>
      </c>
      <c r="Q532" s="463" t="n">
        <f aca="false">O532*I532</f>
        <v>57847.5</v>
      </c>
      <c r="R532" s="48" t="n">
        <f aca="false">K532-Q532</f>
        <v>0</v>
      </c>
      <c r="S532" s="467"/>
      <c r="T532" s="2" t="s">
        <v>1711</v>
      </c>
      <c r="V532" s="464"/>
      <c r="W532" s="464"/>
      <c r="X532" s="464"/>
      <c r="Y532" s="464"/>
      <c r="Z532" s="464"/>
      <c r="AA532" s="464"/>
      <c r="AB532" s="464"/>
      <c r="AC532" s="464"/>
      <c r="AD532" s="464"/>
      <c r="AE532" s="464"/>
      <c r="AF532" s="464"/>
      <c r="AG532" s="464"/>
      <c r="AH532" s="465"/>
      <c r="AI532" s="464"/>
    </row>
    <row r="533" customFormat="false" ht="15" hidden="false" customHeight="true" outlineLevel="0" collapsed="false">
      <c r="A533" s="455" t="s">
        <v>1745</v>
      </c>
      <c r="C533" s="469" t="n">
        <v>45525</v>
      </c>
      <c r="D533" s="469"/>
      <c r="E533" s="57" t="n">
        <v>195</v>
      </c>
      <c r="F533" s="323" t="s">
        <v>175</v>
      </c>
      <c r="G533" s="323" t="s">
        <v>11</v>
      </c>
      <c r="H533" s="98" t="n">
        <v>4005</v>
      </c>
      <c r="I533" s="457" t="n">
        <v>14</v>
      </c>
      <c r="J533" s="313" t="s">
        <v>1651</v>
      </c>
      <c r="K533" s="98" t="n">
        <f aca="false">I533*H533</f>
        <v>56070</v>
      </c>
      <c r="L533" s="411" t="n">
        <v>179824.5</v>
      </c>
      <c r="M533" s="392" t="n">
        <f aca="false">L533/K533</f>
        <v>3.20714285714286</v>
      </c>
      <c r="N533" s="466" t="n">
        <f aca="false">I533*M533</f>
        <v>44.9</v>
      </c>
      <c r="O533" s="461" t="n">
        <v>4005</v>
      </c>
      <c r="P533" s="462" t="n">
        <f aca="false">H533-O533</f>
        <v>0</v>
      </c>
      <c r="Q533" s="463" t="n">
        <f aca="false">O533*I533</f>
        <v>56070</v>
      </c>
      <c r="R533" s="48" t="n">
        <f aca="false">K533-Q533</f>
        <v>0</v>
      </c>
      <c r="S533" s="467"/>
      <c r="T533" s="2" t="s">
        <v>1711</v>
      </c>
      <c r="V533" s="464"/>
      <c r="W533" s="464"/>
      <c r="X533" s="464"/>
      <c r="Y533" s="464"/>
      <c r="Z533" s="464"/>
      <c r="AA533" s="464"/>
      <c r="AB533" s="464"/>
      <c r="AC533" s="464"/>
      <c r="AD533" s="464"/>
      <c r="AE533" s="464"/>
      <c r="AF533" s="464"/>
      <c r="AG533" s="464"/>
      <c r="AH533" s="465"/>
      <c r="AI533" s="464"/>
    </row>
    <row r="534" customFormat="false" ht="15" hidden="false" customHeight="true" outlineLevel="0" collapsed="false">
      <c r="A534" s="455" t="s">
        <v>1781</v>
      </c>
      <c r="C534" s="456" t="n">
        <v>45525</v>
      </c>
      <c r="D534" s="456"/>
      <c r="E534" s="57" t="n">
        <v>196</v>
      </c>
      <c r="F534" s="323" t="s">
        <v>175</v>
      </c>
      <c r="G534" s="323" t="s">
        <v>10</v>
      </c>
      <c r="H534" s="98" t="n">
        <v>3600</v>
      </c>
      <c r="I534" s="457" t="n">
        <v>38.3</v>
      </c>
      <c r="J534" s="313" t="s">
        <v>1652</v>
      </c>
      <c r="K534" s="98" t="n">
        <f aca="false">I534*H534</f>
        <v>137880</v>
      </c>
      <c r="L534" s="411" t="n">
        <v>37296</v>
      </c>
      <c r="M534" s="392" t="n">
        <f aca="false">L534/K534</f>
        <v>0.270496083550914</v>
      </c>
      <c r="N534" s="466" t="n">
        <f aca="false">I534*M534</f>
        <v>10.36</v>
      </c>
      <c r="O534" s="461" t="n">
        <v>3600</v>
      </c>
      <c r="P534" s="462" t="n">
        <f aca="false">H534-O534</f>
        <v>0</v>
      </c>
      <c r="Q534" s="463" t="n">
        <f aca="false">O534*I534</f>
        <v>137880</v>
      </c>
      <c r="R534" s="48" t="n">
        <f aca="false">K534-Q534</f>
        <v>0</v>
      </c>
      <c r="S534" s="467"/>
      <c r="T534" s="2" t="s">
        <v>1711</v>
      </c>
      <c r="V534" s="464"/>
      <c r="W534" s="464"/>
      <c r="X534" s="464"/>
      <c r="Y534" s="464"/>
      <c r="Z534" s="464"/>
      <c r="AA534" s="464"/>
      <c r="AB534" s="464"/>
      <c r="AC534" s="464"/>
      <c r="AD534" s="464"/>
      <c r="AE534" s="464"/>
      <c r="AF534" s="464"/>
      <c r="AG534" s="464"/>
      <c r="AH534" s="465"/>
      <c r="AI534" s="464"/>
    </row>
    <row r="535" customFormat="false" ht="15" hidden="false" customHeight="true" outlineLevel="0" collapsed="false">
      <c r="A535" s="455" t="s">
        <v>1816</v>
      </c>
      <c r="C535" s="456" t="n">
        <v>45525</v>
      </c>
      <c r="D535" s="456"/>
      <c r="E535" s="57" t="n">
        <v>197</v>
      </c>
      <c r="F535" s="323" t="s">
        <v>175</v>
      </c>
      <c r="G535" s="323" t="s">
        <v>10</v>
      </c>
      <c r="H535" s="98" t="n">
        <v>1500</v>
      </c>
      <c r="I535" s="457" t="n">
        <v>90</v>
      </c>
      <c r="J535" s="313" t="s">
        <v>1653</v>
      </c>
      <c r="K535" s="98" t="n">
        <f aca="false">I535*H535</f>
        <v>135000</v>
      </c>
      <c r="L535" s="411" t="n">
        <v>21195</v>
      </c>
      <c r="M535" s="392" t="n">
        <f aca="false">L535/K535</f>
        <v>0.157</v>
      </c>
      <c r="N535" s="466" t="n">
        <f aca="false">I535*M535</f>
        <v>14.13</v>
      </c>
      <c r="O535" s="461" t="n">
        <v>1500</v>
      </c>
      <c r="P535" s="462" t="n">
        <f aca="false">H535-O535</f>
        <v>0</v>
      </c>
      <c r="Q535" s="463" t="n">
        <f aca="false">O535*I535</f>
        <v>135000</v>
      </c>
      <c r="R535" s="48" t="n">
        <f aca="false">K535-Q535</f>
        <v>0</v>
      </c>
      <c r="S535" s="467"/>
      <c r="T535" s="2" t="s">
        <v>1711</v>
      </c>
      <c r="V535" s="464"/>
      <c r="W535" s="464"/>
      <c r="X535" s="464"/>
      <c r="Y535" s="464"/>
      <c r="Z535" s="464"/>
      <c r="AA535" s="464"/>
      <c r="AB535" s="464"/>
      <c r="AC535" s="464"/>
      <c r="AD535" s="464"/>
      <c r="AE535" s="464"/>
      <c r="AF535" s="464"/>
      <c r="AG535" s="464"/>
      <c r="AH535" s="465"/>
      <c r="AI535" s="464"/>
    </row>
    <row r="536" customFormat="false" ht="15" hidden="false" customHeight="true" outlineLevel="0" collapsed="false">
      <c r="A536" s="455" t="s">
        <v>1751</v>
      </c>
      <c r="C536" s="456" t="n">
        <v>45525</v>
      </c>
      <c r="D536" s="456"/>
      <c r="E536" s="57" t="n">
        <v>198</v>
      </c>
      <c r="F536" s="323" t="s">
        <v>175</v>
      </c>
      <c r="G536" s="323" t="s">
        <v>11</v>
      </c>
      <c r="H536" s="98" t="n">
        <v>105</v>
      </c>
      <c r="I536" s="457" t="n">
        <v>14</v>
      </c>
      <c r="J536" s="313" t="s">
        <v>1651</v>
      </c>
      <c r="K536" s="98" t="n">
        <f aca="false">I536*H536</f>
        <v>1470</v>
      </c>
      <c r="L536" s="411" t="n">
        <v>7350</v>
      </c>
      <c r="M536" s="392" t="n">
        <f aca="false">L536/K536</f>
        <v>5</v>
      </c>
      <c r="N536" s="466" t="n">
        <f aca="false">I536*M536</f>
        <v>70</v>
      </c>
      <c r="O536" s="461" t="n">
        <v>105</v>
      </c>
      <c r="P536" s="462" t="n">
        <f aca="false">H536-O536</f>
        <v>0</v>
      </c>
      <c r="Q536" s="463" t="n">
        <f aca="false">O536*I536</f>
        <v>1470</v>
      </c>
      <c r="R536" s="48" t="n">
        <f aca="false">K536-Q536</f>
        <v>0</v>
      </c>
      <c r="S536" s="467"/>
      <c r="T536" s="2" t="s">
        <v>1711</v>
      </c>
      <c r="V536" s="464"/>
      <c r="W536" s="464"/>
      <c r="X536" s="464"/>
      <c r="Y536" s="464"/>
      <c r="Z536" s="464"/>
      <c r="AA536" s="464"/>
      <c r="AB536" s="464"/>
      <c r="AC536" s="464"/>
      <c r="AD536" s="464"/>
      <c r="AE536" s="464"/>
      <c r="AF536" s="464"/>
      <c r="AG536" s="464"/>
      <c r="AH536" s="465"/>
      <c r="AI536" s="464"/>
    </row>
    <row r="537" customFormat="false" ht="15" hidden="false" customHeight="true" outlineLevel="0" collapsed="false">
      <c r="A537" s="455" t="s">
        <v>1751</v>
      </c>
      <c r="C537" s="456" t="n">
        <v>45525</v>
      </c>
      <c r="D537" s="456"/>
      <c r="E537" s="57" t="n">
        <v>198</v>
      </c>
      <c r="F537" s="323" t="s">
        <v>175</v>
      </c>
      <c r="G537" s="323" t="s">
        <v>10</v>
      </c>
      <c r="H537" s="98" t="n">
        <v>60</v>
      </c>
      <c r="I537" s="457" t="n">
        <v>25.71</v>
      </c>
      <c r="J537" s="313" t="s">
        <v>1651</v>
      </c>
      <c r="K537" s="98" t="n">
        <f aca="false">I537*H537</f>
        <v>1542.6</v>
      </c>
      <c r="L537" s="411" t="n">
        <v>565.2</v>
      </c>
      <c r="M537" s="392" t="n">
        <f aca="false">L537/K537</f>
        <v>0.366394399066511</v>
      </c>
      <c r="N537" s="466" t="n">
        <f aca="false">I537*M537</f>
        <v>9.42</v>
      </c>
      <c r="O537" s="461" t="n">
        <v>60</v>
      </c>
      <c r="P537" s="462" t="n">
        <f aca="false">H537-O537</f>
        <v>0</v>
      </c>
      <c r="Q537" s="463" t="n">
        <f aca="false">O537*I537</f>
        <v>1542.6</v>
      </c>
      <c r="R537" s="48" t="n">
        <f aca="false">K537-Q537</f>
        <v>0</v>
      </c>
      <c r="S537" s="467"/>
      <c r="T537" s="2" t="s">
        <v>1711</v>
      </c>
      <c r="V537" s="464"/>
      <c r="W537" s="464"/>
      <c r="X537" s="464"/>
      <c r="Y537" s="464"/>
      <c r="Z537" s="464"/>
      <c r="AA537" s="464"/>
      <c r="AB537" s="464"/>
      <c r="AC537" s="464"/>
      <c r="AD537" s="464"/>
      <c r="AE537" s="464"/>
      <c r="AF537" s="464"/>
      <c r="AG537" s="464"/>
      <c r="AH537" s="465"/>
      <c r="AI537" s="464"/>
    </row>
    <row r="538" customFormat="false" ht="15" hidden="false" customHeight="true" outlineLevel="0" collapsed="false">
      <c r="A538" s="455" t="s">
        <v>1715</v>
      </c>
      <c r="C538" s="456" t="n">
        <v>45525</v>
      </c>
      <c r="D538" s="456"/>
      <c r="E538" s="323" t="n">
        <v>199</v>
      </c>
      <c r="F538" s="323" t="s">
        <v>175</v>
      </c>
      <c r="G538" s="323" t="s">
        <v>10</v>
      </c>
      <c r="H538" s="98" t="n">
        <v>30</v>
      </c>
      <c r="I538" s="457" t="n">
        <v>38.3</v>
      </c>
      <c r="J538" s="313" t="s">
        <v>1652</v>
      </c>
      <c r="K538" s="98" t="n">
        <f aca="false">I538*H538</f>
        <v>1149</v>
      </c>
      <c r="L538" s="411" t="n">
        <v>362</v>
      </c>
      <c r="M538" s="392" t="n">
        <f aca="false">L538/K538</f>
        <v>0.315056570931245</v>
      </c>
      <c r="N538" s="466" t="n">
        <f aca="false">I538*M538</f>
        <v>12.0666666666667</v>
      </c>
      <c r="O538" s="461" t="n">
        <v>30</v>
      </c>
      <c r="P538" s="462" t="n">
        <f aca="false">H538-O538</f>
        <v>0</v>
      </c>
      <c r="Q538" s="463" t="n">
        <f aca="false">O538*I538</f>
        <v>1149</v>
      </c>
      <c r="R538" s="48" t="n">
        <f aca="false">K538-Q538</f>
        <v>0</v>
      </c>
      <c r="S538" s="467"/>
      <c r="T538" s="2" t="s">
        <v>1711</v>
      </c>
      <c r="V538" s="464"/>
      <c r="W538" s="464"/>
      <c r="X538" s="464"/>
      <c r="Y538" s="464"/>
      <c r="Z538" s="464"/>
      <c r="AA538" s="464"/>
      <c r="AB538" s="464"/>
      <c r="AC538" s="464"/>
      <c r="AD538" s="464"/>
      <c r="AE538" s="464"/>
      <c r="AF538" s="464"/>
      <c r="AG538" s="464"/>
      <c r="AH538" s="465"/>
      <c r="AI538" s="464"/>
    </row>
    <row r="539" customFormat="false" ht="15" hidden="false" customHeight="true" outlineLevel="0" collapsed="false">
      <c r="A539" s="455" t="s">
        <v>1753</v>
      </c>
      <c r="C539" s="456" t="n">
        <v>45526</v>
      </c>
      <c r="D539" s="456"/>
      <c r="E539" s="323" t="n">
        <v>200</v>
      </c>
      <c r="F539" s="323" t="s">
        <v>175</v>
      </c>
      <c r="G539" s="323" t="s">
        <v>15</v>
      </c>
      <c r="H539" s="98" t="n">
        <v>810</v>
      </c>
      <c r="I539" s="457" t="n">
        <v>37.5</v>
      </c>
      <c r="J539" s="313" t="s">
        <v>1652</v>
      </c>
      <c r="K539" s="98" t="n">
        <f aca="false">I539*H539</f>
        <v>30375</v>
      </c>
      <c r="L539" s="411" t="n">
        <v>15309</v>
      </c>
      <c r="M539" s="392" t="n">
        <f aca="false">L539/K539</f>
        <v>0.504</v>
      </c>
      <c r="N539" s="466" t="n">
        <f aca="false">I539*M539</f>
        <v>18.9</v>
      </c>
      <c r="O539" s="461" t="n">
        <v>810</v>
      </c>
      <c r="P539" s="462" t="n">
        <f aca="false">H539-O539</f>
        <v>0</v>
      </c>
      <c r="Q539" s="463" t="n">
        <f aca="false">O539*I539</f>
        <v>30375</v>
      </c>
      <c r="R539" s="48" t="n">
        <f aca="false">K539-Q539</f>
        <v>0</v>
      </c>
      <c r="S539" s="467"/>
      <c r="T539" s="2" t="s">
        <v>1711</v>
      </c>
      <c r="V539" s="464"/>
      <c r="W539" s="464"/>
      <c r="X539" s="464"/>
      <c r="Y539" s="464"/>
      <c r="Z539" s="464"/>
      <c r="AA539" s="464"/>
      <c r="AB539" s="464"/>
      <c r="AC539" s="464"/>
      <c r="AD539" s="464"/>
      <c r="AE539" s="464"/>
      <c r="AF539" s="464"/>
      <c r="AG539" s="464"/>
      <c r="AH539" s="465"/>
      <c r="AI539" s="464"/>
    </row>
    <row r="540" customFormat="false" ht="15" hidden="false" customHeight="true" outlineLevel="0" collapsed="false">
      <c r="A540" s="455" t="s">
        <v>1753</v>
      </c>
      <c r="C540" s="456" t="n">
        <v>45526</v>
      </c>
      <c r="D540" s="456"/>
      <c r="E540" s="323" t="n">
        <v>200</v>
      </c>
      <c r="F540" s="57" t="s">
        <v>175</v>
      </c>
      <c r="G540" s="323" t="s">
        <v>6</v>
      </c>
      <c r="H540" s="98" t="n">
        <v>5010</v>
      </c>
      <c r="I540" s="457" t="n">
        <v>30</v>
      </c>
      <c r="J540" s="313" t="s">
        <v>1651</v>
      </c>
      <c r="K540" s="98" t="n">
        <f aca="false">I540*H540</f>
        <v>150300</v>
      </c>
      <c r="L540" s="411" t="n">
        <v>57114</v>
      </c>
      <c r="M540" s="392" t="n">
        <f aca="false">L540/K540</f>
        <v>0.38</v>
      </c>
      <c r="N540" s="466" t="n">
        <f aca="false">I540*M540</f>
        <v>11.4</v>
      </c>
      <c r="O540" s="461" t="n">
        <v>5010</v>
      </c>
      <c r="P540" s="462" t="n">
        <f aca="false">H540-O540</f>
        <v>0</v>
      </c>
      <c r="Q540" s="463" t="n">
        <f aca="false">O540*I540</f>
        <v>150300</v>
      </c>
      <c r="R540" s="48" t="n">
        <f aca="false">K540-Q540</f>
        <v>0</v>
      </c>
      <c r="S540" s="467"/>
      <c r="T540" s="2" t="s">
        <v>1711</v>
      </c>
      <c r="V540" s="464"/>
      <c r="W540" s="464"/>
      <c r="X540" s="464"/>
      <c r="Y540" s="464"/>
      <c r="Z540" s="464"/>
      <c r="AA540" s="464"/>
      <c r="AB540" s="464"/>
      <c r="AC540" s="464"/>
      <c r="AD540" s="464"/>
      <c r="AE540" s="464"/>
      <c r="AF540" s="464"/>
      <c r="AG540" s="464"/>
      <c r="AH540" s="465"/>
      <c r="AI540" s="464"/>
    </row>
    <row r="541" customFormat="false" ht="15" hidden="false" customHeight="true" outlineLevel="0" collapsed="false">
      <c r="A541" s="455" t="s">
        <v>1753</v>
      </c>
      <c r="C541" s="456" t="n">
        <v>45526</v>
      </c>
      <c r="D541" s="456"/>
      <c r="E541" s="323" t="n">
        <v>200</v>
      </c>
      <c r="F541" s="57" t="s">
        <v>175</v>
      </c>
      <c r="G541" s="323" t="s">
        <v>6</v>
      </c>
      <c r="H541" s="98" t="n">
        <v>810</v>
      </c>
      <c r="I541" s="457" t="n">
        <v>45</v>
      </c>
      <c r="J541" s="313" t="s">
        <v>1652</v>
      </c>
      <c r="K541" s="98" t="n">
        <f aca="false">I541*H541</f>
        <v>36450</v>
      </c>
      <c r="L541" s="411" t="n">
        <v>13689</v>
      </c>
      <c r="M541" s="392" t="n">
        <f aca="false">L541/K541</f>
        <v>0.375555555555556</v>
      </c>
      <c r="N541" s="466" t="n">
        <f aca="false">I541*M541</f>
        <v>16.9</v>
      </c>
      <c r="O541" s="461" t="n">
        <v>810</v>
      </c>
      <c r="P541" s="462" t="n">
        <f aca="false">H541-O541</f>
        <v>0</v>
      </c>
      <c r="Q541" s="463" t="n">
        <f aca="false">O541*I541</f>
        <v>36450</v>
      </c>
      <c r="R541" s="48" t="n">
        <f aca="false">K541-Q541</f>
        <v>0</v>
      </c>
      <c r="S541" s="467"/>
      <c r="T541" s="2" t="s">
        <v>1711</v>
      </c>
      <c r="V541" s="464"/>
      <c r="W541" s="464"/>
      <c r="X541" s="464"/>
      <c r="Y541" s="464"/>
      <c r="Z541" s="464"/>
      <c r="AA541" s="464"/>
      <c r="AB541" s="464"/>
      <c r="AC541" s="464"/>
      <c r="AD541" s="464"/>
      <c r="AE541" s="464"/>
      <c r="AF541" s="464"/>
      <c r="AG541" s="464"/>
      <c r="AH541" s="465"/>
      <c r="AI541" s="464"/>
    </row>
    <row r="542" customFormat="false" ht="15" hidden="false" customHeight="true" outlineLevel="0" collapsed="false">
      <c r="A542" s="455" t="s">
        <v>1817</v>
      </c>
      <c r="C542" s="456" t="n">
        <v>45526</v>
      </c>
      <c r="D542" s="456"/>
      <c r="E542" s="323" t="n">
        <v>201</v>
      </c>
      <c r="F542" s="57" t="s">
        <v>175</v>
      </c>
      <c r="G542" s="323" t="s">
        <v>7</v>
      </c>
      <c r="H542" s="98" t="n">
        <v>420</v>
      </c>
      <c r="I542" s="457" t="n">
        <v>90</v>
      </c>
      <c r="J542" s="313" t="s">
        <v>1653</v>
      </c>
      <c r="K542" s="98" t="n">
        <f aca="false">I542*H542</f>
        <v>37800</v>
      </c>
      <c r="L542" s="411" t="n">
        <v>13650</v>
      </c>
      <c r="M542" s="392" t="n">
        <f aca="false">L542/K542</f>
        <v>0.361111111111111</v>
      </c>
      <c r="N542" s="466" t="n">
        <f aca="false">I542*M542</f>
        <v>32.5</v>
      </c>
      <c r="O542" s="461" t="n">
        <v>420</v>
      </c>
      <c r="P542" s="462" t="n">
        <f aca="false">H542-O542</f>
        <v>0</v>
      </c>
      <c r="Q542" s="463" t="n">
        <f aca="false">O542*I542</f>
        <v>37800</v>
      </c>
      <c r="R542" s="48" t="n">
        <f aca="false">K542-Q542</f>
        <v>0</v>
      </c>
      <c r="S542" s="467"/>
      <c r="T542" s="2" t="s">
        <v>1711</v>
      </c>
      <c r="V542" s="464"/>
      <c r="W542" s="464"/>
      <c r="X542" s="464"/>
      <c r="Y542" s="464"/>
      <c r="Z542" s="464"/>
      <c r="AA542" s="464"/>
      <c r="AB542" s="464"/>
      <c r="AC542" s="464"/>
      <c r="AD542" s="464"/>
      <c r="AE542" s="464"/>
      <c r="AF542" s="464"/>
      <c r="AG542" s="464"/>
      <c r="AH542" s="465"/>
      <c r="AI542" s="464"/>
    </row>
    <row r="543" customFormat="false" ht="15" hidden="false" customHeight="true" outlineLevel="0" collapsed="false">
      <c r="A543" s="455" t="s">
        <v>1817</v>
      </c>
      <c r="C543" s="456" t="n">
        <v>45526</v>
      </c>
      <c r="D543" s="456"/>
      <c r="E543" s="57" t="n">
        <v>201</v>
      </c>
      <c r="F543" s="57" t="s">
        <v>175</v>
      </c>
      <c r="G543" s="323" t="s">
        <v>42</v>
      </c>
      <c r="H543" s="98" t="n">
        <v>420</v>
      </c>
      <c r="I543" s="457" t="n">
        <v>90</v>
      </c>
      <c r="J543" s="313" t="s">
        <v>1653</v>
      </c>
      <c r="K543" s="98" t="n">
        <f aca="false">I543*H543</f>
        <v>37800</v>
      </c>
      <c r="L543" s="411" t="n">
        <v>10920</v>
      </c>
      <c r="M543" s="392" t="n">
        <f aca="false">L543/K543</f>
        <v>0.288888888888889</v>
      </c>
      <c r="N543" s="466" t="n">
        <f aca="false">I543*M543</f>
        <v>26</v>
      </c>
      <c r="O543" s="461" t="n">
        <v>420</v>
      </c>
      <c r="P543" s="462" t="n">
        <f aca="false">H543-O543</f>
        <v>0</v>
      </c>
      <c r="Q543" s="463" t="n">
        <f aca="false">O543*I543</f>
        <v>37800</v>
      </c>
      <c r="R543" s="48" t="n">
        <f aca="false">K543-Q543</f>
        <v>0</v>
      </c>
      <c r="S543" s="467"/>
      <c r="T543" s="2" t="s">
        <v>1711</v>
      </c>
      <c r="V543" s="464"/>
      <c r="W543" s="464"/>
      <c r="X543" s="464"/>
      <c r="Y543" s="464"/>
      <c r="Z543" s="464"/>
      <c r="AA543" s="464"/>
      <c r="AB543" s="464"/>
      <c r="AC543" s="464"/>
      <c r="AD543" s="464"/>
      <c r="AE543" s="464"/>
      <c r="AF543" s="464"/>
      <c r="AG543" s="464"/>
      <c r="AH543" s="465"/>
      <c r="AI543" s="464"/>
    </row>
    <row r="544" customFormat="false" ht="15" hidden="false" customHeight="true" outlineLevel="0" collapsed="false">
      <c r="A544" s="455" t="s">
        <v>1817</v>
      </c>
      <c r="C544" s="456" t="n">
        <v>45526</v>
      </c>
      <c r="D544" s="456"/>
      <c r="E544" s="57" t="n">
        <v>201</v>
      </c>
      <c r="F544" s="57" t="s">
        <v>175</v>
      </c>
      <c r="G544" s="323" t="s">
        <v>5</v>
      </c>
      <c r="H544" s="98" t="n">
        <v>540</v>
      </c>
      <c r="I544" s="457" t="n">
        <v>90</v>
      </c>
      <c r="J544" s="313" t="s">
        <v>1653</v>
      </c>
      <c r="K544" s="98" t="n">
        <f aca="false">I544*H544</f>
        <v>48600</v>
      </c>
      <c r="L544" s="411" t="n">
        <v>14040</v>
      </c>
      <c r="M544" s="392" t="n">
        <f aca="false">L544/K544</f>
        <v>0.288888888888889</v>
      </c>
      <c r="N544" s="466" t="n">
        <f aca="false">I544*M544</f>
        <v>26</v>
      </c>
      <c r="O544" s="461" t="n">
        <v>540</v>
      </c>
      <c r="P544" s="462" t="n">
        <f aca="false">H544-O544</f>
        <v>0</v>
      </c>
      <c r="Q544" s="463" t="n">
        <f aca="false">O544*I544</f>
        <v>48600</v>
      </c>
      <c r="R544" s="48" t="n">
        <f aca="false">K544-Q544</f>
        <v>0</v>
      </c>
      <c r="S544" s="467"/>
      <c r="T544" s="2" t="s">
        <v>1711</v>
      </c>
      <c r="V544" s="464"/>
      <c r="W544" s="464"/>
      <c r="X544" s="464"/>
      <c r="Y544" s="464"/>
      <c r="Z544" s="464"/>
      <c r="AA544" s="464"/>
      <c r="AB544" s="464"/>
      <c r="AC544" s="464"/>
      <c r="AD544" s="464"/>
      <c r="AE544" s="464"/>
      <c r="AF544" s="464"/>
      <c r="AG544" s="464"/>
      <c r="AH544" s="465"/>
      <c r="AI544" s="464"/>
    </row>
    <row r="545" customFormat="false" ht="15" hidden="false" customHeight="true" outlineLevel="0" collapsed="false">
      <c r="A545" s="455" t="s">
        <v>1818</v>
      </c>
      <c r="C545" s="456" t="n">
        <v>45526</v>
      </c>
      <c r="D545" s="456"/>
      <c r="E545" s="57" t="n">
        <v>202</v>
      </c>
      <c r="F545" s="57" t="s">
        <v>175</v>
      </c>
      <c r="G545" s="323" t="s">
        <v>5</v>
      </c>
      <c r="H545" s="98" t="n">
        <v>1110</v>
      </c>
      <c r="I545" s="457" t="n">
        <v>25.71</v>
      </c>
      <c r="J545" s="313" t="s">
        <v>1651</v>
      </c>
      <c r="K545" s="98" t="n">
        <f aca="false">I545*H545</f>
        <v>28538.1</v>
      </c>
      <c r="L545" s="411" t="n">
        <v>16524.94</v>
      </c>
      <c r="M545" s="392" t="n">
        <f aca="false">L545/K545</f>
        <v>0.579048359911837</v>
      </c>
      <c r="N545" s="466" t="n">
        <f aca="false">I545*M545</f>
        <v>14.8873333333333</v>
      </c>
      <c r="O545" s="461" t="n">
        <v>1110</v>
      </c>
      <c r="P545" s="462" t="n">
        <f aca="false">H545-O545</f>
        <v>0</v>
      </c>
      <c r="Q545" s="463" t="n">
        <f aca="false">O545*I545</f>
        <v>28538.1</v>
      </c>
      <c r="R545" s="48" t="n">
        <f aca="false">K545-Q545</f>
        <v>0</v>
      </c>
      <c r="S545" s="467"/>
      <c r="T545" s="2" t="s">
        <v>1711</v>
      </c>
      <c r="V545" s="464"/>
      <c r="W545" s="464"/>
      <c r="X545" s="464"/>
      <c r="Y545" s="464"/>
      <c r="Z545" s="464"/>
      <c r="AA545" s="464"/>
      <c r="AB545" s="464"/>
      <c r="AC545" s="464"/>
      <c r="AD545" s="464"/>
      <c r="AE545" s="464"/>
      <c r="AF545" s="464"/>
      <c r="AG545" s="464"/>
      <c r="AH545" s="465"/>
      <c r="AI545" s="464"/>
    </row>
    <row r="546" customFormat="false" ht="15" hidden="false" customHeight="true" outlineLevel="0" collapsed="false">
      <c r="A546" s="455" t="s">
        <v>1818</v>
      </c>
      <c r="C546" s="456" t="n">
        <v>45526</v>
      </c>
      <c r="D546" s="456"/>
      <c r="E546" s="57" t="n">
        <v>202</v>
      </c>
      <c r="F546" s="323" t="s">
        <v>175</v>
      </c>
      <c r="G546" s="323" t="s">
        <v>42</v>
      </c>
      <c r="H546" s="98" t="n">
        <v>360</v>
      </c>
      <c r="I546" s="457" t="n">
        <v>30</v>
      </c>
      <c r="J546" s="313" t="s">
        <v>1651</v>
      </c>
      <c r="K546" s="98" t="n">
        <f aca="false">I546*H546</f>
        <v>10800</v>
      </c>
      <c r="L546" s="411" t="n">
        <v>6145.2</v>
      </c>
      <c r="M546" s="392" t="n">
        <f aca="false">L546/K546</f>
        <v>0.569</v>
      </c>
      <c r="N546" s="466" t="n">
        <f aca="false">I546*M546</f>
        <v>17.07</v>
      </c>
      <c r="O546" s="461" t="n">
        <v>360</v>
      </c>
      <c r="P546" s="462" t="n">
        <f aca="false">H546-O546</f>
        <v>0</v>
      </c>
      <c r="Q546" s="463" t="n">
        <f aca="false">O546*I546</f>
        <v>10800</v>
      </c>
      <c r="R546" s="48" t="n">
        <f aca="false">K546-Q546</f>
        <v>0</v>
      </c>
      <c r="S546" s="467"/>
      <c r="T546" s="2" t="s">
        <v>1711</v>
      </c>
      <c r="V546" s="464"/>
      <c r="W546" s="464"/>
      <c r="X546" s="464"/>
      <c r="Y546" s="464"/>
      <c r="Z546" s="464"/>
      <c r="AA546" s="464"/>
      <c r="AB546" s="464"/>
      <c r="AC546" s="464"/>
      <c r="AD546" s="464"/>
      <c r="AE546" s="464"/>
      <c r="AF546" s="464"/>
      <c r="AG546" s="464"/>
      <c r="AH546" s="465"/>
      <c r="AI546" s="464"/>
    </row>
    <row r="547" customFormat="false" ht="15" hidden="false" customHeight="true" outlineLevel="0" collapsed="false">
      <c r="A547" s="455" t="s">
        <v>1818</v>
      </c>
      <c r="C547" s="456" t="n">
        <v>45526</v>
      </c>
      <c r="D547" s="456"/>
      <c r="E547" s="57" t="n">
        <v>202</v>
      </c>
      <c r="F547" s="323" t="s">
        <v>175</v>
      </c>
      <c r="G547" s="323" t="s">
        <v>7</v>
      </c>
      <c r="H547" s="98" t="n">
        <v>30</v>
      </c>
      <c r="I547" s="457" t="n">
        <v>25.71</v>
      </c>
      <c r="J547" s="313" t="s">
        <v>1651</v>
      </c>
      <c r="K547" s="98" t="n">
        <f aca="false">I547*H547</f>
        <v>771.3</v>
      </c>
      <c r="L547" s="411" t="n">
        <v>553.04</v>
      </c>
      <c r="M547" s="392" t="n">
        <f aca="false">L547/K547</f>
        <v>0.717023207571632</v>
      </c>
      <c r="N547" s="466" t="n">
        <f aca="false">I547*M547</f>
        <v>18.4346666666667</v>
      </c>
      <c r="O547" s="461" t="n">
        <v>30</v>
      </c>
      <c r="P547" s="462" t="n">
        <f aca="false">H547-O547</f>
        <v>0</v>
      </c>
      <c r="Q547" s="463" t="n">
        <f aca="false">O547*I547</f>
        <v>771.3</v>
      </c>
      <c r="R547" s="48" t="n">
        <f aca="false">K547-Q547</f>
        <v>0</v>
      </c>
      <c r="S547" s="467"/>
      <c r="T547" s="2" t="s">
        <v>1711</v>
      </c>
      <c r="V547" s="464"/>
      <c r="W547" s="464"/>
      <c r="X547" s="464"/>
      <c r="Y547" s="464"/>
      <c r="Z547" s="464"/>
      <c r="AA547" s="464"/>
      <c r="AB547" s="464"/>
      <c r="AC547" s="464"/>
      <c r="AD547" s="464"/>
      <c r="AE547" s="464"/>
      <c r="AF547" s="464"/>
      <c r="AG547" s="464"/>
      <c r="AH547" s="465"/>
      <c r="AI547" s="464"/>
    </row>
    <row r="548" customFormat="false" ht="15" hidden="false" customHeight="true" outlineLevel="0" collapsed="false">
      <c r="A548" s="455" t="s">
        <v>1818</v>
      </c>
      <c r="C548" s="456" t="n">
        <v>45526</v>
      </c>
      <c r="D548" s="456"/>
      <c r="E548" s="57" t="n">
        <v>202</v>
      </c>
      <c r="F548" s="323" t="s">
        <v>175</v>
      </c>
      <c r="G548" s="323" t="s">
        <v>18</v>
      </c>
      <c r="H548" s="98" t="n">
        <v>300</v>
      </c>
      <c r="I548" s="457" t="n">
        <v>25.71</v>
      </c>
      <c r="J548" s="313" t="s">
        <v>1651</v>
      </c>
      <c r="K548" s="98" t="n">
        <f aca="false">I548*H548</f>
        <v>7713</v>
      </c>
      <c r="L548" s="411" t="n">
        <v>5775.8</v>
      </c>
      <c r="M548" s="392" t="n">
        <f aca="false">L548/K548</f>
        <v>0.748839621418385</v>
      </c>
      <c r="N548" s="466" t="n">
        <f aca="false">I548*M548</f>
        <v>19.2526666666667</v>
      </c>
      <c r="O548" s="461" t="n">
        <v>300</v>
      </c>
      <c r="P548" s="462" t="n">
        <f aca="false">H548-O548</f>
        <v>0</v>
      </c>
      <c r="Q548" s="463" t="n">
        <f aca="false">O548*I548</f>
        <v>7713</v>
      </c>
      <c r="R548" s="48" t="n">
        <f aca="false">K548-Q548</f>
        <v>0</v>
      </c>
      <c r="S548" s="467"/>
      <c r="T548" s="2" t="s">
        <v>1711</v>
      </c>
      <c r="V548" s="464"/>
      <c r="W548" s="464"/>
      <c r="X548" s="464"/>
      <c r="Y548" s="464"/>
      <c r="Z548" s="464"/>
      <c r="AA548" s="464"/>
      <c r="AB548" s="464"/>
      <c r="AC548" s="464"/>
      <c r="AD548" s="464"/>
      <c r="AE548" s="464"/>
      <c r="AF548" s="464"/>
      <c r="AG548" s="464"/>
      <c r="AH548" s="465"/>
      <c r="AI548" s="464"/>
    </row>
    <row r="549" customFormat="false" ht="15" hidden="false" customHeight="true" outlineLevel="0" collapsed="false">
      <c r="A549" s="455" t="s">
        <v>1796</v>
      </c>
      <c r="C549" s="456" t="n">
        <v>45526</v>
      </c>
      <c r="D549" s="456"/>
      <c r="E549" s="57" t="n">
        <v>204</v>
      </c>
      <c r="F549" s="323" t="s">
        <v>175</v>
      </c>
      <c r="G549" s="323" t="s">
        <v>5</v>
      </c>
      <c r="H549" s="98" t="n">
        <v>13125</v>
      </c>
      <c r="I549" s="457" t="n">
        <v>25.71</v>
      </c>
      <c r="J549" s="313" t="s">
        <v>1651</v>
      </c>
      <c r="K549" s="98" t="n">
        <f aca="false">I549*H549</f>
        <v>337443.75</v>
      </c>
      <c r="L549" s="411" t="n">
        <v>149805.89</v>
      </c>
      <c r="M549" s="392" t="n">
        <f aca="false">L549/K549</f>
        <v>0.443943294252746</v>
      </c>
      <c r="N549" s="466" t="n">
        <f aca="false">I549*M549</f>
        <v>11.4137820952381</v>
      </c>
      <c r="O549" s="461" t="n">
        <v>12735</v>
      </c>
      <c r="P549" s="468" t="n">
        <f aca="false">H549-O549</f>
        <v>390</v>
      </c>
      <c r="Q549" s="463" t="n">
        <f aca="false">O549*I549</f>
        <v>327416.85</v>
      </c>
      <c r="R549" s="48" t="n">
        <f aca="false">K549-Q549</f>
        <v>10026.9</v>
      </c>
      <c r="S549" s="467" t="n">
        <v>45566</v>
      </c>
      <c r="T549" s="2" t="s">
        <v>1797</v>
      </c>
      <c r="V549" s="464"/>
      <c r="W549" s="464"/>
      <c r="X549" s="464"/>
      <c r="Y549" s="464"/>
      <c r="Z549" s="464"/>
      <c r="AA549" s="464"/>
      <c r="AB549" s="464"/>
      <c r="AC549" s="464"/>
      <c r="AD549" s="464"/>
      <c r="AE549" s="464"/>
      <c r="AF549" s="464"/>
      <c r="AG549" s="464"/>
      <c r="AH549" s="465"/>
      <c r="AI549" s="464"/>
    </row>
    <row r="550" customFormat="false" ht="15" hidden="false" customHeight="true" outlineLevel="0" collapsed="false">
      <c r="A550" s="455" t="s">
        <v>1819</v>
      </c>
      <c r="C550" s="456" t="n">
        <v>45527</v>
      </c>
      <c r="D550" s="456"/>
      <c r="E550" s="57" t="n">
        <v>205</v>
      </c>
      <c r="F550" s="323" t="s">
        <v>175</v>
      </c>
      <c r="G550" s="323" t="s">
        <v>5</v>
      </c>
      <c r="H550" s="98" t="n">
        <v>230</v>
      </c>
      <c r="I550" s="457" t="n">
        <v>25.71</v>
      </c>
      <c r="J550" s="313" t="s">
        <v>1651</v>
      </c>
      <c r="K550" s="98" t="n">
        <f aca="false">I550*H550</f>
        <v>5913.3</v>
      </c>
      <c r="L550" s="411" t="n">
        <v>2530</v>
      </c>
      <c r="M550" s="392" t="n">
        <f aca="false">L550/K550</f>
        <v>0.427849085958771</v>
      </c>
      <c r="N550" s="466" t="n">
        <f aca="false">I550*M550</f>
        <v>11</v>
      </c>
      <c r="O550" s="461" t="n">
        <v>230</v>
      </c>
      <c r="P550" s="462" t="n">
        <f aca="false">H550-O550</f>
        <v>0</v>
      </c>
      <c r="Q550" s="463" t="n">
        <f aca="false">O550*I550</f>
        <v>5913.3</v>
      </c>
      <c r="R550" s="48" t="n">
        <f aca="false">K550-Q550</f>
        <v>0</v>
      </c>
      <c r="S550" s="467"/>
      <c r="T550" s="2" t="s">
        <v>1711</v>
      </c>
      <c r="V550" s="464"/>
      <c r="W550" s="464"/>
      <c r="X550" s="464"/>
      <c r="Y550" s="464"/>
      <c r="Z550" s="464"/>
      <c r="AA550" s="464"/>
      <c r="AB550" s="464"/>
      <c r="AC550" s="464"/>
      <c r="AD550" s="464"/>
      <c r="AE550" s="464"/>
      <c r="AF550" s="464"/>
      <c r="AG550" s="464"/>
      <c r="AH550" s="465"/>
      <c r="AI550" s="464"/>
    </row>
    <row r="551" customFormat="false" ht="15" hidden="false" customHeight="true" outlineLevel="0" collapsed="false">
      <c r="A551" s="455" t="s">
        <v>1819</v>
      </c>
      <c r="C551" s="456" t="n">
        <v>45527</v>
      </c>
      <c r="D551" s="456"/>
      <c r="E551" s="57" t="n">
        <v>205</v>
      </c>
      <c r="F551" s="323" t="s">
        <v>175</v>
      </c>
      <c r="G551" s="323" t="s">
        <v>42</v>
      </c>
      <c r="H551" s="98" t="n">
        <v>200</v>
      </c>
      <c r="I551" s="457" t="n">
        <v>30</v>
      </c>
      <c r="J551" s="313" t="s">
        <v>1651</v>
      </c>
      <c r="K551" s="98" t="n">
        <f aca="false">I551*H551</f>
        <v>6000</v>
      </c>
      <c r="L551" s="411" t="n">
        <v>2700</v>
      </c>
      <c r="M551" s="392" t="n">
        <f aca="false">L551/K551</f>
        <v>0.45</v>
      </c>
      <c r="N551" s="466" t="n">
        <f aca="false">I551*M551</f>
        <v>13.5</v>
      </c>
      <c r="O551" s="461" t="n">
        <v>200</v>
      </c>
      <c r="P551" s="462" t="n">
        <f aca="false">H551-O551</f>
        <v>0</v>
      </c>
      <c r="Q551" s="463" t="n">
        <f aca="false">O551*I551</f>
        <v>6000</v>
      </c>
      <c r="R551" s="48" t="n">
        <f aca="false">K551-Q551</f>
        <v>0</v>
      </c>
      <c r="S551" s="467"/>
      <c r="T551" s="2" t="s">
        <v>1711</v>
      </c>
      <c r="V551" s="464"/>
      <c r="W551" s="464"/>
      <c r="X551" s="464"/>
      <c r="Y551" s="464"/>
      <c r="Z551" s="464"/>
      <c r="AA551" s="464"/>
      <c r="AB551" s="464"/>
      <c r="AC551" s="464"/>
      <c r="AD551" s="464"/>
      <c r="AE551" s="464"/>
      <c r="AF551" s="464"/>
      <c r="AG551" s="464"/>
      <c r="AH551" s="465"/>
      <c r="AI551" s="464"/>
    </row>
    <row r="552" customFormat="false" ht="15" hidden="false" customHeight="true" outlineLevel="0" collapsed="false">
      <c r="A552" s="455" t="s">
        <v>1819</v>
      </c>
      <c r="C552" s="456" t="n">
        <v>45527</v>
      </c>
      <c r="D552" s="456"/>
      <c r="E552" s="57" t="n">
        <v>205</v>
      </c>
      <c r="F552" s="323" t="s">
        <v>175</v>
      </c>
      <c r="G552" s="323" t="s">
        <v>13</v>
      </c>
      <c r="H552" s="98" t="n">
        <v>45</v>
      </c>
      <c r="I552" s="457" t="n">
        <v>22.5</v>
      </c>
      <c r="J552" s="313" t="s">
        <v>1651</v>
      </c>
      <c r="K552" s="98" t="n">
        <f aca="false">I552*H552</f>
        <v>1012.5</v>
      </c>
      <c r="L552" s="411" t="n">
        <v>517.5</v>
      </c>
      <c r="M552" s="392" t="n">
        <f aca="false">L552/K552</f>
        <v>0.511111111111111</v>
      </c>
      <c r="N552" s="466" t="n">
        <f aca="false">I552*M552</f>
        <v>11.5</v>
      </c>
      <c r="O552" s="461" t="n">
        <v>45</v>
      </c>
      <c r="P552" s="462" t="n">
        <f aca="false">H552-O552</f>
        <v>0</v>
      </c>
      <c r="Q552" s="463" t="n">
        <f aca="false">O552*I552</f>
        <v>1012.5</v>
      </c>
      <c r="R552" s="48" t="n">
        <f aca="false">K552-Q552</f>
        <v>0</v>
      </c>
      <c r="S552" s="467"/>
      <c r="T552" s="2" t="s">
        <v>1711</v>
      </c>
      <c r="V552" s="464"/>
      <c r="W552" s="464"/>
      <c r="X552" s="464"/>
      <c r="Y552" s="464"/>
      <c r="Z552" s="464"/>
      <c r="AA552" s="464"/>
      <c r="AB552" s="464"/>
      <c r="AC552" s="464"/>
      <c r="AD552" s="464"/>
      <c r="AE552" s="464"/>
      <c r="AF552" s="464"/>
      <c r="AG552" s="464"/>
      <c r="AH552" s="465"/>
      <c r="AI552" s="464"/>
    </row>
    <row r="553" customFormat="false" ht="15" hidden="false" customHeight="true" outlineLevel="0" collapsed="false">
      <c r="A553" s="455" t="s">
        <v>1819</v>
      </c>
      <c r="C553" s="456" t="n">
        <v>45527</v>
      </c>
      <c r="D553" s="456"/>
      <c r="E553" s="57" t="n">
        <v>206</v>
      </c>
      <c r="F553" s="323" t="s">
        <v>175</v>
      </c>
      <c r="G553" s="323" t="s">
        <v>42</v>
      </c>
      <c r="H553" s="98" t="n">
        <v>620</v>
      </c>
      <c r="I553" s="457" t="n">
        <v>30</v>
      </c>
      <c r="J553" s="313" t="s">
        <v>1651</v>
      </c>
      <c r="K553" s="98" t="n">
        <f aca="false">I553*H553</f>
        <v>18600</v>
      </c>
      <c r="L553" s="411" t="n">
        <v>11160</v>
      </c>
      <c r="M553" s="392" t="n">
        <f aca="false">L553/K553</f>
        <v>0.6</v>
      </c>
      <c r="N553" s="466" t="n">
        <f aca="false">I553*M553</f>
        <v>18</v>
      </c>
      <c r="O553" s="461" t="n">
        <v>620</v>
      </c>
      <c r="P553" s="462" t="n">
        <f aca="false">H553-O553</f>
        <v>0</v>
      </c>
      <c r="Q553" s="463" t="n">
        <f aca="false">O553*I553</f>
        <v>18600</v>
      </c>
      <c r="R553" s="48" t="n">
        <f aca="false">K553-Q553</f>
        <v>0</v>
      </c>
      <c r="S553" s="467"/>
      <c r="T553" s="2" t="s">
        <v>1711</v>
      </c>
      <c r="V553" s="464"/>
      <c r="W553" s="464"/>
      <c r="X553" s="464"/>
      <c r="Y553" s="464"/>
      <c r="Z553" s="464"/>
      <c r="AA553" s="464"/>
      <c r="AB553" s="464"/>
      <c r="AC553" s="464"/>
      <c r="AD553" s="464"/>
      <c r="AE553" s="464"/>
      <c r="AF553" s="464"/>
      <c r="AG553" s="464"/>
      <c r="AH553" s="465"/>
      <c r="AI553" s="464"/>
    </row>
    <row r="554" customFormat="false" ht="15" hidden="false" customHeight="true" outlineLevel="0" collapsed="false">
      <c r="A554" s="455" t="s">
        <v>1819</v>
      </c>
      <c r="C554" s="456" t="n">
        <v>45527</v>
      </c>
      <c r="D554" s="456"/>
      <c r="E554" s="323" t="n">
        <v>207</v>
      </c>
      <c r="F554" s="323" t="s">
        <v>175</v>
      </c>
      <c r="G554" s="323" t="s">
        <v>42</v>
      </c>
      <c r="H554" s="98" t="n">
        <v>450</v>
      </c>
      <c r="I554" s="457" t="n">
        <v>30</v>
      </c>
      <c r="J554" s="313" t="s">
        <v>1651</v>
      </c>
      <c r="K554" s="98" t="n">
        <f aca="false">I554*H554</f>
        <v>13500</v>
      </c>
      <c r="L554" s="411" t="n">
        <v>6075</v>
      </c>
      <c r="M554" s="392" t="n">
        <f aca="false">L554/K554</f>
        <v>0.45</v>
      </c>
      <c r="N554" s="466" t="n">
        <f aca="false">I554*M554</f>
        <v>13.5</v>
      </c>
      <c r="O554" s="461" t="n">
        <v>450</v>
      </c>
      <c r="P554" s="462" t="n">
        <f aca="false">H554-O554</f>
        <v>0</v>
      </c>
      <c r="Q554" s="463" t="n">
        <f aca="false">O554*I554</f>
        <v>13500</v>
      </c>
      <c r="R554" s="48" t="n">
        <f aca="false">K554-Q554</f>
        <v>0</v>
      </c>
      <c r="S554" s="467"/>
      <c r="T554" s="2" t="s">
        <v>1711</v>
      </c>
      <c r="V554" s="464"/>
      <c r="W554" s="464"/>
      <c r="X554" s="464"/>
      <c r="Y554" s="464"/>
      <c r="Z554" s="464"/>
      <c r="AA554" s="464"/>
      <c r="AB554" s="464"/>
      <c r="AC554" s="464"/>
      <c r="AD554" s="464"/>
      <c r="AE554" s="464"/>
      <c r="AF554" s="464"/>
      <c r="AG554" s="464"/>
      <c r="AH554" s="465"/>
      <c r="AI554" s="464"/>
    </row>
    <row r="555" customFormat="false" ht="15" hidden="false" customHeight="true" outlineLevel="0" collapsed="false">
      <c r="A555" s="455" t="s">
        <v>1819</v>
      </c>
      <c r="C555" s="456" t="n">
        <v>45527</v>
      </c>
      <c r="D555" s="456"/>
      <c r="E555" s="323" t="n">
        <v>208</v>
      </c>
      <c r="F555" s="323" t="s">
        <v>175</v>
      </c>
      <c r="G555" s="323" t="s">
        <v>5</v>
      </c>
      <c r="H555" s="98" t="n">
        <v>920</v>
      </c>
      <c r="I555" s="457" t="n">
        <v>25.71</v>
      </c>
      <c r="J555" s="313" t="s">
        <v>1651</v>
      </c>
      <c r="K555" s="98" t="n">
        <f aca="false">I555*H555</f>
        <v>23653.2</v>
      </c>
      <c r="L555" s="411" t="n">
        <v>10120</v>
      </c>
      <c r="M555" s="392" t="n">
        <f aca="false">L555/K555</f>
        <v>0.427849085958771</v>
      </c>
      <c r="N555" s="466" t="n">
        <f aca="false">I555*M555</f>
        <v>11</v>
      </c>
      <c r="O555" s="461" t="n">
        <v>920</v>
      </c>
      <c r="P555" s="462" t="n">
        <f aca="false">H555-O555</f>
        <v>0</v>
      </c>
      <c r="Q555" s="463" t="n">
        <f aca="false">O555*I555</f>
        <v>23653.2</v>
      </c>
      <c r="R555" s="48" t="n">
        <f aca="false">K555-Q555</f>
        <v>0</v>
      </c>
      <c r="S555" s="467"/>
      <c r="T555" s="2" t="s">
        <v>1711</v>
      </c>
      <c r="V555" s="464"/>
      <c r="W555" s="464"/>
      <c r="X555" s="464"/>
      <c r="Y555" s="464"/>
      <c r="Z555" s="464"/>
      <c r="AA555" s="464"/>
      <c r="AB555" s="464"/>
      <c r="AC555" s="464"/>
      <c r="AD555" s="464"/>
      <c r="AE555" s="464"/>
      <c r="AF555" s="464"/>
      <c r="AG555" s="464"/>
      <c r="AH555" s="465"/>
      <c r="AI555" s="464"/>
    </row>
    <row r="556" customFormat="false" ht="15" hidden="false" customHeight="true" outlineLevel="0" collapsed="false">
      <c r="A556" s="455" t="s">
        <v>1820</v>
      </c>
      <c r="C556" s="456" t="n">
        <v>45527</v>
      </c>
      <c r="D556" s="456"/>
      <c r="E556" s="323" t="n">
        <v>209</v>
      </c>
      <c r="F556" s="323" t="s">
        <v>175</v>
      </c>
      <c r="G556" s="323" t="s">
        <v>10</v>
      </c>
      <c r="H556" s="98" t="n">
        <v>30</v>
      </c>
      <c r="I556" s="457" t="n">
        <v>90</v>
      </c>
      <c r="J556" s="313" t="s">
        <v>1653</v>
      </c>
      <c r="K556" s="98" t="n">
        <f aca="false">I556*H556</f>
        <v>2700</v>
      </c>
      <c r="L556" s="411" t="n">
        <v>295.36</v>
      </c>
      <c r="M556" s="392" t="n">
        <f aca="false">L556/K556</f>
        <v>0.109392592592593</v>
      </c>
      <c r="N556" s="466" t="n">
        <f aca="false">I556*M556</f>
        <v>9.84533333333333</v>
      </c>
      <c r="O556" s="461" t="n">
        <v>30</v>
      </c>
      <c r="P556" s="462" t="n">
        <f aca="false">H556-O556</f>
        <v>0</v>
      </c>
      <c r="Q556" s="463" t="n">
        <f aca="false">O556*I556</f>
        <v>2700</v>
      </c>
      <c r="R556" s="48" t="n">
        <f aca="false">K556-Q556</f>
        <v>0</v>
      </c>
      <c r="S556" s="467"/>
      <c r="T556" s="2" t="s">
        <v>1711</v>
      </c>
      <c r="V556" s="464"/>
      <c r="W556" s="464"/>
      <c r="X556" s="464"/>
      <c r="Y556" s="464"/>
      <c r="Z556" s="464"/>
      <c r="AA556" s="464"/>
      <c r="AB556" s="464"/>
      <c r="AC556" s="464"/>
      <c r="AD556" s="464"/>
      <c r="AE556" s="464"/>
      <c r="AF556" s="464"/>
      <c r="AG556" s="464"/>
      <c r="AH556" s="465"/>
      <c r="AI556" s="464"/>
    </row>
    <row r="557" customFormat="false" ht="15" hidden="false" customHeight="true" outlineLevel="0" collapsed="false">
      <c r="A557" s="455" t="s">
        <v>1758</v>
      </c>
      <c r="C557" s="456" t="n">
        <v>45527</v>
      </c>
      <c r="D557" s="456"/>
      <c r="E557" s="323" t="n">
        <v>210</v>
      </c>
      <c r="F557" s="323" t="s">
        <v>175</v>
      </c>
      <c r="G557" s="323" t="s">
        <v>42</v>
      </c>
      <c r="H557" s="98" t="n">
        <v>90</v>
      </c>
      <c r="I557" s="457" t="n">
        <v>30</v>
      </c>
      <c r="J557" s="313" t="s">
        <v>1651</v>
      </c>
      <c r="K557" s="98" t="n">
        <f aca="false">I557*H557</f>
        <v>2700</v>
      </c>
      <c r="L557" s="411" t="n">
        <v>1215</v>
      </c>
      <c r="M557" s="392" t="n">
        <f aca="false">L557/K557</f>
        <v>0.45</v>
      </c>
      <c r="N557" s="466" t="n">
        <f aca="false">I557*M557</f>
        <v>13.5</v>
      </c>
      <c r="O557" s="461" t="n">
        <v>90</v>
      </c>
      <c r="P557" s="462" t="n">
        <f aca="false">H557-O557</f>
        <v>0</v>
      </c>
      <c r="Q557" s="463" t="n">
        <f aca="false">O557*I557</f>
        <v>2700</v>
      </c>
      <c r="R557" s="48" t="n">
        <f aca="false">K557-Q557</f>
        <v>0</v>
      </c>
      <c r="S557" s="467"/>
      <c r="T557" s="2" t="s">
        <v>1711</v>
      </c>
      <c r="V557" s="464"/>
      <c r="W557" s="464"/>
      <c r="X557" s="464"/>
      <c r="Y557" s="464"/>
      <c r="Z557" s="464"/>
      <c r="AA557" s="464"/>
      <c r="AB557" s="464"/>
      <c r="AC557" s="464"/>
      <c r="AD557" s="464"/>
      <c r="AE557" s="464"/>
      <c r="AF557" s="464"/>
      <c r="AG557" s="464"/>
      <c r="AH557" s="465"/>
      <c r="AI557" s="464"/>
    </row>
    <row r="558" customFormat="false" ht="15" hidden="false" customHeight="true" outlineLevel="0" collapsed="false">
      <c r="A558" s="455" t="s">
        <v>1758</v>
      </c>
      <c r="C558" s="456" t="n">
        <v>45527</v>
      </c>
      <c r="D558" s="456"/>
      <c r="E558" s="323" t="n">
        <v>210</v>
      </c>
      <c r="F558" s="323" t="s">
        <v>175</v>
      </c>
      <c r="G558" s="323" t="s">
        <v>10</v>
      </c>
      <c r="H558" s="98" t="n">
        <v>990</v>
      </c>
      <c r="I558" s="457" t="n">
        <v>25.71</v>
      </c>
      <c r="J558" s="313" t="s">
        <v>1651</v>
      </c>
      <c r="K558" s="98" t="n">
        <f aca="false">I558*H558</f>
        <v>25452.9</v>
      </c>
      <c r="L558" s="411" t="n">
        <v>7920</v>
      </c>
      <c r="M558" s="392" t="n">
        <f aca="false">L558/K558</f>
        <v>0.311162971606379</v>
      </c>
      <c r="N558" s="466" t="n">
        <f aca="false">I558*M558</f>
        <v>8</v>
      </c>
      <c r="O558" s="461" t="n">
        <v>990</v>
      </c>
      <c r="P558" s="462" t="n">
        <f aca="false">H558-O558</f>
        <v>0</v>
      </c>
      <c r="Q558" s="463" t="n">
        <f aca="false">O558*I558</f>
        <v>25452.9</v>
      </c>
      <c r="R558" s="48" t="n">
        <f aca="false">K558-Q558</f>
        <v>0</v>
      </c>
      <c r="S558" s="467"/>
      <c r="T558" s="2" t="s">
        <v>1711</v>
      </c>
      <c r="V558" s="464"/>
      <c r="W558" s="464"/>
      <c r="X558" s="464"/>
      <c r="Y558" s="464"/>
      <c r="Z558" s="464"/>
      <c r="AA558" s="464"/>
      <c r="AB558" s="464"/>
      <c r="AC558" s="464"/>
      <c r="AD558" s="464"/>
      <c r="AE558" s="464"/>
      <c r="AF558" s="464"/>
      <c r="AG558" s="464"/>
      <c r="AH558" s="465"/>
      <c r="AI558" s="464"/>
    </row>
    <row r="559" customFormat="false" ht="15" hidden="false" customHeight="true" outlineLevel="0" collapsed="false">
      <c r="A559" s="455" t="s">
        <v>1758</v>
      </c>
      <c r="C559" s="456" t="n">
        <v>45527</v>
      </c>
      <c r="D559" s="456"/>
      <c r="E559" s="57" t="n">
        <v>211</v>
      </c>
      <c r="F559" s="323" t="s">
        <v>175</v>
      </c>
      <c r="G559" s="323" t="s">
        <v>16</v>
      </c>
      <c r="H559" s="98" t="n">
        <v>90</v>
      </c>
      <c r="I559" s="457" t="n">
        <v>22.5</v>
      </c>
      <c r="J559" s="313" t="s">
        <v>1651</v>
      </c>
      <c r="K559" s="98" t="n">
        <f aca="false">I559*H559</f>
        <v>2025</v>
      </c>
      <c r="L559" s="411" t="n">
        <v>1620</v>
      </c>
      <c r="M559" s="392" t="n">
        <f aca="false">L559/K559</f>
        <v>0.8</v>
      </c>
      <c r="N559" s="466" t="n">
        <f aca="false">I559*M559</f>
        <v>18</v>
      </c>
      <c r="O559" s="461" t="n">
        <v>90</v>
      </c>
      <c r="P559" s="462" t="n">
        <f aca="false">H559-O559</f>
        <v>0</v>
      </c>
      <c r="Q559" s="463" t="n">
        <f aca="false">O559*I559</f>
        <v>2025</v>
      </c>
      <c r="R559" s="48" t="n">
        <f aca="false">K559-Q559</f>
        <v>0</v>
      </c>
      <c r="S559" s="467"/>
      <c r="T559" s="2" t="s">
        <v>1711</v>
      </c>
      <c r="V559" s="464"/>
      <c r="W559" s="464"/>
      <c r="X559" s="464"/>
      <c r="Y559" s="464"/>
      <c r="Z559" s="464"/>
      <c r="AA559" s="464"/>
      <c r="AB559" s="464"/>
      <c r="AC559" s="464"/>
      <c r="AD559" s="464"/>
      <c r="AE559" s="464"/>
      <c r="AF559" s="464"/>
      <c r="AG559" s="464"/>
      <c r="AH559" s="465"/>
      <c r="AI559" s="464"/>
    </row>
    <row r="560" customFormat="false" ht="15" hidden="false" customHeight="true" outlineLevel="0" collapsed="false">
      <c r="A560" s="455" t="s">
        <v>1821</v>
      </c>
      <c r="C560" s="456" t="n">
        <v>45527</v>
      </c>
      <c r="D560" s="456"/>
      <c r="E560" s="57" t="n">
        <v>239</v>
      </c>
      <c r="F560" s="323" t="s">
        <v>175</v>
      </c>
      <c r="G560" s="323" t="s">
        <v>10</v>
      </c>
      <c r="H560" s="98" t="n">
        <v>36000</v>
      </c>
      <c r="I560" s="457" t="n">
        <v>90</v>
      </c>
      <c r="J560" s="313" t="s">
        <v>1653</v>
      </c>
      <c r="K560" s="98" t="n">
        <f aca="false">I560*H560</f>
        <v>3240000</v>
      </c>
      <c r="L560" s="411" t="n">
        <v>540000</v>
      </c>
      <c r="M560" s="392" t="n">
        <f aca="false">L560/K560</f>
        <v>0.166666666666667</v>
      </c>
      <c r="N560" s="466" t="n">
        <f aca="false">I560*M560</f>
        <v>15</v>
      </c>
      <c r="O560" s="461" t="n">
        <v>36000</v>
      </c>
      <c r="P560" s="462" t="n">
        <f aca="false">H560-O560</f>
        <v>0</v>
      </c>
      <c r="Q560" s="463" t="n">
        <f aca="false">O560*I560</f>
        <v>3240000</v>
      </c>
      <c r="R560" s="48" t="n">
        <f aca="false">K560-Q560</f>
        <v>0</v>
      </c>
      <c r="S560" s="467"/>
      <c r="T560" s="2" t="s">
        <v>1711</v>
      </c>
      <c r="V560" s="464"/>
      <c r="W560" s="464"/>
      <c r="X560" s="464"/>
      <c r="Y560" s="464"/>
      <c r="Z560" s="464"/>
      <c r="AA560" s="464"/>
      <c r="AB560" s="464"/>
      <c r="AC560" s="464"/>
      <c r="AD560" s="464"/>
      <c r="AE560" s="464"/>
      <c r="AF560" s="464"/>
      <c r="AG560" s="464"/>
      <c r="AH560" s="465"/>
      <c r="AI560" s="464"/>
    </row>
    <row r="561" customFormat="false" ht="15" hidden="false" customHeight="true" outlineLevel="0" collapsed="false">
      <c r="A561" s="455" t="s">
        <v>1821</v>
      </c>
      <c r="C561" s="456" t="n">
        <v>45527</v>
      </c>
      <c r="D561" s="456"/>
      <c r="E561" s="57" t="n">
        <v>240</v>
      </c>
      <c r="F561" s="323" t="s">
        <v>175</v>
      </c>
      <c r="G561" s="323" t="s">
        <v>20</v>
      </c>
      <c r="H561" s="98" t="n">
        <v>510</v>
      </c>
      <c r="I561" s="457" t="n">
        <v>90</v>
      </c>
      <c r="J561" s="313" t="s">
        <v>1653</v>
      </c>
      <c r="K561" s="98" t="n">
        <f aca="false">I561*H561</f>
        <v>45900</v>
      </c>
      <c r="L561" s="411" t="n">
        <v>9394.2</v>
      </c>
      <c r="M561" s="392" t="n">
        <f aca="false">L561/K561</f>
        <v>0.204666666666667</v>
      </c>
      <c r="N561" s="466" t="n">
        <f aca="false">I561*M561</f>
        <v>18.42</v>
      </c>
      <c r="O561" s="461" t="n">
        <v>510</v>
      </c>
      <c r="P561" s="462" t="n">
        <f aca="false">H561-O561</f>
        <v>0</v>
      </c>
      <c r="Q561" s="463" t="n">
        <f aca="false">O561*I561</f>
        <v>45900</v>
      </c>
      <c r="R561" s="48" t="n">
        <f aca="false">K561-Q561</f>
        <v>0</v>
      </c>
      <c r="S561" s="467"/>
      <c r="T561" s="2" t="s">
        <v>1711</v>
      </c>
      <c r="V561" s="464"/>
      <c r="W561" s="464"/>
      <c r="X561" s="464"/>
      <c r="Y561" s="464"/>
      <c r="Z561" s="464"/>
      <c r="AA561" s="464"/>
      <c r="AB561" s="464"/>
      <c r="AC561" s="464"/>
      <c r="AD561" s="464"/>
      <c r="AE561" s="464"/>
      <c r="AF561" s="464"/>
      <c r="AG561" s="464"/>
      <c r="AH561" s="465"/>
      <c r="AI561" s="464"/>
    </row>
    <row r="562" customFormat="false" ht="15" hidden="false" customHeight="true" outlineLevel="0" collapsed="false">
      <c r="A562" s="455" t="s">
        <v>1822</v>
      </c>
      <c r="C562" s="456" t="n">
        <v>45531</v>
      </c>
      <c r="D562" s="456"/>
      <c r="E562" s="57" t="n">
        <v>241</v>
      </c>
      <c r="F562" s="323" t="s">
        <v>175</v>
      </c>
      <c r="G562" s="323" t="s">
        <v>19</v>
      </c>
      <c r="H562" s="98" t="n">
        <v>15</v>
      </c>
      <c r="I562" s="457" t="n">
        <v>22.5</v>
      </c>
      <c r="J562" s="313" t="s">
        <v>1651</v>
      </c>
      <c r="K562" s="98" t="n">
        <f aca="false">I562*H562</f>
        <v>337.5</v>
      </c>
      <c r="L562" s="411" t="n">
        <v>292.5</v>
      </c>
      <c r="M562" s="392" t="n">
        <f aca="false">L562/K562</f>
        <v>0.866666666666667</v>
      </c>
      <c r="N562" s="466" t="n">
        <f aca="false">I562*M562</f>
        <v>19.5</v>
      </c>
      <c r="O562" s="461" t="n">
        <v>15</v>
      </c>
      <c r="P562" s="462" t="n">
        <f aca="false">H562-O562</f>
        <v>0</v>
      </c>
      <c r="Q562" s="463" t="n">
        <f aca="false">O562*I562</f>
        <v>337.5</v>
      </c>
      <c r="R562" s="48" t="n">
        <f aca="false">K562-Q562</f>
        <v>0</v>
      </c>
      <c r="S562" s="467"/>
      <c r="T562" s="2" t="s">
        <v>1711</v>
      </c>
      <c r="V562" s="464"/>
      <c r="W562" s="464"/>
      <c r="X562" s="464"/>
      <c r="Y562" s="464"/>
      <c r="Z562" s="464"/>
      <c r="AA562" s="464"/>
      <c r="AB562" s="464"/>
      <c r="AC562" s="464"/>
      <c r="AD562" s="464"/>
      <c r="AE562" s="464"/>
      <c r="AF562" s="464"/>
      <c r="AG562" s="464"/>
      <c r="AH562" s="465"/>
      <c r="AI562" s="464"/>
    </row>
    <row r="563" customFormat="false" ht="15" hidden="false" customHeight="true" outlineLevel="0" collapsed="false">
      <c r="A563" s="455" t="s">
        <v>1796</v>
      </c>
      <c r="C563" s="456" t="n">
        <v>45531</v>
      </c>
      <c r="D563" s="456"/>
      <c r="E563" s="57" t="n">
        <v>242</v>
      </c>
      <c r="F563" s="323" t="s">
        <v>175</v>
      </c>
      <c r="G563" s="323" t="s">
        <v>5</v>
      </c>
      <c r="H563" s="98" t="n">
        <v>2450</v>
      </c>
      <c r="I563" s="457" t="n">
        <v>60</v>
      </c>
      <c r="J563" s="313" t="s">
        <v>1653</v>
      </c>
      <c r="K563" s="98" t="n">
        <f aca="false">I563*H563</f>
        <v>147000</v>
      </c>
      <c r="L563" s="411" t="n">
        <v>36750</v>
      </c>
      <c r="M563" s="392" t="n">
        <f aca="false">L563/K563</f>
        <v>0.25</v>
      </c>
      <c r="N563" s="466" t="n">
        <f aca="false">I563*M563</f>
        <v>15</v>
      </c>
      <c r="O563" s="461" t="n">
        <v>2450</v>
      </c>
      <c r="P563" s="462" t="n">
        <f aca="false">H563-O563</f>
        <v>0</v>
      </c>
      <c r="Q563" s="463" t="n">
        <f aca="false">O563*I563</f>
        <v>147000</v>
      </c>
      <c r="R563" s="48" t="n">
        <f aca="false">K563-Q563</f>
        <v>0</v>
      </c>
      <c r="S563" s="467"/>
      <c r="T563" s="2" t="s">
        <v>1797</v>
      </c>
      <c r="V563" s="464"/>
      <c r="W563" s="464"/>
      <c r="X563" s="464"/>
      <c r="Y563" s="464"/>
      <c r="Z563" s="464"/>
      <c r="AA563" s="464"/>
      <c r="AB563" s="464"/>
      <c r="AC563" s="464"/>
      <c r="AD563" s="464"/>
      <c r="AE563" s="464"/>
      <c r="AF563" s="464"/>
      <c r="AG563" s="464"/>
      <c r="AH563" s="465"/>
      <c r="AI563" s="464"/>
    </row>
    <row r="564" customFormat="false" ht="15" hidden="false" customHeight="true" outlineLevel="0" collapsed="false">
      <c r="A564" s="455" t="s">
        <v>58</v>
      </c>
      <c r="C564" s="456" t="n">
        <v>45531</v>
      </c>
      <c r="D564" s="456"/>
      <c r="E564" s="57" t="n">
        <v>243</v>
      </c>
      <c r="F564" s="323" t="s">
        <v>175</v>
      </c>
      <c r="G564" s="323" t="s">
        <v>21</v>
      </c>
      <c r="H564" s="98" t="n">
        <v>500</v>
      </c>
      <c r="I564" s="457" t="n">
        <v>1</v>
      </c>
      <c r="J564" s="313" t="s">
        <v>1653</v>
      </c>
      <c r="K564" s="98" t="n">
        <f aca="false">I564*H564</f>
        <v>500</v>
      </c>
      <c r="L564" s="411" t="n">
        <v>2920</v>
      </c>
      <c r="M564" s="392" t="n">
        <f aca="false">L564/K564</f>
        <v>5.84</v>
      </c>
      <c r="N564" s="466" t="n">
        <f aca="false">I564*M564</f>
        <v>5.84</v>
      </c>
      <c r="O564" s="461" t="n">
        <v>500</v>
      </c>
      <c r="P564" s="462" t="n">
        <f aca="false">H564-O564</f>
        <v>0</v>
      </c>
      <c r="Q564" s="463" t="n">
        <f aca="false">O564*I564</f>
        <v>500</v>
      </c>
      <c r="R564" s="48" t="n">
        <f aca="false">K564-Q564</f>
        <v>0</v>
      </c>
      <c r="S564" s="467"/>
      <c r="T564" s="2" t="s">
        <v>1711</v>
      </c>
      <c r="V564" s="464"/>
      <c r="W564" s="464"/>
      <c r="X564" s="464"/>
      <c r="Y564" s="464"/>
      <c r="Z564" s="464"/>
      <c r="AA564" s="464"/>
      <c r="AB564" s="464"/>
      <c r="AC564" s="464"/>
      <c r="AD564" s="464"/>
      <c r="AE564" s="464"/>
      <c r="AF564" s="464"/>
      <c r="AG564" s="464"/>
      <c r="AH564" s="465"/>
      <c r="AI564" s="464"/>
    </row>
    <row r="565" customFormat="false" ht="15" hidden="false" customHeight="true" outlineLevel="0" collapsed="false">
      <c r="A565" s="455" t="s">
        <v>58</v>
      </c>
      <c r="C565" s="456" t="n">
        <v>45532</v>
      </c>
      <c r="D565" s="456"/>
      <c r="E565" s="323" t="n">
        <v>244</v>
      </c>
      <c r="F565" s="323" t="s">
        <v>175</v>
      </c>
      <c r="G565" s="323" t="s">
        <v>21</v>
      </c>
      <c r="H565" s="98" t="n">
        <v>1000</v>
      </c>
      <c r="I565" s="457" t="n">
        <v>1</v>
      </c>
      <c r="J565" s="313" t="s">
        <v>1653</v>
      </c>
      <c r="K565" s="98" t="n">
        <f aca="false">I565*H565</f>
        <v>1000</v>
      </c>
      <c r="L565" s="411" t="n">
        <v>5840</v>
      </c>
      <c r="M565" s="392" t="n">
        <f aca="false">L565/K565</f>
        <v>5.84</v>
      </c>
      <c r="N565" s="466" t="n">
        <f aca="false">I565*M565</f>
        <v>5.84</v>
      </c>
      <c r="O565" s="461" t="n">
        <v>1000</v>
      </c>
      <c r="P565" s="462" t="n">
        <f aca="false">H565-O565</f>
        <v>0</v>
      </c>
      <c r="Q565" s="463" t="n">
        <f aca="false">O565*I565</f>
        <v>1000</v>
      </c>
      <c r="R565" s="48" t="n">
        <f aca="false">K565-Q565</f>
        <v>0</v>
      </c>
      <c r="S565" s="467"/>
      <c r="T565" s="2" t="s">
        <v>1711</v>
      </c>
      <c r="V565" s="464"/>
      <c r="W565" s="464"/>
      <c r="X565" s="464"/>
      <c r="Y565" s="464"/>
      <c r="Z565" s="464"/>
      <c r="AA565" s="464"/>
      <c r="AB565" s="464"/>
      <c r="AC565" s="464"/>
      <c r="AD565" s="464"/>
      <c r="AE565" s="464"/>
      <c r="AF565" s="464"/>
      <c r="AG565" s="464"/>
      <c r="AH565" s="465"/>
      <c r="AI565" s="464"/>
    </row>
    <row r="566" customFormat="false" ht="15" hidden="false" customHeight="true" outlineLevel="0" collapsed="false">
      <c r="A566" s="455" t="s">
        <v>1823</v>
      </c>
      <c r="C566" s="456" t="n">
        <v>45532</v>
      </c>
      <c r="D566" s="456"/>
      <c r="E566" s="57" t="n">
        <v>245</v>
      </c>
      <c r="F566" s="323" t="s">
        <v>175</v>
      </c>
      <c r="G566" s="323" t="s">
        <v>6</v>
      </c>
      <c r="H566" s="98" t="n">
        <v>45</v>
      </c>
      <c r="I566" s="457" t="n">
        <v>45</v>
      </c>
      <c r="J566" s="313" t="s">
        <v>1652</v>
      </c>
      <c r="K566" s="98" t="n">
        <f aca="false">I566*H566</f>
        <v>2025</v>
      </c>
      <c r="L566" s="411" t="n">
        <v>1154.25</v>
      </c>
      <c r="M566" s="392" t="n">
        <f aca="false">L566/K566</f>
        <v>0.57</v>
      </c>
      <c r="N566" s="466" t="n">
        <f aca="false">I566*M566</f>
        <v>25.65</v>
      </c>
      <c r="O566" s="461" t="n">
        <v>45</v>
      </c>
      <c r="P566" s="462" t="n">
        <f aca="false">H566-O566</f>
        <v>0</v>
      </c>
      <c r="Q566" s="463" t="n">
        <f aca="false">O566*I566</f>
        <v>2025</v>
      </c>
      <c r="R566" s="48" t="n">
        <f aca="false">K566-Q566</f>
        <v>0</v>
      </c>
      <c r="S566" s="467"/>
      <c r="T566" s="2" t="s">
        <v>1711</v>
      </c>
      <c r="V566" s="464"/>
      <c r="W566" s="464"/>
      <c r="X566" s="464"/>
      <c r="Y566" s="464"/>
      <c r="Z566" s="464"/>
      <c r="AA566" s="464"/>
      <c r="AB566" s="464"/>
      <c r="AC566" s="464"/>
      <c r="AD566" s="464"/>
      <c r="AE566" s="464"/>
      <c r="AF566" s="464"/>
      <c r="AG566" s="464"/>
      <c r="AH566" s="465"/>
      <c r="AI566" s="464"/>
    </row>
    <row r="567" customFormat="false" ht="15" hidden="false" customHeight="true" outlineLevel="0" collapsed="false">
      <c r="A567" s="455" t="s">
        <v>1823</v>
      </c>
      <c r="C567" s="456" t="n">
        <v>45532</v>
      </c>
      <c r="D567" s="456"/>
      <c r="E567" s="57" t="n">
        <v>245</v>
      </c>
      <c r="F567" s="323" t="s">
        <v>175</v>
      </c>
      <c r="G567" s="323" t="s">
        <v>17</v>
      </c>
      <c r="H567" s="98" t="n">
        <v>30</v>
      </c>
      <c r="I567" s="457" t="n">
        <v>37.5</v>
      </c>
      <c r="J567" s="313" t="s">
        <v>1652</v>
      </c>
      <c r="K567" s="98" t="n">
        <f aca="false">I567*H567</f>
        <v>1125</v>
      </c>
      <c r="L567" s="411" t="n">
        <v>780</v>
      </c>
      <c r="M567" s="392" t="n">
        <f aca="false">L567/K567</f>
        <v>0.693333333333333</v>
      </c>
      <c r="N567" s="466" t="n">
        <f aca="false">I567*M567</f>
        <v>26</v>
      </c>
      <c r="O567" s="461" t="n">
        <v>30</v>
      </c>
      <c r="P567" s="462" t="n">
        <f aca="false">H567-O567</f>
        <v>0</v>
      </c>
      <c r="Q567" s="463" t="n">
        <f aca="false">O567*I567</f>
        <v>1125</v>
      </c>
      <c r="R567" s="48" t="n">
        <f aca="false">K567-Q567</f>
        <v>0</v>
      </c>
      <c r="S567" s="467"/>
      <c r="T567" s="2" t="s">
        <v>1711</v>
      </c>
      <c r="V567" s="464"/>
      <c r="W567" s="464"/>
      <c r="X567" s="464"/>
      <c r="Y567" s="464"/>
      <c r="Z567" s="464"/>
      <c r="AA567" s="464"/>
      <c r="AB567" s="464"/>
      <c r="AC567" s="464"/>
      <c r="AD567" s="464"/>
      <c r="AE567" s="464"/>
      <c r="AF567" s="464"/>
      <c r="AG567" s="464"/>
      <c r="AH567" s="465"/>
      <c r="AI567" s="464"/>
    </row>
    <row r="568" customFormat="false" ht="15" hidden="false" customHeight="true" outlineLevel="0" collapsed="false">
      <c r="A568" s="455" t="s">
        <v>1781</v>
      </c>
      <c r="C568" s="456" t="n">
        <v>45532</v>
      </c>
      <c r="D568" s="456"/>
      <c r="E568" s="57" t="n">
        <v>246</v>
      </c>
      <c r="F568" s="323" t="s">
        <v>175</v>
      </c>
      <c r="G568" s="323" t="s">
        <v>10</v>
      </c>
      <c r="H568" s="98" t="n">
        <v>10005</v>
      </c>
      <c r="I568" s="457" t="n">
        <v>38.3</v>
      </c>
      <c r="J568" s="313" t="s">
        <v>1652</v>
      </c>
      <c r="K568" s="98" t="n">
        <f aca="false">I568*H568</f>
        <v>383191.5</v>
      </c>
      <c r="L568" s="411" t="n">
        <v>103651.8</v>
      </c>
      <c r="M568" s="392" t="n">
        <f aca="false">L568/K568</f>
        <v>0.270496083550914</v>
      </c>
      <c r="N568" s="466" t="n">
        <f aca="false">I568*M568</f>
        <v>10.36</v>
      </c>
      <c r="O568" s="461" t="n">
        <v>10005</v>
      </c>
      <c r="P568" s="462" t="n">
        <f aca="false">H568-O568</f>
        <v>0</v>
      </c>
      <c r="Q568" s="463" t="n">
        <f aca="false">O568*I568</f>
        <v>383191.5</v>
      </c>
      <c r="R568" s="48" t="n">
        <f aca="false">K568-Q568</f>
        <v>0</v>
      </c>
      <c r="S568" s="467"/>
      <c r="T568" s="2" t="s">
        <v>1711</v>
      </c>
      <c r="V568" s="464"/>
      <c r="W568" s="464"/>
      <c r="X568" s="464"/>
      <c r="Y568" s="464"/>
      <c r="Z568" s="464"/>
      <c r="AA568" s="464"/>
      <c r="AB568" s="464"/>
      <c r="AC568" s="464"/>
      <c r="AD568" s="464"/>
      <c r="AE568" s="464"/>
      <c r="AF568" s="464"/>
      <c r="AG568" s="464"/>
      <c r="AH568" s="465"/>
      <c r="AI568" s="464"/>
    </row>
    <row r="569" customFormat="false" ht="15" hidden="false" customHeight="true" outlineLevel="0" collapsed="false">
      <c r="A569" s="455" t="s">
        <v>1824</v>
      </c>
      <c r="C569" s="456" t="n">
        <v>45532</v>
      </c>
      <c r="D569" s="456"/>
      <c r="E569" s="57" t="n">
        <v>248</v>
      </c>
      <c r="F569" s="323" t="s">
        <v>175</v>
      </c>
      <c r="G569" s="323" t="s">
        <v>6</v>
      </c>
      <c r="H569" s="98" t="n">
        <v>240</v>
      </c>
      <c r="I569" s="457" t="n">
        <v>45</v>
      </c>
      <c r="J569" s="313" t="s">
        <v>1652</v>
      </c>
      <c r="K569" s="98" t="n">
        <f aca="false">I569*H569</f>
        <v>10800</v>
      </c>
      <c r="L569" s="411" t="n">
        <v>4000</v>
      </c>
      <c r="M569" s="392" t="n">
        <f aca="false">L569/K569</f>
        <v>0.37037037037037</v>
      </c>
      <c r="N569" s="466" t="n">
        <f aca="false">I569*M569</f>
        <v>16.6666666666667</v>
      </c>
      <c r="O569" s="461" t="n">
        <v>240</v>
      </c>
      <c r="P569" s="462" t="n">
        <f aca="false">H569-O569</f>
        <v>0</v>
      </c>
      <c r="Q569" s="463" t="n">
        <f aca="false">O569*I569</f>
        <v>10800</v>
      </c>
      <c r="R569" s="48" t="n">
        <f aca="false">K569-Q569</f>
        <v>0</v>
      </c>
      <c r="S569" s="467"/>
      <c r="T569" s="2" t="s">
        <v>1711</v>
      </c>
      <c r="V569" s="464"/>
      <c r="W569" s="464"/>
      <c r="X569" s="464"/>
      <c r="Y569" s="464"/>
      <c r="Z569" s="464"/>
      <c r="AA569" s="464"/>
      <c r="AB569" s="464"/>
      <c r="AC569" s="464"/>
      <c r="AD569" s="464"/>
      <c r="AE569" s="464"/>
      <c r="AF569" s="464"/>
      <c r="AG569" s="464"/>
      <c r="AH569" s="465"/>
      <c r="AI569" s="464"/>
    </row>
    <row r="570" customFormat="false" ht="15" hidden="false" customHeight="true" outlineLevel="0" collapsed="false">
      <c r="A570" s="455" t="s">
        <v>1824</v>
      </c>
      <c r="C570" s="456" t="n">
        <v>45532</v>
      </c>
      <c r="D570" s="456"/>
      <c r="E570" s="323" t="n">
        <v>248</v>
      </c>
      <c r="F570" s="323" t="s">
        <v>175</v>
      </c>
      <c r="G570" s="323" t="s">
        <v>13</v>
      </c>
      <c r="H570" s="98" t="n">
        <v>45</v>
      </c>
      <c r="I570" s="457" t="n">
        <v>22.5</v>
      </c>
      <c r="J570" s="313" t="s">
        <v>1651</v>
      </c>
      <c r="K570" s="199" t="n">
        <f aca="false">I570*H570</f>
        <v>1012.5</v>
      </c>
      <c r="L570" s="411" t="n">
        <v>540</v>
      </c>
      <c r="M570" s="392" t="n">
        <f aca="false">L570/K570</f>
        <v>0.533333333333333</v>
      </c>
      <c r="N570" s="466" t="n">
        <f aca="false">I570*M570</f>
        <v>12</v>
      </c>
      <c r="O570" s="461" t="n">
        <v>45</v>
      </c>
      <c r="P570" s="462" t="n">
        <f aca="false">H570-O570</f>
        <v>0</v>
      </c>
      <c r="Q570" s="463" t="n">
        <f aca="false">O570*I570</f>
        <v>1012.5</v>
      </c>
      <c r="R570" s="48" t="n">
        <f aca="false">K570-Q570</f>
        <v>0</v>
      </c>
      <c r="S570" s="467"/>
      <c r="T570" s="2" t="s">
        <v>1711</v>
      </c>
      <c r="V570" s="464"/>
      <c r="W570" s="464"/>
      <c r="X570" s="464"/>
      <c r="Y570" s="464"/>
      <c r="Z570" s="464"/>
      <c r="AA570" s="464"/>
      <c r="AB570" s="464"/>
      <c r="AC570" s="464"/>
      <c r="AD570" s="464"/>
      <c r="AE570" s="464"/>
      <c r="AF570" s="464"/>
      <c r="AG570" s="464"/>
      <c r="AH570" s="465"/>
      <c r="AI570" s="464"/>
    </row>
    <row r="571" customFormat="false" ht="15" hidden="false" customHeight="true" outlineLevel="0" collapsed="false">
      <c r="A571" s="455" t="s">
        <v>1824</v>
      </c>
      <c r="C571" s="456" t="n">
        <v>45532</v>
      </c>
      <c r="D571" s="456"/>
      <c r="E571" s="323" t="n">
        <v>249</v>
      </c>
      <c r="F571" s="323" t="s">
        <v>175</v>
      </c>
      <c r="G571" s="323" t="s">
        <v>15</v>
      </c>
      <c r="H571" s="98" t="n">
        <v>105</v>
      </c>
      <c r="I571" s="457" t="n">
        <v>22.5</v>
      </c>
      <c r="J571" s="313" t="s">
        <v>1651</v>
      </c>
      <c r="K571" s="199" t="n">
        <f aca="false">I571*H571</f>
        <v>2362.5</v>
      </c>
      <c r="L571" s="411" t="n">
        <v>1575</v>
      </c>
      <c r="M571" s="392" t="n">
        <f aca="false">L571/K571</f>
        <v>0.666666666666667</v>
      </c>
      <c r="N571" s="466" t="n">
        <f aca="false">I571*M571</f>
        <v>15</v>
      </c>
      <c r="O571" s="461" t="n">
        <v>105</v>
      </c>
      <c r="P571" s="462" t="n">
        <f aca="false">H571-O571</f>
        <v>0</v>
      </c>
      <c r="Q571" s="463" t="n">
        <f aca="false">O571*I571</f>
        <v>2362.5</v>
      </c>
      <c r="R571" s="48" t="n">
        <f aca="false">K571-Q571</f>
        <v>0</v>
      </c>
      <c r="S571" s="467"/>
      <c r="T571" s="2" t="s">
        <v>1711</v>
      </c>
      <c r="V571" s="464"/>
      <c r="W571" s="464"/>
      <c r="X571" s="464"/>
      <c r="Y571" s="464"/>
      <c r="Z571" s="464"/>
      <c r="AA571" s="464"/>
      <c r="AB571" s="464"/>
      <c r="AC571" s="464"/>
      <c r="AD571" s="464"/>
      <c r="AE571" s="464"/>
      <c r="AF571" s="464"/>
      <c r="AG571" s="464"/>
      <c r="AH571" s="465"/>
      <c r="AI571" s="464"/>
    </row>
    <row r="572" customFormat="false" ht="15" hidden="false" customHeight="true" outlineLevel="0" collapsed="false">
      <c r="A572" s="455" t="s">
        <v>1824</v>
      </c>
      <c r="C572" s="456" t="n">
        <v>45532</v>
      </c>
      <c r="D572" s="456"/>
      <c r="E572" s="323" t="n">
        <v>249</v>
      </c>
      <c r="F572" s="323" t="s">
        <v>175</v>
      </c>
      <c r="G572" s="323" t="s">
        <v>5</v>
      </c>
      <c r="H572" s="98" t="n">
        <v>120</v>
      </c>
      <c r="I572" s="457" t="n">
        <v>37.5</v>
      </c>
      <c r="J572" s="313" t="s">
        <v>1652</v>
      </c>
      <c r="K572" s="199" t="n">
        <f aca="false">I572*H572</f>
        <v>4500</v>
      </c>
      <c r="L572" s="411" t="n">
        <v>2000</v>
      </c>
      <c r="M572" s="392" t="n">
        <f aca="false">L572/K572</f>
        <v>0.444444444444444</v>
      </c>
      <c r="N572" s="466" t="n">
        <f aca="false">I572*M572</f>
        <v>16.6666666666667</v>
      </c>
      <c r="O572" s="461" t="n">
        <v>120</v>
      </c>
      <c r="P572" s="462" t="n">
        <f aca="false">H572-O572</f>
        <v>0</v>
      </c>
      <c r="Q572" s="463" t="n">
        <f aca="false">O572*I572</f>
        <v>4500</v>
      </c>
      <c r="R572" s="48" t="n">
        <f aca="false">K572-Q572</f>
        <v>0</v>
      </c>
      <c r="S572" s="467"/>
      <c r="T572" s="2" t="s">
        <v>1711</v>
      </c>
      <c r="V572" s="464"/>
      <c r="W572" s="464"/>
      <c r="X572" s="464"/>
      <c r="Y572" s="464"/>
      <c r="Z572" s="464"/>
      <c r="AA572" s="464"/>
      <c r="AB572" s="464"/>
      <c r="AC572" s="464"/>
      <c r="AD572" s="464"/>
      <c r="AE572" s="464"/>
      <c r="AF572" s="464"/>
      <c r="AG572" s="464"/>
      <c r="AH572" s="465"/>
      <c r="AI572" s="464"/>
    </row>
    <row r="573" customFormat="false" ht="15" hidden="false" customHeight="true" outlineLevel="0" collapsed="false">
      <c r="A573" s="455" t="s">
        <v>1824</v>
      </c>
      <c r="C573" s="456" t="n">
        <v>45532</v>
      </c>
      <c r="D573" s="456"/>
      <c r="E573" s="57" t="n">
        <v>249</v>
      </c>
      <c r="F573" s="323" t="s">
        <v>175</v>
      </c>
      <c r="G573" s="323" t="s">
        <v>42</v>
      </c>
      <c r="H573" s="98" t="n">
        <v>345</v>
      </c>
      <c r="I573" s="457" t="n">
        <v>45</v>
      </c>
      <c r="J573" s="313" t="s">
        <v>1652</v>
      </c>
      <c r="K573" s="199" t="n">
        <f aca="false">I573*H573</f>
        <v>15525</v>
      </c>
      <c r="L573" s="411" t="n">
        <v>6670</v>
      </c>
      <c r="M573" s="392" t="n">
        <f aca="false">L573/K573</f>
        <v>0.42962962962963</v>
      </c>
      <c r="N573" s="466" t="n">
        <f aca="false">I573*M573</f>
        <v>19.3333333333333</v>
      </c>
      <c r="O573" s="461" t="n">
        <v>345</v>
      </c>
      <c r="P573" s="462" t="n">
        <f aca="false">H573-O573</f>
        <v>0</v>
      </c>
      <c r="Q573" s="463" t="n">
        <f aca="false">O573*I573</f>
        <v>15525</v>
      </c>
      <c r="R573" s="48" t="n">
        <f aca="false">K573-Q573</f>
        <v>0</v>
      </c>
      <c r="S573" s="467"/>
      <c r="T573" s="2" t="s">
        <v>1711</v>
      </c>
      <c r="V573" s="464"/>
      <c r="W573" s="464"/>
      <c r="X573" s="464"/>
      <c r="Y573" s="464"/>
      <c r="Z573" s="464"/>
      <c r="AA573" s="464"/>
      <c r="AB573" s="464"/>
      <c r="AC573" s="464"/>
      <c r="AD573" s="464"/>
      <c r="AE573" s="464"/>
      <c r="AF573" s="464"/>
      <c r="AG573" s="464"/>
      <c r="AH573" s="465"/>
      <c r="AI573" s="464"/>
    </row>
    <row r="574" customFormat="false" ht="15" hidden="false" customHeight="true" outlineLevel="0" collapsed="false">
      <c r="A574" s="455" t="s">
        <v>1724</v>
      </c>
      <c r="C574" s="456" t="n">
        <v>45532</v>
      </c>
      <c r="D574" s="456"/>
      <c r="E574" s="57" t="n">
        <v>250</v>
      </c>
      <c r="F574" s="323" t="s">
        <v>175</v>
      </c>
      <c r="G574" s="323" t="s">
        <v>5</v>
      </c>
      <c r="H574" s="98" t="n">
        <v>600</v>
      </c>
      <c r="I574" s="457" t="n">
        <v>25.71</v>
      </c>
      <c r="J574" s="313" t="s">
        <v>1651</v>
      </c>
      <c r="K574" s="98" t="n">
        <f aca="false">I574*H574</f>
        <v>15426</v>
      </c>
      <c r="L574" s="411" t="n">
        <v>7740</v>
      </c>
      <c r="M574" s="392" t="n">
        <f aca="false">L574/K574</f>
        <v>0.501750291715286</v>
      </c>
      <c r="N574" s="466" t="n">
        <f aca="false">I574*M574</f>
        <v>12.9</v>
      </c>
      <c r="O574" s="461" t="n">
        <v>600</v>
      </c>
      <c r="P574" s="462" t="n">
        <f aca="false">H574-O574</f>
        <v>0</v>
      </c>
      <c r="Q574" s="463" t="n">
        <f aca="false">O574*I574</f>
        <v>15426</v>
      </c>
      <c r="R574" s="48" t="n">
        <f aca="false">K574-Q574</f>
        <v>0</v>
      </c>
      <c r="S574" s="467"/>
      <c r="T574" s="2" t="s">
        <v>1711</v>
      </c>
      <c r="V574" s="464"/>
      <c r="W574" s="464"/>
      <c r="X574" s="464"/>
      <c r="Y574" s="464"/>
      <c r="Z574" s="464"/>
      <c r="AA574" s="464"/>
      <c r="AB574" s="464"/>
      <c r="AC574" s="464"/>
      <c r="AD574" s="464"/>
      <c r="AE574" s="464"/>
      <c r="AF574" s="464"/>
      <c r="AG574" s="464"/>
      <c r="AH574" s="465"/>
      <c r="AI574" s="464"/>
    </row>
    <row r="575" customFormat="false" ht="15" hidden="false" customHeight="true" outlineLevel="0" collapsed="false">
      <c r="A575" s="455" t="s">
        <v>1724</v>
      </c>
      <c r="C575" s="456" t="n">
        <v>45532</v>
      </c>
      <c r="D575" s="456"/>
      <c r="E575" s="57" t="n">
        <v>250</v>
      </c>
      <c r="F575" s="57" t="s">
        <v>175</v>
      </c>
      <c r="G575" s="323" t="s">
        <v>13</v>
      </c>
      <c r="H575" s="98" t="n">
        <v>600</v>
      </c>
      <c r="I575" s="457" t="n">
        <v>22.5</v>
      </c>
      <c r="J575" s="313" t="s">
        <v>1651</v>
      </c>
      <c r="K575" s="98" t="n">
        <f aca="false">I575*H575</f>
        <v>13500</v>
      </c>
      <c r="L575" s="411" t="n">
        <v>7800</v>
      </c>
      <c r="M575" s="392" t="n">
        <f aca="false">L575/K575</f>
        <v>0.577777777777778</v>
      </c>
      <c r="N575" s="466" t="n">
        <f aca="false">I575*M575</f>
        <v>13</v>
      </c>
      <c r="O575" s="461" t="n">
        <v>600</v>
      </c>
      <c r="P575" s="462" t="n">
        <f aca="false">H575-O575</f>
        <v>0</v>
      </c>
      <c r="Q575" s="463" t="n">
        <f aca="false">O575*I575</f>
        <v>13500</v>
      </c>
      <c r="R575" s="48" t="n">
        <f aca="false">K575-Q575</f>
        <v>0</v>
      </c>
      <c r="S575" s="467"/>
      <c r="T575" s="2" t="s">
        <v>1711</v>
      </c>
      <c r="V575" s="464"/>
      <c r="W575" s="464"/>
      <c r="X575" s="464"/>
      <c r="Y575" s="464"/>
      <c r="Z575" s="464"/>
      <c r="AA575" s="464"/>
      <c r="AB575" s="464"/>
      <c r="AC575" s="464"/>
      <c r="AD575" s="464"/>
      <c r="AE575" s="464"/>
      <c r="AF575" s="464"/>
      <c r="AG575" s="464"/>
      <c r="AH575" s="465"/>
      <c r="AI575" s="464"/>
    </row>
    <row r="576" customFormat="false" ht="15" hidden="false" customHeight="true" outlineLevel="0" collapsed="false">
      <c r="A576" s="455" t="s">
        <v>1825</v>
      </c>
      <c r="C576" s="456" t="n">
        <v>45533</v>
      </c>
      <c r="D576" s="456"/>
      <c r="E576" s="57" t="n">
        <v>251</v>
      </c>
      <c r="F576" s="57" t="s">
        <v>175</v>
      </c>
      <c r="G576" s="323" t="s">
        <v>10</v>
      </c>
      <c r="H576" s="98" t="n">
        <v>1500</v>
      </c>
      <c r="I576" s="457" t="n">
        <v>38.3</v>
      </c>
      <c r="J576" s="313" t="s">
        <v>1652</v>
      </c>
      <c r="K576" s="98" t="n">
        <f aca="false">I576*H576</f>
        <v>57450</v>
      </c>
      <c r="L576" s="411" t="n">
        <v>15750</v>
      </c>
      <c r="M576" s="392" t="n">
        <f aca="false">L576/K576</f>
        <v>0.274151436031332</v>
      </c>
      <c r="N576" s="466" t="n">
        <f aca="false">I576*M576</f>
        <v>10.5</v>
      </c>
      <c r="O576" s="461" t="n">
        <v>1500</v>
      </c>
      <c r="P576" s="462" t="n">
        <f aca="false">H576-O576</f>
        <v>0</v>
      </c>
      <c r="Q576" s="463" t="n">
        <f aca="false">O576*I576</f>
        <v>57450</v>
      </c>
      <c r="R576" s="48" t="n">
        <f aca="false">K576-Q576</f>
        <v>0</v>
      </c>
      <c r="S576" s="467"/>
      <c r="T576" s="2" t="s">
        <v>1711</v>
      </c>
      <c r="V576" s="464"/>
      <c r="W576" s="464"/>
      <c r="X576" s="464"/>
      <c r="Y576" s="464"/>
      <c r="Z576" s="464"/>
      <c r="AA576" s="464"/>
      <c r="AB576" s="464"/>
      <c r="AC576" s="464"/>
      <c r="AD576" s="464"/>
      <c r="AE576" s="464"/>
      <c r="AF576" s="464"/>
      <c r="AG576" s="464"/>
      <c r="AH576" s="465"/>
      <c r="AI576" s="464"/>
    </row>
    <row r="577" customFormat="false" ht="15" hidden="false" customHeight="true" outlineLevel="0" collapsed="false">
      <c r="A577" s="455" t="s">
        <v>1825</v>
      </c>
      <c r="C577" s="456" t="n">
        <v>45533</v>
      </c>
      <c r="D577" s="456"/>
      <c r="E577" s="323" t="n">
        <v>251</v>
      </c>
      <c r="F577" s="57" t="s">
        <v>175</v>
      </c>
      <c r="G577" s="323" t="s">
        <v>10</v>
      </c>
      <c r="H577" s="98" t="n">
        <v>1500</v>
      </c>
      <c r="I577" s="457" t="n">
        <v>25.71</v>
      </c>
      <c r="J577" s="313" t="s">
        <v>1651</v>
      </c>
      <c r="K577" s="98" t="n">
        <f aca="false">I577*H577</f>
        <v>38565</v>
      </c>
      <c r="L577" s="411" t="n">
        <v>13950</v>
      </c>
      <c r="M577" s="392" t="n">
        <f aca="false">L577/K577</f>
        <v>0.361726954492415</v>
      </c>
      <c r="N577" s="466" t="n">
        <f aca="false">I577*M577</f>
        <v>9.3</v>
      </c>
      <c r="O577" s="461" t="n">
        <v>1500</v>
      </c>
      <c r="P577" s="462" t="n">
        <f aca="false">H577-O577</f>
        <v>0</v>
      </c>
      <c r="Q577" s="463" t="n">
        <f aca="false">O577*I577</f>
        <v>38565</v>
      </c>
      <c r="R577" s="48" t="n">
        <f aca="false">K577-Q577</f>
        <v>0</v>
      </c>
      <c r="S577" s="467"/>
      <c r="T577" s="2" t="s">
        <v>1711</v>
      </c>
      <c r="V577" s="464"/>
      <c r="W577" s="464"/>
      <c r="X577" s="464"/>
      <c r="Y577" s="464"/>
      <c r="Z577" s="464"/>
      <c r="AA577" s="464"/>
      <c r="AB577" s="464"/>
      <c r="AC577" s="464"/>
      <c r="AD577" s="464"/>
      <c r="AE577" s="464"/>
      <c r="AF577" s="464"/>
      <c r="AG577" s="464"/>
      <c r="AH577" s="465"/>
      <c r="AI577" s="464"/>
    </row>
    <row r="578" customFormat="false" ht="15" hidden="false" customHeight="true" outlineLevel="0" collapsed="false">
      <c r="A578" s="455" t="s">
        <v>1812</v>
      </c>
      <c r="C578" s="456" t="n">
        <v>45534</v>
      </c>
      <c r="D578" s="456"/>
      <c r="E578" s="57" t="n">
        <v>252</v>
      </c>
      <c r="F578" s="57" t="s">
        <v>175</v>
      </c>
      <c r="G578" s="323" t="s">
        <v>42</v>
      </c>
      <c r="H578" s="98" t="n">
        <v>180</v>
      </c>
      <c r="I578" s="457" t="n">
        <v>30</v>
      </c>
      <c r="J578" s="313" t="s">
        <v>1651</v>
      </c>
      <c r="K578" s="98" t="n">
        <f aca="false">I578*H578</f>
        <v>5400</v>
      </c>
      <c r="L578" s="411" t="n">
        <v>3298.2</v>
      </c>
      <c r="M578" s="392" t="n">
        <f aca="false">L578/K578</f>
        <v>0.610777777777778</v>
      </c>
      <c r="N578" s="466" t="n">
        <f aca="false">I578*M578</f>
        <v>18.3233333333333</v>
      </c>
      <c r="O578" s="461" t="n">
        <v>180</v>
      </c>
      <c r="P578" s="462" t="n">
        <f aca="false">H578-O578</f>
        <v>0</v>
      </c>
      <c r="Q578" s="463" t="n">
        <f aca="false">O578*I578</f>
        <v>5400</v>
      </c>
      <c r="R578" s="48" t="n">
        <f aca="false">K578-Q578</f>
        <v>0</v>
      </c>
      <c r="S578" s="467"/>
      <c r="T578" s="2" t="s">
        <v>1711</v>
      </c>
      <c r="V578" s="464"/>
      <c r="W578" s="464"/>
      <c r="X578" s="464"/>
      <c r="Y578" s="464"/>
      <c r="Z578" s="464"/>
      <c r="AA578" s="464"/>
      <c r="AB578" s="464"/>
      <c r="AC578" s="464"/>
      <c r="AD578" s="464"/>
      <c r="AE578" s="464"/>
      <c r="AF578" s="464"/>
      <c r="AG578" s="464"/>
      <c r="AH578" s="465"/>
      <c r="AI578" s="464"/>
    </row>
    <row r="579" customFormat="false" ht="15" hidden="false" customHeight="true" outlineLevel="0" collapsed="false">
      <c r="A579" s="455" t="s">
        <v>1826</v>
      </c>
      <c r="C579" s="456" t="n">
        <v>45534</v>
      </c>
      <c r="D579" s="456"/>
      <c r="E579" s="57" t="n">
        <v>253</v>
      </c>
      <c r="F579" s="57" t="s">
        <v>175</v>
      </c>
      <c r="G579" s="323" t="s">
        <v>5</v>
      </c>
      <c r="H579" s="98" t="n">
        <v>300</v>
      </c>
      <c r="I579" s="457" t="n">
        <v>25.71</v>
      </c>
      <c r="J579" s="313" t="s">
        <v>1651</v>
      </c>
      <c r="K579" s="98" t="n">
        <f aca="false">I579*H579</f>
        <v>7713</v>
      </c>
      <c r="L579" s="411" t="n">
        <v>4050</v>
      </c>
      <c r="M579" s="392" t="n">
        <f aca="false">L579/K579</f>
        <v>0.525087514585764</v>
      </c>
      <c r="N579" s="466" t="n">
        <f aca="false">I579*M579</f>
        <v>13.5</v>
      </c>
      <c r="O579" s="461" t="n">
        <v>300</v>
      </c>
      <c r="P579" s="462" t="n">
        <f aca="false">H579-O579</f>
        <v>0</v>
      </c>
      <c r="Q579" s="463" t="n">
        <f aca="false">O579*I579</f>
        <v>7713</v>
      </c>
      <c r="R579" s="48" t="n">
        <f aca="false">K579-Q579</f>
        <v>0</v>
      </c>
      <c r="S579" s="467"/>
      <c r="T579" s="2" t="s">
        <v>1711</v>
      </c>
      <c r="V579" s="464"/>
      <c r="W579" s="464"/>
      <c r="X579" s="464"/>
      <c r="Y579" s="464"/>
      <c r="Z579" s="464"/>
      <c r="AA579" s="464"/>
      <c r="AB579" s="464"/>
      <c r="AC579" s="464"/>
      <c r="AD579" s="464"/>
      <c r="AE579" s="464"/>
      <c r="AF579" s="464"/>
      <c r="AG579" s="464"/>
      <c r="AH579" s="465"/>
      <c r="AI579" s="464"/>
    </row>
    <row r="580" customFormat="false" ht="15" hidden="false" customHeight="true" outlineLevel="0" collapsed="false">
      <c r="A580" s="455" t="s">
        <v>1826</v>
      </c>
      <c r="C580" s="456" t="n">
        <v>45534</v>
      </c>
      <c r="D580" s="456"/>
      <c r="E580" s="57" t="n">
        <v>253</v>
      </c>
      <c r="F580" s="57" t="s">
        <v>175</v>
      </c>
      <c r="G580" s="323" t="s">
        <v>13</v>
      </c>
      <c r="H580" s="98" t="n">
        <v>90</v>
      </c>
      <c r="I580" s="457" t="n">
        <v>22.5</v>
      </c>
      <c r="J580" s="313" t="s">
        <v>1651</v>
      </c>
      <c r="K580" s="98" t="n">
        <f aca="false">I580*H580</f>
        <v>2025</v>
      </c>
      <c r="L580" s="411" t="n">
        <v>1256.4</v>
      </c>
      <c r="M580" s="392" t="n">
        <f aca="false">L580/K580</f>
        <v>0.620444444444445</v>
      </c>
      <c r="N580" s="466" t="n">
        <f aca="false">I580*M580</f>
        <v>13.96</v>
      </c>
      <c r="O580" s="461" t="n">
        <v>90</v>
      </c>
      <c r="P580" s="462" t="n">
        <f aca="false">H580-O580</f>
        <v>0</v>
      </c>
      <c r="Q580" s="463" t="n">
        <f aca="false">O580*I580</f>
        <v>2025</v>
      </c>
      <c r="R580" s="48" t="n">
        <f aca="false">K580-Q580</f>
        <v>0</v>
      </c>
      <c r="S580" s="467"/>
      <c r="T580" s="2" t="s">
        <v>1711</v>
      </c>
      <c r="V580" s="464"/>
      <c r="W580" s="464"/>
      <c r="X580" s="464"/>
      <c r="Y580" s="464"/>
      <c r="Z580" s="464"/>
      <c r="AA580" s="464"/>
      <c r="AB580" s="464"/>
      <c r="AC580" s="464"/>
      <c r="AD580" s="464"/>
      <c r="AE580" s="464"/>
      <c r="AF580" s="464"/>
      <c r="AG580" s="464"/>
      <c r="AH580" s="465"/>
      <c r="AI580" s="464"/>
    </row>
    <row r="581" customFormat="false" ht="15" hidden="false" customHeight="true" outlineLevel="0" collapsed="false">
      <c r="A581" s="455" t="s">
        <v>1826</v>
      </c>
      <c r="C581" s="456" t="n">
        <v>45534</v>
      </c>
      <c r="D581" s="456"/>
      <c r="E581" s="57" t="n">
        <v>253</v>
      </c>
      <c r="F581" s="57" t="s">
        <v>175</v>
      </c>
      <c r="G581" s="323" t="s">
        <v>10</v>
      </c>
      <c r="H581" s="98" t="n">
        <v>75</v>
      </c>
      <c r="I581" s="457" t="n">
        <v>25.71</v>
      </c>
      <c r="J581" s="313" t="s">
        <v>1651</v>
      </c>
      <c r="K581" s="98" t="n">
        <f aca="false">I581*H581</f>
        <v>1928.25</v>
      </c>
      <c r="L581" s="411" t="n">
        <v>705.6</v>
      </c>
      <c r="M581" s="392" t="n">
        <f aca="false">L581/K581</f>
        <v>0.365927654609102</v>
      </c>
      <c r="N581" s="466" t="n">
        <f aca="false">I581*M581</f>
        <v>9.408</v>
      </c>
      <c r="O581" s="461" t="n">
        <v>75</v>
      </c>
      <c r="P581" s="462" t="n">
        <f aca="false">H581-O581</f>
        <v>0</v>
      </c>
      <c r="Q581" s="463" t="n">
        <f aca="false">O581*I581</f>
        <v>1928.25</v>
      </c>
      <c r="R581" s="48" t="n">
        <f aca="false">K581-Q581</f>
        <v>0</v>
      </c>
      <c r="S581" s="467"/>
      <c r="T581" s="2" t="s">
        <v>1711</v>
      </c>
      <c r="V581" s="464"/>
      <c r="W581" s="464"/>
      <c r="X581" s="464"/>
      <c r="Y581" s="464"/>
      <c r="Z581" s="464"/>
      <c r="AA581" s="464"/>
      <c r="AB581" s="464"/>
      <c r="AC581" s="464"/>
      <c r="AD581" s="464"/>
      <c r="AE581" s="464"/>
      <c r="AF581" s="464"/>
      <c r="AG581" s="464"/>
      <c r="AH581" s="465"/>
      <c r="AI581" s="464"/>
    </row>
    <row r="582" customFormat="false" ht="15" hidden="false" customHeight="true" outlineLevel="0" collapsed="false">
      <c r="A582" s="455" t="s">
        <v>1827</v>
      </c>
      <c r="C582" s="456" t="n">
        <v>45534</v>
      </c>
      <c r="D582" s="456"/>
      <c r="E582" s="57" t="n">
        <v>255</v>
      </c>
      <c r="F582" s="57" t="s">
        <v>175</v>
      </c>
      <c r="G582" s="323" t="s">
        <v>10</v>
      </c>
      <c r="H582" s="98" t="n">
        <v>3000</v>
      </c>
      <c r="I582" s="457" t="n">
        <v>38.3</v>
      </c>
      <c r="J582" s="313" t="s">
        <v>1652</v>
      </c>
      <c r="K582" s="98" t="n">
        <f aca="false">I582*H582</f>
        <v>114900</v>
      </c>
      <c r="L582" s="411" t="n">
        <v>31500</v>
      </c>
      <c r="M582" s="392" t="n">
        <f aca="false">L582/K582</f>
        <v>0.274151436031332</v>
      </c>
      <c r="N582" s="466" t="n">
        <f aca="false">I582*M582</f>
        <v>10.5</v>
      </c>
      <c r="O582" s="461" t="n">
        <v>3000</v>
      </c>
      <c r="P582" s="462" t="n">
        <f aca="false">H582-O582</f>
        <v>0</v>
      </c>
      <c r="Q582" s="463" t="n">
        <f aca="false">O582*I582</f>
        <v>114900</v>
      </c>
      <c r="R582" s="48" t="n">
        <f aca="false">K582-Q582</f>
        <v>0</v>
      </c>
      <c r="S582" s="467"/>
      <c r="T582" s="2" t="s">
        <v>1711</v>
      </c>
      <c r="V582" s="464"/>
      <c r="W582" s="464"/>
      <c r="X582" s="464"/>
      <c r="Y582" s="464"/>
      <c r="Z582" s="464"/>
      <c r="AA582" s="464"/>
      <c r="AB582" s="464"/>
      <c r="AC582" s="464"/>
      <c r="AD582" s="464"/>
      <c r="AE582" s="464"/>
      <c r="AF582" s="464"/>
      <c r="AG582" s="464"/>
      <c r="AH582" s="465"/>
      <c r="AI582" s="464"/>
    </row>
    <row r="583" customFormat="false" ht="15" hidden="false" customHeight="true" outlineLevel="0" collapsed="false">
      <c r="A583" s="455" t="s">
        <v>1828</v>
      </c>
      <c r="C583" s="456" t="n">
        <v>45534</v>
      </c>
      <c r="D583" s="456"/>
      <c r="E583" s="57" t="n">
        <v>256</v>
      </c>
      <c r="F583" s="57" t="s">
        <v>175</v>
      </c>
      <c r="G583" s="323" t="s">
        <v>10</v>
      </c>
      <c r="H583" s="98" t="n">
        <v>2400</v>
      </c>
      <c r="I583" s="457" t="n">
        <v>38.3</v>
      </c>
      <c r="J583" s="313" t="s">
        <v>1652</v>
      </c>
      <c r="K583" s="98" t="n">
        <f aca="false">I583*H583</f>
        <v>91920</v>
      </c>
      <c r="L583" s="411" t="n">
        <v>25200</v>
      </c>
      <c r="M583" s="392" t="n">
        <f aca="false">L583/K583</f>
        <v>0.274151436031332</v>
      </c>
      <c r="N583" s="466" t="n">
        <f aca="false">I583*M583</f>
        <v>10.5</v>
      </c>
      <c r="O583" s="461" t="n">
        <v>2400</v>
      </c>
      <c r="P583" s="462" t="n">
        <f aca="false">H583-O583</f>
        <v>0</v>
      </c>
      <c r="Q583" s="463" t="n">
        <f aca="false">O583*I583</f>
        <v>91920</v>
      </c>
      <c r="R583" s="48" t="n">
        <f aca="false">K583-Q583</f>
        <v>0</v>
      </c>
      <c r="S583" s="467"/>
      <c r="T583" s="2" t="s">
        <v>1711</v>
      </c>
      <c r="V583" s="464"/>
      <c r="W583" s="464"/>
      <c r="X583" s="464"/>
      <c r="Y583" s="464"/>
      <c r="Z583" s="464"/>
      <c r="AA583" s="464"/>
      <c r="AB583" s="464"/>
      <c r="AC583" s="464"/>
      <c r="AD583" s="464"/>
      <c r="AE583" s="464"/>
      <c r="AF583" s="464"/>
      <c r="AG583" s="464"/>
      <c r="AH583" s="465"/>
      <c r="AI583" s="464"/>
    </row>
    <row r="584" customFormat="false" ht="15" hidden="false" customHeight="true" outlineLevel="0" collapsed="false">
      <c r="A584" s="455" t="s">
        <v>1781</v>
      </c>
      <c r="C584" s="456" t="n">
        <v>45534</v>
      </c>
      <c r="D584" s="456"/>
      <c r="E584" s="57" t="n">
        <v>257</v>
      </c>
      <c r="F584" s="57" t="s">
        <v>175</v>
      </c>
      <c r="G584" s="323" t="s">
        <v>10</v>
      </c>
      <c r="H584" s="98" t="n">
        <v>1500</v>
      </c>
      <c r="I584" s="457" t="n">
        <v>38.3</v>
      </c>
      <c r="J584" s="313" t="s">
        <v>1652</v>
      </c>
      <c r="K584" s="98" t="n">
        <f aca="false">I584*H584</f>
        <v>57450</v>
      </c>
      <c r="L584" s="411" t="n">
        <v>15540</v>
      </c>
      <c r="M584" s="392" t="n">
        <f aca="false">L584/K584</f>
        <v>0.270496083550914</v>
      </c>
      <c r="N584" s="466" t="n">
        <f aca="false">I584*M584</f>
        <v>10.36</v>
      </c>
      <c r="O584" s="461" t="n">
        <v>1500</v>
      </c>
      <c r="P584" s="462" t="n">
        <f aca="false">H584-O584</f>
        <v>0</v>
      </c>
      <c r="Q584" s="463" t="n">
        <f aca="false">O584*I584</f>
        <v>57450</v>
      </c>
      <c r="R584" s="48" t="n">
        <f aca="false">K584-Q584</f>
        <v>0</v>
      </c>
      <c r="S584" s="467"/>
      <c r="T584" s="2" t="s">
        <v>1711</v>
      </c>
      <c r="V584" s="464"/>
      <c r="W584" s="464"/>
      <c r="X584" s="464"/>
      <c r="Y584" s="464"/>
      <c r="Z584" s="464"/>
      <c r="AA584" s="464"/>
      <c r="AB584" s="464"/>
      <c r="AC584" s="464"/>
      <c r="AD584" s="464"/>
      <c r="AE584" s="464"/>
      <c r="AF584" s="464"/>
      <c r="AG584" s="464"/>
      <c r="AH584" s="465"/>
      <c r="AI584" s="464"/>
    </row>
    <row r="585" customFormat="false" ht="15" hidden="false" customHeight="true" outlineLevel="0" collapsed="false">
      <c r="A585" s="455" t="s">
        <v>1760</v>
      </c>
      <c r="C585" s="456" t="n">
        <v>45537</v>
      </c>
      <c r="D585" s="456"/>
      <c r="E585" s="57" t="n">
        <v>258</v>
      </c>
      <c r="F585" s="57" t="s">
        <v>175</v>
      </c>
      <c r="G585" s="323" t="s">
        <v>19</v>
      </c>
      <c r="H585" s="98" t="n">
        <v>80</v>
      </c>
      <c r="I585" s="457" t="n">
        <v>22.5</v>
      </c>
      <c r="J585" s="313" t="s">
        <v>1651</v>
      </c>
      <c r="K585" s="98" t="n">
        <f aca="false">I585*H585</f>
        <v>1800</v>
      </c>
      <c r="L585" s="411" t="n">
        <v>1640</v>
      </c>
      <c r="M585" s="392" t="n">
        <f aca="false">L585/K585</f>
        <v>0.911111111111111</v>
      </c>
      <c r="N585" s="466" t="n">
        <f aca="false">I585*M585</f>
        <v>20.5</v>
      </c>
      <c r="O585" s="461" t="n">
        <v>80</v>
      </c>
      <c r="P585" s="462" t="n">
        <f aca="false">H585-O585</f>
        <v>0</v>
      </c>
      <c r="Q585" s="463" t="n">
        <f aca="false">O585*I585</f>
        <v>1800</v>
      </c>
      <c r="R585" s="48" t="n">
        <f aca="false">K585-Q585</f>
        <v>0</v>
      </c>
      <c r="S585" s="467"/>
      <c r="T585" s="2" t="s">
        <v>1711</v>
      </c>
      <c r="V585" s="464"/>
      <c r="W585" s="464"/>
      <c r="X585" s="464"/>
      <c r="Y585" s="464"/>
      <c r="Z585" s="464"/>
      <c r="AA585" s="464"/>
      <c r="AB585" s="464"/>
      <c r="AC585" s="464"/>
      <c r="AD585" s="464"/>
      <c r="AE585" s="464"/>
      <c r="AF585" s="464"/>
      <c r="AG585" s="464"/>
      <c r="AH585" s="465"/>
      <c r="AI585" s="464"/>
    </row>
    <row r="586" customFormat="false" ht="15" hidden="false" customHeight="true" outlineLevel="0" collapsed="false">
      <c r="A586" s="455" t="s">
        <v>1760</v>
      </c>
      <c r="C586" s="456" t="n">
        <v>45537</v>
      </c>
      <c r="D586" s="456"/>
      <c r="E586" s="57" t="n">
        <v>258</v>
      </c>
      <c r="F586" s="57" t="s">
        <v>175</v>
      </c>
      <c r="G586" s="323" t="s">
        <v>42</v>
      </c>
      <c r="H586" s="98" t="n">
        <v>225</v>
      </c>
      <c r="I586" s="457" t="n">
        <v>30</v>
      </c>
      <c r="J586" s="313" t="s">
        <v>1651</v>
      </c>
      <c r="K586" s="98" t="n">
        <f aca="false">I586*H586</f>
        <v>6750</v>
      </c>
      <c r="L586" s="411" t="n">
        <v>3037.5</v>
      </c>
      <c r="M586" s="392" t="n">
        <f aca="false">L586/K586</f>
        <v>0.45</v>
      </c>
      <c r="N586" s="466" t="n">
        <f aca="false">I586*M586</f>
        <v>13.5</v>
      </c>
      <c r="O586" s="461" t="n">
        <v>225</v>
      </c>
      <c r="P586" s="462" t="n">
        <f aca="false">H586-O586</f>
        <v>0</v>
      </c>
      <c r="Q586" s="463" t="n">
        <f aca="false">O586*I586</f>
        <v>6750</v>
      </c>
      <c r="R586" s="48" t="n">
        <f aca="false">K586-Q586</f>
        <v>0</v>
      </c>
      <c r="S586" s="467"/>
      <c r="T586" s="2" t="s">
        <v>1711</v>
      </c>
      <c r="V586" s="464"/>
      <c r="W586" s="464"/>
      <c r="X586" s="464"/>
      <c r="Y586" s="464"/>
      <c r="Z586" s="464"/>
      <c r="AA586" s="464"/>
      <c r="AB586" s="464"/>
      <c r="AC586" s="464"/>
      <c r="AD586" s="464"/>
      <c r="AE586" s="464"/>
      <c r="AF586" s="464"/>
      <c r="AG586" s="464"/>
      <c r="AH586" s="465"/>
      <c r="AI586" s="464"/>
    </row>
    <row r="587" customFormat="false" ht="15" hidden="false" customHeight="true" outlineLevel="0" collapsed="false">
      <c r="A587" s="455" t="s">
        <v>1829</v>
      </c>
      <c r="C587" s="456" t="n">
        <v>45538</v>
      </c>
      <c r="D587" s="456"/>
      <c r="E587" s="57" t="n">
        <v>259</v>
      </c>
      <c r="F587" s="57" t="s">
        <v>175</v>
      </c>
      <c r="G587" s="323" t="s">
        <v>10</v>
      </c>
      <c r="H587" s="98" t="n">
        <v>45</v>
      </c>
      <c r="I587" s="457" t="n">
        <v>25.71</v>
      </c>
      <c r="J587" s="313" t="s">
        <v>1651</v>
      </c>
      <c r="K587" s="98" t="n">
        <f aca="false">I587*H587</f>
        <v>1156.95</v>
      </c>
      <c r="L587" s="411" t="n">
        <v>66.87</v>
      </c>
      <c r="M587" s="392" t="n">
        <f aca="false">L587/K587</f>
        <v>0.0577985219758849</v>
      </c>
      <c r="N587" s="466" t="n">
        <f aca="false">I587*M587</f>
        <v>1.486</v>
      </c>
      <c r="O587" s="461" t="n">
        <v>45</v>
      </c>
      <c r="P587" s="462" t="n">
        <f aca="false">H587-O587</f>
        <v>0</v>
      </c>
      <c r="Q587" s="463" t="n">
        <f aca="false">O587*I587</f>
        <v>1156.95</v>
      </c>
      <c r="R587" s="48" t="n">
        <f aca="false">K587-Q587</f>
        <v>0</v>
      </c>
      <c r="S587" s="467"/>
      <c r="T587" s="2" t="s">
        <v>1711</v>
      </c>
      <c r="V587" s="464"/>
      <c r="W587" s="464"/>
      <c r="X587" s="464"/>
      <c r="Y587" s="464"/>
      <c r="Z587" s="464"/>
      <c r="AA587" s="464"/>
      <c r="AB587" s="464"/>
      <c r="AC587" s="464"/>
      <c r="AD587" s="464"/>
      <c r="AE587" s="464"/>
      <c r="AF587" s="464"/>
      <c r="AG587" s="464"/>
      <c r="AH587" s="465"/>
      <c r="AI587" s="464"/>
    </row>
    <row r="588" customFormat="false" ht="15" hidden="false" customHeight="true" outlineLevel="0" collapsed="false">
      <c r="A588" s="455" t="s">
        <v>58</v>
      </c>
      <c r="C588" s="456" t="n">
        <v>45538</v>
      </c>
      <c r="D588" s="456"/>
      <c r="E588" s="57" t="n">
        <v>260</v>
      </c>
      <c r="F588" s="57" t="s">
        <v>175</v>
      </c>
      <c r="G588" s="323" t="s">
        <v>19</v>
      </c>
      <c r="H588" s="98" t="n">
        <v>195</v>
      </c>
      <c r="I588" s="457" t="n">
        <v>22.5</v>
      </c>
      <c r="J588" s="313" t="s">
        <v>1651</v>
      </c>
      <c r="K588" s="98" t="n">
        <f aca="false">I588*H588</f>
        <v>4387.5</v>
      </c>
      <c r="L588" s="411" t="n">
        <v>3644.55</v>
      </c>
      <c r="M588" s="392" t="n">
        <f aca="false">L588/K588</f>
        <v>0.830666666666667</v>
      </c>
      <c r="N588" s="466" t="n">
        <f aca="false">I588*M588</f>
        <v>18.69</v>
      </c>
      <c r="O588" s="461" t="n">
        <v>195</v>
      </c>
      <c r="P588" s="462" t="n">
        <f aca="false">H588-O588</f>
        <v>0</v>
      </c>
      <c r="Q588" s="463" t="n">
        <f aca="false">O588*I588</f>
        <v>4387.5</v>
      </c>
      <c r="R588" s="48" t="n">
        <f aca="false">K588-Q588</f>
        <v>0</v>
      </c>
      <c r="S588" s="467"/>
      <c r="T588" s="2" t="s">
        <v>1711</v>
      </c>
      <c r="V588" s="464"/>
      <c r="W588" s="464"/>
      <c r="X588" s="464"/>
      <c r="Y588" s="464"/>
      <c r="Z588" s="464"/>
      <c r="AA588" s="464"/>
      <c r="AB588" s="464"/>
      <c r="AC588" s="464"/>
      <c r="AD588" s="464"/>
      <c r="AE588" s="464"/>
      <c r="AF588" s="464"/>
      <c r="AG588" s="464"/>
      <c r="AH588" s="465"/>
      <c r="AI588" s="464"/>
    </row>
    <row r="589" customFormat="false" ht="15" hidden="false" customHeight="true" outlineLevel="0" collapsed="false">
      <c r="A589" s="455" t="s">
        <v>1830</v>
      </c>
      <c r="C589" s="456" t="n">
        <v>45539</v>
      </c>
      <c r="D589" s="456"/>
      <c r="E589" s="57" t="n">
        <v>261</v>
      </c>
      <c r="F589" s="323" t="s">
        <v>175</v>
      </c>
      <c r="G589" s="323" t="s">
        <v>20</v>
      </c>
      <c r="H589" s="98" t="n">
        <v>33105</v>
      </c>
      <c r="I589" s="457" t="n">
        <v>38.29</v>
      </c>
      <c r="J589" s="313" t="s">
        <v>1652</v>
      </c>
      <c r="K589" s="98" t="n">
        <f aca="false">I589*H589</f>
        <v>1267590.45</v>
      </c>
      <c r="L589" s="411" t="n">
        <v>292979.25</v>
      </c>
      <c r="M589" s="392" t="n">
        <f aca="false">L589/K589</f>
        <v>0.231130843562288</v>
      </c>
      <c r="N589" s="466" t="n">
        <f aca="false">I589*M589</f>
        <v>8.85</v>
      </c>
      <c r="O589" s="461" t="n">
        <v>33105</v>
      </c>
      <c r="P589" s="462" t="n">
        <f aca="false">H589-O589</f>
        <v>0</v>
      </c>
      <c r="Q589" s="463" t="n">
        <f aca="false">O589*I589</f>
        <v>1267590.45</v>
      </c>
      <c r="R589" s="48" t="n">
        <f aca="false">K589-Q589</f>
        <v>0</v>
      </c>
      <c r="S589" s="467"/>
      <c r="T589" s="2" t="s">
        <v>1711</v>
      </c>
      <c r="V589" s="464"/>
      <c r="W589" s="464"/>
      <c r="X589" s="464"/>
      <c r="Y589" s="464"/>
      <c r="Z589" s="464"/>
      <c r="AA589" s="464"/>
      <c r="AB589" s="464"/>
      <c r="AC589" s="464"/>
      <c r="AD589" s="464"/>
      <c r="AE589" s="464"/>
      <c r="AF589" s="464"/>
      <c r="AG589" s="464"/>
      <c r="AH589" s="465"/>
      <c r="AI589" s="464"/>
    </row>
    <row r="590" customFormat="false" ht="15" hidden="false" customHeight="true" outlineLevel="0" collapsed="false">
      <c r="A590" s="455" t="s">
        <v>1830</v>
      </c>
      <c r="C590" s="456" t="n">
        <v>45539</v>
      </c>
      <c r="D590" s="456"/>
      <c r="E590" s="57" t="n">
        <v>262</v>
      </c>
      <c r="F590" s="323" t="s">
        <v>175</v>
      </c>
      <c r="G590" s="323" t="s">
        <v>20</v>
      </c>
      <c r="H590" s="98" t="n">
        <v>6300</v>
      </c>
      <c r="I590" s="457" t="n">
        <v>38.29</v>
      </c>
      <c r="J590" s="313" t="s">
        <v>1652</v>
      </c>
      <c r="K590" s="98" t="n">
        <f aca="false">I590*H590</f>
        <v>241227</v>
      </c>
      <c r="L590" s="411" t="n">
        <v>55755</v>
      </c>
      <c r="M590" s="392" t="n">
        <f aca="false">L590/K590</f>
        <v>0.231130843562288</v>
      </c>
      <c r="N590" s="466" t="n">
        <f aca="false">I590*M590</f>
        <v>8.85</v>
      </c>
      <c r="O590" s="461" t="n">
        <v>6300</v>
      </c>
      <c r="P590" s="462" t="n">
        <f aca="false">H590-O590</f>
        <v>0</v>
      </c>
      <c r="Q590" s="463" t="n">
        <f aca="false">O590*I590</f>
        <v>241227</v>
      </c>
      <c r="R590" s="48" t="n">
        <f aca="false">K590-Q590</f>
        <v>0</v>
      </c>
      <c r="S590" s="467"/>
      <c r="T590" s="2" t="s">
        <v>1711</v>
      </c>
      <c r="V590" s="464"/>
      <c r="W590" s="464"/>
      <c r="X590" s="464"/>
      <c r="Y590" s="464"/>
      <c r="Z590" s="464"/>
      <c r="AA590" s="464"/>
      <c r="AB590" s="464"/>
      <c r="AC590" s="464"/>
      <c r="AD590" s="464"/>
      <c r="AE590" s="464"/>
      <c r="AF590" s="464"/>
      <c r="AG590" s="464"/>
      <c r="AH590" s="465"/>
      <c r="AI590" s="464"/>
    </row>
    <row r="591" customFormat="false" ht="15" hidden="false" customHeight="true" outlineLevel="0" collapsed="false">
      <c r="A591" s="455" t="s">
        <v>1796</v>
      </c>
      <c r="C591" s="456" t="n">
        <v>45540</v>
      </c>
      <c r="D591" s="456"/>
      <c r="E591" s="57" t="n">
        <v>13811</v>
      </c>
      <c r="F591" s="323" t="s">
        <v>175</v>
      </c>
      <c r="G591" s="323" t="s">
        <v>17</v>
      </c>
      <c r="H591" s="98" t="n">
        <v>2520</v>
      </c>
      <c r="I591" s="457" t="n">
        <v>22.5</v>
      </c>
      <c r="J591" s="313" t="s">
        <v>1651</v>
      </c>
      <c r="K591" s="98" t="n">
        <f aca="false">I591*H591</f>
        <v>56700</v>
      </c>
      <c r="L591" s="411" t="n">
        <v>31250</v>
      </c>
      <c r="M591" s="392" t="n">
        <f aca="false">L591/K591</f>
        <v>0.551146384479718</v>
      </c>
      <c r="N591" s="466" t="n">
        <f aca="false">I591*M591</f>
        <v>12.4007936507937</v>
      </c>
      <c r="O591" s="461" t="n">
        <v>2520</v>
      </c>
      <c r="P591" s="462" t="n">
        <f aca="false">H591-O591</f>
        <v>0</v>
      </c>
      <c r="Q591" s="463" t="n">
        <f aca="false">O591*I591</f>
        <v>56700</v>
      </c>
      <c r="R591" s="48" t="n">
        <f aca="false">K591-Q591</f>
        <v>0</v>
      </c>
      <c r="S591" s="467"/>
      <c r="T591" s="2" t="s">
        <v>1797</v>
      </c>
      <c r="V591" s="464"/>
      <c r="W591" s="464"/>
      <c r="X591" s="464"/>
      <c r="Y591" s="464"/>
      <c r="Z591" s="464"/>
      <c r="AA591" s="464"/>
      <c r="AB591" s="464"/>
      <c r="AC591" s="464"/>
      <c r="AD591" s="464"/>
      <c r="AE591" s="464"/>
      <c r="AF591" s="464"/>
      <c r="AG591" s="464"/>
      <c r="AH591" s="465"/>
      <c r="AI591" s="464"/>
    </row>
    <row r="592" customFormat="false" ht="15" hidden="false" customHeight="true" outlineLevel="0" collapsed="false">
      <c r="A592" s="455" t="s">
        <v>1831</v>
      </c>
      <c r="C592" s="456" t="n">
        <v>45540</v>
      </c>
      <c r="D592" s="456"/>
      <c r="E592" s="57" t="n">
        <v>13812</v>
      </c>
      <c r="F592" s="323" t="s">
        <v>175</v>
      </c>
      <c r="G592" s="323" t="s">
        <v>5</v>
      </c>
      <c r="H592" s="98" t="n">
        <v>150</v>
      </c>
      <c r="I592" s="457" t="n">
        <v>25.71</v>
      </c>
      <c r="J592" s="313" t="s">
        <v>1651</v>
      </c>
      <c r="K592" s="99" t="n">
        <f aca="false">I592*H592</f>
        <v>3856.5</v>
      </c>
      <c r="L592" s="411" t="n">
        <v>2250</v>
      </c>
      <c r="M592" s="392" t="n">
        <f aca="false">L592/K592</f>
        <v>0.58343057176196</v>
      </c>
      <c r="N592" s="466" t="n">
        <f aca="false">I592*M592</f>
        <v>15</v>
      </c>
      <c r="O592" s="461" t="n">
        <v>150</v>
      </c>
      <c r="P592" s="462" t="n">
        <f aca="false">H592-O592</f>
        <v>0</v>
      </c>
      <c r="Q592" s="463" t="n">
        <f aca="false">O592*I592</f>
        <v>3856.5</v>
      </c>
      <c r="R592" s="48" t="n">
        <f aca="false">K592-Q592</f>
        <v>0</v>
      </c>
      <c r="S592" s="467"/>
      <c r="T592" s="2" t="s">
        <v>1711</v>
      </c>
      <c r="V592" s="464"/>
      <c r="W592" s="464"/>
      <c r="X592" s="464"/>
      <c r="Y592" s="464"/>
      <c r="Z592" s="464"/>
      <c r="AA592" s="464"/>
      <c r="AB592" s="464"/>
      <c r="AC592" s="464"/>
      <c r="AD592" s="464"/>
      <c r="AE592" s="464"/>
      <c r="AF592" s="464"/>
      <c r="AG592" s="464"/>
      <c r="AH592" s="465"/>
      <c r="AI592" s="464"/>
    </row>
    <row r="593" customFormat="false" ht="15" hidden="false" customHeight="true" outlineLevel="0" collapsed="false">
      <c r="A593" s="455" t="s">
        <v>1832</v>
      </c>
      <c r="C593" s="456" t="n">
        <v>45540</v>
      </c>
      <c r="D593" s="456"/>
      <c r="E593" s="57" t="n">
        <v>13813</v>
      </c>
      <c r="F593" s="323" t="s">
        <v>175</v>
      </c>
      <c r="G593" s="323" t="s">
        <v>5</v>
      </c>
      <c r="H593" s="98" t="n">
        <v>510</v>
      </c>
      <c r="I593" s="457" t="n">
        <v>25.71</v>
      </c>
      <c r="J593" s="313" t="s">
        <v>1651</v>
      </c>
      <c r="K593" s="98" t="n">
        <f aca="false">I593*H593</f>
        <v>13112.1</v>
      </c>
      <c r="L593" s="411" t="n">
        <v>7624.5</v>
      </c>
      <c r="M593" s="392" t="n">
        <f aca="false">L593/K593</f>
        <v>0.58148580318942</v>
      </c>
      <c r="N593" s="466" t="n">
        <f aca="false">I593*M593</f>
        <v>14.95</v>
      </c>
      <c r="O593" s="461" t="n">
        <v>510</v>
      </c>
      <c r="P593" s="462" t="n">
        <f aca="false">H593-O593</f>
        <v>0</v>
      </c>
      <c r="Q593" s="463" t="n">
        <f aca="false">O593*I593</f>
        <v>13112.1</v>
      </c>
      <c r="R593" s="48" t="n">
        <f aca="false">K593-Q593</f>
        <v>0</v>
      </c>
      <c r="S593" s="467"/>
      <c r="T593" s="2" t="s">
        <v>1711</v>
      </c>
      <c r="V593" s="464"/>
      <c r="W593" s="464"/>
      <c r="X593" s="464"/>
      <c r="Y593" s="464"/>
      <c r="Z593" s="464"/>
      <c r="AA593" s="464"/>
      <c r="AB593" s="464"/>
      <c r="AC593" s="464"/>
      <c r="AD593" s="464"/>
      <c r="AE593" s="464"/>
      <c r="AF593" s="464"/>
      <c r="AG593" s="464"/>
      <c r="AH593" s="465"/>
      <c r="AI593" s="464"/>
    </row>
    <row r="594" customFormat="false" ht="15" hidden="false" customHeight="true" outlineLevel="0" collapsed="false">
      <c r="A594" s="455" t="s">
        <v>1832</v>
      </c>
      <c r="C594" s="456" t="n">
        <v>45540</v>
      </c>
      <c r="D594" s="456"/>
      <c r="E594" s="57" t="n">
        <v>13813</v>
      </c>
      <c r="F594" s="323" t="s">
        <v>175</v>
      </c>
      <c r="G594" s="323" t="s">
        <v>42</v>
      </c>
      <c r="H594" s="98" t="n">
        <v>75</v>
      </c>
      <c r="I594" s="457" t="n">
        <v>30</v>
      </c>
      <c r="J594" s="313" t="s">
        <v>1651</v>
      </c>
      <c r="K594" s="98" t="n">
        <f aca="false">I594*H594</f>
        <v>2250</v>
      </c>
      <c r="L594" s="411" t="n">
        <v>1474.5</v>
      </c>
      <c r="M594" s="392" t="n">
        <f aca="false">L594/K594</f>
        <v>0.655333333333333</v>
      </c>
      <c r="N594" s="466" t="n">
        <f aca="false">I594*M594</f>
        <v>19.66</v>
      </c>
      <c r="O594" s="461" t="n">
        <v>75</v>
      </c>
      <c r="P594" s="462" t="n">
        <f aca="false">H594-O594</f>
        <v>0</v>
      </c>
      <c r="Q594" s="463" t="n">
        <f aca="false">O594*I594</f>
        <v>2250</v>
      </c>
      <c r="R594" s="48" t="n">
        <f aca="false">K594-Q594</f>
        <v>0</v>
      </c>
      <c r="S594" s="467"/>
      <c r="T594" s="2" t="s">
        <v>1711</v>
      </c>
      <c r="V594" s="464"/>
      <c r="W594" s="464"/>
      <c r="X594" s="464"/>
      <c r="Y594" s="464"/>
      <c r="Z594" s="464"/>
      <c r="AA594" s="464"/>
      <c r="AB594" s="464"/>
      <c r="AC594" s="464"/>
      <c r="AD594" s="464"/>
      <c r="AE594" s="464"/>
      <c r="AF594" s="464"/>
      <c r="AG594" s="464"/>
      <c r="AH594" s="465"/>
      <c r="AI594" s="464"/>
    </row>
    <row r="595" customFormat="false" ht="15" hidden="false" customHeight="true" outlineLevel="0" collapsed="false">
      <c r="A595" s="455" t="s">
        <v>1832</v>
      </c>
      <c r="C595" s="456" t="n">
        <v>45540</v>
      </c>
      <c r="D595" s="456"/>
      <c r="E595" s="57" t="n">
        <v>13813</v>
      </c>
      <c r="F595" s="323" t="s">
        <v>175</v>
      </c>
      <c r="G595" s="323" t="s">
        <v>6</v>
      </c>
      <c r="H595" s="98" t="n">
        <v>75</v>
      </c>
      <c r="I595" s="457" t="n">
        <v>30</v>
      </c>
      <c r="J595" s="313" t="s">
        <v>1651</v>
      </c>
      <c r="K595" s="98" t="n">
        <f aca="false">I595*H595</f>
        <v>2250</v>
      </c>
      <c r="L595" s="411" t="n">
        <v>1229.25</v>
      </c>
      <c r="M595" s="392" t="n">
        <f aca="false">L595/K595</f>
        <v>0.546333333333333</v>
      </c>
      <c r="N595" s="466" t="n">
        <f aca="false">I595*M595</f>
        <v>16.39</v>
      </c>
      <c r="O595" s="461" t="n">
        <v>75</v>
      </c>
      <c r="P595" s="462" t="n">
        <f aca="false">H595-O595</f>
        <v>0</v>
      </c>
      <c r="Q595" s="463" t="n">
        <f aca="false">O595*I595</f>
        <v>2250</v>
      </c>
      <c r="R595" s="48" t="n">
        <f aca="false">K595-Q595</f>
        <v>0</v>
      </c>
      <c r="S595" s="467"/>
      <c r="T595" s="2" t="s">
        <v>1711</v>
      </c>
      <c r="V595" s="464"/>
      <c r="W595" s="464"/>
      <c r="X595" s="464"/>
      <c r="Y595" s="464"/>
      <c r="Z595" s="464"/>
      <c r="AA595" s="464"/>
      <c r="AB595" s="464"/>
      <c r="AC595" s="464"/>
      <c r="AD595" s="464"/>
      <c r="AE595" s="464"/>
      <c r="AF595" s="464"/>
      <c r="AG595" s="464"/>
      <c r="AH595" s="465"/>
      <c r="AI595" s="464"/>
    </row>
    <row r="596" customFormat="false" ht="15" hidden="false" customHeight="true" outlineLevel="0" collapsed="false">
      <c r="A596" s="455" t="s">
        <v>1796</v>
      </c>
      <c r="C596" s="456" t="n">
        <v>45540</v>
      </c>
      <c r="D596" s="456"/>
      <c r="E596" s="323" t="n">
        <v>13814</v>
      </c>
      <c r="F596" s="323" t="s">
        <v>175</v>
      </c>
      <c r="G596" s="323" t="s">
        <v>42</v>
      </c>
      <c r="H596" s="98" t="n">
        <v>11955</v>
      </c>
      <c r="I596" s="457" t="n">
        <v>30</v>
      </c>
      <c r="J596" s="313" t="s">
        <v>1651</v>
      </c>
      <c r="K596" s="98" t="n">
        <f aca="false">I596*H596</f>
        <v>358650</v>
      </c>
      <c r="L596" s="411" t="n">
        <v>149400</v>
      </c>
      <c r="M596" s="392" t="n">
        <f aca="false">L596/K596</f>
        <v>0.416562107904642</v>
      </c>
      <c r="N596" s="466" t="n">
        <f aca="false">I596*M596</f>
        <v>12.4968632371393</v>
      </c>
      <c r="O596" s="461" t="n">
        <v>11955</v>
      </c>
      <c r="P596" s="462" t="n">
        <f aca="false">H596-O596</f>
        <v>0</v>
      </c>
      <c r="Q596" s="463" t="n">
        <f aca="false">O596*I596</f>
        <v>358650</v>
      </c>
      <c r="R596" s="48" t="n">
        <f aca="false">K596-Q596</f>
        <v>0</v>
      </c>
      <c r="S596" s="467"/>
      <c r="T596" s="2" t="s">
        <v>1797</v>
      </c>
      <c r="V596" s="464"/>
      <c r="W596" s="464"/>
      <c r="X596" s="464"/>
      <c r="Y596" s="464"/>
      <c r="Z596" s="464"/>
      <c r="AA596" s="464"/>
      <c r="AB596" s="464"/>
      <c r="AC596" s="464"/>
      <c r="AD596" s="464"/>
      <c r="AE596" s="464"/>
      <c r="AF596" s="464"/>
      <c r="AG596" s="464"/>
      <c r="AH596" s="465"/>
      <c r="AI596" s="464"/>
    </row>
    <row r="597" customFormat="false" ht="15" hidden="false" customHeight="true" outlineLevel="0" collapsed="false">
      <c r="A597" s="455" t="s">
        <v>1833</v>
      </c>
      <c r="C597" s="456" t="n">
        <v>45540</v>
      </c>
      <c r="D597" s="456"/>
      <c r="E597" s="57" t="n">
        <v>13815</v>
      </c>
      <c r="F597" s="323" t="s">
        <v>175</v>
      </c>
      <c r="G597" s="323" t="s">
        <v>5</v>
      </c>
      <c r="H597" s="98" t="n">
        <v>720</v>
      </c>
      <c r="I597" s="457" t="n">
        <v>25.71</v>
      </c>
      <c r="J597" s="313" t="s">
        <v>1651</v>
      </c>
      <c r="K597" s="98" t="n">
        <f aca="false">I597*H597</f>
        <v>18511.2</v>
      </c>
      <c r="L597" s="411" t="n">
        <v>10764</v>
      </c>
      <c r="M597" s="392" t="n">
        <f aca="false">L597/K597</f>
        <v>0.58148580318942</v>
      </c>
      <c r="N597" s="466" t="n">
        <f aca="false">I597*M597</f>
        <v>14.95</v>
      </c>
      <c r="O597" s="461" t="n">
        <v>720</v>
      </c>
      <c r="P597" s="462" t="n">
        <f aca="false">H597-O597</f>
        <v>0</v>
      </c>
      <c r="Q597" s="463" t="n">
        <f aca="false">O597*I597</f>
        <v>18511.2</v>
      </c>
      <c r="R597" s="48" t="n">
        <f aca="false">K597-Q597</f>
        <v>0</v>
      </c>
      <c r="S597" s="467"/>
      <c r="T597" s="2" t="s">
        <v>1711</v>
      </c>
      <c r="V597" s="464"/>
      <c r="W597" s="464"/>
      <c r="X597" s="464"/>
      <c r="Y597" s="464"/>
      <c r="Z597" s="464"/>
      <c r="AA597" s="464"/>
      <c r="AB597" s="464"/>
      <c r="AC597" s="464"/>
      <c r="AD597" s="464"/>
      <c r="AE597" s="464"/>
      <c r="AF597" s="464"/>
      <c r="AG597" s="464"/>
      <c r="AH597" s="465"/>
      <c r="AI597" s="464"/>
    </row>
    <row r="598" customFormat="false" ht="15" hidden="false" customHeight="true" outlineLevel="0" collapsed="false">
      <c r="A598" s="455" t="s">
        <v>1834</v>
      </c>
      <c r="C598" s="456" t="n">
        <v>45540</v>
      </c>
      <c r="D598" s="456"/>
      <c r="E598" s="57" t="n">
        <v>13816</v>
      </c>
      <c r="F598" s="323" t="s">
        <v>175</v>
      </c>
      <c r="G598" s="323" t="s">
        <v>6</v>
      </c>
      <c r="H598" s="98" t="n">
        <v>165</v>
      </c>
      <c r="I598" s="457" t="n">
        <v>45</v>
      </c>
      <c r="J598" s="313" t="s">
        <v>1652</v>
      </c>
      <c r="K598" s="98" t="n">
        <f aca="false">I598*H598</f>
        <v>7425</v>
      </c>
      <c r="L598" s="411" t="n">
        <v>4257</v>
      </c>
      <c r="M598" s="392" t="n">
        <f aca="false">L598/K598</f>
        <v>0.573333333333333</v>
      </c>
      <c r="N598" s="466" t="n">
        <f aca="false">I598*M598</f>
        <v>25.8</v>
      </c>
      <c r="O598" s="461" t="n">
        <v>165</v>
      </c>
      <c r="P598" s="462" t="n">
        <f aca="false">H598-O598</f>
        <v>0</v>
      </c>
      <c r="Q598" s="463" t="n">
        <f aca="false">O598*I598</f>
        <v>7425</v>
      </c>
      <c r="R598" s="48" t="n">
        <f aca="false">K598-Q598</f>
        <v>0</v>
      </c>
      <c r="S598" s="467"/>
      <c r="T598" s="2" t="s">
        <v>1711</v>
      </c>
      <c r="V598" s="464"/>
      <c r="W598" s="464"/>
      <c r="X598" s="464"/>
      <c r="Y598" s="464"/>
      <c r="Z598" s="464"/>
      <c r="AA598" s="464"/>
      <c r="AB598" s="464"/>
      <c r="AC598" s="464"/>
      <c r="AD598" s="464"/>
      <c r="AE598" s="464"/>
      <c r="AF598" s="464"/>
      <c r="AG598" s="464"/>
      <c r="AH598" s="465"/>
      <c r="AI598" s="464"/>
    </row>
    <row r="599" customFormat="false" ht="15" hidden="false" customHeight="true" outlineLevel="0" collapsed="false">
      <c r="A599" s="455" t="s">
        <v>1834</v>
      </c>
      <c r="C599" s="456" t="n">
        <v>45540</v>
      </c>
      <c r="D599" s="456"/>
      <c r="E599" s="57" t="n">
        <v>13816</v>
      </c>
      <c r="F599" s="323" t="s">
        <v>175</v>
      </c>
      <c r="G599" s="323" t="s">
        <v>10</v>
      </c>
      <c r="H599" s="98" t="n">
        <v>255</v>
      </c>
      <c r="I599" s="457" t="n">
        <v>38.3</v>
      </c>
      <c r="J599" s="313" t="s">
        <v>1652</v>
      </c>
      <c r="K599" s="98" t="n">
        <f aca="false">I599*H599</f>
        <v>9766.5</v>
      </c>
      <c r="L599" s="411" t="n">
        <v>3477.35</v>
      </c>
      <c r="M599" s="392" t="n">
        <f aca="false">L599/K599</f>
        <v>0.356048738033072</v>
      </c>
      <c r="N599" s="466" t="n">
        <f aca="false">I599*M599</f>
        <v>13.6366666666667</v>
      </c>
      <c r="O599" s="461" t="n">
        <v>255</v>
      </c>
      <c r="P599" s="462" t="n">
        <f aca="false">H599-O599</f>
        <v>0</v>
      </c>
      <c r="Q599" s="463" t="n">
        <f aca="false">O599*I599</f>
        <v>9766.5</v>
      </c>
      <c r="R599" s="48" t="n">
        <f aca="false">K599-Q599</f>
        <v>0</v>
      </c>
      <c r="S599" s="467"/>
      <c r="T599" s="2" t="s">
        <v>1711</v>
      </c>
      <c r="V599" s="464"/>
      <c r="W599" s="464"/>
      <c r="X599" s="464"/>
      <c r="Y599" s="464"/>
      <c r="Z599" s="464"/>
      <c r="AA599" s="464"/>
      <c r="AB599" s="464"/>
      <c r="AC599" s="464"/>
      <c r="AD599" s="464"/>
      <c r="AE599" s="464"/>
      <c r="AF599" s="464"/>
      <c r="AG599" s="464"/>
      <c r="AH599" s="465"/>
      <c r="AI599" s="464"/>
    </row>
    <row r="600" customFormat="false" ht="15" hidden="false" customHeight="true" outlineLevel="0" collapsed="false">
      <c r="A600" s="455" t="s">
        <v>1835</v>
      </c>
      <c r="C600" s="456" t="n">
        <v>45540</v>
      </c>
      <c r="D600" s="456"/>
      <c r="E600" s="57" t="n">
        <v>13817</v>
      </c>
      <c r="F600" s="323" t="s">
        <v>175</v>
      </c>
      <c r="G600" s="323" t="s">
        <v>7</v>
      </c>
      <c r="H600" s="98" t="n">
        <v>15</v>
      </c>
      <c r="I600" s="457" t="n">
        <v>25.71</v>
      </c>
      <c r="J600" s="313" t="s">
        <v>1651</v>
      </c>
      <c r="K600" s="99" t="n">
        <f aca="false">I600*H600</f>
        <v>385.65</v>
      </c>
      <c r="L600" s="411" t="n">
        <v>12.3</v>
      </c>
      <c r="M600" s="392" t="n">
        <f aca="false">L600/K600</f>
        <v>0.0318942045896538</v>
      </c>
      <c r="N600" s="466" t="n">
        <f aca="false">I600*M600</f>
        <v>0.82</v>
      </c>
      <c r="O600" s="461" t="n">
        <v>15</v>
      </c>
      <c r="P600" s="462" t="n">
        <f aca="false">H600-O600</f>
        <v>0</v>
      </c>
      <c r="Q600" s="463" t="n">
        <f aca="false">O600*I600</f>
        <v>385.65</v>
      </c>
      <c r="R600" s="48" t="n">
        <f aca="false">K600-Q600</f>
        <v>0</v>
      </c>
      <c r="S600" s="467"/>
      <c r="T600" s="2" t="s">
        <v>1711</v>
      </c>
      <c r="V600" s="464"/>
      <c r="W600" s="464"/>
      <c r="X600" s="464"/>
      <c r="Y600" s="464"/>
      <c r="Z600" s="464"/>
      <c r="AA600" s="464"/>
      <c r="AB600" s="464"/>
      <c r="AC600" s="464"/>
      <c r="AD600" s="464"/>
      <c r="AE600" s="464"/>
      <c r="AF600" s="464"/>
      <c r="AG600" s="464"/>
      <c r="AH600" s="465"/>
      <c r="AI600" s="464"/>
    </row>
    <row r="601" customFormat="false" ht="15" hidden="false" customHeight="true" outlineLevel="0" collapsed="false">
      <c r="A601" s="455" t="s">
        <v>1835</v>
      </c>
      <c r="C601" s="456" t="n">
        <v>45540</v>
      </c>
      <c r="D601" s="456"/>
      <c r="E601" s="57" t="n">
        <v>13817</v>
      </c>
      <c r="F601" s="323" t="s">
        <v>175</v>
      </c>
      <c r="G601" s="323" t="s">
        <v>11</v>
      </c>
      <c r="H601" s="98" t="n">
        <v>15</v>
      </c>
      <c r="I601" s="457" t="n">
        <v>14</v>
      </c>
      <c r="J601" s="313" t="s">
        <v>1651</v>
      </c>
      <c r="K601" s="99" t="n">
        <f aca="false">I601*H601</f>
        <v>210</v>
      </c>
      <c r="L601" s="411" t="n">
        <v>14.8</v>
      </c>
      <c r="M601" s="392" t="n">
        <f aca="false">L601/K601</f>
        <v>0.0704761904761905</v>
      </c>
      <c r="N601" s="466" t="n">
        <f aca="false">I601*M601</f>
        <v>0.986666666666667</v>
      </c>
      <c r="O601" s="461" t="n">
        <v>15</v>
      </c>
      <c r="P601" s="462" t="n">
        <f aca="false">H601-O601</f>
        <v>0</v>
      </c>
      <c r="Q601" s="463" t="n">
        <f aca="false">O601*I601</f>
        <v>210</v>
      </c>
      <c r="R601" s="48" t="n">
        <f aca="false">K601-Q601</f>
        <v>0</v>
      </c>
      <c r="S601" s="467"/>
      <c r="T601" s="2" t="s">
        <v>1711</v>
      </c>
      <c r="V601" s="464"/>
      <c r="W601" s="464"/>
      <c r="X601" s="464"/>
      <c r="Y601" s="464"/>
      <c r="Z601" s="464"/>
      <c r="AA601" s="464"/>
      <c r="AB601" s="464"/>
      <c r="AC601" s="464"/>
      <c r="AD601" s="464"/>
      <c r="AE601" s="464"/>
      <c r="AF601" s="464"/>
      <c r="AG601" s="464"/>
      <c r="AH601" s="465"/>
      <c r="AI601" s="464"/>
    </row>
    <row r="602" customFormat="false" ht="15" hidden="false" customHeight="true" outlineLevel="0" collapsed="false">
      <c r="A602" s="455" t="s">
        <v>1835</v>
      </c>
      <c r="C602" s="456" t="n">
        <v>45540</v>
      </c>
      <c r="D602" s="456"/>
      <c r="E602" s="57" t="n">
        <v>13817</v>
      </c>
      <c r="F602" s="323" t="s">
        <v>175</v>
      </c>
      <c r="G602" s="323" t="s">
        <v>17</v>
      </c>
      <c r="H602" s="98" t="n">
        <v>15</v>
      </c>
      <c r="I602" s="457" t="n">
        <v>22.5</v>
      </c>
      <c r="J602" s="313" t="s">
        <v>1651</v>
      </c>
      <c r="K602" s="99" t="n">
        <f aca="false">I602*H602</f>
        <v>337.5</v>
      </c>
      <c r="L602" s="411" t="n">
        <v>9.8</v>
      </c>
      <c r="M602" s="392" t="n">
        <f aca="false">L602/K602</f>
        <v>0.029037037037037</v>
      </c>
      <c r="N602" s="466" t="n">
        <f aca="false">I602*M602</f>
        <v>0.653333333333333</v>
      </c>
      <c r="O602" s="461" t="n">
        <v>15</v>
      </c>
      <c r="P602" s="462" t="n">
        <f aca="false">H602-O602</f>
        <v>0</v>
      </c>
      <c r="Q602" s="463" t="n">
        <f aca="false">O602*I602</f>
        <v>337.5</v>
      </c>
      <c r="R602" s="48" t="n">
        <f aca="false">K602-Q602</f>
        <v>0</v>
      </c>
      <c r="S602" s="467"/>
      <c r="T602" s="2" t="s">
        <v>1711</v>
      </c>
      <c r="V602" s="464"/>
      <c r="W602" s="464"/>
      <c r="X602" s="464"/>
      <c r="Y602" s="464"/>
      <c r="Z602" s="464"/>
      <c r="AA602" s="464"/>
      <c r="AB602" s="464"/>
      <c r="AC602" s="464"/>
      <c r="AD602" s="464"/>
      <c r="AE602" s="464"/>
      <c r="AF602" s="464"/>
      <c r="AG602" s="464"/>
      <c r="AH602" s="465"/>
      <c r="AI602" s="464"/>
    </row>
    <row r="603" customFormat="false" ht="15" hidden="false" customHeight="true" outlineLevel="0" collapsed="false">
      <c r="A603" s="455" t="s">
        <v>1836</v>
      </c>
      <c r="C603" s="456" t="n">
        <v>45540</v>
      </c>
      <c r="D603" s="456"/>
      <c r="E603" s="57" t="n">
        <v>13818</v>
      </c>
      <c r="F603" s="323" t="s">
        <v>175</v>
      </c>
      <c r="G603" s="323" t="s">
        <v>5</v>
      </c>
      <c r="H603" s="98" t="n">
        <v>150</v>
      </c>
      <c r="I603" s="457" t="n">
        <v>25.71</v>
      </c>
      <c r="J603" s="313" t="s">
        <v>1651</v>
      </c>
      <c r="K603" s="98" t="n">
        <f aca="false">I603*H603</f>
        <v>3856.5</v>
      </c>
      <c r="L603" s="411" t="n">
        <v>1920</v>
      </c>
      <c r="M603" s="392" t="n">
        <f aca="false">L603/K603</f>
        <v>0.497860754570206</v>
      </c>
      <c r="N603" s="466" t="n">
        <f aca="false">I603*M603</f>
        <v>12.8</v>
      </c>
      <c r="O603" s="461" t="n">
        <v>150</v>
      </c>
      <c r="P603" s="462" t="n">
        <f aca="false">H603-O603</f>
        <v>0</v>
      </c>
      <c r="Q603" s="463" t="n">
        <f aca="false">O603*I603</f>
        <v>3856.5</v>
      </c>
      <c r="R603" s="48" t="n">
        <f aca="false">K603-Q603</f>
        <v>0</v>
      </c>
      <c r="S603" s="467"/>
      <c r="T603" s="2" t="s">
        <v>1711</v>
      </c>
      <c r="V603" s="464"/>
      <c r="W603" s="464"/>
      <c r="X603" s="464"/>
      <c r="Y603" s="464"/>
      <c r="Z603" s="464"/>
      <c r="AA603" s="464"/>
      <c r="AB603" s="464"/>
      <c r="AC603" s="464"/>
      <c r="AD603" s="464"/>
      <c r="AE603" s="464"/>
      <c r="AF603" s="464"/>
      <c r="AG603" s="464"/>
      <c r="AH603" s="465"/>
      <c r="AI603" s="464"/>
    </row>
    <row r="604" customFormat="false" ht="15" hidden="false" customHeight="true" outlineLevel="0" collapsed="false">
      <c r="A604" s="455" t="s">
        <v>1759</v>
      </c>
      <c r="C604" s="456" t="n">
        <v>45540</v>
      </c>
      <c r="D604" s="456"/>
      <c r="E604" s="57" t="n">
        <v>13819</v>
      </c>
      <c r="F604" s="323" t="s">
        <v>175</v>
      </c>
      <c r="G604" s="323" t="s">
        <v>15</v>
      </c>
      <c r="H604" s="98" t="n">
        <v>720</v>
      </c>
      <c r="I604" s="457" t="n">
        <v>22.5</v>
      </c>
      <c r="J604" s="313" t="s">
        <v>1651</v>
      </c>
      <c r="K604" s="98" t="n">
        <f aca="false">I604*H604</f>
        <v>16200</v>
      </c>
      <c r="L604" s="411" t="n">
        <v>12600</v>
      </c>
      <c r="M604" s="392" t="n">
        <f aca="false">L604/K604</f>
        <v>0.777777777777778</v>
      </c>
      <c r="N604" s="466" t="n">
        <f aca="false">I604*M604</f>
        <v>17.5</v>
      </c>
      <c r="O604" s="461" t="n">
        <v>720</v>
      </c>
      <c r="P604" s="462" t="n">
        <f aca="false">H604-O604</f>
        <v>0</v>
      </c>
      <c r="Q604" s="463" t="n">
        <f aca="false">O604*I604</f>
        <v>16200</v>
      </c>
      <c r="R604" s="48" t="n">
        <f aca="false">K604-Q604</f>
        <v>0</v>
      </c>
      <c r="S604" s="467"/>
      <c r="T604" s="2" t="s">
        <v>1711</v>
      </c>
      <c r="V604" s="464"/>
      <c r="W604" s="464"/>
      <c r="X604" s="464"/>
      <c r="Y604" s="464"/>
      <c r="Z604" s="464"/>
      <c r="AA604" s="464"/>
      <c r="AB604" s="464"/>
      <c r="AC604" s="464"/>
      <c r="AD604" s="464"/>
      <c r="AE604" s="464"/>
      <c r="AF604" s="464"/>
      <c r="AG604" s="464"/>
      <c r="AH604" s="465"/>
      <c r="AI604" s="464"/>
    </row>
    <row r="605" customFormat="false" ht="15" hidden="false" customHeight="true" outlineLevel="0" collapsed="false">
      <c r="A605" s="455" t="s">
        <v>1759</v>
      </c>
      <c r="C605" s="456" t="n">
        <v>45540</v>
      </c>
      <c r="D605" s="456"/>
      <c r="E605" s="57" t="n">
        <v>13819</v>
      </c>
      <c r="F605" s="323" t="s">
        <v>175</v>
      </c>
      <c r="G605" s="323" t="s">
        <v>13</v>
      </c>
      <c r="H605" s="98" t="n">
        <v>1495</v>
      </c>
      <c r="I605" s="457" t="n">
        <v>22.5</v>
      </c>
      <c r="J605" s="313" t="s">
        <v>1651</v>
      </c>
      <c r="K605" s="98" t="n">
        <f aca="false">I605*H605</f>
        <v>33637.5</v>
      </c>
      <c r="L605" s="411" t="n">
        <v>17250</v>
      </c>
      <c r="M605" s="392" t="n">
        <f aca="false">L605/K605</f>
        <v>0.512820512820513</v>
      </c>
      <c r="N605" s="466" t="n">
        <f aca="false">I605*M605</f>
        <v>11.5384615384615</v>
      </c>
      <c r="O605" s="461" t="n">
        <v>1495</v>
      </c>
      <c r="P605" s="462" t="n">
        <f aca="false">H605-O605</f>
        <v>0</v>
      </c>
      <c r="Q605" s="463" t="n">
        <f aca="false">O605*I605</f>
        <v>33637.5</v>
      </c>
      <c r="R605" s="48" t="n">
        <f aca="false">K605-Q605</f>
        <v>0</v>
      </c>
      <c r="S605" s="467"/>
      <c r="T605" s="2" t="s">
        <v>1711</v>
      </c>
      <c r="V605" s="464"/>
      <c r="W605" s="464"/>
      <c r="X605" s="464"/>
      <c r="Y605" s="464"/>
      <c r="Z605" s="464"/>
      <c r="AA605" s="464"/>
      <c r="AB605" s="464"/>
      <c r="AC605" s="464"/>
      <c r="AD605" s="464"/>
      <c r="AE605" s="464"/>
      <c r="AF605" s="464"/>
      <c r="AG605" s="464"/>
      <c r="AH605" s="465"/>
      <c r="AI605" s="464"/>
    </row>
    <row r="606" customFormat="false" ht="15" hidden="false" customHeight="true" outlineLevel="0" collapsed="false">
      <c r="A606" s="455" t="s">
        <v>1758</v>
      </c>
      <c r="C606" s="456" t="n">
        <v>45540</v>
      </c>
      <c r="D606" s="456"/>
      <c r="E606" s="57" t="n">
        <v>13820</v>
      </c>
      <c r="F606" s="323" t="s">
        <v>175</v>
      </c>
      <c r="G606" s="323" t="s">
        <v>42</v>
      </c>
      <c r="H606" s="98" t="n">
        <v>230</v>
      </c>
      <c r="I606" s="457" t="n">
        <v>30</v>
      </c>
      <c r="J606" s="313" t="s">
        <v>1651</v>
      </c>
      <c r="K606" s="98" t="n">
        <f aca="false">I606*H606</f>
        <v>6900</v>
      </c>
      <c r="L606" s="411" t="n">
        <v>3105</v>
      </c>
      <c r="M606" s="392" t="n">
        <f aca="false">L606/K606</f>
        <v>0.45</v>
      </c>
      <c r="N606" s="466" t="n">
        <f aca="false">I606*M606</f>
        <v>13.5</v>
      </c>
      <c r="O606" s="461" t="n">
        <v>230</v>
      </c>
      <c r="P606" s="462" t="n">
        <f aca="false">H606-O606</f>
        <v>0</v>
      </c>
      <c r="Q606" s="463" t="n">
        <f aca="false">O606*I606</f>
        <v>6900</v>
      </c>
      <c r="R606" s="48" t="n">
        <f aca="false">K606-Q606</f>
        <v>0</v>
      </c>
      <c r="S606" s="467"/>
      <c r="T606" s="2" t="s">
        <v>1711</v>
      </c>
      <c r="V606" s="464"/>
      <c r="W606" s="464"/>
      <c r="X606" s="464"/>
      <c r="Y606" s="464"/>
      <c r="Z606" s="464"/>
      <c r="AA606" s="464"/>
      <c r="AB606" s="464"/>
      <c r="AC606" s="464"/>
      <c r="AD606" s="464"/>
      <c r="AE606" s="464"/>
      <c r="AF606" s="464"/>
      <c r="AG606" s="464"/>
      <c r="AH606" s="465"/>
      <c r="AI606" s="464"/>
    </row>
    <row r="607" customFormat="false" ht="15" hidden="false" customHeight="true" outlineLevel="0" collapsed="false">
      <c r="A607" s="455" t="s">
        <v>1758</v>
      </c>
      <c r="C607" s="456" t="n">
        <v>45540</v>
      </c>
      <c r="D607" s="456"/>
      <c r="E607" s="57" t="n">
        <v>13820</v>
      </c>
      <c r="F607" s="323" t="s">
        <v>175</v>
      </c>
      <c r="G607" s="323" t="s">
        <v>16</v>
      </c>
      <c r="H607" s="98" t="n">
        <v>225</v>
      </c>
      <c r="I607" s="457" t="n">
        <v>22.5</v>
      </c>
      <c r="J607" s="313" t="s">
        <v>1651</v>
      </c>
      <c r="K607" s="98" t="n">
        <f aca="false">I607*H607</f>
        <v>5062.5</v>
      </c>
      <c r="L607" s="411" t="n">
        <v>4140</v>
      </c>
      <c r="M607" s="392" t="n">
        <f aca="false">L607/K607</f>
        <v>0.817777777777778</v>
      </c>
      <c r="N607" s="466" t="n">
        <f aca="false">I607*M607</f>
        <v>18.4</v>
      </c>
      <c r="O607" s="461" t="n">
        <v>225</v>
      </c>
      <c r="P607" s="462" t="n">
        <f aca="false">H607-O607</f>
        <v>0</v>
      </c>
      <c r="Q607" s="463" t="n">
        <f aca="false">O607*I607</f>
        <v>5062.5</v>
      </c>
      <c r="R607" s="48" t="n">
        <f aca="false">K607-Q607</f>
        <v>0</v>
      </c>
      <c r="S607" s="467"/>
      <c r="T607" s="2" t="s">
        <v>1711</v>
      </c>
      <c r="V607" s="464"/>
      <c r="W607" s="464"/>
      <c r="X607" s="464"/>
      <c r="Y607" s="464"/>
      <c r="Z607" s="464"/>
      <c r="AA607" s="464"/>
      <c r="AB607" s="464"/>
      <c r="AC607" s="464"/>
      <c r="AD607" s="464"/>
      <c r="AE607" s="464"/>
      <c r="AF607" s="464"/>
      <c r="AG607" s="464"/>
      <c r="AH607" s="465"/>
      <c r="AI607" s="464"/>
    </row>
    <row r="608" customFormat="false" ht="15" hidden="false" customHeight="true" outlineLevel="0" collapsed="false">
      <c r="A608" s="455" t="s">
        <v>1758</v>
      </c>
      <c r="C608" s="456" t="n">
        <v>45540</v>
      </c>
      <c r="D608" s="456"/>
      <c r="E608" s="57" t="n">
        <v>13820</v>
      </c>
      <c r="F608" s="323" t="s">
        <v>175</v>
      </c>
      <c r="G608" s="323" t="s">
        <v>17</v>
      </c>
      <c r="H608" s="98" t="n">
        <v>445</v>
      </c>
      <c r="I608" s="457" t="n">
        <v>22.5</v>
      </c>
      <c r="J608" s="313" t="s">
        <v>1651</v>
      </c>
      <c r="K608" s="98" t="n">
        <f aca="false">I608*H608</f>
        <v>10012.5</v>
      </c>
      <c r="L608" s="411" t="n">
        <v>5175</v>
      </c>
      <c r="M608" s="392" t="n">
        <f aca="false">L608/K608</f>
        <v>0.51685393258427</v>
      </c>
      <c r="N608" s="466" t="n">
        <f aca="false">I608*M608</f>
        <v>11.6292134831461</v>
      </c>
      <c r="O608" s="461" t="n">
        <v>445</v>
      </c>
      <c r="P608" s="462" t="n">
        <f aca="false">H608-O608</f>
        <v>0</v>
      </c>
      <c r="Q608" s="463" t="n">
        <f aca="false">O608*I608</f>
        <v>10012.5</v>
      </c>
      <c r="R608" s="48" t="n">
        <f aca="false">K608-Q608</f>
        <v>0</v>
      </c>
      <c r="S608" s="467"/>
      <c r="T608" s="2" t="s">
        <v>1711</v>
      </c>
      <c r="V608" s="464"/>
      <c r="W608" s="464"/>
      <c r="X608" s="464"/>
      <c r="Y608" s="464"/>
      <c r="Z608" s="464"/>
      <c r="AA608" s="464"/>
      <c r="AB608" s="464"/>
      <c r="AC608" s="464"/>
      <c r="AD608" s="464"/>
      <c r="AE608" s="464"/>
      <c r="AF608" s="464"/>
      <c r="AG608" s="464"/>
      <c r="AH608" s="465"/>
      <c r="AI608" s="464"/>
    </row>
    <row r="609" customFormat="false" ht="15" hidden="false" customHeight="true" outlineLevel="0" collapsed="false">
      <c r="A609" s="455" t="s">
        <v>1837</v>
      </c>
      <c r="C609" s="456" t="n">
        <v>45541</v>
      </c>
      <c r="D609" s="456"/>
      <c r="E609" s="57" t="n">
        <v>13821</v>
      </c>
      <c r="F609" s="323" t="s">
        <v>175</v>
      </c>
      <c r="G609" s="323" t="s">
        <v>7</v>
      </c>
      <c r="H609" s="98" t="n">
        <v>1500</v>
      </c>
      <c r="I609" s="457" t="n">
        <v>25.71</v>
      </c>
      <c r="J609" s="313" t="s">
        <v>1651</v>
      </c>
      <c r="K609" s="98" t="n">
        <f aca="false">I609*H609</f>
        <v>38565</v>
      </c>
      <c r="L609" s="411" t="n">
        <v>18750</v>
      </c>
      <c r="M609" s="392" t="n">
        <f aca="false">L609/K609</f>
        <v>0.486192143134967</v>
      </c>
      <c r="N609" s="466" t="n">
        <f aca="false">I609*M609</f>
        <v>12.5</v>
      </c>
      <c r="O609" s="461" t="n">
        <v>1500</v>
      </c>
      <c r="P609" s="462" t="n">
        <f aca="false">H609-O609</f>
        <v>0</v>
      </c>
      <c r="Q609" s="463" t="n">
        <f aca="false">O609*I609</f>
        <v>38565</v>
      </c>
      <c r="R609" s="48" t="n">
        <f aca="false">K609-Q609</f>
        <v>0</v>
      </c>
      <c r="S609" s="467"/>
      <c r="T609" s="2" t="s">
        <v>1711</v>
      </c>
      <c r="V609" s="464"/>
      <c r="W609" s="464"/>
      <c r="X609" s="464"/>
      <c r="Y609" s="464"/>
      <c r="Z609" s="464"/>
      <c r="AA609" s="464"/>
      <c r="AB609" s="464"/>
      <c r="AC609" s="464"/>
      <c r="AD609" s="464"/>
      <c r="AE609" s="464"/>
      <c r="AF609" s="464"/>
      <c r="AG609" s="464"/>
      <c r="AH609" s="465"/>
      <c r="AI609" s="464"/>
    </row>
    <row r="610" customFormat="false" ht="15" hidden="false" customHeight="true" outlineLevel="0" collapsed="false">
      <c r="A610" s="455" t="s">
        <v>1837</v>
      </c>
      <c r="C610" s="456" t="n">
        <v>45541</v>
      </c>
      <c r="D610" s="456"/>
      <c r="E610" s="57" t="n">
        <v>13821</v>
      </c>
      <c r="F610" s="323" t="s">
        <v>175</v>
      </c>
      <c r="G610" s="323" t="s">
        <v>5</v>
      </c>
      <c r="H610" s="98" t="n">
        <v>2250</v>
      </c>
      <c r="I610" s="457" t="n">
        <v>25.71</v>
      </c>
      <c r="J610" s="313" t="s">
        <v>1651</v>
      </c>
      <c r="K610" s="98" t="n">
        <f aca="false">I610*H610</f>
        <v>57847.5</v>
      </c>
      <c r="L610" s="411" t="n">
        <v>25875</v>
      </c>
      <c r="M610" s="392" t="n">
        <f aca="false">L610/K610</f>
        <v>0.44729677168417</v>
      </c>
      <c r="N610" s="466" t="n">
        <f aca="false">I610*M610</f>
        <v>11.5</v>
      </c>
      <c r="O610" s="461" t="n">
        <v>2250</v>
      </c>
      <c r="P610" s="462" t="n">
        <f aca="false">H610-O610</f>
        <v>0</v>
      </c>
      <c r="Q610" s="463" t="n">
        <f aca="false">O610*I610</f>
        <v>57847.5</v>
      </c>
      <c r="R610" s="48" t="n">
        <f aca="false">K610-Q610</f>
        <v>0</v>
      </c>
      <c r="S610" s="467"/>
      <c r="T610" s="2" t="s">
        <v>1711</v>
      </c>
      <c r="V610" s="464"/>
      <c r="W610" s="464"/>
      <c r="X610" s="464"/>
      <c r="Y610" s="464"/>
      <c r="Z610" s="464"/>
      <c r="AA610" s="464"/>
      <c r="AB610" s="464"/>
      <c r="AC610" s="464"/>
      <c r="AD610" s="464"/>
      <c r="AE610" s="464"/>
      <c r="AF610" s="464"/>
      <c r="AG610" s="464"/>
      <c r="AH610" s="465"/>
      <c r="AI610" s="464"/>
    </row>
    <row r="611" customFormat="false" ht="15" hidden="false" customHeight="true" outlineLevel="0" collapsed="false">
      <c r="A611" s="455" t="s">
        <v>1837</v>
      </c>
      <c r="C611" s="456" t="n">
        <v>45541</v>
      </c>
      <c r="D611" s="456"/>
      <c r="E611" s="57" t="n">
        <v>13821</v>
      </c>
      <c r="F611" s="323" t="s">
        <v>175</v>
      </c>
      <c r="G611" s="323" t="s">
        <v>6</v>
      </c>
      <c r="H611" s="98" t="n">
        <v>525</v>
      </c>
      <c r="I611" s="457" t="n">
        <v>30</v>
      </c>
      <c r="J611" s="313" t="s">
        <v>1651</v>
      </c>
      <c r="K611" s="98" t="n">
        <f aca="false">I611*H611</f>
        <v>15750</v>
      </c>
      <c r="L611" s="411" t="n">
        <v>6247.5</v>
      </c>
      <c r="M611" s="392" t="n">
        <f aca="false">L611/K611</f>
        <v>0.396666666666667</v>
      </c>
      <c r="N611" s="466" t="n">
        <f aca="false">I611*M611</f>
        <v>11.9</v>
      </c>
      <c r="O611" s="461" t="n">
        <v>525</v>
      </c>
      <c r="P611" s="462" t="n">
        <f aca="false">H611-O611</f>
        <v>0</v>
      </c>
      <c r="Q611" s="463" t="n">
        <f aca="false">O611*I611</f>
        <v>15750</v>
      </c>
      <c r="R611" s="48" t="n">
        <f aca="false">K611-Q611</f>
        <v>0</v>
      </c>
      <c r="S611" s="467"/>
      <c r="T611" s="2" t="s">
        <v>1711</v>
      </c>
      <c r="V611" s="464"/>
      <c r="W611" s="464"/>
      <c r="X611" s="464"/>
      <c r="Y611" s="464"/>
      <c r="Z611" s="464"/>
      <c r="AA611" s="464"/>
      <c r="AB611" s="464"/>
      <c r="AC611" s="464"/>
      <c r="AD611" s="464"/>
      <c r="AE611" s="464"/>
      <c r="AF611" s="464"/>
      <c r="AG611" s="464"/>
      <c r="AH611" s="465"/>
      <c r="AI611" s="464"/>
    </row>
    <row r="612" customFormat="false" ht="15" hidden="false" customHeight="true" outlineLevel="0" collapsed="false">
      <c r="A612" s="455" t="s">
        <v>1837</v>
      </c>
      <c r="C612" s="456" t="n">
        <v>45541</v>
      </c>
      <c r="D612" s="456"/>
      <c r="E612" s="57" t="n">
        <v>13821</v>
      </c>
      <c r="F612" s="323" t="s">
        <v>175</v>
      </c>
      <c r="G612" s="323" t="s">
        <v>11</v>
      </c>
      <c r="H612" s="98" t="n">
        <v>450</v>
      </c>
      <c r="I612" s="457" t="n">
        <v>14</v>
      </c>
      <c r="J612" s="313" t="s">
        <v>1651</v>
      </c>
      <c r="K612" s="98" t="n">
        <f aca="false">I612*H612</f>
        <v>6300</v>
      </c>
      <c r="L612" s="411" t="n">
        <v>26100</v>
      </c>
      <c r="M612" s="392" t="n">
        <f aca="false">L612/K612</f>
        <v>4.14285714285714</v>
      </c>
      <c r="N612" s="466" t="n">
        <f aca="false">I612*M612</f>
        <v>58</v>
      </c>
      <c r="O612" s="461" t="n">
        <v>450</v>
      </c>
      <c r="P612" s="462" t="n">
        <f aca="false">H612-O612</f>
        <v>0</v>
      </c>
      <c r="Q612" s="463" t="n">
        <f aca="false">O612*I612</f>
        <v>6300</v>
      </c>
      <c r="R612" s="48" t="n">
        <f aca="false">K612-Q612</f>
        <v>0</v>
      </c>
      <c r="S612" s="467"/>
      <c r="T612" s="2" t="s">
        <v>1711</v>
      </c>
      <c r="V612" s="464"/>
      <c r="W612" s="464"/>
      <c r="X612" s="464"/>
      <c r="Y612" s="464"/>
      <c r="Z612" s="464"/>
      <c r="AA612" s="464"/>
      <c r="AB612" s="464"/>
      <c r="AC612" s="464"/>
      <c r="AD612" s="464"/>
      <c r="AE612" s="464"/>
      <c r="AF612" s="464"/>
      <c r="AG612" s="464"/>
      <c r="AH612" s="465"/>
      <c r="AI612" s="464"/>
    </row>
    <row r="613" customFormat="false" ht="15" hidden="false" customHeight="true" outlineLevel="0" collapsed="false">
      <c r="A613" s="455" t="s">
        <v>1837</v>
      </c>
      <c r="C613" s="456" t="n">
        <v>45541</v>
      </c>
      <c r="D613" s="456"/>
      <c r="E613" s="57" t="n">
        <v>13821</v>
      </c>
      <c r="F613" s="323" t="s">
        <v>175</v>
      </c>
      <c r="G613" s="323" t="s">
        <v>13</v>
      </c>
      <c r="H613" s="98" t="n">
        <v>1800</v>
      </c>
      <c r="I613" s="457" t="n">
        <v>22.5</v>
      </c>
      <c r="J613" s="313" t="s">
        <v>1651</v>
      </c>
      <c r="K613" s="98" t="n">
        <f aca="false">I613*H613</f>
        <v>40500</v>
      </c>
      <c r="L613" s="411" t="n">
        <v>20700</v>
      </c>
      <c r="M613" s="392" t="n">
        <f aca="false">L613/K613</f>
        <v>0.511111111111111</v>
      </c>
      <c r="N613" s="466" t="n">
        <f aca="false">I613*M613</f>
        <v>11.5</v>
      </c>
      <c r="O613" s="461" t="n">
        <v>1800</v>
      </c>
      <c r="P613" s="462" t="n">
        <f aca="false">H613-O613</f>
        <v>0</v>
      </c>
      <c r="Q613" s="463" t="n">
        <f aca="false">O613*I613</f>
        <v>40500</v>
      </c>
      <c r="R613" s="48" t="n">
        <f aca="false">K613-Q613</f>
        <v>0</v>
      </c>
      <c r="S613" s="467"/>
      <c r="T613" s="2" t="s">
        <v>1711</v>
      </c>
      <c r="V613" s="464"/>
      <c r="W613" s="464"/>
      <c r="X613" s="464"/>
      <c r="Y613" s="464"/>
      <c r="Z613" s="464"/>
      <c r="AA613" s="464"/>
      <c r="AB613" s="464"/>
      <c r="AC613" s="464"/>
      <c r="AD613" s="464"/>
      <c r="AE613" s="464"/>
      <c r="AF613" s="464"/>
      <c r="AG613" s="464"/>
      <c r="AH613" s="465"/>
      <c r="AI613" s="464"/>
    </row>
    <row r="614" customFormat="false" ht="15" hidden="false" customHeight="true" outlineLevel="0" collapsed="false">
      <c r="A614" s="455" t="s">
        <v>1837</v>
      </c>
      <c r="C614" s="456" t="n">
        <v>45541</v>
      </c>
      <c r="D614" s="456"/>
      <c r="E614" s="57" t="n">
        <v>13821</v>
      </c>
      <c r="F614" s="323" t="s">
        <v>175</v>
      </c>
      <c r="G614" s="323" t="s">
        <v>17</v>
      </c>
      <c r="H614" s="98" t="n">
        <v>1200</v>
      </c>
      <c r="I614" s="457" t="n">
        <v>22.5</v>
      </c>
      <c r="J614" s="313" t="s">
        <v>1651</v>
      </c>
      <c r="K614" s="98" t="n">
        <f aca="false">I614*H614</f>
        <v>27000</v>
      </c>
      <c r="L614" s="411" t="n">
        <v>14280</v>
      </c>
      <c r="M614" s="392" t="n">
        <f aca="false">L614/K614</f>
        <v>0.528888888888889</v>
      </c>
      <c r="N614" s="466" t="n">
        <f aca="false">I614*M614</f>
        <v>11.9</v>
      </c>
      <c r="O614" s="461" t="n">
        <v>1200</v>
      </c>
      <c r="P614" s="462" t="n">
        <f aca="false">H614-O614</f>
        <v>0</v>
      </c>
      <c r="Q614" s="463" t="n">
        <f aca="false">O614*I614</f>
        <v>27000</v>
      </c>
      <c r="R614" s="48" t="n">
        <f aca="false">K614-Q614</f>
        <v>0</v>
      </c>
      <c r="S614" s="467"/>
      <c r="T614" s="2" t="s">
        <v>1711</v>
      </c>
      <c r="V614" s="464"/>
      <c r="W614" s="464"/>
      <c r="X614" s="464"/>
      <c r="Y614" s="464"/>
      <c r="Z614" s="464"/>
      <c r="AA614" s="464"/>
      <c r="AB614" s="464"/>
      <c r="AC614" s="464"/>
      <c r="AD614" s="464"/>
      <c r="AE614" s="464"/>
      <c r="AF614" s="464"/>
      <c r="AG614" s="464"/>
      <c r="AH614" s="465"/>
      <c r="AI614" s="464"/>
    </row>
    <row r="615" customFormat="false" ht="15" hidden="false" customHeight="true" outlineLevel="0" collapsed="false">
      <c r="A615" s="455" t="s">
        <v>1749</v>
      </c>
      <c r="C615" s="456" t="n">
        <v>45541</v>
      </c>
      <c r="D615" s="456"/>
      <c r="E615" s="57" t="n">
        <v>13822</v>
      </c>
      <c r="F615" s="323" t="s">
        <v>175</v>
      </c>
      <c r="G615" s="323" t="s">
        <v>42</v>
      </c>
      <c r="H615" s="98" t="n">
        <v>7000</v>
      </c>
      <c r="I615" s="457" t="n">
        <v>30</v>
      </c>
      <c r="J615" s="313" t="s">
        <v>1651</v>
      </c>
      <c r="K615" s="98" t="n">
        <f aca="false">I615*H615</f>
        <v>210000</v>
      </c>
      <c r="L615" s="411" t="n">
        <v>89810</v>
      </c>
      <c r="M615" s="392" t="n">
        <f aca="false">L615/K615</f>
        <v>0.427666666666667</v>
      </c>
      <c r="N615" s="466" t="n">
        <f aca="false">I615*M615</f>
        <v>12.83</v>
      </c>
      <c r="O615" s="461" t="n">
        <v>7000</v>
      </c>
      <c r="P615" s="462" t="n">
        <f aca="false">H615-O615</f>
        <v>0</v>
      </c>
      <c r="Q615" s="463" t="n">
        <f aca="false">O615*I615</f>
        <v>210000</v>
      </c>
      <c r="R615" s="48" t="n">
        <f aca="false">K615-Q615</f>
        <v>0</v>
      </c>
      <c r="S615" s="467"/>
      <c r="T615" s="2" t="s">
        <v>1711</v>
      </c>
      <c r="V615" s="464"/>
      <c r="W615" s="464"/>
      <c r="X615" s="464"/>
      <c r="Y615" s="464"/>
      <c r="Z615" s="464"/>
      <c r="AA615" s="464"/>
      <c r="AB615" s="464"/>
      <c r="AC615" s="464"/>
      <c r="AD615" s="464"/>
      <c r="AE615" s="464"/>
      <c r="AF615" s="464"/>
      <c r="AG615" s="464"/>
      <c r="AH615" s="465"/>
      <c r="AI615" s="464"/>
    </row>
    <row r="616" customFormat="false" ht="15" hidden="false" customHeight="true" outlineLevel="0" collapsed="false">
      <c r="A616" s="455" t="s">
        <v>1749</v>
      </c>
      <c r="C616" s="456" t="n">
        <v>45541</v>
      </c>
      <c r="D616" s="456"/>
      <c r="E616" s="57" t="n">
        <v>13822</v>
      </c>
      <c r="F616" s="323" t="s">
        <v>175</v>
      </c>
      <c r="G616" s="323" t="s">
        <v>11</v>
      </c>
      <c r="H616" s="98" t="n">
        <v>1500</v>
      </c>
      <c r="I616" s="457" t="n">
        <v>14</v>
      </c>
      <c r="J616" s="313" t="s">
        <v>1651</v>
      </c>
      <c r="K616" s="98" t="n">
        <f aca="false">I616*H616</f>
        <v>21000</v>
      </c>
      <c r="L616" s="411" t="n">
        <v>82500</v>
      </c>
      <c r="M616" s="392" t="n">
        <f aca="false">L616/K616</f>
        <v>3.92857142857143</v>
      </c>
      <c r="N616" s="466" t="n">
        <f aca="false">I616*M616</f>
        <v>55</v>
      </c>
      <c r="O616" s="461" t="n">
        <v>1500</v>
      </c>
      <c r="P616" s="462" t="n">
        <f aca="false">H616-O616</f>
        <v>0</v>
      </c>
      <c r="Q616" s="463" t="n">
        <f aca="false">O616*I616</f>
        <v>21000</v>
      </c>
      <c r="R616" s="48" t="n">
        <f aca="false">K616-Q616</f>
        <v>0</v>
      </c>
      <c r="S616" s="467"/>
      <c r="T616" s="2" t="s">
        <v>1711</v>
      </c>
      <c r="V616" s="464"/>
      <c r="W616" s="464"/>
      <c r="X616" s="464"/>
      <c r="Y616" s="464"/>
      <c r="Z616" s="464"/>
      <c r="AA616" s="464"/>
      <c r="AB616" s="464"/>
      <c r="AC616" s="464"/>
      <c r="AD616" s="464"/>
      <c r="AE616" s="464"/>
      <c r="AF616" s="464"/>
      <c r="AG616" s="464"/>
      <c r="AH616" s="465"/>
      <c r="AI616" s="464"/>
    </row>
    <row r="617" customFormat="false" ht="15" hidden="false" customHeight="true" outlineLevel="0" collapsed="false">
      <c r="A617" s="455" t="s">
        <v>1758</v>
      </c>
      <c r="C617" s="456" t="n">
        <v>45545</v>
      </c>
      <c r="D617" s="456"/>
      <c r="E617" s="57" t="n">
        <v>13824</v>
      </c>
      <c r="F617" s="57" t="s">
        <v>175</v>
      </c>
      <c r="G617" s="323" t="s">
        <v>17</v>
      </c>
      <c r="H617" s="98" t="n">
        <v>50</v>
      </c>
      <c r="I617" s="457" t="n">
        <v>22.5</v>
      </c>
      <c r="J617" s="313" t="s">
        <v>1651</v>
      </c>
      <c r="K617" s="98" t="n">
        <f aca="false">I617*H617</f>
        <v>1125</v>
      </c>
      <c r="L617" s="411" t="n">
        <v>575</v>
      </c>
      <c r="M617" s="392" t="n">
        <f aca="false">L617/K617</f>
        <v>0.511111111111111</v>
      </c>
      <c r="N617" s="466" t="n">
        <f aca="false">I617*M617</f>
        <v>11.5</v>
      </c>
      <c r="O617" s="461" t="n">
        <v>50</v>
      </c>
      <c r="P617" s="462" t="n">
        <f aca="false">H617-O617</f>
        <v>0</v>
      </c>
      <c r="Q617" s="463" t="n">
        <f aca="false">O617*I617</f>
        <v>1125</v>
      </c>
      <c r="R617" s="48" t="n">
        <f aca="false">K617-Q617</f>
        <v>0</v>
      </c>
      <c r="S617" s="467"/>
      <c r="T617" s="2" t="s">
        <v>1711</v>
      </c>
      <c r="V617" s="464"/>
      <c r="W617" s="464"/>
      <c r="X617" s="464"/>
      <c r="Y617" s="464"/>
      <c r="Z617" s="464"/>
      <c r="AA617" s="464"/>
      <c r="AB617" s="464"/>
      <c r="AC617" s="464"/>
      <c r="AD617" s="464"/>
      <c r="AE617" s="464"/>
      <c r="AF617" s="464"/>
      <c r="AG617" s="464"/>
      <c r="AH617" s="465"/>
      <c r="AI617" s="464"/>
    </row>
    <row r="618" customFormat="false" ht="15" hidden="false" customHeight="true" outlineLevel="0" collapsed="false">
      <c r="A618" s="455" t="s">
        <v>1838</v>
      </c>
      <c r="C618" s="456" t="n">
        <v>45545</v>
      </c>
      <c r="D618" s="456"/>
      <c r="E618" s="57" t="n">
        <v>13825</v>
      </c>
      <c r="F618" s="57" t="s">
        <v>175</v>
      </c>
      <c r="G618" s="323" t="s">
        <v>10</v>
      </c>
      <c r="H618" s="98" t="n">
        <v>10020</v>
      </c>
      <c r="I618" s="457" t="n">
        <v>90</v>
      </c>
      <c r="J618" s="313" t="s">
        <v>1653</v>
      </c>
      <c r="K618" s="98" t="n">
        <f aca="false">I618*H618</f>
        <v>901800</v>
      </c>
      <c r="L618" s="411" t="n">
        <v>128256</v>
      </c>
      <c r="M618" s="392" t="n">
        <f aca="false">L618/K618</f>
        <v>0.142222222222222</v>
      </c>
      <c r="N618" s="466" t="n">
        <f aca="false">I618*M618</f>
        <v>12.8</v>
      </c>
      <c r="O618" s="461" t="n">
        <v>10020</v>
      </c>
      <c r="P618" s="462" t="n">
        <f aca="false">H618-O618</f>
        <v>0</v>
      </c>
      <c r="Q618" s="463" t="n">
        <f aca="false">O618*I618</f>
        <v>901800</v>
      </c>
      <c r="R618" s="48" t="n">
        <f aca="false">K618-Q618</f>
        <v>0</v>
      </c>
      <c r="S618" s="467"/>
      <c r="T618" s="2" t="s">
        <v>1711</v>
      </c>
      <c r="V618" s="464"/>
      <c r="W618" s="464"/>
      <c r="X618" s="464"/>
      <c r="Y618" s="464"/>
      <c r="Z618" s="464"/>
      <c r="AA618" s="464"/>
      <c r="AB618" s="464"/>
      <c r="AC618" s="464"/>
      <c r="AD618" s="464"/>
      <c r="AE618" s="464"/>
      <c r="AF618" s="464"/>
      <c r="AG618" s="464"/>
      <c r="AH618" s="465"/>
      <c r="AI618" s="464"/>
    </row>
    <row r="619" customFormat="false" ht="15" hidden="false" customHeight="true" outlineLevel="0" collapsed="false">
      <c r="A619" s="455" t="s">
        <v>1758</v>
      </c>
      <c r="C619" s="456" t="n">
        <v>45546</v>
      </c>
      <c r="D619" s="456"/>
      <c r="E619" s="57" t="n">
        <v>13826</v>
      </c>
      <c r="F619" s="57" t="s">
        <v>175</v>
      </c>
      <c r="G619" s="323" t="s">
        <v>6</v>
      </c>
      <c r="H619" s="98" t="n">
        <v>300</v>
      </c>
      <c r="I619" s="457" t="n">
        <v>30</v>
      </c>
      <c r="J619" s="313" t="s">
        <v>1651</v>
      </c>
      <c r="K619" s="98" t="n">
        <f aca="false">I619*H619</f>
        <v>9000</v>
      </c>
      <c r="L619" s="411" t="n">
        <v>3750</v>
      </c>
      <c r="M619" s="392" t="n">
        <f aca="false">L619/K619</f>
        <v>0.416666666666667</v>
      </c>
      <c r="N619" s="466" t="n">
        <f aca="false">I619*M619</f>
        <v>12.5</v>
      </c>
      <c r="O619" s="461" t="n">
        <v>300</v>
      </c>
      <c r="P619" s="462" t="n">
        <f aca="false">H619-O619</f>
        <v>0</v>
      </c>
      <c r="Q619" s="463" t="n">
        <f aca="false">O619*I619</f>
        <v>9000</v>
      </c>
      <c r="R619" s="48" t="n">
        <f aca="false">K619-Q619</f>
        <v>0</v>
      </c>
      <c r="S619" s="467"/>
      <c r="T619" s="2" t="s">
        <v>1711</v>
      </c>
      <c r="V619" s="464"/>
      <c r="W619" s="464"/>
      <c r="X619" s="464"/>
      <c r="Y619" s="464"/>
      <c r="Z619" s="464"/>
      <c r="AA619" s="464"/>
      <c r="AB619" s="464"/>
      <c r="AC619" s="464"/>
      <c r="AD619" s="464"/>
      <c r="AE619" s="464"/>
      <c r="AF619" s="464"/>
      <c r="AG619" s="464"/>
      <c r="AH619" s="465"/>
      <c r="AI619" s="464"/>
    </row>
    <row r="620" customFormat="false" ht="15" hidden="false" customHeight="true" outlineLevel="0" collapsed="false">
      <c r="A620" s="455" t="s">
        <v>1819</v>
      </c>
      <c r="C620" s="456" t="n">
        <v>45546</v>
      </c>
      <c r="D620" s="456"/>
      <c r="E620" s="57" t="n">
        <v>13827</v>
      </c>
      <c r="F620" s="57" t="s">
        <v>175</v>
      </c>
      <c r="G620" s="323" t="s">
        <v>19</v>
      </c>
      <c r="H620" s="98" t="n">
        <v>130</v>
      </c>
      <c r="I620" s="457" t="n">
        <v>22.5</v>
      </c>
      <c r="J620" s="313" t="s">
        <v>1651</v>
      </c>
      <c r="K620" s="98" t="n">
        <f aca="false">I620*H620</f>
        <v>2925</v>
      </c>
      <c r="L620" s="411" t="n">
        <v>922.5</v>
      </c>
      <c r="M620" s="392" t="n">
        <f aca="false">L620/K620</f>
        <v>0.315384615384615</v>
      </c>
      <c r="N620" s="466" t="n">
        <f aca="false">I620*M620</f>
        <v>7.09615384615385</v>
      </c>
      <c r="O620" s="461" t="n">
        <v>130</v>
      </c>
      <c r="P620" s="462" t="n">
        <f aca="false">H620-O620</f>
        <v>0</v>
      </c>
      <c r="Q620" s="463" t="n">
        <f aca="false">O620*I620</f>
        <v>2925</v>
      </c>
      <c r="R620" s="48" t="n">
        <f aca="false">K620-Q620</f>
        <v>0</v>
      </c>
      <c r="S620" s="467"/>
      <c r="T620" s="2" t="s">
        <v>1711</v>
      </c>
      <c r="V620" s="464"/>
      <c r="W620" s="464"/>
      <c r="X620" s="464"/>
      <c r="Y620" s="464"/>
      <c r="Z620" s="464"/>
      <c r="AA620" s="464"/>
      <c r="AB620" s="464"/>
      <c r="AC620" s="464"/>
      <c r="AD620" s="464"/>
      <c r="AE620" s="464"/>
      <c r="AF620" s="464"/>
      <c r="AG620" s="464"/>
      <c r="AH620" s="465"/>
      <c r="AI620" s="464"/>
    </row>
    <row r="621" customFormat="false" ht="15" hidden="false" customHeight="true" outlineLevel="0" collapsed="false">
      <c r="A621" s="455" t="s">
        <v>1839</v>
      </c>
      <c r="C621" s="456" t="n">
        <v>45547</v>
      </c>
      <c r="D621" s="456"/>
      <c r="E621" s="57" t="n">
        <v>13828</v>
      </c>
      <c r="F621" s="57" t="s">
        <v>175</v>
      </c>
      <c r="G621" s="323" t="s">
        <v>10</v>
      </c>
      <c r="H621" s="98" t="n">
        <v>15000</v>
      </c>
      <c r="I621" s="457" t="n">
        <v>38.3</v>
      </c>
      <c r="J621" s="313" t="s">
        <v>1652</v>
      </c>
      <c r="K621" s="98" t="n">
        <f aca="false">I621*H621</f>
        <v>574500</v>
      </c>
      <c r="L621" s="411" t="n">
        <v>157500</v>
      </c>
      <c r="M621" s="392" t="n">
        <f aca="false">L621/K621</f>
        <v>0.274151436031332</v>
      </c>
      <c r="N621" s="466" t="n">
        <f aca="false">I621*M621</f>
        <v>10.5</v>
      </c>
      <c r="O621" s="461" t="n">
        <v>15000</v>
      </c>
      <c r="P621" s="462" t="n">
        <f aca="false">H621-O621</f>
        <v>0</v>
      </c>
      <c r="Q621" s="463" t="n">
        <f aca="false">O621*I621</f>
        <v>574500</v>
      </c>
      <c r="R621" s="48" t="n">
        <f aca="false">K621-Q621</f>
        <v>0</v>
      </c>
      <c r="S621" s="467"/>
      <c r="T621" s="2" t="s">
        <v>1711</v>
      </c>
      <c r="V621" s="464"/>
      <c r="W621" s="464"/>
      <c r="X621" s="464"/>
      <c r="Y621" s="464"/>
      <c r="Z621" s="464"/>
      <c r="AA621" s="464"/>
      <c r="AB621" s="464"/>
      <c r="AC621" s="464"/>
      <c r="AD621" s="464"/>
      <c r="AE621" s="464"/>
      <c r="AF621" s="464"/>
      <c r="AG621" s="464"/>
      <c r="AH621" s="465"/>
      <c r="AI621" s="464"/>
    </row>
    <row r="622" customFormat="false" ht="15" hidden="false" customHeight="true" outlineLevel="0" collapsed="false">
      <c r="A622" s="455" t="s">
        <v>1723</v>
      </c>
      <c r="C622" s="456" t="n">
        <v>45547</v>
      </c>
      <c r="D622" s="456"/>
      <c r="E622" s="57" t="n">
        <v>13829</v>
      </c>
      <c r="F622" s="57" t="s">
        <v>175</v>
      </c>
      <c r="G622" s="323" t="s">
        <v>11</v>
      </c>
      <c r="H622" s="98" t="n">
        <v>30</v>
      </c>
      <c r="I622" s="457" t="n">
        <v>14</v>
      </c>
      <c r="J622" s="313" t="s">
        <v>1651</v>
      </c>
      <c r="K622" s="98" t="n">
        <f aca="false">I622*H622</f>
        <v>420</v>
      </c>
      <c r="L622" s="411" t="n">
        <v>1470</v>
      </c>
      <c r="M622" s="392" t="n">
        <f aca="false">L622/K622</f>
        <v>3.5</v>
      </c>
      <c r="N622" s="466" t="n">
        <f aca="false">I622*M622</f>
        <v>49</v>
      </c>
      <c r="O622" s="461" t="n">
        <v>30</v>
      </c>
      <c r="P622" s="462" t="n">
        <f aca="false">H622-O622</f>
        <v>0</v>
      </c>
      <c r="Q622" s="463" t="n">
        <f aca="false">O622*I622</f>
        <v>420</v>
      </c>
      <c r="R622" s="48" t="n">
        <f aca="false">K622-Q622</f>
        <v>0</v>
      </c>
      <c r="S622" s="467"/>
      <c r="T622" s="2" t="s">
        <v>1711</v>
      </c>
      <c r="V622" s="464"/>
      <c r="W622" s="464"/>
      <c r="X622" s="464"/>
      <c r="Y622" s="464"/>
      <c r="Z622" s="464"/>
      <c r="AA622" s="464"/>
      <c r="AB622" s="464"/>
      <c r="AC622" s="464"/>
      <c r="AD622" s="464"/>
      <c r="AE622" s="464"/>
      <c r="AF622" s="464"/>
      <c r="AG622" s="464"/>
      <c r="AH622" s="465"/>
      <c r="AI622" s="464"/>
    </row>
    <row r="623" customFormat="false" ht="15" hidden="false" customHeight="true" outlineLevel="0" collapsed="false">
      <c r="A623" s="455" t="s">
        <v>1840</v>
      </c>
      <c r="C623" s="456" t="n">
        <v>45547</v>
      </c>
      <c r="D623" s="456"/>
      <c r="E623" s="57" t="n">
        <v>13830</v>
      </c>
      <c r="F623" s="323" t="s">
        <v>175</v>
      </c>
      <c r="G623" s="323" t="s">
        <v>10</v>
      </c>
      <c r="H623" s="98" t="n">
        <v>4380</v>
      </c>
      <c r="I623" s="457" t="n">
        <v>25.71</v>
      </c>
      <c r="J623" s="313" t="s">
        <v>1651</v>
      </c>
      <c r="K623" s="98" t="n">
        <f aca="false">I623*H623</f>
        <v>112609.8</v>
      </c>
      <c r="L623" s="411" t="n">
        <v>47896.5</v>
      </c>
      <c r="M623" s="392" t="n">
        <f aca="false">L623/K623</f>
        <v>0.42533154308062</v>
      </c>
      <c r="N623" s="466" t="n">
        <f aca="false">I623*M623</f>
        <v>10.9352739726027</v>
      </c>
      <c r="O623" s="461" t="n">
        <v>4380</v>
      </c>
      <c r="P623" s="462" t="n">
        <f aca="false">H623-O623</f>
        <v>0</v>
      </c>
      <c r="Q623" s="463" t="n">
        <f aca="false">O623*I623</f>
        <v>112609.8</v>
      </c>
      <c r="R623" s="48" t="n">
        <f aca="false">K623-Q623</f>
        <v>0</v>
      </c>
      <c r="S623" s="467"/>
      <c r="T623" s="2" t="s">
        <v>1711</v>
      </c>
      <c r="V623" s="464"/>
      <c r="W623" s="464"/>
      <c r="X623" s="464"/>
      <c r="Y623" s="464"/>
      <c r="Z623" s="464"/>
      <c r="AA623" s="464"/>
      <c r="AB623" s="464"/>
      <c r="AC623" s="464"/>
      <c r="AD623" s="464"/>
      <c r="AE623" s="464"/>
      <c r="AF623" s="464"/>
      <c r="AG623" s="464"/>
      <c r="AH623" s="465"/>
      <c r="AI623" s="464"/>
    </row>
    <row r="624" customFormat="false" ht="15" hidden="false" customHeight="true" outlineLevel="0" collapsed="false">
      <c r="A624" s="455" t="s">
        <v>1841</v>
      </c>
      <c r="C624" s="456" t="n">
        <v>45551</v>
      </c>
      <c r="D624" s="456"/>
      <c r="E624" s="57" t="n">
        <v>13831</v>
      </c>
      <c r="F624" s="323" t="s">
        <v>175</v>
      </c>
      <c r="G624" s="323" t="s">
        <v>19</v>
      </c>
      <c r="H624" s="98" t="n">
        <v>360</v>
      </c>
      <c r="I624" s="457" t="n">
        <v>37.5</v>
      </c>
      <c r="J624" s="313" t="s">
        <v>1652</v>
      </c>
      <c r="K624" s="98" t="n">
        <f aca="false">I624*H624</f>
        <v>13500</v>
      </c>
      <c r="L624" s="411" t="n">
        <v>10800</v>
      </c>
      <c r="M624" s="392" t="n">
        <f aca="false">L624/K624</f>
        <v>0.8</v>
      </c>
      <c r="N624" s="466" t="n">
        <f aca="false">I624*M624</f>
        <v>30</v>
      </c>
      <c r="O624" s="461" t="n">
        <v>360</v>
      </c>
      <c r="P624" s="462" t="n">
        <f aca="false">H624-O624</f>
        <v>0</v>
      </c>
      <c r="Q624" s="463" t="n">
        <f aca="false">O624*I624</f>
        <v>13500</v>
      </c>
      <c r="R624" s="48" t="n">
        <f aca="false">K624-Q624</f>
        <v>0</v>
      </c>
      <c r="S624" s="467"/>
      <c r="T624" s="2" t="s">
        <v>1711</v>
      </c>
      <c r="V624" s="464"/>
      <c r="W624" s="464"/>
      <c r="X624" s="464"/>
      <c r="Y624" s="464"/>
      <c r="Z624" s="464"/>
      <c r="AA624" s="464"/>
      <c r="AB624" s="464"/>
      <c r="AC624" s="464"/>
      <c r="AD624" s="464"/>
      <c r="AE624" s="464"/>
      <c r="AF624" s="464"/>
      <c r="AG624" s="464"/>
      <c r="AH624" s="465"/>
      <c r="AI624" s="464"/>
    </row>
    <row r="625" customFormat="false" ht="15" hidden="false" customHeight="true" outlineLevel="0" collapsed="false">
      <c r="A625" s="455" t="s">
        <v>1842</v>
      </c>
      <c r="C625" s="456" t="n">
        <v>45551</v>
      </c>
      <c r="D625" s="456"/>
      <c r="E625" s="57" t="n">
        <v>13832</v>
      </c>
      <c r="F625" s="323" t="s">
        <v>175</v>
      </c>
      <c r="G625" s="323" t="s">
        <v>19</v>
      </c>
      <c r="H625" s="98" t="n">
        <v>45</v>
      </c>
      <c r="I625" s="457" t="n">
        <v>22.5</v>
      </c>
      <c r="J625" s="313" t="s">
        <v>1651</v>
      </c>
      <c r="K625" s="98" t="n">
        <f aca="false">I625*H625</f>
        <v>1012.5</v>
      </c>
      <c r="L625" s="411" t="n">
        <v>990</v>
      </c>
      <c r="M625" s="392" t="n">
        <f aca="false">L625/K625</f>
        <v>0.977777777777778</v>
      </c>
      <c r="N625" s="466" t="n">
        <f aca="false">I625*M625</f>
        <v>22</v>
      </c>
      <c r="O625" s="461" t="n">
        <v>45</v>
      </c>
      <c r="P625" s="462" t="n">
        <f aca="false">H625-O625</f>
        <v>0</v>
      </c>
      <c r="Q625" s="463" t="n">
        <f aca="false">O625*I625</f>
        <v>1012.5</v>
      </c>
      <c r="R625" s="48" t="n">
        <f aca="false">K625-Q625</f>
        <v>0</v>
      </c>
      <c r="S625" s="467"/>
      <c r="T625" s="2" t="s">
        <v>1711</v>
      </c>
      <c r="V625" s="464"/>
      <c r="W625" s="464"/>
      <c r="X625" s="464"/>
      <c r="Y625" s="464"/>
      <c r="Z625" s="464"/>
      <c r="AA625" s="464"/>
      <c r="AB625" s="464"/>
      <c r="AC625" s="464"/>
      <c r="AD625" s="464"/>
      <c r="AE625" s="464"/>
      <c r="AF625" s="464"/>
      <c r="AG625" s="464"/>
      <c r="AH625" s="465"/>
      <c r="AI625" s="464"/>
    </row>
    <row r="626" customFormat="false" ht="15" hidden="false" customHeight="true" outlineLevel="0" collapsed="false">
      <c r="A626" s="455" t="s">
        <v>1724</v>
      </c>
      <c r="C626" s="456" t="n">
        <v>45551</v>
      </c>
      <c r="D626" s="456"/>
      <c r="E626" s="57" t="n">
        <v>13833</v>
      </c>
      <c r="F626" s="323" t="s">
        <v>175</v>
      </c>
      <c r="G626" s="323" t="s">
        <v>5</v>
      </c>
      <c r="H626" s="98" t="n">
        <v>3000</v>
      </c>
      <c r="I626" s="457" t="n">
        <v>25.71</v>
      </c>
      <c r="J626" s="313" t="s">
        <v>1651</v>
      </c>
      <c r="K626" s="98" t="n">
        <f aca="false">I626*H626</f>
        <v>77130</v>
      </c>
      <c r="L626" s="411" t="n">
        <v>38700</v>
      </c>
      <c r="M626" s="392" t="n">
        <f aca="false">L626/K626</f>
        <v>0.501750291715286</v>
      </c>
      <c r="N626" s="466" t="n">
        <f aca="false">I626*M626</f>
        <v>12.9</v>
      </c>
      <c r="O626" s="461" t="n">
        <v>3000</v>
      </c>
      <c r="P626" s="462" t="n">
        <f aca="false">H626-O626</f>
        <v>0</v>
      </c>
      <c r="Q626" s="463" t="n">
        <f aca="false">O626*I626</f>
        <v>77130</v>
      </c>
      <c r="R626" s="48" t="n">
        <f aca="false">K626-Q626</f>
        <v>0</v>
      </c>
      <c r="S626" s="467"/>
      <c r="T626" s="2" t="s">
        <v>1711</v>
      </c>
      <c r="V626" s="464"/>
      <c r="W626" s="464"/>
      <c r="X626" s="464"/>
      <c r="Y626" s="464"/>
      <c r="Z626" s="464"/>
      <c r="AA626" s="464"/>
      <c r="AB626" s="464"/>
      <c r="AC626" s="464"/>
      <c r="AD626" s="464"/>
      <c r="AE626" s="464"/>
      <c r="AF626" s="464"/>
      <c r="AG626" s="464"/>
      <c r="AH626" s="465"/>
      <c r="AI626" s="464"/>
    </row>
    <row r="627" customFormat="false" ht="15" hidden="false" customHeight="true" outlineLevel="0" collapsed="false">
      <c r="A627" s="455" t="s">
        <v>1724</v>
      </c>
      <c r="C627" s="456" t="n">
        <v>45551</v>
      </c>
      <c r="D627" s="456"/>
      <c r="E627" s="57" t="n">
        <v>13833</v>
      </c>
      <c r="F627" s="323" t="s">
        <v>175</v>
      </c>
      <c r="G627" s="323" t="s">
        <v>42</v>
      </c>
      <c r="H627" s="98" t="n">
        <v>15000</v>
      </c>
      <c r="I627" s="457" t="n">
        <v>30</v>
      </c>
      <c r="J627" s="313" t="s">
        <v>1651</v>
      </c>
      <c r="K627" s="98" t="n">
        <f aca="false">I627*H627</f>
        <v>450000</v>
      </c>
      <c r="L627" s="411" t="n">
        <v>201000</v>
      </c>
      <c r="M627" s="392" t="n">
        <f aca="false">L627/K627</f>
        <v>0.446666666666667</v>
      </c>
      <c r="N627" s="466" t="n">
        <f aca="false">I627*M627</f>
        <v>13.4</v>
      </c>
      <c r="O627" s="461" t="n">
        <v>15000</v>
      </c>
      <c r="P627" s="462" t="n">
        <f aca="false">H627-O627</f>
        <v>0</v>
      </c>
      <c r="Q627" s="463" t="n">
        <f aca="false">O627*I627</f>
        <v>450000</v>
      </c>
      <c r="R627" s="48" t="n">
        <f aca="false">K627-Q627</f>
        <v>0</v>
      </c>
      <c r="S627" s="467"/>
      <c r="T627" s="2" t="s">
        <v>1711</v>
      </c>
      <c r="V627" s="464"/>
      <c r="W627" s="464"/>
      <c r="X627" s="464"/>
      <c r="Y627" s="464"/>
      <c r="Z627" s="464"/>
      <c r="AA627" s="464"/>
      <c r="AB627" s="464"/>
      <c r="AC627" s="464"/>
      <c r="AD627" s="464"/>
      <c r="AE627" s="464"/>
      <c r="AF627" s="464"/>
      <c r="AG627" s="464"/>
      <c r="AH627" s="465"/>
      <c r="AI627" s="464"/>
    </row>
    <row r="628" customFormat="false" ht="15" hidden="false" customHeight="true" outlineLevel="0" collapsed="false">
      <c r="A628" s="455" t="s">
        <v>1724</v>
      </c>
      <c r="C628" s="456" t="n">
        <v>45551</v>
      </c>
      <c r="D628" s="456"/>
      <c r="E628" s="57" t="n">
        <v>13833</v>
      </c>
      <c r="F628" s="323" t="s">
        <v>175</v>
      </c>
      <c r="G628" s="323" t="s">
        <v>17</v>
      </c>
      <c r="H628" s="98" t="n">
        <v>2010</v>
      </c>
      <c r="I628" s="457" t="n">
        <v>22.5</v>
      </c>
      <c r="J628" s="313" t="s">
        <v>1651</v>
      </c>
      <c r="K628" s="98" t="n">
        <f aca="false">I628*H628</f>
        <v>45225</v>
      </c>
      <c r="L628" s="411" t="n">
        <v>26532</v>
      </c>
      <c r="M628" s="392" t="n">
        <f aca="false">L628/K628</f>
        <v>0.586666666666667</v>
      </c>
      <c r="N628" s="466" t="n">
        <f aca="false">I628*M628</f>
        <v>13.2</v>
      </c>
      <c r="O628" s="461" t="n">
        <v>2010</v>
      </c>
      <c r="P628" s="462" t="n">
        <f aca="false">H628-O628</f>
        <v>0</v>
      </c>
      <c r="Q628" s="463" t="n">
        <f aca="false">O628*I628</f>
        <v>45225</v>
      </c>
      <c r="R628" s="48" t="n">
        <f aca="false">K628-Q628</f>
        <v>0</v>
      </c>
      <c r="S628" s="467"/>
      <c r="T628" s="2" t="s">
        <v>1711</v>
      </c>
      <c r="V628" s="464"/>
      <c r="W628" s="464"/>
      <c r="X628" s="464"/>
      <c r="Y628" s="464"/>
      <c r="Z628" s="464"/>
      <c r="AA628" s="464"/>
      <c r="AB628" s="464"/>
      <c r="AC628" s="464"/>
      <c r="AD628" s="464"/>
      <c r="AE628" s="464"/>
      <c r="AF628" s="464"/>
      <c r="AG628" s="464"/>
      <c r="AH628" s="465"/>
      <c r="AI628" s="464"/>
    </row>
    <row r="629" customFormat="false" ht="15" hidden="false" customHeight="true" outlineLevel="0" collapsed="false">
      <c r="A629" s="455" t="s">
        <v>1843</v>
      </c>
      <c r="C629" s="456" t="n">
        <v>45551</v>
      </c>
      <c r="D629" s="456"/>
      <c r="E629" s="57" t="n">
        <v>13834</v>
      </c>
      <c r="F629" s="323" t="s">
        <v>175</v>
      </c>
      <c r="G629" s="323" t="s">
        <v>42</v>
      </c>
      <c r="H629" s="98" t="n">
        <v>600</v>
      </c>
      <c r="I629" s="457" t="n">
        <v>30</v>
      </c>
      <c r="J629" s="313" t="s">
        <v>1651</v>
      </c>
      <c r="K629" s="98" t="n">
        <f aca="false">I629*H629</f>
        <v>18000</v>
      </c>
      <c r="L629" s="411" t="n">
        <v>10140</v>
      </c>
      <c r="M629" s="392" t="n">
        <f aca="false">L629/K629</f>
        <v>0.563333333333333</v>
      </c>
      <c r="N629" s="466" t="n">
        <f aca="false">I629*M629</f>
        <v>16.9</v>
      </c>
      <c r="O629" s="461" t="n">
        <v>600</v>
      </c>
      <c r="P629" s="462" t="n">
        <f aca="false">H629-O629</f>
        <v>0</v>
      </c>
      <c r="Q629" s="463" t="n">
        <f aca="false">O629*I629</f>
        <v>18000</v>
      </c>
      <c r="R629" s="48" t="n">
        <f aca="false">K629-Q629</f>
        <v>0</v>
      </c>
      <c r="S629" s="467"/>
      <c r="T629" s="2" t="s">
        <v>1711</v>
      </c>
      <c r="V629" s="464"/>
      <c r="W629" s="464"/>
      <c r="X629" s="464"/>
      <c r="Y629" s="464"/>
      <c r="Z629" s="464"/>
      <c r="AA629" s="464"/>
      <c r="AB629" s="464"/>
      <c r="AC629" s="464"/>
      <c r="AD629" s="464"/>
      <c r="AE629" s="464"/>
      <c r="AF629" s="464"/>
      <c r="AG629" s="464"/>
      <c r="AH629" s="465"/>
      <c r="AI629" s="464"/>
    </row>
    <row r="630" customFormat="false" ht="15" hidden="false" customHeight="true" outlineLevel="0" collapsed="false">
      <c r="A630" s="455" t="s">
        <v>1843</v>
      </c>
      <c r="C630" s="456" t="n">
        <v>45551</v>
      </c>
      <c r="D630" s="456"/>
      <c r="E630" s="57" t="n">
        <v>13834</v>
      </c>
      <c r="F630" s="323" t="s">
        <v>175</v>
      </c>
      <c r="G630" s="323" t="s">
        <v>11</v>
      </c>
      <c r="H630" s="98" t="n">
        <v>300</v>
      </c>
      <c r="I630" s="457" t="n">
        <v>14</v>
      </c>
      <c r="J630" s="313" t="s">
        <v>1651</v>
      </c>
      <c r="K630" s="98" t="n">
        <f aca="false">I630*H630</f>
        <v>4200</v>
      </c>
      <c r="L630" s="411" t="n">
        <v>18750</v>
      </c>
      <c r="M630" s="392" t="n">
        <f aca="false">L630/K630</f>
        <v>4.46428571428571</v>
      </c>
      <c r="N630" s="466" t="n">
        <f aca="false">I630*M630</f>
        <v>62.5</v>
      </c>
      <c r="O630" s="461" t="n">
        <v>300</v>
      </c>
      <c r="P630" s="462" t="n">
        <f aca="false">H630-O630</f>
        <v>0</v>
      </c>
      <c r="Q630" s="463" t="n">
        <f aca="false">O630*I630</f>
        <v>4200</v>
      </c>
      <c r="R630" s="48" t="n">
        <f aca="false">K630-Q630</f>
        <v>0</v>
      </c>
      <c r="S630" s="467"/>
      <c r="T630" s="2" t="s">
        <v>1711</v>
      </c>
      <c r="V630" s="464"/>
      <c r="W630" s="464"/>
      <c r="X630" s="464"/>
      <c r="Y630" s="464"/>
      <c r="Z630" s="464"/>
      <c r="AA630" s="464"/>
      <c r="AB630" s="464"/>
      <c r="AC630" s="464"/>
      <c r="AD630" s="464"/>
      <c r="AE630" s="464"/>
      <c r="AF630" s="464"/>
      <c r="AG630" s="464"/>
      <c r="AH630" s="465"/>
      <c r="AI630" s="464"/>
    </row>
    <row r="631" customFormat="false" ht="15" hidden="false" customHeight="true" outlineLevel="0" collapsed="false">
      <c r="A631" s="455" t="s">
        <v>1788</v>
      </c>
      <c r="C631" s="456" t="n">
        <v>45551</v>
      </c>
      <c r="D631" s="456"/>
      <c r="E631" s="57" t="n">
        <v>13835</v>
      </c>
      <c r="F631" s="57" t="s">
        <v>175</v>
      </c>
      <c r="G631" s="323" t="s">
        <v>42</v>
      </c>
      <c r="H631" s="98" t="n">
        <v>450</v>
      </c>
      <c r="I631" s="457" t="n">
        <v>30</v>
      </c>
      <c r="J631" s="313" t="s">
        <v>1651</v>
      </c>
      <c r="K631" s="98" t="n">
        <f aca="false">I631*H631</f>
        <v>13500</v>
      </c>
      <c r="L631" s="411" t="n">
        <v>6300</v>
      </c>
      <c r="M631" s="392" t="n">
        <f aca="false">L631/K631</f>
        <v>0.466666666666667</v>
      </c>
      <c r="N631" s="466" t="n">
        <f aca="false">I631*M631</f>
        <v>14</v>
      </c>
      <c r="O631" s="461" t="n">
        <v>450</v>
      </c>
      <c r="P631" s="462" t="n">
        <f aca="false">H631-O631</f>
        <v>0</v>
      </c>
      <c r="Q631" s="463" t="n">
        <f aca="false">O631*I631</f>
        <v>13500</v>
      </c>
      <c r="R631" s="48" t="n">
        <f aca="false">K631-Q631</f>
        <v>0</v>
      </c>
      <c r="S631" s="467"/>
      <c r="T631" s="2" t="s">
        <v>1711</v>
      </c>
      <c r="V631" s="464"/>
      <c r="W631" s="464"/>
      <c r="X631" s="464"/>
      <c r="Y631" s="464"/>
      <c r="Z631" s="464"/>
      <c r="AA631" s="464"/>
      <c r="AB631" s="464"/>
      <c r="AC631" s="464"/>
      <c r="AD631" s="464"/>
      <c r="AE631" s="464"/>
      <c r="AF631" s="464"/>
      <c r="AG631" s="464"/>
      <c r="AH631" s="465"/>
      <c r="AI631" s="464"/>
    </row>
    <row r="632" customFormat="false" ht="15" hidden="false" customHeight="true" outlineLevel="0" collapsed="false">
      <c r="A632" s="455" t="s">
        <v>1788</v>
      </c>
      <c r="C632" s="456" t="n">
        <v>45551</v>
      </c>
      <c r="D632" s="456"/>
      <c r="E632" s="57" t="n">
        <v>13835</v>
      </c>
      <c r="F632" s="57" t="s">
        <v>175</v>
      </c>
      <c r="G632" s="323" t="s">
        <v>13</v>
      </c>
      <c r="H632" s="98" t="n">
        <v>15</v>
      </c>
      <c r="I632" s="457" t="n">
        <v>22.5</v>
      </c>
      <c r="J632" s="313" t="s">
        <v>1651</v>
      </c>
      <c r="K632" s="98" t="n">
        <f aca="false">I632*H632</f>
        <v>337.5</v>
      </c>
      <c r="L632" s="411" t="n">
        <v>168</v>
      </c>
      <c r="M632" s="392" t="n">
        <f aca="false">L632/K632</f>
        <v>0.497777777777778</v>
      </c>
      <c r="N632" s="466" t="n">
        <f aca="false">I632*M632</f>
        <v>11.2</v>
      </c>
      <c r="O632" s="461" t="n">
        <v>15</v>
      </c>
      <c r="P632" s="462" t="n">
        <f aca="false">H632-O632</f>
        <v>0</v>
      </c>
      <c r="Q632" s="463" t="n">
        <f aca="false">O632*I632</f>
        <v>337.5</v>
      </c>
      <c r="R632" s="48" t="n">
        <f aca="false">K632-Q632</f>
        <v>0</v>
      </c>
      <c r="S632" s="467"/>
      <c r="T632" s="2" t="s">
        <v>1711</v>
      </c>
      <c r="V632" s="464"/>
      <c r="W632" s="464"/>
      <c r="X632" s="464"/>
      <c r="Y632" s="464"/>
      <c r="Z632" s="464"/>
      <c r="AA632" s="464"/>
      <c r="AB632" s="464"/>
      <c r="AC632" s="464"/>
      <c r="AD632" s="464"/>
      <c r="AE632" s="464"/>
      <c r="AF632" s="464"/>
      <c r="AG632" s="464"/>
      <c r="AH632" s="465"/>
      <c r="AI632" s="464"/>
    </row>
    <row r="633" customFormat="false" ht="15" hidden="false" customHeight="true" outlineLevel="0" collapsed="false">
      <c r="A633" s="455" t="s">
        <v>1788</v>
      </c>
      <c r="C633" s="456" t="n">
        <v>45551</v>
      </c>
      <c r="D633" s="456"/>
      <c r="E633" s="323" t="n">
        <v>13835</v>
      </c>
      <c r="F633" s="57" t="s">
        <v>175</v>
      </c>
      <c r="G633" s="323" t="s">
        <v>11</v>
      </c>
      <c r="H633" s="98" t="n">
        <v>10</v>
      </c>
      <c r="I633" s="457" t="n">
        <v>14</v>
      </c>
      <c r="J633" s="313" t="s">
        <v>1651</v>
      </c>
      <c r="K633" s="98" t="n">
        <f aca="false">I633*H633</f>
        <v>140</v>
      </c>
      <c r="L633" s="411" t="n">
        <v>640</v>
      </c>
      <c r="M633" s="392" t="n">
        <f aca="false">L633/K633</f>
        <v>4.57142857142857</v>
      </c>
      <c r="N633" s="466" t="n">
        <f aca="false">I633*M633</f>
        <v>64</v>
      </c>
      <c r="O633" s="461" t="n">
        <v>10</v>
      </c>
      <c r="P633" s="462" t="n">
        <f aca="false">H633-O633</f>
        <v>0</v>
      </c>
      <c r="Q633" s="463" t="n">
        <f aca="false">O633*I633</f>
        <v>140</v>
      </c>
      <c r="R633" s="48" t="n">
        <f aca="false">K633-Q633</f>
        <v>0</v>
      </c>
      <c r="S633" s="467"/>
      <c r="T633" s="2" t="s">
        <v>1711</v>
      </c>
      <c r="V633" s="464"/>
      <c r="W633" s="464"/>
      <c r="X633" s="464"/>
      <c r="Y633" s="464"/>
      <c r="Z633" s="464"/>
      <c r="AA633" s="464"/>
      <c r="AB633" s="464"/>
      <c r="AC633" s="464"/>
      <c r="AD633" s="464"/>
      <c r="AE633" s="464"/>
      <c r="AF633" s="464"/>
      <c r="AG633" s="464"/>
      <c r="AH633" s="465"/>
      <c r="AI633" s="464"/>
    </row>
    <row r="634" customFormat="false" ht="15" hidden="false" customHeight="true" outlineLevel="0" collapsed="false">
      <c r="A634" s="455" t="s">
        <v>1844</v>
      </c>
      <c r="C634" s="456" t="n">
        <v>45551</v>
      </c>
      <c r="D634" s="456"/>
      <c r="E634" s="323" t="n">
        <v>13836</v>
      </c>
      <c r="F634" s="57" t="s">
        <v>175</v>
      </c>
      <c r="G634" s="323" t="s">
        <v>5</v>
      </c>
      <c r="H634" s="98" t="n">
        <v>210</v>
      </c>
      <c r="I634" s="457" t="n">
        <v>25.71</v>
      </c>
      <c r="J634" s="313" t="s">
        <v>1651</v>
      </c>
      <c r="K634" s="98" t="n">
        <f aca="false">I634*H634</f>
        <v>5399.1</v>
      </c>
      <c r="L634" s="411" t="n">
        <v>2520</v>
      </c>
      <c r="M634" s="392" t="n">
        <f aca="false">L634/K634</f>
        <v>0.466744457409568</v>
      </c>
      <c r="N634" s="466" t="n">
        <f aca="false">I634*M634</f>
        <v>12</v>
      </c>
      <c r="O634" s="461" t="n">
        <v>210</v>
      </c>
      <c r="P634" s="462" t="n">
        <f aca="false">H634-O634</f>
        <v>0</v>
      </c>
      <c r="Q634" s="463" t="n">
        <f aca="false">O634*I634</f>
        <v>5399.1</v>
      </c>
      <c r="R634" s="48" t="n">
        <f aca="false">K634-Q634</f>
        <v>0</v>
      </c>
      <c r="S634" s="467"/>
      <c r="T634" s="2" t="s">
        <v>1711</v>
      </c>
      <c r="V634" s="464"/>
      <c r="W634" s="464"/>
      <c r="X634" s="464"/>
      <c r="Y634" s="464"/>
      <c r="Z634" s="464"/>
      <c r="AA634" s="464"/>
      <c r="AB634" s="464"/>
      <c r="AC634" s="464"/>
      <c r="AD634" s="464"/>
      <c r="AE634" s="464"/>
      <c r="AF634" s="464"/>
      <c r="AG634" s="464"/>
      <c r="AH634" s="465"/>
      <c r="AI634" s="464"/>
    </row>
    <row r="635" customFormat="false" ht="15" hidden="false" customHeight="true" outlineLevel="0" collapsed="false">
      <c r="A635" s="455" t="s">
        <v>1844</v>
      </c>
      <c r="C635" s="456" t="n">
        <v>45551</v>
      </c>
      <c r="D635" s="456"/>
      <c r="E635" s="323" t="n">
        <v>13836</v>
      </c>
      <c r="F635" s="57" t="s">
        <v>175</v>
      </c>
      <c r="G635" s="323" t="s">
        <v>42</v>
      </c>
      <c r="H635" s="98" t="n">
        <v>510</v>
      </c>
      <c r="I635" s="457" t="n">
        <v>30</v>
      </c>
      <c r="J635" s="313" t="s">
        <v>1651</v>
      </c>
      <c r="K635" s="98" t="n">
        <f aca="false">I635*H635</f>
        <v>15300</v>
      </c>
      <c r="L635" s="411" t="n">
        <v>7089</v>
      </c>
      <c r="M635" s="392" t="n">
        <f aca="false">L635/K635</f>
        <v>0.463333333333333</v>
      </c>
      <c r="N635" s="466" t="n">
        <f aca="false">I635*M635</f>
        <v>13.9</v>
      </c>
      <c r="O635" s="461" t="n">
        <v>510</v>
      </c>
      <c r="P635" s="462" t="n">
        <f aca="false">H635-O635</f>
        <v>0</v>
      </c>
      <c r="Q635" s="463" t="n">
        <f aca="false">O635*I635</f>
        <v>15300</v>
      </c>
      <c r="R635" s="48" t="n">
        <f aca="false">K635-Q635</f>
        <v>0</v>
      </c>
      <c r="S635" s="467"/>
      <c r="T635" s="2" t="s">
        <v>1711</v>
      </c>
      <c r="V635" s="464"/>
      <c r="W635" s="464"/>
      <c r="X635" s="464"/>
      <c r="Y635" s="464"/>
      <c r="Z635" s="464"/>
      <c r="AA635" s="464"/>
      <c r="AB635" s="464"/>
      <c r="AC635" s="464"/>
      <c r="AD635" s="464"/>
      <c r="AE635" s="464"/>
      <c r="AF635" s="464"/>
      <c r="AG635" s="464"/>
      <c r="AH635" s="465"/>
      <c r="AI635" s="464"/>
    </row>
    <row r="636" customFormat="false" ht="15" hidden="false" customHeight="true" outlineLevel="0" collapsed="false">
      <c r="A636" s="455" t="s">
        <v>1844</v>
      </c>
      <c r="C636" s="456" t="n">
        <v>45551</v>
      </c>
      <c r="D636" s="456"/>
      <c r="E636" s="323" t="n">
        <v>13836</v>
      </c>
      <c r="F636" s="57" t="s">
        <v>175</v>
      </c>
      <c r="G636" s="323" t="s">
        <v>11</v>
      </c>
      <c r="H636" s="98" t="n">
        <v>150</v>
      </c>
      <c r="I636" s="457" t="n">
        <v>14</v>
      </c>
      <c r="J636" s="313" t="s">
        <v>1651</v>
      </c>
      <c r="K636" s="98" t="n">
        <f aca="false">I636*H636</f>
        <v>2100</v>
      </c>
      <c r="L636" s="411" t="n">
        <v>8850</v>
      </c>
      <c r="M636" s="392" t="n">
        <f aca="false">L636/K636</f>
        <v>4.21428571428571</v>
      </c>
      <c r="N636" s="466" t="n">
        <f aca="false">I636*M636</f>
        <v>59</v>
      </c>
      <c r="O636" s="461" t="n">
        <v>150</v>
      </c>
      <c r="P636" s="462" t="n">
        <f aca="false">H636-O636</f>
        <v>0</v>
      </c>
      <c r="Q636" s="463" t="n">
        <f aca="false">O636*I636</f>
        <v>2100</v>
      </c>
      <c r="R636" s="48" t="n">
        <f aca="false">K636-Q636</f>
        <v>0</v>
      </c>
      <c r="S636" s="467"/>
      <c r="T636" s="2" t="s">
        <v>1711</v>
      </c>
      <c r="V636" s="464"/>
      <c r="W636" s="464"/>
      <c r="X636" s="464"/>
      <c r="Y636" s="464"/>
      <c r="Z636" s="464"/>
      <c r="AA636" s="464"/>
      <c r="AB636" s="464"/>
      <c r="AC636" s="464"/>
      <c r="AD636" s="464"/>
      <c r="AE636" s="464"/>
      <c r="AF636" s="464"/>
      <c r="AG636" s="464"/>
      <c r="AH636" s="465"/>
      <c r="AI636" s="464"/>
    </row>
    <row r="637" customFormat="false" ht="15" hidden="false" customHeight="true" outlineLevel="0" collapsed="false">
      <c r="A637" s="455" t="s">
        <v>1844</v>
      </c>
      <c r="C637" s="456" t="n">
        <v>45551</v>
      </c>
      <c r="D637" s="456"/>
      <c r="E637" s="323" t="n">
        <v>13836</v>
      </c>
      <c r="F637" s="57" t="s">
        <v>175</v>
      </c>
      <c r="G637" s="323" t="s">
        <v>17</v>
      </c>
      <c r="H637" s="98" t="n">
        <v>105</v>
      </c>
      <c r="I637" s="457" t="n">
        <v>22.5</v>
      </c>
      <c r="J637" s="313" t="s">
        <v>1651</v>
      </c>
      <c r="K637" s="98" t="n">
        <f aca="false">I637*H637</f>
        <v>2362.5</v>
      </c>
      <c r="L637" s="411" t="n">
        <v>1354.5</v>
      </c>
      <c r="M637" s="392" t="n">
        <f aca="false">L637/K637</f>
        <v>0.573333333333333</v>
      </c>
      <c r="N637" s="466" t="n">
        <f aca="false">I637*M637</f>
        <v>12.9</v>
      </c>
      <c r="O637" s="461" t="n">
        <v>105</v>
      </c>
      <c r="P637" s="462" t="n">
        <f aca="false">H637-O637</f>
        <v>0</v>
      </c>
      <c r="Q637" s="463" t="n">
        <f aca="false">O637*I637</f>
        <v>2362.5</v>
      </c>
      <c r="R637" s="48" t="n">
        <f aca="false">K637-Q637</f>
        <v>0</v>
      </c>
      <c r="S637" s="467"/>
      <c r="T637" s="2" t="s">
        <v>1711</v>
      </c>
      <c r="V637" s="464"/>
      <c r="W637" s="464"/>
      <c r="X637" s="464"/>
      <c r="Y637" s="464"/>
      <c r="Z637" s="464"/>
      <c r="AA637" s="464"/>
      <c r="AB637" s="464"/>
      <c r="AC637" s="464"/>
      <c r="AD637" s="464"/>
      <c r="AE637" s="464"/>
      <c r="AF637" s="464"/>
      <c r="AG637" s="464"/>
      <c r="AH637" s="465"/>
      <c r="AI637" s="464"/>
    </row>
    <row r="638" customFormat="false" ht="15" hidden="false" customHeight="true" outlineLevel="0" collapsed="false">
      <c r="A638" s="455" t="s">
        <v>1812</v>
      </c>
      <c r="C638" s="456" t="n">
        <v>45551</v>
      </c>
      <c r="D638" s="456"/>
      <c r="E638" s="323" t="n">
        <v>13837</v>
      </c>
      <c r="F638" s="57" t="s">
        <v>175</v>
      </c>
      <c r="G638" s="323" t="s">
        <v>7</v>
      </c>
      <c r="H638" s="98" t="n">
        <v>75</v>
      </c>
      <c r="I638" s="457" t="n">
        <v>25.71</v>
      </c>
      <c r="J638" s="313" t="s">
        <v>1651</v>
      </c>
      <c r="K638" s="98" t="n">
        <f aca="false">I638*H638</f>
        <v>1928.25</v>
      </c>
      <c r="L638" s="411" t="n">
        <v>1484.25</v>
      </c>
      <c r="M638" s="392" t="n">
        <f aca="false">L638/K638</f>
        <v>0.76973940101128</v>
      </c>
      <c r="N638" s="466" t="n">
        <f aca="false">I638*M638</f>
        <v>19.79</v>
      </c>
      <c r="O638" s="461" t="n">
        <v>75</v>
      </c>
      <c r="P638" s="462" t="n">
        <f aca="false">H638-O638</f>
        <v>0</v>
      </c>
      <c r="Q638" s="463" t="n">
        <f aca="false">O638*I638</f>
        <v>1928.25</v>
      </c>
      <c r="R638" s="48" t="n">
        <f aca="false">K638-Q638</f>
        <v>0</v>
      </c>
      <c r="S638" s="467"/>
      <c r="T638" s="2" t="s">
        <v>1711</v>
      </c>
      <c r="V638" s="464"/>
      <c r="W638" s="464"/>
      <c r="X638" s="464"/>
      <c r="Y638" s="464"/>
      <c r="Z638" s="464"/>
      <c r="AA638" s="464"/>
      <c r="AB638" s="464"/>
      <c r="AC638" s="464"/>
      <c r="AD638" s="464"/>
      <c r="AE638" s="464"/>
      <c r="AF638" s="464"/>
      <c r="AG638" s="464"/>
      <c r="AH638" s="465"/>
      <c r="AI638" s="464"/>
    </row>
    <row r="639" customFormat="false" ht="15" hidden="false" customHeight="true" outlineLevel="0" collapsed="false">
      <c r="A639" s="455" t="s">
        <v>1812</v>
      </c>
      <c r="C639" s="456" t="n">
        <v>45551</v>
      </c>
      <c r="D639" s="456"/>
      <c r="E639" s="323" t="n">
        <v>13837</v>
      </c>
      <c r="F639" s="57" t="s">
        <v>175</v>
      </c>
      <c r="G639" s="323" t="s">
        <v>5</v>
      </c>
      <c r="H639" s="98" t="n">
        <v>300</v>
      </c>
      <c r="I639" s="457" t="n">
        <v>25.71</v>
      </c>
      <c r="J639" s="313" t="s">
        <v>1651</v>
      </c>
      <c r="K639" s="98" t="n">
        <f aca="false">I639*H639</f>
        <v>7713</v>
      </c>
      <c r="L639" s="411" t="n">
        <v>4794</v>
      </c>
      <c r="M639" s="392" t="n">
        <f aca="false">L639/K639</f>
        <v>0.621548035783742</v>
      </c>
      <c r="N639" s="466" t="n">
        <f aca="false">I639*M639</f>
        <v>15.98</v>
      </c>
      <c r="O639" s="461" t="n">
        <v>300</v>
      </c>
      <c r="P639" s="462" t="n">
        <f aca="false">H639-O639</f>
        <v>0</v>
      </c>
      <c r="Q639" s="463" t="n">
        <f aca="false">O639*I639</f>
        <v>7713</v>
      </c>
      <c r="R639" s="48" t="n">
        <f aca="false">K639-Q639</f>
        <v>0</v>
      </c>
      <c r="S639" s="467"/>
      <c r="T639" s="2" t="s">
        <v>1711</v>
      </c>
      <c r="V639" s="464"/>
      <c r="W639" s="464"/>
      <c r="X639" s="464"/>
      <c r="Y639" s="464"/>
      <c r="Z639" s="464"/>
      <c r="AA639" s="464"/>
      <c r="AB639" s="464"/>
      <c r="AC639" s="464"/>
      <c r="AD639" s="464"/>
      <c r="AE639" s="464"/>
      <c r="AF639" s="464"/>
      <c r="AG639" s="464"/>
      <c r="AH639" s="465"/>
      <c r="AI639" s="464"/>
    </row>
    <row r="640" customFormat="false" ht="15" hidden="false" customHeight="true" outlineLevel="0" collapsed="false">
      <c r="A640" s="455" t="s">
        <v>1812</v>
      </c>
      <c r="C640" s="456" t="n">
        <v>45551</v>
      </c>
      <c r="D640" s="456"/>
      <c r="E640" s="323" t="n">
        <v>13837</v>
      </c>
      <c r="F640" s="57" t="s">
        <v>175</v>
      </c>
      <c r="G640" s="323" t="s">
        <v>42</v>
      </c>
      <c r="H640" s="98" t="n">
        <v>105</v>
      </c>
      <c r="I640" s="457" t="n">
        <v>30</v>
      </c>
      <c r="J640" s="313" t="s">
        <v>1651</v>
      </c>
      <c r="K640" s="98" t="n">
        <f aca="false">I640*H640</f>
        <v>3150</v>
      </c>
      <c r="L640" s="411" t="n">
        <v>1923.95</v>
      </c>
      <c r="M640" s="392" t="n">
        <f aca="false">L640/K640</f>
        <v>0.610777777777778</v>
      </c>
      <c r="N640" s="466" t="n">
        <f aca="false">I640*M640</f>
        <v>18.3233333333333</v>
      </c>
      <c r="O640" s="461" t="n">
        <v>105</v>
      </c>
      <c r="P640" s="462" t="n">
        <f aca="false">H640-O640</f>
        <v>0</v>
      </c>
      <c r="Q640" s="463" t="n">
        <f aca="false">O640*I640</f>
        <v>3150</v>
      </c>
      <c r="R640" s="48" t="n">
        <f aca="false">K640-Q640</f>
        <v>0</v>
      </c>
      <c r="S640" s="467"/>
      <c r="T640" s="2" t="s">
        <v>1711</v>
      </c>
      <c r="V640" s="464"/>
      <c r="W640" s="464"/>
      <c r="X640" s="464"/>
      <c r="Y640" s="464"/>
      <c r="Z640" s="464"/>
      <c r="AA640" s="464"/>
      <c r="AB640" s="464"/>
      <c r="AC640" s="464"/>
      <c r="AD640" s="464"/>
      <c r="AE640" s="464"/>
      <c r="AF640" s="464"/>
      <c r="AG640" s="464"/>
      <c r="AH640" s="465"/>
      <c r="AI640" s="464"/>
    </row>
    <row r="641" customFormat="false" ht="15" hidden="false" customHeight="true" outlineLevel="0" collapsed="false">
      <c r="A641" s="455" t="s">
        <v>1845</v>
      </c>
      <c r="C641" s="456" t="n">
        <v>45551</v>
      </c>
      <c r="D641" s="456"/>
      <c r="E641" s="323" t="n">
        <v>13838</v>
      </c>
      <c r="F641" s="57" t="s">
        <v>175</v>
      </c>
      <c r="G641" s="323" t="s">
        <v>7</v>
      </c>
      <c r="H641" s="98" t="n">
        <v>300</v>
      </c>
      <c r="I641" s="457" t="n">
        <v>25.71</v>
      </c>
      <c r="J641" s="313" t="s">
        <v>1651</v>
      </c>
      <c r="K641" s="98" t="n">
        <f aca="false">I641*H641</f>
        <v>7713</v>
      </c>
      <c r="L641" s="411" t="n">
        <v>6540</v>
      </c>
      <c r="M641" s="392" t="n">
        <f aca="false">L641/K641</f>
        <v>0.847919097627382</v>
      </c>
      <c r="N641" s="466" t="n">
        <f aca="false">I641*M641</f>
        <v>21.8</v>
      </c>
      <c r="O641" s="461" t="n">
        <v>300</v>
      </c>
      <c r="P641" s="462" t="n">
        <f aca="false">H641-O641</f>
        <v>0</v>
      </c>
      <c r="Q641" s="463" t="n">
        <f aca="false">O641*I641</f>
        <v>7713</v>
      </c>
      <c r="R641" s="48" t="n">
        <f aca="false">K641-Q641</f>
        <v>0</v>
      </c>
      <c r="S641" s="467"/>
      <c r="T641" s="2" t="s">
        <v>1711</v>
      </c>
      <c r="V641" s="464"/>
      <c r="W641" s="464"/>
      <c r="X641" s="464"/>
      <c r="Y641" s="464"/>
      <c r="Z641" s="464"/>
      <c r="AA641" s="464"/>
      <c r="AB641" s="464"/>
      <c r="AC641" s="464"/>
      <c r="AD641" s="464"/>
      <c r="AE641" s="464"/>
      <c r="AF641" s="464"/>
      <c r="AG641" s="464"/>
      <c r="AH641" s="465"/>
      <c r="AI641" s="464"/>
    </row>
    <row r="642" customFormat="false" ht="15" hidden="false" customHeight="true" outlineLevel="0" collapsed="false">
      <c r="A642" s="455" t="s">
        <v>1845</v>
      </c>
      <c r="C642" s="456" t="n">
        <v>45551</v>
      </c>
      <c r="D642" s="456"/>
      <c r="E642" s="323" t="n">
        <v>13838</v>
      </c>
      <c r="F642" s="57" t="s">
        <v>175</v>
      </c>
      <c r="G642" s="323" t="s">
        <v>13</v>
      </c>
      <c r="H642" s="98" t="n">
        <v>300</v>
      </c>
      <c r="I642" s="457" t="n">
        <v>22.5</v>
      </c>
      <c r="J642" s="313" t="s">
        <v>1651</v>
      </c>
      <c r="K642" s="98" t="n">
        <f aca="false">I642*H642</f>
        <v>6750</v>
      </c>
      <c r="L642" s="411" t="n">
        <v>4380</v>
      </c>
      <c r="M642" s="392" t="n">
        <f aca="false">L642/K642</f>
        <v>0.648888888888889</v>
      </c>
      <c r="N642" s="466" t="n">
        <f aca="false">I642*M642</f>
        <v>14.6</v>
      </c>
      <c r="O642" s="461" t="n">
        <v>300</v>
      </c>
      <c r="P642" s="462" t="n">
        <f aca="false">H642-O642</f>
        <v>0</v>
      </c>
      <c r="Q642" s="463" t="n">
        <f aca="false">O642*I642</f>
        <v>6750</v>
      </c>
      <c r="R642" s="48" t="n">
        <f aca="false">K642-Q642</f>
        <v>0</v>
      </c>
      <c r="S642" s="467"/>
      <c r="T642" s="2" t="s">
        <v>1711</v>
      </c>
      <c r="V642" s="464"/>
      <c r="W642" s="464"/>
      <c r="X642" s="464"/>
      <c r="Y642" s="464"/>
      <c r="Z642" s="464"/>
      <c r="AA642" s="464"/>
      <c r="AB642" s="464"/>
      <c r="AC642" s="464"/>
      <c r="AD642" s="464"/>
      <c r="AE642" s="464"/>
      <c r="AF642" s="464"/>
      <c r="AG642" s="464"/>
      <c r="AH642" s="465"/>
      <c r="AI642" s="464"/>
    </row>
    <row r="643" customFormat="false" ht="15" hidden="false" customHeight="true" outlineLevel="0" collapsed="false">
      <c r="A643" s="455" t="s">
        <v>1846</v>
      </c>
      <c r="C643" s="456" t="n">
        <v>45551</v>
      </c>
      <c r="D643" s="456"/>
      <c r="E643" s="323" t="n">
        <v>13839</v>
      </c>
      <c r="F643" s="57" t="s">
        <v>175</v>
      </c>
      <c r="G643" s="323" t="s">
        <v>5</v>
      </c>
      <c r="H643" s="98" t="n">
        <v>100</v>
      </c>
      <c r="I643" s="457" t="n">
        <v>60</v>
      </c>
      <c r="J643" s="313" t="s">
        <v>1653</v>
      </c>
      <c r="K643" s="98" t="n">
        <f aca="false">I643*H643</f>
        <v>6000</v>
      </c>
      <c r="L643" s="411" t="n">
        <v>2661</v>
      </c>
      <c r="M643" s="392" t="n">
        <f aca="false">L643/K643</f>
        <v>0.4435</v>
      </c>
      <c r="N643" s="466" t="n">
        <f aca="false">I643*M643</f>
        <v>26.61</v>
      </c>
      <c r="O643" s="461" t="n">
        <v>100</v>
      </c>
      <c r="P643" s="462" t="n">
        <f aca="false">H643-O643</f>
        <v>0</v>
      </c>
      <c r="Q643" s="463" t="n">
        <f aca="false">O643*I643</f>
        <v>6000</v>
      </c>
      <c r="R643" s="48" t="n">
        <f aca="false">K643-Q643</f>
        <v>0</v>
      </c>
      <c r="S643" s="467"/>
      <c r="T643" s="2" t="s">
        <v>1711</v>
      </c>
      <c r="V643" s="464"/>
      <c r="W643" s="464"/>
      <c r="X643" s="464"/>
      <c r="Y643" s="464"/>
      <c r="Z643" s="464"/>
      <c r="AA643" s="464"/>
      <c r="AB643" s="464"/>
      <c r="AC643" s="464"/>
      <c r="AD643" s="464"/>
      <c r="AE643" s="464"/>
      <c r="AF643" s="464"/>
      <c r="AG643" s="464"/>
      <c r="AH643" s="465"/>
      <c r="AI643" s="464"/>
    </row>
    <row r="644" customFormat="false" ht="15" hidden="false" customHeight="true" outlineLevel="0" collapsed="false">
      <c r="A644" s="455" t="s">
        <v>1846</v>
      </c>
      <c r="C644" s="456" t="n">
        <v>45551</v>
      </c>
      <c r="D644" s="456"/>
      <c r="E644" s="323" t="n">
        <v>13839</v>
      </c>
      <c r="F644" s="57" t="s">
        <v>175</v>
      </c>
      <c r="G644" s="323" t="s">
        <v>10</v>
      </c>
      <c r="H644" s="98" t="n">
        <v>120</v>
      </c>
      <c r="I644" s="457" t="n">
        <v>90</v>
      </c>
      <c r="J644" s="313" t="s">
        <v>1653</v>
      </c>
      <c r="K644" s="98" t="n">
        <f aca="false">I644*H644</f>
        <v>10800</v>
      </c>
      <c r="L644" s="411" t="n">
        <v>2372.4</v>
      </c>
      <c r="M644" s="392" t="n">
        <f aca="false">L644/K644</f>
        <v>0.219666666666667</v>
      </c>
      <c r="N644" s="466" t="n">
        <f aca="false">I644*M644</f>
        <v>19.77</v>
      </c>
      <c r="O644" s="461" t="n">
        <v>120</v>
      </c>
      <c r="P644" s="462" t="n">
        <f aca="false">H644-O644</f>
        <v>0</v>
      </c>
      <c r="Q644" s="463" t="n">
        <f aca="false">O644*I644</f>
        <v>10800</v>
      </c>
      <c r="R644" s="48" t="n">
        <f aca="false">K644-Q644</f>
        <v>0</v>
      </c>
      <c r="S644" s="467"/>
      <c r="T644" s="2" t="s">
        <v>1711</v>
      </c>
      <c r="V644" s="464"/>
      <c r="W644" s="464"/>
      <c r="X644" s="464"/>
      <c r="Y644" s="464"/>
      <c r="Z644" s="464"/>
      <c r="AA644" s="464"/>
      <c r="AB644" s="464"/>
      <c r="AC644" s="464"/>
      <c r="AD644" s="464"/>
      <c r="AE644" s="464"/>
      <c r="AF644" s="464"/>
      <c r="AG644" s="464"/>
      <c r="AH644" s="465"/>
      <c r="AI644" s="464"/>
    </row>
    <row r="645" customFormat="false" ht="15" hidden="false" customHeight="true" outlineLevel="0" collapsed="false">
      <c r="A645" s="455" t="s">
        <v>1760</v>
      </c>
      <c r="C645" s="456" t="n">
        <v>45552</v>
      </c>
      <c r="D645" s="456"/>
      <c r="E645" s="323" t="n">
        <v>13840</v>
      </c>
      <c r="F645" s="57" t="s">
        <v>175</v>
      </c>
      <c r="G645" s="323" t="s">
        <v>15</v>
      </c>
      <c r="H645" s="98" t="n">
        <v>20</v>
      </c>
      <c r="I645" s="457" t="n">
        <v>22.5</v>
      </c>
      <c r="J645" s="313" t="s">
        <v>1651</v>
      </c>
      <c r="K645" s="98" t="n">
        <f aca="false">I645*H645</f>
        <v>450</v>
      </c>
      <c r="L645" s="411" t="n">
        <v>350</v>
      </c>
      <c r="M645" s="392" t="n">
        <f aca="false">L645/K645</f>
        <v>0.777777777777778</v>
      </c>
      <c r="N645" s="466" t="n">
        <f aca="false">I645*M645</f>
        <v>17.5</v>
      </c>
      <c r="O645" s="461" t="n">
        <v>20</v>
      </c>
      <c r="P645" s="462" t="n">
        <f aca="false">H645-O645</f>
        <v>0</v>
      </c>
      <c r="Q645" s="463" t="n">
        <f aca="false">O645*I645</f>
        <v>450</v>
      </c>
      <c r="R645" s="48" t="n">
        <f aca="false">K645-Q645</f>
        <v>0</v>
      </c>
      <c r="S645" s="467"/>
      <c r="T645" s="2" t="s">
        <v>1711</v>
      </c>
      <c r="V645" s="464"/>
      <c r="W645" s="464"/>
      <c r="X645" s="464"/>
      <c r="Y645" s="464"/>
      <c r="Z645" s="464"/>
      <c r="AA645" s="464"/>
      <c r="AB645" s="464"/>
      <c r="AC645" s="464"/>
      <c r="AD645" s="464"/>
      <c r="AE645" s="464"/>
      <c r="AF645" s="464"/>
      <c r="AG645" s="464"/>
      <c r="AH645" s="465"/>
      <c r="AI645" s="464"/>
    </row>
    <row r="646" customFormat="false" ht="15" hidden="false" customHeight="true" outlineLevel="0" collapsed="false">
      <c r="A646" s="455" t="s">
        <v>1760</v>
      </c>
      <c r="C646" s="456" t="n">
        <v>45552</v>
      </c>
      <c r="D646" s="456"/>
      <c r="E646" s="323" t="n">
        <v>13840</v>
      </c>
      <c r="F646" s="57" t="s">
        <v>175</v>
      </c>
      <c r="G646" s="323" t="s">
        <v>10</v>
      </c>
      <c r="H646" s="98" t="n">
        <v>510</v>
      </c>
      <c r="I646" s="457" t="n">
        <v>25.71</v>
      </c>
      <c r="J646" s="313" t="s">
        <v>1651</v>
      </c>
      <c r="K646" s="98" t="n">
        <f aca="false">I646*H646</f>
        <v>13112.1</v>
      </c>
      <c r="L646" s="411" t="n">
        <v>4080</v>
      </c>
      <c r="M646" s="392" t="n">
        <f aca="false">L646/K646</f>
        <v>0.311162971606379</v>
      </c>
      <c r="N646" s="466" t="n">
        <f aca="false">I646*M646</f>
        <v>8</v>
      </c>
      <c r="O646" s="461" t="n">
        <v>510</v>
      </c>
      <c r="P646" s="462" t="n">
        <f aca="false">H646-O646</f>
        <v>0</v>
      </c>
      <c r="Q646" s="463" t="n">
        <f aca="false">O646*I646</f>
        <v>13112.1</v>
      </c>
      <c r="R646" s="48" t="n">
        <f aca="false">K646-Q646</f>
        <v>0</v>
      </c>
      <c r="S646" s="467"/>
      <c r="T646" s="2" t="s">
        <v>1711</v>
      </c>
      <c r="V646" s="464"/>
      <c r="W646" s="464"/>
      <c r="X646" s="464"/>
      <c r="Y646" s="464"/>
      <c r="Z646" s="464"/>
      <c r="AA646" s="464"/>
      <c r="AB646" s="464"/>
      <c r="AC646" s="464"/>
      <c r="AD646" s="464"/>
      <c r="AE646" s="464"/>
      <c r="AF646" s="464"/>
      <c r="AG646" s="464"/>
      <c r="AH646" s="465"/>
      <c r="AI646" s="464"/>
    </row>
    <row r="647" customFormat="false" ht="15" hidden="false" customHeight="true" outlineLevel="0" collapsed="false">
      <c r="A647" s="455" t="s">
        <v>1760</v>
      </c>
      <c r="B647" s="44" t="s">
        <v>1734</v>
      </c>
      <c r="C647" s="456" t="n">
        <v>45552</v>
      </c>
      <c r="D647" s="456"/>
      <c r="E647" s="323" t="n">
        <v>13840</v>
      </c>
      <c r="F647" s="57" t="s">
        <v>175</v>
      </c>
      <c r="G647" s="323" t="s">
        <v>15</v>
      </c>
      <c r="H647" s="98" t="n">
        <v>1050</v>
      </c>
      <c r="I647" s="457" t="n">
        <v>40</v>
      </c>
      <c r="J647" s="313" t="s">
        <v>1653</v>
      </c>
      <c r="K647" s="98" t="n">
        <f aca="false">I647*H647</f>
        <v>42000</v>
      </c>
      <c r="L647" s="411" t="n">
        <v>26407.5</v>
      </c>
      <c r="M647" s="392" t="n">
        <f aca="false">L647/K647</f>
        <v>0.62875</v>
      </c>
      <c r="N647" s="466" t="n">
        <f aca="false">I647*M647</f>
        <v>25.15</v>
      </c>
      <c r="O647" s="461" t="n">
        <v>1050</v>
      </c>
      <c r="P647" s="462" t="n">
        <f aca="false">H647-O647</f>
        <v>0</v>
      </c>
      <c r="Q647" s="463" t="n">
        <f aca="false">O647*I647</f>
        <v>42000</v>
      </c>
      <c r="R647" s="48" t="n">
        <f aca="false">K647-Q647</f>
        <v>0</v>
      </c>
      <c r="S647" s="467"/>
      <c r="T647" s="2" t="s">
        <v>1711</v>
      </c>
      <c r="V647" s="464"/>
      <c r="W647" s="464"/>
      <c r="X647" s="464"/>
      <c r="Y647" s="464"/>
      <c r="Z647" s="464"/>
      <c r="AA647" s="464"/>
      <c r="AB647" s="464"/>
      <c r="AC647" s="464"/>
      <c r="AD647" s="464"/>
      <c r="AE647" s="464"/>
      <c r="AF647" s="464"/>
      <c r="AG647" s="464"/>
      <c r="AH647" s="465"/>
      <c r="AI647" s="464"/>
    </row>
    <row r="648" customFormat="false" ht="15" hidden="false" customHeight="true" outlineLevel="0" collapsed="false">
      <c r="A648" s="455" t="s">
        <v>1760</v>
      </c>
      <c r="B648" s="44" t="s">
        <v>1790</v>
      </c>
      <c r="C648" s="456" t="n">
        <v>45552</v>
      </c>
      <c r="D648" s="456"/>
      <c r="E648" s="323" t="n">
        <v>13840</v>
      </c>
      <c r="F648" s="57" t="s">
        <v>175</v>
      </c>
      <c r="G648" s="323" t="s">
        <v>10</v>
      </c>
      <c r="H648" s="98" t="n">
        <v>1050</v>
      </c>
      <c r="I648" s="457" t="n">
        <v>90</v>
      </c>
      <c r="J648" s="313" t="s">
        <v>1653</v>
      </c>
      <c r="K648" s="98" t="n">
        <f aca="false">I648*H648</f>
        <v>94500</v>
      </c>
      <c r="L648" s="411" t="n">
        <v>14889</v>
      </c>
      <c r="M648" s="392" t="n">
        <f aca="false">L648/K648</f>
        <v>0.157555555555556</v>
      </c>
      <c r="N648" s="466" t="n">
        <f aca="false">I648*M648</f>
        <v>14.18</v>
      </c>
      <c r="O648" s="461" t="n">
        <v>1050</v>
      </c>
      <c r="P648" s="462" t="n">
        <f aca="false">H648-O648</f>
        <v>0</v>
      </c>
      <c r="Q648" s="463" t="n">
        <f aca="false">O648*I648</f>
        <v>94500</v>
      </c>
      <c r="R648" s="48" t="n">
        <f aca="false">K648-Q648</f>
        <v>0</v>
      </c>
      <c r="S648" s="467"/>
      <c r="T648" s="2" t="s">
        <v>1711</v>
      </c>
      <c r="V648" s="464"/>
      <c r="W648" s="464"/>
      <c r="X648" s="464"/>
      <c r="Y648" s="464"/>
      <c r="Z648" s="464"/>
      <c r="AA648" s="464"/>
      <c r="AB648" s="464"/>
      <c r="AC648" s="464"/>
      <c r="AD648" s="464"/>
      <c r="AE648" s="464"/>
      <c r="AF648" s="464"/>
      <c r="AG648" s="464"/>
      <c r="AH648" s="465"/>
      <c r="AI648" s="464"/>
    </row>
    <row r="649" customFormat="false" ht="15" hidden="false" customHeight="true" outlineLevel="0" collapsed="false">
      <c r="A649" s="455" t="s">
        <v>1760</v>
      </c>
      <c r="C649" s="456" t="n">
        <v>45552</v>
      </c>
      <c r="D649" s="456"/>
      <c r="E649" s="57" t="n">
        <v>13841</v>
      </c>
      <c r="F649" s="57" t="s">
        <v>175</v>
      </c>
      <c r="G649" s="323" t="s">
        <v>5</v>
      </c>
      <c r="H649" s="98" t="n">
        <v>1490</v>
      </c>
      <c r="I649" s="457" t="n">
        <v>25.71</v>
      </c>
      <c r="J649" s="313" t="s">
        <v>1651</v>
      </c>
      <c r="K649" s="98" t="n">
        <f aca="false">I649*H649</f>
        <v>38307.9</v>
      </c>
      <c r="L649" s="411" t="n">
        <v>16390</v>
      </c>
      <c r="M649" s="392" t="n">
        <f aca="false">L649/K649</f>
        <v>0.427849085958771</v>
      </c>
      <c r="N649" s="466" t="n">
        <f aca="false">I649*M649</f>
        <v>11</v>
      </c>
      <c r="O649" s="461" t="n">
        <v>1490</v>
      </c>
      <c r="P649" s="462" t="n">
        <f aca="false">H649-O649</f>
        <v>0</v>
      </c>
      <c r="Q649" s="463" t="n">
        <f aca="false">O649*I649</f>
        <v>38307.9</v>
      </c>
      <c r="R649" s="48" t="n">
        <f aca="false">K649-Q649</f>
        <v>0</v>
      </c>
      <c r="S649" s="467"/>
      <c r="T649" s="2" t="s">
        <v>1711</v>
      </c>
      <c r="V649" s="464"/>
      <c r="W649" s="464"/>
      <c r="X649" s="464"/>
      <c r="Y649" s="464"/>
      <c r="Z649" s="464"/>
      <c r="AA649" s="464"/>
      <c r="AB649" s="464"/>
      <c r="AC649" s="464"/>
      <c r="AD649" s="464"/>
      <c r="AE649" s="464"/>
      <c r="AF649" s="464"/>
      <c r="AG649" s="464"/>
      <c r="AH649" s="465"/>
      <c r="AI649" s="464"/>
    </row>
    <row r="650" customFormat="false" ht="15" hidden="false" customHeight="true" outlineLevel="0" collapsed="false">
      <c r="A650" s="455" t="s">
        <v>1760</v>
      </c>
      <c r="C650" s="456" t="n">
        <v>45552</v>
      </c>
      <c r="D650" s="456"/>
      <c r="E650" s="57" t="n">
        <v>13841</v>
      </c>
      <c r="F650" s="57" t="s">
        <v>175</v>
      </c>
      <c r="G650" s="323" t="s">
        <v>42</v>
      </c>
      <c r="H650" s="98" t="n">
        <v>90</v>
      </c>
      <c r="I650" s="457" t="n">
        <v>30</v>
      </c>
      <c r="J650" s="313" t="s">
        <v>1651</v>
      </c>
      <c r="K650" s="98" t="n">
        <f aca="false">I650*H650</f>
        <v>2700</v>
      </c>
      <c r="L650" s="411" t="n">
        <v>1215</v>
      </c>
      <c r="M650" s="392" t="n">
        <f aca="false">L650/K650</f>
        <v>0.45</v>
      </c>
      <c r="N650" s="466" t="n">
        <f aca="false">I650*M650</f>
        <v>13.5</v>
      </c>
      <c r="O650" s="461" t="n">
        <v>90</v>
      </c>
      <c r="P650" s="462" t="n">
        <f aca="false">H650-O650</f>
        <v>0</v>
      </c>
      <c r="Q650" s="463" t="n">
        <f aca="false">O650*I650</f>
        <v>2700</v>
      </c>
      <c r="R650" s="48" t="n">
        <f aca="false">K650-Q650</f>
        <v>0</v>
      </c>
      <c r="S650" s="467"/>
      <c r="T650" s="2" t="s">
        <v>1711</v>
      </c>
      <c r="V650" s="464"/>
      <c r="W650" s="464"/>
      <c r="X650" s="464"/>
      <c r="Y650" s="464"/>
      <c r="Z650" s="464"/>
      <c r="AA650" s="464"/>
      <c r="AB650" s="464"/>
      <c r="AC650" s="464"/>
      <c r="AD650" s="464"/>
      <c r="AE650" s="464"/>
      <c r="AF650" s="464"/>
      <c r="AG650" s="464"/>
      <c r="AH650" s="465"/>
      <c r="AI650" s="464"/>
    </row>
    <row r="651" customFormat="false" ht="15" hidden="false" customHeight="true" outlineLevel="0" collapsed="false">
      <c r="A651" s="455" t="s">
        <v>1760</v>
      </c>
      <c r="C651" s="456" t="n">
        <v>45552</v>
      </c>
      <c r="D651" s="456"/>
      <c r="E651" s="57" t="n">
        <v>13841</v>
      </c>
      <c r="F651" s="57" t="s">
        <v>175</v>
      </c>
      <c r="G651" s="323" t="s">
        <v>13</v>
      </c>
      <c r="H651" s="98" t="n">
        <v>285</v>
      </c>
      <c r="I651" s="457" t="n">
        <v>22.5</v>
      </c>
      <c r="J651" s="313" t="s">
        <v>1651</v>
      </c>
      <c r="K651" s="98" t="n">
        <f aca="false">I651*H651</f>
        <v>6412.5</v>
      </c>
      <c r="L651" s="411" t="n">
        <v>3277.5</v>
      </c>
      <c r="M651" s="392" t="n">
        <f aca="false">L651/K651</f>
        <v>0.511111111111111</v>
      </c>
      <c r="N651" s="466" t="n">
        <f aca="false">I651*M651</f>
        <v>11.5</v>
      </c>
      <c r="O651" s="461" t="n">
        <v>285</v>
      </c>
      <c r="P651" s="462" t="n">
        <f aca="false">H651-O651</f>
        <v>0</v>
      </c>
      <c r="Q651" s="463" t="n">
        <f aca="false">O651*I651</f>
        <v>6412.5</v>
      </c>
      <c r="R651" s="48" t="n">
        <f aca="false">K651-Q651</f>
        <v>0</v>
      </c>
      <c r="S651" s="467"/>
      <c r="T651" s="2" t="s">
        <v>1711</v>
      </c>
      <c r="V651" s="464"/>
      <c r="W651" s="464"/>
      <c r="X651" s="464"/>
      <c r="Y651" s="464"/>
      <c r="Z651" s="464"/>
      <c r="AA651" s="464"/>
      <c r="AB651" s="464"/>
      <c r="AC651" s="464"/>
      <c r="AD651" s="464"/>
      <c r="AE651" s="464"/>
      <c r="AF651" s="464"/>
      <c r="AG651" s="464"/>
      <c r="AH651" s="465"/>
      <c r="AI651" s="464"/>
    </row>
    <row r="652" customFormat="false" ht="15" hidden="false" customHeight="true" outlineLevel="0" collapsed="false">
      <c r="A652" s="455" t="s">
        <v>1760</v>
      </c>
      <c r="C652" s="456" t="n">
        <v>45552</v>
      </c>
      <c r="D652" s="456"/>
      <c r="E652" s="57" t="n">
        <v>13841</v>
      </c>
      <c r="F652" s="57" t="s">
        <v>175</v>
      </c>
      <c r="G652" s="323" t="s">
        <v>10</v>
      </c>
      <c r="H652" s="98" t="n">
        <v>270</v>
      </c>
      <c r="I652" s="457" t="n">
        <v>25.71</v>
      </c>
      <c r="J652" s="313" t="s">
        <v>1651</v>
      </c>
      <c r="K652" s="98" t="n">
        <f aca="false">I652*H652</f>
        <v>6941.7</v>
      </c>
      <c r="L652" s="411" t="n">
        <v>2538</v>
      </c>
      <c r="M652" s="392" t="n">
        <f aca="false">L652/K652</f>
        <v>0.365616491637495</v>
      </c>
      <c r="N652" s="466" t="n">
        <f aca="false">I652*M652</f>
        <v>9.4</v>
      </c>
      <c r="O652" s="461" t="n">
        <v>270</v>
      </c>
      <c r="P652" s="462" t="n">
        <f aca="false">H652-O652</f>
        <v>0</v>
      </c>
      <c r="Q652" s="463" t="n">
        <f aca="false">O652*I652</f>
        <v>6941.7</v>
      </c>
      <c r="R652" s="48" t="n">
        <f aca="false">K652-Q652</f>
        <v>0</v>
      </c>
      <c r="S652" s="467"/>
      <c r="T652" s="2" t="s">
        <v>1711</v>
      </c>
      <c r="V652" s="464"/>
      <c r="W652" s="464"/>
      <c r="X652" s="464"/>
      <c r="Y652" s="464"/>
      <c r="Z652" s="464"/>
      <c r="AA652" s="464"/>
      <c r="AB652" s="464"/>
      <c r="AC652" s="464"/>
      <c r="AD652" s="464"/>
      <c r="AE652" s="464"/>
      <c r="AF652" s="464"/>
      <c r="AG652" s="464"/>
      <c r="AH652" s="465"/>
      <c r="AI652" s="464"/>
    </row>
    <row r="653" customFormat="false" ht="15" hidden="false" customHeight="true" outlineLevel="0" collapsed="false">
      <c r="A653" s="455" t="s">
        <v>1760</v>
      </c>
      <c r="C653" s="456" t="n">
        <v>45552</v>
      </c>
      <c r="D653" s="456"/>
      <c r="E653" s="57" t="n">
        <v>13841</v>
      </c>
      <c r="F653" s="57" t="s">
        <v>175</v>
      </c>
      <c r="G653" s="323" t="s">
        <v>17</v>
      </c>
      <c r="H653" s="98" t="n">
        <v>30</v>
      </c>
      <c r="I653" s="457" t="n">
        <v>22.5</v>
      </c>
      <c r="J653" s="313" t="s">
        <v>1651</v>
      </c>
      <c r="K653" s="98" t="n">
        <f aca="false">I653*H653</f>
        <v>675</v>
      </c>
      <c r="L653" s="411" t="n">
        <v>345</v>
      </c>
      <c r="M653" s="392" t="n">
        <f aca="false">L653/K653</f>
        <v>0.511111111111111</v>
      </c>
      <c r="N653" s="466" t="n">
        <f aca="false">I653*M653</f>
        <v>11.5</v>
      </c>
      <c r="O653" s="461" t="n">
        <v>30</v>
      </c>
      <c r="P653" s="462" t="n">
        <f aca="false">H653-O653</f>
        <v>0</v>
      </c>
      <c r="Q653" s="463" t="n">
        <f aca="false">O653*I653</f>
        <v>675</v>
      </c>
      <c r="R653" s="48" t="n">
        <f aca="false">K653-Q653</f>
        <v>0</v>
      </c>
      <c r="S653" s="467"/>
      <c r="T653" s="2" t="s">
        <v>1711</v>
      </c>
      <c r="V653" s="464"/>
      <c r="W653" s="464"/>
      <c r="X653" s="464"/>
      <c r="Y653" s="464"/>
      <c r="Z653" s="464"/>
      <c r="AA653" s="464"/>
      <c r="AB653" s="464"/>
      <c r="AC653" s="464"/>
      <c r="AD653" s="464"/>
      <c r="AE653" s="464"/>
      <c r="AF653" s="464"/>
      <c r="AG653" s="464"/>
      <c r="AH653" s="465"/>
      <c r="AI653" s="464"/>
    </row>
    <row r="654" customFormat="false" ht="15" hidden="false" customHeight="true" outlineLevel="0" collapsed="false">
      <c r="A654" s="455" t="s">
        <v>1759</v>
      </c>
      <c r="C654" s="456" t="n">
        <v>45552</v>
      </c>
      <c r="D654" s="456"/>
      <c r="E654" s="57" t="n">
        <v>13842</v>
      </c>
      <c r="F654" s="57" t="s">
        <v>175</v>
      </c>
      <c r="G654" s="323" t="s">
        <v>5</v>
      </c>
      <c r="H654" s="98" t="n">
        <v>180</v>
      </c>
      <c r="I654" s="457" t="n">
        <v>25.71</v>
      </c>
      <c r="J654" s="313" t="s">
        <v>1651</v>
      </c>
      <c r="K654" s="98" t="n">
        <f aca="false">I654*H654</f>
        <v>4627.8</v>
      </c>
      <c r="L654" s="411" t="n">
        <v>1980</v>
      </c>
      <c r="M654" s="392" t="n">
        <f aca="false">L654/K654</f>
        <v>0.427849085958771</v>
      </c>
      <c r="N654" s="466" t="n">
        <f aca="false">I654*M654</f>
        <v>11</v>
      </c>
      <c r="O654" s="461" t="n">
        <v>180</v>
      </c>
      <c r="P654" s="462" t="n">
        <f aca="false">H654-O654</f>
        <v>0</v>
      </c>
      <c r="Q654" s="463" t="n">
        <f aca="false">O654*I654</f>
        <v>4627.8</v>
      </c>
      <c r="R654" s="48" t="n">
        <f aca="false">K654-Q654</f>
        <v>0</v>
      </c>
      <c r="S654" s="467"/>
      <c r="T654" s="2" t="s">
        <v>1711</v>
      </c>
      <c r="V654" s="464"/>
      <c r="W654" s="464"/>
      <c r="X654" s="464"/>
      <c r="Y654" s="464"/>
      <c r="Z654" s="464"/>
      <c r="AA654" s="464"/>
      <c r="AB654" s="464"/>
      <c r="AC654" s="464"/>
      <c r="AD654" s="464"/>
      <c r="AE654" s="464"/>
      <c r="AF654" s="464"/>
      <c r="AG654" s="464"/>
      <c r="AH654" s="465"/>
      <c r="AI654" s="464"/>
    </row>
    <row r="655" customFormat="false" ht="15" hidden="false" customHeight="true" outlineLevel="0" collapsed="false">
      <c r="A655" s="455" t="s">
        <v>1759</v>
      </c>
      <c r="C655" s="456" t="n">
        <v>45552</v>
      </c>
      <c r="D655" s="456"/>
      <c r="E655" s="57" t="n">
        <v>13842</v>
      </c>
      <c r="F655" s="57" t="s">
        <v>175</v>
      </c>
      <c r="G655" s="323" t="s">
        <v>13</v>
      </c>
      <c r="H655" s="98" t="n">
        <v>120</v>
      </c>
      <c r="I655" s="457" t="n">
        <v>22.5</v>
      </c>
      <c r="J655" s="313" t="s">
        <v>1651</v>
      </c>
      <c r="K655" s="98" t="n">
        <f aca="false">I655*H655</f>
        <v>2700</v>
      </c>
      <c r="L655" s="411" t="n">
        <v>1380</v>
      </c>
      <c r="M655" s="392" t="n">
        <f aca="false">L655/K655</f>
        <v>0.511111111111111</v>
      </c>
      <c r="N655" s="466" t="n">
        <f aca="false">I655*M655</f>
        <v>11.5</v>
      </c>
      <c r="O655" s="461" t="n">
        <v>120</v>
      </c>
      <c r="P655" s="462" t="n">
        <f aca="false">H655-O655</f>
        <v>0</v>
      </c>
      <c r="Q655" s="463" t="n">
        <f aca="false">O655*I655</f>
        <v>2700</v>
      </c>
      <c r="R655" s="48" t="n">
        <f aca="false">K655-Q655</f>
        <v>0</v>
      </c>
      <c r="S655" s="467"/>
      <c r="T655" s="2" t="s">
        <v>1711</v>
      </c>
      <c r="V655" s="464"/>
      <c r="W655" s="464"/>
      <c r="X655" s="464"/>
      <c r="Y655" s="464"/>
      <c r="Z655" s="464"/>
      <c r="AA655" s="464"/>
      <c r="AB655" s="464"/>
      <c r="AC655" s="464"/>
      <c r="AD655" s="464"/>
      <c r="AE655" s="464"/>
      <c r="AF655" s="464"/>
      <c r="AG655" s="464"/>
      <c r="AH655" s="465"/>
      <c r="AI655" s="464"/>
    </row>
    <row r="656" customFormat="false" ht="15" hidden="false" customHeight="true" outlineLevel="0" collapsed="false">
      <c r="A656" s="455" t="s">
        <v>60</v>
      </c>
      <c r="C656" s="456" t="n">
        <v>45552</v>
      </c>
      <c r="D656" s="456"/>
      <c r="E656" s="323" t="n">
        <v>13843</v>
      </c>
      <c r="F656" s="57" t="s">
        <v>175</v>
      </c>
      <c r="G656" s="323" t="s">
        <v>10</v>
      </c>
      <c r="H656" s="98" t="n">
        <v>10020</v>
      </c>
      <c r="I656" s="457" t="n">
        <v>90</v>
      </c>
      <c r="J656" s="313" t="s">
        <v>1653</v>
      </c>
      <c r="K656" s="98" t="n">
        <f aca="false">I656*H656</f>
        <v>901800</v>
      </c>
      <c r="L656" s="411" t="n">
        <v>149298</v>
      </c>
      <c r="M656" s="392" t="n">
        <f aca="false">L656/K656</f>
        <v>0.165555555555556</v>
      </c>
      <c r="N656" s="466" t="n">
        <f aca="false">I656*M656</f>
        <v>14.9</v>
      </c>
      <c r="O656" s="461" t="n">
        <v>10020</v>
      </c>
      <c r="P656" s="462" t="n">
        <f aca="false">H656-O656</f>
        <v>0</v>
      </c>
      <c r="Q656" s="463" t="n">
        <f aca="false">O656*I656</f>
        <v>901800</v>
      </c>
      <c r="R656" s="48" t="n">
        <f aca="false">K656-Q656</f>
        <v>0</v>
      </c>
      <c r="S656" s="467"/>
      <c r="T656" s="2" t="s">
        <v>1711</v>
      </c>
      <c r="V656" s="464"/>
      <c r="W656" s="464"/>
      <c r="X656" s="464"/>
      <c r="Y656" s="464"/>
      <c r="Z656" s="464"/>
      <c r="AA656" s="464"/>
      <c r="AB656" s="464"/>
      <c r="AC656" s="464"/>
      <c r="AD656" s="464"/>
      <c r="AE656" s="464"/>
      <c r="AF656" s="464"/>
      <c r="AG656" s="464"/>
      <c r="AH656" s="465"/>
      <c r="AI656" s="464"/>
    </row>
    <row r="657" customFormat="false" ht="15" hidden="false" customHeight="true" outlineLevel="0" collapsed="false">
      <c r="A657" s="455" t="s">
        <v>1847</v>
      </c>
      <c r="C657" s="456" t="n">
        <v>45552</v>
      </c>
      <c r="D657" s="456"/>
      <c r="E657" s="57" t="n">
        <v>13844</v>
      </c>
      <c r="F657" s="57" t="s">
        <v>175</v>
      </c>
      <c r="G657" s="323" t="s">
        <v>17</v>
      </c>
      <c r="H657" s="98" t="n">
        <v>2010</v>
      </c>
      <c r="I657" s="457" t="n">
        <v>90</v>
      </c>
      <c r="J657" s="313" t="s">
        <v>1653</v>
      </c>
      <c r="K657" s="98" t="n">
        <f aca="false">I657*H657</f>
        <v>180900</v>
      </c>
      <c r="L657" s="411" t="n">
        <v>49245</v>
      </c>
      <c r="M657" s="392" t="n">
        <f aca="false">L657/K657</f>
        <v>0.272222222222222</v>
      </c>
      <c r="N657" s="466" t="n">
        <f aca="false">I657*M657</f>
        <v>24.5</v>
      </c>
      <c r="O657" s="461" t="n">
        <v>2010</v>
      </c>
      <c r="P657" s="462" t="n">
        <f aca="false">H657-O657</f>
        <v>0</v>
      </c>
      <c r="Q657" s="463" t="n">
        <f aca="false">O657*I657</f>
        <v>180900</v>
      </c>
      <c r="R657" s="48" t="n">
        <f aca="false">K657-Q657</f>
        <v>0</v>
      </c>
      <c r="S657" s="467"/>
      <c r="T657" s="2" t="s">
        <v>1711</v>
      </c>
      <c r="V657" s="464"/>
      <c r="W657" s="464"/>
      <c r="X657" s="464"/>
      <c r="Y657" s="464"/>
      <c r="Z657" s="464"/>
      <c r="AA657" s="464"/>
      <c r="AB657" s="464"/>
      <c r="AC657" s="464"/>
      <c r="AD657" s="464"/>
      <c r="AE657" s="464"/>
      <c r="AF657" s="464"/>
      <c r="AG657" s="464"/>
      <c r="AH657" s="465"/>
      <c r="AI657" s="464"/>
    </row>
    <row r="658" customFormat="false" ht="15" hidden="false" customHeight="true" outlineLevel="0" collapsed="false">
      <c r="A658" s="455" t="s">
        <v>1848</v>
      </c>
      <c r="C658" s="456" t="n">
        <v>45552</v>
      </c>
      <c r="D658" s="456"/>
      <c r="E658" s="57" t="n">
        <v>13845</v>
      </c>
      <c r="F658" s="57" t="s">
        <v>175</v>
      </c>
      <c r="G658" s="323" t="s">
        <v>17</v>
      </c>
      <c r="H658" s="98" t="n">
        <v>120</v>
      </c>
      <c r="I658" s="457" t="n">
        <v>37.5</v>
      </c>
      <c r="J658" s="313" t="s">
        <v>1652</v>
      </c>
      <c r="K658" s="98" t="n">
        <f aca="false">I658*H658</f>
        <v>4500</v>
      </c>
      <c r="L658" s="411" t="n">
        <v>2677.2</v>
      </c>
      <c r="M658" s="392" t="n">
        <f aca="false">L658/K658</f>
        <v>0.594933333333333</v>
      </c>
      <c r="N658" s="466" t="n">
        <f aca="false">I658*M658</f>
        <v>22.31</v>
      </c>
      <c r="O658" s="461" t="n">
        <v>120</v>
      </c>
      <c r="P658" s="462" t="n">
        <f aca="false">H658-O658</f>
        <v>0</v>
      </c>
      <c r="Q658" s="463" t="n">
        <f aca="false">O658*I658</f>
        <v>4500</v>
      </c>
      <c r="R658" s="48" t="n">
        <f aca="false">K658-Q658</f>
        <v>0</v>
      </c>
      <c r="S658" s="467"/>
      <c r="T658" s="2" t="s">
        <v>1711</v>
      </c>
      <c r="V658" s="464"/>
      <c r="W658" s="464"/>
      <c r="X658" s="464"/>
      <c r="Y658" s="464"/>
      <c r="Z658" s="464"/>
      <c r="AA658" s="464"/>
      <c r="AB658" s="464"/>
      <c r="AC658" s="464"/>
      <c r="AD658" s="464"/>
      <c r="AE658" s="464"/>
      <c r="AF658" s="464"/>
      <c r="AG658" s="464"/>
      <c r="AH658" s="465"/>
      <c r="AI658" s="464"/>
    </row>
    <row r="659" customFormat="false" ht="15" hidden="false" customHeight="true" outlineLevel="0" collapsed="false">
      <c r="A659" s="455" t="s">
        <v>1849</v>
      </c>
      <c r="C659" s="456" t="n">
        <v>45552</v>
      </c>
      <c r="D659" s="456"/>
      <c r="E659" s="57" t="n">
        <v>13846</v>
      </c>
      <c r="F659" s="57" t="s">
        <v>175</v>
      </c>
      <c r="G659" s="323" t="s">
        <v>10</v>
      </c>
      <c r="H659" s="98" t="n">
        <v>1050</v>
      </c>
      <c r="I659" s="457" t="n">
        <v>38.3</v>
      </c>
      <c r="J659" s="313" t="s">
        <v>1652</v>
      </c>
      <c r="K659" s="98" t="n">
        <f aca="false">I659*H659</f>
        <v>40215</v>
      </c>
      <c r="L659" s="411" t="n">
        <v>16012.5</v>
      </c>
      <c r="M659" s="392" t="n">
        <f aca="false">L659/K659</f>
        <v>0.398172323759791</v>
      </c>
      <c r="N659" s="466" t="n">
        <f aca="false">I659*M659</f>
        <v>15.25</v>
      </c>
      <c r="O659" s="461" t="n">
        <v>1050</v>
      </c>
      <c r="P659" s="462" t="n">
        <f aca="false">H659-O659</f>
        <v>0</v>
      </c>
      <c r="Q659" s="463" t="n">
        <f aca="false">O659*I659</f>
        <v>40215</v>
      </c>
      <c r="R659" s="48" t="n">
        <f aca="false">K659-Q659</f>
        <v>0</v>
      </c>
      <c r="S659" s="467"/>
      <c r="T659" s="2" t="s">
        <v>1711</v>
      </c>
      <c r="V659" s="464"/>
      <c r="W659" s="464"/>
      <c r="X659" s="464"/>
      <c r="Y659" s="464"/>
      <c r="Z659" s="464"/>
      <c r="AA659" s="464"/>
      <c r="AB659" s="464"/>
      <c r="AC659" s="464"/>
      <c r="AD659" s="464"/>
      <c r="AE659" s="464"/>
      <c r="AF659" s="464"/>
      <c r="AG659" s="464"/>
      <c r="AH659" s="465"/>
      <c r="AI659" s="464"/>
    </row>
    <row r="660" customFormat="false" ht="15" hidden="false" customHeight="true" outlineLevel="0" collapsed="false">
      <c r="A660" s="455" t="s">
        <v>1850</v>
      </c>
      <c r="C660" s="456" t="n">
        <v>45552</v>
      </c>
      <c r="D660" s="456"/>
      <c r="E660" s="57" t="n">
        <v>13847</v>
      </c>
      <c r="F660" s="57" t="s">
        <v>175</v>
      </c>
      <c r="G660" s="323" t="s">
        <v>5</v>
      </c>
      <c r="H660" s="98" t="n">
        <v>705</v>
      </c>
      <c r="I660" s="457" t="n">
        <v>25.71</v>
      </c>
      <c r="J660" s="313" t="s">
        <v>1651</v>
      </c>
      <c r="K660" s="98" t="n">
        <f aca="false">I660*H660</f>
        <v>18125.55</v>
      </c>
      <c r="L660" s="411" t="n">
        <v>10458.44</v>
      </c>
      <c r="M660" s="392" t="n">
        <f aca="false">L660/K660</f>
        <v>0.576999870348762</v>
      </c>
      <c r="N660" s="466" t="n">
        <f aca="false">I660*M660</f>
        <v>14.8346666666667</v>
      </c>
      <c r="O660" s="461" t="n">
        <v>705</v>
      </c>
      <c r="P660" s="462" t="n">
        <f aca="false">H660-O660</f>
        <v>0</v>
      </c>
      <c r="Q660" s="463" t="n">
        <f aca="false">O660*I660</f>
        <v>18125.55</v>
      </c>
      <c r="R660" s="48" t="n">
        <f aca="false">K660-Q660</f>
        <v>0</v>
      </c>
      <c r="S660" s="467"/>
      <c r="T660" s="2" t="s">
        <v>1711</v>
      </c>
      <c r="V660" s="464"/>
      <c r="W660" s="464"/>
      <c r="X660" s="464"/>
      <c r="Y660" s="464"/>
      <c r="Z660" s="464"/>
      <c r="AA660" s="464"/>
      <c r="AB660" s="464"/>
      <c r="AC660" s="464"/>
      <c r="AD660" s="464"/>
      <c r="AE660" s="464"/>
      <c r="AF660" s="464"/>
      <c r="AG660" s="464"/>
      <c r="AH660" s="465"/>
      <c r="AI660" s="464"/>
    </row>
    <row r="661" customFormat="false" ht="15" hidden="false" customHeight="true" outlineLevel="0" collapsed="false">
      <c r="A661" s="455" t="s">
        <v>1715</v>
      </c>
      <c r="C661" s="456" t="n">
        <v>45553</v>
      </c>
      <c r="D661" s="456"/>
      <c r="E661" s="57" t="n">
        <v>13848</v>
      </c>
      <c r="F661" s="57" t="s">
        <v>175</v>
      </c>
      <c r="G661" s="323" t="s">
        <v>10</v>
      </c>
      <c r="H661" s="98" t="n">
        <v>105</v>
      </c>
      <c r="I661" s="457" t="n">
        <v>38.3</v>
      </c>
      <c r="J661" s="313" t="s">
        <v>1652</v>
      </c>
      <c r="K661" s="98" t="n">
        <f aca="false">I661*H661</f>
        <v>4021.5</v>
      </c>
      <c r="L661" s="411" t="n">
        <v>1267</v>
      </c>
      <c r="M661" s="392" t="n">
        <f aca="false">L661/K661</f>
        <v>0.315056570931245</v>
      </c>
      <c r="N661" s="466" t="n">
        <f aca="false">I661*M661</f>
        <v>12.0666666666667</v>
      </c>
      <c r="O661" s="461" t="n">
        <v>105</v>
      </c>
      <c r="P661" s="462" t="n">
        <f aca="false">H661-O661</f>
        <v>0</v>
      </c>
      <c r="Q661" s="463" t="n">
        <f aca="false">O661*I661</f>
        <v>4021.5</v>
      </c>
      <c r="R661" s="48" t="n">
        <f aca="false">K661-Q661</f>
        <v>0</v>
      </c>
      <c r="S661" s="467"/>
      <c r="T661" s="2" t="s">
        <v>1711</v>
      </c>
      <c r="V661" s="464"/>
      <c r="W661" s="464"/>
      <c r="X661" s="464"/>
      <c r="Y661" s="464"/>
      <c r="Z661" s="464"/>
      <c r="AA661" s="464"/>
      <c r="AB661" s="464"/>
      <c r="AC661" s="464"/>
      <c r="AD661" s="464"/>
      <c r="AE661" s="464"/>
      <c r="AF661" s="464"/>
      <c r="AG661" s="464"/>
      <c r="AH661" s="465"/>
      <c r="AI661" s="464"/>
    </row>
    <row r="662" customFormat="false" ht="15" hidden="false" customHeight="true" outlineLevel="0" collapsed="false">
      <c r="A662" s="455" t="s">
        <v>1760</v>
      </c>
      <c r="C662" s="456" t="n">
        <v>45553</v>
      </c>
      <c r="D662" s="456"/>
      <c r="E662" s="57" t="n">
        <v>13850</v>
      </c>
      <c r="F662" s="57" t="s">
        <v>175</v>
      </c>
      <c r="G662" s="323" t="s">
        <v>6</v>
      </c>
      <c r="H662" s="98" t="n">
        <v>300</v>
      </c>
      <c r="I662" s="457" t="n">
        <v>30</v>
      </c>
      <c r="J662" s="313" t="s">
        <v>1651</v>
      </c>
      <c r="K662" s="98" t="n">
        <f aca="false">I662*H662</f>
        <v>9000</v>
      </c>
      <c r="L662" s="411" t="n">
        <v>3750</v>
      </c>
      <c r="M662" s="392" t="n">
        <f aca="false">L662/K662</f>
        <v>0.416666666666667</v>
      </c>
      <c r="N662" s="466" t="n">
        <f aca="false">I662*M662</f>
        <v>12.5</v>
      </c>
      <c r="O662" s="461" t="n">
        <v>300</v>
      </c>
      <c r="P662" s="462" t="n">
        <f aca="false">H662-O662</f>
        <v>0</v>
      </c>
      <c r="Q662" s="463" t="n">
        <f aca="false">O662*I662</f>
        <v>9000</v>
      </c>
      <c r="R662" s="48" t="n">
        <f aca="false">K662-Q662</f>
        <v>0</v>
      </c>
      <c r="S662" s="467"/>
      <c r="T662" s="2" t="s">
        <v>1711</v>
      </c>
      <c r="V662" s="464"/>
      <c r="W662" s="464"/>
      <c r="X662" s="464"/>
      <c r="Y662" s="464"/>
      <c r="Z662" s="464"/>
      <c r="AA662" s="464"/>
      <c r="AB662" s="464"/>
      <c r="AC662" s="464"/>
      <c r="AD662" s="464"/>
      <c r="AE662" s="464"/>
      <c r="AF662" s="464"/>
      <c r="AG662" s="464"/>
      <c r="AH662" s="465"/>
      <c r="AI662" s="464"/>
    </row>
    <row r="663" customFormat="false" ht="15" hidden="false" customHeight="true" outlineLevel="0" collapsed="false">
      <c r="A663" s="455" t="s">
        <v>1715</v>
      </c>
      <c r="C663" s="456" t="n">
        <v>45553</v>
      </c>
      <c r="D663" s="456"/>
      <c r="E663" s="57" t="n">
        <v>13851</v>
      </c>
      <c r="F663" s="323" t="s">
        <v>175</v>
      </c>
      <c r="G663" s="323" t="s">
        <v>10</v>
      </c>
      <c r="H663" s="98" t="n">
        <v>150</v>
      </c>
      <c r="I663" s="457" t="n">
        <v>38.3</v>
      </c>
      <c r="J663" s="313" t="s">
        <v>1652</v>
      </c>
      <c r="K663" s="98" t="n">
        <f aca="false">I663*H663</f>
        <v>5745</v>
      </c>
      <c r="L663" s="411" t="n">
        <v>1810</v>
      </c>
      <c r="M663" s="392" t="n">
        <f aca="false">L663/K663</f>
        <v>0.315056570931245</v>
      </c>
      <c r="N663" s="466" t="n">
        <f aca="false">I663*M663</f>
        <v>12.0666666666667</v>
      </c>
      <c r="O663" s="461" t="n">
        <v>150</v>
      </c>
      <c r="P663" s="462" t="n">
        <f aca="false">H663-O663</f>
        <v>0</v>
      </c>
      <c r="Q663" s="463" t="n">
        <f aca="false">O663*I663</f>
        <v>5745</v>
      </c>
      <c r="R663" s="48" t="n">
        <f aca="false">K663-Q663</f>
        <v>0</v>
      </c>
      <c r="S663" s="467"/>
      <c r="T663" s="2" t="s">
        <v>1711</v>
      </c>
      <c r="V663" s="464"/>
      <c r="W663" s="464"/>
      <c r="X663" s="464"/>
      <c r="Y663" s="464"/>
      <c r="Z663" s="464"/>
      <c r="AA663" s="464"/>
      <c r="AB663" s="464"/>
      <c r="AC663" s="464"/>
      <c r="AD663" s="464"/>
      <c r="AE663" s="464"/>
      <c r="AF663" s="464"/>
      <c r="AG663" s="464"/>
      <c r="AH663" s="465"/>
      <c r="AI663" s="464"/>
    </row>
    <row r="664" customFormat="false" ht="15" hidden="false" customHeight="true" outlineLevel="0" collapsed="false">
      <c r="A664" s="455" t="s">
        <v>1851</v>
      </c>
      <c r="C664" s="456" t="n">
        <v>45553</v>
      </c>
      <c r="D664" s="456"/>
      <c r="E664" s="323" t="n">
        <v>13852</v>
      </c>
      <c r="F664" s="323" t="s">
        <v>175</v>
      </c>
      <c r="G664" s="323" t="s">
        <v>6</v>
      </c>
      <c r="H664" s="98" t="n">
        <v>420</v>
      </c>
      <c r="I664" s="457" t="n">
        <v>90</v>
      </c>
      <c r="J664" s="313" t="s">
        <v>1653</v>
      </c>
      <c r="K664" s="98" t="n">
        <f aca="false">I664*H664</f>
        <v>37800</v>
      </c>
      <c r="L664" s="411" t="n">
        <v>11760</v>
      </c>
      <c r="M664" s="392" t="n">
        <f aca="false">L664/K664</f>
        <v>0.311111111111111</v>
      </c>
      <c r="N664" s="466" t="n">
        <f aca="false">I664*M664</f>
        <v>28</v>
      </c>
      <c r="O664" s="461" t="n">
        <v>420</v>
      </c>
      <c r="P664" s="462" t="n">
        <f aca="false">H664-O664</f>
        <v>0</v>
      </c>
      <c r="Q664" s="463" t="n">
        <f aca="false">O664*I664</f>
        <v>37800</v>
      </c>
      <c r="R664" s="48" t="n">
        <f aca="false">K664-Q664</f>
        <v>0</v>
      </c>
      <c r="S664" s="467"/>
      <c r="T664" s="2" t="s">
        <v>1711</v>
      </c>
      <c r="V664" s="464"/>
      <c r="W664" s="464"/>
      <c r="X664" s="464"/>
      <c r="Y664" s="464"/>
      <c r="Z664" s="464"/>
      <c r="AA664" s="464"/>
      <c r="AB664" s="464"/>
      <c r="AC664" s="464"/>
      <c r="AD664" s="464"/>
      <c r="AE664" s="464"/>
      <c r="AF664" s="464"/>
      <c r="AG664" s="464"/>
      <c r="AH664" s="465"/>
      <c r="AI664" s="464"/>
    </row>
    <row r="665" customFormat="false" ht="15" hidden="false" customHeight="true" outlineLevel="0" collapsed="false">
      <c r="A665" s="455" t="s">
        <v>1851</v>
      </c>
      <c r="C665" s="456" t="n">
        <v>45553</v>
      </c>
      <c r="D665" s="456"/>
      <c r="E665" s="57" t="n">
        <v>13852</v>
      </c>
      <c r="F665" s="323" t="s">
        <v>175</v>
      </c>
      <c r="G665" s="323" t="s">
        <v>13</v>
      </c>
      <c r="H665" s="98" t="n">
        <v>600</v>
      </c>
      <c r="I665" s="457" t="n">
        <v>90</v>
      </c>
      <c r="J665" s="313" t="s">
        <v>1653</v>
      </c>
      <c r="K665" s="98" t="n">
        <f aca="false">I665*H665</f>
        <v>54000</v>
      </c>
      <c r="L665" s="411" t="n">
        <v>17940</v>
      </c>
      <c r="M665" s="392" t="n">
        <f aca="false">L665/K665</f>
        <v>0.332222222222222</v>
      </c>
      <c r="N665" s="466" t="n">
        <f aca="false">I665*M665</f>
        <v>29.9</v>
      </c>
      <c r="O665" s="461" t="n">
        <v>600</v>
      </c>
      <c r="P665" s="462" t="n">
        <f aca="false">H665-O665</f>
        <v>0</v>
      </c>
      <c r="Q665" s="463" t="n">
        <f aca="false">O665*I665</f>
        <v>54000</v>
      </c>
      <c r="R665" s="48" t="n">
        <f aca="false">K665-Q665</f>
        <v>0</v>
      </c>
      <c r="S665" s="467"/>
      <c r="T665" s="2" t="s">
        <v>1711</v>
      </c>
      <c r="V665" s="464"/>
      <c r="W665" s="464"/>
      <c r="X665" s="464"/>
      <c r="Y665" s="464"/>
      <c r="Z665" s="464"/>
      <c r="AA665" s="464"/>
      <c r="AB665" s="464"/>
      <c r="AC665" s="464"/>
      <c r="AD665" s="464"/>
      <c r="AE665" s="464"/>
      <c r="AF665" s="464"/>
      <c r="AG665" s="464"/>
      <c r="AH665" s="465"/>
      <c r="AI665" s="464"/>
    </row>
    <row r="666" customFormat="false" ht="15" hidden="false" customHeight="true" outlineLevel="0" collapsed="false">
      <c r="A666" s="455" t="s">
        <v>1851</v>
      </c>
      <c r="C666" s="456" t="n">
        <v>45553</v>
      </c>
      <c r="D666" s="456"/>
      <c r="E666" s="57" t="n">
        <v>13852</v>
      </c>
      <c r="F666" s="323" t="s">
        <v>175</v>
      </c>
      <c r="G666" s="323" t="s">
        <v>11</v>
      </c>
      <c r="H666" s="98" t="n">
        <v>105</v>
      </c>
      <c r="I666" s="457" t="n">
        <v>14</v>
      </c>
      <c r="J666" s="313" t="s">
        <v>1651</v>
      </c>
      <c r="K666" s="98" t="n">
        <f aca="false">I666*H666</f>
        <v>1470</v>
      </c>
      <c r="L666" s="411" t="n">
        <v>6609.75</v>
      </c>
      <c r="M666" s="392" t="n">
        <f aca="false">L666/K666</f>
        <v>4.49642857142857</v>
      </c>
      <c r="N666" s="466" t="n">
        <f aca="false">I666*M666</f>
        <v>62.95</v>
      </c>
      <c r="O666" s="461" t="n">
        <v>105</v>
      </c>
      <c r="P666" s="462" t="n">
        <f aca="false">H666-O666</f>
        <v>0</v>
      </c>
      <c r="Q666" s="463" t="n">
        <f aca="false">O666*I666</f>
        <v>1470</v>
      </c>
      <c r="R666" s="48" t="n">
        <f aca="false">K666-Q666</f>
        <v>0</v>
      </c>
      <c r="S666" s="467"/>
      <c r="T666" s="2" t="s">
        <v>1711</v>
      </c>
      <c r="V666" s="464"/>
      <c r="W666" s="464"/>
      <c r="X666" s="464"/>
      <c r="Y666" s="464"/>
      <c r="Z666" s="464"/>
      <c r="AA666" s="464"/>
      <c r="AB666" s="464"/>
      <c r="AC666" s="464"/>
      <c r="AD666" s="464"/>
      <c r="AE666" s="464"/>
      <c r="AF666" s="464"/>
      <c r="AG666" s="464"/>
      <c r="AH666" s="465"/>
      <c r="AI666" s="464"/>
    </row>
    <row r="667" customFormat="false" ht="15" hidden="false" customHeight="true" outlineLevel="0" collapsed="false">
      <c r="A667" s="455" t="s">
        <v>1852</v>
      </c>
      <c r="C667" s="456" t="n">
        <v>45553</v>
      </c>
      <c r="D667" s="456"/>
      <c r="E667" s="57" t="n">
        <v>13853</v>
      </c>
      <c r="F667" s="323" t="s">
        <v>175</v>
      </c>
      <c r="G667" s="323" t="s">
        <v>19</v>
      </c>
      <c r="H667" s="98" t="n">
        <v>150</v>
      </c>
      <c r="I667" s="457" t="n">
        <v>22.5</v>
      </c>
      <c r="J667" s="313" t="s">
        <v>1651</v>
      </c>
      <c r="K667" s="98" t="n">
        <f aca="false">I667*H667</f>
        <v>3375</v>
      </c>
      <c r="L667" s="411" t="n">
        <v>3759</v>
      </c>
      <c r="M667" s="392" t="n">
        <f aca="false">L667/K667</f>
        <v>1.11377777777778</v>
      </c>
      <c r="N667" s="466" t="n">
        <f aca="false">I667*M667</f>
        <v>25.06</v>
      </c>
      <c r="O667" s="461" t="n">
        <v>150</v>
      </c>
      <c r="P667" s="462" t="n">
        <f aca="false">H667-O667</f>
        <v>0</v>
      </c>
      <c r="Q667" s="463" t="n">
        <f aca="false">O667*I667</f>
        <v>3375</v>
      </c>
      <c r="R667" s="48" t="n">
        <f aca="false">K667-Q667</f>
        <v>0</v>
      </c>
      <c r="S667" s="467"/>
      <c r="T667" s="2" t="s">
        <v>1711</v>
      </c>
      <c r="V667" s="464"/>
      <c r="W667" s="464"/>
      <c r="X667" s="464"/>
      <c r="Y667" s="464"/>
      <c r="Z667" s="464"/>
      <c r="AA667" s="464"/>
      <c r="AB667" s="464"/>
      <c r="AC667" s="464"/>
      <c r="AD667" s="464"/>
      <c r="AE667" s="464"/>
      <c r="AF667" s="464"/>
      <c r="AG667" s="464"/>
      <c r="AH667" s="465"/>
      <c r="AI667" s="464"/>
    </row>
    <row r="668" customFormat="false" ht="15" hidden="false" customHeight="true" outlineLevel="0" collapsed="false">
      <c r="A668" s="455" t="s">
        <v>1853</v>
      </c>
      <c r="C668" s="456" t="n">
        <v>45553</v>
      </c>
      <c r="D668" s="456"/>
      <c r="E668" s="323" t="n">
        <v>13856</v>
      </c>
      <c r="F668" s="323" t="s">
        <v>175</v>
      </c>
      <c r="G668" s="323" t="s">
        <v>10</v>
      </c>
      <c r="H668" s="98" t="n">
        <v>1500</v>
      </c>
      <c r="I668" s="457" t="n">
        <v>38.3</v>
      </c>
      <c r="J668" s="313" t="s">
        <v>1652</v>
      </c>
      <c r="K668" s="98" t="n">
        <f aca="false">I668*H668</f>
        <v>57450</v>
      </c>
      <c r="L668" s="411" t="n">
        <v>21690</v>
      </c>
      <c r="M668" s="392" t="n">
        <f aca="false">L668/K668</f>
        <v>0.377545691906005</v>
      </c>
      <c r="N668" s="466" t="n">
        <f aca="false">I668*M668</f>
        <v>14.46</v>
      </c>
      <c r="O668" s="461" t="n">
        <v>1500</v>
      </c>
      <c r="P668" s="462" t="n">
        <f aca="false">H668-O668</f>
        <v>0</v>
      </c>
      <c r="Q668" s="463" t="n">
        <f aca="false">O668*I668</f>
        <v>57450</v>
      </c>
      <c r="R668" s="48" t="n">
        <f aca="false">K668-Q668</f>
        <v>0</v>
      </c>
      <c r="S668" s="467"/>
      <c r="T668" s="2" t="s">
        <v>1711</v>
      </c>
      <c r="V668" s="464"/>
      <c r="W668" s="464"/>
      <c r="X668" s="464"/>
      <c r="Y668" s="464"/>
      <c r="Z668" s="464"/>
      <c r="AA668" s="464"/>
      <c r="AB668" s="464"/>
      <c r="AC668" s="464"/>
      <c r="AD668" s="464"/>
      <c r="AE668" s="464"/>
      <c r="AF668" s="464"/>
      <c r="AG668" s="464"/>
      <c r="AH668" s="465"/>
      <c r="AI668" s="464"/>
    </row>
    <row r="669" customFormat="false" ht="15" hidden="false" customHeight="true" outlineLevel="0" collapsed="false">
      <c r="A669" s="455" t="s">
        <v>1829</v>
      </c>
      <c r="C669" s="456" t="n">
        <v>45553</v>
      </c>
      <c r="D669" s="456"/>
      <c r="E669" s="323" t="n">
        <v>13857</v>
      </c>
      <c r="F669" s="323" t="s">
        <v>175</v>
      </c>
      <c r="G669" s="323" t="s">
        <v>42</v>
      </c>
      <c r="H669" s="98" t="n">
        <v>120</v>
      </c>
      <c r="I669" s="457" t="n">
        <v>30</v>
      </c>
      <c r="J669" s="313" t="s">
        <v>1651</v>
      </c>
      <c r="K669" s="98" t="n">
        <f aca="false">I669*H669</f>
        <v>3600</v>
      </c>
      <c r="L669" s="411" t="n">
        <v>2336</v>
      </c>
      <c r="M669" s="392" t="n">
        <f aca="false">L669/K669</f>
        <v>0.648888888888889</v>
      </c>
      <c r="N669" s="466" t="n">
        <f aca="false">I669*M669</f>
        <v>19.4666666666667</v>
      </c>
      <c r="O669" s="461" t="n">
        <v>120</v>
      </c>
      <c r="P669" s="462" t="n">
        <f aca="false">H669-O669</f>
        <v>0</v>
      </c>
      <c r="Q669" s="463" t="n">
        <f aca="false">O669*I669</f>
        <v>3600</v>
      </c>
      <c r="R669" s="48" t="n">
        <f aca="false">K669-Q669</f>
        <v>0</v>
      </c>
      <c r="S669" s="467"/>
      <c r="T669" s="2" t="s">
        <v>1711</v>
      </c>
      <c r="V669" s="464"/>
      <c r="W669" s="464"/>
      <c r="X669" s="464"/>
      <c r="Y669" s="464"/>
      <c r="Z669" s="464"/>
      <c r="AA669" s="464"/>
      <c r="AB669" s="464"/>
      <c r="AC669" s="464"/>
      <c r="AD669" s="464"/>
      <c r="AE669" s="464"/>
      <c r="AF669" s="464"/>
      <c r="AG669" s="464"/>
      <c r="AH669" s="465"/>
      <c r="AI669" s="464"/>
    </row>
    <row r="670" customFormat="false" ht="15" hidden="false" customHeight="true" outlineLevel="0" collapsed="false">
      <c r="A670" s="455" t="s">
        <v>1829</v>
      </c>
      <c r="C670" s="456" t="n">
        <v>45553</v>
      </c>
      <c r="D670" s="456"/>
      <c r="E670" s="323" t="n">
        <v>13858</v>
      </c>
      <c r="F670" s="323" t="s">
        <v>175</v>
      </c>
      <c r="G670" s="323" t="s">
        <v>13</v>
      </c>
      <c r="H670" s="98" t="n">
        <v>15</v>
      </c>
      <c r="I670" s="457" t="n">
        <v>22.5</v>
      </c>
      <c r="J670" s="313" t="s">
        <v>1651</v>
      </c>
      <c r="K670" s="98" t="n">
        <f aca="false">I670*H670</f>
        <v>337.5</v>
      </c>
      <c r="L670" s="411" t="n">
        <v>207</v>
      </c>
      <c r="M670" s="392" t="n">
        <f aca="false">L670/K670</f>
        <v>0.613333333333333</v>
      </c>
      <c r="N670" s="466" t="n">
        <f aca="false">I670*M670</f>
        <v>13.8</v>
      </c>
      <c r="O670" s="461" t="n">
        <v>15</v>
      </c>
      <c r="P670" s="462" t="n">
        <f aca="false">H670-O670</f>
        <v>0</v>
      </c>
      <c r="Q670" s="463" t="n">
        <f aca="false">O670*I670</f>
        <v>337.5</v>
      </c>
      <c r="R670" s="48" t="n">
        <f aca="false">K670-Q670</f>
        <v>0</v>
      </c>
      <c r="S670" s="467"/>
      <c r="T670" s="2" t="s">
        <v>1711</v>
      </c>
      <c r="V670" s="464"/>
      <c r="W670" s="464"/>
      <c r="X670" s="464"/>
      <c r="Y670" s="464"/>
      <c r="Z670" s="464"/>
      <c r="AA670" s="464"/>
      <c r="AB670" s="464"/>
      <c r="AC670" s="464"/>
      <c r="AD670" s="464"/>
      <c r="AE670" s="464"/>
      <c r="AF670" s="464"/>
      <c r="AG670" s="464"/>
      <c r="AH670" s="465"/>
      <c r="AI670" s="464"/>
    </row>
    <row r="671" customFormat="false" ht="15" hidden="false" customHeight="true" outlineLevel="0" collapsed="false">
      <c r="A671" s="455" t="s">
        <v>1829</v>
      </c>
      <c r="C671" s="456" t="n">
        <v>45553</v>
      </c>
      <c r="D671" s="456"/>
      <c r="E671" s="323" t="n">
        <v>13858</v>
      </c>
      <c r="F671" s="323" t="s">
        <v>175</v>
      </c>
      <c r="G671" s="323" t="s">
        <v>16</v>
      </c>
      <c r="H671" s="98" t="n">
        <v>75</v>
      </c>
      <c r="I671" s="457" t="n">
        <v>22.5</v>
      </c>
      <c r="J671" s="313" t="s">
        <v>1651</v>
      </c>
      <c r="K671" s="98" t="n">
        <f aca="false">I671*H671</f>
        <v>1687.5</v>
      </c>
      <c r="L671" s="411" t="n">
        <v>1650</v>
      </c>
      <c r="M671" s="392" t="n">
        <f aca="false">L671/K671</f>
        <v>0.977777777777778</v>
      </c>
      <c r="N671" s="466" t="n">
        <f aca="false">I671*M671</f>
        <v>22</v>
      </c>
      <c r="O671" s="461" t="n">
        <v>75</v>
      </c>
      <c r="P671" s="462" t="n">
        <f aca="false">H671-O671</f>
        <v>0</v>
      </c>
      <c r="Q671" s="463" t="n">
        <f aca="false">O671*I671</f>
        <v>1687.5</v>
      </c>
      <c r="R671" s="48" t="n">
        <f aca="false">K671-Q671</f>
        <v>0</v>
      </c>
      <c r="S671" s="467"/>
      <c r="T671" s="2" t="s">
        <v>1711</v>
      </c>
      <c r="V671" s="464"/>
      <c r="W671" s="464"/>
      <c r="X671" s="464"/>
      <c r="Y671" s="464"/>
      <c r="Z671" s="464"/>
      <c r="AA671" s="464"/>
      <c r="AB671" s="464"/>
      <c r="AC671" s="464"/>
      <c r="AD671" s="464"/>
      <c r="AE671" s="464"/>
      <c r="AF671" s="464"/>
      <c r="AG671" s="464"/>
      <c r="AH671" s="465"/>
      <c r="AI671" s="464"/>
    </row>
    <row r="672" customFormat="false" ht="15" hidden="false" customHeight="true" outlineLevel="0" collapsed="false">
      <c r="A672" s="455" t="s">
        <v>1819</v>
      </c>
      <c r="C672" s="456" t="n">
        <v>45554</v>
      </c>
      <c r="D672" s="456"/>
      <c r="E672" s="323" t="n">
        <v>13861</v>
      </c>
      <c r="F672" s="323" t="s">
        <v>175</v>
      </c>
      <c r="G672" s="323" t="s">
        <v>17</v>
      </c>
      <c r="H672" s="98" t="n">
        <v>110</v>
      </c>
      <c r="I672" s="457" t="n">
        <v>22.5</v>
      </c>
      <c r="J672" s="313" t="s">
        <v>1651</v>
      </c>
      <c r="K672" s="98" t="n">
        <f aca="false">I672*H672</f>
        <v>2475</v>
      </c>
      <c r="L672" s="411" t="n">
        <v>1265</v>
      </c>
      <c r="M672" s="392" t="n">
        <f aca="false">L672/K672</f>
        <v>0.511111111111111</v>
      </c>
      <c r="N672" s="466" t="n">
        <f aca="false">I672*M672</f>
        <v>11.5</v>
      </c>
      <c r="O672" s="461" t="n">
        <v>110</v>
      </c>
      <c r="P672" s="462" t="n">
        <f aca="false">H672-O672</f>
        <v>0</v>
      </c>
      <c r="Q672" s="463" t="n">
        <f aca="false">O672*I672</f>
        <v>2475</v>
      </c>
      <c r="R672" s="48" t="n">
        <f aca="false">K672-Q672</f>
        <v>0</v>
      </c>
      <c r="S672" s="467"/>
      <c r="T672" s="2" t="s">
        <v>1711</v>
      </c>
      <c r="V672" s="464"/>
      <c r="W672" s="464"/>
      <c r="X672" s="464"/>
      <c r="Y672" s="464"/>
      <c r="Z672" s="464"/>
      <c r="AA672" s="464"/>
      <c r="AB672" s="464"/>
      <c r="AC672" s="464"/>
      <c r="AD672" s="464"/>
      <c r="AE672" s="464"/>
      <c r="AF672" s="464"/>
      <c r="AG672" s="464"/>
      <c r="AH672" s="465"/>
      <c r="AI672" s="464"/>
    </row>
    <row r="673" customFormat="false" ht="15" hidden="false" customHeight="true" outlineLevel="0" collapsed="false">
      <c r="A673" s="455" t="s">
        <v>1854</v>
      </c>
      <c r="C673" s="456" t="n">
        <v>45554</v>
      </c>
      <c r="D673" s="456"/>
      <c r="E673" s="323" t="n">
        <v>13862</v>
      </c>
      <c r="F673" s="323" t="s">
        <v>175</v>
      </c>
      <c r="G673" s="323" t="s">
        <v>42</v>
      </c>
      <c r="H673" s="98" t="n">
        <v>210</v>
      </c>
      <c r="I673" s="457" t="n">
        <v>30</v>
      </c>
      <c r="J673" s="313" t="s">
        <v>1651</v>
      </c>
      <c r="K673" s="98" t="n">
        <f aca="false">I673*H673</f>
        <v>6300</v>
      </c>
      <c r="L673" s="411" t="n">
        <v>4032</v>
      </c>
      <c r="M673" s="392" t="n">
        <f aca="false">L673/K673</f>
        <v>0.64</v>
      </c>
      <c r="N673" s="466" t="n">
        <f aca="false">I673*M673</f>
        <v>19.2</v>
      </c>
      <c r="O673" s="461" t="n">
        <v>210</v>
      </c>
      <c r="P673" s="462" t="n">
        <f aca="false">H673-O673</f>
        <v>0</v>
      </c>
      <c r="Q673" s="463" t="n">
        <f aca="false">O673*I673</f>
        <v>6300</v>
      </c>
      <c r="R673" s="48" t="n">
        <f aca="false">K673-Q673</f>
        <v>0</v>
      </c>
      <c r="S673" s="467"/>
      <c r="T673" s="2" t="s">
        <v>1711</v>
      </c>
      <c r="V673" s="464"/>
      <c r="W673" s="464"/>
      <c r="X673" s="464"/>
      <c r="Y673" s="464"/>
      <c r="Z673" s="464"/>
      <c r="AA673" s="464"/>
      <c r="AB673" s="464"/>
      <c r="AC673" s="464"/>
      <c r="AD673" s="464"/>
      <c r="AE673" s="464"/>
      <c r="AF673" s="464"/>
      <c r="AG673" s="464"/>
      <c r="AH673" s="465"/>
      <c r="AI673" s="464"/>
    </row>
    <row r="674" customFormat="false" ht="15" hidden="false" customHeight="true" outlineLevel="0" collapsed="false">
      <c r="A674" s="455" t="s">
        <v>1854</v>
      </c>
      <c r="C674" s="456" t="n">
        <v>45554</v>
      </c>
      <c r="D674" s="456"/>
      <c r="E674" s="323" t="n">
        <v>13862</v>
      </c>
      <c r="F674" s="323" t="s">
        <v>175</v>
      </c>
      <c r="G674" s="323" t="s">
        <v>11</v>
      </c>
      <c r="H674" s="98" t="n">
        <v>60</v>
      </c>
      <c r="I674" s="457" t="n">
        <v>14</v>
      </c>
      <c r="J674" s="313" t="s">
        <v>1651</v>
      </c>
      <c r="K674" s="98" t="n">
        <f aca="false">I674*H674</f>
        <v>840</v>
      </c>
      <c r="L674" s="411" t="n">
        <v>4260</v>
      </c>
      <c r="M674" s="392" t="n">
        <f aca="false">L674/K674</f>
        <v>5.07142857142857</v>
      </c>
      <c r="N674" s="466" t="n">
        <f aca="false">I674*M674</f>
        <v>71</v>
      </c>
      <c r="O674" s="461" t="n">
        <v>60</v>
      </c>
      <c r="P674" s="462" t="n">
        <f aca="false">H674-O674</f>
        <v>0</v>
      </c>
      <c r="Q674" s="463" t="n">
        <f aca="false">O674*I674</f>
        <v>840</v>
      </c>
      <c r="R674" s="48" t="n">
        <f aca="false">K674-Q674</f>
        <v>0</v>
      </c>
      <c r="S674" s="467"/>
      <c r="T674" s="2" t="s">
        <v>1711</v>
      </c>
      <c r="V674" s="464"/>
      <c r="W674" s="464"/>
      <c r="X674" s="464"/>
      <c r="Y674" s="464"/>
      <c r="Z674" s="464"/>
      <c r="AA674" s="464"/>
      <c r="AB674" s="464"/>
      <c r="AC674" s="464"/>
      <c r="AD674" s="464"/>
      <c r="AE674" s="464"/>
      <c r="AF674" s="464"/>
      <c r="AG674" s="464"/>
      <c r="AH674" s="465"/>
      <c r="AI674" s="464"/>
    </row>
    <row r="675" customFormat="false" ht="15" hidden="false" customHeight="true" outlineLevel="0" collapsed="false">
      <c r="A675" s="455" t="s">
        <v>1819</v>
      </c>
      <c r="C675" s="456" t="n">
        <v>45554</v>
      </c>
      <c r="D675" s="456"/>
      <c r="E675" s="323" t="n">
        <v>13863</v>
      </c>
      <c r="F675" s="323" t="s">
        <v>175</v>
      </c>
      <c r="G675" s="323" t="s">
        <v>6</v>
      </c>
      <c r="H675" s="98" t="n">
        <v>380</v>
      </c>
      <c r="I675" s="457" t="n">
        <v>30</v>
      </c>
      <c r="J675" s="313" t="s">
        <v>1651</v>
      </c>
      <c r="K675" s="98" t="n">
        <f aca="false">I675*H675</f>
        <v>11400</v>
      </c>
      <c r="L675" s="411" t="n">
        <v>4750</v>
      </c>
      <c r="M675" s="392" t="n">
        <f aca="false">L675/K675</f>
        <v>0.416666666666667</v>
      </c>
      <c r="N675" s="466" t="n">
        <f aca="false">I675*M675</f>
        <v>12.5</v>
      </c>
      <c r="O675" s="461" t="n">
        <v>380</v>
      </c>
      <c r="P675" s="462" t="n">
        <f aca="false">H675-O675</f>
        <v>0</v>
      </c>
      <c r="Q675" s="463" t="n">
        <f aca="false">O675*I675</f>
        <v>11400</v>
      </c>
      <c r="R675" s="48" t="n">
        <f aca="false">K675-Q675</f>
        <v>0</v>
      </c>
      <c r="S675" s="467"/>
      <c r="T675" s="2" t="s">
        <v>1711</v>
      </c>
      <c r="V675" s="464"/>
      <c r="W675" s="464"/>
      <c r="X675" s="464"/>
      <c r="Y675" s="464"/>
      <c r="Z675" s="464"/>
      <c r="AA675" s="464"/>
      <c r="AB675" s="464"/>
      <c r="AC675" s="464"/>
      <c r="AD675" s="464"/>
      <c r="AE675" s="464"/>
      <c r="AF675" s="464"/>
      <c r="AG675" s="464"/>
      <c r="AH675" s="465"/>
      <c r="AI675" s="464"/>
    </row>
    <row r="676" customFormat="false" ht="15" hidden="false" customHeight="true" outlineLevel="0" collapsed="false">
      <c r="A676" s="455" t="s">
        <v>1819</v>
      </c>
      <c r="C676" s="456" t="n">
        <v>45554</v>
      </c>
      <c r="D676" s="456"/>
      <c r="E676" s="323" t="n">
        <v>13863</v>
      </c>
      <c r="F676" s="323" t="s">
        <v>175</v>
      </c>
      <c r="G676" s="323" t="s">
        <v>17</v>
      </c>
      <c r="H676" s="98" t="n">
        <v>2250</v>
      </c>
      <c r="I676" s="457" t="n">
        <v>22.5</v>
      </c>
      <c r="J676" s="313" t="s">
        <v>1651</v>
      </c>
      <c r="K676" s="98" t="n">
        <f aca="false">I676*H676</f>
        <v>50625</v>
      </c>
      <c r="L676" s="411" t="n">
        <v>25875</v>
      </c>
      <c r="M676" s="392" t="n">
        <f aca="false">L676/K676</f>
        <v>0.511111111111111</v>
      </c>
      <c r="N676" s="466" t="n">
        <f aca="false">I676*M676</f>
        <v>11.5</v>
      </c>
      <c r="O676" s="461" t="n">
        <v>2250</v>
      </c>
      <c r="P676" s="462" t="n">
        <f aca="false">H676-O676</f>
        <v>0</v>
      </c>
      <c r="Q676" s="463" t="n">
        <f aca="false">O676*I676</f>
        <v>50625</v>
      </c>
      <c r="R676" s="48" t="n">
        <f aca="false">K676-Q676</f>
        <v>0</v>
      </c>
      <c r="S676" s="467"/>
      <c r="T676" s="2" t="s">
        <v>1711</v>
      </c>
      <c r="V676" s="464"/>
      <c r="W676" s="464"/>
      <c r="X676" s="464"/>
      <c r="Y676" s="464"/>
      <c r="Z676" s="464"/>
      <c r="AA676" s="464"/>
      <c r="AB676" s="464"/>
      <c r="AC676" s="464"/>
      <c r="AD676" s="464"/>
      <c r="AE676" s="464"/>
      <c r="AF676" s="464"/>
      <c r="AG676" s="464"/>
      <c r="AH676" s="465"/>
      <c r="AI676" s="464"/>
    </row>
    <row r="677" customFormat="false" ht="15" hidden="false" customHeight="true" outlineLevel="0" collapsed="false">
      <c r="A677" s="455" t="s">
        <v>1855</v>
      </c>
      <c r="C677" s="456" t="n">
        <v>45554</v>
      </c>
      <c r="D677" s="456"/>
      <c r="E677" s="323" t="n">
        <v>13864</v>
      </c>
      <c r="F677" s="323" t="s">
        <v>175</v>
      </c>
      <c r="G677" s="323" t="s">
        <v>5</v>
      </c>
      <c r="H677" s="98" t="n">
        <v>300</v>
      </c>
      <c r="I677" s="457" t="n">
        <v>25.71</v>
      </c>
      <c r="J677" s="313" t="s">
        <v>1651</v>
      </c>
      <c r="K677" s="98" t="n">
        <f aca="false">I677*H677</f>
        <v>7713</v>
      </c>
      <c r="L677" s="411" t="n">
        <v>4170</v>
      </c>
      <c r="M677" s="392" t="n">
        <f aca="false">L677/K677</f>
        <v>0.540645663166083</v>
      </c>
      <c r="N677" s="466" t="n">
        <f aca="false">I677*M677</f>
        <v>13.9</v>
      </c>
      <c r="O677" s="461" t="n">
        <v>300</v>
      </c>
      <c r="P677" s="462" t="n">
        <f aca="false">H677-O677</f>
        <v>0</v>
      </c>
      <c r="Q677" s="463" t="n">
        <f aca="false">O677*I677</f>
        <v>7713</v>
      </c>
      <c r="R677" s="48" t="n">
        <f aca="false">K677-Q677</f>
        <v>0</v>
      </c>
      <c r="S677" s="467"/>
      <c r="T677" s="2" t="s">
        <v>1711</v>
      </c>
      <c r="V677" s="464"/>
      <c r="W677" s="464"/>
      <c r="X677" s="464"/>
      <c r="Y677" s="464"/>
      <c r="Z677" s="464"/>
      <c r="AA677" s="464"/>
      <c r="AB677" s="464"/>
      <c r="AC677" s="464"/>
      <c r="AD677" s="464"/>
      <c r="AE677" s="464"/>
      <c r="AF677" s="464"/>
      <c r="AG677" s="464"/>
      <c r="AH677" s="465"/>
      <c r="AI677" s="464"/>
    </row>
    <row r="678" customFormat="false" ht="15" hidden="false" customHeight="true" outlineLevel="0" collapsed="false">
      <c r="A678" s="455" t="s">
        <v>1855</v>
      </c>
      <c r="C678" s="456" t="n">
        <v>45554</v>
      </c>
      <c r="D678" s="456"/>
      <c r="E678" s="323" t="n">
        <v>13864</v>
      </c>
      <c r="F678" s="323" t="s">
        <v>175</v>
      </c>
      <c r="G678" s="323" t="s">
        <v>42</v>
      </c>
      <c r="H678" s="98" t="n">
        <v>300</v>
      </c>
      <c r="I678" s="457" t="n">
        <v>30</v>
      </c>
      <c r="J678" s="313" t="s">
        <v>1651</v>
      </c>
      <c r="K678" s="98" t="n">
        <f aca="false">I678*H678</f>
        <v>9000</v>
      </c>
      <c r="L678" s="411" t="n">
        <v>4620</v>
      </c>
      <c r="M678" s="392" t="n">
        <f aca="false">L678/K678</f>
        <v>0.513333333333333</v>
      </c>
      <c r="N678" s="466" t="n">
        <f aca="false">I678*M678</f>
        <v>15.4</v>
      </c>
      <c r="O678" s="461" t="n">
        <v>300</v>
      </c>
      <c r="P678" s="462" t="n">
        <f aca="false">H678-O678</f>
        <v>0</v>
      </c>
      <c r="Q678" s="463" t="n">
        <f aca="false">O678*I678</f>
        <v>9000</v>
      </c>
      <c r="R678" s="48" t="n">
        <f aca="false">K678-Q678</f>
        <v>0</v>
      </c>
      <c r="S678" s="467"/>
      <c r="T678" s="2" t="s">
        <v>1711</v>
      </c>
      <c r="V678" s="464"/>
      <c r="W678" s="464"/>
      <c r="X678" s="464"/>
      <c r="Y678" s="464"/>
      <c r="Z678" s="464"/>
      <c r="AA678" s="464"/>
      <c r="AB678" s="464"/>
      <c r="AC678" s="464"/>
      <c r="AD678" s="464"/>
      <c r="AE678" s="464"/>
      <c r="AF678" s="464"/>
      <c r="AG678" s="464"/>
      <c r="AH678" s="465"/>
      <c r="AI678" s="464"/>
    </row>
    <row r="679" customFormat="false" ht="15" hidden="false" customHeight="true" outlineLevel="0" collapsed="false">
      <c r="A679" s="455" t="s">
        <v>1855</v>
      </c>
      <c r="C679" s="456" t="n">
        <v>45554</v>
      </c>
      <c r="D679" s="456"/>
      <c r="E679" s="323" t="n">
        <v>13864</v>
      </c>
      <c r="F679" s="323" t="s">
        <v>175</v>
      </c>
      <c r="G679" s="323" t="s">
        <v>12</v>
      </c>
      <c r="H679" s="98" t="n">
        <v>300</v>
      </c>
      <c r="I679" s="457" t="n">
        <v>18</v>
      </c>
      <c r="J679" s="313" t="s">
        <v>1651</v>
      </c>
      <c r="K679" s="98" t="n">
        <f aca="false">I679*H679</f>
        <v>5400</v>
      </c>
      <c r="L679" s="411" t="n">
        <v>13200</v>
      </c>
      <c r="M679" s="392" t="n">
        <f aca="false">L679/K679</f>
        <v>2.44444444444444</v>
      </c>
      <c r="N679" s="466" t="n">
        <f aca="false">I679*M679</f>
        <v>44</v>
      </c>
      <c r="O679" s="461" t="n">
        <v>300</v>
      </c>
      <c r="P679" s="462" t="n">
        <f aca="false">H679-O679</f>
        <v>0</v>
      </c>
      <c r="Q679" s="463" t="n">
        <f aca="false">O679*I679</f>
        <v>5400</v>
      </c>
      <c r="R679" s="48" t="n">
        <f aca="false">K679-Q679</f>
        <v>0</v>
      </c>
      <c r="S679" s="467"/>
      <c r="T679" s="2" t="s">
        <v>1711</v>
      </c>
      <c r="V679" s="464"/>
      <c r="W679" s="464"/>
      <c r="X679" s="464"/>
      <c r="Y679" s="464"/>
      <c r="Z679" s="464"/>
      <c r="AA679" s="464"/>
      <c r="AB679" s="464"/>
      <c r="AC679" s="464"/>
      <c r="AD679" s="464"/>
      <c r="AE679" s="464"/>
      <c r="AF679" s="464"/>
      <c r="AG679" s="464"/>
      <c r="AH679" s="465"/>
      <c r="AI679" s="464"/>
    </row>
    <row r="680" customFormat="false" ht="15" hidden="false" customHeight="true" outlineLevel="0" collapsed="false">
      <c r="A680" s="455" t="s">
        <v>1855</v>
      </c>
      <c r="C680" s="456" t="n">
        <v>45554</v>
      </c>
      <c r="D680" s="456"/>
      <c r="E680" s="323" t="n">
        <v>13864</v>
      </c>
      <c r="F680" s="323" t="s">
        <v>175</v>
      </c>
      <c r="G680" s="323" t="s">
        <v>13</v>
      </c>
      <c r="H680" s="98" t="n">
        <v>300</v>
      </c>
      <c r="I680" s="457" t="n">
        <v>22.5</v>
      </c>
      <c r="J680" s="313" t="s">
        <v>1651</v>
      </c>
      <c r="K680" s="98" t="n">
        <f aca="false">I680*H680</f>
        <v>6750</v>
      </c>
      <c r="L680" s="411" t="n">
        <v>4050</v>
      </c>
      <c r="M680" s="392" t="n">
        <f aca="false">L680/K680</f>
        <v>0.6</v>
      </c>
      <c r="N680" s="466" t="n">
        <f aca="false">I680*M680</f>
        <v>13.5</v>
      </c>
      <c r="O680" s="461" t="n">
        <v>300</v>
      </c>
      <c r="P680" s="462" t="n">
        <f aca="false">H680-O680</f>
        <v>0</v>
      </c>
      <c r="Q680" s="463" t="n">
        <f aca="false">O680*I680</f>
        <v>6750</v>
      </c>
      <c r="R680" s="48" t="n">
        <f aca="false">K680-Q680</f>
        <v>0</v>
      </c>
      <c r="S680" s="467"/>
      <c r="T680" s="2" t="s">
        <v>1711</v>
      </c>
      <c r="V680" s="464"/>
      <c r="W680" s="464"/>
      <c r="X680" s="464"/>
      <c r="Y680" s="464"/>
      <c r="Z680" s="464"/>
      <c r="AA680" s="464"/>
      <c r="AB680" s="464"/>
      <c r="AC680" s="464"/>
      <c r="AD680" s="464"/>
      <c r="AE680" s="464"/>
      <c r="AF680" s="464"/>
      <c r="AG680" s="464"/>
      <c r="AH680" s="465"/>
      <c r="AI680" s="464"/>
    </row>
    <row r="681" customFormat="false" ht="15" hidden="false" customHeight="true" outlineLevel="0" collapsed="false">
      <c r="A681" s="455" t="s">
        <v>1855</v>
      </c>
      <c r="C681" s="456" t="n">
        <v>45554</v>
      </c>
      <c r="D681" s="456"/>
      <c r="E681" s="323" t="n">
        <v>13864</v>
      </c>
      <c r="F681" s="323" t="s">
        <v>175</v>
      </c>
      <c r="G681" s="323" t="s">
        <v>11</v>
      </c>
      <c r="H681" s="98" t="n">
        <v>200</v>
      </c>
      <c r="I681" s="457" t="n">
        <v>14</v>
      </c>
      <c r="J681" s="313" t="s">
        <v>1651</v>
      </c>
      <c r="K681" s="98" t="n">
        <f aca="false">I681*H681</f>
        <v>2800</v>
      </c>
      <c r="L681" s="411" t="n">
        <v>12800</v>
      </c>
      <c r="M681" s="392" t="n">
        <f aca="false">L681/K681</f>
        <v>4.57142857142857</v>
      </c>
      <c r="N681" s="466" t="n">
        <f aca="false">I681*M681</f>
        <v>64</v>
      </c>
      <c r="O681" s="461" t="n">
        <v>200</v>
      </c>
      <c r="P681" s="462" t="n">
        <f aca="false">H681-O681</f>
        <v>0</v>
      </c>
      <c r="Q681" s="463" t="n">
        <f aca="false">O681*I681</f>
        <v>2800</v>
      </c>
      <c r="R681" s="48" t="n">
        <f aca="false">K681-Q681</f>
        <v>0</v>
      </c>
      <c r="S681" s="467"/>
      <c r="T681" s="2" t="s">
        <v>1711</v>
      </c>
      <c r="V681" s="464"/>
      <c r="W681" s="464"/>
      <c r="X681" s="464"/>
      <c r="Y681" s="464"/>
      <c r="Z681" s="464"/>
      <c r="AA681" s="464"/>
      <c r="AB681" s="464"/>
      <c r="AC681" s="464"/>
      <c r="AD681" s="464"/>
      <c r="AE681" s="464"/>
      <c r="AF681" s="464"/>
      <c r="AG681" s="464"/>
      <c r="AH681" s="465"/>
      <c r="AI681" s="464"/>
    </row>
    <row r="682" customFormat="false" ht="15" hidden="false" customHeight="true" outlineLevel="0" collapsed="false">
      <c r="A682" s="455" t="s">
        <v>1855</v>
      </c>
      <c r="C682" s="456" t="n">
        <v>45554</v>
      </c>
      <c r="D682" s="456"/>
      <c r="E682" s="323" t="n">
        <v>13864</v>
      </c>
      <c r="F682" s="323" t="s">
        <v>175</v>
      </c>
      <c r="G682" s="323" t="s">
        <v>17</v>
      </c>
      <c r="H682" s="98" t="n">
        <v>300</v>
      </c>
      <c r="I682" s="457" t="n">
        <v>22.5</v>
      </c>
      <c r="J682" s="313" t="s">
        <v>1651</v>
      </c>
      <c r="K682" s="98" t="n">
        <f aca="false">I682*H682</f>
        <v>6750</v>
      </c>
      <c r="L682" s="411" t="n">
        <v>4170</v>
      </c>
      <c r="M682" s="392" t="n">
        <f aca="false">L682/K682</f>
        <v>0.617777777777778</v>
      </c>
      <c r="N682" s="466" t="n">
        <f aca="false">I682*M682</f>
        <v>13.9</v>
      </c>
      <c r="O682" s="461" t="n">
        <v>300</v>
      </c>
      <c r="P682" s="462" t="n">
        <f aca="false">H682-O682</f>
        <v>0</v>
      </c>
      <c r="Q682" s="463" t="n">
        <f aca="false">O682*I682</f>
        <v>6750</v>
      </c>
      <c r="R682" s="48" t="n">
        <f aca="false">K682-Q682</f>
        <v>0</v>
      </c>
      <c r="S682" s="467"/>
      <c r="T682" s="2" t="s">
        <v>1711</v>
      </c>
      <c r="V682" s="464"/>
      <c r="W682" s="464"/>
      <c r="X682" s="464"/>
      <c r="Y682" s="464"/>
      <c r="Z682" s="464"/>
      <c r="AA682" s="464"/>
      <c r="AB682" s="464"/>
      <c r="AC682" s="464"/>
      <c r="AD682" s="464"/>
      <c r="AE682" s="464"/>
      <c r="AF682" s="464"/>
      <c r="AG682" s="464"/>
      <c r="AH682" s="465"/>
      <c r="AI682" s="464"/>
    </row>
    <row r="683" customFormat="false" ht="15" hidden="false" customHeight="true" outlineLevel="0" collapsed="false">
      <c r="A683" s="455" t="s">
        <v>1758</v>
      </c>
      <c r="C683" s="456" t="n">
        <v>45554</v>
      </c>
      <c r="D683" s="456"/>
      <c r="E683" s="323" t="n">
        <v>13865</v>
      </c>
      <c r="F683" s="323" t="s">
        <v>175</v>
      </c>
      <c r="G683" s="323" t="s">
        <v>13</v>
      </c>
      <c r="H683" s="98" t="n">
        <v>750</v>
      </c>
      <c r="I683" s="457" t="n">
        <v>22.5</v>
      </c>
      <c r="J683" s="313" t="s">
        <v>1651</v>
      </c>
      <c r="K683" s="98" t="n">
        <f aca="false">I683*H683</f>
        <v>16875</v>
      </c>
      <c r="L683" s="411" t="n">
        <v>8625</v>
      </c>
      <c r="M683" s="392" t="n">
        <f aca="false">L683/K683</f>
        <v>0.511111111111111</v>
      </c>
      <c r="N683" s="466" t="n">
        <f aca="false">I683*M683</f>
        <v>11.5</v>
      </c>
      <c r="O683" s="461" t="n">
        <v>750</v>
      </c>
      <c r="P683" s="462" t="n">
        <f aca="false">H683-O683</f>
        <v>0</v>
      </c>
      <c r="Q683" s="463" t="n">
        <f aca="false">O683*I683</f>
        <v>16875</v>
      </c>
      <c r="R683" s="48" t="n">
        <f aca="false">K683-Q683</f>
        <v>0</v>
      </c>
      <c r="S683" s="467"/>
      <c r="T683" s="2" t="s">
        <v>1711</v>
      </c>
      <c r="V683" s="464"/>
      <c r="W683" s="464"/>
      <c r="X683" s="464"/>
      <c r="Y683" s="464"/>
      <c r="Z683" s="464"/>
      <c r="AA683" s="464"/>
      <c r="AB683" s="464"/>
      <c r="AC683" s="464"/>
      <c r="AD683" s="464"/>
      <c r="AE683" s="464"/>
      <c r="AF683" s="464"/>
      <c r="AG683" s="464"/>
      <c r="AH683" s="465"/>
      <c r="AI683" s="464"/>
    </row>
    <row r="684" customFormat="false" ht="15" hidden="false" customHeight="true" outlineLevel="0" collapsed="false">
      <c r="A684" s="455" t="s">
        <v>1819</v>
      </c>
      <c r="C684" s="456" t="n">
        <v>45554</v>
      </c>
      <c r="D684" s="456"/>
      <c r="E684" s="323" t="n">
        <v>13866</v>
      </c>
      <c r="F684" s="323" t="s">
        <v>175</v>
      </c>
      <c r="G684" s="323" t="s">
        <v>10</v>
      </c>
      <c r="H684" s="98" t="n">
        <v>30</v>
      </c>
      <c r="I684" s="457" t="n">
        <v>25.71</v>
      </c>
      <c r="J684" s="313" t="s">
        <v>1651</v>
      </c>
      <c r="K684" s="199" t="n">
        <f aca="false">I684*H684</f>
        <v>771.3</v>
      </c>
      <c r="L684" s="411" t="n">
        <v>240</v>
      </c>
      <c r="M684" s="392" t="n">
        <f aca="false">L684/K684</f>
        <v>0.311162971606379</v>
      </c>
      <c r="N684" s="466" t="n">
        <f aca="false">I684*M684</f>
        <v>8</v>
      </c>
      <c r="O684" s="461" t="n">
        <v>30</v>
      </c>
      <c r="P684" s="462" t="n">
        <f aca="false">H684-O684</f>
        <v>0</v>
      </c>
      <c r="Q684" s="463" t="n">
        <f aca="false">O684*I684</f>
        <v>771.3</v>
      </c>
      <c r="R684" s="475" t="n">
        <f aca="false">K684-Q684</f>
        <v>0</v>
      </c>
      <c r="S684" s="467"/>
      <c r="T684" s="2" t="s">
        <v>1711</v>
      </c>
      <c r="V684" s="464"/>
      <c r="W684" s="464"/>
      <c r="X684" s="464"/>
      <c r="Y684" s="464"/>
      <c r="Z684" s="464"/>
      <c r="AA684" s="464"/>
      <c r="AB684" s="464"/>
      <c r="AC684" s="464"/>
      <c r="AD684" s="464"/>
      <c r="AE684" s="464"/>
      <c r="AF684" s="464"/>
      <c r="AG684" s="464"/>
      <c r="AH684" s="465"/>
      <c r="AI684" s="464"/>
    </row>
    <row r="685" customFormat="false" ht="15" hidden="false" customHeight="true" outlineLevel="0" collapsed="false">
      <c r="A685" s="455" t="s">
        <v>1812</v>
      </c>
      <c r="C685" s="456" t="n">
        <v>45555</v>
      </c>
      <c r="D685" s="456"/>
      <c r="E685" s="323" t="n">
        <v>13868</v>
      </c>
      <c r="F685" s="57" t="s">
        <v>175</v>
      </c>
      <c r="G685" s="323" t="s">
        <v>42</v>
      </c>
      <c r="H685" s="98" t="n">
        <v>90</v>
      </c>
      <c r="I685" s="457" t="n">
        <v>30</v>
      </c>
      <c r="J685" s="313" t="s">
        <v>1651</v>
      </c>
      <c r="K685" s="98" t="n">
        <f aca="false">I685*H685</f>
        <v>2700</v>
      </c>
      <c r="L685" s="411" t="n">
        <v>1649.1</v>
      </c>
      <c r="M685" s="392" t="n">
        <f aca="false">L685/K685</f>
        <v>0.610777777777778</v>
      </c>
      <c r="N685" s="466" t="n">
        <f aca="false">I685*M685</f>
        <v>18.3233333333333</v>
      </c>
      <c r="O685" s="461" t="n">
        <v>90</v>
      </c>
      <c r="P685" s="462" t="n">
        <f aca="false">H685-O685</f>
        <v>0</v>
      </c>
      <c r="Q685" s="463" t="n">
        <f aca="false">O685*I685</f>
        <v>2700</v>
      </c>
      <c r="R685" s="48" t="n">
        <f aca="false">K685-Q685</f>
        <v>0</v>
      </c>
      <c r="S685" s="467"/>
      <c r="T685" s="2" t="s">
        <v>1711</v>
      </c>
      <c r="V685" s="464"/>
      <c r="W685" s="464"/>
      <c r="X685" s="464"/>
      <c r="Y685" s="464"/>
      <c r="Z685" s="464"/>
      <c r="AA685" s="464"/>
      <c r="AB685" s="464"/>
      <c r="AC685" s="464"/>
      <c r="AD685" s="464"/>
      <c r="AE685" s="464"/>
      <c r="AF685" s="464"/>
      <c r="AG685" s="464"/>
      <c r="AH685" s="465"/>
      <c r="AI685" s="464"/>
    </row>
    <row r="686" customFormat="false" ht="15" hidden="false" customHeight="true" outlineLevel="0" collapsed="false">
      <c r="A686" s="455" t="s">
        <v>1812</v>
      </c>
      <c r="C686" s="456" t="n">
        <v>45555</v>
      </c>
      <c r="D686" s="456"/>
      <c r="E686" s="323" t="n">
        <v>13868</v>
      </c>
      <c r="F686" s="57" t="s">
        <v>175</v>
      </c>
      <c r="G686" s="323" t="s">
        <v>17</v>
      </c>
      <c r="H686" s="98" t="n">
        <v>180</v>
      </c>
      <c r="I686" s="457" t="n">
        <v>22.5</v>
      </c>
      <c r="J686" s="313" t="s">
        <v>1651</v>
      </c>
      <c r="K686" s="98" t="n">
        <f aca="false">I686*H686</f>
        <v>4050</v>
      </c>
      <c r="L686" s="411" t="n">
        <v>2386.8</v>
      </c>
      <c r="M686" s="392" t="n">
        <f aca="false">L686/K686</f>
        <v>0.589333333333333</v>
      </c>
      <c r="N686" s="466" t="n">
        <f aca="false">I686*M686</f>
        <v>13.26</v>
      </c>
      <c r="O686" s="461" t="n">
        <v>180</v>
      </c>
      <c r="P686" s="462" t="n">
        <f aca="false">H686-O686</f>
        <v>0</v>
      </c>
      <c r="Q686" s="463" t="n">
        <f aca="false">O686*I686</f>
        <v>4050</v>
      </c>
      <c r="R686" s="48" t="n">
        <f aca="false">K686-Q686</f>
        <v>0</v>
      </c>
      <c r="S686" s="467"/>
      <c r="T686" s="2" t="s">
        <v>1711</v>
      </c>
      <c r="V686" s="464"/>
      <c r="W686" s="464"/>
      <c r="X686" s="464"/>
      <c r="Y686" s="464"/>
      <c r="Z686" s="464"/>
      <c r="AA686" s="464"/>
      <c r="AB686" s="464"/>
      <c r="AC686" s="464"/>
      <c r="AD686" s="464"/>
      <c r="AE686" s="464"/>
      <c r="AF686" s="464"/>
      <c r="AG686" s="464"/>
      <c r="AH686" s="465"/>
      <c r="AI686" s="464"/>
    </row>
    <row r="687" customFormat="false" ht="15" hidden="false" customHeight="true" outlineLevel="0" collapsed="false">
      <c r="A687" s="455" t="s">
        <v>1719</v>
      </c>
      <c r="C687" s="456" t="n">
        <v>45555</v>
      </c>
      <c r="D687" s="456"/>
      <c r="E687" s="323" t="n">
        <v>13869</v>
      </c>
      <c r="F687" s="57" t="s">
        <v>175</v>
      </c>
      <c r="G687" s="323" t="s">
        <v>15</v>
      </c>
      <c r="H687" s="98" t="n">
        <v>1440</v>
      </c>
      <c r="I687" s="457" t="n">
        <v>22.5</v>
      </c>
      <c r="J687" s="313" t="s">
        <v>1651</v>
      </c>
      <c r="K687" s="98" t="n">
        <f aca="false">I687*H687</f>
        <v>32400</v>
      </c>
      <c r="L687" s="411" t="n">
        <v>38160</v>
      </c>
      <c r="M687" s="392" t="n">
        <f aca="false">L687/K687</f>
        <v>1.17777777777778</v>
      </c>
      <c r="N687" s="466" t="n">
        <f aca="false">I687*M687</f>
        <v>26.5</v>
      </c>
      <c r="O687" s="461" t="n">
        <v>1440</v>
      </c>
      <c r="P687" s="462" t="n">
        <f aca="false">H687-O687</f>
        <v>0</v>
      </c>
      <c r="Q687" s="463" t="n">
        <f aca="false">O687*I687</f>
        <v>32400</v>
      </c>
      <c r="R687" s="48" t="n">
        <f aca="false">K687-Q687</f>
        <v>0</v>
      </c>
      <c r="S687" s="467"/>
      <c r="T687" s="2" t="s">
        <v>1711</v>
      </c>
      <c r="V687" s="464"/>
      <c r="W687" s="464"/>
      <c r="X687" s="464"/>
      <c r="Y687" s="464"/>
      <c r="Z687" s="464"/>
      <c r="AA687" s="464"/>
      <c r="AB687" s="464"/>
      <c r="AC687" s="464"/>
      <c r="AD687" s="464"/>
      <c r="AE687" s="464"/>
      <c r="AF687" s="464"/>
      <c r="AG687" s="464"/>
      <c r="AH687" s="465"/>
      <c r="AI687" s="464"/>
    </row>
    <row r="688" customFormat="false" ht="15" hidden="false" customHeight="true" outlineLevel="0" collapsed="false">
      <c r="A688" s="455" t="s">
        <v>1856</v>
      </c>
      <c r="C688" s="456" t="n">
        <v>45555</v>
      </c>
      <c r="D688" s="456"/>
      <c r="E688" s="323" t="n">
        <v>13870</v>
      </c>
      <c r="F688" s="57" t="s">
        <v>175</v>
      </c>
      <c r="G688" s="323" t="s">
        <v>22</v>
      </c>
      <c r="H688" s="98" t="n">
        <v>585</v>
      </c>
      <c r="I688" s="457" t="n">
        <v>22.5</v>
      </c>
      <c r="J688" s="313" t="s">
        <v>1651</v>
      </c>
      <c r="K688" s="98" t="n">
        <f aca="false">I688*H688</f>
        <v>13162.5</v>
      </c>
      <c r="L688" s="411" t="n">
        <v>20475</v>
      </c>
      <c r="M688" s="392" t="n">
        <f aca="false">L688/K688</f>
        <v>1.55555555555556</v>
      </c>
      <c r="N688" s="466" t="n">
        <f aca="false">I688*M688</f>
        <v>35</v>
      </c>
      <c r="O688" s="461" t="n">
        <v>585</v>
      </c>
      <c r="P688" s="462" t="n">
        <f aca="false">H688-O688</f>
        <v>0</v>
      </c>
      <c r="Q688" s="463" t="n">
        <f aca="false">O688*I688</f>
        <v>13162.5</v>
      </c>
      <c r="R688" s="48" t="n">
        <f aca="false">K688-Q688</f>
        <v>0</v>
      </c>
      <c r="S688" s="467"/>
      <c r="T688" s="2" t="s">
        <v>1711</v>
      </c>
      <c r="V688" s="464"/>
      <c r="W688" s="464"/>
      <c r="X688" s="464"/>
      <c r="Y688" s="464"/>
      <c r="Z688" s="464"/>
      <c r="AA688" s="464"/>
      <c r="AB688" s="464"/>
      <c r="AC688" s="464"/>
      <c r="AD688" s="464"/>
      <c r="AE688" s="464"/>
      <c r="AF688" s="464"/>
      <c r="AG688" s="464"/>
      <c r="AH688" s="465"/>
      <c r="AI688" s="464"/>
    </row>
    <row r="689" customFormat="false" ht="15" hidden="false" customHeight="true" outlineLevel="0" collapsed="false">
      <c r="A689" s="455" t="s">
        <v>1857</v>
      </c>
      <c r="C689" s="456" t="n">
        <v>45555</v>
      </c>
      <c r="D689" s="456"/>
      <c r="E689" s="57" t="n">
        <v>13871</v>
      </c>
      <c r="F689" s="57" t="s">
        <v>175</v>
      </c>
      <c r="G689" s="323" t="s">
        <v>10</v>
      </c>
      <c r="H689" s="98" t="n">
        <v>2520</v>
      </c>
      <c r="I689" s="457" t="n">
        <v>90</v>
      </c>
      <c r="J689" s="313" t="s">
        <v>1653</v>
      </c>
      <c r="K689" s="98" t="n">
        <f aca="false">I689*H689</f>
        <v>226800</v>
      </c>
      <c r="L689" s="411" t="n">
        <v>35280</v>
      </c>
      <c r="M689" s="392" t="n">
        <f aca="false">L689/K689</f>
        <v>0.155555555555556</v>
      </c>
      <c r="N689" s="466" t="n">
        <f aca="false">I689*M689</f>
        <v>14</v>
      </c>
      <c r="O689" s="461" t="n">
        <v>2520</v>
      </c>
      <c r="P689" s="462" t="n">
        <f aca="false">H689-O689</f>
        <v>0</v>
      </c>
      <c r="Q689" s="463" t="n">
        <f aca="false">O689*I689</f>
        <v>226800</v>
      </c>
      <c r="R689" s="48" t="n">
        <f aca="false">K689-Q689</f>
        <v>0</v>
      </c>
      <c r="S689" s="467"/>
      <c r="T689" s="2" t="s">
        <v>1711</v>
      </c>
      <c r="V689" s="464"/>
      <c r="W689" s="464"/>
      <c r="X689" s="464"/>
      <c r="Y689" s="464"/>
      <c r="Z689" s="464"/>
      <c r="AA689" s="464"/>
      <c r="AB689" s="464"/>
      <c r="AC689" s="464"/>
      <c r="AD689" s="464"/>
      <c r="AE689" s="464"/>
      <c r="AF689" s="464"/>
      <c r="AG689" s="464"/>
      <c r="AH689" s="465"/>
      <c r="AI689" s="464"/>
    </row>
    <row r="690" customFormat="false" ht="15" hidden="false" customHeight="true" outlineLevel="0" collapsed="false">
      <c r="A690" s="455" t="s">
        <v>58</v>
      </c>
      <c r="C690" s="456" t="n">
        <v>45555</v>
      </c>
      <c r="D690" s="456"/>
      <c r="E690" s="57" t="n">
        <v>13872</v>
      </c>
      <c r="F690" s="57" t="s">
        <v>175</v>
      </c>
      <c r="G690" s="323" t="s">
        <v>13</v>
      </c>
      <c r="H690" s="98" t="n">
        <v>300</v>
      </c>
      <c r="I690" s="457" t="n">
        <v>22.5</v>
      </c>
      <c r="J690" s="313" t="s">
        <v>1651</v>
      </c>
      <c r="K690" s="98" t="n">
        <f aca="false">I690*H690</f>
        <v>6750</v>
      </c>
      <c r="L690" s="411" t="n">
        <v>3558</v>
      </c>
      <c r="M690" s="392" t="n">
        <f aca="false">L690/K690</f>
        <v>0.527111111111111</v>
      </c>
      <c r="N690" s="466" t="n">
        <f aca="false">I690*M690</f>
        <v>11.86</v>
      </c>
      <c r="O690" s="461" t="n">
        <v>300</v>
      </c>
      <c r="P690" s="462" t="n">
        <f aca="false">H690-O690</f>
        <v>0</v>
      </c>
      <c r="Q690" s="463" t="n">
        <f aca="false">O690*I690</f>
        <v>6750</v>
      </c>
      <c r="R690" s="48" t="n">
        <f aca="false">K690-Q690</f>
        <v>0</v>
      </c>
      <c r="S690" s="467"/>
      <c r="T690" s="2" t="s">
        <v>1711</v>
      </c>
      <c r="V690" s="464"/>
      <c r="W690" s="464"/>
      <c r="X690" s="464"/>
      <c r="Y690" s="464"/>
      <c r="Z690" s="464"/>
      <c r="AA690" s="464"/>
      <c r="AB690" s="464"/>
      <c r="AC690" s="464"/>
      <c r="AD690" s="464"/>
      <c r="AE690" s="464"/>
      <c r="AF690" s="464"/>
      <c r="AG690" s="464"/>
      <c r="AH690" s="465"/>
      <c r="AI690" s="464"/>
    </row>
    <row r="691" customFormat="false" ht="15" hidden="false" customHeight="true" outlineLevel="0" collapsed="false">
      <c r="A691" s="455" t="s">
        <v>58</v>
      </c>
      <c r="C691" s="456" t="n">
        <v>45555</v>
      </c>
      <c r="D691" s="456"/>
      <c r="E691" s="57" t="n">
        <v>13873</v>
      </c>
      <c r="F691" s="57" t="s">
        <v>175</v>
      </c>
      <c r="G691" s="323" t="s">
        <v>6</v>
      </c>
      <c r="H691" s="98" t="n">
        <v>4020</v>
      </c>
      <c r="I691" s="457" t="n">
        <v>90</v>
      </c>
      <c r="J691" s="313" t="s">
        <v>1653</v>
      </c>
      <c r="K691" s="98" t="n">
        <f aca="false">I691*H691</f>
        <v>361800</v>
      </c>
      <c r="L691" s="411" t="n">
        <v>99696</v>
      </c>
      <c r="M691" s="392" t="n">
        <f aca="false">L691/K691</f>
        <v>0.275555555555556</v>
      </c>
      <c r="N691" s="466" t="n">
        <f aca="false">I691*M691</f>
        <v>24.8</v>
      </c>
      <c r="O691" s="461" t="n">
        <v>4020</v>
      </c>
      <c r="P691" s="462" t="n">
        <f aca="false">H691-O691</f>
        <v>0</v>
      </c>
      <c r="Q691" s="463" t="n">
        <f aca="false">O691*I691</f>
        <v>361800</v>
      </c>
      <c r="R691" s="48" t="n">
        <f aca="false">K691-Q691</f>
        <v>0</v>
      </c>
      <c r="S691" s="467"/>
      <c r="T691" s="2" t="s">
        <v>1711</v>
      </c>
      <c r="V691" s="464"/>
      <c r="W691" s="464"/>
      <c r="X691" s="464"/>
      <c r="Y691" s="464"/>
      <c r="Z691" s="464"/>
      <c r="AA691" s="464"/>
      <c r="AB691" s="464"/>
      <c r="AC691" s="464"/>
      <c r="AD691" s="464"/>
      <c r="AE691" s="464"/>
      <c r="AF691" s="464"/>
      <c r="AG691" s="464"/>
      <c r="AH691" s="465"/>
      <c r="AI691" s="464"/>
    </row>
    <row r="692" customFormat="false" ht="15" hidden="false" customHeight="true" outlineLevel="0" collapsed="false">
      <c r="A692" s="455" t="s">
        <v>1769</v>
      </c>
      <c r="C692" s="456" t="n">
        <v>45548</v>
      </c>
      <c r="D692" s="456"/>
      <c r="E692" s="57" t="n">
        <v>13875</v>
      </c>
      <c r="F692" s="57" t="s">
        <v>175</v>
      </c>
      <c r="G692" s="323" t="s">
        <v>7</v>
      </c>
      <c r="H692" s="98" t="n">
        <v>12000</v>
      </c>
      <c r="I692" s="457" t="n">
        <v>25.71</v>
      </c>
      <c r="J692" s="313" t="s">
        <v>1651</v>
      </c>
      <c r="K692" s="98" t="n">
        <f aca="false">I692*H692</f>
        <v>308520</v>
      </c>
      <c r="L692" s="411" t="n">
        <v>136320</v>
      </c>
      <c r="M692" s="392" t="n">
        <f aca="false">L692/K692</f>
        <v>0.441851419681058</v>
      </c>
      <c r="N692" s="466" t="n">
        <f aca="false">I692*M692</f>
        <v>11.36</v>
      </c>
      <c r="O692" s="461" t="n">
        <v>12000</v>
      </c>
      <c r="P692" s="462" t="n">
        <f aca="false">H692-O692</f>
        <v>0</v>
      </c>
      <c r="Q692" s="463" t="n">
        <f aca="false">O692*I692</f>
        <v>308520</v>
      </c>
      <c r="R692" s="48" t="n">
        <f aca="false">K692-Q692</f>
        <v>0</v>
      </c>
      <c r="S692" s="467"/>
      <c r="T692" s="2" t="s">
        <v>1711</v>
      </c>
      <c r="V692" s="464"/>
      <c r="W692" s="464"/>
      <c r="X692" s="464"/>
      <c r="Y692" s="464"/>
      <c r="Z692" s="464"/>
      <c r="AA692" s="464"/>
      <c r="AB692" s="464"/>
      <c r="AC692" s="464"/>
      <c r="AD692" s="464"/>
      <c r="AE692" s="464"/>
      <c r="AF692" s="464"/>
      <c r="AG692" s="464"/>
      <c r="AH692" s="465"/>
      <c r="AI692" s="464"/>
    </row>
    <row r="693" customFormat="false" ht="15" hidden="false" customHeight="true" outlineLevel="0" collapsed="false">
      <c r="A693" s="455" t="s">
        <v>1769</v>
      </c>
      <c r="C693" s="456" t="n">
        <v>45548</v>
      </c>
      <c r="D693" s="456"/>
      <c r="E693" s="57" t="n">
        <v>13875</v>
      </c>
      <c r="F693" s="57" t="s">
        <v>175</v>
      </c>
      <c r="G693" s="323" t="s">
        <v>11</v>
      </c>
      <c r="H693" s="98" t="n">
        <v>3000</v>
      </c>
      <c r="I693" s="457" t="n">
        <v>14</v>
      </c>
      <c r="J693" s="313" t="s">
        <v>1651</v>
      </c>
      <c r="K693" s="98" t="n">
        <f aca="false">I693*H693</f>
        <v>42000</v>
      </c>
      <c r="L693" s="411" t="n">
        <v>137790</v>
      </c>
      <c r="M693" s="392" t="n">
        <f aca="false">L693/K693</f>
        <v>3.28071428571429</v>
      </c>
      <c r="N693" s="466" t="n">
        <f aca="false">I693*M693</f>
        <v>45.93</v>
      </c>
      <c r="O693" s="461" t="n">
        <v>3000</v>
      </c>
      <c r="P693" s="462" t="n">
        <f aca="false">H693-O693</f>
        <v>0</v>
      </c>
      <c r="Q693" s="463" t="n">
        <f aca="false">O693*I693</f>
        <v>42000</v>
      </c>
      <c r="R693" s="48" t="n">
        <f aca="false">K693-Q693</f>
        <v>0</v>
      </c>
      <c r="S693" s="467"/>
      <c r="T693" s="2" t="s">
        <v>1711</v>
      </c>
      <c r="V693" s="464"/>
      <c r="W693" s="464"/>
      <c r="X693" s="464"/>
      <c r="Y693" s="464"/>
      <c r="Z693" s="464"/>
      <c r="AA693" s="464"/>
      <c r="AB693" s="464"/>
      <c r="AC693" s="464"/>
      <c r="AD693" s="464"/>
      <c r="AE693" s="464"/>
      <c r="AF693" s="464"/>
      <c r="AG693" s="464"/>
      <c r="AH693" s="465"/>
      <c r="AI693" s="464"/>
    </row>
    <row r="694" customFormat="false" ht="15" hidden="false" customHeight="true" outlineLevel="0" collapsed="false">
      <c r="A694" s="455" t="s">
        <v>1769</v>
      </c>
      <c r="C694" s="456" t="n">
        <v>45548</v>
      </c>
      <c r="D694" s="456"/>
      <c r="E694" s="57" t="n">
        <v>13875</v>
      </c>
      <c r="F694" s="57" t="s">
        <v>175</v>
      </c>
      <c r="G694" s="323" t="s">
        <v>17</v>
      </c>
      <c r="H694" s="98" t="n">
        <v>10005</v>
      </c>
      <c r="I694" s="457" t="n">
        <v>22.5</v>
      </c>
      <c r="J694" s="313" t="s">
        <v>1651</v>
      </c>
      <c r="K694" s="98" t="n">
        <f aca="false">I694*H694</f>
        <v>225112.5</v>
      </c>
      <c r="L694" s="411" t="n">
        <v>102851.4</v>
      </c>
      <c r="M694" s="392" t="n">
        <f aca="false">L694/K694</f>
        <v>0.456888888888889</v>
      </c>
      <c r="N694" s="466" t="n">
        <f aca="false">I694*M694</f>
        <v>10.28</v>
      </c>
      <c r="O694" s="461" t="n">
        <v>10005</v>
      </c>
      <c r="P694" s="462" t="n">
        <f aca="false">H694-O694</f>
        <v>0</v>
      </c>
      <c r="Q694" s="463" t="n">
        <f aca="false">O694*I694</f>
        <v>225112.5</v>
      </c>
      <c r="R694" s="48" t="n">
        <f aca="false">K694-Q694</f>
        <v>0</v>
      </c>
      <c r="S694" s="467"/>
      <c r="T694" s="2" t="s">
        <v>1711</v>
      </c>
      <c r="V694" s="464"/>
      <c r="W694" s="464"/>
      <c r="X694" s="464"/>
      <c r="Y694" s="464"/>
      <c r="Z694" s="464"/>
      <c r="AA694" s="464"/>
      <c r="AB694" s="464"/>
      <c r="AC694" s="464"/>
      <c r="AD694" s="464"/>
      <c r="AE694" s="464"/>
      <c r="AF694" s="464"/>
      <c r="AG694" s="464"/>
      <c r="AH694" s="465"/>
      <c r="AI694" s="464"/>
    </row>
    <row r="695" customFormat="false" ht="15" hidden="false" customHeight="true" outlineLevel="0" collapsed="false">
      <c r="A695" s="455" t="s">
        <v>1724</v>
      </c>
      <c r="C695" s="456" t="n">
        <v>45555</v>
      </c>
      <c r="D695" s="456"/>
      <c r="E695" s="57" t="n">
        <v>13876</v>
      </c>
      <c r="F695" s="57" t="s">
        <v>175</v>
      </c>
      <c r="G695" s="323" t="s">
        <v>11</v>
      </c>
      <c r="H695" s="98" t="n">
        <v>3010</v>
      </c>
      <c r="I695" s="457" t="n">
        <v>14</v>
      </c>
      <c r="J695" s="313" t="s">
        <v>1651</v>
      </c>
      <c r="K695" s="98" t="n">
        <f aca="false">I695*H695</f>
        <v>42140</v>
      </c>
      <c r="L695" s="411" t="n">
        <v>162540</v>
      </c>
      <c r="M695" s="392" t="n">
        <f aca="false">L695/K695</f>
        <v>3.85714285714286</v>
      </c>
      <c r="N695" s="466" t="n">
        <f aca="false">I695*M695</f>
        <v>54</v>
      </c>
      <c r="O695" s="461" t="n">
        <v>3010</v>
      </c>
      <c r="P695" s="462" t="n">
        <f aca="false">H695-O695</f>
        <v>0</v>
      </c>
      <c r="Q695" s="463" t="n">
        <f aca="false">O695*I695</f>
        <v>42140</v>
      </c>
      <c r="R695" s="48" t="n">
        <f aca="false">K695-Q695</f>
        <v>0</v>
      </c>
      <c r="S695" s="467"/>
      <c r="T695" s="2" t="s">
        <v>1711</v>
      </c>
      <c r="V695" s="464"/>
      <c r="W695" s="464"/>
      <c r="X695" s="464"/>
      <c r="Y695" s="464"/>
      <c r="Z695" s="464"/>
      <c r="AA695" s="464"/>
      <c r="AB695" s="464"/>
      <c r="AC695" s="464"/>
      <c r="AD695" s="464"/>
      <c r="AE695" s="464"/>
      <c r="AF695" s="464"/>
      <c r="AG695" s="464"/>
      <c r="AH695" s="465"/>
      <c r="AI695" s="464"/>
    </row>
    <row r="696" customFormat="false" ht="15" hidden="false" customHeight="true" outlineLevel="0" collapsed="false">
      <c r="A696" s="455" t="s">
        <v>1724</v>
      </c>
      <c r="C696" s="456" t="n">
        <v>45555</v>
      </c>
      <c r="D696" s="456"/>
      <c r="E696" s="57" t="n">
        <v>13877</v>
      </c>
      <c r="F696" s="57" t="s">
        <v>175</v>
      </c>
      <c r="G696" s="323" t="s">
        <v>42</v>
      </c>
      <c r="H696" s="98" t="n">
        <v>15000</v>
      </c>
      <c r="I696" s="457" t="n">
        <v>30</v>
      </c>
      <c r="J696" s="313" t="s">
        <v>1651</v>
      </c>
      <c r="K696" s="98" t="n">
        <f aca="false">I696*H696</f>
        <v>450000</v>
      </c>
      <c r="L696" s="411" t="n">
        <v>201000</v>
      </c>
      <c r="M696" s="392" t="n">
        <f aca="false">L696/K696</f>
        <v>0.446666666666667</v>
      </c>
      <c r="N696" s="466" t="n">
        <f aca="false">I696*M696</f>
        <v>13.4</v>
      </c>
      <c r="O696" s="461" t="n">
        <v>15000</v>
      </c>
      <c r="P696" s="462" t="n">
        <f aca="false">H696-O696</f>
        <v>0</v>
      </c>
      <c r="Q696" s="463" t="n">
        <f aca="false">O696*I696</f>
        <v>450000</v>
      </c>
      <c r="R696" s="48" t="n">
        <f aca="false">K696-Q696</f>
        <v>0</v>
      </c>
      <c r="S696" s="467"/>
      <c r="T696" s="2" t="s">
        <v>1711</v>
      </c>
      <c r="V696" s="464"/>
      <c r="W696" s="464"/>
      <c r="X696" s="464"/>
      <c r="Y696" s="464"/>
      <c r="Z696" s="464"/>
      <c r="AA696" s="464"/>
      <c r="AB696" s="464"/>
      <c r="AC696" s="464"/>
      <c r="AD696" s="464"/>
      <c r="AE696" s="464"/>
      <c r="AF696" s="464"/>
      <c r="AG696" s="464"/>
      <c r="AH696" s="465"/>
      <c r="AI696" s="464"/>
    </row>
    <row r="697" customFormat="false" ht="15" hidden="false" customHeight="true" outlineLevel="0" collapsed="false">
      <c r="A697" s="455" t="s">
        <v>1858</v>
      </c>
      <c r="C697" s="456" t="n">
        <v>45555</v>
      </c>
      <c r="D697" s="456"/>
      <c r="E697" s="57" t="n">
        <v>13878</v>
      </c>
      <c r="F697" s="57" t="s">
        <v>175</v>
      </c>
      <c r="G697" s="323" t="s">
        <v>18</v>
      </c>
      <c r="H697" s="98" t="n">
        <v>3000</v>
      </c>
      <c r="I697" s="457" t="n">
        <v>25.71</v>
      </c>
      <c r="J697" s="313" t="s">
        <v>1651</v>
      </c>
      <c r="K697" s="98" t="n">
        <f aca="false">I697*H697</f>
        <v>77130</v>
      </c>
      <c r="L697" s="411" t="n">
        <v>48000</v>
      </c>
      <c r="M697" s="392" t="n">
        <f aca="false">L697/K697</f>
        <v>0.622325943212758</v>
      </c>
      <c r="N697" s="466" t="n">
        <f aca="false">I697*M697</f>
        <v>16</v>
      </c>
      <c r="O697" s="461" t="n">
        <v>3000</v>
      </c>
      <c r="P697" s="462" t="n">
        <f aca="false">H697-O697</f>
        <v>0</v>
      </c>
      <c r="Q697" s="463" t="n">
        <f aca="false">O697*I697</f>
        <v>77130</v>
      </c>
      <c r="R697" s="48" t="n">
        <f aca="false">K697-Q697</f>
        <v>0</v>
      </c>
      <c r="S697" s="467"/>
      <c r="T697" s="2" t="s">
        <v>1711</v>
      </c>
      <c r="V697" s="464"/>
      <c r="W697" s="464"/>
      <c r="X697" s="464"/>
      <c r="Y697" s="464"/>
      <c r="Z697" s="464"/>
      <c r="AA697" s="464"/>
      <c r="AB697" s="464"/>
      <c r="AC697" s="464"/>
      <c r="AD697" s="464"/>
      <c r="AE697" s="464"/>
      <c r="AF697" s="464"/>
      <c r="AG697" s="464"/>
      <c r="AH697" s="465"/>
      <c r="AI697" s="464"/>
    </row>
    <row r="698" customFormat="false" ht="15" hidden="false" customHeight="true" outlineLevel="0" collapsed="false">
      <c r="A698" s="455" t="s">
        <v>1859</v>
      </c>
      <c r="C698" s="456" t="n">
        <v>45555</v>
      </c>
      <c r="D698" s="456"/>
      <c r="E698" s="57" t="n">
        <v>13879</v>
      </c>
      <c r="F698" s="57" t="s">
        <v>175</v>
      </c>
      <c r="G698" s="323" t="s">
        <v>7</v>
      </c>
      <c r="H698" s="98" t="n">
        <v>1680</v>
      </c>
      <c r="I698" s="457" t="n">
        <v>25.71</v>
      </c>
      <c r="J698" s="313" t="s">
        <v>1651</v>
      </c>
      <c r="K698" s="98" t="n">
        <f aca="false">I698*H698</f>
        <v>43192.8</v>
      </c>
      <c r="L698" s="411" t="n">
        <v>19768</v>
      </c>
      <c r="M698" s="392" t="n">
        <f aca="false">L698/K698</f>
        <v>0.457668870737716</v>
      </c>
      <c r="N698" s="466" t="n">
        <f aca="false">I698*M698</f>
        <v>11.7666666666667</v>
      </c>
      <c r="O698" s="461" t="n">
        <v>1680</v>
      </c>
      <c r="P698" s="462" t="n">
        <f aca="false">H698-O698</f>
        <v>0</v>
      </c>
      <c r="Q698" s="463" t="n">
        <f aca="false">O698*I698</f>
        <v>43192.8</v>
      </c>
      <c r="R698" s="48" t="n">
        <f aca="false">K698-Q698</f>
        <v>0</v>
      </c>
      <c r="S698" s="467"/>
      <c r="T698" s="2" t="s">
        <v>1711</v>
      </c>
      <c r="V698" s="464"/>
      <c r="W698" s="464"/>
      <c r="X698" s="464"/>
      <c r="Y698" s="464"/>
      <c r="Z698" s="464"/>
      <c r="AA698" s="464"/>
      <c r="AB698" s="464"/>
      <c r="AC698" s="464"/>
      <c r="AD698" s="464"/>
      <c r="AE698" s="464"/>
      <c r="AF698" s="464"/>
      <c r="AG698" s="464"/>
      <c r="AH698" s="465"/>
      <c r="AI698" s="464"/>
    </row>
    <row r="699" customFormat="false" ht="15" hidden="false" customHeight="true" outlineLevel="0" collapsed="false">
      <c r="A699" s="455" t="s">
        <v>1859</v>
      </c>
      <c r="C699" s="456" t="n">
        <v>45555</v>
      </c>
      <c r="D699" s="456"/>
      <c r="E699" s="57" t="n">
        <v>13879</v>
      </c>
      <c r="F699" s="57" t="s">
        <v>175</v>
      </c>
      <c r="G699" s="323" t="s">
        <v>15</v>
      </c>
      <c r="H699" s="98" t="n">
        <v>1005</v>
      </c>
      <c r="I699" s="457" t="n">
        <v>22.5</v>
      </c>
      <c r="J699" s="313" t="s">
        <v>1651</v>
      </c>
      <c r="K699" s="98" t="n">
        <f aca="false">I699*H699</f>
        <v>22612.5</v>
      </c>
      <c r="L699" s="411" t="n">
        <v>15879</v>
      </c>
      <c r="M699" s="392" t="n">
        <f aca="false">L699/K699</f>
        <v>0.702222222222222</v>
      </c>
      <c r="N699" s="466" t="n">
        <f aca="false">I699*M699</f>
        <v>15.8</v>
      </c>
      <c r="O699" s="461" t="n">
        <v>1005</v>
      </c>
      <c r="P699" s="462" t="n">
        <f aca="false">H699-O699</f>
        <v>0</v>
      </c>
      <c r="Q699" s="463" t="n">
        <f aca="false">O699*I699</f>
        <v>22612.5</v>
      </c>
      <c r="R699" s="48" t="n">
        <f aca="false">K699-Q699</f>
        <v>0</v>
      </c>
      <c r="S699" s="467"/>
      <c r="T699" s="2" t="s">
        <v>1711</v>
      </c>
      <c r="V699" s="464"/>
      <c r="W699" s="464"/>
      <c r="X699" s="464"/>
      <c r="Y699" s="464"/>
      <c r="Z699" s="464"/>
      <c r="AA699" s="464"/>
      <c r="AB699" s="464"/>
      <c r="AC699" s="464"/>
      <c r="AD699" s="464"/>
      <c r="AE699" s="464"/>
      <c r="AF699" s="464"/>
      <c r="AG699" s="464"/>
      <c r="AH699" s="465"/>
      <c r="AI699" s="464"/>
    </row>
    <row r="700" customFormat="false" ht="15" hidden="false" customHeight="true" outlineLevel="0" collapsed="false">
      <c r="A700" s="455" t="s">
        <v>1859</v>
      </c>
      <c r="C700" s="456" t="n">
        <v>45555</v>
      </c>
      <c r="D700" s="456"/>
      <c r="E700" s="57" t="n">
        <v>13879</v>
      </c>
      <c r="F700" s="57" t="s">
        <v>175</v>
      </c>
      <c r="G700" s="323" t="s">
        <v>42</v>
      </c>
      <c r="H700" s="98" t="n">
        <v>2010</v>
      </c>
      <c r="I700" s="457" t="n">
        <v>30</v>
      </c>
      <c r="J700" s="313" t="s">
        <v>1651</v>
      </c>
      <c r="K700" s="98" t="n">
        <f aca="false">I700*H700</f>
        <v>60300</v>
      </c>
      <c r="L700" s="411" t="n">
        <v>28513</v>
      </c>
      <c r="M700" s="392" t="n">
        <f aca="false">L700/K700</f>
        <v>0.472852404643449</v>
      </c>
      <c r="N700" s="466" t="n">
        <f aca="false">I700*M700</f>
        <v>14.1855721393035</v>
      </c>
      <c r="O700" s="461" t="n">
        <v>2010</v>
      </c>
      <c r="P700" s="462" t="n">
        <f aca="false">H700-O700</f>
        <v>0</v>
      </c>
      <c r="Q700" s="463" t="n">
        <f aca="false">O700*I700</f>
        <v>60300</v>
      </c>
      <c r="R700" s="48" t="n">
        <f aca="false">K700-Q700</f>
        <v>0</v>
      </c>
      <c r="S700" s="467"/>
      <c r="T700" s="2" t="s">
        <v>1711</v>
      </c>
      <c r="V700" s="464"/>
      <c r="W700" s="464"/>
      <c r="X700" s="464"/>
      <c r="Y700" s="464"/>
      <c r="Z700" s="464"/>
      <c r="AA700" s="464"/>
      <c r="AB700" s="464"/>
      <c r="AC700" s="464"/>
      <c r="AD700" s="464"/>
      <c r="AE700" s="464"/>
      <c r="AF700" s="464"/>
      <c r="AG700" s="464"/>
      <c r="AH700" s="465"/>
      <c r="AI700" s="464"/>
    </row>
    <row r="701" customFormat="false" ht="15" hidden="false" customHeight="true" outlineLevel="0" collapsed="false">
      <c r="A701" s="455" t="s">
        <v>1859</v>
      </c>
      <c r="C701" s="456" t="n">
        <v>45555</v>
      </c>
      <c r="D701" s="456"/>
      <c r="E701" s="57" t="n">
        <v>13879</v>
      </c>
      <c r="F701" s="57" t="s">
        <v>175</v>
      </c>
      <c r="G701" s="323" t="s">
        <v>13</v>
      </c>
      <c r="H701" s="98" t="n">
        <v>1005</v>
      </c>
      <c r="I701" s="457" t="n">
        <v>22.5</v>
      </c>
      <c r="J701" s="313" t="s">
        <v>1651</v>
      </c>
      <c r="K701" s="98" t="n">
        <f aca="false">I701*H701</f>
        <v>22612.5</v>
      </c>
      <c r="L701" s="411" t="n">
        <v>11256</v>
      </c>
      <c r="M701" s="392" t="n">
        <f aca="false">L701/K701</f>
        <v>0.497777777777778</v>
      </c>
      <c r="N701" s="466" t="n">
        <f aca="false">I701*M701</f>
        <v>11.2</v>
      </c>
      <c r="O701" s="461" t="n">
        <v>1005</v>
      </c>
      <c r="P701" s="462" t="n">
        <f aca="false">H701-O701</f>
        <v>0</v>
      </c>
      <c r="Q701" s="463" t="n">
        <f aca="false">O701*I701</f>
        <v>22612.5</v>
      </c>
      <c r="R701" s="48" t="n">
        <f aca="false">K701-Q701</f>
        <v>0</v>
      </c>
      <c r="S701" s="467"/>
      <c r="T701" s="2" t="s">
        <v>1711</v>
      </c>
      <c r="V701" s="464"/>
      <c r="W701" s="464"/>
      <c r="X701" s="464"/>
      <c r="Y701" s="464"/>
      <c r="Z701" s="464"/>
      <c r="AA701" s="464"/>
      <c r="AB701" s="464"/>
      <c r="AC701" s="464"/>
      <c r="AD701" s="464"/>
      <c r="AE701" s="464"/>
      <c r="AF701" s="464"/>
      <c r="AG701" s="464"/>
      <c r="AH701" s="465"/>
      <c r="AI701" s="464"/>
    </row>
    <row r="702" customFormat="false" ht="15" hidden="false" customHeight="true" outlineLevel="0" collapsed="false">
      <c r="A702" s="455" t="s">
        <v>1859</v>
      </c>
      <c r="C702" s="456" t="n">
        <v>45555</v>
      </c>
      <c r="D702" s="456"/>
      <c r="E702" s="57" t="n">
        <v>13879</v>
      </c>
      <c r="F702" s="57" t="s">
        <v>175</v>
      </c>
      <c r="G702" s="323" t="s">
        <v>17</v>
      </c>
      <c r="H702" s="98" t="n">
        <v>360</v>
      </c>
      <c r="I702" s="457" t="n">
        <v>22.5</v>
      </c>
      <c r="J702" s="313" t="s">
        <v>1651</v>
      </c>
      <c r="K702" s="98" t="n">
        <f aca="false">I702*H702</f>
        <v>8100</v>
      </c>
      <c r="L702" s="411" t="n">
        <v>4460</v>
      </c>
      <c r="M702" s="392" t="n">
        <f aca="false">L702/K702</f>
        <v>0.550617283950617</v>
      </c>
      <c r="N702" s="466" t="n">
        <f aca="false">I702*M702</f>
        <v>12.3888888888889</v>
      </c>
      <c r="O702" s="461" t="n">
        <v>360</v>
      </c>
      <c r="P702" s="462" t="n">
        <f aca="false">H702-O702</f>
        <v>0</v>
      </c>
      <c r="Q702" s="463" t="n">
        <f aca="false">O702*I702</f>
        <v>8100</v>
      </c>
      <c r="R702" s="48" t="n">
        <f aca="false">K702-Q702</f>
        <v>0</v>
      </c>
      <c r="S702" s="467"/>
      <c r="T702" s="2" t="s">
        <v>1711</v>
      </c>
      <c r="V702" s="464"/>
      <c r="W702" s="464"/>
      <c r="X702" s="464"/>
      <c r="Y702" s="464"/>
      <c r="Z702" s="464"/>
      <c r="AA702" s="464"/>
      <c r="AB702" s="464"/>
      <c r="AC702" s="464"/>
      <c r="AD702" s="464"/>
      <c r="AE702" s="464"/>
      <c r="AF702" s="464"/>
      <c r="AG702" s="464"/>
      <c r="AH702" s="465"/>
      <c r="AI702" s="464"/>
    </row>
    <row r="703" customFormat="false" ht="15" hidden="false" customHeight="true" outlineLevel="0" collapsed="false">
      <c r="A703" s="455" t="s">
        <v>1859</v>
      </c>
      <c r="C703" s="456" t="n">
        <v>45555</v>
      </c>
      <c r="D703" s="456"/>
      <c r="E703" s="57" t="n">
        <v>13879</v>
      </c>
      <c r="F703" s="57" t="s">
        <v>175</v>
      </c>
      <c r="G703" s="323" t="s">
        <v>5</v>
      </c>
      <c r="H703" s="98" t="n">
        <v>405</v>
      </c>
      <c r="I703" s="457" t="n">
        <v>25.71</v>
      </c>
      <c r="J703" s="313" t="s">
        <v>1651</v>
      </c>
      <c r="K703" s="98" t="n">
        <f aca="false">I703*H703</f>
        <v>10412.55</v>
      </c>
      <c r="L703" s="411" t="n">
        <v>4536</v>
      </c>
      <c r="M703" s="392" t="n">
        <f aca="false">L703/K703</f>
        <v>0.43562816024893</v>
      </c>
      <c r="N703" s="466" t="n">
        <f aca="false">I703*M703</f>
        <v>11.2</v>
      </c>
      <c r="O703" s="461" t="n">
        <v>405</v>
      </c>
      <c r="P703" s="462" t="n">
        <f aca="false">H703-O703</f>
        <v>0</v>
      </c>
      <c r="Q703" s="463" t="n">
        <f aca="false">O703*I703</f>
        <v>10412.55</v>
      </c>
      <c r="R703" s="48" t="n">
        <f aca="false">K703-Q703</f>
        <v>0</v>
      </c>
      <c r="S703" s="467"/>
      <c r="T703" s="2" t="s">
        <v>1711</v>
      </c>
      <c r="V703" s="464"/>
      <c r="W703" s="464"/>
      <c r="X703" s="464"/>
      <c r="Y703" s="464"/>
      <c r="Z703" s="464"/>
      <c r="AA703" s="464"/>
      <c r="AB703" s="464"/>
      <c r="AC703" s="464"/>
      <c r="AD703" s="464"/>
      <c r="AE703" s="464"/>
      <c r="AF703" s="464"/>
      <c r="AG703" s="464"/>
      <c r="AH703" s="465"/>
      <c r="AI703" s="464"/>
    </row>
    <row r="704" customFormat="false" ht="15" hidden="false" customHeight="true" outlineLevel="0" collapsed="false">
      <c r="A704" s="455" t="s">
        <v>1859</v>
      </c>
      <c r="C704" s="456" t="n">
        <v>45555</v>
      </c>
      <c r="D704" s="456"/>
      <c r="E704" s="57" t="n">
        <v>13879</v>
      </c>
      <c r="F704" s="57" t="s">
        <v>175</v>
      </c>
      <c r="G704" s="323" t="s">
        <v>11</v>
      </c>
      <c r="H704" s="98" t="n">
        <v>15</v>
      </c>
      <c r="I704" s="457" t="n">
        <v>14</v>
      </c>
      <c r="J704" s="313" t="s">
        <v>1651</v>
      </c>
      <c r="K704" s="98" t="n">
        <f aca="false">I704*H704</f>
        <v>210</v>
      </c>
      <c r="L704" s="411" t="n">
        <v>675</v>
      </c>
      <c r="M704" s="392" t="n">
        <f aca="false">L704/K704</f>
        <v>3.21428571428571</v>
      </c>
      <c r="N704" s="466" t="n">
        <f aca="false">I704*M704</f>
        <v>45</v>
      </c>
      <c r="O704" s="461" t="n">
        <v>15</v>
      </c>
      <c r="P704" s="462" t="n">
        <f aca="false">H704-O704</f>
        <v>0</v>
      </c>
      <c r="Q704" s="463" t="n">
        <f aca="false">O704*I704</f>
        <v>210</v>
      </c>
      <c r="R704" s="48" t="n">
        <f aca="false">K704-Q704</f>
        <v>0</v>
      </c>
      <c r="S704" s="467"/>
      <c r="T704" s="2" t="s">
        <v>1711</v>
      </c>
      <c r="V704" s="464"/>
      <c r="W704" s="464"/>
      <c r="X704" s="464"/>
      <c r="Y704" s="464"/>
      <c r="Z704" s="464"/>
      <c r="AA704" s="464"/>
      <c r="AB704" s="464"/>
      <c r="AC704" s="464"/>
      <c r="AD704" s="464"/>
      <c r="AE704" s="464"/>
      <c r="AF704" s="464"/>
      <c r="AG704" s="464"/>
      <c r="AH704" s="465"/>
      <c r="AI704" s="464"/>
    </row>
    <row r="705" customFormat="false" ht="15" hidden="false" customHeight="true" outlineLevel="0" collapsed="false">
      <c r="A705" s="455" t="s">
        <v>1859</v>
      </c>
      <c r="C705" s="456" t="n">
        <v>45555</v>
      </c>
      <c r="D705" s="456"/>
      <c r="E705" s="57" t="n">
        <v>13879</v>
      </c>
      <c r="F705" s="57" t="s">
        <v>175</v>
      </c>
      <c r="G705" s="323" t="s">
        <v>10</v>
      </c>
      <c r="H705" s="98" t="n">
        <v>300</v>
      </c>
      <c r="I705" s="457" t="n">
        <v>25.71</v>
      </c>
      <c r="J705" s="313" t="s">
        <v>1651</v>
      </c>
      <c r="K705" s="98" t="n">
        <f aca="false">I705*H705</f>
        <v>7713</v>
      </c>
      <c r="L705" s="411" t="n">
        <v>3000</v>
      </c>
      <c r="M705" s="392" t="n">
        <f aca="false">L705/K705</f>
        <v>0.388953714507974</v>
      </c>
      <c r="N705" s="466" t="n">
        <f aca="false">I705*M705</f>
        <v>10</v>
      </c>
      <c r="O705" s="461" t="n">
        <v>300</v>
      </c>
      <c r="P705" s="462" t="n">
        <f aca="false">H705-O705</f>
        <v>0</v>
      </c>
      <c r="Q705" s="463" t="n">
        <f aca="false">O705*I705</f>
        <v>7713</v>
      </c>
      <c r="R705" s="48" t="n">
        <f aca="false">K705-Q705</f>
        <v>0</v>
      </c>
      <c r="S705" s="467"/>
      <c r="T705" s="2" t="s">
        <v>1711</v>
      </c>
      <c r="V705" s="464"/>
      <c r="W705" s="464"/>
      <c r="X705" s="464"/>
      <c r="Y705" s="464"/>
      <c r="Z705" s="464"/>
      <c r="AA705" s="464"/>
      <c r="AB705" s="464"/>
      <c r="AC705" s="464"/>
      <c r="AD705" s="464"/>
      <c r="AE705" s="464"/>
      <c r="AF705" s="464"/>
      <c r="AG705" s="464"/>
      <c r="AH705" s="465"/>
      <c r="AI705" s="464"/>
    </row>
    <row r="706" customFormat="false" ht="15" hidden="false" customHeight="true" outlineLevel="0" collapsed="false">
      <c r="A706" s="455" t="s">
        <v>1860</v>
      </c>
      <c r="C706" s="456" t="n">
        <v>45555</v>
      </c>
      <c r="D706" s="456"/>
      <c r="E706" s="57" t="n">
        <v>13880</v>
      </c>
      <c r="F706" s="57" t="s">
        <v>175</v>
      </c>
      <c r="G706" s="323" t="s">
        <v>42</v>
      </c>
      <c r="H706" s="98" t="n">
        <v>150</v>
      </c>
      <c r="I706" s="457" t="n">
        <v>30</v>
      </c>
      <c r="J706" s="313" t="s">
        <v>1651</v>
      </c>
      <c r="K706" s="98" t="n">
        <f aca="false">I706*H706</f>
        <v>4500</v>
      </c>
      <c r="L706" s="411" t="n">
        <v>2560.5</v>
      </c>
      <c r="M706" s="392" t="n">
        <f aca="false">L706/K706</f>
        <v>0.569</v>
      </c>
      <c r="N706" s="466" t="n">
        <f aca="false">I706*M706</f>
        <v>17.07</v>
      </c>
      <c r="O706" s="461" t="n">
        <v>150</v>
      </c>
      <c r="P706" s="462" t="n">
        <f aca="false">H706-O706</f>
        <v>0</v>
      </c>
      <c r="Q706" s="463" t="n">
        <f aca="false">O706*I706</f>
        <v>4500</v>
      </c>
      <c r="R706" s="48" t="n">
        <f aca="false">K706-Q706</f>
        <v>0</v>
      </c>
      <c r="S706" s="467"/>
      <c r="T706" s="2" t="s">
        <v>1711</v>
      </c>
      <c r="V706" s="464"/>
      <c r="W706" s="464"/>
      <c r="X706" s="464"/>
      <c r="Y706" s="464"/>
      <c r="Z706" s="464"/>
      <c r="AA706" s="464"/>
      <c r="AB706" s="464"/>
      <c r="AC706" s="464"/>
      <c r="AD706" s="464"/>
      <c r="AE706" s="464"/>
      <c r="AF706" s="464"/>
      <c r="AG706" s="464"/>
      <c r="AH706" s="465"/>
      <c r="AI706" s="464"/>
    </row>
    <row r="707" customFormat="false" ht="15" hidden="false" customHeight="true" outlineLevel="0" collapsed="false">
      <c r="A707" s="455" t="s">
        <v>1824</v>
      </c>
      <c r="C707" s="456" t="n">
        <v>45555</v>
      </c>
      <c r="D707" s="456"/>
      <c r="E707" s="57" t="n">
        <v>13881</v>
      </c>
      <c r="F707" s="57" t="s">
        <v>175</v>
      </c>
      <c r="G707" s="323" t="s">
        <v>17</v>
      </c>
      <c r="H707" s="98" t="n">
        <v>585</v>
      </c>
      <c r="I707" s="457" t="n">
        <v>22.5</v>
      </c>
      <c r="J707" s="313" t="s">
        <v>1651</v>
      </c>
      <c r="K707" s="98" t="n">
        <f aca="false">I707*H707</f>
        <v>13162.5</v>
      </c>
      <c r="L707" s="411" t="n">
        <v>5850</v>
      </c>
      <c r="M707" s="392" t="n">
        <f aca="false">L707/K707</f>
        <v>0.444444444444444</v>
      </c>
      <c r="N707" s="466" t="n">
        <f aca="false">I707*M707</f>
        <v>10</v>
      </c>
      <c r="O707" s="461" t="n">
        <v>585</v>
      </c>
      <c r="P707" s="462" t="n">
        <f aca="false">H707-O707</f>
        <v>0</v>
      </c>
      <c r="Q707" s="463" t="n">
        <f aca="false">O707*I707</f>
        <v>13162.5</v>
      </c>
      <c r="R707" s="48" t="n">
        <f aca="false">K707-Q707</f>
        <v>0</v>
      </c>
      <c r="S707" s="467"/>
      <c r="T707" s="2" t="s">
        <v>1711</v>
      </c>
      <c r="V707" s="464"/>
      <c r="W707" s="464"/>
      <c r="X707" s="464"/>
      <c r="Y707" s="464"/>
      <c r="Z707" s="464"/>
      <c r="AA707" s="464"/>
      <c r="AB707" s="464"/>
      <c r="AC707" s="464"/>
      <c r="AD707" s="464"/>
      <c r="AE707" s="464"/>
      <c r="AF707" s="464"/>
      <c r="AG707" s="464"/>
      <c r="AH707" s="465"/>
      <c r="AI707" s="464"/>
    </row>
    <row r="708" customFormat="false" ht="15" hidden="false" customHeight="true" outlineLevel="0" collapsed="false">
      <c r="A708" s="455" t="s">
        <v>1824</v>
      </c>
      <c r="C708" s="456" t="n">
        <v>45555</v>
      </c>
      <c r="D708" s="456"/>
      <c r="E708" s="323" t="n">
        <v>13881</v>
      </c>
      <c r="F708" s="57" t="s">
        <v>175</v>
      </c>
      <c r="G708" s="323" t="s">
        <v>5</v>
      </c>
      <c r="H708" s="98" t="n">
        <v>1320</v>
      </c>
      <c r="I708" s="457" t="n">
        <v>25.71</v>
      </c>
      <c r="J708" s="313" t="s">
        <v>1651</v>
      </c>
      <c r="K708" s="98" t="n">
        <f aca="false">I708*H708</f>
        <v>33937.2</v>
      </c>
      <c r="L708" s="411" t="n">
        <v>14256</v>
      </c>
      <c r="M708" s="392" t="n">
        <f aca="false">L708/K708</f>
        <v>0.420070011668611</v>
      </c>
      <c r="N708" s="466" t="n">
        <f aca="false">I708*M708</f>
        <v>10.8</v>
      </c>
      <c r="O708" s="461" t="n">
        <v>1320</v>
      </c>
      <c r="P708" s="462" t="n">
        <f aca="false">H708-O708</f>
        <v>0</v>
      </c>
      <c r="Q708" s="463" t="n">
        <f aca="false">O708*I708</f>
        <v>33937.2</v>
      </c>
      <c r="R708" s="48" t="n">
        <f aca="false">K708-Q708</f>
        <v>0</v>
      </c>
      <c r="S708" s="467"/>
      <c r="T708" s="2" t="s">
        <v>1711</v>
      </c>
      <c r="V708" s="464"/>
      <c r="W708" s="464"/>
      <c r="X708" s="464"/>
      <c r="Y708" s="464"/>
      <c r="Z708" s="464"/>
      <c r="AA708" s="464"/>
      <c r="AB708" s="464"/>
      <c r="AC708" s="464"/>
      <c r="AD708" s="464"/>
      <c r="AE708" s="464"/>
      <c r="AF708" s="464"/>
      <c r="AG708" s="464"/>
      <c r="AH708" s="465"/>
      <c r="AI708" s="464"/>
    </row>
    <row r="709" customFormat="false" ht="15" hidden="false" customHeight="true" outlineLevel="0" collapsed="false">
      <c r="A709" s="455" t="s">
        <v>1824</v>
      </c>
      <c r="C709" s="456" t="n">
        <v>45555</v>
      </c>
      <c r="D709" s="456"/>
      <c r="E709" s="57" t="n">
        <v>13881</v>
      </c>
      <c r="F709" s="57" t="s">
        <v>175</v>
      </c>
      <c r="G709" s="323" t="s">
        <v>19</v>
      </c>
      <c r="H709" s="98" t="n">
        <v>600</v>
      </c>
      <c r="I709" s="457" t="n">
        <v>22.5</v>
      </c>
      <c r="J709" s="313" t="s">
        <v>1651</v>
      </c>
      <c r="K709" s="98" t="n">
        <f aca="false">I709*H709</f>
        <v>13500</v>
      </c>
      <c r="L709" s="411" t="n">
        <v>10500</v>
      </c>
      <c r="M709" s="392" t="n">
        <f aca="false">L709/K709</f>
        <v>0.777777777777778</v>
      </c>
      <c r="N709" s="466" t="n">
        <f aca="false">I709*M709</f>
        <v>17.5</v>
      </c>
      <c r="O709" s="461" t="n">
        <v>600</v>
      </c>
      <c r="P709" s="462" t="n">
        <f aca="false">H709-O709</f>
        <v>0</v>
      </c>
      <c r="Q709" s="463" t="n">
        <f aca="false">O709*I709</f>
        <v>13500</v>
      </c>
      <c r="R709" s="48" t="n">
        <f aca="false">K709-Q709</f>
        <v>0</v>
      </c>
      <c r="S709" s="467"/>
      <c r="T709" s="2" t="s">
        <v>1711</v>
      </c>
      <c r="V709" s="464"/>
      <c r="W709" s="464"/>
      <c r="X709" s="464"/>
      <c r="Y709" s="464"/>
      <c r="Z709" s="464"/>
      <c r="AA709" s="464"/>
      <c r="AB709" s="464"/>
      <c r="AC709" s="464"/>
      <c r="AD709" s="464"/>
      <c r="AE709" s="464"/>
      <c r="AF709" s="464"/>
      <c r="AG709" s="464"/>
      <c r="AH709" s="465"/>
      <c r="AI709" s="464"/>
    </row>
    <row r="710" customFormat="false" ht="15" hidden="false" customHeight="true" outlineLevel="0" collapsed="false">
      <c r="A710" s="455" t="s">
        <v>1824</v>
      </c>
      <c r="C710" s="456" t="n">
        <v>45555</v>
      </c>
      <c r="D710" s="456"/>
      <c r="E710" s="57" t="n">
        <v>13881</v>
      </c>
      <c r="F710" s="57" t="s">
        <v>175</v>
      </c>
      <c r="G710" s="323" t="s">
        <v>42</v>
      </c>
      <c r="H710" s="98" t="n">
        <v>600</v>
      </c>
      <c r="I710" s="457" t="n">
        <v>30</v>
      </c>
      <c r="J710" s="313" t="s">
        <v>1651</v>
      </c>
      <c r="K710" s="98" t="n">
        <f aca="false">I710*H710</f>
        <v>18000</v>
      </c>
      <c r="L710" s="411" t="n">
        <v>7440</v>
      </c>
      <c r="M710" s="392" t="n">
        <f aca="false">L710/K710</f>
        <v>0.413333333333333</v>
      </c>
      <c r="N710" s="466" t="n">
        <f aca="false">I710*M710</f>
        <v>12.4</v>
      </c>
      <c r="O710" s="461" t="n">
        <v>600</v>
      </c>
      <c r="P710" s="462" t="n">
        <f aca="false">H710-O710</f>
        <v>0</v>
      </c>
      <c r="Q710" s="463" t="n">
        <f aca="false">O710*I710</f>
        <v>18000</v>
      </c>
      <c r="R710" s="48" t="n">
        <f aca="false">K710-Q710</f>
        <v>0</v>
      </c>
      <c r="S710" s="467"/>
      <c r="T710" s="2" t="s">
        <v>1711</v>
      </c>
      <c r="V710" s="464"/>
      <c r="W710" s="464"/>
      <c r="X710" s="464"/>
      <c r="Y710" s="464"/>
      <c r="Z710" s="464"/>
      <c r="AA710" s="464"/>
      <c r="AB710" s="464"/>
      <c r="AC710" s="464"/>
      <c r="AD710" s="464"/>
      <c r="AE710" s="464"/>
      <c r="AF710" s="464"/>
      <c r="AG710" s="464"/>
      <c r="AH710" s="465"/>
      <c r="AI710" s="464"/>
    </row>
    <row r="711" customFormat="false" ht="15" hidden="false" customHeight="true" outlineLevel="0" collapsed="false">
      <c r="A711" s="455" t="s">
        <v>1824</v>
      </c>
      <c r="C711" s="456" t="n">
        <v>45555</v>
      </c>
      <c r="D711" s="456"/>
      <c r="E711" s="57" t="n">
        <v>13881</v>
      </c>
      <c r="F711" s="57" t="s">
        <v>175</v>
      </c>
      <c r="G711" s="323" t="s">
        <v>6</v>
      </c>
      <c r="H711" s="98" t="n">
        <v>600</v>
      </c>
      <c r="I711" s="457" t="n">
        <v>30</v>
      </c>
      <c r="J711" s="313" t="s">
        <v>1651</v>
      </c>
      <c r="K711" s="98" t="n">
        <f aca="false">I711*H711</f>
        <v>18000</v>
      </c>
      <c r="L711" s="411" t="n">
        <v>7680</v>
      </c>
      <c r="M711" s="392" t="n">
        <f aca="false">L711/K711</f>
        <v>0.426666666666667</v>
      </c>
      <c r="N711" s="466" t="n">
        <f aca="false">I711*M711</f>
        <v>12.8</v>
      </c>
      <c r="O711" s="461" t="n">
        <v>600</v>
      </c>
      <c r="P711" s="462" t="n">
        <f aca="false">H711-O711</f>
        <v>0</v>
      </c>
      <c r="Q711" s="463" t="n">
        <f aca="false">O711*I711</f>
        <v>18000</v>
      </c>
      <c r="R711" s="48" t="n">
        <f aca="false">K711-Q711</f>
        <v>0</v>
      </c>
      <c r="S711" s="467"/>
      <c r="T711" s="2" t="s">
        <v>1711</v>
      </c>
      <c r="V711" s="464"/>
      <c r="W711" s="464"/>
      <c r="X711" s="464"/>
      <c r="Y711" s="464"/>
      <c r="Z711" s="464"/>
      <c r="AA711" s="464"/>
      <c r="AB711" s="464"/>
      <c r="AC711" s="464"/>
      <c r="AD711" s="464"/>
      <c r="AE711" s="464"/>
      <c r="AF711" s="464"/>
      <c r="AG711" s="464"/>
      <c r="AH711" s="465"/>
      <c r="AI711" s="464"/>
    </row>
    <row r="712" customFormat="false" ht="15" hidden="false" customHeight="true" outlineLevel="0" collapsed="false">
      <c r="A712" s="455" t="s">
        <v>1824</v>
      </c>
      <c r="C712" s="456" t="n">
        <v>45555</v>
      </c>
      <c r="D712" s="456"/>
      <c r="E712" s="57" t="n">
        <v>13881</v>
      </c>
      <c r="F712" s="57" t="s">
        <v>175</v>
      </c>
      <c r="G712" s="323" t="s">
        <v>13</v>
      </c>
      <c r="H712" s="98" t="n">
        <v>300</v>
      </c>
      <c r="I712" s="457" t="n">
        <v>22.5</v>
      </c>
      <c r="J712" s="313" t="s">
        <v>1651</v>
      </c>
      <c r="K712" s="98" t="n">
        <f aca="false">I712*H712</f>
        <v>6750</v>
      </c>
      <c r="L712" s="411" t="n">
        <v>3000</v>
      </c>
      <c r="M712" s="392" t="n">
        <f aca="false">L712/K712</f>
        <v>0.444444444444444</v>
      </c>
      <c r="N712" s="466" t="n">
        <f aca="false">I712*M712</f>
        <v>10</v>
      </c>
      <c r="O712" s="461" t="n">
        <v>300</v>
      </c>
      <c r="P712" s="462" t="n">
        <f aca="false">H712-O712</f>
        <v>0</v>
      </c>
      <c r="Q712" s="463" t="n">
        <f aca="false">O712*I712</f>
        <v>6750</v>
      </c>
      <c r="R712" s="48" t="n">
        <f aca="false">K712-Q712</f>
        <v>0</v>
      </c>
      <c r="S712" s="467"/>
      <c r="T712" s="2" t="s">
        <v>1711</v>
      </c>
      <c r="V712" s="464"/>
      <c r="W712" s="464"/>
      <c r="X712" s="464"/>
      <c r="Y712" s="464"/>
      <c r="Z712" s="464"/>
      <c r="AA712" s="464"/>
      <c r="AB712" s="464"/>
      <c r="AC712" s="464"/>
      <c r="AD712" s="464"/>
      <c r="AE712" s="464"/>
      <c r="AF712" s="464"/>
      <c r="AG712" s="464"/>
      <c r="AH712" s="465"/>
      <c r="AI712" s="464"/>
    </row>
    <row r="713" customFormat="false" ht="15" hidden="false" customHeight="true" outlineLevel="0" collapsed="false">
      <c r="A713" s="455" t="s">
        <v>1723</v>
      </c>
      <c r="C713" s="456" t="n">
        <v>45555</v>
      </c>
      <c r="D713" s="456"/>
      <c r="E713" s="57" t="n">
        <v>13882</v>
      </c>
      <c r="F713" s="57" t="s">
        <v>175</v>
      </c>
      <c r="G713" s="323" t="s">
        <v>22</v>
      </c>
      <c r="H713" s="98" t="n">
        <v>45</v>
      </c>
      <c r="I713" s="457" t="n">
        <v>22.5</v>
      </c>
      <c r="J713" s="313" t="s">
        <v>1651</v>
      </c>
      <c r="K713" s="98" t="n">
        <f aca="false">I713*H713</f>
        <v>1012.5</v>
      </c>
      <c r="L713" s="411" t="n">
        <v>1125</v>
      </c>
      <c r="M713" s="392" t="n">
        <f aca="false">L713/K713</f>
        <v>1.11111111111111</v>
      </c>
      <c r="N713" s="466" t="n">
        <f aca="false">I713*M713</f>
        <v>25</v>
      </c>
      <c r="O713" s="461" t="n">
        <v>45</v>
      </c>
      <c r="P713" s="462" t="n">
        <f aca="false">H713-O713</f>
        <v>0</v>
      </c>
      <c r="Q713" s="463" t="n">
        <f aca="false">O713*I713</f>
        <v>1012.5</v>
      </c>
      <c r="R713" s="48" t="n">
        <f aca="false">K713-Q713</f>
        <v>0</v>
      </c>
      <c r="S713" s="467"/>
      <c r="T713" s="2" t="s">
        <v>1711</v>
      </c>
      <c r="V713" s="464"/>
      <c r="W713" s="464"/>
      <c r="X713" s="464"/>
      <c r="Y713" s="464"/>
      <c r="Z713" s="464"/>
      <c r="AA713" s="464"/>
      <c r="AB713" s="464"/>
      <c r="AC713" s="464"/>
      <c r="AD713" s="464"/>
      <c r="AE713" s="464"/>
      <c r="AF713" s="464"/>
      <c r="AG713" s="464"/>
      <c r="AH713" s="465"/>
      <c r="AI713" s="464"/>
    </row>
    <row r="714" customFormat="false" ht="15" hidden="false" customHeight="true" outlineLevel="0" collapsed="false">
      <c r="A714" s="455" t="s">
        <v>1786</v>
      </c>
      <c r="C714" s="456" t="n">
        <v>45555</v>
      </c>
      <c r="D714" s="456"/>
      <c r="E714" s="57" t="n">
        <v>13883</v>
      </c>
      <c r="F714" s="323" t="s">
        <v>175</v>
      </c>
      <c r="G714" s="323" t="s">
        <v>13</v>
      </c>
      <c r="H714" s="98" t="n">
        <v>405</v>
      </c>
      <c r="I714" s="457" t="n">
        <v>37.5</v>
      </c>
      <c r="J714" s="313" t="s">
        <v>1652</v>
      </c>
      <c r="K714" s="98" t="n">
        <f aca="false">I714*H714</f>
        <v>15187.5</v>
      </c>
      <c r="L714" s="411" t="n">
        <v>9315</v>
      </c>
      <c r="M714" s="392" t="n">
        <f aca="false">L714/K714</f>
        <v>0.613333333333333</v>
      </c>
      <c r="N714" s="466" t="n">
        <f aca="false">I714*M714</f>
        <v>23</v>
      </c>
      <c r="O714" s="461" t="n">
        <v>405</v>
      </c>
      <c r="P714" s="462" t="n">
        <f aca="false">H714-O714</f>
        <v>0</v>
      </c>
      <c r="Q714" s="463" t="n">
        <f aca="false">O714*I714</f>
        <v>15187.5</v>
      </c>
      <c r="R714" s="48" t="n">
        <f aca="false">K714-Q714</f>
        <v>0</v>
      </c>
      <c r="S714" s="467"/>
      <c r="T714" s="2" t="s">
        <v>1711</v>
      </c>
      <c r="V714" s="464"/>
      <c r="W714" s="464"/>
      <c r="X714" s="464"/>
      <c r="Y714" s="464"/>
      <c r="Z714" s="464"/>
      <c r="AA714" s="464"/>
      <c r="AB714" s="464"/>
      <c r="AC714" s="464"/>
      <c r="AD714" s="464"/>
      <c r="AE714" s="464"/>
      <c r="AF714" s="464"/>
      <c r="AG714" s="464"/>
      <c r="AH714" s="465"/>
      <c r="AI714" s="464"/>
    </row>
    <row r="715" customFormat="false" ht="15" hidden="false" customHeight="true" outlineLevel="0" collapsed="false">
      <c r="A715" s="455" t="s">
        <v>1749</v>
      </c>
      <c r="C715" s="456" t="n">
        <v>45555</v>
      </c>
      <c r="D715" s="456"/>
      <c r="E715" s="57" t="n">
        <v>13884</v>
      </c>
      <c r="F715" s="323" t="s">
        <v>175</v>
      </c>
      <c r="G715" s="323" t="s">
        <v>42</v>
      </c>
      <c r="H715" s="98" t="n">
        <v>200</v>
      </c>
      <c r="I715" s="457" t="n">
        <v>30</v>
      </c>
      <c r="J715" s="313" t="s">
        <v>1651</v>
      </c>
      <c r="K715" s="98" t="n">
        <f aca="false">I715*H715</f>
        <v>6000</v>
      </c>
      <c r="L715" s="411" t="n">
        <v>2566</v>
      </c>
      <c r="M715" s="392" t="n">
        <f aca="false">L715/K715</f>
        <v>0.427666666666667</v>
      </c>
      <c r="N715" s="466" t="n">
        <f aca="false">I715*M715</f>
        <v>12.83</v>
      </c>
      <c r="O715" s="461" t="n">
        <v>200</v>
      </c>
      <c r="P715" s="462" t="n">
        <f aca="false">H715-O715</f>
        <v>0</v>
      </c>
      <c r="Q715" s="463" t="n">
        <f aca="false">O715*I715</f>
        <v>6000</v>
      </c>
      <c r="R715" s="48" t="n">
        <f aca="false">K715-Q715</f>
        <v>0</v>
      </c>
      <c r="S715" s="467"/>
      <c r="T715" s="2" t="s">
        <v>1711</v>
      </c>
      <c r="V715" s="464"/>
      <c r="W715" s="464"/>
      <c r="X715" s="464"/>
      <c r="Y715" s="464"/>
      <c r="Z715" s="464"/>
      <c r="AA715" s="464"/>
      <c r="AB715" s="464"/>
      <c r="AC715" s="464"/>
      <c r="AD715" s="464"/>
      <c r="AE715" s="464"/>
      <c r="AF715" s="464"/>
      <c r="AG715" s="464"/>
      <c r="AH715" s="465"/>
      <c r="AI715" s="464"/>
    </row>
    <row r="716" customFormat="false" ht="15" hidden="false" customHeight="true" outlineLevel="0" collapsed="false">
      <c r="A716" s="455" t="s">
        <v>1749</v>
      </c>
      <c r="C716" s="456" t="n">
        <v>45555</v>
      </c>
      <c r="D716" s="456"/>
      <c r="E716" s="57" t="n">
        <v>13884</v>
      </c>
      <c r="F716" s="323" t="s">
        <v>175</v>
      </c>
      <c r="G716" s="323" t="s">
        <v>11</v>
      </c>
      <c r="H716" s="98" t="n">
        <v>100</v>
      </c>
      <c r="I716" s="457" t="n">
        <v>14</v>
      </c>
      <c r="J716" s="313" t="s">
        <v>1651</v>
      </c>
      <c r="K716" s="98" t="n">
        <f aca="false">I716*H716</f>
        <v>1400</v>
      </c>
      <c r="L716" s="411" t="n">
        <v>5900</v>
      </c>
      <c r="M716" s="392" t="n">
        <f aca="false">L716/K716</f>
        <v>4.21428571428571</v>
      </c>
      <c r="N716" s="466" t="n">
        <f aca="false">I716*M716</f>
        <v>59</v>
      </c>
      <c r="O716" s="461" t="n">
        <v>100</v>
      </c>
      <c r="P716" s="462" t="n">
        <f aca="false">H716-O716</f>
        <v>0</v>
      </c>
      <c r="Q716" s="463" t="n">
        <f aca="false">O716*I716</f>
        <v>1400</v>
      </c>
      <c r="R716" s="48" t="n">
        <f aca="false">K716-Q716</f>
        <v>0</v>
      </c>
      <c r="S716" s="467"/>
      <c r="T716" s="2" t="s">
        <v>1711</v>
      </c>
      <c r="V716" s="464"/>
      <c r="W716" s="464"/>
      <c r="X716" s="464"/>
      <c r="Y716" s="464"/>
      <c r="Z716" s="464"/>
      <c r="AA716" s="464"/>
      <c r="AB716" s="464"/>
      <c r="AC716" s="464"/>
      <c r="AD716" s="464"/>
      <c r="AE716" s="464"/>
      <c r="AF716" s="464"/>
      <c r="AG716" s="464"/>
      <c r="AH716" s="465"/>
      <c r="AI716" s="464"/>
    </row>
    <row r="717" customFormat="false" ht="15" hidden="false" customHeight="true" outlineLevel="0" collapsed="false">
      <c r="A717" s="455" t="s">
        <v>1861</v>
      </c>
      <c r="C717" s="456" t="n">
        <v>45558</v>
      </c>
      <c r="D717" s="456"/>
      <c r="E717" s="57" t="n">
        <v>13885</v>
      </c>
      <c r="F717" s="323" t="s">
        <v>175</v>
      </c>
      <c r="G717" s="323" t="s">
        <v>6</v>
      </c>
      <c r="H717" s="98" t="n">
        <v>1500</v>
      </c>
      <c r="I717" s="457" t="n">
        <v>45</v>
      </c>
      <c r="J717" s="313" t="s">
        <v>1652</v>
      </c>
      <c r="K717" s="98" t="n">
        <f aca="false">I717*H717</f>
        <v>67500</v>
      </c>
      <c r="L717" s="411" t="n">
        <v>42000</v>
      </c>
      <c r="M717" s="392" t="n">
        <f aca="false">L717/K717</f>
        <v>0.622222222222222</v>
      </c>
      <c r="N717" s="466" t="n">
        <f aca="false">I717*M717</f>
        <v>28</v>
      </c>
      <c r="O717" s="461" t="n">
        <v>1500</v>
      </c>
      <c r="P717" s="462" t="n">
        <f aca="false">H717-O717</f>
        <v>0</v>
      </c>
      <c r="Q717" s="463" t="n">
        <f aca="false">O717*I717</f>
        <v>67500</v>
      </c>
      <c r="R717" s="48" t="n">
        <f aca="false">K717-Q717</f>
        <v>0</v>
      </c>
      <c r="S717" s="467"/>
      <c r="T717" s="2" t="s">
        <v>1711</v>
      </c>
      <c r="V717" s="464"/>
      <c r="W717" s="464"/>
      <c r="X717" s="464"/>
      <c r="Y717" s="464"/>
      <c r="Z717" s="464"/>
      <c r="AA717" s="464"/>
      <c r="AB717" s="464"/>
      <c r="AC717" s="464"/>
      <c r="AD717" s="464"/>
      <c r="AE717" s="464"/>
      <c r="AF717" s="464"/>
      <c r="AG717" s="464"/>
      <c r="AH717" s="465"/>
      <c r="AI717" s="464"/>
    </row>
    <row r="718" customFormat="false" ht="15" hidden="false" customHeight="true" outlineLevel="0" collapsed="false">
      <c r="A718" s="455" t="s">
        <v>63</v>
      </c>
      <c r="C718" s="456" t="n">
        <v>45558</v>
      </c>
      <c r="D718" s="456"/>
      <c r="E718" s="57" t="n">
        <v>13886</v>
      </c>
      <c r="F718" s="323" t="s">
        <v>175</v>
      </c>
      <c r="G718" s="323" t="s">
        <v>12</v>
      </c>
      <c r="H718" s="98" t="n">
        <v>1050</v>
      </c>
      <c r="I718" s="457" t="n">
        <v>25.71</v>
      </c>
      <c r="J718" s="313" t="s">
        <v>1652</v>
      </c>
      <c r="K718" s="98" t="n">
        <f aca="false">I718*H718</f>
        <v>26995.5</v>
      </c>
      <c r="L718" s="411" t="n">
        <v>50137.5</v>
      </c>
      <c r="M718" s="392" t="n">
        <f aca="false">L718/K718</f>
        <v>1.85725398677557</v>
      </c>
      <c r="N718" s="466" t="n">
        <f aca="false">I718*M718</f>
        <v>47.75</v>
      </c>
      <c r="O718" s="461" t="n">
        <v>1050</v>
      </c>
      <c r="P718" s="462" t="n">
        <f aca="false">H718-O718</f>
        <v>0</v>
      </c>
      <c r="Q718" s="463" t="n">
        <f aca="false">O718*I718</f>
        <v>26995.5</v>
      </c>
      <c r="R718" s="48" t="n">
        <f aca="false">K718-Q718</f>
        <v>0</v>
      </c>
      <c r="S718" s="467"/>
      <c r="T718" s="2" t="s">
        <v>1711</v>
      </c>
      <c r="V718" s="464"/>
      <c r="W718" s="464"/>
      <c r="X718" s="464"/>
      <c r="Y718" s="464"/>
      <c r="Z718" s="464"/>
      <c r="AA718" s="464"/>
      <c r="AB718" s="464"/>
      <c r="AC718" s="464"/>
      <c r="AD718" s="464"/>
      <c r="AE718" s="464"/>
      <c r="AF718" s="464"/>
      <c r="AG718" s="464"/>
      <c r="AH718" s="465"/>
      <c r="AI718" s="464"/>
    </row>
    <row r="719" customFormat="false" ht="15" hidden="false" customHeight="true" outlineLevel="0" collapsed="false">
      <c r="A719" s="455" t="s">
        <v>1847</v>
      </c>
      <c r="C719" s="456" t="n">
        <v>45558</v>
      </c>
      <c r="D719" s="456"/>
      <c r="E719" s="57" t="n">
        <v>13888</v>
      </c>
      <c r="F719" s="57" t="s">
        <v>175</v>
      </c>
      <c r="G719" s="323" t="s">
        <v>5</v>
      </c>
      <c r="H719" s="98" t="n">
        <v>1005</v>
      </c>
      <c r="I719" s="457" t="n">
        <v>25.71</v>
      </c>
      <c r="J719" s="313" t="s">
        <v>1651</v>
      </c>
      <c r="K719" s="98" t="n">
        <f aca="false">I719*H719</f>
        <v>25838.55</v>
      </c>
      <c r="L719" s="411" t="n">
        <v>11959.5</v>
      </c>
      <c r="M719" s="392" t="n">
        <f aca="false">L719/K719</f>
        <v>0.462854920264489</v>
      </c>
      <c r="N719" s="466" t="n">
        <f aca="false">I719*M719</f>
        <v>11.9</v>
      </c>
      <c r="O719" s="461" t="n">
        <v>1005</v>
      </c>
      <c r="P719" s="462" t="n">
        <f aca="false">H719-O719</f>
        <v>0</v>
      </c>
      <c r="Q719" s="463" t="n">
        <f aca="false">O719*I719</f>
        <v>25838.55</v>
      </c>
      <c r="R719" s="48" t="n">
        <f aca="false">K719-Q719</f>
        <v>0</v>
      </c>
      <c r="S719" s="467"/>
      <c r="T719" s="2" t="s">
        <v>1711</v>
      </c>
      <c r="V719" s="464"/>
      <c r="W719" s="464"/>
      <c r="X719" s="464"/>
      <c r="Y719" s="464"/>
      <c r="Z719" s="464"/>
      <c r="AA719" s="464"/>
      <c r="AB719" s="464"/>
      <c r="AC719" s="464"/>
      <c r="AD719" s="464"/>
      <c r="AE719" s="464"/>
      <c r="AF719" s="464"/>
      <c r="AG719" s="464"/>
      <c r="AH719" s="465"/>
      <c r="AI719" s="464"/>
    </row>
    <row r="720" customFormat="false" ht="15" hidden="false" customHeight="true" outlineLevel="0" collapsed="false">
      <c r="A720" s="455" t="s">
        <v>1847</v>
      </c>
      <c r="C720" s="456" t="n">
        <v>45558</v>
      </c>
      <c r="D720" s="456"/>
      <c r="E720" s="57" t="n">
        <v>13888</v>
      </c>
      <c r="F720" s="57" t="s">
        <v>175</v>
      </c>
      <c r="G720" s="323" t="s">
        <v>6</v>
      </c>
      <c r="H720" s="98" t="n">
        <v>870</v>
      </c>
      <c r="I720" s="457" t="n">
        <v>30</v>
      </c>
      <c r="J720" s="313" t="s">
        <v>1651</v>
      </c>
      <c r="K720" s="98" t="n">
        <f aca="false">I720*H720</f>
        <v>26100</v>
      </c>
      <c r="L720" s="411" t="n">
        <v>12919.5</v>
      </c>
      <c r="M720" s="392" t="n">
        <f aca="false">L720/K720</f>
        <v>0.495</v>
      </c>
      <c r="N720" s="466" t="n">
        <f aca="false">I720*M720</f>
        <v>14.85</v>
      </c>
      <c r="O720" s="461" t="n">
        <v>870</v>
      </c>
      <c r="P720" s="462" t="n">
        <f aca="false">H720-O720</f>
        <v>0</v>
      </c>
      <c r="Q720" s="463" t="n">
        <f aca="false">O720*I720</f>
        <v>26100</v>
      </c>
      <c r="R720" s="48" t="n">
        <f aca="false">K720-Q720</f>
        <v>0</v>
      </c>
      <c r="S720" s="467"/>
      <c r="T720" s="2" t="s">
        <v>1711</v>
      </c>
      <c r="V720" s="464"/>
      <c r="W720" s="464"/>
      <c r="X720" s="464"/>
      <c r="Y720" s="464"/>
      <c r="Z720" s="464"/>
      <c r="AA720" s="464"/>
      <c r="AB720" s="464"/>
      <c r="AC720" s="464"/>
      <c r="AD720" s="464"/>
      <c r="AE720" s="464"/>
      <c r="AF720" s="464"/>
      <c r="AG720" s="464"/>
      <c r="AH720" s="465"/>
      <c r="AI720" s="464"/>
    </row>
    <row r="721" customFormat="false" ht="15" hidden="false" customHeight="true" outlineLevel="0" collapsed="false">
      <c r="A721" s="455" t="s">
        <v>1748</v>
      </c>
      <c r="C721" s="456" t="n">
        <v>45558</v>
      </c>
      <c r="D721" s="456"/>
      <c r="E721" s="57" t="n">
        <v>13889</v>
      </c>
      <c r="F721" s="57" t="s">
        <v>175</v>
      </c>
      <c r="G721" s="323" t="s">
        <v>5</v>
      </c>
      <c r="H721" s="98" t="n">
        <v>1500</v>
      </c>
      <c r="I721" s="457" t="n">
        <v>25.71</v>
      </c>
      <c r="J721" s="313" t="s">
        <v>1651</v>
      </c>
      <c r="K721" s="98" t="n">
        <f aca="false">I721*H721</f>
        <v>38565</v>
      </c>
      <c r="L721" s="411" t="n">
        <v>20850</v>
      </c>
      <c r="M721" s="392" t="n">
        <f aca="false">L721/K721</f>
        <v>0.540645663166083</v>
      </c>
      <c r="N721" s="466" t="n">
        <f aca="false">I721*M721</f>
        <v>13.9</v>
      </c>
      <c r="O721" s="461" t="n">
        <v>1500</v>
      </c>
      <c r="P721" s="462" t="n">
        <f aca="false">H721-O721</f>
        <v>0</v>
      </c>
      <c r="Q721" s="463" t="n">
        <f aca="false">O721*I721</f>
        <v>38565</v>
      </c>
      <c r="R721" s="48" t="n">
        <f aca="false">K721-Q721</f>
        <v>0</v>
      </c>
      <c r="S721" s="467"/>
      <c r="T721" s="2" t="s">
        <v>1711</v>
      </c>
      <c r="V721" s="464"/>
      <c r="W721" s="464"/>
      <c r="X721" s="464"/>
      <c r="Y721" s="464"/>
      <c r="Z721" s="464"/>
      <c r="AA721" s="464"/>
      <c r="AB721" s="464"/>
      <c r="AC721" s="464"/>
      <c r="AD721" s="464"/>
      <c r="AE721" s="464"/>
      <c r="AF721" s="464"/>
      <c r="AG721" s="464"/>
      <c r="AH721" s="465"/>
      <c r="AI721" s="464"/>
    </row>
    <row r="722" customFormat="false" ht="15" hidden="false" customHeight="true" outlineLevel="0" collapsed="false">
      <c r="A722" s="455" t="s">
        <v>1748</v>
      </c>
      <c r="C722" s="456" t="n">
        <v>45558</v>
      </c>
      <c r="D722" s="456"/>
      <c r="E722" s="57" t="n">
        <v>13889</v>
      </c>
      <c r="F722" s="57" t="s">
        <v>175</v>
      </c>
      <c r="G722" s="323" t="s">
        <v>42</v>
      </c>
      <c r="H722" s="98" t="n">
        <v>1500</v>
      </c>
      <c r="I722" s="457" t="n">
        <v>30</v>
      </c>
      <c r="J722" s="313" t="s">
        <v>1651</v>
      </c>
      <c r="K722" s="98" t="n">
        <f aca="false">I722*H722</f>
        <v>45000</v>
      </c>
      <c r="L722" s="411" t="n">
        <v>22200</v>
      </c>
      <c r="M722" s="392" t="n">
        <f aca="false">L722/K722</f>
        <v>0.493333333333333</v>
      </c>
      <c r="N722" s="466" t="n">
        <f aca="false">I722*M722</f>
        <v>14.8</v>
      </c>
      <c r="O722" s="461" t="n">
        <v>1500</v>
      </c>
      <c r="P722" s="462" t="n">
        <f aca="false">H722-O722</f>
        <v>0</v>
      </c>
      <c r="Q722" s="463" t="n">
        <f aca="false">O722*I722</f>
        <v>45000</v>
      </c>
      <c r="R722" s="48" t="n">
        <f aca="false">K722-Q722</f>
        <v>0</v>
      </c>
      <c r="S722" s="467"/>
      <c r="T722" s="2" t="s">
        <v>1711</v>
      </c>
      <c r="V722" s="464"/>
      <c r="W722" s="464"/>
      <c r="X722" s="464"/>
      <c r="Y722" s="464"/>
      <c r="Z722" s="464"/>
      <c r="AA722" s="464"/>
      <c r="AB722" s="464"/>
      <c r="AC722" s="464"/>
      <c r="AD722" s="464"/>
      <c r="AE722" s="464"/>
      <c r="AF722" s="464"/>
      <c r="AG722" s="464"/>
      <c r="AH722" s="465"/>
      <c r="AI722" s="464"/>
    </row>
    <row r="723" customFormat="false" ht="15" hidden="false" customHeight="true" outlineLevel="0" collapsed="false">
      <c r="A723" s="455" t="s">
        <v>1748</v>
      </c>
      <c r="C723" s="456" t="n">
        <v>45558</v>
      </c>
      <c r="D723" s="456"/>
      <c r="E723" s="57" t="n">
        <v>13889</v>
      </c>
      <c r="F723" s="57" t="s">
        <v>175</v>
      </c>
      <c r="G723" s="323" t="s">
        <v>17</v>
      </c>
      <c r="H723" s="98" t="n">
        <v>300</v>
      </c>
      <c r="I723" s="457" t="n">
        <v>22.5</v>
      </c>
      <c r="J723" s="313" t="s">
        <v>1651</v>
      </c>
      <c r="K723" s="98" t="n">
        <f aca="false">I723*H723</f>
        <v>6750</v>
      </c>
      <c r="L723" s="411" t="n">
        <v>4050</v>
      </c>
      <c r="M723" s="392" t="n">
        <f aca="false">L723/K723</f>
        <v>0.6</v>
      </c>
      <c r="N723" s="466" t="n">
        <f aca="false">I723*M723</f>
        <v>13.5</v>
      </c>
      <c r="O723" s="461" t="n">
        <v>300</v>
      </c>
      <c r="P723" s="462" t="n">
        <f aca="false">H723-O723</f>
        <v>0</v>
      </c>
      <c r="Q723" s="463" t="n">
        <f aca="false">O723*I723</f>
        <v>6750</v>
      </c>
      <c r="R723" s="48" t="n">
        <f aca="false">K723-Q723</f>
        <v>0</v>
      </c>
      <c r="S723" s="467"/>
      <c r="T723" s="2" t="s">
        <v>1711</v>
      </c>
      <c r="V723" s="464"/>
      <c r="W723" s="464"/>
      <c r="X723" s="464"/>
      <c r="Y723" s="464"/>
      <c r="Z723" s="464"/>
      <c r="AA723" s="464"/>
      <c r="AB723" s="464"/>
      <c r="AC723" s="464"/>
      <c r="AD723" s="464"/>
      <c r="AE723" s="464"/>
      <c r="AF723" s="464"/>
      <c r="AG723" s="464"/>
      <c r="AH723" s="465"/>
      <c r="AI723" s="464"/>
    </row>
    <row r="724" customFormat="false" ht="15" hidden="false" customHeight="true" outlineLevel="0" collapsed="false">
      <c r="A724" s="455" t="s">
        <v>1748</v>
      </c>
      <c r="C724" s="456" t="n">
        <v>45558</v>
      </c>
      <c r="D724" s="456"/>
      <c r="E724" s="57" t="n">
        <v>13889</v>
      </c>
      <c r="F724" s="57" t="s">
        <v>175</v>
      </c>
      <c r="G724" s="323" t="s">
        <v>7</v>
      </c>
      <c r="H724" s="98" t="n">
        <v>300</v>
      </c>
      <c r="I724" s="457" t="n">
        <v>25.71</v>
      </c>
      <c r="J724" s="313" t="s">
        <v>1651</v>
      </c>
      <c r="K724" s="98" t="n">
        <f aca="false">I724*H724</f>
        <v>7713</v>
      </c>
      <c r="L724" s="411" t="n">
        <v>4350</v>
      </c>
      <c r="M724" s="392" t="n">
        <f aca="false">L724/K724</f>
        <v>0.563982886036562</v>
      </c>
      <c r="N724" s="466" t="n">
        <f aca="false">I724*M724</f>
        <v>14.5</v>
      </c>
      <c r="O724" s="461" t="n">
        <v>300</v>
      </c>
      <c r="P724" s="462" t="n">
        <f aca="false">H724-O724</f>
        <v>0</v>
      </c>
      <c r="Q724" s="463" t="n">
        <f aca="false">O724*I724</f>
        <v>7713</v>
      </c>
      <c r="R724" s="48" t="n">
        <f aca="false">K724-Q724</f>
        <v>0</v>
      </c>
      <c r="S724" s="467"/>
      <c r="T724" s="2" t="s">
        <v>1711</v>
      </c>
      <c r="V724" s="464"/>
      <c r="W724" s="464"/>
      <c r="X724" s="464"/>
      <c r="Y724" s="464"/>
      <c r="Z724" s="464"/>
      <c r="AA724" s="464"/>
      <c r="AB724" s="464"/>
      <c r="AC724" s="464"/>
      <c r="AD724" s="464"/>
      <c r="AE724" s="464"/>
      <c r="AF724" s="464"/>
      <c r="AG724" s="464"/>
      <c r="AH724" s="465"/>
      <c r="AI724" s="464"/>
    </row>
    <row r="725" customFormat="false" ht="15" hidden="false" customHeight="true" outlineLevel="0" collapsed="false">
      <c r="A725" s="455" t="s">
        <v>1798</v>
      </c>
      <c r="C725" s="456" t="n">
        <v>45560</v>
      </c>
      <c r="D725" s="456"/>
      <c r="E725" s="57" t="n">
        <v>13892</v>
      </c>
      <c r="F725" s="57" t="s">
        <v>175</v>
      </c>
      <c r="G725" s="323" t="s">
        <v>13</v>
      </c>
      <c r="H725" s="98" t="n">
        <v>1500</v>
      </c>
      <c r="I725" s="457" t="n">
        <v>22.5</v>
      </c>
      <c r="J725" s="313" t="s">
        <v>1651</v>
      </c>
      <c r="K725" s="98" t="n">
        <f aca="false">I725*H725</f>
        <v>33750</v>
      </c>
      <c r="L725" s="411" t="n">
        <v>14250</v>
      </c>
      <c r="M725" s="392" t="n">
        <f aca="false">L725/K725</f>
        <v>0.422222222222222</v>
      </c>
      <c r="N725" s="466" t="n">
        <f aca="false">I725*M725</f>
        <v>9.5</v>
      </c>
      <c r="O725" s="461" t="n">
        <v>1500</v>
      </c>
      <c r="P725" s="462" t="n">
        <f aca="false">H725-O725</f>
        <v>0</v>
      </c>
      <c r="Q725" s="463" t="n">
        <f aca="false">O725*I725</f>
        <v>33750</v>
      </c>
      <c r="R725" s="48" t="n">
        <f aca="false">K725-Q725</f>
        <v>0</v>
      </c>
      <c r="S725" s="467"/>
      <c r="T725" s="2" t="s">
        <v>1711</v>
      </c>
      <c r="V725" s="464"/>
      <c r="W725" s="464"/>
      <c r="X725" s="464"/>
      <c r="Y725" s="464"/>
      <c r="Z725" s="464"/>
      <c r="AA725" s="464"/>
      <c r="AB725" s="464"/>
      <c r="AC725" s="464"/>
      <c r="AD725" s="464"/>
      <c r="AE725" s="464"/>
      <c r="AF725" s="464"/>
      <c r="AG725" s="464"/>
      <c r="AH725" s="465"/>
      <c r="AI725" s="464"/>
    </row>
    <row r="726" customFormat="false" ht="15" hidden="false" customHeight="true" outlineLevel="0" collapsed="false">
      <c r="A726" s="455" t="s">
        <v>1798</v>
      </c>
      <c r="C726" s="456" t="n">
        <v>45560</v>
      </c>
      <c r="D726" s="456"/>
      <c r="E726" s="57" t="n">
        <v>13892</v>
      </c>
      <c r="F726" s="57" t="s">
        <v>175</v>
      </c>
      <c r="G726" s="323" t="s">
        <v>11</v>
      </c>
      <c r="H726" s="98" t="n">
        <v>600</v>
      </c>
      <c r="I726" s="457" t="n">
        <v>14</v>
      </c>
      <c r="J726" s="313" t="s">
        <v>1651</v>
      </c>
      <c r="K726" s="98" t="n">
        <f aca="false">I726*H726</f>
        <v>8400</v>
      </c>
      <c r="L726" s="411" t="n">
        <v>27000</v>
      </c>
      <c r="M726" s="392" t="n">
        <f aca="false">L726/K726</f>
        <v>3.21428571428571</v>
      </c>
      <c r="N726" s="466" t="n">
        <f aca="false">I726*M726</f>
        <v>45</v>
      </c>
      <c r="O726" s="461" t="n">
        <v>600</v>
      </c>
      <c r="P726" s="462" t="n">
        <f aca="false">H726-O726</f>
        <v>0</v>
      </c>
      <c r="Q726" s="463" t="n">
        <f aca="false">O726*I726</f>
        <v>8400</v>
      </c>
      <c r="R726" s="48" t="n">
        <f aca="false">K726-Q726</f>
        <v>0</v>
      </c>
      <c r="S726" s="467"/>
      <c r="T726" s="2" t="s">
        <v>1711</v>
      </c>
      <c r="V726" s="464"/>
      <c r="W726" s="464"/>
      <c r="X726" s="464"/>
      <c r="Y726" s="464"/>
      <c r="Z726" s="464"/>
      <c r="AA726" s="464"/>
      <c r="AB726" s="464"/>
      <c r="AC726" s="464"/>
      <c r="AD726" s="464"/>
      <c r="AE726" s="464"/>
      <c r="AF726" s="464"/>
      <c r="AG726" s="464"/>
      <c r="AH726" s="465"/>
      <c r="AI726" s="464"/>
    </row>
    <row r="727" customFormat="false" ht="15" hidden="false" customHeight="true" outlineLevel="0" collapsed="false">
      <c r="A727" s="455" t="s">
        <v>60</v>
      </c>
      <c r="C727" s="456" t="n">
        <v>45560</v>
      </c>
      <c r="D727" s="456"/>
      <c r="E727" s="57" t="n">
        <v>13893</v>
      </c>
      <c r="F727" s="57" t="s">
        <v>175</v>
      </c>
      <c r="G727" s="323" t="s">
        <v>6</v>
      </c>
      <c r="H727" s="98" t="n">
        <v>60</v>
      </c>
      <c r="I727" s="457" t="n">
        <v>30</v>
      </c>
      <c r="J727" s="313" t="s">
        <v>1651</v>
      </c>
      <c r="K727" s="98" t="n">
        <f aca="false">I727*H727</f>
        <v>1800</v>
      </c>
      <c r="L727" s="411" t="n">
        <v>922.2</v>
      </c>
      <c r="M727" s="392" t="n">
        <f aca="false">L727/K727</f>
        <v>0.512333333333333</v>
      </c>
      <c r="N727" s="466" t="n">
        <f aca="false">I727*M727</f>
        <v>15.37</v>
      </c>
      <c r="O727" s="461" t="n">
        <v>60</v>
      </c>
      <c r="P727" s="462" t="n">
        <f aca="false">H727-O727</f>
        <v>0</v>
      </c>
      <c r="Q727" s="463" t="n">
        <f aca="false">O727*I727</f>
        <v>1800</v>
      </c>
      <c r="R727" s="48" t="n">
        <f aca="false">K727-Q727</f>
        <v>0</v>
      </c>
      <c r="S727" s="467"/>
      <c r="T727" s="2" t="s">
        <v>1711</v>
      </c>
      <c r="V727" s="464"/>
      <c r="W727" s="464"/>
      <c r="X727" s="464"/>
      <c r="Y727" s="464"/>
      <c r="Z727" s="464"/>
      <c r="AA727" s="464"/>
      <c r="AB727" s="464"/>
      <c r="AC727" s="464"/>
      <c r="AD727" s="464"/>
      <c r="AE727" s="464"/>
      <c r="AF727" s="464"/>
      <c r="AG727" s="464"/>
      <c r="AH727" s="465"/>
      <c r="AI727" s="464"/>
    </row>
    <row r="728" customFormat="false" ht="15" hidden="false" customHeight="true" outlineLevel="0" collapsed="false">
      <c r="A728" s="455" t="s">
        <v>1862</v>
      </c>
      <c r="C728" s="456" t="n">
        <v>45560</v>
      </c>
      <c r="D728" s="456"/>
      <c r="E728" s="323" t="n">
        <v>13894</v>
      </c>
      <c r="F728" s="57" t="s">
        <v>175</v>
      </c>
      <c r="G728" s="323" t="s">
        <v>5</v>
      </c>
      <c r="H728" s="98" t="n">
        <v>4500</v>
      </c>
      <c r="I728" s="457" t="n">
        <v>25.71</v>
      </c>
      <c r="J728" s="313" t="s">
        <v>1651</v>
      </c>
      <c r="K728" s="98" t="n">
        <f aca="false">I728*H728</f>
        <v>115695</v>
      </c>
      <c r="L728" s="411" t="n">
        <v>59400</v>
      </c>
      <c r="M728" s="392" t="n">
        <f aca="false">L728/K728</f>
        <v>0.513418903150525</v>
      </c>
      <c r="N728" s="466" t="n">
        <f aca="false">I728*M728</f>
        <v>13.2</v>
      </c>
      <c r="O728" s="461" t="n">
        <v>4500</v>
      </c>
      <c r="P728" s="462" t="n">
        <f aca="false">H728-O728</f>
        <v>0</v>
      </c>
      <c r="Q728" s="463" t="n">
        <f aca="false">O728*I728</f>
        <v>115695</v>
      </c>
      <c r="R728" s="48" t="n">
        <f aca="false">K728-Q728</f>
        <v>0</v>
      </c>
      <c r="S728" s="467"/>
      <c r="T728" s="2" t="s">
        <v>1711</v>
      </c>
      <c r="V728" s="464"/>
      <c r="W728" s="464"/>
      <c r="X728" s="464"/>
      <c r="Y728" s="464"/>
      <c r="Z728" s="464"/>
      <c r="AA728" s="464"/>
      <c r="AB728" s="464"/>
      <c r="AC728" s="464"/>
      <c r="AD728" s="464"/>
      <c r="AE728" s="464"/>
      <c r="AF728" s="464"/>
      <c r="AG728" s="464"/>
      <c r="AH728" s="465"/>
      <c r="AI728" s="464"/>
    </row>
    <row r="729" customFormat="false" ht="15" hidden="false" customHeight="true" outlineLevel="0" collapsed="false">
      <c r="A729" s="455" t="s">
        <v>1826</v>
      </c>
      <c r="C729" s="456" t="n">
        <v>45560</v>
      </c>
      <c r="D729" s="456"/>
      <c r="E729" s="323" t="n">
        <v>13895</v>
      </c>
      <c r="F729" s="57" t="s">
        <v>175</v>
      </c>
      <c r="G729" s="323" t="s">
        <v>21</v>
      </c>
      <c r="H729" s="98" t="n">
        <v>20</v>
      </c>
      <c r="I729" s="457" t="n">
        <v>1</v>
      </c>
      <c r="J729" s="313" t="s">
        <v>1653</v>
      </c>
      <c r="K729" s="98" t="n">
        <f aca="false">I729*H729</f>
        <v>20</v>
      </c>
      <c r="L729" s="411" t="n">
        <v>146</v>
      </c>
      <c r="M729" s="392" t="n">
        <f aca="false">L729/K729</f>
        <v>7.3</v>
      </c>
      <c r="N729" s="466" t="n">
        <f aca="false">I729*M729</f>
        <v>7.3</v>
      </c>
      <c r="O729" s="461" t="n">
        <v>20</v>
      </c>
      <c r="P729" s="462" t="n">
        <f aca="false">H729-O729</f>
        <v>0</v>
      </c>
      <c r="Q729" s="463" t="n">
        <f aca="false">O729*I729</f>
        <v>20</v>
      </c>
      <c r="R729" s="48" t="n">
        <f aca="false">K729-Q729</f>
        <v>0</v>
      </c>
      <c r="S729" s="467"/>
      <c r="T729" s="2" t="s">
        <v>1711</v>
      </c>
      <c r="V729" s="464"/>
      <c r="W729" s="464"/>
      <c r="X729" s="464"/>
      <c r="Y729" s="464"/>
      <c r="Z729" s="464"/>
      <c r="AA729" s="464"/>
      <c r="AB729" s="464"/>
      <c r="AC729" s="464"/>
      <c r="AD729" s="464"/>
      <c r="AE729" s="464"/>
      <c r="AF729" s="464"/>
      <c r="AG729" s="464"/>
      <c r="AH729" s="465"/>
      <c r="AI729" s="464"/>
    </row>
    <row r="730" customFormat="false" ht="15" hidden="false" customHeight="true" outlineLevel="0" collapsed="false">
      <c r="A730" s="455" t="s">
        <v>1863</v>
      </c>
      <c r="C730" s="456" t="n">
        <v>45560</v>
      </c>
      <c r="D730" s="456"/>
      <c r="E730" s="323" t="n">
        <v>13896</v>
      </c>
      <c r="F730" s="57" t="s">
        <v>175</v>
      </c>
      <c r="G730" s="323" t="s">
        <v>17</v>
      </c>
      <c r="H730" s="98" t="n">
        <v>225</v>
      </c>
      <c r="I730" s="457" t="n">
        <v>22.5</v>
      </c>
      <c r="J730" s="313" t="s">
        <v>1651</v>
      </c>
      <c r="K730" s="98" t="n">
        <f aca="false">I730*H730</f>
        <v>5062.5</v>
      </c>
      <c r="L730" s="411" t="n">
        <v>3712.5</v>
      </c>
      <c r="M730" s="392" t="n">
        <f aca="false">L730/K730</f>
        <v>0.733333333333333</v>
      </c>
      <c r="N730" s="466" t="n">
        <f aca="false">I730*M730</f>
        <v>16.5</v>
      </c>
      <c r="O730" s="461" t="n">
        <v>225</v>
      </c>
      <c r="P730" s="462" t="n">
        <f aca="false">H730-O730</f>
        <v>0</v>
      </c>
      <c r="Q730" s="463" t="n">
        <f aca="false">O730*I730</f>
        <v>5062.5</v>
      </c>
      <c r="R730" s="48" t="n">
        <f aca="false">K730-Q730</f>
        <v>0</v>
      </c>
      <c r="S730" s="467"/>
      <c r="T730" s="2" t="s">
        <v>1711</v>
      </c>
      <c r="V730" s="464"/>
      <c r="W730" s="464"/>
      <c r="X730" s="464"/>
      <c r="Y730" s="464"/>
      <c r="Z730" s="464"/>
      <c r="AA730" s="464"/>
      <c r="AB730" s="464"/>
      <c r="AC730" s="464"/>
      <c r="AD730" s="464"/>
      <c r="AE730" s="464"/>
      <c r="AF730" s="464"/>
      <c r="AG730" s="464"/>
      <c r="AH730" s="465"/>
      <c r="AI730" s="464"/>
    </row>
    <row r="731" customFormat="false" ht="15" hidden="false" customHeight="true" outlineLevel="0" collapsed="false">
      <c r="A731" s="455" t="s">
        <v>1864</v>
      </c>
      <c r="C731" s="456" t="n">
        <v>45560</v>
      </c>
      <c r="D731" s="456"/>
      <c r="E731" s="323" t="n">
        <v>13897</v>
      </c>
      <c r="F731" s="57" t="s">
        <v>175</v>
      </c>
      <c r="G731" s="323" t="s">
        <v>7</v>
      </c>
      <c r="H731" s="98" t="n">
        <v>180</v>
      </c>
      <c r="I731" s="457" t="n">
        <v>25.71</v>
      </c>
      <c r="J731" s="313" t="s">
        <v>1651</v>
      </c>
      <c r="K731" s="98" t="n">
        <f aca="false">I731*H731</f>
        <v>4627.8</v>
      </c>
      <c r="L731" s="411" t="n">
        <v>2460</v>
      </c>
      <c r="M731" s="392" t="n">
        <f aca="false">L731/K731</f>
        <v>0.531570076494231</v>
      </c>
      <c r="N731" s="466" t="n">
        <f aca="false">I731*M731</f>
        <v>13.6666666666667</v>
      </c>
      <c r="O731" s="461" t="n">
        <v>180</v>
      </c>
      <c r="P731" s="462" t="n">
        <f aca="false">H731-O731</f>
        <v>0</v>
      </c>
      <c r="Q731" s="463" t="n">
        <f aca="false">O731*I731</f>
        <v>4627.8</v>
      </c>
      <c r="R731" s="48" t="n">
        <f aca="false">K731-Q731</f>
        <v>0</v>
      </c>
      <c r="S731" s="467"/>
      <c r="T731" s="2" t="s">
        <v>1711</v>
      </c>
      <c r="V731" s="464"/>
      <c r="W731" s="464"/>
      <c r="X731" s="464"/>
      <c r="Y731" s="464"/>
      <c r="Z731" s="464"/>
      <c r="AA731" s="464"/>
      <c r="AB731" s="464"/>
      <c r="AC731" s="464"/>
      <c r="AD731" s="464"/>
      <c r="AE731" s="464"/>
      <c r="AF731" s="464"/>
      <c r="AG731" s="464"/>
      <c r="AH731" s="465"/>
      <c r="AI731" s="464"/>
    </row>
    <row r="732" customFormat="false" ht="15" hidden="false" customHeight="true" outlineLevel="0" collapsed="false">
      <c r="A732" s="455" t="s">
        <v>1864</v>
      </c>
      <c r="C732" s="456" t="n">
        <v>45560</v>
      </c>
      <c r="D732" s="456"/>
      <c r="E732" s="323" t="n">
        <v>13897</v>
      </c>
      <c r="F732" s="57" t="s">
        <v>175</v>
      </c>
      <c r="G732" s="323" t="s">
        <v>42</v>
      </c>
      <c r="H732" s="98" t="n">
        <v>600</v>
      </c>
      <c r="I732" s="457" t="n">
        <v>30</v>
      </c>
      <c r="J732" s="313" t="s">
        <v>1651</v>
      </c>
      <c r="K732" s="98" t="n">
        <f aca="false">I732*H732</f>
        <v>18000</v>
      </c>
      <c r="L732" s="411" t="n">
        <v>10000</v>
      </c>
      <c r="M732" s="392" t="n">
        <f aca="false">L732/K732</f>
        <v>0.555555555555556</v>
      </c>
      <c r="N732" s="466" t="n">
        <f aca="false">I732*M732</f>
        <v>16.6666666666667</v>
      </c>
      <c r="O732" s="461" t="n">
        <v>600</v>
      </c>
      <c r="P732" s="462" t="n">
        <f aca="false">H732-O732</f>
        <v>0</v>
      </c>
      <c r="Q732" s="463" t="n">
        <f aca="false">O732*I732</f>
        <v>18000</v>
      </c>
      <c r="R732" s="48" t="n">
        <f aca="false">K732-Q732</f>
        <v>0</v>
      </c>
      <c r="S732" s="467"/>
      <c r="T732" s="2" t="s">
        <v>1711</v>
      </c>
      <c r="V732" s="464"/>
      <c r="W732" s="464"/>
      <c r="X732" s="464"/>
      <c r="Y732" s="464"/>
      <c r="Z732" s="464"/>
      <c r="AA732" s="464"/>
      <c r="AB732" s="464"/>
      <c r="AC732" s="464"/>
      <c r="AD732" s="464"/>
      <c r="AE732" s="464"/>
      <c r="AF732" s="464"/>
      <c r="AG732" s="464"/>
      <c r="AH732" s="465"/>
      <c r="AI732" s="464"/>
    </row>
    <row r="733" customFormat="false" ht="15" hidden="false" customHeight="true" outlineLevel="0" collapsed="false">
      <c r="A733" s="455" t="s">
        <v>1864</v>
      </c>
      <c r="C733" s="456" t="n">
        <v>45560</v>
      </c>
      <c r="D733" s="456"/>
      <c r="E733" s="323" t="n">
        <v>13897</v>
      </c>
      <c r="F733" s="57" t="s">
        <v>175</v>
      </c>
      <c r="G733" s="323" t="s">
        <v>13</v>
      </c>
      <c r="H733" s="98" t="n">
        <v>1200</v>
      </c>
      <c r="I733" s="457" t="n">
        <v>37.5</v>
      </c>
      <c r="J733" s="313" t="s">
        <v>1652</v>
      </c>
      <c r="K733" s="98" t="n">
        <f aca="false">I733*H733</f>
        <v>45000</v>
      </c>
      <c r="L733" s="411" t="n">
        <v>25200</v>
      </c>
      <c r="M733" s="392" t="n">
        <f aca="false">L733/K733</f>
        <v>0.56</v>
      </c>
      <c r="N733" s="466" t="n">
        <f aca="false">I733*M733</f>
        <v>21</v>
      </c>
      <c r="O733" s="461" t="n">
        <v>1200</v>
      </c>
      <c r="P733" s="462" t="n">
        <f aca="false">H733-O733</f>
        <v>0</v>
      </c>
      <c r="Q733" s="463" t="n">
        <f aca="false">O733*I733</f>
        <v>45000</v>
      </c>
      <c r="R733" s="48" t="n">
        <f aca="false">K733-Q733</f>
        <v>0</v>
      </c>
      <c r="S733" s="467"/>
      <c r="T733" s="2" t="s">
        <v>1711</v>
      </c>
      <c r="V733" s="464"/>
      <c r="W733" s="464"/>
      <c r="X733" s="464"/>
      <c r="Y733" s="464"/>
      <c r="Z733" s="464"/>
      <c r="AA733" s="464"/>
      <c r="AB733" s="464"/>
      <c r="AC733" s="464"/>
      <c r="AD733" s="464"/>
      <c r="AE733" s="464"/>
      <c r="AF733" s="464"/>
      <c r="AG733" s="464"/>
      <c r="AH733" s="465"/>
      <c r="AI733" s="464"/>
    </row>
    <row r="734" customFormat="false" ht="15" hidden="false" customHeight="true" outlineLevel="0" collapsed="false">
      <c r="A734" s="455" t="s">
        <v>1864</v>
      </c>
      <c r="C734" s="456" t="n">
        <v>45560</v>
      </c>
      <c r="D734" s="456"/>
      <c r="E734" s="323" t="n">
        <v>13897</v>
      </c>
      <c r="F734" s="57" t="s">
        <v>175</v>
      </c>
      <c r="G734" s="323" t="s">
        <v>11</v>
      </c>
      <c r="H734" s="98" t="n">
        <v>360</v>
      </c>
      <c r="I734" s="457" t="n">
        <v>14</v>
      </c>
      <c r="J734" s="313" t="s">
        <v>1651</v>
      </c>
      <c r="K734" s="98" t="n">
        <f aca="false">I734*H734</f>
        <v>5040</v>
      </c>
      <c r="L734" s="411" t="n">
        <v>21840</v>
      </c>
      <c r="M734" s="392" t="n">
        <f aca="false">L734/K734</f>
        <v>4.33333333333333</v>
      </c>
      <c r="N734" s="466" t="n">
        <f aca="false">I734*M734</f>
        <v>60.6666666666667</v>
      </c>
      <c r="O734" s="461" t="n">
        <v>360</v>
      </c>
      <c r="P734" s="462" t="n">
        <f aca="false">H734-O734</f>
        <v>0</v>
      </c>
      <c r="Q734" s="463" t="n">
        <f aca="false">O734*I734</f>
        <v>5040</v>
      </c>
      <c r="R734" s="48" t="n">
        <f aca="false">K734-Q734</f>
        <v>0</v>
      </c>
      <c r="S734" s="467"/>
      <c r="T734" s="2" t="s">
        <v>1711</v>
      </c>
      <c r="V734" s="464"/>
      <c r="W734" s="464"/>
      <c r="X734" s="464"/>
      <c r="Y734" s="464"/>
      <c r="Z734" s="464"/>
      <c r="AA734" s="464"/>
      <c r="AB734" s="464"/>
      <c r="AC734" s="464"/>
      <c r="AD734" s="464"/>
      <c r="AE734" s="464"/>
      <c r="AF734" s="464"/>
      <c r="AG734" s="464"/>
      <c r="AH734" s="465"/>
      <c r="AI734" s="464"/>
    </row>
    <row r="735" customFormat="false" ht="15" hidden="false" customHeight="true" outlineLevel="0" collapsed="false">
      <c r="A735" s="455" t="s">
        <v>1760</v>
      </c>
      <c r="C735" s="456" t="n">
        <v>45561</v>
      </c>
      <c r="D735" s="456"/>
      <c r="E735" s="323" t="n">
        <v>13898</v>
      </c>
      <c r="F735" s="57" t="s">
        <v>175</v>
      </c>
      <c r="G735" s="323" t="s">
        <v>5</v>
      </c>
      <c r="H735" s="98" t="n">
        <v>1140</v>
      </c>
      <c r="I735" s="457" t="n">
        <v>25.71</v>
      </c>
      <c r="J735" s="313" t="s">
        <v>1651</v>
      </c>
      <c r="K735" s="98" t="n">
        <f aca="false">I735*H735</f>
        <v>29309.4</v>
      </c>
      <c r="L735" s="411" t="n">
        <v>12485</v>
      </c>
      <c r="M735" s="392" t="n">
        <f aca="false">L735/K735</f>
        <v>0.425972554880004</v>
      </c>
      <c r="N735" s="466" t="n">
        <f aca="false">I735*M735</f>
        <v>10.9517543859649</v>
      </c>
      <c r="O735" s="461" t="n">
        <v>1140</v>
      </c>
      <c r="P735" s="462" t="n">
        <f aca="false">H735-O735</f>
        <v>0</v>
      </c>
      <c r="Q735" s="463" t="n">
        <f aca="false">O735*I735</f>
        <v>29309.4</v>
      </c>
      <c r="R735" s="48" t="n">
        <f aca="false">K735-Q735</f>
        <v>0</v>
      </c>
      <c r="S735" s="467"/>
      <c r="T735" s="2" t="s">
        <v>1711</v>
      </c>
      <c r="V735" s="464"/>
      <c r="W735" s="464"/>
      <c r="X735" s="464"/>
      <c r="Y735" s="464"/>
      <c r="Z735" s="464"/>
      <c r="AA735" s="464"/>
      <c r="AB735" s="464"/>
      <c r="AC735" s="464"/>
      <c r="AD735" s="464"/>
      <c r="AE735" s="464"/>
      <c r="AF735" s="464"/>
      <c r="AG735" s="464"/>
      <c r="AH735" s="465"/>
      <c r="AI735" s="464"/>
    </row>
    <row r="736" customFormat="false" ht="15" hidden="false" customHeight="true" outlineLevel="0" collapsed="false">
      <c r="A736" s="455" t="s">
        <v>1836</v>
      </c>
      <c r="C736" s="456" t="n">
        <v>45561</v>
      </c>
      <c r="D736" s="456"/>
      <c r="E736" s="57" t="n">
        <v>13899</v>
      </c>
      <c r="F736" s="57" t="s">
        <v>175</v>
      </c>
      <c r="G736" s="323" t="s">
        <v>19</v>
      </c>
      <c r="H736" s="98" t="n">
        <v>150</v>
      </c>
      <c r="I736" s="457" t="n">
        <v>22.5</v>
      </c>
      <c r="J736" s="313" t="s">
        <v>1651</v>
      </c>
      <c r="K736" s="98" t="n">
        <f aca="false">I736*H736</f>
        <v>3375</v>
      </c>
      <c r="L736" s="411" t="n">
        <v>3165.6</v>
      </c>
      <c r="M736" s="392" t="n">
        <f aca="false">L736/K736</f>
        <v>0.937955555555556</v>
      </c>
      <c r="N736" s="466" t="n">
        <f aca="false">I736*M736</f>
        <v>21.104</v>
      </c>
      <c r="O736" s="461" t="n">
        <v>150</v>
      </c>
      <c r="P736" s="462" t="n">
        <f aca="false">H736-O736</f>
        <v>0</v>
      </c>
      <c r="Q736" s="463" t="n">
        <f aca="false">O736*I736</f>
        <v>3375</v>
      </c>
      <c r="R736" s="48" t="n">
        <f aca="false">K736-Q736</f>
        <v>0</v>
      </c>
      <c r="S736" s="467"/>
      <c r="T736" s="2" t="s">
        <v>1711</v>
      </c>
      <c r="V736" s="464"/>
      <c r="W736" s="464"/>
      <c r="X736" s="464"/>
      <c r="Y736" s="464"/>
      <c r="Z736" s="464"/>
      <c r="AA736" s="464"/>
      <c r="AB736" s="464"/>
      <c r="AC736" s="464"/>
      <c r="AD736" s="464"/>
      <c r="AE736" s="464"/>
      <c r="AF736" s="464"/>
      <c r="AG736" s="464"/>
      <c r="AH736" s="465"/>
      <c r="AI736" s="464"/>
    </row>
    <row r="737" customFormat="false" ht="15" hidden="false" customHeight="true" outlineLevel="0" collapsed="false">
      <c r="A737" s="455" t="s">
        <v>1865</v>
      </c>
      <c r="C737" s="456" t="n">
        <v>45561</v>
      </c>
      <c r="D737" s="456"/>
      <c r="E737" s="57" t="n">
        <v>13900</v>
      </c>
      <c r="F737" s="57" t="s">
        <v>175</v>
      </c>
      <c r="G737" s="323" t="s">
        <v>13</v>
      </c>
      <c r="H737" s="98" t="n">
        <v>600</v>
      </c>
      <c r="I737" s="457" t="n">
        <v>40</v>
      </c>
      <c r="J737" s="313" t="s">
        <v>1653</v>
      </c>
      <c r="K737" s="98" t="n">
        <f aca="false">I737*H737</f>
        <v>24000</v>
      </c>
      <c r="L737" s="411" t="n">
        <v>10200</v>
      </c>
      <c r="M737" s="392" t="n">
        <f aca="false">L737/K737</f>
        <v>0.425</v>
      </c>
      <c r="N737" s="466" t="n">
        <f aca="false">I737*M737</f>
        <v>17</v>
      </c>
      <c r="O737" s="461" t="n">
        <v>600</v>
      </c>
      <c r="P737" s="462" t="n">
        <f aca="false">H737-O737</f>
        <v>0</v>
      </c>
      <c r="Q737" s="463" t="n">
        <f aca="false">O737*I737</f>
        <v>24000</v>
      </c>
      <c r="R737" s="48" t="n">
        <f aca="false">K737-Q737</f>
        <v>0</v>
      </c>
      <c r="S737" s="467"/>
      <c r="T737" s="2" t="s">
        <v>1711</v>
      </c>
      <c r="V737" s="464"/>
      <c r="W737" s="464"/>
      <c r="X737" s="464"/>
      <c r="Y737" s="464"/>
      <c r="Z737" s="464"/>
      <c r="AA737" s="464"/>
      <c r="AB737" s="464"/>
      <c r="AC737" s="464"/>
      <c r="AD737" s="464"/>
      <c r="AE737" s="464"/>
      <c r="AF737" s="464"/>
      <c r="AG737" s="464"/>
      <c r="AH737" s="465"/>
      <c r="AI737" s="464"/>
    </row>
    <row r="738" customFormat="false" ht="15" hidden="false" customHeight="true" outlineLevel="0" collapsed="false">
      <c r="A738" s="455" t="s">
        <v>1865</v>
      </c>
      <c r="C738" s="456" t="n">
        <v>45561</v>
      </c>
      <c r="D738" s="456"/>
      <c r="E738" s="57" t="n">
        <v>13901</v>
      </c>
      <c r="F738" s="57" t="s">
        <v>175</v>
      </c>
      <c r="G738" s="323" t="s">
        <v>13</v>
      </c>
      <c r="H738" s="98" t="n">
        <v>2400</v>
      </c>
      <c r="I738" s="457" t="n">
        <v>40</v>
      </c>
      <c r="J738" s="313" t="s">
        <v>1653</v>
      </c>
      <c r="K738" s="98" t="n">
        <f aca="false">I738*H738</f>
        <v>96000</v>
      </c>
      <c r="L738" s="411" t="n">
        <v>40800</v>
      </c>
      <c r="M738" s="392" t="n">
        <f aca="false">L738/K738</f>
        <v>0.425</v>
      </c>
      <c r="N738" s="466" t="n">
        <f aca="false">I738*M738</f>
        <v>17</v>
      </c>
      <c r="O738" s="461" t="n">
        <v>2400</v>
      </c>
      <c r="P738" s="462" t="n">
        <f aca="false">H738-O738</f>
        <v>0</v>
      </c>
      <c r="Q738" s="463" t="n">
        <f aca="false">O738*I738</f>
        <v>96000</v>
      </c>
      <c r="R738" s="48" t="n">
        <f aca="false">K738-Q738</f>
        <v>0</v>
      </c>
      <c r="S738" s="467"/>
      <c r="T738" s="2" t="s">
        <v>1711</v>
      </c>
      <c r="V738" s="464"/>
      <c r="W738" s="464"/>
      <c r="X738" s="464"/>
      <c r="Y738" s="464"/>
      <c r="Z738" s="464"/>
      <c r="AA738" s="464"/>
      <c r="AB738" s="464"/>
      <c r="AC738" s="464"/>
      <c r="AD738" s="464"/>
      <c r="AE738" s="464"/>
      <c r="AF738" s="464"/>
      <c r="AG738" s="464"/>
      <c r="AH738" s="465"/>
      <c r="AI738" s="464"/>
    </row>
    <row r="739" customFormat="false" ht="15" hidden="false" customHeight="true" outlineLevel="0" collapsed="false">
      <c r="A739" s="455" t="s">
        <v>1866</v>
      </c>
      <c r="C739" s="456" t="n">
        <v>45561</v>
      </c>
      <c r="D739" s="456"/>
      <c r="E739" s="57" t="n">
        <v>13902</v>
      </c>
      <c r="F739" s="57" t="s">
        <v>175</v>
      </c>
      <c r="G739" s="323" t="s">
        <v>10</v>
      </c>
      <c r="H739" s="98" t="n">
        <v>6000</v>
      </c>
      <c r="I739" s="457" t="n">
        <v>90</v>
      </c>
      <c r="J739" s="313" t="s">
        <v>1653</v>
      </c>
      <c r="K739" s="98" t="n">
        <f aca="false">I739*H739</f>
        <v>540000</v>
      </c>
      <c r="L739" s="411" t="n">
        <v>76800</v>
      </c>
      <c r="M739" s="392" t="n">
        <f aca="false">L739/K739</f>
        <v>0.142222222222222</v>
      </c>
      <c r="N739" s="466" t="n">
        <f aca="false">I739*M739</f>
        <v>12.8</v>
      </c>
      <c r="O739" s="461" t="n">
        <v>6000</v>
      </c>
      <c r="P739" s="462" t="n">
        <f aca="false">H739-O739</f>
        <v>0</v>
      </c>
      <c r="Q739" s="463" t="n">
        <f aca="false">O739*I739</f>
        <v>540000</v>
      </c>
      <c r="R739" s="48" t="n">
        <f aca="false">K739-Q739</f>
        <v>0</v>
      </c>
      <c r="S739" s="467"/>
      <c r="T739" s="2" t="s">
        <v>1711</v>
      </c>
      <c r="V739" s="464"/>
      <c r="W739" s="464"/>
      <c r="X739" s="464"/>
      <c r="Y739" s="464"/>
      <c r="Z739" s="464"/>
      <c r="AA739" s="464"/>
      <c r="AB739" s="464"/>
      <c r="AC739" s="464"/>
      <c r="AD739" s="464"/>
      <c r="AE739" s="464"/>
      <c r="AF739" s="464"/>
      <c r="AG739" s="464"/>
      <c r="AH739" s="465"/>
      <c r="AI739" s="464"/>
    </row>
    <row r="740" customFormat="false" ht="15" hidden="false" customHeight="true" outlineLevel="0" collapsed="false">
      <c r="A740" s="455" t="s">
        <v>1746</v>
      </c>
      <c r="C740" s="456" t="n">
        <v>45561</v>
      </c>
      <c r="D740" s="456"/>
      <c r="E740" s="57" t="n">
        <v>13904</v>
      </c>
      <c r="F740" s="57" t="s">
        <v>175</v>
      </c>
      <c r="G740" s="323" t="s">
        <v>10</v>
      </c>
      <c r="H740" s="98" t="n">
        <v>510</v>
      </c>
      <c r="I740" s="457" t="n">
        <v>25.71</v>
      </c>
      <c r="J740" s="313" t="s">
        <v>1651</v>
      </c>
      <c r="K740" s="98" t="n">
        <f aca="false">I740*H740</f>
        <v>13112.1</v>
      </c>
      <c r="L740" s="411" t="n">
        <v>4845</v>
      </c>
      <c r="M740" s="392" t="n">
        <f aca="false">L740/K740</f>
        <v>0.369506028782575</v>
      </c>
      <c r="N740" s="466" t="n">
        <f aca="false">I740*M740</f>
        <v>9.5</v>
      </c>
      <c r="O740" s="461" t="n">
        <v>510</v>
      </c>
      <c r="P740" s="462" t="n">
        <f aca="false">H740-O740</f>
        <v>0</v>
      </c>
      <c r="Q740" s="463" t="n">
        <f aca="false">O740*I740</f>
        <v>13112.1</v>
      </c>
      <c r="R740" s="48" t="n">
        <f aca="false">K740-Q740</f>
        <v>0</v>
      </c>
      <c r="S740" s="467"/>
      <c r="T740" s="2" t="s">
        <v>1711</v>
      </c>
      <c r="V740" s="464"/>
      <c r="W740" s="464"/>
      <c r="X740" s="464"/>
      <c r="Y740" s="464"/>
      <c r="Z740" s="464"/>
      <c r="AA740" s="464"/>
      <c r="AB740" s="464"/>
      <c r="AC740" s="464"/>
      <c r="AD740" s="464"/>
      <c r="AE740" s="464"/>
      <c r="AF740" s="464"/>
      <c r="AG740" s="464"/>
      <c r="AH740" s="465"/>
      <c r="AI740" s="464"/>
    </row>
    <row r="741" customFormat="false" ht="15" hidden="false" customHeight="true" outlineLevel="0" collapsed="false">
      <c r="A741" s="455" t="s">
        <v>1867</v>
      </c>
      <c r="C741" s="456" t="n">
        <v>45562</v>
      </c>
      <c r="D741" s="456"/>
      <c r="E741" s="323" t="n">
        <v>13906</v>
      </c>
      <c r="F741" s="323" t="s">
        <v>175</v>
      </c>
      <c r="G741" s="323" t="s">
        <v>5</v>
      </c>
      <c r="H741" s="98" t="n">
        <v>75</v>
      </c>
      <c r="I741" s="457" t="n">
        <v>25.71</v>
      </c>
      <c r="J741" s="313" t="s">
        <v>1651</v>
      </c>
      <c r="K741" s="98" t="n">
        <f aca="false">I741*H741</f>
        <v>1928.25</v>
      </c>
      <c r="L741" s="411" t="n">
        <v>1286.25</v>
      </c>
      <c r="M741" s="392" t="n">
        <f aca="false">L741/K741</f>
        <v>0.667055620381175</v>
      </c>
      <c r="N741" s="466" t="n">
        <f aca="false">I741*M741</f>
        <v>17.15</v>
      </c>
      <c r="O741" s="461" t="n">
        <v>75</v>
      </c>
      <c r="P741" s="462" t="n">
        <f aca="false">H741-O741</f>
        <v>0</v>
      </c>
      <c r="Q741" s="463" t="n">
        <f aca="false">O741*I741</f>
        <v>1928.25</v>
      </c>
      <c r="R741" s="48" t="n">
        <f aca="false">K741-Q741</f>
        <v>0</v>
      </c>
      <c r="S741" s="467"/>
      <c r="T741" s="2" t="s">
        <v>1711</v>
      </c>
      <c r="V741" s="464"/>
      <c r="W741" s="464"/>
      <c r="X741" s="464"/>
      <c r="Y741" s="464"/>
      <c r="Z741" s="464"/>
      <c r="AA741" s="464"/>
      <c r="AB741" s="464"/>
      <c r="AC741" s="464"/>
      <c r="AD741" s="464"/>
      <c r="AE741" s="464"/>
      <c r="AF741" s="464"/>
      <c r="AG741" s="464"/>
      <c r="AH741" s="465"/>
      <c r="AI741" s="464"/>
    </row>
    <row r="742" customFormat="false" ht="15" hidden="false" customHeight="true" outlineLevel="0" collapsed="false">
      <c r="A742" s="455" t="s">
        <v>1868</v>
      </c>
      <c r="C742" s="456" t="n">
        <v>45562</v>
      </c>
      <c r="D742" s="456"/>
      <c r="E742" s="323" t="n">
        <v>13907</v>
      </c>
      <c r="F742" s="323" t="s">
        <v>175</v>
      </c>
      <c r="G742" s="323" t="s">
        <v>7</v>
      </c>
      <c r="H742" s="98" t="n">
        <v>75</v>
      </c>
      <c r="I742" s="457" t="n">
        <v>25.71</v>
      </c>
      <c r="J742" s="313" t="s">
        <v>1651</v>
      </c>
      <c r="K742" s="98" t="n">
        <f aca="false">I742*H742</f>
        <v>1928.25</v>
      </c>
      <c r="L742" s="411" t="n">
        <v>1659.75</v>
      </c>
      <c r="M742" s="392" t="n">
        <f aca="false">L742/K742</f>
        <v>0.860754570206145</v>
      </c>
      <c r="N742" s="466" t="n">
        <f aca="false">I742*M742</f>
        <v>22.13</v>
      </c>
      <c r="O742" s="461" t="n">
        <v>75</v>
      </c>
      <c r="P742" s="462" t="n">
        <f aca="false">H742-O742</f>
        <v>0</v>
      </c>
      <c r="Q742" s="463" t="n">
        <f aca="false">O742*I742</f>
        <v>1928.25</v>
      </c>
      <c r="R742" s="48" t="n">
        <f aca="false">K742-Q742</f>
        <v>0</v>
      </c>
      <c r="S742" s="467"/>
      <c r="T742" s="2" t="s">
        <v>1711</v>
      </c>
      <c r="V742" s="464"/>
      <c r="W742" s="464"/>
      <c r="X742" s="464"/>
      <c r="Y742" s="464"/>
      <c r="Z742" s="464"/>
      <c r="AA742" s="464"/>
      <c r="AB742" s="464"/>
      <c r="AC742" s="464"/>
      <c r="AD742" s="464"/>
      <c r="AE742" s="464"/>
      <c r="AF742" s="464"/>
      <c r="AG742" s="464"/>
      <c r="AH742" s="465"/>
      <c r="AI742" s="464"/>
    </row>
    <row r="743" customFormat="false" ht="15" hidden="false" customHeight="true" outlineLevel="0" collapsed="false">
      <c r="A743" s="455" t="s">
        <v>1868</v>
      </c>
      <c r="C743" s="456" t="n">
        <v>45562</v>
      </c>
      <c r="D743" s="456"/>
      <c r="E743" s="323" t="n">
        <v>13907</v>
      </c>
      <c r="F743" s="323" t="s">
        <v>175</v>
      </c>
      <c r="G743" s="323" t="s">
        <v>5</v>
      </c>
      <c r="H743" s="98" t="n">
        <v>75</v>
      </c>
      <c r="I743" s="457" t="n">
        <v>25.71</v>
      </c>
      <c r="J743" s="313" t="s">
        <v>1651</v>
      </c>
      <c r="K743" s="98" t="n">
        <f aca="false">I743*H743</f>
        <v>1928.25</v>
      </c>
      <c r="L743" s="411" t="n">
        <v>1340.25</v>
      </c>
      <c r="M743" s="392" t="n">
        <f aca="false">L743/K743</f>
        <v>0.695060287825749</v>
      </c>
      <c r="N743" s="466" t="n">
        <f aca="false">I743*M743</f>
        <v>17.87</v>
      </c>
      <c r="O743" s="461" t="n">
        <v>75</v>
      </c>
      <c r="P743" s="462" t="n">
        <f aca="false">H743-O743</f>
        <v>0</v>
      </c>
      <c r="Q743" s="463" t="n">
        <f aca="false">O743*I743</f>
        <v>1928.25</v>
      </c>
      <c r="R743" s="48" t="n">
        <f aca="false">K743-Q743</f>
        <v>0</v>
      </c>
      <c r="S743" s="467"/>
      <c r="T743" s="2" t="s">
        <v>1711</v>
      </c>
      <c r="V743" s="464"/>
      <c r="W743" s="464"/>
      <c r="X743" s="464"/>
      <c r="Y743" s="464"/>
      <c r="Z743" s="464"/>
      <c r="AA743" s="464"/>
      <c r="AB743" s="464"/>
      <c r="AC743" s="464"/>
      <c r="AD743" s="464"/>
      <c r="AE743" s="464"/>
      <c r="AF743" s="464"/>
      <c r="AG743" s="464"/>
      <c r="AH743" s="465"/>
      <c r="AI743" s="464"/>
    </row>
    <row r="744" customFormat="false" ht="15" hidden="false" customHeight="true" outlineLevel="0" collapsed="false">
      <c r="A744" s="455" t="s">
        <v>1869</v>
      </c>
      <c r="C744" s="456" t="n">
        <v>45562</v>
      </c>
      <c r="D744" s="456"/>
      <c r="E744" s="323" t="n">
        <v>13908</v>
      </c>
      <c r="F744" s="323" t="s">
        <v>175</v>
      </c>
      <c r="G744" s="323" t="s">
        <v>18</v>
      </c>
      <c r="H744" s="98" t="n">
        <v>360</v>
      </c>
      <c r="I744" s="457" t="n">
        <v>25.71</v>
      </c>
      <c r="J744" s="313" t="s">
        <v>1651</v>
      </c>
      <c r="K744" s="98" t="n">
        <f aca="false">I744*H744</f>
        <v>9255.6</v>
      </c>
      <c r="L744" s="411" t="n">
        <v>8280</v>
      </c>
      <c r="M744" s="392" t="n">
        <f aca="false">L744/K744</f>
        <v>0.894593543368339</v>
      </c>
      <c r="N744" s="466" t="n">
        <f aca="false">I744*M744</f>
        <v>23</v>
      </c>
      <c r="O744" s="461" t="n">
        <v>360</v>
      </c>
      <c r="P744" s="462" t="n">
        <f aca="false">H744-O744</f>
        <v>0</v>
      </c>
      <c r="Q744" s="463" t="n">
        <f aca="false">O744*I744</f>
        <v>9255.6</v>
      </c>
      <c r="R744" s="48" t="n">
        <f aca="false">K744-Q744</f>
        <v>0</v>
      </c>
      <c r="S744" s="467"/>
      <c r="T744" s="2" t="s">
        <v>1711</v>
      </c>
      <c r="V744" s="464"/>
      <c r="W744" s="464"/>
      <c r="X744" s="464"/>
      <c r="Y744" s="464"/>
      <c r="Z744" s="464"/>
      <c r="AA744" s="464"/>
      <c r="AB744" s="464"/>
      <c r="AC744" s="464"/>
      <c r="AD744" s="464"/>
      <c r="AE744" s="464"/>
      <c r="AF744" s="464"/>
      <c r="AG744" s="464"/>
      <c r="AH744" s="465"/>
      <c r="AI744" s="464"/>
    </row>
    <row r="745" customFormat="false" ht="15" hidden="false" customHeight="true" outlineLevel="0" collapsed="false">
      <c r="A745" s="455" t="s">
        <v>1870</v>
      </c>
      <c r="C745" s="456" t="n">
        <v>45562</v>
      </c>
      <c r="D745" s="456"/>
      <c r="E745" s="323" t="n">
        <v>13909</v>
      </c>
      <c r="F745" s="323" t="s">
        <v>175</v>
      </c>
      <c r="G745" s="323" t="s">
        <v>17</v>
      </c>
      <c r="H745" s="98" t="n">
        <v>1920</v>
      </c>
      <c r="I745" s="457" t="n">
        <v>22.5</v>
      </c>
      <c r="J745" s="313" t="s">
        <v>1651</v>
      </c>
      <c r="K745" s="98" t="n">
        <f aca="false">I745*H745</f>
        <v>43200</v>
      </c>
      <c r="L745" s="411" t="n">
        <v>31680</v>
      </c>
      <c r="M745" s="392" t="n">
        <f aca="false">L745/K745</f>
        <v>0.733333333333333</v>
      </c>
      <c r="N745" s="466" t="n">
        <f aca="false">I745*M745</f>
        <v>16.5</v>
      </c>
      <c r="O745" s="461" t="n">
        <v>1920</v>
      </c>
      <c r="P745" s="462" t="n">
        <f aca="false">H745-O745</f>
        <v>0</v>
      </c>
      <c r="Q745" s="463" t="n">
        <f aca="false">O745*I745</f>
        <v>43200</v>
      </c>
      <c r="R745" s="48" t="n">
        <f aca="false">K745-Q745</f>
        <v>0</v>
      </c>
      <c r="S745" s="467"/>
      <c r="T745" s="2" t="s">
        <v>1711</v>
      </c>
      <c r="V745" s="464"/>
      <c r="W745" s="464"/>
      <c r="X745" s="464"/>
      <c r="Y745" s="464"/>
      <c r="Z745" s="464"/>
      <c r="AA745" s="464"/>
      <c r="AB745" s="464"/>
      <c r="AC745" s="464"/>
      <c r="AD745" s="464"/>
      <c r="AE745" s="464"/>
      <c r="AF745" s="464"/>
      <c r="AG745" s="464"/>
      <c r="AH745" s="465"/>
      <c r="AI745" s="464"/>
    </row>
    <row r="746" customFormat="false" ht="15" hidden="false" customHeight="true" outlineLevel="0" collapsed="false">
      <c r="A746" s="455" t="s">
        <v>1871</v>
      </c>
      <c r="C746" s="456" t="n">
        <v>45562</v>
      </c>
      <c r="D746" s="456"/>
      <c r="E746" s="323" t="n">
        <v>13910</v>
      </c>
      <c r="F746" s="323" t="s">
        <v>175</v>
      </c>
      <c r="G746" s="323" t="s">
        <v>7</v>
      </c>
      <c r="H746" s="98" t="n">
        <v>300</v>
      </c>
      <c r="I746" s="457" t="n">
        <v>36</v>
      </c>
      <c r="J746" s="313" t="s">
        <v>1652</v>
      </c>
      <c r="K746" s="98" t="n">
        <f aca="false">I746*H746</f>
        <v>10800</v>
      </c>
      <c r="L746" s="411" t="n">
        <v>8283.2</v>
      </c>
      <c r="M746" s="392" t="n">
        <f aca="false">L746/K746</f>
        <v>0.766962962962963</v>
      </c>
      <c r="N746" s="466" t="n">
        <f aca="false">I746*M746</f>
        <v>27.6106666666667</v>
      </c>
      <c r="O746" s="461" t="n">
        <v>300</v>
      </c>
      <c r="P746" s="462" t="n">
        <f aca="false">H746-O746</f>
        <v>0</v>
      </c>
      <c r="Q746" s="463" t="n">
        <f aca="false">O746*I746</f>
        <v>10800</v>
      </c>
      <c r="R746" s="48" t="n">
        <f aca="false">K746-Q746</f>
        <v>0</v>
      </c>
      <c r="S746" s="467"/>
      <c r="T746" s="2" t="s">
        <v>1711</v>
      </c>
      <c r="V746" s="464"/>
      <c r="W746" s="464"/>
      <c r="X746" s="464"/>
      <c r="Y746" s="464"/>
      <c r="Z746" s="464"/>
      <c r="AA746" s="464"/>
      <c r="AB746" s="464"/>
      <c r="AC746" s="464"/>
      <c r="AD746" s="464"/>
      <c r="AE746" s="464"/>
      <c r="AF746" s="464"/>
      <c r="AG746" s="464"/>
      <c r="AH746" s="465"/>
      <c r="AI746" s="464"/>
    </row>
    <row r="747" customFormat="false" ht="15" hidden="false" customHeight="true" outlineLevel="0" collapsed="false">
      <c r="A747" s="455" t="s">
        <v>1871</v>
      </c>
      <c r="C747" s="456" t="n">
        <v>45562</v>
      </c>
      <c r="D747" s="456"/>
      <c r="E747" s="323" t="n">
        <v>13910</v>
      </c>
      <c r="F747" s="323" t="s">
        <v>175</v>
      </c>
      <c r="G747" s="323" t="s">
        <v>5</v>
      </c>
      <c r="H747" s="98" t="n">
        <v>4155</v>
      </c>
      <c r="I747" s="457" t="n">
        <v>37.5</v>
      </c>
      <c r="J747" s="313" t="s">
        <v>1652</v>
      </c>
      <c r="K747" s="98" t="n">
        <f aca="false">I747*H747</f>
        <v>155812.5</v>
      </c>
      <c r="L747" s="411" t="n">
        <v>92905.8</v>
      </c>
      <c r="M747" s="392" t="n">
        <f aca="false">L747/K747</f>
        <v>0.596266666666667</v>
      </c>
      <c r="N747" s="466" t="n">
        <f aca="false">I747*M747</f>
        <v>22.36</v>
      </c>
      <c r="O747" s="461" t="n">
        <v>4155</v>
      </c>
      <c r="P747" s="462" t="n">
        <f aca="false">H747-O747</f>
        <v>0</v>
      </c>
      <c r="Q747" s="463" t="n">
        <f aca="false">O747*I747</f>
        <v>155812.5</v>
      </c>
      <c r="R747" s="48" t="n">
        <f aca="false">K747-Q747</f>
        <v>0</v>
      </c>
      <c r="S747" s="467"/>
      <c r="T747" s="2" t="s">
        <v>1711</v>
      </c>
      <c r="V747" s="464"/>
      <c r="W747" s="464"/>
      <c r="X747" s="464"/>
      <c r="Y747" s="464"/>
      <c r="Z747" s="464"/>
      <c r="AA747" s="464"/>
      <c r="AB747" s="464"/>
      <c r="AC747" s="464"/>
      <c r="AD747" s="464"/>
      <c r="AE747" s="464"/>
      <c r="AF747" s="464"/>
      <c r="AG747" s="464"/>
      <c r="AH747" s="465"/>
      <c r="AI747" s="464"/>
    </row>
    <row r="748" customFormat="false" ht="15" hidden="false" customHeight="true" outlineLevel="0" collapsed="false">
      <c r="A748" s="455" t="s">
        <v>1871</v>
      </c>
      <c r="C748" s="456" t="n">
        <v>45562</v>
      </c>
      <c r="D748" s="456"/>
      <c r="E748" s="323" t="n">
        <v>13910</v>
      </c>
      <c r="F748" s="323" t="s">
        <v>175</v>
      </c>
      <c r="G748" s="323" t="s">
        <v>6</v>
      </c>
      <c r="H748" s="98" t="n">
        <v>150</v>
      </c>
      <c r="I748" s="457" t="n">
        <v>45</v>
      </c>
      <c r="J748" s="313" t="s">
        <v>1652</v>
      </c>
      <c r="K748" s="98" t="n">
        <f aca="false">I748*H748</f>
        <v>6750</v>
      </c>
      <c r="L748" s="411" t="n">
        <v>3614</v>
      </c>
      <c r="M748" s="392" t="n">
        <f aca="false">L748/K748</f>
        <v>0.535407407407407</v>
      </c>
      <c r="N748" s="466" t="n">
        <f aca="false">I748*M748</f>
        <v>24.0933333333333</v>
      </c>
      <c r="O748" s="461" t="n">
        <v>150</v>
      </c>
      <c r="P748" s="462" t="n">
        <f aca="false">H748-O748</f>
        <v>0</v>
      </c>
      <c r="Q748" s="463" t="n">
        <f aca="false">O748*I748</f>
        <v>6750</v>
      </c>
      <c r="R748" s="48" t="n">
        <f aca="false">K748-Q748</f>
        <v>0</v>
      </c>
      <c r="S748" s="467"/>
      <c r="T748" s="2" t="s">
        <v>1711</v>
      </c>
      <c r="V748" s="464"/>
      <c r="W748" s="464"/>
      <c r="X748" s="464"/>
      <c r="Y748" s="464"/>
      <c r="Z748" s="464"/>
      <c r="AA748" s="464"/>
      <c r="AB748" s="464"/>
      <c r="AC748" s="464"/>
      <c r="AD748" s="464"/>
      <c r="AE748" s="464"/>
      <c r="AF748" s="464"/>
      <c r="AG748" s="464"/>
      <c r="AH748" s="465"/>
      <c r="AI748" s="464"/>
    </row>
    <row r="749" customFormat="false" ht="15" hidden="false" customHeight="true" outlineLevel="0" collapsed="false">
      <c r="A749" s="455" t="s">
        <v>1871</v>
      </c>
      <c r="C749" s="456" t="n">
        <v>45562</v>
      </c>
      <c r="D749" s="456"/>
      <c r="E749" s="323" t="n">
        <v>13910</v>
      </c>
      <c r="F749" s="323" t="s">
        <v>175</v>
      </c>
      <c r="G749" s="323" t="s">
        <v>20</v>
      </c>
      <c r="H749" s="98" t="n">
        <v>2550</v>
      </c>
      <c r="I749" s="457" t="n">
        <v>38.29</v>
      </c>
      <c r="J749" s="313" t="s">
        <v>1652</v>
      </c>
      <c r="K749" s="98" t="n">
        <f aca="false">I749*H749</f>
        <v>97639.5</v>
      </c>
      <c r="L749" s="411" t="n">
        <v>34884</v>
      </c>
      <c r="M749" s="392" t="n">
        <f aca="false">L749/K749</f>
        <v>0.35727343954035</v>
      </c>
      <c r="N749" s="466" t="n">
        <f aca="false">I749*M749</f>
        <v>13.68</v>
      </c>
      <c r="O749" s="461" t="n">
        <v>2550</v>
      </c>
      <c r="P749" s="462" t="n">
        <f aca="false">H749-O749</f>
        <v>0</v>
      </c>
      <c r="Q749" s="463" t="n">
        <f aca="false">O749*I749</f>
        <v>97639.5</v>
      </c>
      <c r="R749" s="48" t="n">
        <f aca="false">K749-Q749</f>
        <v>0</v>
      </c>
      <c r="S749" s="467"/>
      <c r="T749" s="2" t="s">
        <v>1711</v>
      </c>
      <c r="V749" s="464"/>
      <c r="W749" s="464"/>
      <c r="X749" s="464"/>
      <c r="Y749" s="464"/>
      <c r="Z749" s="464"/>
      <c r="AA749" s="464"/>
      <c r="AB749" s="464"/>
      <c r="AC749" s="464"/>
      <c r="AD749" s="464"/>
      <c r="AE749" s="464"/>
      <c r="AF749" s="464"/>
      <c r="AG749" s="464"/>
      <c r="AH749" s="465"/>
      <c r="AI749" s="464"/>
    </row>
    <row r="750" customFormat="false" ht="15" hidden="false" customHeight="true" outlineLevel="0" collapsed="false">
      <c r="A750" s="455" t="s">
        <v>1871</v>
      </c>
      <c r="C750" s="456" t="n">
        <v>45562</v>
      </c>
      <c r="D750" s="456"/>
      <c r="E750" s="323" t="n">
        <v>13910</v>
      </c>
      <c r="F750" s="323" t="s">
        <v>175</v>
      </c>
      <c r="G750" s="323" t="s">
        <v>13</v>
      </c>
      <c r="H750" s="98" t="n">
        <v>150</v>
      </c>
      <c r="I750" s="457" t="n">
        <v>37.5</v>
      </c>
      <c r="J750" s="313" t="s">
        <v>1652</v>
      </c>
      <c r="K750" s="98" t="n">
        <f aca="false">I750*H750</f>
        <v>5625</v>
      </c>
      <c r="L750" s="411" t="n">
        <v>3179.2</v>
      </c>
      <c r="M750" s="392" t="n">
        <f aca="false">L750/K750</f>
        <v>0.565191111111111</v>
      </c>
      <c r="N750" s="466" t="n">
        <f aca="false">I750*M750</f>
        <v>21.1946666666667</v>
      </c>
      <c r="O750" s="461" t="n">
        <v>150</v>
      </c>
      <c r="P750" s="462" t="n">
        <f aca="false">H750-O750</f>
        <v>0</v>
      </c>
      <c r="Q750" s="463" t="n">
        <f aca="false">O750*I750</f>
        <v>5625</v>
      </c>
      <c r="R750" s="48" t="n">
        <f aca="false">K750-Q750</f>
        <v>0</v>
      </c>
      <c r="S750" s="467"/>
      <c r="T750" s="2" t="s">
        <v>1711</v>
      </c>
      <c r="V750" s="464"/>
      <c r="W750" s="464"/>
      <c r="X750" s="464"/>
      <c r="Y750" s="464"/>
      <c r="Z750" s="464"/>
      <c r="AA750" s="464"/>
      <c r="AB750" s="464"/>
      <c r="AC750" s="464"/>
      <c r="AD750" s="464"/>
      <c r="AE750" s="464"/>
      <c r="AF750" s="464"/>
      <c r="AG750" s="464"/>
      <c r="AH750" s="465"/>
      <c r="AI750" s="464"/>
    </row>
    <row r="751" customFormat="false" ht="15" hidden="false" customHeight="true" outlineLevel="0" collapsed="false">
      <c r="A751" s="455" t="s">
        <v>1871</v>
      </c>
      <c r="C751" s="456" t="n">
        <v>45562</v>
      </c>
      <c r="D751" s="456"/>
      <c r="E751" s="323" t="n">
        <v>13910</v>
      </c>
      <c r="F751" s="323" t="s">
        <v>175</v>
      </c>
      <c r="G751" s="323" t="s">
        <v>10</v>
      </c>
      <c r="H751" s="98" t="n">
        <v>2550</v>
      </c>
      <c r="I751" s="457" t="n">
        <v>38.3</v>
      </c>
      <c r="J751" s="313" t="s">
        <v>1652</v>
      </c>
      <c r="K751" s="98" t="n">
        <f aca="false">I751*H751</f>
        <v>97665</v>
      </c>
      <c r="L751" s="411" t="n">
        <v>31688</v>
      </c>
      <c r="M751" s="392" t="n">
        <f aca="false">L751/K751</f>
        <v>0.324456048738033</v>
      </c>
      <c r="N751" s="466" t="n">
        <f aca="false">I751*M751</f>
        <v>12.4266666666667</v>
      </c>
      <c r="O751" s="461" t="n">
        <v>2550</v>
      </c>
      <c r="P751" s="462" t="n">
        <f aca="false">H751-O751</f>
        <v>0</v>
      </c>
      <c r="Q751" s="463" t="n">
        <f aca="false">O751*I751</f>
        <v>97665</v>
      </c>
      <c r="R751" s="48" t="n">
        <f aca="false">K751-Q751</f>
        <v>0</v>
      </c>
      <c r="S751" s="467"/>
      <c r="T751" s="2" t="s">
        <v>1711</v>
      </c>
      <c r="V751" s="464"/>
      <c r="W751" s="464"/>
      <c r="X751" s="464"/>
      <c r="Y751" s="464"/>
      <c r="Z751" s="464"/>
      <c r="AA751" s="464"/>
      <c r="AB751" s="464"/>
      <c r="AC751" s="464"/>
      <c r="AD751" s="464"/>
      <c r="AE751" s="464"/>
      <c r="AF751" s="464"/>
      <c r="AG751" s="464"/>
      <c r="AH751" s="465"/>
      <c r="AI751" s="464"/>
    </row>
    <row r="752" customFormat="false" ht="15" hidden="false" customHeight="true" outlineLevel="0" collapsed="false">
      <c r="A752" s="455" t="s">
        <v>1871</v>
      </c>
      <c r="C752" s="456" t="n">
        <v>45562</v>
      </c>
      <c r="D752" s="456"/>
      <c r="E752" s="323" t="n">
        <v>13910</v>
      </c>
      <c r="F752" s="323" t="s">
        <v>175</v>
      </c>
      <c r="G752" s="323" t="s">
        <v>17</v>
      </c>
      <c r="H752" s="98" t="n">
        <v>150</v>
      </c>
      <c r="I752" s="457" t="n">
        <v>37.5</v>
      </c>
      <c r="J752" s="313" t="s">
        <v>1652</v>
      </c>
      <c r="K752" s="98" t="n">
        <f aca="false">I752*H752</f>
        <v>5625</v>
      </c>
      <c r="L752" s="411" t="n">
        <v>3179.2</v>
      </c>
      <c r="M752" s="392" t="n">
        <f aca="false">L752/K752</f>
        <v>0.565191111111111</v>
      </c>
      <c r="N752" s="466" t="n">
        <f aca="false">I752*M752</f>
        <v>21.1946666666667</v>
      </c>
      <c r="O752" s="461" t="n">
        <v>150</v>
      </c>
      <c r="P752" s="462" t="n">
        <f aca="false">H752-O752</f>
        <v>0</v>
      </c>
      <c r="Q752" s="463" t="n">
        <f aca="false">O752*I752</f>
        <v>5625</v>
      </c>
      <c r="R752" s="48" t="n">
        <f aca="false">K752-Q752</f>
        <v>0</v>
      </c>
      <c r="S752" s="467"/>
      <c r="T752" s="2" t="s">
        <v>1711</v>
      </c>
      <c r="V752" s="464"/>
      <c r="W752" s="464"/>
      <c r="X752" s="464"/>
      <c r="Y752" s="464"/>
      <c r="Z752" s="464"/>
      <c r="AA752" s="464"/>
      <c r="AB752" s="464"/>
      <c r="AC752" s="464"/>
      <c r="AD752" s="464"/>
      <c r="AE752" s="464"/>
      <c r="AF752" s="464"/>
      <c r="AG752" s="464"/>
      <c r="AH752" s="465"/>
      <c r="AI752" s="464"/>
    </row>
    <row r="753" customFormat="false" ht="15" hidden="false" customHeight="true" outlineLevel="0" collapsed="false">
      <c r="A753" s="455" t="s">
        <v>1871</v>
      </c>
      <c r="C753" s="456" t="n">
        <v>45562</v>
      </c>
      <c r="D753" s="456"/>
      <c r="E753" s="57" t="n">
        <v>13910</v>
      </c>
      <c r="F753" s="57" t="s">
        <v>175</v>
      </c>
      <c r="G753" s="323" t="s">
        <v>21</v>
      </c>
      <c r="H753" s="98" t="n">
        <v>10000</v>
      </c>
      <c r="I753" s="457" t="n">
        <v>1</v>
      </c>
      <c r="J753" s="313" t="s">
        <v>1653</v>
      </c>
      <c r="K753" s="98" t="n">
        <f aca="false">I753*H753</f>
        <v>10000</v>
      </c>
      <c r="L753" s="411" t="n">
        <v>47500</v>
      </c>
      <c r="M753" s="392" t="n">
        <f aca="false">L753/K753</f>
        <v>4.75</v>
      </c>
      <c r="N753" s="466" t="n">
        <f aca="false">I753*M753</f>
        <v>4.75</v>
      </c>
      <c r="O753" s="461" t="n">
        <v>10000</v>
      </c>
      <c r="P753" s="462" t="n">
        <f aca="false">H753-O753</f>
        <v>0</v>
      </c>
      <c r="Q753" s="463" t="n">
        <f aca="false">O753*I753</f>
        <v>10000</v>
      </c>
      <c r="R753" s="48" t="n">
        <f aca="false">K753-Q753</f>
        <v>0</v>
      </c>
      <c r="S753" s="467"/>
      <c r="T753" s="2" t="s">
        <v>1711</v>
      </c>
      <c r="V753" s="464"/>
      <c r="W753" s="464"/>
      <c r="X753" s="464"/>
      <c r="Y753" s="464"/>
      <c r="Z753" s="464"/>
      <c r="AA753" s="464"/>
      <c r="AB753" s="464"/>
      <c r="AC753" s="464"/>
      <c r="AD753" s="464"/>
      <c r="AE753" s="464"/>
      <c r="AF753" s="464"/>
      <c r="AG753" s="464"/>
      <c r="AH753" s="465"/>
      <c r="AI753" s="464"/>
    </row>
    <row r="754" customFormat="false" ht="15" hidden="false" customHeight="true" outlineLevel="0" collapsed="false">
      <c r="A754" s="455" t="s">
        <v>1872</v>
      </c>
      <c r="C754" s="456" t="n">
        <v>45562</v>
      </c>
      <c r="D754" s="456"/>
      <c r="E754" s="323" t="n">
        <v>13912</v>
      </c>
      <c r="F754" s="57" t="s">
        <v>175</v>
      </c>
      <c r="G754" s="323" t="s">
        <v>42</v>
      </c>
      <c r="H754" s="98" t="n">
        <v>2010</v>
      </c>
      <c r="I754" s="457" t="n">
        <v>30</v>
      </c>
      <c r="J754" s="313" t="s">
        <v>1651</v>
      </c>
      <c r="K754" s="98" t="n">
        <f aca="false">I754*H754</f>
        <v>60300</v>
      </c>
      <c r="L754" s="411" t="n">
        <v>33500</v>
      </c>
      <c r="M754" s="392" t="n">
        <f aca="false">L754/K754</f>
        <v>0.555555555555556</v>
      </c>
      <c r="N754" s="466" t="n">
        <f aca="false">I754*M754</f>
        <v>16.6666666666667</v>
      </c>
      <c r="O754" s="461" t="n">
        <v>2010</v>
      </c>
      <c r="P754" s="462" t="n">
        <f aca="false">H754-O754</f>
        <v>0</v>
      </c>
      <c r="Q754" s="463" t="n">
        <f aca="false">O754*I754</f>
        <v>60300</v>
      </c>
      <c r="R754" s="48" t="n">
        <f aca="false">K754-Q754</f>
        <v>0</v>
      </c>
      <c r="S754" s="467"/>
      <c r="T754" s="2" t="s">
        <v>1711</v>
      </c>
      <c r="V754" s="464"/>
      <c r="W754" s="464"/>
      <c r="X754" s="464"/>
      <c r="Y754" s="464"/>
      <c r="Z754" s="464"/>
      <c r="AA754" s="464"/>
      <c r="AB754" s="464"/>
      <c r="AC754" s="464"/>
      <c r="AD754" s="464"/>
      <c r="AE754" s="464"/>
      <c r="AF754" s="464"/>
      <c r="AG754" s="464"/>
      <c r="AH754" s="465"/>
      <c r="AI754" s="464"/>
    </row>
    <row r="755" customFormat="false" ht="15" hidden="false" customHeight="true" outlineLevel="0" collapsed="false">
      <c r="A755" s="455" t="s">
        <v>1872</v>
      </c>
      <c r="C755" s="456" t="n">
        <v>45562</v>
      </c>
      <c r="D755" s="456"/>
      <c r="E755" s="323" t="n">
        <v>13912</v>
      </c>
      <c r="F755" s="57" t="s">
        <v>175</v>
      </c>
      <c r="G755" s="323" t="s">
        <v>6</v>
      </c>
      <c r="H755" s="98" t="n">
        <v>555</v>
      </c>
      <c r="I755" s="457" t="n">
        <v>30</v>
      </c>
      <c r="J755" s="313" t="s">
        <v>1651</v>
      </c>
      <c r="K755" s="98" t="n">
        <f aca="false">I755*H755</f>
        <v>16650</v>
      </c>
      <c r="L755" s="411" t="n">
        <v>7770</v>
      </c>
      <c r="M755" s="392" t="n">
        <f aca="false">L755/K755</f>
        <v>0.466666666666667</v>
      </c>
      <c r="N755" s="466" t="n">
        <f aca="false">I755*M755</f>
        <v>14</v>
      </c>
      <c r="O755" s="461" t="n">
        <v>555</v>
      </c>
      <c r="P755" s="462" t="n">
        <f aca="false">H755-O755</f>
        <v>0</v>
      </c>
      <c r="Q755" s="463" t="n">
        <f aca="false">O755*I755</f>
        <v>16650</v>
      </c>
      <c r="R755" s="48" t="n">
        <f aca="false">K755-Q755</f>
        <v>0</v>
      </c>
      <c r="S755" s="467"/>
      <c r="T755" s="2" t="s">
        <v>1711</v>
      </c>
      <c r="V755" s="464"/>
      <c r="W755" s="464"/>
      <c r="X755" s="464"/>
      <c r="Y755" s="464"/>
      <c r="Z755" s="464"/>
      <c r="AA755" s="464"/>
      <c r="AB755" s="464"/>
      <c r="AC755" s="464"/>
      <c r="AD755" s="464"/>
      <c r="AE755" s="464"/>
      <c r="AF755" s="464"/>
      <c r="AG755" s="464"/>
      <c r="AH755" s="465"/>
      <c r="AI755" s="464"/>
    </row>
    <row r="756" customFormat="false" ht="15" hidden="false" customHeight="true" outlineLevel="0" collapsed="false">
      <c r="A756" s="455" t="s">
        <v>1872</v>
      </c>
      <c r="C756" s="456" t="n">
        <v>45562</v>
      </c>
      <c r="D756" s="456"/>
      <c r="E756" s="323" t="n">
        <v>13912</v>
      </c>
      <c r="F756" s="57" t="s">
        <v>175</v>
      </c>
      <c r="G756" s="323" t="s">
        <v>11</v>
      </c>
      <c r="H756" s="98" t="n">
        <v>555</v>
      </c>
      <c r="I756" s="457" t="n">
        <v>14</v>
      </c>
      <c r="J756" s="313" t="s">
        <v>1651</v>
      </c>
      <c r="K756" s="98" t="n">
        <f aca="false">I756*H756</f>
        <v>7770</v>
      </c>
      <c r="L756" s="411" t="n">
        <v>33670</v>
      </c>
      <c r="M756" s="392" t="n">
        <f aca="false">L756/K756</f>
        <v>4.33333333333333</v>
      </c>
      <c r="N756" s="466" t="n">
        <f aca="false">I756*M756</f>
        <v>60.6666666666667</v>
      </c>
      <c r="O756" s="461" t="n">
        <v>555</v>
      </c>
      <c r="P756" s="462" t="n">
        <f aca="false">H756-O756</f>
        <v>0</v>
      </c>
      <c r="Q756" s="463" t="n">
        <f aca="false">O756*I756</f>
        <v>7770</v>
      </c>
      <c r="R756" s="48" t="n">
        <f aca="false">K756-Q756</f>
        <v>0</v>
      </c>
      <c r="S756" s="467"/>
      <c r="T756" s="2" t="s">
        <v>1711</v>
      </c>
      <c r="V756" s="464"/>
      <c r="W756" s="464"/>
      <c r="X756" s="464"/>
      <c r="Y756" s="464"/>
      <c r="Z756" s="464"/>
      <c r="AA756" s="464"/>
      <c r="AB756" s="464"/>
      <c r="AC756" s="464"/>
      <c r="AD756" s="464"/>
      <c r="AE756" s="464"/>
      <c r="AF756" s="464"/>
      <c r="AG756" s="464"/>
      <c r="AH756" s="465"/>
      <c r="AI756" s="464"/>
    </row>
    <row r="757" customFormat="false" ht="15" hidden="false" customHeight="true" outlineLevel="0" collapsed="false">
      <c r="A757" s="455" t="s">
        <v>1872</v>
      </c>
      <c r="C757" s="456" t="n">
        <v>45562</v>
      </c>
      <c r="D757" s="456"/>
      <c r="E757" s="323" t="n">
        <v>13912</v>
      </c>
      <c r="F757" s="57" t="s">
        <v>175</v>
      </c>
      <c r="G757" s="323" t="s">
        <v>10</v>
      </c>
      <c r="H757" s="98" t="n">
        <v>1110</v>
      </c>
      <c r="I757" s="457" t="n">
        <v>25.71</v>
      </c>
      <c r="J757" s="313" t="s">
        <v>1651</v>
      </c>
      <c r="K757" s="98" t="n">
        <f aca="false">I757*H757</f>
        <v>28538.1</v>
      </c>
      <c r="L757" s="411" t="n">
        <v>13320</v>
      </c>
      <c r="M757" s="392" t="n">
        <f aca="false">L757/K757</f>
        <v>0.466744457409568</v>
      </c>
      <c r="N757" s="466" t="n">
        <f aca="false">I757*M757</f>
        <v>12</v>
      </c>
      <c r="O757" s="461" t="n">
        <v>1110</v>
      </c>
      <c r="P757" s="462" t="n">
        <f aca="false">H757-O757</f>
        <v>0</v>
      </c>
      <c r="Q757" s="463" t="n">
        <f aca="false">O757*I757</f>
        <v>28538.1</v>
      </c>
      <c r="R757" s="48" t="n">
        <f aca="false">K757-Q757</f>
        <v>0</v>
      </c>
      <c r="S757" s="467"/>
      <c r="T757" s="2" t="s">
        <v>1711</v>
      </c>
      <c r="V757" s="464"/>
      <c r="W757" s="464"/>
      <c r="X757" s="464"/>
      <c r="Y757" s="464"/>
      <c r="Z757" s="464"/>
      <c r="AA757" s="464"/>
      <c r="AB757" s="464"/>
      <c r="AC757" s="464"/>
      <c r="AD757" s="464"/>
      <c r="AE757" s="464"/>
      <c r="AF757" s="464"/>
      <c r="AG757" s="464"/>
      <c r="AH757" s="465"/>
      <c r="AI757" s="464"/>
    </row>
    <row r="758" customFormat="false" ht="15" hidden="false" customHeight="true" outlineLevel="0" collapsed="false">
      <c r="A758" s="455" t="s">
        <v>1753</v>
      </c>
      <c r="C758" s="456" t="n">
        <v>45562</v>
      </c>
      <c r="D758" s="456"/>
      <c r="E758" s="323" t="n">
        <v>13913</v>
      </c>
      <c r="F758" s="57" t="s">
        <v>175</v>
      </c>
      <c r="G758" s="323" t="s">
        <v>7</v>
      </c>
      <c r="H758" s="98" t="n">
        <v>2505</v>
      </c>
      <c r="I758" s="457" t="n">
        <v>25.71</v>
      </c>
      <c r="J758" s="313" t="s">
        <v>1651</v>
      </c>
      <c r="K758" s="98" t="n">
        <f aca="false">I758*H758</f>
        <v>64403.55</v>
      </c>
      <c r="L758" s="411" t="n">
        <v>29559</v>
      </c>
      <c r="M758" s="392" t="n">
        <f aca="false">L758/K758</f>
        <v>0.458965383119409</v>
      </c>
      <c r="N758" s="466" t="n">
        <f aca="false">I758*M758</f>
        <v>11.8</v>
      </c>
      <c r="O758" s="461" t="n">
        <v>2505</v>
      </c>
      <c r="P758" s="462" t="n">
        <f aca="false">H758-O758</f>
        <v>0</v>
      </c>
      <c r="Q758" s="463" t="n">
        <f aca="false">O758*I758</f>
        <v>64403.55</v>
      </c>
      <c r="R758" s="48" t="n">
        <f aca="false">K758-Q758</f>
        <v>0</v>
      </c>
      <c r="S758" s="467"/>
      <c r="T758" s="2" t="s">
        <v>1711</v>
      </c>
      <c r="V758" s="464"/>
      <c r="W758" s="464"/>
      <c r="X758" s="464"/>
      <c r="Y758" s="464"/>
      <c r="Z758" s="464"/>
      <c r="AA758" s="464"/>
      <c r="AB758" s="464"/>
      <c r="AC758" s="464"/>
      <c r="AD758" s="464"/>
      <c r="AE758" s="464"/>
      <c r="AF758" s="464"/>
      <c r="AG758" s="464"/>
      <c r="AH758" s="465"/>
      <c r="AI758" s="464"/>
    </row>
    <row r="759" customFormat="false" ht="15" hidden="false" customHeight="true" outlineLevel="0" collapsed="false">
      <c r="A759" s="455" t="s">
        <v>1753</v>
      </c>
      <c r="C759" s="456" t="n">
        <v>45562</v>
      </c>
      <c r="D759" s="456"/>
      <c r="E759" s="57" t="n">
        <v>13913</v>
      </c>
      <c r="F759" s="57" t="s">
        <v>175</v>
      </c>
      <c r="G759" s="323" t="s">
        <v>7</v>
      </c>
      <c r="H759" s="98" t="n">
        <v>225</v>
      </c>
      <c r="I759" s="457" t="n">
        <v>36</v>
      </c>
      <c r="J759" s="313" t="s">
        <v>1652</v>
      </c>
      <c r="K759" s="98" t="n">
        <f aca="false">I759*H759</f>
        <v>8100</v>
      </c>
      <c r="L759" s="411" t="n">
        <v>3900</v>
      </c>
      <c r="M759" s="392" t="n">
        <f aca="false">L759/K759</f>
        <v>0.481481481481481</v>
      </c>
      <c r="N759" s="466" t="n">
        <f aca="false">I759*M759</f>
        <v>17.3333333333333</v>
      </c>
      <c r="O759" s="461" t="n">
        <v>225</v>
      </c>
      <c r="P759" s="462" t="n">
        <f aca="false">H759-O759</f>
        <v>0</v>
      </c>
      <c r="Q759" s="463" t="n">
        <f aca="false">O759*I759</f>
        <v>8100</v>
      </c>
      <c r="R759" s="48" t="n">
        <f aca="false">K759-Q759</f>
        <v>0</v>
      </c>
      <c r="S759" s="467"/>
      <c r="T759" s="2" t="s">
        <v>1711</v>
      </c>
      <c r="V759" s="464"/>
      <c r="W759" s="464"/>
      <c r="X759" s="464"/>
      <c r="Y759" s="464"/>
      <c r="Z759" s="464"/>
      <c r="AA759" s="464"/>
      <c r="AB759" s="464"/>
      <c r="AC759" s="464"/>
      <c r="AD759" s="464"/>
      <c r="AE759" s="464"/>
      <c r="AF759" s="464"/>
      <c r="AG759" s="464"/>
      <c r="AH759" s="465"/>
      <c r="AI759" s="464"/>
    </row>
    <row r="760" customFormat="false" ht="15" hidden="false" customHeight="true" outlineLevel="0" collapsed="false">
      <c r="A760" s="455" t="s">
        <v>1753</v>
      </c>
      <c r="C760" s="456" t="n">
        <v>45562</v>
      </c>
      <c r="D760" s="456"/>
      <c r="E760" s="323" t="n">
        <v>13913</v>
      </c>
      <c r="F760" s="57" t="s">
        <v>175</v>
      </c>
      <c r="G760" s="323" t="s">
        <v>5</v>
      </c>
      <c r="H760" s="98" t="n">
        <v>2250</v>
      </c>
      <c r="I760" s="109" t="n">
        <v>25.71</v>
      </c>
      <c r="J760" s="313" t="s">
        <v>1651</v>
      </c>
      <c r="K760" s="98" t="n">
        <f aca="false">I760*H760</f>
        <v>57847.5</v>
      </c>
      <c r="L760" s="411" t="n">
        <v>25800</v>
      </c>
      <c r="M760" s="392" t="n">
        <f aca="false">L760/K760</f>
        <v>0.446000259302476</v>
      </c>
      <c r="N760" s="466" t="n">
        <f aca="false">I760*M760</f>
        <v>11.4666666666667</v>
      </c>
      <c r="O760" s="461" t="n">
        <v>2250</v>
      </c>
      <c r="P760" s="462" t="n">
        <f aca="false">H760-O760</f>
        <v>0</v>
      </c>
      <c r="Q760" s="463" t="n">
        <f aca="false">O760*I760</f>
        <v>57847.5</v>
      </c>
      <c r="R760" s="48" t="n">
        <f aca="false">K760-Q760</f>
        <v>0</v>
      </c>
      <c r="S760" s="467"/>
      <c r="T760" s="2" t="s">
        <v>1711</v>
      </c>
      <c r="V760" s="464"/>
      <c r="W760" s="464"/>
      <c r="X760" s="464"/>
      <c r="Y760" s="464"/>
      <c r="Z760" s="464"/>
      <c r="AA760" s="464"/>
      <c r="AB760" s="464"/>
      <c r="AC760" s="464"/>
      <c r="AD760" s="464"/>
      <c r="AE760" s="464"/>
      <c r="AF760" s="464"/>
      <c r="AG760" s="464"/>
      <c r="AH760" s="465"/>
      <c r="AI760" s="464"/>
    </row>
    <row r="761" customFormat="false" ht="15" hidden="false" customHeight="true" outlineLevel="0" collapsed="false">
      <c r="A761" s="455" t="s">
        <v>1753</v>
      </c>
      <c r="C761" s="456" t="n">
        <v>45562</v>
      </c>
      <c r="D761" s="456"/>
      <c r="E761" s="57" t="n">
        <v>13913</v>
      </c>
      <c r="F761" s="57" t="s">
        <v>175</v>
      </c>
      <c r="G761" s="323" t="s">
        <v>42</v>
      </c>
      <c r="H761" s="98" t="n">
        <v>1020</v>
      </c>
      <c r="I761" s="457" t="n">
        <v>45</v>
      </c>
      <c r="J761" s="313" t="s">
        <v>1652</v>
      </c>
      <c r="K761" s="98" t="n">
        <f aca="false">I761*H761</f>
        <v>45900</v>
      </c>
      <c r="L761" s="411" t="n">
        <v>21216</v>
      </c>
      <c r="M761" s="392" t="n">
        <f aca="false">L761/K761</f>
        <v>0.462222222222222</v>
      </c>
      <c r="N761" s="466" t="n">
        <f aca="false">I761*M761</f>
        <v>20.8</v>
      </c>
      <c r="O761" s="461" t="n">
        <v>1020</v>
      </c>
      <c r="P761" s="462" t="n">
        <f aca="false">H761-O761</f>
        <v>0</v>
      </c>
      <c r="Q761" s="463" t="n">
        <f aca="false">O761*I761</f>
        <v>45900</v>
      </c>
      <c r="R761" s="48" t="n">
        <f aca="false">K761-Q761</f>
        <v>0</v>
      </c>
      <c r="S761" s="467"/>
      <c r="T761" s="2" t="s">
        <v>1711</v>
      </c>
      <c r="V761" s="464"/>
      <c r="W761" s="464"/>
      <c r="X761" s="464"/>
      <c r="Y761" s="464"/>
      <c r="Z761" s="464"/>
      <c r="AA761" s="464"/>
      <c r="AB761" s="464"/>
      <c r="AC761" s="464"/>
      <c r="AD761" s="464"/>
      <c r="AE761" s="464"/>
      <c r="AF761" s="464"/>
      <c r="AG761" s="464"/>
      <c r="AH761" s="465"/>
      <c r="AI761" s="464"/>
    </row>
    <row r="762" customFormat="false" ht="15" hidden="false" customHeight="true" outlineLevel="0" collapsed="false">
      <c r="A762" s="455" t="s">
        <v>1753</v>
      </c>
      <c r="C762" s="456" t="n">
        <v>45562</v>
      </c>
      <c r="D762" s="456"/>
      <c r="E762" s="57" t="n">
        <v>13913</v>
      </c>
      <c r="F762" s="57" t="s">
        <v>175</v>
      </c>
      <c r="G762" s="323" t="s">
        <v>6</v>
      </c>
      <c r="H762" s="98" t="n">
        <v>2835</v>
      </c>
      <c r="I762" s="457" t="n">
        <v>45</v>
      </c>
      <c r="J762" s="313" t="s">
        <v>1652</v>
      </c>
      <c r="K762" s="98" t="n">
        <f aca="false">I762*H762</f>
        <v>127575</v>
      </c>
      <c r="L762" s="411" t="n">
        <v>48006</v>
      </c>
      <c r="M762" s="392" t="n">
        <f aca="false">L762/K762</f>
        <v>0.376296296296296</v>
      </c>
      <c r="N762" s="466" t="n">
        <f aca="false">I762*M762</f>
        <v>16.9333333333333</v>
      </c>
      <c r="O762" s="461" t="n">
        <v>2835</v>
      </c>
      <c r="P762" s="462" t="n">
        <f aca="false">H762-O762</f>
        <v>0</v>
      </c>
      <c r="Q762" s="463" t="n">
        <f aca="false">O762*I762</f>
        <v>127575</v>
      </c>
      <c r="R762" s="48" t="n">
        <f aca="false">K762-Q762</f>
        <v>0</v>
      </c>
      <c r="S762" s="467"/>
      <c r="T762" s="2" t="s">
        <v>1711</v>
      </c>
      <c r="V762" s="464"/>
      <c r="W762" s="464"/>
      <c r="X762" s="464"/>
      <c r="Y762" s="464"/>
      <c r="Z762" s="464"/>
      <c r="AA762" s="464"/>
      <c r="AB762" s="464"/>
      <c r="AC762" s="464"/>
      <c r="AD762" s="464"/>
      <c r="AE762" s="464"/>
      <c r="AF762" s="464"/>
      <c r="AG762" s="464"/>
      <c r="AH762" s="465"/>
      <c r="AI762" s="464"/>
    </row>
    <row r="763" customFormat="false" ht="15" hidden="false" customHeight="true" outlineLevel="0" collapsed="false">
      <c r="A763" s="455" t="s">
        <v>1753</v>
      </c>
      <c r="C763" s="456" t="n">
        <v>45562</v>
      </c>
      <c r="D763" s="456"/>
      <c r="E763" s="57" t="n">
        <v>13914</v>
      </c>
      <c r="F763" s="57" t="s">
        <v>175</v>
      </c>
      <c r="G763" s="323" t="s">
        <v>7</v>
      </c>
      <c r="H763" s="98" t="n">
        <v>5010</v>
      </c>
      <c r="I763" s="457" t="n">
        <v>25.71</v>
      </c>
      <c r="J763" s="313" t="s">
        <v>1651</v>
      </c>
      <c r="K763" s="98" t="n">
        <f aca="false">I763*H763</f>
        <v>128807.1</v>
      </c>
      <c r="L763" s="411" t="n">
        <v>59118</v>
      </c>
      <c r="M763" s="392" t="n">
        <f aca="false">L763/K763</f>
        <v>0.458965383119409</v>
      </c>
      <c r="N763" s="466" t="n">
        <f aca="false">I763*M763</f>
        <v>11.8</v>
      </c>
      <c r="O763" s="461" t="n">
        <v>5010</v>
      </c>
      <c r="P763" s="462" t="n">
        <f aca="false">H763-O763</f>
        <v>0</v>
      </c>
      <c r="Q763" s="463" t="n">
        <f aca="false">O763*I763</f>
        <v>128807.1</v>
      </c>
      <c r="R763" s="48" t="n">
        <f aca="false">K763-Q763</f>
        <v>0</v>
      </c>
      <c r="S763" s="467"/>
      <c r="T763" s="2" t="s">
        <v>1711</v>
      </c>
      <c r="V763" s="464"/>
      <c r="W763" s="464"/>
      <c r="X763" s="464"/>
      <c r="Y763" s="464"/>
      <c r="Z763" s="464"/>
      <c r="AA763" s="464"/>
      <c r="AB763" s="464"/>
      <c r="AC763" s="464"/>
      <c r="AD763" s="464"/>
      <c r="AE763" s="464"/>
      <c r="AF763" s="464"/>
      <c r="AG763" s="464"/>
      <c r="AH763" s="465"/>
      <c r="AI763" s="464"/>
    </row>
    <row r="764" customFormat="false" ht="15" hidden="false" customHeight="true" outlineLevel="0" collapsed="false">
      <c r="A764" s="455" t="s">
        <v>1872</v>
      </c>
      <c r="C764" s="456" t="n">
        <v>45562</v>
      </c>
      <c r="D764" s="456"/>
      <c r="E764" s="57" t="n">
        <v>13915</v>
      </c>
      <c r="F764" s="57" t="s">
        <v>175</v>
      </c>
      <c r="G764" s="323" t="s">
        <v>42</v>
      </c>
      <c r="H764" s="98" t="n">
        <v>1200</v>
      </c>
      <c r="I764" s="457" t="n">
        <v>30</v>
      </c>
      <c r="J764" s="313" t="s">
        <v>1651</v>
      </c>
      <c r="K764" s="98" t="n">
        <f aca="false">I764*H764</f>
        <v>36000</v>
      </c>
      <c r="L764" s="411" t="n">
        <v>20000</v>
      </c>
      <c r="M764" s="392" t="n">
        <f aca="false">L764/K764</f>
        <v>0.555555555555556</v>
      </c>
      <c r="N764" s="466" t="n">
        <f aca="false">I764*M764</f>
        <v>16.6666666666667</v>
      </c>
      <c r="O764" s="461" t="n">
        <v>1200</v>
      </c>
      <c r="P764" s="462" t="n">
        <f aca="false">H764-O764</f>
        <v>0</v>
      </c>
      <c r="Q764" s="463" t="n">
        <f aca="false">O764*I764</f>
        <v>36000</v>
      </c>
      <c r="R764" s="48" t="n">
        <f aca="false">K764-Q764</f>
        <v>0</v>
      </c>
      <c r="S764" s="467"/>
      <c r="T764" s="2" t="s">
        <v>1711</v>
      </c>
      <c r="V764" s="464"/>
      <c r="W764" s="464"/>
      <c r="X764" s="464"/>
      <c r="Y764" s="464"/>
      <c r="Z764" s="464"/>
      <c r="AA764" s="464"/>
      <c r="AB764" s="464"/>
      <c r="AC764" s="464"/>
      <c r="AD764" s="464"/>
      <c r="AE764" s="464"/>
      <c r="AF764" s="464"/>
      <c r="AG764" s="464"/>
      <c r="AH764" s="465"/>
      <c r="AI764" s="464"/>
    </row>
    <row r="765" customFormat="false" ht="15" hidden="false" customHeight="true" outlineLevel="0" collapsed="false">
      <c r="A765" s="455" t="s">
        <v>1873</v>
      </c>
      <c r="C765" s="456" t="n">
        <v>45562</v>
      </c>
      <c r="D765" s="456"/>
      <c r="E765" s="57" t="n">
        <v>13916</v>
      </c>
      <c r="F765" s="57" t="s">
        <v>175</v>
      </c>
      <c r="G765" s="323" t="s">
        <v>6</v>
      </c>
      <c r="H765" s="98" t="n">
        <v>1260</v>
      </c>
      <c r="I765" s="457" t="n">
        <v>90</v>
      </c>
      <c r="J765" s="313" t="s">
        <v>1653</v>
      </c>
      <c r="K765" s="98" t="n">
        <f aca="false">I765*H765</f>
        <v>113400</v>
      </c>
      <c r="L765" s="411" t="n">
        <v>35280</v>
      </c>
      <c r="M765" s="392" t="n">
        <f aca="false">L765/K765</f>
        <v>0.311111111111111</v>
      </c>
      <c r="N765" s="466" t="n">
        <f aca="false">I765*M765</f>
        <v>28</v>
      </c>
      <c r="O765" s="461" t="n">
        <v>1260</v>
      </c>
      <c r="P765" s="462" t="n">
        <f aca="false">H765-O765</f>
        <v>0</v>
      </c>
      <c r="Q765" s="463" t="n">
        <f aca="false">O765*I765</f>
        <v>113400</v>
      </c>
      <c r="R765" s="48" t="n">
        <f aca="false">K765-Q765</f>
        <v>0</v>
      </c>
      <c r="S765" s="467"/>
      <c r="T765" s="2" t="s">
        <v>1711</v>
      </c>
      <c r="V765" s="464"/>
      <c r="W765" s="464"/>
      <c r="X765" s="464"/>
      <c r="Y765" s="464"/>
      <c r="Z765" s="464"/>
      <c r="AA765" s="464"/>
      <c r="AB765" s="464"/>
      <c r="AC765" s="464"/>
      <c r="AD765" s="464"/>
      <c r="AE765" s="464"/>
      <c r="AF765" s="464"/>
      <c r="AG765" s="464"/>
      <c r="AH765" s="465"/>
      <c r="AI765" s="464"/>
    </row>
    <row r="766" customFormat="false" ht="15" hidden="false" customHeight="true" outlineLevel="0" collapsed="false">
      <c r="A766" s="455" t="s">
        <v>1873</v>
      </c>
      <c r="C766" s="456" t="n">
        <v>45562</v>
      </c>
      <c r="D766" s="456"/>
      <c r="E766" s="57" t="n">
        <v>13916</v>
      </c>
      <c r="F766" s="57" t="s">
        <v>175</v>
      </c>
      <c r="G766" s="323" t="s">
        <v>6</v>
      </c>
      <c r="H766" s="98" t="n">
        <v>300</v>
      </c>
      <c r="I766" s="457" t="n">
        <v>90</v>
      </c>
      <c r="J766" s="313" t="s">
        <v>1653</v>
      </c>
      <c r="K766" s="98" t="n">
        <f aca="false">I766*H766</f>
        <v>27000</v>
      </c>
      <c r="L766" s="411" t="n">
        <v>8400</v>
      </c>
      <c r="M766" s="392" t="n">
        <f aca="false">L766/K766</f>
        <v>0.311111111111111</v>
      </c>
      <c r="N766" s="466" t="n">
        <f aca="false">I766*M766</f>
        <v>28</v>
      </c>
      <c r="O766" s="461" t="n">
        <v>300</v>
      </c>
      <c r="P766" s="462" t="n">
        <f aca="false">H766-O766</f>
        <v>0</v>
      </c>
      <c r="Q766" s="463" t="n">
        <f aca="false">O766*I766</f>
        <v>27000</v>
      </c>
      <c r="R766" s="48" t="n">
        <f aca="false">K766-Q766</f>
        <v>0</v>
      </c>
      <c r="S766" s="467"/>
      <c r="T766" s="2" t="s">
        <v>1711</v>
      </c>
      <c r="V766" s="464"/>
      <c r="W766" s="464"/>
      <c r="X766" s="464"/>
      <c r="Y766" s="464"/>
      <c r="Z766" s="464"/>
      <c r="AA766" s="464"/>
      <c r="AB766" s="464"/>
      <c r="AC766" s="464"/>
      <c r="AD766" s="464"/>
      <c r="AE766" s="464"/>
      <c r="AF766" s="464"/>
      <c r="AG766" s="464"/>
      <c r="AH766" s="465"/>
      <c r="AI766" s="464"/>
    </row>
    <row r="767" customFormat="false" ht="15" hidden="false" customHeight="true" outlineLevel="0" collapsed="false">
      <c r="A767" s="455" t="s">
        <v>1871</v>
      </c>
      <c r="C767" s="456" t="n">
        <v>45565</v>
      </c>
      <c r="D767" s="456"/>
      <c r="E767" s="57" t="n">
        <v>13917</v>
      </c>
      <c r="F767" s="57" t="s">
        <v>175</v>
      </c>
      <c r="G767" s="323" t="s">
        <v>10</v>
      </c>
      <c r="H767" s="98" t="n">
        <v>15</v>
      </c>
      <c r="I767" s="457" t="n">
        <v>38.3</v>
      </c>
      <c r="J767" s="313" t="s">
        <v>1652</v>
      </c>
      <c r="K767" s="98" t="n">
        <f aca="false">I767*H767</f>
        <v>574.5</v>
      </c>
      <c r="L767" s="411" t="n">
        <v>364.8</v>
      </c>
      <c r="M767" s="392" t="n">
        <f aca="false">L767/K767</f>
        <v>0.634986945169713</v>
      </c>
      <c r="N767" s="466" t="n">
        <f aca="false">I767*M767</f>
        <v>24.32</v>
      </c>
      <c r="O767" s="461" t="n">
        <v>15</v>
      </c>
      <c r="P767" s="462" t="n">
        <f aca="false">H767-O767</f>
        <v>0</v>
      </c>
      <c r="Q767" s="463" t="n">
        <f aca="false">O767*I767</f>
        <v>574.5</v>
      </c>
      <c r="R767" s="48" t="n">
        <f aca="false">K767-Q767</f>
        <v>0</v>
      </c>
      <c r="S767" s="467"/>
      <c r="T767" s="2" t="s">
        <v>1711</v>
      </c>
      <c r="V767" s="464"/>
      <c r="W767" s="464"/>
      <c r="X767" s="464"/>
      <c r="Y767" s="464"/>
      <c r="Z767" s="464"/>
      <c r="AA767" s="464"/>
      <c r="AB767" s="464"/>
      <c r="AC767" s="464"/>
      <c r="AD767" s="464"/>
      <c r="AE767" s="464"/>
      <c r="AF767" s="464"/>
      <c r="AG767" s="464"/>
      <c r="AH767" s="465"/>
      <c r="AI767" s="464"/>
    </row>
    <row r="768" customFormat="false" ht="15" hidden="false" customHeight="true" outlineLevel="0" collapsed="false">
      <c r="A768" s="455" t="s">
        <v>1871</v>
      </c>
      <c r="C768" s="456" t="n">
        <v>45565</v>
      </c>
      <c r="D768" s="456"/>
      <c r="E768" s="57" t="n">
        <v>13917</v>
      </c>
      <c r="F768" s="57" t="s">
        <v>175</v>
      </c>
      <c r="G768" s="323" t="s">
        <v>10</v>
      </c>
      <c r="H768" s="98" t="n">
        <v>15</v>
      </c>
      <c r="I768" s="457" t="n">
        <v>38.3</v>
      </c>
      <c r="J768" s="313" t="s">
        <v>1652</v>
      </c>
      <c r="K768" s="98" t="n">
        <f aca="false">I768*H768</f>
        <v>574.5</v>
      </c>
      <c r="L768" s="411" t="n">
        <v>388.5</v>
      </c>
      <c r="M768" s="392" t="n">
        <f aca="false">L768/K768</f>
        <v>0.676240208877285</v>
      </c>
      <c r="N768" s="466" t="n">
        <f aca="false">I768*M768</f>
        <v>25.9</v>
      </c>
      <c r="O768" s="461" t="n">
        <v>15</v>
      </c>
      <c r="P768" s="462" t="n">
        <f aca="false">H768-O768</f>
        <v>0</v>
      </c>
      <c r="Q768" s="463" t="n">
        <f aca="false">O768*I768</f>
        <v>574.5</v>
      </c>
      <c r="R768" s="48" t="n">
        <f aca="false">K768-Q768</f>
        <v>0</v>
      </c>
      <c r="S768" s="467"/>
      <c r="T768" s="2" t="s">
        <v>1711</v>
      </c>
      <c r="V768" s="464"/>
      <c r="W768" s="464"/>
      <c r="X768" s="464"/>
      <c r="Y768" s="464"/>
      <c r="Z768" s="464"/>
      <c r="AA768" s="464"/>
      <c r="AB768" s="464"/>
      <c r="AC768" s="464"/>
      <c r="AD768" s="464"/>
      <c r="AE768" s="464"/>
      <c r="AF768" s="464"/>
      <c r="AG768" s="464"/>
      <c r="AH768" s="465"/>
      <c r="AI768" s="464"/>
    </row>
    <row r="769" customFormat="false" ht="15" hidden="false" customHeight="true" outlineLevel="0" collapsed="false">
      <c r="A769" s="455" t="s">
        <v>1871</v>
      </c>
      <c r="C769" s="456" t="n">
        <v>45565</v>
      </c>
      <c r="D769" s="456"/>
      <c r="E769" s="57" t="n">
        <v>13917</v>
      </c>
      <c r="F769" s="57" t="s">
        <v>175</v>
      </c>
      <c r="G769" s="323" t="s">
        <v>15</v>
      </c>
      <c r="H769" s="98" t="n">
        <v>15</v>
      </c>
      <c r="I769" s="457" t="n">
        <v>37.5</v>
      </c>
      <c r="J769" s="313" t="s">
        <v>1652</v>
      </c>
      <c r="K769" s="98" t="n">
        <f aca="false">I769*H769</f>
        <v>562.5</v>
      </c>
      <c r="L769" s="411" t="n">
        <v>521.7</v>
      </c>
      <c r="M769" s="392" t="n">
        <f aca="false">L769/K769</f>
        <v>0.927466666666667</v>
      </c>
      <c r="N769" s="466" t="n">
        <f aca="false">I769*M769</f>
        <v>34.78</v>
      </c>
      <c r="O769" s="461" t="n">
        <v>15</v>
      </c>
      <c r="P769" s="462" t="n">
        <f aca="false">H769-O769</f>
        <v>0</v>
      </c>
      <c r="Q769" s="463" t="n">
        <f aca="false">O769*I769</f>
        <v>562.5</v>
      </c>
      <c r="R769" s="48" t="n">
        <f aca="false">K769-Q769</f>
        <v>0</v>
      </c>
      <c r="S769" s="467"/>
      <c r="T769" s="2" t="s">
        <v>1711</v>
      </c>
      <c r="V769" s="464"/>
      <c r="W769" s="464"/>
      <c r="X769" s="464"/>
      <c r="Y769" s="464"/>
      <c r="Z769" s="464"/>
      <c r="AA769" s="464"/>
      <c r="AB769" s="464"/>
      <c r="AC769" s="464"/>
      <c r="AD769" s="464"/>
      <c r="AE769" s="464"/>
      <c r="AF769" s="464"/>
      <c r="AG769" s="464"/>
      <c r="AH769" s="465"/>
      <c r="AI769" s="464"/>
    </row>
    <row r="770" customFormat="false" ht="15" hidden="false" customHeight="true" outlineLevel="0" collapsed="false">
      <c r="A770" s="455" t="s">
        <v>1874</v>
      </c>
      <c r="C770" s="456" t="n">
        <v>45565</v>
      </c>
      <c r="D770" s="456"/>
      <c r="E770" s="57" t="n">
        <v>13918</v>
      </c>
      <c r="F770" s="57" t="s">
        <v>175</v>
      </c>
      <c r="G770" s="323" t="s">
        <v>5</v>
      </c>
      <c r="H770" s="98" t="n">
        <v>30</v>
      </c>
      <c r="I770" s="457" t="n">
        <v>25.71</v>
      </c>
      <c r="J770" s="313" t="s">
        <v>1651</v>
      </c>
      <c r="K770" s="98" t="n">
        <f aca="false">I770*H770</f>
        <v>771.3</v>
      </c>
      <c r="L770" s="411" t="n">
        <v>600</v>
      </c>
      <c r="M770" s="392" t="n">
        <f aca="false">L770/K770</f>
        <v>0.777907429015947</v>
      </c>
      <c r="N770" s="466" t="n">
        <f aca="false">I770*M770</f>
        <v>20</v>
      </c>
      <c r="O770" s="461" t="n">
        <v>30</v>
      </c>
      <c r="P770" s="462" t="n">
        <f aca="false">H770-O770</f>
        <v>0</v>
      </c>
      <c r="Q770" s="463" t="n">
        <f aca="false">O770*I770</f>
        <v>771.3</v>
      </c>
      <c r="R770" s="48" t="n">
        <f aca="false">K770-Q770</f>
        <v>0</v>
      </c>
      <c r="S770" s="467"/>
      <c r="T770" s="2" t="s">
        <v>1711</v>
      </c>
      <c r="V770" s="464"/>
      <c r="W770" s="464"/>
      <c r="X770" s="464"/>
      <c r="Y770" s="464"/>
      <c r="Z770" s="464"/>
      <c r="AA770" s="464"/>
      <c r="AB770" s="464"/>
      <c r="AC770" s="464"/>
      <c r="AD770" s="464"/>
      <c r="AE770" s="464"/>
      <c r="AF770" s="464"/>
      <c r="AG770" s="464"/>
      <c r="AH770" s="465"/>
      <c r="AI770" s="464"/>
    </row>
    <row r="771" customFormat="false" ht="15" hidden="false" customHeight="true" outlineLevel="0" collapsed="false">
      <c r="A771" s="455" t="s">
        <v>1871</v>
      </c>
      <c r="C771" s="456" t="n">
        <v>45565</v>
      </c>
      <c r="D771" s="456"/>
      <c r="E771" s="57" t="n">
        <v>13919</v>
      </c>
      <c r="F771" s="323" t="s">
        <v>175</v>
      </c>
      <c r="G771" s="323" t="s">
        <v>15</v>
      </c>
      <c r="H771" s="98" t="n">
        <v>150</v>
      </c>
      <c r="I771" s="457" t="n">
        <v>22.5</v>
      </c>
      <c r="J771" s="313" t="s">
        <v>1651</v>
      </c>
      <c r="K771" s="98" t="n">
        <f aca="false">I771*H771</f>
        <v>3375</v>
      </c>
      <c r="L771" s="411" t="n">
        <v>3381.8</v>
      </c>
      <c r="M771" s="392" t="n">
        <f aca="false">L771/K771</f>
        <v>1.00201481481482</v>
      </c>
      <c r="N771" s="466" t="n">
        <f aca="false">I771*M771</f>
        <v>22.5453333333333</v>
      </c>
      <c r="O771" s="461" t="n">
        <v>150</v>
      </c>
      <c r="P771" s="462" t="n">
        <f aca="false">H771-O771</f>
        <v>0</v>
      </c>
      <c r="Q771" s="463" t="n">
        <f aca="false">O771*I771</f>
        <v>3375</v>
      </c>
      <c r="R771" s="48" t="n">
        <f aca="false">K771-Q771</f>
        <v>0</v>
      </c>
      <c r="S771" s="467"/>
      <c r="T771" s="2" t="s">
        <v>1711</v>
      </c>
      <c r="V771" s="464"/>
      <c r="W771" s="464"/>
      <c r="X771" s="464"/>
      <c r="Y771" s="464"/>
      <c r="Z771" s="464"/>
      <c r="AA771" s="464"/>
      <c r="AB771" s="464"/>
      <c r="AC771" s="464"/>
      <c r="AD771" s="464"/>
      <c r="AE771" s="464"/>
      <c r="AF771" s="464"/>
      <c r="AG771" s="464"/>
      <c r="AH771" s="465"/>
      <c r="AI771" s="464"/>
    </row>
    <row r="772" customFormat="false" ht="15" hidden="false" customHeight="true" outlineLevel="0" collapsed="false">
      <c r="A772" s="455" t="s">
        <v>1777</v>
      </c>
      <c r="C772" s="456" t="n">
        <v>45566</v>
      </c>
      <c r="D772" s="456"/>
      <c r="E772" s="57" t="n">
        <v>13920</v>
      </c>
      <c r="F772" s="323" t="s">
        <v>175</v>
      </c>
      <c r="G772" s="323" t="s">
        <v>5</v>
      </c>
      <c r="H772" s="98" t="n">
        <v>1500</v>
      </c>
      <c r="I772" s="457" t="n">
        <v>25.71</v>
      </c>
      <c r="J772" s="313" t="s">
        <v>1651</v>
      </c>
      <c r="K772" s="98" t="n">
        <f aca="false">I772*H772</f>
        <v>38565</v>
      </c>
      <c r="L772" s="411" t="n">
        <v>16500</v>
      </c>
      <c r="M772" s="392" t="n">
        <f aca="false">L772/K772</f>
        <v>0.427849085958771</v>
      </c>
      <c r="N772" s="466" t="n">
        <f aca="false">I772*M772</f>
        <v>11</v>
      </c>
      <c r="O772" s="461" t="n">
        <v>1500</v>
      </c>
      <c r="P772" s="462" t="n">
        <f aca="false">H772-O772</f>
        <v>0</v>
      </c>
      <c r="Q772" s="463" t="n">
        <f aca="false">O772*I772</f>
        <v>38565</v>
      </c>
      <c r="R772" s="48" t="n">
        <f aca="false">K772-Q772</f>
        <v>0</v>
      </c>
      <c r="S772" s="467"/>
      <c r="T772" s="2" t="s">
        <v>1711</v>
      </c>
      <c r="V772" s="464"/>
      <c r="W772" s="464"/>
      <c r="X772" s="464"/>
      <c r="Y772" s="464"/>
      <c r="Z772" s="464"/>
      <c r="AA772" s="464"/>
      <c r="AB772" s="464"/>
      <c r="AC772" s="464"/>
      <c r="AD772" s="464"/>
      <c r="AE772" s="464"/>
      <c r="AF772" s="464"/>
      <c r="AG772" s="464"/>
      <c r="AH772" s="465"/>
      <c r="AI772" s="464"/>
    </row>
    <row r="773" customFormat="false" ht="15" hidden="false" customHeight="true" outlineLevel="0" collapsed="false">
      <c r="A773" s="455" t="s">
        <v>1875</v>
      </c>
      <c r="C773" s="456" t="n">
        <v>45566</v>
      </c>
      <c r="D773" s="456"/>
      <c r="E773" s="57" t="n">
        <v>13921</v>
      </c>
      <c r="F773" s="323" t="s">
        <v>175</v>
      </c>
      <c r="G773" s="323" t="s">
        <v>5</v>
      </c>
      <c r="H773" s="98" t="n">
        <v>900</v>
      </c>
      <c r="I773" s="457" t="n">
        <v>25.71</v>
      </c>
      <c r="J773" s="313" t="s">
        <v>1651</v>
      </c>
      <c r="K773" s="98" t="n">
        <f aca="false">I773*H773</f>
        <v>23139</v>
      </c>
      <c r="L773" s="411" t="n">
        <v>14400</v>
      </c>
      <c r="M773" s="392" t="n">
        <f aca="false">L773/K773</f>
        <v>0.622325943212758</v>
      </c>
      <c r="N773" s="466" t="n">
        <f aca="false">I773*M773</f>
        <v>16</v>
      </c>
      <c r="O773" s="461" t="n">
        <v>900</v>
      </c>
      <c r="P773" s="462" t="n">
        <f aca="false">H773-O773</f>
        <v>0</v>
      </c>
      <c r="Q773" s="463" t="n">
        <f aca="false">O773*I773</f>
        <v>23139</v>
      </c>
      <c r="R773" s="48" t="n">
        <f aca="false">K773-Q773</f>
        <v>0</v>
      </c>
      <c r="S773" s="467"/>
      <c r="T773" s="2" t="s">
        <v>1711</v>
      </c>
      <c r="V773" s="464"/>
      <c r="W773" s="464"/>
      <c r="X773" s="464"/>
      <c r="Y773" s="464"/>
      <c r="Z773" s="464"/>
      <c r="AA773" s="464"/>
      <c r="AB773" s="464"/>
      <c r="AC773" s="464"/>
      <c r="AD773" s="464"/>
      <c r="AE773" s="464"/>
      <c r="AF773" s="464"/>
      <c r="AG773" s="464"/>
      <c r="AH773" s="465"/>
      <c r="AI773" s="464"/>
    </row>
    <row r="774" customFormat="false" ht="15" hidden="false" customHeight="true" outlineLevel="0" collapsed="false">
      <c r="A774" s="455" t="s">
        <v>1875</v>
      </c>
      <c r="C774" s="456" t="n">
        <v>45566</v>
      </c>
      <c r="D774" s="456"/>
      <c r="E774" s="57" t="n">
        <v>13921</v>
      </c>
      <c r="F774" s="323" t="s">
        <v>175</v>
      </c>
      <c r="G774" s="323" t="s">
        <v>17</v>
      </c>
      <c r="H774" s="98" t="n">
        <v>105</v>
      </c>
      <c r="I774" s="457" t="n">
        <v>22.5</v>
      </c>
      <c r="J774" s="313" t="s">
        <v>1651</v>
      </c>
      <c r="K774" s="98" t="n">
        <f aca="false">I774*H774</f>
        <v>2362.5</v>
      </c>
      <c r="L774" s="411" t="n">
        <v>2205</v>
      </c>
      <c r="M774" s="392" t="n">
        <f aca="false">L774/K774</f>
        <v>0.933333333333333</v>
      </c>
      <c r="N774" s="466" t="n">
        <f aca="false">I774*M774</f>
        <v>21</v>
      </c>
      <c r="O774" s="461" t="n">
        <v>105</v>
      </c>
      <c r="P774" s="462" t="n">
        <f aca="false">H774-O774</f>
        <v>0</v>
      </c>
      <c r="Q774" s="463" t="n">
        <f aca="false">O774*I774</f>
        <v>2362.5</v>
      </c>
      <c r="R774" s="48" t="n">
        <f aca="false">K774-Q774</f>
        <v>0</v>
      </c>
      <c r="S774" s="467"/>
      <c r="T774" s="2" t="s">
        <v>1711</v>
      </c>
      <c r="V774" s="464"/>
      <c r="W774" s="464"/>
      <c r="X774" s="464"/>
      <c r="Y774" s="464"/>
      <c r="Z774" s="464"/>
      <c r="AA774" s="464"/>
      <c r="AB774" s="464"/>
      <c r="AC774" s="464"/>
      <c r="AD774" s="464"/>
      <c r="AE774" s="464"/>
      <c r="AF774" s="464"/>
      <c r="AG774" s="464"/>
      <c r="AH774" s="465"/>
      <c r="AI774" s="464"/>
    </row>
    <row r="775" customFormat="false" ht="15" hidden="false" customHeight="true" outlineLevel="0" collapsed="false">
      <c r="A775" s="455" t="s">
        <v>1739</v>
      </c>
      <c r="C775" s="456" t="n">
        <v>45566</v>
      </c>
      <c r="D775" s="456"/>
      <c r="E775" s="57" t="n">
        <v>13922</v>
      </c>
      <c r="F775" s="323" t="s">
        <v>175</v>
      </c>
      <c r="G775" s="323" t="s">
        <v>7</v>
      </c>
      <c r="H775" s="98" t="n">
        <v>495</v>
      </c>
      <c r="I775" s="457" t="n">
        <v>25.71</v>
      </c>
      <c r="J775" s="313" t="s">
        <v>1651</v>
      </c>
      <c r="K775" s="98" t="n">
        <f aca="false">I775*H775</f>
        <v>12726.45</v>
      </c>
      <c r="L775" s="411" t="n">
        <v>7326</v>
      </c>
      <c r="M775" s="392" t="n">
        <f aca="false">L775/K775</f>
        <v>0.575651497471801</v>
      </c>
      <c r="N775" s="466" t="n">
        <f aca="false">I775*M775</f>
        <v>14.8</v>
      </c>
      <c r="O775" s="461" t="n">
        <v>495</v>
      </c>
      <c r="P775" s="462" t="n">
        <f aca="false">H775-O775</f>
        <v>0</v>
      </c>
      <c r="Q775" s="463" t="n">
        <f aca="false">O775*I775</f>
        <v>12726.45</v>
      </c>
      <c r="R775" s="48" t="n">
        <f aca="false">K775-Q775</f>
        <v>0</v>
      </c>
      <c r="S775" s="467"/>
      <c r="T775" s="2" t="s">
        <v>1711</v>
      </c>
      <c r="V775" s="464"/>
      <c r="W775" s="464"/>
      <c r="X775" s="464"/>
      <c r="Y775" s="464"/>
      <c r="Z775" s="464"/>
      <c r="AA775" s="464"/>
      <c r="AB775" s="464"/>
      <c r="AC775" s="464"/>
      <c r="AD775" s="464"/>
      <c r="AE775" s="464"/>
      <c r="AF775" s="464"/>
      <c r="AG775" s="464"/>
      <c r="AH775" s="465"/>
      <c r="AI775" s="464"/>
    </row>
    <row r="776" customFormat="false" ht="15" hidden="false" customHeight="true" outlineLevel="0" collapsed="false">
      <c r="A776" s="455" t="s">
        <v>1739</v>
      </c>
      <c r="C776" s="456" t="n">
        <v>45566</v>
      </c>
      <c r="D776" s="456"/>
      <c r="E776" s="57" t="n">
        <v>13922</v>
      </c>
      <c r="F776" s="323" t="s">
        <v>175</v>
      </c>
      <c r="G776" s="323" t="s">
        <v>15</v>
      </c>
      <c r="H776" s="98" t="n">
        <v>240</v>
      </c>
      <c r="I776" s="457" t="n">
        <v>22.5</v>
      </c>
      <c r="J776" s="313" t="s">
        <v>1651</v>
      </c>
      <c r="K776" s="98" t="n">
        <f aca="false">I776*H776</f>
        <v>5400</v>
      </c>
      <c r="L776" s="411" t="n">
        <v>4867.2</v>
      </c>
      <c r="M776" s="392" t="n">
        <f aca="false">L776/K776</f>
        <v>0.901333333333333</v>
      </c>
      <c r="N776" s="466" t="n">
        <f aca="false">I776*M776</f>
        <v>20.28</v>
      </c>
      <c r="O776" s="461" t="n">
        <v>240</v>
      </c>
      <c r="P776" s="462" t="n">
        <f aca="false">H776-O776</f>
        <v>0</v>
      </c>
      <c r="Q776" s="463" t="n">
        <f aca="false">O776*I776</f>
        <v>5400</v>
      </c>
      <c r="R776" s="48" t="n">
        <f aca="false">K776-Q776</f>
        <v>0</v>
      </c>
      <c r="S776" s="467"/>
      <c r="T776" s="2" t="s">
        <v>1711</v>
      </c>
      <c r="V776" s="464"/>
      <c r="W776" s="464"/>
      <c r="X776" s="464"/>
      <c r="Y776" s="464"/>
      <c r="Z776" s="464"/>
      <c r="AA776" s="464"/>
      <c r="AB776" s="464"/>
      <c r="AC776" s="464"/>
      <c r="AD776" s="464"/>
      <c r="AE776" s="464"/>
      <c r="AF776" s="464"/>
      <c r="AG776" s="464"/>
      <c r="AH776" s="465"/>
      <c r="AI776" s="464"/>
    </row>
    <row r="777" customFormat="false" ht="15" hidden="false" customHeight="true" outlineLevel="0" collapsed="false">
      <c r="A777" s="455" t="s">
        <v>1753</v>
      </c>
      <c r="C777" s="456" t="n">
        <v>45566</v>
      </c>
      <c r="D777" s="456"/>
      <c r="E777" s="57" t="n">
        <v>13923</v>
      </c>
      <c r="F777" s="323" t="s">
        <v>175</v>
      </c>
      <c r="G777" s="323" t="s">
        <v>42</v>
      </c>
      <c r="H777" s="98" t="n">
        <v>1005</v>
      </c>
      <c r="I777" s="457" t="n">
        <v>45</v>
      </c>
      <c r="J777" s="313" t="s">
        <v>1652</v>
      </c>
      <c r="K777" s="98" t="n">
        <f aca="false">I777*H777</f>
        <v>45225</v>
      </c>
      <c r="L777" s="411" t="n">
        <v>20904</v>
      </c>
      <c r="M777" s="392" t="n">
        <f aca="false">L777/K777</f>
        <v>0.462222222222222</v>
      </c>
      <c r="N777" s="466" t="n">
        <f aca="false">I777*M777</f>
        <v>20.8</v>
      </c>
      <c r="O777" s="461" t="n">
        <v>1005</v>
      </c>
      <c r="P777" s="462" t="n">
        <f aca="false">H777-O777</f>
        <v>0</v>
      </c>
      <c r="Q777" s="463" t="n">
        <f aca="false">O777*I777</f>
        <v>45225</v>
      </c>
      <c r="R777" s="48" t="n">
        <f aca="false">K777-Q777</f>
        <v>0</v>
      </c>
      <c r="S777" s="467"/>
      <c r="T777" s="2" t="s">
        <v>1711</v>
      </c>
      <c r="V777" s="464"/>
      <c r="W777" s="464"/>
      <c r="X777" s="464"/>
      <c r="Y777" s="464"/>
      <c r="Z777" s="464"/>
      <c r="AA777" s="464"/>
      <c r="AB777" s="464"/>
      <c r="AC777" s="464"/>
      <c r="AD777" s="464"/>
      <c r="AE777" s="464"/>
      <c r="AF777" s="464"/>
      <c r="AG777" s="464"/>
      <c r="AH777" s="465"/>
      <c r="AI777" s="464"/>
    </row>
    <row r="778" customFormat="false" ht="15" hidden="false" customHeight="true" outlineLevel="0" collapsed="false">
      <c r="A778" s="455" t="s">
        <v>1753</v>
      </c>
      <c r="C778" s="456" t="n">
        <v>45566</v>
      </c>
      <c r="D778" s="456"/>
      <c r="E778" s="323" t="n">
        <v>13923</v>
      </c>
      <c r="F778" s="323" t="s">
        <v>175</v>
      </c>
      <c r="G778" s="323" t="s">
        <v>42</v>
      </c>
      <c r="H778" s="98" t="n">
        <v>600</v>
      </c>
      <c r="I778" s="457" t="n">
        <v>30</v>
      </c>
      <c r="J778" s="313" t="s">
        <v>1651</v>
      </c>
      <c r="K778" s="98" t="n">
        <f aca="false">I778*H778</f>
        <v>18000</v>
      </c>
      <c r="L778" s="411" t="n">
        <v>8400</v>
      </c>
      <c r="M778" s="392" t="n">
        <f aca="false">L778/K778</f>
        <v>0.466666666666667</v>
      </c>
      <c r="N778" s="466" t="n">
        <f aca="false">I778*M778</f>
        <v>14</v>
      </c>
      <c r="O778" s="461" t="n">
        <v>600</v>
      </c>
      <c r="P778" s="462" t="n">
        <f aca="false">H778-O778</f>
        <v>0</v>
      </c>
      <c r="Q778" s="463" t="n">
        <f aca="false">O778*I778</f>
        <v>18000</v>
      </c>
      <c r="R778" s="48" t="n">
        <f aca="false">K778-Q778</f>
        <v>0</v>
      </c>
      <c r="S778" s="467"/>
      <c r="T778" s="2" t="s">
        <v>1711</v>
      </c>
      <c r="V778" s="464"/>
      <c r="W778" s="464"/>
      <c r="X778" s="464"/>
      <c r="Y778" s="464"/>
      <c r="Z778" s="464"/>
      <c r="AA778" s="464"/>
      <c r="AB778" s="464"/>
      <c r="AC778" s="464"/>
      <c r="AD778" s="464"/>
      <c r="AE778" s="464"/>
      <c r="AF778" s="464"/>
      <c r="AG778" s="464"/>
      <c r="AH778" s="465"/>
      <c r="AI778" s="464"/>
    </row>
    <row r="779" customFormat="false" ht="15" hidden="false" customHeight="true" outlineLevel="0" collapsed="false">
      <c r="A779" s="455" t="s">
        <v>1753</v>
      </c>
      <c r="C779" s="456" t="n">
        <v>45566</v>
      </c>
      <c r="D779" s="456"/>
      <c r="E779" s="57" t="n">
        <v>13923</v>
      </c>
      <c r="F779" s="323" t="s">
        <v>175</v>
      </c>
      <c r="G779" s="323" t="s">
        <v>6</v>
      </c>
      <c r="H779" s="98" t="n">
        <v>375</v>
      </c>
      <c r="I779" s="457" t="n">
        <v>30</v>
      </c>
      <c r="J779" s="313" t="s">
        <v>1651</v>
      </c>
      <c r="K779" s="98" t="n">
        <f aca="false">I779*H779</f>
        <v>11250</v>
      </c>
      <c r="L779" s="411" t="n">
        <v>4275</v>
      </c>
      <c r="M779" s="392" t="n">
        <f aca="false">L779/K779</f>
        <v>0.38</v>
      </c>
      <c r="N779" s="466" t="n">
        <f aca="false">I779*M779</f>
        <v>11.4</v>
      </c>
      <c r="O779" s="461" t="n">
        <v>375</v>
      </c>
      <c r="P779" s="462" t="n">
        <f aca="false">H779-O779</f>
        <v>0</v>
      </c>
      <c r="Q779" s="463" t="n">
        <f aca="false">O779*I779</f>
        <v>11250</v>
      </c>
      <c r="R779" s="48" t="n">
        <f aca="false">K779-Q779</f>
        <v>0</v>
      </c>
      <c r="S779" s="467"/>
      <c r="T779" s="2" t="s">
        <v>1711</v>
      </c>
      <c r="V779" s="464"/>
      <c r="W779" s="464"/>
      <c r="X779" s="464"/>
      <c r="Y779" s="464"/>
      <c r="Z779" s="464"/>
      <c r="AA779" s="464"/>
      <c r="AB779" s="464"/>
      <c r="AC779" s="464"/>
      <c r="AD779" s="464"/>
      <c r="AE779" s="464"/>
      <c r="AF779" s="464"/>
      <c r="AG779" s="464"/>
      <c r="AH779" s="465"/>
      <c r="AI779" s="464"/>
    </row>
    <row r="780" customFormat="false" ht="15" hidden="false" customHeight="true" outlineLevel="0" collapsed="false">
      <c r="A780" s="455" t="s">
        <v>1753</v>
      </c>
      <c r="C780" s="456" t="n">
        <v>45566</v>
      </c>
      <c r="D780" s="456"/>
      <c r="E780" s="57" t="n">
        <v>13923</v>
      </c>
      <c r="F780" s="323" t="s">
        <v>175</v>
      </c>
      <c r="G780" s="323" t="s">
        <v>12</v>
      </c>
      <c r="H780" s="98" t="n">
        <v>525</v>
      </c>
      <c r="I780" s="457" t="n">
        <v>18</v>
      </c>
      <c r="J780" s="313" t="s">
        <v>1651</v>
      </c>
      <c r="K780" s="98" t="n">
        <f aca="false">I780*H780</f>
        <v>9450</v>
      </c>
      <c r="L780" s="411" t="n">
        <v>26075</v>
      </c>
      <c r="M780" s="392" t="n">
        <f aca="false">L780/K780</f>
        <v>2.75925925925926</v>
      </c>
      <c r="N780" s="466" t="n">
        <f aca="false">I780*M780</f>
        <v>49.6666666666667</v>
      </c>
      <c r="O780" s="461" t="n">
        <v>525</v>
      </c>
      <c r="P780" s="462" t="n">
        <f aca="false">H780-O780</f>
        <v>0</v>
      </c>
      <c r="Q780" s="463" t="n">
        <f aca="false">O780*I780</f>
        <v>9450</v>
      </c>
      <c r="R780" s="48" t="n">
        <f aca="false">K780-Q780</f>
        <v>0</v>
      </c>
      <c r="S780" s="467"/>
      <c r="T780" s="2" t="s">
        <v>1711</v>
      </c>
      <c r="V780" s="464"/>
      <c r="W780" s="464"/>
      <c r="X780" s="464"/>
      <c r="Y780" s="464"/>
      <c r="Z780" s="464"/>
      <c r="AA780" s="464"/>
      <c r="AB780" s="464"/>
      <c r="AC780" s="464"/>
      <c r="AD780" s="464"/>
      <c r="AE780" s="464"/>
      <c r="AF780" s="464"/>
      <c r="AG780" s="464"/>
      <c r="AH780" s="465"/>
      <c r="AI780" s="464"/>
    </row>
    <row r="781" customFormat="false" ht="15" hidden="false" customHeight="true" outlineLevel="0" collapsed="false">
      <c r="A781" s="455" t="s">
        <v>1753</v>
      </c>
      <c r="C781" s="456" t="n">
        <v>45566</v>
      </c>
      <c r="D781" s="456"/>
      <c r="E781" s="57" t="n">
        <v>13923</v>
      </c>
      <c r="F781" s="323" t="s">
        <v>175</v>
      </c>
      <c r="G781" s="323" t="s">
        <v>13</v>
      </c>
      <c r="H781" s="98" t="n">
        <v>120</v>
      </c>
      <c r="I781" s="457" t="n">
        <v>37.5</v>
      </c>
      <c r="J781" s="313" t="s">
        <v>1652</v>
      </c>
      <c r="K781" s="98" t="n">
        <f aca="false">I781*H781</f>
        <v>4500</v>
      </c>
      <c r="L781" s="411" t="n">
        <v>2268</v>
      </c>
      <c r="M781" s="392" t="n">
        <f aca="false">L781/K781</f>
        <v>0.504</v>
      </c>
      <c r="N781" s="466" t="n">
        <f aca="false">I781*M781</f>
        <v>18.9</v>
      </c>
      <c r="O781" s="461" t="n">
        <v>120</v>
      </c>
      <c r="P781" s="462" t="n">
        <f aca="false">H781-O781</f>
        <v>0</v>
      </c>
      <c r="Q781" s="463" t="n">
        <f aca="false">O781*I781</f>
        <v>4500</v>
      </c>
      <c r="R781" s="48" t="n">
        <f aca="false">K781-Q781</f>
        <v>0</v>
      </c>
      <c r="S781" s="467"/>
      <c r="T781" s="2" t="s">
        <v>1711</v>
      </c>
      <c r="V781" s="464"/>
      <c r="W781" s="464"/>
      <c r="X781" s="464"/>
      <c r="Y781" s="464"/>
      <c r="Z781" s="464"/>
      <c r="AA781" s="464"/>
      <c r="AB781" s="464"/>
      <c r="AC781" s="464"/>
      <c r="AD781" s="464"/>
      <c r="AE781" s="464"/>
      <c r="AF781" s="464"/>
      <c r="AG781" s="464"/>
      <c r="AH781" s="465"/>
      <c r="AI781" s="464"/>
    </row>
    <row r="782" customFormat="false" ht="15" hidden="false" customHeight="true" outlineLevel="0" collapsed="false">
      <c r="A782" s="455" t="s">
        <v>1753</v>
      </c>
      <c r="C782" s="456" t="n">
        <v>45566</v>
      </c>
      <c r="D782" s="456"/>
      <c r="E782" s="57" t="n">
        <v>13923</v>
      </c>
      <c r="F782" s="323" t="s">
        <v>175</v>
      </c>
      <c r="G782" s="323" t="s">
        <v>17</v>
      </c>
      <c r="H782" s="98" t="n">
        <v>975</v>
      </c>
      <c r="I782" s="457" t="n">
        <v>22.5</v>
      </c>
      <c r="J782" s="313" t="s">
        <v>1651</v>
      </c>
      <c r="K782" s="98" t="n">
        <f aca="false">I782*H782</f>
        <v>21937.5</v>
      </c>
      <c r="L782" s="411" t="n">
        <v>12675</v>
      </c>
      <c r="M782" s="392" t="n">
        <f aca="false">L782/K782</f>
        <v>0.577777777777778</v>
      </c>
      <c r="N782" s="466" t="n">
        <f aca="false">I782*M782</f>
        <v>13</v>
      </c>
      <c r="O782" s="461" t="n">
        <v>975</v>
      </c>
      <c r="P782" s="462" t="n">
        <f aca="false">H782-O782</f>
        <v>0</v>
      </c>
      <c r="Q782" s="463" t="n">
        <f aca="false">O782*I782</f>
        <v>21937.5</v>
      </c>
      <c r="R782" s="48" t="n">
        <f aca="false">K782-Q782</f>
        <v>0</v>
      </c>
      <c r="S782" s="467"/>
      <c r="T782" s="2" t="s">
        <v>1711</v>
      </c>
      <c r="V782" s="464"/>
      <c r="W782" s="464"/>
      <c r="X782" s="464"/>
      <c r="Y782" s="464"/>
      <c r="Z782" s="464"/>
      <c r="AA782" s="464"/>
      <c r="AB782" s="464"/>
      <c r="AC782" s="464"/>
      <c r="AD782" s="464"/>
      <c r="AE782" s="464"/>
      <c r="AF782" s="464"/>
      <c r="AG782" s="464"/>
      <c r="AH782" s="465"/>
      <c r="AI782" s="464"/>
    </row>
    <row r="783" customFormat="false" ht="15" hidden="false" customHeight="true" outlineLevel="0" collapsed="false">
      <c r="A783" s="455" t="s">
        <v>1876</v>
      </c>
      <c r="C783" s="456" t="n">
        <v>45566</v>
      </c>
      <c r="D783" s="456"/>
      <c r="E783" s="323" t="n">
        <v>13925</v>
      </c>
      <c r="F783" s="57" t="s">
        <v>175</v>
      </c>
      <c r="G783" s="323" t="s">
        <v>10</v>
      </c>
      <c r="H783" s="98" t="n">
        <v>1005</v>
      </c>
      <c r="I783" s="457" t="n">
        <v>38.3</v>
      </c>
      <c r="J783" s="313" t="s">
        <v>1652</v>
      </c>
      <c r="K783" s="98" t="n">
        <f aca="false">I783*H783</f>
        <v>38491.5</v>
      </c>
      <c r="L783" s="411" t="n">
        <v>15828.75</v>
      </c>
      <c r="M783" s="392" t="n">
        <f aca="false">L783/K783</f>
        <v>0.411227154046997</v>
      </c>
      <c r="N783" s="466" t="n">
        <f aca="false">I783*M783</f>
        <v>15.75</v>
      </c>
      <c r="O783" s="461" t="n">
        <v>1005</v>
      </c>
      <c r="P783" s="462" t="n">
        <f aca="false">H783-O783</f>
        <v>0</v>
      </c>
      <c r="Q783" s="463" t="n">
        <f aca="false">O783*I783</f>
        <v>38491.5</v>
      </c>
      <c r="R783" s="48" t="n">
        <f aca="false">K783-Q783</f>
        <v>0</v>
      </c>
      <c r="S783" s="467"/>
      <c r="T783" s="2" t="s">
        <v>1711</v>
      </c>
      <c r="V783" s="464"/>
      <c r="W783" s="464"/>
      <c r="X783" s="464"/>
      <c r="Y783" s="464"/>
      <c r="Z783" s="464"/>
      <c r="AA783" s="464"/>
      <c r="AB783" s="464"/>
      <c r="AC783" s="464"/>
      <c r="AD783" s="464"/>
      <c r="AE783" s="464"/>
      <c r="AF783" s="464"/>
      <c r="AG783" s="464"/>
      <c r="AH783" s="465"/>
      <c r="AI783" s="464"/>
    </row>
    <row r="784" customFormat="false" ht="15" hidden="false" customHeight="true" outlineLevel="0" collapsed="false">
      <c r="A784" s="455" t="s">
        <v>1838</v>
      </c>
      <c r="C784" s="456" t="n">
        <v>45566</v>
      </c>
      <c r="D784" s="456"/>
      <c r="E784" s="57" t="n">
        <v>13927</v>
      </c>
      <c r="F784" s="57" t="s">
        <v>175</v>
      </c>
      <c r="G784" s="323" t="s">
        <v>6</v>
      </c>
      <c r="H784" s="98" t="n">
        <v>420</v>
      </c>
      <c r="I784" s="457" t="n">
        <v>90</v>
      </c>
      <c r="J784" s="313" t="s">
        <v>1653</v>
      </c>
      <c r="K784" s="98" t="n">
        <f aca="false">I784*H784</f>
        <v>37800</v>
      </c>
      <c r="L784" s="411" t="n">
        <v>8820</v>
      </c>
      <c r="M784" s="392" t="n">
        <f aca="false">L784/K784</f>
        <v>0.233333333333333</v>
      </c>
      <c r="N784" s="466" t="n">
        <f aca="false">I784*M784</f>
        <v>21</v>
      </c>
      <c r="O784" s="461" t="n">
        <v>420</v>
      </c>
      <c r="P784" s="462" t="n">
        <f aca="false">H784-O784</f>
        <v>0</v>
      </c>
      <c r="Q784" s="463" t="n">
        <f aca="false">O784*I784</f>
        <v>37800</v>
      </c>
      <c r="R784" s="48" t="n">
        <f aca="false">K784-Q784</f>
        <v>0</v>
      </c>
      <c r="S784" s="467"/>
      <c r="T784" s="2" t="s">
        <v>1711</v>
      </c>
      <c r="V784" s="464"/>
      <c r="W784" s="464"/>
      <c r="X784" s="464"/>
      <c r="Y784" s="464"/>
      <c r="Z784" s="464"/>
      <c r="AA784" s="464"/>
      <c r="AB784" s="464"/>
      <c r="AC784" s="464"/>
      <c r="AD784" s="464"/>
      <c r="AE784" s="464"/>
      <c r="AF784" s="464"/>
      <c r="AG784" s="464"/>
      <c r="AH784" s="465"/>
      <c r="AI784" s="464"/>
    </row>
    <row r="785" customFormat="false" ht="15" hidden="false" customHeight="true" outlineLevel="0" collapsed="false">
      <c r="A785" s="455" t="s">
        <v>1838</v>
      </c>
      <c r="C785" s="456" t="n">
        <v>45566</v>
      </c>
      <c r="D785" s="456"/>
      <c r="E785" s="57" t="n">
        <v>13927</v>
      </c>
      <c r="F785" s="57" t="s">
        <v>175</v>
      </c>
      <c r="G785" s="323" t="s">
        <v>5</v>
      </c>
      <c r="H785" s="98" t="n">
        <v>510</v>
      </c>
      <c r="I785" s="457" t="n">
        <v>90</v>
      </c>
      <c r="J785" s="313" t="s">
        <v>1653</v>
      </c>
      <c r="K785" s="98" t="n">
        <f aca="false">I785*H785</f>
        <v>45900</v>
      </c>
      <c r="L785" s="411" t="n">
        <v>10710</v>
      </c>
      <c r="M785" s="392" t="n">
        <f aca="false">L785/K785</f>
        <v>0.233333333333333</v>
      </c>
      <c r="N785" s="466" t="n">
        <f aca="false">I785*M785</f>
        <v>21</v>
      </c>
      <c r="O785" s="461" t="n">
        <v>510</v>
      </c>
      <c r="P785" s="462" t="n">
        <f aca="false">H785-O785</f>
        <v>0</v>
      </c>
      <c r="Q785" s="463" t="n">
        <f aca="false">O785*I785</f>
        <v>45900</v>
      </c>
      <c r="R785" s="48" t="n">
        <f aca="false">K785-Q785</f>
        <v>0</v>
      </c>
      <c r="S785" s="467"/>
      <c r="T785" s="2" t="s">
        <v>1711</v>
      </c>
      <c r="V785" s="464"/>
      <c r="W785" s="464"/>
      <c r="X785" s="464"/>
      <c r="Y785" s="464"/>
      <c r="Z785" s="464"/>
      <c r="AA785" s="464"/>
      <c r="AB785" s="464"/>
      <c r="AC785" s="464"/>
      <c r="AD785" s="464"/>
      <c r="AE785" s="464"/>
      <c r="AF785" s="464"/>
      <c r="AG785" s="464"/>
      <c r="AH785" s="465"/>
      <c r="AI785" s="464"/>
    </row>
    <row r="786" customFormat="false" ht="15" hidden="false" customHeight="true" outlineLevel="0" collapsed="false">
      <c r="A786" s="455" t="s">
        <v>1796</v>
      </c>
      <c r="C786" s="456" t="n">
        <v>45567</v>
      </c>
      <c r="D786" s="456"/>
      <c r="E786" s="57" t="n">
        <v>13928</v>
      </c>
      <c r="F786" s="323" t="s">
        <v>175</v>
      </c>
      <c r="G786" s="323" t="s">
        <v>15</v>
      </c>
      <c r="H786" s="98" t="n">
        <v>900</v>
      </c>
      <c r="I786" s="457" t="n">
        <v>22.5</v>
      </c>
      <c r="J786" s="313" t="s">
        <v>1651</v>
      </c>
      <c r="K786" s="98" t="n">
        <f aca="false">I786*H786</f>
        <v>20250</v>
      </c>
      <c r="L786" s="411" t="n">
        <v>13500</v>
      </c>
      <c r="M786" s="392" t="n">
        <f aca="false">L786/K786</f>
        <v>0.666666666666667</v>
      </c>
      <c r="N786" s="466" t="n">
        <f aca="false">I786*M786</f>
        <v>15</v>
      </c>
      <c r="O786" s="461" t="n">
        <v>900</v>
      </c>
      <c r="P786" s="462" t="n">
        <f aca="false">H786-O786</f>
        <v>0</v>
      </c>
      <c r="Q786" s="463" t="n">
        <f aca="false">O786*I786</f>
        <v>20250</v>
      </c>
      <c r="R786" s="48" t="n">
        <f aca="false">K786-Q786</f>
        <v>0</v>
      </c>
      <c r="S786" s="108"/>
      <c r="T786" s="2" t="s">
        <v>1797</v>
      </c>
      <c r="V786" s="464"/>
      <c r="W786" s="464"/>
      <c r="X786" s="464"/>
      <c r="Y786" s="464"/>
      <c r="Z786" s="464"/>
      <c r="AA786" s="464"/>
      <c r="AB786" s="464"/>
      <c r="AC786" s="464"/>
      <c r="AD786" s="464"/>
      <c r="AE786" s="464"/>
      <c r="AF786" s="464"/>
      <c r="AG786" s="464"/>
      <c r="AH786" s="465"/>
      <c r="AI786" s="464"/>
    </row>
    <row r="787" customFormat="false" ht="15" hidden="false" customHeight="true" outlineLevel="0" collapsed="false">
      <c r="A787" s="455" t="s">
        <v>1796</v>
      </c>
      <c r="C787" s="456" t="n">
        <v>45567</v>
      </c>
      <c r="D787" s="456"/>
      <c r="E787" s="323" t="n">
        <v>13929</v>
      </c>
      <c r="F787" s="323" t="s">
        <v>175</v>
      </c>
      <c r="G787" s="323" t="s">
        <v>17</v>
      </c>
      <c r="H787" s="98" t="n">
        <v>405</v>
      </c>
      <c r="I787" s="457" t="n">
        <v>22.5</v>
      </c>
      <c r="J787" s="313" t="s">
        <v>1651</v>
      </c>
      <c r="K787" s="98" t="n">
        <f aca="false">I787*H787</f>
        <v>9112.5</v>
      </c>
      <c r="L787" s="411" t="n">
        <v>4860</v>
      </c>
      <c r="M787" s="392" t="n">
        <f aca="false">L787/K787</f>
        <v>0.533333333333333</v>
      </c>
      <c r="N787" s="466" t="n">
        <f aca="false">I787*M787</f>
        <v>12</v>
      </c>
      <c r="O787" s="461" t="n">
        <v>405</v>
      </c>
      <c r="P787" s="462" t="n">
        <f aca="false">H787-O787</f>
        <v>0</v>
      </c>
      <c r="Q787" s="463" t="n">
        <f aca="false">O787*I787</f>
        <v>9112.5</v>
      </c>
      <c r="R787" s="48" t="n">
        <f aca="false">K787-Q787</f>
        <v>0</v>
      </c>
      <c r="S787" s="108"/>
      <c r="T787" s="2" t="s">
        <v>1797</v>
      </c>
      <c r="V787" s="464"/>
      <c r="W787" s="464"/>
      <c r="X787" s="464"/>
      <c r="Y787" s="464"/>
      <c r="Z787" s="464"/>
      <c r="AA787" s="464"/>
      <c r="AB787" s="464"/>
      <c r="AC787" s="464"/>
      <c r="AD787" s="464"/>
      <c r="AE787" s="464"/>
      <c r="AF787" s="464"/>
      <c r="AG787" s="464"/>
      <c r="AH787" s="465"/>
      <c r="AI787" s="464"/>
    </row>
    <row r="788" customFormat="false" ht="15" hidden="false" customHeight="true" outlineLevel="0" collapsed="false">
      <c r="A788" s="455" t="s">
        <v>1759</v>
      </c>
      <c r="C788" s="456" t="n">
        <v>45567</v>
      </c>
      <c r="D788" s="456"/>
      <c r="E788" s="323" t="n">
        <v>13930</v>
      </c>
      <c r="F788" s="323" t="s">
        <v>175</v>
      </c>
      <c r="G788" s="323" t="s">
        <v>19</v>
      </c>
      <c r="H788" s="98" t="n">
        <v>300</v>
      </c>
      <c r="I788" s="457" t="n">
        <v>22.5</v>
      </c>
      <c r="J788" s="313" t="s">
        <v>1651</v>
      </c>
      <c r="K788" s="98" t="n">
        <f aca="false">I788*H788</f>
        <v>6750</v>
      </c>
      <c r="L788" s="411" t="n">
        <v>5658</v>
      </c>
      <c r="M788" s="392" t="n">
        <f aca="false">L788/K788</f>
        <v>0.838222222222222</v>
      </c>
      <c r="N788" s="466" t="n">
        <f aca="false">I788*M788</f>
        <v>18.86</v>
      </c>
      <c r="O788" s="461" t="n">
        <v>300</v>
      </c>
      <c r="P788" s="462" t="n">
        <f aca="false">H788-O788</f>
        <v>0</v>
      </c>
      <c r="Q788" s="463" t="n">
        <f aca="false">O788*I788</f>
        <v>6750</v>
      </c>
      <c r="R788" s="48" t="n">
        <f aca="false">K788-Q788</f>
        <v>0</v>
      </c>
      <c r="S788" s="467"/>
      <c r="T788" s="2" t="s">
        <v>1711</v>
      </c>
      <c r="V788" s="464"/>
      <c r="W788" s="464"/>
      <c r="X788" s="464"/>
      <c r="Y788" s="464"/>
      <c r="Z788" s="464"/>
      <c r="AA788" s="464"/>
      <c r="AB788" s="464"/>
      <c r="AC788" s="464"/>
      <c r="AD788" s="464"/>
      <c r="AE788" s="464"/>
      <c r="AF788" s="464"/>
      <c r="AG788" s="464"/>
      <c r="AH788" s="465"/>
      <c r="AI788" s="464"/>
    </row>
    <row r="789" customFormat="false" ht="15" hidden="false" customHeight="true" outlineLevel="0" collapsed="false">
      <c r="A789" s="455" t="s">
        <v>1759</v>
      </c>
      <c r="C789" s="456" t="n">
        <v>45567</v>
      </c>
      <c r="D789" s="456"/>
      <c r="E789" s="323" t="n">
        <v>13930</v>
      </c>
      <c r="F789" s="323" t="s">
        <v>175</v>
      </c>
      <c r="G789" s="323" t="s">
        <v>10</v>
      </c>
      <c r="H789" s="98" t="n">
        <v>4000</v>
      </c>
      <c r="I789" s="457" t="n">
        <v>25.71</v>
      </c>
      <c r="J789" s="313" t="s">
        <v>1651</v>
      </c>
      <c r="K789" s="98" t="n">
        <f aca="false">I789*H789</f>
        <v>102840</v>
      </c>
      <c r="L789" s="411" t="n">
        <v>28800</v>
      </c>
      <c r="M789" s="392" t="n">
        <f aca="false">L789/K789</f>
        <v>0.280046674445741</v>
      </c>
      <c r="N789" s="466" t="n">
        <f aca="false">I789*M789</f>
        <v>7.2</v>
      </c>
      <c r="O789" s="461" t="n">
        <v>4000</v>
      </c>
      <c r="P789" s="462" t="n">
        <f aca="false">H789-O789</f>
        <v>0</v>
      </c>
      <c r="Q789" s="463" t="n">
        <f aca="false">O789*I789</f>
        <v>102840</v>
      </c>
      <c r="R789" s="48" t="n">
        <f aca="false">K789-Q789</f>
        <v>0</v>
      </c>
      <c r="S789" s="467"/>
      <c r="T789" s="2" t="s">
        <v>1711</v>
      </c>
      <c r="V789" s="464"/>
      <c r="W789" s="464"/>
      <c r="X789" s="464"/>
      <c r="Y789" s="464"/>
      <c r="Z789" s="464"/>
      <c r="AA789" s="464"/>
      <c r="AB789" s="464"/>
      <c r="AC789" s="464"/>
      <c r="AD789" s="464"/>
      <c r="AE789" s="464"/>
      <c r="AF789" s="464"/>
      <c r="AG789" s="464"/>
      <c r="AH789" s="465"/>
      <c r="AI789" s="464"/>
    </row>
    <row r="790" customFormat="false" ht="15" hidden="false" customHeight="true" outlineLevel="0" collapsed="false">
      <c r="A790" s="455" t="s">
        <v>1760</v>
      </c>
      <c r="C790" s="456" t="n">
        <v>45567</v>
      </c>
      <c r="D790" s="456"/>
      <c r="E790" s="323" t="n">
        <v>13931</v>
      </c>
      <c r="F790" s="323" t="s">
        <v>175</v>
      </c>
      <c r="G790" s="323" t="s">
        <v>15</v>
      </c>
      <c r="H790" s="98" t="n">
        <v>500</v>
      </c>
      <c r="I790" s="457" t="n">
        <v>22.5</v>
      </c>
      <c r="J790" s="313" t="s">
        <v>1651</v>
      </c>
      <c r="K790" s="98" t="n">
        <f aca="false">I790*H790</f>
        <v>11250</v>
      </c>
      <c r="L790" s="411" t="n">
        <v>8050</v>
      </c>
      <c r="M790" s="392" t="n">
        <f aca="false">L790/K790</f>
        <v>0.715555555555556</v>
      </c>
      <c r="N790" s="466" t="n">
        <f aca="false">I790*M790</f>
        <v>16.1</v>
      </c>
      <c r="O790" s="461" t="n">
        <v>500</v>
      </c>
      <c r="P790" s="462" t="n">
        <f aca="false">H790-O790</f>
        <v>0</v>
      </c>
      <c r="Q790" s="463" t="n">
        <f aca="false">O790*I790</f>
        <v>11250</v>
      </c>
      <c r="R790" s="48" t="n">
        <f aca="false">K790-Q790</f>
        <v>0</v>
      </c>
      <c r="S790" s="467"/>
      <c r="T790" s="2" t="s">
        <v>1711</v>
      </c>
      <c r="V790" s="464"/>
      <c r="W790" s="464"/>
      <c r="X790" s="464"/>
      <c r="Y790" s="464"/>
      <c r="Z790" s="464"/>
      <c r="AA790" s="464"/>
      <c r="AB790" s="464"/>
      <c r="AC790" s="464"/>
      <c r="AD790" s="464"/>
      <c r="AE790" s="464"/>
      <c r="AF790" s="464"/>
      <c r="AG790" s="464"/>
      <c r="AH790" s="465"/>
      <c r="AI790" s="464"/>
    </row>
    <row r="791" customFormat="false" ht="15" hidden="false" customHeight="true" outlineLevel="0" collapsed="false">
      <c r="A791" s="455" t="s">
        <v>1760</v>
      </c>
      <c r="C791" s="456" t="n">
        <v>45567</v>
      </c>
      <c r="D791" s="456"/>
      <c r="E791" s="323" t="n">
        <v>13931</v>
      </c>
      <c r="F791" s="323" t="s">
        <v>175</v>
      </c>
      <c r="G791" s="323" t="s">
        <v>5</v>
      </c>
      <c r="H791" s="98" t="n">
        <v>8000</v>
      </c>
      <c r="I791" s="457" t="n">
        <v>25.71</v>
      </c>
      <c r="J791" s="313" t="s">
        <v>1651</v>
      </c>
      <c r="K791" s="98" t="n">
        <f aca="false">I791*H791</f>
        <v>205680</v>
      </c>
      <c r="L791" s="411" t="n">
        <v>80960</v>
      </c>
      <c r="M791" s="392" t="n">
        <f aca="false">L791/K791</f>
        <v>0.393621159082069</v>
      </c>
      <c r="N791" s="466" t="n">
        <f aca="false">I791*M791</f>
        <v>10.12</v>
      </c>
      <c r="O791" s="461" t="n">
        <v>8000</v>
      </c>
      <c r="P791" s="462" t="n">
        <f aca="false">H791-O791</f>
        <v>0</v>
      </c>
      <c r="Q791" s="463" t="n">
        <f aca="false">O791*I791</f>
        <v>205680</v>
      </c>
      <c r="R791" s="48" t="n">
        <f aca="false">K791-Q791</f>
        <v>0</v>
      </c>
      <c r="S791" s="467"/>
      <c r="T791" s="2" t="s">
        <v>1711</v>
      </c>
      <c r="V791" s="464"/>
      <c r="W791" s="464"/>
      <c r="X791" s="464"/>
      <c r="Y791" s="464"/>
      <c r="Z791" s="464"/>
      <c r="AA791" s="464"/>
      <c r="AB791" s="464"/>
      <c r="AC791" s="464"/>
      <c r="AD791" s="464"/>
      <c r="AE791" s="464"/>
      <c r="AF791" s="464"/>
      <c r="AG791" s="464"/>
      <c r="AH791" s="465"/>
      <c r="AI791" s="464"/>
    </row>
    <row r="792" customFormat="false" ht="15" hidden="false" customHeight="true" outlineLevel="0" collapsed="false">
      <c r="A792" s="455" t="s">
        <v>1760</v>
      </c>
      <c r="C792" s="456" t="n">
        <v>45567</v>
      </c>
      <c r="D792" s="456"/>
      <c r="E792" s="323" t="n">
        <v>13931</v>
      </c>
      <c r="F792" s="323" t="s">
        <v>175</v>
      </c>
      <c r="G792" s="323" t="s">
        <v>19</v>
      </c>
      <c r="H792" s="98" t="n">
        <v>200</v>
      </c>
      <c r="I792" s="457" t="n">
        <v>22.5</v>
      </c>
      <c r="J792" s="313" t="s">
        <v>1651</v>
      </c>
      <c r="K792" s="98" t="n">
        <f aca="false">I792*H792</f>
        <v>4500</v>
      </c>
      <c r="L792" s="411" t="n">
        <v>3772</v>
      </c>
      <c r="M792" s="392" t="n">
        <f aca="false">L792/K792</f>
        <v>0.838222222222222</v>
      </c>
      <c r="N792" s="466" t="n">
        <f aca="false">I792*M792</f>
        <v>18.86</v>
      </c>
      <c r="O792" s="461" t="n">
        <v>200</v>
      </c>
      <c r="P792" s="462" t="n">
        <f aca="false">H792-O792</f>
        <v>0</v>
      </c>
      <c r="Q792" s="463" t="n">
        <f aca="false">O792*I792</f>
        <v>4500</v>
      </c>
      <c r="R792" s="48" t="n">
        <f aca="false">K792-Q792</f>
        <v>0</v>
      </c>
      <c r="S792" s="467"/>
      <c r="T792" s="2" t="s">
        <v>1711</v>
      </c>
      <c r="V792" s="464"/>
      <c r="W792" s="464"/>
      <c r="X792" s="464"/>
      <c r="Y792" s="464"/>
      <c r="Z792" s="464"/>
      <c r="AA792" s="464"/>
      <c r="AB792" s="464"/>
      <c r="AC792" s="464"/>
      <c r="AD792" s="464"/>
      <c r="AE792" s="464"/>
      <c r="AF792" s="464"/>
      <c r="AG792" s="464"/>
      <c r="AH792" s="465"/>
      <c r="AI792" s="464"/>
    </row>
    <row r="793" customFormat="false" ht="15" hidden="false" customHeight="true" outlineLevel="0" collapsed="false">
      <c r="A793" s="455" t="s">
        <v>1760</v>
      </c>
      <c r="C793" s="456" t="n">
        <v>45567</v>
      </c>
      <c r="D793" s="456"/>
      <c r="E793" s="323" t="n">
        <v>13931</v>
      </c>
      <c r="F793" s="323" t="s">
        <v>175</v>
      </c>
      <c r="G793" s="323" t="s">
        <v>6</v>
      </c>
      <c r="H793" s="98" t="n">
        <v>300</v>
      </c>
      <c r="I793" s="457" t="n">
        <v>30</v>
      </c>
      <c r="J793" s="313" t="s">
        <v>1651</v>
      </c>
      <c r="K793" s="98" t="n">
        <f aca="false">I793*H793</f>
        <v>9000</v>
      </c>
      <c r="L793" s="411" t="n">
        <v>3450</v>
      </c>
      <c r="M793" s="392" t="n">
        <f aca="false">L793/K793</f>
        <v>0.383333333333333</v>
      </c>
      <c r="N793" s="466" t="n">
        <f aca="false">I793*M793</f>
        <v>11.5</v>
      </c>
      <c r="O793" s="461" t="n">
        <v>300</v>
      </c>
      <c r="P793" s="462" t="n">
        <f aca="false">H793-O793</f>
        <v>0</v>
      </c>
      <c r="Q793" s="463" t="n">
        <f aca="false">O793*I793</f>
        <v>9000</v>
      </c>
      <c r="R793" s="48" t="n">
        <f aca="false">K793-Q793</f>
        <v>0</v>
      </c>
      <c r="S793" s="467"/>
      <c r="T793" s="2" t="s">
        <v>1711</v>
      </c>
      <c r="V793" s="464"/>
      <c r="W793" s="464"/>
      <c r="X793" s="464"/>
      <c r="Y793" s="464"/>
      <c r="Z793" s="464"/>
      <c r="AA793" s="464"/>
      <c r="AB793" s="464"/>
      <c r="AC793" s="464"/>
      <c r="AD793" s="464"/>
      <c r="AE793" s="464"/>
      <c r="AF793" s="464"/>
      <c r="AG793" s="464"/>
      <c r="AH793" s="465"/>
      <c r="AI793" s="464"/>
    </row>
    <row r="794" customFormat="false" ht="15" hidden="false" customHeight="true" outlineLevel="0" collapsed="false">
      <c r="A794" s="455" t="s">
        <v>1760</v>
      </c>
      <c r="C794" s="456" t="n">
        <v>45567</v>
      </c>
      <c r="D794" s="456"/>
      <c r="E794" s="323" t="n">
        <v>13931</v>
      </c>
      <c r="F794" s="323" t="s">
        <v>175</v>
      </c>
      <c r="G794" s="323" t="s">
        <v>13</v>
      </c>
      <c r="H794" s="98" t="n">
        <v>3000</v>
      </c>
      <c r="I794" s="457" t="n">
        <v>22.5</v>
      </c>
      <c r="J794" s="313" t="s">
        <v>1651</v>
      </c>
      <c r="K794" s="98" t="n">
        <f aca="false">I794*H794</f>
        <v>67500</v>
      </c>
      <c r="L794" s="411" t="n">
        <v>31740</v>
      </c>
      <c r="M794" s="392" t="n">
        <f aca="false">L794/K794</f>
        <v>0.470222222222222</v>
      </c>
      <c r="N794" s="466" t="n">
        <f aca="false">I794*M794</f>
        <v>10.58</v>
      </c>
      <c r="O794" s="461" t="n">
        <v>3000</v>
      </c>
      <c r="P794" s="462" t="n">
        <f aca="false">H794-O794</f>
        <v>0</v>
      </c>
      <c r="Q794" s="463" t="n">
        <f aca="false">O794*I794</f>
        <v>67500</v>
      </c>
      <c r="R794" s="48" t="n">
        <f aca="false">K794-Q794</f>
        <v>0</v>
      </c>
      <c r="S794" s="467"/>
      <c r="T794" s="2" t="s">
        <v>1711</v>
      </c>
      <c r="V794" s="464"/>
      <c r="W794" s="464"/>
      <c r="X794" s="464"/>
      <c r="Y794" s="464"/>
      <c r="Z794" s="464"/>
      <c r="AA794" s="464"/>
      <c r="AB794" s="464"/>
      <c r="AC794" s="464"/>
      <c r="AD794" s="464"/>
      <c r="AE794" s="464"/>
      <c r="AF794" s="464"/>
      <c r="AG794" s="464"/>
      <c r="AH794" s="465"/>
      <c r="AI794" s="464"/>
    </row>
    <row r="795" customFormat="false" ht="15" hidden="false" customHeight="true" outlineLevel="0" collapsed="false">
      <c r="A795" s="455" t="s">
        <v>1760</v>
      </c>
      <c r="C795" s="456" t="n">
        <v>45567</v>
      </c>
      <c r="D795" s="456"/>
      <c r="E795" s="323" t="n">
        <v>13931</v>
      </c>
      <c r="F795" s="323" t="s">
        <v>175</v>
      </c>
      <c r="G795" s="323" t="s">
        <v>17</v>
      </c>
      <c r="H795" s="98" t="n">
        <v>1000</v>
      </c>
      <c r="I795" s="457" t="n">
        <v>22.5</v>
      </c>
      <c r="J795" s="313" t="s">
        <v>1651</v>
      </c>
      <c r="K795" s="98" t="n">
        <f aca="false">I795*H795</f>
        <v>22500</v>
      </c>
      <c r="L795" s="411" t="n">
        <v>10580</v>
      </c>
      <c r="M795" s="392" t="n">
        <f aca="false">L795/K795</f>
        <v>0.470222222222222</v>
      </c>
      <c r="N795" s="466" t="n">
        <f aca="false">I795*M795</f>
        <v>10.58</v>
      </c>
      <c r="O795" s="461" t="n">
        <v>1000</v>
      </c>
      <c r="P795" s="462" t="n">
        <f aca="false">H795-O795</f>
        <v>0</v>
      </c>
      <c r="Q795" s="463" t="n">
        <f aca="false">O795*I795</f>
        <v>22500</v>
      </c>
      <c r="R795" s="48" t="n">
        <f aca="false">K795-Q795</f>
        <v>0</v>
      </c>
      <c r="S795" s="467"/>
      <c r="T795" s="2" t="s">
        <v>1711</v>
      </c>
      <c r="V795" s="464"/>
      <c r="W795" s="464"/>
      <c r="X795" s="464"/>
      <c r="Y795" s="464"/>
      <c r="Z795" s="464"/>
      <c r="AA795" s="464"/>
      <c r="AB795" s="464"/>
      <c r="AC795" s="464"/>
      <c r="AD795" s="464"/>
      <c r="AE795" s="464"/>
      <c r="AF795" s="464"/>
      <c r="AG795" s="464"/>
      <c r="AH795" s="465"/>
      <c r="AI795" s="464"/>
    </row>
    <row r="796" customFormat="false" ht="15" hidden="false" customHeight="true" outlineLevel="0" collapsed="false">
      <c r="A796" s="455" t="s">
        <v>1819</v>
      </c>
      <c r="C796" s="456" t="n">
        <v>45567</v>
      </c>
      <c r="D796" s="456"/>
      <c r="E796" s="323" t="n">
        <v>13932</v>
      </c>
      <c r="F796" s="323" t="s">
        <v>175</v>
      </c>
      <c r="G796" s="323" t="s">
        <v>5</v>
      </c>
      <c r="H796" s="98" t="n">
        <v>500</v>
      </c>
      <c r="I796" s="457" t="n">
        <v>25.71</v>
      </c>
      <c r="J796" s="313" t="s">
        <v>1651</v>
      </c>
      <c r="K796" s="98" t="n">
        <f aca="false">I796*H796</f>
        <v>12855</v>
      </c>
      <c r="L796" s="411" t="n">
        <v>5060</v>
      </c>
      <c r="M796" s="392" t="n">
        <f aca="false">L796/K796</f>
        <v>0.393621159082069</v>
      </c>
      <c r="N796" s="466" t="n">
        <f aca="false">I796*M796</f>
        <v>10.12</v>
      </c>
      <c r="O796" s="461" t="n">
        <v>500</v>
      </c>
      <c r="P796" s="462" t="n">
        <f aca="false">H796-O796</f>
        <v>0</v>
      </c>
      <c r="Q796" s="463" t="n">
        <f aca="false">O796*I796</f>
        <v>12855</v>
      </c>
      <c r="R796" s="48" t="n">
        <f aca="false">K796-Q796</f>
        <v>0</v>
      </c>
      <c r="S796" s="467"/>
      <c r="T796" s="2" t="s">
        <v>1711</v>
      </c>
      <c r="V796" s="464"/>
      <c r="W796" s="464"/>
      <c r="X796" s="464"/>
      <c r="Y796" s="464"/>
      <c r="Z796" s="464"/>
      <c r="AA796" s="464"/>
      <c r="AB796" s="464"/>
      <c r="AC796" s="464"/>
      <c r="AD796" s="464"/>
      <c r="AE796" s="464"/>
      <c r="AF796" s="464"/>
      <c r="AG796" s="464"/>
      <c r="AH796" s="465"/>
      <c r="AI796" s="464"/>
    </row>
    <row r="797" customFormat="false" ht="15" hidden="false" customHeight="true" outlineLevel="0" collapsed="false">
      <c r="A797" s="455" t="s">
        <v>1819</v>
      </c>
      <c r="C797" s="456" t="n">
        <v>45567</v>
      </c>
      <c r="D797" s="456"/>
      <c r="E797" s="323" t="n">
        <v>13932</v>
      </c>
      <c r="F797" s="323" t="s">
        <v>175</v>
      </c>
      <c r="G797" s="323" t="s">
        <v>42</v>
      </c>
      <c r="H797" s="98" t="n">
        <v>1500</v>
      </c>
      <c r="I797" s="457" t="n">
        <v>30</v>
      </c>
      <c r="J797" s="313" t="s">
        <v>1651</v>
      </c>
      <c r="K797" s="98" t="n">
        <f aca="false">I797*H797</f>
        <v>45000</v>
      </c>
      <c r="L797" s="411" t="n">
        <v>18630</v>
      </c>
      <c r="M797" s="392" t="n">
        <f aca="false">L797/K797</f>
        <v>0.414</v>
      </c>
      <c r="N797" s="466" t="n">
        <f aca="false">I797*M797</f>
        <v>12.42</v>
      </c>
      <c r="O797" s="461" t="n">
        <v>1500</v>
      </c>
      <c r="P797" s="462" t="n">
        <f aca="false">H797-O797</f>
        <v>0</v>
      </c>
      <c r="Q797" s="463" t="n">
        <f aca="false">O797*I797</f>
        <v>45000</v>
      </c>
      <c r="R797" s="48" t="n">
        <f aca="false">K797-Q797</f>
        <v>0</v>
      </c>
      <c r="S797" s="467"/>
      <c r="T797" s="2" t="s">
        <v>1711</v>
      </c>
      <c r="V797" s="464"/>
      <c r="W797" s="464"/>
      <c r="X797" s="464"/>
      <c r="Y797" s="464"/>
      <c r="Z797" s="464"/>
      <c r="AA797" s="464"/>
      <c r="AB797" s="464"/>
      <c r="AC797" s="464"/>
      <c r="AD797" s="464"/>
      <c r="AE797" s="464"/>
      <c r="AF797" s="464"/>
      <c r="AG797" s="464"/>
      <c r="AH797" s="465"/>
      <c r="AI797" s="464"/>
    </row>
    <row r="798" customFormat="false" ht="15" hidden="false" customHeight="true" outlineLevel="0" collapsed="false">
      <c r="A798" s="455" t="s">
        <v>1819</v>
      </c>
      <c r="C798" s="456" t="n">
        <v>45567</v>
      </c>
      <c r="D798" s="456"/>
      <c r="E798" s="323" t="n">
        <v>13932</v>
      </c>
      <c r="F798" s="323" t="s">
        <v>175</v>
      </c>
      <c r="G798" s="323" t="s">
        <v>6</v>
      </c>
      <c r="H798" s="98" t="n">
        <v>3000</v>
      </c>
      <c r="I798" s="457" t="n">
        <v>30</v>
      </c>
      <c r="J798" s="313" t="s">
        <v>1651</v>
      </c>
      <c r="K798" s="98" t="n">
        <f aca="false">I798*H798</f>
        <v>90000</v>
      </c>
      <c r="L798" s="411" t="n">
        <v>34500</v>
      </c>
      <c r="M798" s="392" t="n">
        <f aca="false">L798/K798</f>
        <v>0.383333333333333</v>
      </c>
      <c r="N798" s="466" t="n">
        <f aca="false">I798*M798</f>
        <v>11.5</v>
      </c>
      <c r="O798" s="461" t="n">
        <v>3000</v>
      </c>
      <c r="P798" s="462" t="n">
        <f aca="false">H798-O798</f>
        <v>0</v>
      </c>
      <c r="Q798" s="463" t="n">
        <f aca="false">O798*I798</f>
        <v>90000</v>
      </c>
      <c r="R798" s="48" t="n">
        <f aca="false">K798-Q798</f>
        <v>0</v>
      </c>
      <c r="S798" s="467"/>
      <c r="T798" s="2" t="s">
        <v>1711</v>
      </c>
      <c r="V798" s="464"/>
      <c r="W798" s="464"/>
      <c r="X798" s="464"/>
      <c r="Y798" s="464"/>
      <c r="Z798" s="464"/>
      <c r="AA798" s="464"/>
      <c r="AB798" s="464"/>
      <c r="AC798" s="464"/>
      <c r="AD798" s="464"/>
      <c r="AE798" s="464"/>
      <c r="AF798" s="464"/>
      <c r="AG798" s="464"/>
      <c r="AH798" s="465"/>
      <c r="AI798" s="464"/>
    </row>
    <row r="799" customFormat="false" ht="15" hidden="false" customHeight="true" outlineLevel="0" collapsed="false">
      <c r="A799" s="455" t="s">
        <v>1819</v>
      </c>
      <c r="C799" s="456" t="n">
        <v>45567</v>
      </c>
      <c r="D799" s="456"/>
      <c r="E799" s="323" t="n">
        <v>13932</v>
      </c>
      <c r="F799" s="323" t="s">
        <v>175</v>
      </c>
      <c r="G799" s="323" t="s">
        <v>13</v>
      </c>
      <c r="H799" s="98" t="n">
        <v>1000</v>
      </c>
      <c r="I799" s="457" t="n">
        <v>22.5</v>
      </c>
      <c r="J799" s="313" t="s">
        <v>1651</v>
      </c>
      <c r="K799" s="98" t="n">
        <f aca="false">I799*H799</f>
        <v>22500</v>
      </c>
      <c r="L799" s="411" t="n">
        <v>10580</v>
      </c>
      <c r="M799" s="392" t="n">
        <f aca="false">L799/K799</f>
        <v>0.470222222222222</v>
      </c>
      <c r="N799" s="466" t="n">
        <f aca="false">I799*M799</f>
        <v>10.58</v>
      </c>
      <c r="O799" s="461" t="n">
        <v>1000</v>
      </c>
      <c r="P799" s="462" t="n">
        <f aca="false">H799-O799</f>
        <v>0</v>
      </c>
      <c r="Q799" s="463" t="n">
        <f aca="false">O799*I799</f>
        <v>22500</v>
      </c>
      <c r="R799" s="48" t="n">
        <f aca="false">K799-Q799</f>
        <v>0</v>
      </c>
      <c r="S799" s="467"/>
      <c r="T799" s="2" t="s">
        <v>1711</v>
      </c>
      <c r="V799" s="464"/>
      <c r="W799" s="464"/>
      <c r="X799" s="464"/>
      <c r="Y799" s="464"/>
      <c r="Z799" s="464"/>
      <c r="AA799" s="464"/>
      <c r="AB799" s="464"/>
      <c r="AC799" s="464"/>
      <c r="AD799" s="464"/>
      <c r="AE799" s="464"/>
      <c r="AF799" s="464"/>
      <c r="AG799" s="464"/>
      <c r="AH799" s="465"/>
      <c r="AI799" s="464"/>
    </row>
    <row r="800" customFormat="false" ht="15" hidden="false" customHeight="true" outlineLevel="0" collapsed="false">
      <c r="A800" s="455" t="s">
        <v>1819</v>
      </c>
      <c r="C800" s="456" t="n">
        <v>45567</v>
      </c>
      <c r="D800" s="456"/>
      <c r="E800" s="323" t="n">
        <v>13932</v>
      </c>
      <c r="F800" s="323" t="s">
        <v>175</v>
      </c>
      <c r="G800" s="323" t="s">
        <v>16</v>
      </c>
      <c r="H800" s="98" t="n">
        <v>750</v>
      </c>
      <c r="I800" s="457" t="n">
        <v>22.5</v>
      </c>
      <c r="J800" s="313" t="s">
        <v>1651</v>
      </c>
      <c r="K800" s="98" t="n">
        <f aca="false">I800*H800</f>
        <v>16875</v>
      </c>
      <c r="L800" s="411" t="n">
        <v>12420</v>
      </c>
      <c r="M800" s="392" t="n">
        <f aca="false">L800/K800</f>
        <v>0.736</v>
      </c>
      <c r="N800" s="466" t="n">
        <f aca="false">I800*M800</f>
        <v>16.56</v>
      </c>
      <c r="O800" s="461" t="n">
        <v>750</v>
      </c>
      <c r="P800" s="462" t="n">
        <f aca="false">H800-O800</f>
        <v>0</v>
      </c>
      <c r="Q800" s="463" t="n">
        <f aca="false">O800*I800</f>
        <v>16875</v>
      </c>
      <c r="R800" s="48" t="n">
        <f aca="false">K800-Q800</f>
        <v>0</v>
      </c>
      <c r="S800" s="467"/>
      <c r="T800" s="2" t="s">
        <v>1711</v>
      </c>
      <c r="V800" s="464"/>
      <c r="W800" s="464"/>
      <c r="X800" s="464"/>
      <c r="Y800" s="464"/>
      <c r="Z800" s="464"/>
      <c r="AA800" s="464"/>
      <c r="AB800" s="464"/>
      <c r="AC800" s="464"/>
      <c r="AD800" s="464"/>
      <c r="AE800" s="464"/>
      <c r="AF800" s="464"/>
      <c r="AG800" s="464"/>
      <c r="AH800" s="465"/>
      <c r="AI800" s="464"/>
    </row>
    <row r="801" customFormat="false" ht="15" hidden="false" customHeight="true" outlineLevel="0" collapsed="false">
      <c r="A801" s="455" t="s">
        <v>1819</v>
      </c>
      <c r="C801" s="456" t="n">
        <v>45567</v>
      </c>
      <c r="D801" s="456"/>
      <c r="E801" s="323" t="n">
        <v>13932</v>
      </c>
      <c r="F801" s="323" t="s">
        <v>175</v>
      </c>
      <c r="G801" s="323" t="s">
        <v>10</v>
      </c>
      <c r="H801" s="98" t="n">
        <v>1000</v>
      </c>
      <c r="I801" s="457" t="n">
        <v>25.71</v>
      </c>
      <c r="J801" s="313" t="s">
        <v>1651</v>
      </c>
      <c r="K801" s="98" t="n">
        <f aca="false">I801*H801</f>
        <v>25710</v>
      </c>
      <c r="L801" s="411" t="n">
        <v>7200</v>
      </c>
      <c r="M801" s="392" t="n">
        <f aca="false">L801/K801</f>
        <v>0.280046674445741</v>
      </c>
      <c r="N801" s="466" t="n">
        <f aca="false">I801*M801</f>
        <v>7.2</v>
      </c>
      <c r="O801" s="461" t="n">
        <v>1000</v>
      </c>
      <c r="P801" s="462" t="n">
        <f aca="false">H801-O801</f>
        <v>0</v>
      </c>
      <c r="Q801" s="463" t="n">
        <f aca="false">O801*I801</f>
        <v>25710</v>
      </c>
      <c r="R801" s="48" t="n">
        <f aca="false">K801-Q801</f>
        <v>0</v>
      </c>
      <c r="S801" s="467"/>
      <c r="T801" s="2" t="s">
        <v>1711</v>
      </c>
      <c r="V801" s="464"/>
      <c r="W801" s="464"/>
      <c r="X801" s="464"/>
      <c r="Y801" s="464"/>
      <c r="Z801" s="464"/>
      <c r="AA801" s="464"/>
      <c r="AB801" s="464"/>
      <c r="AC801" s="464"/>
      <c r="AD801" s="464"/>
      <c r="AE801" s="464"/>
      <c r="AF801" s="464"/>
      <c r="AG801" s="464"/>
      <c r="AH801" s="465"/>
      <c r="AI801" s="464"/>
    </row>
    <row r="802" customFormat="false" ht="15" hidden="false" customHeight="true" outlineLevel="0" collapsed="false">
      <c r="A802" s="455" t="s">
        <v>1819</v>
      </c>
      <c r="C802" s="456" t="n">
        <v>45567</v>
      </c>
      <c r="D802" s="456"/>
      <c r="E802" s="323" t="n">
        <v>13932</v>
      </c>
      <c r="F802" s="323" t="s">
        <v>175</v>
      </c>
      <c r="G802" s="323" t="s">
        <v>17</v>
      </c>
      <c r="H802" s="98" t="n">
        <v>3000</v>
      </c>
      <c r="I802" s="457" t="n">
        <v>22.5</v>
      </c>
      <c r="J802" s="313" t="s">
        <v>1651</v>
      </c>
      <c r="K802" s="98" t="n">
        <f aca="false">I802*H802</f>
        <v>67500</v>
      </c>
      <c r="L802" s="411" t="n">
        <v>31740</v>
      </c>
      <c r="M802" s="392" t="n">
        <f aca="false">L802/K802</f>
        <v>0.470222222222222</v>
      </c>
      <c r="N802" s="466" t="n">
        <f aca="false">I802*M802</f>
        <v>10.58</v>
      </c>
      <c r="O802" s="461" t="n">
        <v>3000</v>
      </c>
      <c r="P802" s="462" t="n">
        <f aca="false">H802-O802</f>
        <v>0</v>
      </c>
      <c r="Q802" s="463" t="n">
        <f aca="false">O802*I802</f>
        <v>67500</v>
      </c>
      <c r="R802" s="48" t="n">
        <f aca="false">K802-Q802</f>
        <v>0</v>
      </c>
      <c r="S802" s="467"/>
      <c r="T802" s="2" t="s">
        <v>1711</v>
      </c>
      <c r="V802" s="464"/>
      <c r="W802" s="464"/>
      <c r="X802" s="464"/>
      <c r="Y802" s="464"/>
      <c r="Z802" s="464"/>
      <c r="AA802" s="464"/>
      <c r="AB802" s="464"/>
      <c r="AC802" s="464"/>
      <c r="AD802" s="464"/>
      <c r="AE802" s="464"/>
      <c r="AF802" s="464"/>
      <c r="AG802" s="464"/>
      <c r="AH802" s="465"/>
      <c r="AI802" s="464"/>
    </row>
    <row r="803" customFormat="false" ht="15" hidden="false" customHeight="true" outlineLevel="0" collapsed="false">
      <c r="A803" s="455" t="s">
        <v>1758</v>
      </c>
      <c r="C803" s="456" t="n">
        <v>45567</v>
      </c>
      <c r="D803" s="456"/>
      <c r="E803" s="323" t="n">
        <v>13934</v>
      </c>
      <c r="F803" s="323" t="s">
        <v>175</v>
      </c>
      <c r="G803" s="323" t="s">
        <v>5</v>
      </c>
      <c r="H803" s="98" t="n">
        <v>5000</v>
      </c>
      <c r="I803" s="457" t="n">
        <v>25.71</v>
      </c>
      <c r="J803" s="313" t="s">
        <v>1651</v>
      </c>
      <c r="K803" s="98" t="n">
        <f aca="false">I803*H803</f>
        <v>128550</v>
      </c>
      <c r="L803" s="411" t="n">
        <v>50600</v>
      </c>
      <c r="M803" s="392" t="n">
        <f aca="false">L803/K803</f>
        <v>0.393621159082069</v>
      </c>
      <c r="N803" s="466" t="n">
        <f aca="false">I803*M803</f>
        <v>10.12</v>
      </c>
      <c r="O803" s="461" t="n">
        <v>5000</v>
      </c>
      <c r="P803" s="462" t="n">
        <f aca="false">H803-O803</f>
        <v>0</v>
      </c>
      <c r="Q803" s="463" t="n">
        <f aca="false">O803*I803</f>
        <v>128550</v>
      </c>
      <c r="R803" s="48" t="n">
        <f aca="false">K803-Q803</f>
        <v>0</v>
      </c>
      <c r="S803" s="467"/>
      <c r="T803" s="2" t="s">
        <v>1711</v>
      </c>
      <c r="V803" s="464"/>
      <c r="W803" s="464"/>
      <c r="X803" s="464"/>
      <c r="Y803" s="464"/>
      <c r="Z803" s="464"/>
      <c r="AA803" s="464"/>
      <c r="AB803" s="464"/>
      <c r="AC803" s="464"/>
      <c r="AD803" s="464"/>
      <c r="AE803" s="464"/>
      <c r="AF803" s="464"/>
      <c r="AG803" s="464"/>
      <c r="AH803" s="465"/>
      <c r="AI803" s="464"/>
    </row>
    <row r="804" customFormat="false" ht="15" hidden="false" customHeight="true" outlineLevel="0" collapsed="false">
      <c r="A804" s="455" t="s">
        <v>1758</v>
      </c>
      <c r="C804" s="456" t="n">
        <v>45567</v>
      </c>
      <c r="D804" s="456"/>
      <c r="E804" s="323" t="n">
        <v>13934</v>
      </c>
      <c r="F804" s="323" t="s">
        <v>175</v>
      </c>
      <c r="G804" s="323" t="s">
        <v>19</v>
      </c>
      <c r="H804" s="98" t="n">
        <v>200</v>
      </c>
      <c r="I804" s="457" t="n">
        <v>22.5</v>
      </c>
      <c r="J804" s="313" t="s">
        <v>1651</v>
      </c>
      <c r="K804" s="98" t="n">
        <f aca="false">I804*H804</f>
        <v>4500</v>
      </c>
      <c r="L804" s="411" t="n">
        <v>3772</v>
      </c>
      <c r="M804" s="392" t="n">
        <f aca="false">L804/K804</f>
        <v>0.838222222222222</v>
      </c>
      <c r="N804" s="466" t="n">
        <f aca="false">I804*M804</f>
        <v>18.86</v>
      </c>
      <c r="O804" s="461" t="n">
        <v>200</v>
      </c>
      <c r="P804" s="462" t="n">
        <f aca="false">H804-O804</f>
        <v>0</v>
      </c>
      <c r="Q804" s="463" t="n">
        <f aca="false">O804*I804</f>
        <v>4500</v>
      </c>
      <c r="R804" s="48" t="n">
        <f aca="false">K804-Q804</f>
        <v>0</v>
      </c>
      <c r="S804" s="467"/>
      <c r="T804" s="2" t="s">
        <v>1711</v>
      </c>
      <c r="V804" s="464"/>
      <c r="W804" s="464"/>
      <c r="X804" s="464"/>
      <c r="Y804" s="464"/>
      <c r="Z804" s="464"/>
      <c r="AA804" s="464"/>
      <c r="AB804" s="464"/>
      <c r="AC804" s="464"/>
      <c r="AD804" s="464"/>
      <c r="AE804" s="464"/>
      <c r="AF804" s="464"/>
      <c r="AG804" s="464"/>
      <c r="AH804" s="465"/>
      <c r="AI804" s="464"/>
    </row>
    <row r="805" customFormat="false" ht="15" hidden="false" customHeight="true" outlineLevel="0" collapsed="false">
      <c r="A805" s="455" t="s">
        <v>1758</v>
      </c>
      <c r="C805" s="456" t="n">
        <v>45567</v>
      </c>
      <c r="D805" s="456"/>
      <c r="E805" s="57" t="n">
        <v>13934</v>
      </c>
      <c r="F805" s="323" t="s">
        <v>175</v>
      </c>
      <c r="G805" s="323" t="s">
        <v>42</v>
      </c>
      <c r="H805" s="98" t="n">
        <v>500</v>
      </c>
      <c r="I805" s="457" t="n">
        <v>30</v>
      </c>
      <c r="J805" s="313" t="s">
        <v>1651</v>
      </c>
      <c r="K805" s="98" t="n">
        <f aca="false">I805*H805</f>
        <v>15000</v>
      </c>
      <c r="L805" s="411" t="n">
        <v>6210</v>
      </c>
      <c r="M805" s="392" t="n">
        <f aca="false">L805/K805</f>
        <v>0.414</v>
      </c>
      <c r="N805" s="466" t="n">
        <f aca="false">I805*M805</f>
        <v>12.42</v>
      </c>
      <c r="O805" s="461" t="n">
        <v>500</v>
      </c>
      <c r="P805" s="462" t="n">
        <f aca="false">H805-O805</f>
        <v>0</v>
      </c>
      <c r="Q805" s="463" t="n">
        <f aca="false">O805*I805</f>
        <v>15000</v>
      </c>
      <c r="R805" s="48" t="n">
        <f aca="false">K805-Q805</f>
        <v>0</v>
      </c>
      <c r="S805" s="467"/>
      <c r="T805" s="2" t="s">
        <v>1711</v>
      </c>
      <c r="V805" s="464"/>
      <c r="W805" s="464"/>
      <c r="X805" s="464"/>
      <c r="Y805" s="464"/>
      <c r="Z805" s="464"/>
      <c r="AA805" s="464"/>
      <c r="AB805" s="464"/>
      <c r="AC805" s="464"/>
      <c r="AD805" s="464"/>
      <c r="AE805" s="464"/>
      <c r="AF805" s="464"/>
      <c r="AG805" s="464"/>
      <c r="AH805" s="465"/>
      <c r="AI805" s="464"/>
    </row>
    <row r="806" customFormat="false" ht="15" hidden="false" customHeight="true" outlineLevel="0" collapsed="false">
      <c r="A806" s="455" t="s">
        <v>1758</v>
      </c>
      <c r="C806" s="456" t="n">
        <v>45567</v>
      </c>
      <c r="D806" s="456"/>
      <c r="E806" s="57" t="n">
        <v>13934</v>
      </c>
      <c r="F806" s="323" t="s">
        <v>175</v>
      </c>
      <c r="G806" s="323" t="s">
        <v>16</v>
      </c>
      <c r="H806" s="98" t="n">
        <v>1000</v>
      </c>
      <c r="I806" s="457" t="n">
        <v>22.5</v>
      </c>
      <c r="J806" s="313" t="s">
        <v>1651</v>
      </c>
      <c r="K806" s="98" t="n">
        <f aca="false">I806*H806</f>
        <v>22500</v>
      </c>
      <c r="L806" s="411" t="n">
        <v>16560</v>
      </c>
      <c r="M806" s="392" t="n">
        <f aca="false">L806/K806</f>
        <v>0.736</v>
      </c>
      <c r="N806" s="466" t="n">
        <f aca="false">I806*M806</f>
        <v>16.56</v>
      </c>
      <c r="O806" s="461" t="n">
        <v>1000</v>
      </c>
      <c r="P806" s="462" t="n">
        <f aca="false">H806-O806</f>
        <v>0</v>
      </c>
      <c r="Q806" s="463" t="n">
        <f aca="false">O806*I806</f>
        <v>22500</v>
      </c>
      <c r="R806" s="48" t="n">
        <f aca="false">K806-Q806</f>
        <v>0</v>
      </c>
      <c r="S806" s="467"/>
      <c r="T806" s="2" t="s">
        <v>1711</v>
      </c>
      <c r="V806" s="464"/>
      <c r="W806" s="464"/>
      <c r="X806" s="464"/>
      <c r="Y806" s="464"/>
      <c r="Z806" s="464"/>
      <c r="AA806" s="464"/>
      <c r="AB806" s="464"/>
      <c r="AC806" s="464"/>
      <c r="AD806" s="464"/>
      <c r="AE806" s="464"/>
      <c r="AF806" s="464"/>
      <c r="AG806" s="464"/>
      <c r="AH806" s="465"/>
      <c r="AI806" s="464"/>
    </row>
    <row r="807" customFormat="false" ht="15" hidden="false" customHeight="true" outlineLevel="0" collapsed="false">
      <c r="A807" s="455" t="s">
        <v>1758</v>
      </c>
      <c r="C807" s="456" t="n">
        <v>45567</v>
      </c>
      <c r="D807" s="456"/>
      <c r="E807" s="57" t="n">
        <v>13934</v>
      </c>
      <c r="F807" s="323" t="s">
        <v>175</v>
      </c>
      <c r="G807" s="323" t="s">
        <v>10</v>
      </c>
      <c r="H807" s="98" t="n">
        <v>5000</v>
      </c>
      <c r="I807" s="457" t="n">
        <v>25.71</v>
      </c>
      <c r="J807" s="313" t="s">
        <v>1651</v>
      </c>
      <c r="K807" s="98" t="n">
        <f aca="false">I807*H807</f>
        <v>128550</v>
      </c>
      <c r="L807" s="411" t="n">
        <v>36000</v>
      </c>
      <c r="M807" s="392" t="n">
        <f aca="false">L807/K807</f>
        <v>0.280046674445741</v>
      </c>
      <c r="N807" s="466" t="n">
        <f aca="false">I807*M807</f>
        <v>7.2</v>
      </c>
      <c r="O807" s="461" t="n">
        <v>5000</v>
      </c>
      <c r="P807" s="462" t="n">
        <f aca="false">H807-O807</f>
        <v>0</v>
      </c>
      <c r="Q807" s="463" t="n">
        <f aca="false">O807*I807</f>
        <v>128550</v>
      </c>
      <c r="R807" s="48" t="n">
        <f aca="false">K807-Q807</f>
        <v>0</v>
      </c>
      <c r="S807" s="467"/>
      <c r="T807" s="2" t="s">
        <v>1711</v>
      </c>
      <c r="V807" s="464"/>
      <c r="W807" s="464"/>
      <c r="X807" s="464"/>
      <c r="Y807" s="464"/>
      <c r="Z807" s="464"/>
      <c r="AA807" s="464"/>
      <c r="AB807" s="464"/>
      <c r="AC807" s="464"/>
      <c r="AD807" s="464"/>
      <c r="AE807" s="464"/>
      <c r="AF807" s="464"/>
      <c r="AG807" s="464"/>
      <c r="AH807" s="465"/>
      <c r="AI807" s="464"/>
    </row>
    <row r="808" customFormat="false" ht="15" hidden="false" customHeight="true" outlineLevel="0" collapsed="false">
      <c r="A808" s="455" t="s">
        <v>1758</v>
      </c>
      <c r="C808" s="456" t="n">
        <v>45567</v>
      </c>
      <c r="D808" s="456"/>
      <c r="E808" s="57" t="n">
        <v>13934</v>
      </c>
      <c r="F808" s="323" t="s">
        <v>175</v>
      </c>
      <c r="G808" s="323" t="s">
        <v>17</v>
      </c>
      <c r="H808" s="98" t="n">
        <v>600</v>
      </c>
      <c r="I808" s="457" t="n">
        <v>22.5</v>
      </c>
      <c r="J808" s="313" t="s">
        <v>1651</v>
      </c>
      <c r="K808" s="98" t="n">
        <f aca="false">I808*H808</f>
        <v>13500</v>
      </c>
      <c r="L808" s="411" t="n">
        <v>6348</v>
      </c>
      <c r="M808" s="392" t="n">
        <f aca="false">L808/K808</f>
        <v>0.470222222222222</v>
      </c>
      <c r="N808" s="466" t="n">
        <f aca="false">I808*M808</f>
        <v>10.58</v>
      </c>
      <c r="O808" s="461" t="n">
        <v>600</v>
      </c>
      <c r="P808" s="462" t="n">
        <f aca="false">H808-O808</f>
        <v>0</v>
      </c>
      <c r="Q808" s="463" t="n">
        <f aca="false">O808*I808</f>
        <v>13500</v>
      </c>
      <c r="R808" s="48" t="n">
        <f aca="false">K808-Q808</f>
        <v>0</v>
      </c>
      <c r="S808" s="467"/>
      <c r="T808" s="2" t="s">
        <v>1711</v>
      </c>
      <c r="V808" s="464"/>
      <c r="W808" s="464"/>
      <c r="X808" s="464"/>
      <c r="Y808" s="464"/>
      <c r="Z808" s="464"/>
      <c r="AA808" s="464"/>
      <c r="AB808" s="464"/>
      <c r="AC808" s="464"/>
      <c r="AD808" s="464"/>
      <c r="AE808" s="464"/>
      <c r="AF808" s="464"/>
      <c r="AG808" s="464"/>
      <c r="AH808" s="465"/>
      <c r="AI808" s="464"/>
    </row>
    <row r="809" customFormat="false" ht="15" hidden="false" customHeight="true" outlineLevel="0" collapsed="false">
      <c r="A809" s="455" t="s">
        <v>1758</v>
      </c>
      <c r="C809" s="456" t="n">
        <v>45567</v>
      </c>
      <c r="D809" s="456"/>
      <c r="E809" s="57" t="n">
        <v>13934</v>
      </c>
      <c r="F809" s="323" t="s">
        <v>175</v>
      </c>
      <c r="G809" s="323" t="s">
        <v>13</v>
      </c>
      <c r="H809" s="98" t="n">
        <v>3000</v>
      </c>
      <c r="I809" s="457" t="n">
        <v>22.5</v>
      </c>
      <c r="J809" s="313" t="s">
        <v>1651</v>
      </c>
      <c r="K809" s="98" t="n">
        <f aca="false">I809*H809</f>
        <v>67500</v>
      </c>
      <c r="L809" s="411" t="n">
        <v>31695</v>
      </c>
      <c r="M809" s="392" t="n">
        <f aca="false">L809/K809</f>
        <v>0.469555555555556</v>
      </c>
      <c r="N809" s="466" t="n">
        <f aca="false">I809*M809</f>
        <v>10.565</v>
      </c>
      <c r="O809" s="461" t="n">
        <v>3000</v>
      </c>
      <c r="P809" s="462" t="n">
        <f aca="false">H809-O809</f>
        <v>0</v>
      </c>
      <c r="Q809" s="463" t="n">
        <f aca="false">O809*I809</f>
        <v>67500</v>
      </c>
      <c r="R809" s="48" t="n">
        <f aca="false">K809-Q809</f>
        <v>0</v>
      </c>
      <c r="S809" s="467"/>
      <c r="T809" s="2" t="s">
        <v>1711</v>
      </c>
      <c r="V809" s="464"/>
      <c r="W809" s="464"/>
      <c r="X809" s="464"/>
      <c r="Y809" s="464"/>
      <c r="Z809" s="464"/>
      <c r="AA809" s="464"/>
      <c r="AB809" s="464"/>
      <c r="AC809" s="464"/>
      <c r="AD809" s="464"/>
      <c r="AE809" s="464"/>
      <c r="AF809" s="464"/>
      <c r="AG809" s="464"/>
      <c r="AH809" s="465"/>
      <c r="AI809" s="464"/>
    </row>
    <row r="810" customFormat="false" ht="15" hidden="false" customHeight="true" outlineLevel="0" collapsed="false">
      <c r="A810" s="455" t="s">
        <v>1760</v>
      </c>
      <c r="C810" s="456" t="n">
        <v>45568</v>
      </c>
      <c r="D810" s="456"/>
      <c r="E810" s="57" t="n">
        <v>13935</v>
      </c>
      <c r="F810" s="323" t="s">
        <v>175</v>
      </c>
      <c r="G810" s="323" t="s">
        <v>42</v>
      </c>
      <c r="H810" s="98" t="n">
        <v>720</v>
      </c>
      <c r="I810" s="457" t="n">
        <v>30</v>
      </c>
      <c r="J810" s="313" t="s">
        <v>1651</v>
      </c>
      <c r="K810" s="98" t="n">
        <f aca="false">I810*H810</f>
        <v>21600</v>
      </c>
      <c r="L810" s="411" t="n">
        <v>8942.4</v>
      </c>
      <c r="M810" s="392" t="n">
        <f aca="false">L810/K810</f>
        <v>0.414</v>
      </c>
      <c r="N810" s="466" t="n">
        <f aca="false">I810*M810</f>
        <v>12.42</v>
      </c>
      <c r="O810" s="461" t="n">
        <v>720</v>
      </c>
      <c r="P810" s="462" t="n">
        <f aca="false">H810-O810</f>
        <v>0</v>
      </c>
      <c r="Q810" s="463" t="n">
        <f aca="false">O810*I810</f>
        <v>21600</v>
      </c>
      <c r="R810" s="48" t="n">
        <f aca="false">K810-Q810</f>
        <v>0</v>
      </c>
      <c r="S810" s="467"/>
      <c r="T810" s="2" t="s">
        <v>1711</v>
      </c>
      <c r="V810" s="464"/>
      <c r="W810" s="464"/>
      <c r="X810" s="464"/>
      <c r="Y810" s="464"/>
      <c r="Z810" s="464"/>
      <c r="AA810" s="464"/>
      <c r="AB810" s="464"/>
      <c r="AC810" s="464"/>
      <c r="AD810" s="464"/>
      <c r="AE810" s="464"/>
      <c r="AF810" s="464"/>
      <c r="AG810" s="464"/>
      <c r="AH810" s="465"/>
      <c r="AI810" s="464"/>
    </row>
    <row r="811" customFormat="false" ht="15" hidden="false" customHeight="true" outlineLevel="0" collapsed="false">
      <c r="A811" s="455" t="s">
        <v>1758</v>
      </c>
      <c r="C811" s="456" t="n">
        <v>45568</v>
      </c>
      <c r="D811" s="456"/>
      <c r="E811" s="57" t="n">
        <v>13936</v>
      </c>
      <c r="F811" s="323" t="s">
        <v>175</v>
      </c>
      <c r="G811" s="323" t="s">
        <v>17</v>
      </c>
      <c r="H811" s="98" t="n">
        <v>950</v>
      </c>
      <c r="I811" s="457" t="n">
        <v>22.5</v>
      </c>
      <c r="J811" s="313" t="s">
        <v>1651</v>
      </c>
      <c r="K811" s="98" t="n">
        <f aca="false">I811*H811</f>
        <v>21375</v>
      </c>
      <c r="L811" s="411" t="n">
        <v>10051</v>
      </c>
      <c r="M811" s="392" t="n">
        <f aca="false">L811/K811</f>
        <v>0.470222222222222</v>
      </c>
      <c r="N811" s="466" t="n">
        <f aca="false">I811*M811</f>
        <v>10.58</v>
      </c>
      <c r="O811" s="461" t="n">
        <v>950</v>
      </c>
      <c r="P811" s="462" t="n">
        <f aca="false">H811-O811</f>
        <v>0</v>
      </c>
      <c r="Q811" s="463" t="n">
        <f aca="false">O811*I811</f>
        <v>21375</v>
      </c>
      <c r="R811" s="48" t="n">
        <f aca="false">K811-Q811</f>
        <v>0</v>
      </c>
      <c r="S811" s="467"/>
      <c r="T811" s="2" t="s">
        <v>1711</v>
      </c>
      <c r="V811" s="464"/>
      <c r="W811" s="464"/>
      <c r="X811" s="464"/>
      <c r="Y811" s="464"/>
      <c r="Z811" s="464"/>
      <c r="AA811" s="464"/>
      <c r="AB811" s="464"/>
      <c r="AC811" s="464"/>
      <c r="AD811" s="464"/>
      <c r="AE811" s="464"/>
      <c r="AF811" s="464"/>
      <c r="AG811" s="464"/>
      <c r="AH811" s="465"/>
      <c r="AI811" s="464"/>
    </row>
    <row r="812" customFormat="false" ht="15" hidden="false" customHeight="true" outlineLevel="0" collapsed="false">
      <c r="A812" s="455" t="s">
        <v>1819</v>
      </c>
      <c r="C812" s="456" t="n">
        <v>45568</v>
      </c>
      <c r="D812" s="456"/>
      <c r="E812" s="57" t="n">
        <v>13937</v>
      </c>
      <c r="F812" s="323" t="s">
        <v>175</v>
      </c>
      <c r="G812" s="323" t="s">
        <v>5</v>
      </c>
      <c r="H812" s="98" t="n">
        <v>2710</v>
      </c>
      <c r="I812" s="457" t="n">
        <v>25.71</v>
      </c>
      <c r="J812" s="313" t="s">
        <v>1651</v>
      </c>
      <c r="K812" s="98" t="n">
        <f aca="false">I812*H812</f>
        <v>69674.1</v>
      </c>
      <c r="L812" s="411" t="n">
        <v>27425.2</v>
      </c>
      <c r="M812" s="392" t="n">
        <f aca="false">L812/K812</f>
        <v>0.393621159082069</v>
      </c>
      <c r="N812" s="466" t="n">
        <f aca="false">I812*M812</f>
        <v>10.12</v>
      </c>
      <c r="O812" s="461" t="n">
        <v>2710</v>
      </c>
      <c r="P812" s="462" t="n">
        <f aca="false">H812-O812</f>
        <v>0</v>
      </c>
      <c r="Q812" s="463" t="n">
        <f aca="false">O812*I812</f>
        <v>69674.1</v>
      </c>
      <c r="R812" s="48" t="n">
        <f aca="false">K812-Q812</f>
        <v>0</v>
      </c>
      <c r="S812" s="467"/>
      <c r="T812" s="2" t="s">
        <v>1711</v>
      </c>
      <c r="V812" s="464"/>
      <c r="W812" s="464"/>
      <c r="X812" s="464"/>
      <c r="Y812" s="464"/>
      <c r="Z812" s="464"/>
      <c r="AA812" s="464"/>
      <c r="AB812" s="464"/>
      <c r="AC812" s="464"/>
      <c r="AD812" s="464"/>
      <c r="AE812" s="464"/>
      <c r="AF812" s="464"/>
      <c r="AG812" s="464"/>
      <c r="AH812" s="465"/>
      <c r="AI812" s="464"/>
    </row>
    <row r="813" customFormat="false" ht="15" hidden="false" customHeight="true" outlineLevel="0" collapsed="false">
      <c r="A813" s="455" t="s">
        <v>1759</v>
      </c>
      <c r="C813" s="456" t="n">
        <v>45568</v>
      </c>
      <c r="D813" s="456"/>
      <c r="E813" s="57" t="n">
        <v>13938</v>
      </c>
      <c r="F813" s="323" t="s">
        <v>175</v>
      </c>
      <c r="G813" s="323" t="s">
        <v>42</v>
      </c>
      <c r="H813" s="98" t="n">
        <v>440</v>
      </c>
      <c r="I813" s="457" t="n">
        <v>30</v>
      </c>
      <c r="J813" s="313" t="s">
        <v>1651</v>
      </c>
      <c r="K813" s="98" t="n">
        <f aca="false">I813*H813</f>
        <v>13200</v>
      </c>
      <c r="L813" s="411" t="n">
        <v>5464.8</v>
      </c>
      <c r="M813" s="392" t="n">
        <f aca="false">L813/K813</f>
        <v>0.414</v>
      </c>
      <c r="N813" s="466" t="n">
        <f aca="false">I813*M813</f>
        <v>12.42</v>
      </c>
      <c r="O813" s="461" t="n">
        <v>440</v>
      </c>
      <c r="P813" s="462" t="n">
        <f aca="false">H813-O813</f>
        <v>0</v>
      </c>
      <c r="Q813" s="463" t="n">
        <f aca="false">O813*I813</f>
        <v>13200</v>
      </c>
      <c r="R813" s="48" t="n">
        <f aca="false">K813-Q813</f>
        <v>0</v>
      </c>
      <c r="S813" s="467"/>
      <c r="T813" s="2" t="s">
        <v>1711</v>
      </c>
      <c r="V813" s="464"/>
      <c r="W813" s="464"/>
      <c r="X813" s="464"/>
      <c r="Y813" s="464"/>
      <c r="Z813" s="464"/>
      <c r="AA813" s="464"/>
      <c r="AB813" s="464"/>
      <c r="AC813" s="464"/>
      <c r="AD813" s="464"/>
      <c r="AE813" s="464"/>
      <c r="AF813" s="464"/>
      <c r="AG813" s="464"/>
      <c r="AH813" s="465"/>
      <c r="AI813" s="464"/>
    </row>
    <row r="814" customFormat="false" ht="15" hidden="false" customHeight="true" outlineLevel="0" collapsed="false">
      <c r="A814" s="455" t="s">
        <v>1759</v>
      </c>
      <c r="C814" s="456" t="n">
        <v>45568</v>
      </c>
      <c r="D814" s="456"/>
      <c r="E814" s="57" t="n">
        <v>13938</v>
      </c>
      <c r="F814" s="323" t="s">
        <v>175</v>
      </c>
      <c r="G814" s="323" t="s">
        <v>13</v>
      </c>
      <c r="H814" s="98" t="n">
        <v>2500</v>
      </c>
      <c r="I814" s="457" t="n">
        <v>22.5</v>
      </c>
      <c r="J814" s="313" t="s">
        <v>1651</v>
      </c>
      <c r="K814" s="98" t="n">
        <f aca="false">I814*H814</f>
        <v>56250</v>
      </c>
      <c r="L814" s="411" t="n">
        <v>26400</v>
      </c>
      <c r="M814" s="392" t="n">
        <f aca="false">L814/K814</f>
        <v>0.469333333333333</v>
      </c>
      <c r="N814" s="466" t="n">
        <f aca="false">I814*M814</f>
        <v>10.56</v>
      </c>
      <c r="O814" s="461" t="n">
        <v>2500</v>
      </c>
      <c r="P814" s="462" t="n">
        <f aca="false">H814-O814</f>
        <v>0</v>
      </c>
      <c r="Q814" s="463" t="n">
        <f aca="false">O814*I814</f>
        <v>56250</v>
      </c>
      <c r="R814" s="48" t="n">
        <f aca="false">K814-Q814</f>
        <v>0</v>
      </c>
      <c r="S814" s="467"/>
      <c r="T814" s="2" t="s">
        <v>1711</v>
      </c>
      <c r="V814" s="464"/>
      <c r="W814" s="464"/>
      <c r="X814" s="464"/>
      <c r="Y814" s="464"/>
      <c r="Z814" s="464"/>
      <c r="AA814" s="464"/>
      <c r="AB814" s="464"/>
      <c r="AC814" s="464"/>
      <c r="AD814" s="464"/>
      <c r="AE814" s="464"/>
      <c r="AF814" s="464"/>
      <c r="AG814" s="464"/>
      <c r="AH814" s="465"/>
      <c r="AI814" s="464"/>
    </row>
    <row r="815" customFormat="false" ht="15" hidden="false" customHeight="true" outlineLevel="0" collapsed="false">
      <c r="A815" s="455" t="s">
        <v>1759</v>
      </c>
      <c r="C815" s="456" t="n">
        <v>45568</v>
      </c>
      <c r="D815" s="456"/>
      <c r="E815" s="57" t="n">
        <v>13938</v>
      </c>
      <c r="F815" s="323" t="s">
        <v>175</v>
      </c>
      <c r="G815" s="323" t="s">
        <v>17</v>
      </c>
      <c r="H815" s="98" t="n">
        <v>2000</v>
      </c>
      <c r="I815" s="457" t="n">
        <v>22.5</v>
      </c>
      <c r="J815" s="313" t="s">
        <v>1651</v>
      </c>
      <c r="K815" s="98" t="n">
        <f aca="false">I815*H815</f>
        <v>45000</v>
      </c>
      <c r="L815" s="411" t="n">
        <v>21160</v>
      </c>
      <c r="M815" s="392" t="n">
        <f aca="false">L815/K815</f>
        <v>0.470222222222222</v>
      </c>
      <c r="N815" s="466" t="n">
        <f aca="false">I815*M815</f>
        <v>10.58</v>
      </c>
      <c r="O815" s="461" t="n">
        <v>2000</v>
      </c>
      <c r="P815" s="462" t="n">
        <f aca="false">H815-O815</f>
        <v>0</v>
      </c>
      <c r="Q815" s="463" t="n">
        <f aca="false">O815*I815</f>
        <v>45000</v>
      </c>
      <c r="R815" s="48" t="n">
        <f aca="false">K815-Q815</f>
        <v>0</v>
      </c>
      <c r="S815" s="467"/>
      <c r="T815" s="2" t="s">
        <v>1711</v>
      </c>
      <c r="V815" s="464"/>
      <c r="W815" s="464"/>
      <c r="X815" s="464"/>
      <c r="Y815" s="464"/>
      <c r="Z815" s="464"/>
      <c r="AA815" s="464"/>
      <c r="AB815" s="464"/>
      <c r="AC815" s="464"/>
      <c r="AD815" s="464"/>
      <c r="AE815" s="464"/>
      <c r="AF815" s="464"/>
      <c r="AG815" s="464"/>
      <c r="AH815" s="465"/>
      <c r="AI815" s="464"/>
    </row>
    <row r="816" customFormat="false" ht="15" hidden="false" customHeight="true" outlineLevel="0" collapsed="false">
      <c r="A816" s="455" t="s">
        <v>1877</v>
      </c>
      <c r="C816" s="456" t="n">
        <v>45568</v>
      </c>
      <c r="D816" s="456"/>
      <c r="E816" s="57" t="n">
        <v>13939</v>
      </c>
      <c r="F816" s="323" t="s">
        <v>175</v>
      </c>
      <c r="G816" s="323" t="s">
        <v>5</v>
      </c>
      <c r="H816" s="98" t="n">
        <v>195</v>
      </c>
      <c r="I816" s="457" t="n">
        <v>25.71</v>
      </c>
      <c r="J816" s="313" t="s">
        <v>1651</v>
      </c>
      <c r="K816" s="98" t="n">
        <f aca="false">I816*H816</f>
        <v>5013.45</v>
      </c>
      <c r="L816" s="411" t="n">
        <v>3120</v>
      </c>
      <c r="M816" s="392" t="n">
        <f aca="false">L816/K816</f>
        <v>0.622325943212758</v>
      </c>
      <c r="N816" s="466" t="n">
        <f aca="false">I816*M816</f>
        <v>16</v>
      </c>
      <c r="O816" s="461" t="n">
        <v>195</v>
      </c>
      <c r="P816" s="462" t="n">
        <f aca="false">H816-O816</f>
        <v>0</v>
      </c>
      <c r="Q816" s="463" t="n">
        <f aca="false">O816*I816</f>
        <v>5013.45</v>
      </c>
      <c r="R816" s="48" t="n">
        <f aca="false">K816-Q816</f>
        <v>0</v>
      </c>
      <c r="S816" s="467"/>
      <c r="T816" s="2" t="s">
        <v>1711</v>
      </c>
      <c r="V816" s="464"/>
      <c r="W816" s="464"/>
      <c r="X816" s="464"/>
      <c r="Y816" s="464"/>
      <c r="Z816" s="464"/>
      <c r="AA816" s="464"/>
      <c r="AB816" s="464"/>
      <c r="AC816" s="464"/>
      <c r="AD816" s="464"/>
      <c r="AE816" s="464"/>
      <c r="AF816" s="464"/>
      <c r="AG816" s="464"/>
      <c r="AH816" s="465"/>
      <c r="AI816" s="464"/>
    </row>
    <row r="817" customFormat="false" ht="15" hidden="false" customHeight="true" outlineLevel="0" collapsed="false">
      <c r="A817" s="455" t="s">
        <v>1878</v>
      </c>
      <c r="C817" s="456" t="n">
        <v>45568</v>
      </c>
      <c r="D817" s="456"/>
      <c r="E817" s="57" t="n">
        <v>13940</v>
      </c>
      <c r="F817" s="323" t="s">
        <v>175</v>
      </c>
      <c r="G817" s="323" t="s">
        <v>20</v>
      </c>
      <c r="H817" s="98" t="n">
        <v>60</v>
      </c>
      <c r="I817" s="457" t="n">
        <v>90</v>
      </c>
      <c r="J817" s="313" t="s">
        <v>1653</v>
      </c>
      <c r="K817" s="98" t="n">
        <f aca="false">I817*H817</f>
        <v>5400</v>
      </c>
      <c r="L817" s="411" t="n">
        <v>1000</v>
      </c>
      <c r="M817" s="392" t="n">
        <f aca="false">L817/K817</f>
        <v>0.185185185185185</v>
      </c>
      <c r="N817" s="466" t="n">
        <f aca="false">I817*M817</f>
        <v>16.6666666666667</v>
      </c>
      <c r="O817" s="461" t="n">
        <v>60</v>
      </c>
      <c r="P817" s="462" t="n">
        <f aca="false">H817-O817</f>
        <v>0</v>
      </c>
      <c r="Q817" s="463" t="n">
        <f aca="false">O817*I817</f>
        <v>5400</v>
      </c>
      <c r="R817" s="48" t="n">
        <f aca="false">K817-Q817</f>
        <v>0</v>
      </c>
      <c r="S817" s="467"/>
      <c r="T817" s="2" t="s">
        <v>1711</v>
      </c>
      <c r="V817" s="464"/>
      <c r="W817" s="464"/>
      <c r="X817" s="464"/>
      <c r="Y817" s="464"/>
      <c r="Z817" s="464"/>
      <c r="AA817" s="464"/>
      <c r="AB817" s="464"/>
      <c r="AC817" s="464"/>
      <c r="AD817" s="464"/>
      <c r="AE817" s="464"/>
      <c r="AF817" s="464"/>
      <c r="AG817" s="464"/>
      <c r="AH817" s="465"/>
      <c r="AI817" s="464"/>
    </row>
    <row r="818" customFormat="false" ht="15" hidden="false" customHeight="true" outlineLevel="0" collapsed="false">
      <c r="A818" s="455" t="s">
        <v>1879</v>
      </c>
      <c r="C818" s="456" t="n">
        <v>45569</v>
      </c>
      <c r="D818" s="456"/>
      <c r="E818" s="57" t="n">
        <v>13941</v>
      </c>
      <c r="F818" s="323" t="s">
        <v>175</v>
      </c>
      <c r="G818" s="323" t="s">
        <v>15</v>
      </c>
      <c r="H818" s="98" t="n">
        <v>60</v>
      </c>
      <c r="I818" s="457" t="n">
        <v>22.5</v>
      </c>
      <c r="J818" s="313" t="s">
        <v>1651</v>
      </c>
      <c r="K818" s="98" t="n">
        <f aca="false">I818*H818</f>
        <v>1350</v>
      </c>
      <c r="L818" s="411" t="n">
        <v>1360.8</v>
      </c>
      <c r="M818" s="392" t="n">
        <f aca="false">L818/K818</f>
        <v>1.008</v>
      </c>
      <c r="N818" s="466" t="n">
        <f aca="false">I818*M818</f>
        <v>22.68</v>
      </c>
      <c r="O818" s="461" t="n">
        <v>60</v>
      </c>
      <c r="P818" s="462" t="n">
        <f aca="false">H818-O818</f>
        <v>0</v>
      </c>
      <c r="Q818" s="463" t="n">
        <f aca="false">O818*I818</f>
        <v>1350</v>
      </c>
      <c r="R818" s="48" t="n">
        <f aca="false">K818-Q818</f>
        <v>0</v>
      </c>
      <c r="S818" s="467"/>
      <c r="T818" s="2" t="s">
        <v>1711</v>
      </c>
      <c r="V818" s="464"/>
      <c r="W818" s="464"/>
      <c r="X818" s="464"/>
      <c r="Y818" s="464"/>
      <c r="Z818" s="464"/>
      <c r="AA818" s="464"/>
      <c r="AB818" s="464"/>
      <c r="AC818" s="464"/>
      <c r="AD818" s="464"/>
      <c r="AE818" s="464"/>
      <c r="AF818" s="464"/>
      <c r="AG818" s="464"/>
      <c r="AH818" s="465"/>
      <c r="AI818" s="464"/>
    </row>
    <row r="819" customFormat="false" ht="15" hidden="false" customHeight="true" outlineLevel="0" collapsed="false">
      <c r="A819" s="455" t="s">
        <v>1879</v>
      </c>
      <c r="C819" s="456" t="n">
        <v>45569</v>
      </c>
      <c r="D819" s="456"/>
      <c r="E819" s="323" t="n">
        <v>13941</v>
      </c>
      <c r="F819" s="323" t="s">
        <v>175</v>
      </c>
      <c r="G819" s="323" t="s">
        <v>5</v>
      </c>
      <c r="H819" s="98" t="n">
        <v>1125</v>
      </c>
      <c r="I819" s="457" t="n">
        <v>25.71</v>
      </c>
      <c r="J819" s="313" t="s">
        <v>1651</v>
      </c>
      <c r="K819" s="98" t="n">
        <f aca="false">I819*H819</f>
        <v>28923.75</v>
      </c>
      <c r="L819" s="411" t="n">
        <v>18225</v>
      </c>
      <c r="M819" s="392" t="n">
        <f aca="false">L819/K819</f>
        <v>0.630105017502917</v>
      </c>
      <c r="N819" s="466" t="n">
        <f aca="false">I819*M819</f>
        <v>16.2</v>
      </c>
      <c r="O819" s="461" t="n">
        <v>1125</v>
      </c>
      <c r="P819" s="462" t="n">
        <f aca="false">H819-O819</f>
        <v>0</v>
      </c>
      <c r="Q819" s="463" t="n">
        <f aca="false">O819*I819</f>
        <v>28923.75</v>
      </c>
      <c r="R819" s="48" t="n">
        <f aca="false">K819-Q819</f>
        <v>0</v>
      </c>
      <c r="S819" s="467"/>
      <c r="T819" s="2" t="s">
        <v>1711</v>
      </c>
      <c r="V819" s="464"/>
      <c r="W819" s="464"/>
      <c r="X819" s="464"/>
      <c r="Y819" s="464"/>
      <c r="Z819" s="464"/>
      <c r="AA819" s="464"/>
      <c r="AB819" s="464"/>
      <c r="AC819" s="464"/>
      <c r="AD819" s="464"/>
      <c r="AE819" s="464"/>
      <c r="AF819" s="464"/>
      <c r="AG819" s="464"/>
      <c r="AH819" s="465"/>
      <c r="AI819" s="464"/>
    </row>
    <row r="820" customFormat="false" ht="15" hidden="false" customHeight="true" outlineLevel="0" collapsed="false">
      <c r="A820" s="455" t="s">
        <v>1859</v>
      </c>
      <c r="C820" s="456" t="n">
        <v>45569</v>
      </c>
      <c r="D820" s="456"/>
      <c r="E820" s="323" t="n">
        <v>13942</v>
      </c>
      <c r="F820" s="323" t="s">
        <v>175</v>
      </c>
      <c r="G820" s="323" t="s">
        <v>10</v>
      </c>
      <c r="H820" s="98" t="n">
        <v>1200</v>
      </c>
      <c r="I820" s="457" t="n">
        <v>38.3</v>
      </c>
      <c r="J820" s="313" t="s">
        <v>1652</v>
      </c>
      <c r="K820" s="98" t="n">
        <f aca="false">I820*H820</f>
        <v>45960</v>
      </c>
      <c r="L820" s="411" t="n">
        <v>14280</v>
      </c>
      <c r="M820" s="392" t="n">
        <f aca="false">L820/K820</f>
        <v>0.310704960835509</v>
      </c>
      <c r="N820" s="466" t="n">
        <f aca="false">I820*M820</f>
        <v>11.9</v>
      </c>
      <c r="O820" s="461" t="n">
        <v>1200</v>
      </c>
      <c r="P820" s="462" t="n">
        <f aca="false">H820-O820</f>
        <v>0</v>
      </c>
      <c r="Q820" s="463" t="n">
        <f aca="false">O820*I820</f>
        <v>45960</v>
      </c>
      <c r="R820" s="48" t="n">
        <f aca="false">K820-Q820</f>
        <v>0</v>
      </c>
      <c r="S820" s="467"/>
      <c r="T820" s="2" t="s">
        <v>1711</v>
      </c>
      <c r="V820" s="464"/>
      <c r="W820" s="464"/>
      <c r="X820" s="464"/>
      <c r="Y820" s="464"/>
      <c r="Z820" s="464"/>
      <c r="AA820" s="464"/>
      <c r="AB820" s="464"/>
      <c r="AC820" s="464"/>
      <c r="AD820" s="464"/>
      <c r="AE820" s="464"/>
      <c r="AF820" s="464"/>
      <c r="AG820" s="464"/>
      <c r="AH820" s="465"/>
      <c r="AI820" s="464"/>
    </row>
    <row r="821" customFormat="false" ht="15" hidden="false" customHeight="true" outlineLevel="0" collapsed="false">
      <c r="A821" s="455" t="s">
        <v>1859</v>
      </c>
      <c r="C821" s="456" t="n">
        <v>45569</v>
      </c>
      <c r="D821" s="456"/>
      <c r="E821" s="323" t="n">
        <v>13942</v>
      </c>
      <c r="F821" s="323" t="s">
        <v>175</v>
      </c>
      <c r="G821" s="323" t="s">
        <v>17</v>
      </c>
      <c r="H821" s="98" t="n">
        <v>1410</v>
      </c>
      <c r="I821" s="457" t="n">
        <v>37.5</v>
      </c>
      <c r="J821" s="313" t="s">
        <v>1652</v>
      </c>
      <c r="K821" s="98" t="n">
        <f aca="false">I821*H821</f>
        <v>52875</v>
      </c>
      <c r="L821" s="411" t="n">
        <v>27495</v>
      </c>
      <c r="M821" s="392" t="n">
        <f aca="false">L821/K821</f>
        <v>0.52</v>
      </c>
      <c r="N821" s="466" t="n">
        <f aca="false">I821*M821</f>
        <v>19.5</v>
      </c>
      <c r="O821" s="461" t="n">
        <v>1410</v>
      </c>
      <c r="P821" s="462" t="n">
        <f aca="false">H821-O821</f>
        <v>0</v>
      </c>
      <c r="Q821" s="463" t="n">
        <f aca="false">O821*I821</f>
        <v>52875</v>
      </c>
      <c r="R821" s="48" t="n">
        <f aca="false">K821-Q821</f>
        <v>0</v>
      </c>
      <c r="S821" s="467"/>
      <c r="T821" s="2" t="s">
        <v>1711</v>
      </c>
      <c r="V821" s="464"/>
      <c r="W821" s="464"/>
      <c r="X821" s="464"/>
      <c r="Y821" s="464"/>
      <c r="Z821" s="464"/>
      <c r="AA821" s="464"/>
      <c r="AB821" s="464"/>
      <c r="AC821" s="464"/>
      <c r="AD821" s="464"/>
      <c r="AE821" s="464"/>
      <c r="AF821" s="464"/>
      <c r="AG821" s="464"/>
      <c r="AH821" s="465"/>
      <c r="AI821" s="464"/>
    </row>
    <row r="822" customFormat="false" ht="15" hidden="false" customHeight="true" outlineLevel="0" collapsed="false">
      <c r="A822" s="455" t="s">
        <v>1824</v>
      </c>
      <c r="C822" s="456" t="n">
        <v>45569</v>
      </c>
      <c r="D822" s="456"/>
      <c r="E822" s="323" t="n">
        <v>13943</v>
      </c>
      <c r="F822" s="323" t="s">
        <v>175</v>
      </c>
      <c r="G822" s="323" t="s">
        <v>15</v>
      </c>
      <c r="H822" s="98" t="n">
        <v>750</v>
      </c>
      <c r="I822" s="457" t="n">
        <v>22.5</v>
      </c>
      <c r="J822" s="313" t="s">
        <v>1651</v>
      </c>
      <c r="K822" s="98" t="n">
        <f aca="false">I822*H822</f>
        <v>16875</v>
      </c>
      <c r="L822" s="411" t="n">
        <v>12750</v>
      </c>
      <c r="M822" s="392" t="n">
        <f aca="false">L822/K822</f>
        <v>0.755555555555556</v>
      </c>
      <c r="N822" s="466" t="n">
        <f aca="false">I822*M822</f>
        <v>17</v>
      </c>
      <c r="O822" s="461" t="n">
        <v>750</v>
      </c>
      <c r="P822" s="462" t="n">
        <f aca="false">H822-O822</f>
        <v>0</v>
      </c>
      <c r="Q822" s="463" t="n">
        <f aca="false">O822*I822</f>
        <v>16875</v>
      </c>
      <c r="R822" s="48" t="n">
        <f aca="false">K822-Q822</f>
        <v>0</v>
      </c>
      <c r="S822" s="467"/>
      <c r="T822" s="2" t="s">
        <v>1711</v>
      </c>
      <c r="V822" s="464"/>
      <c r="W822" s="464"/>
      <c r="X822" s="464"/>
      <c r="Y822" s="464"/>
      <c r="Z822" s="464"/>
      <c r="AA822" s="464"/>
      <c r="AB822" s="464"/>
      <c r="AC822" s="464"/>
      <c r="AD822" s="464"/>
      <c r="AE822" s="464"/>
      <c r="AF822" s="464"/>
      <c r="AG822" s="464"/>
      <c r="AH822" s="465"/>
      <c r="AI822" s="464"/>
    </row>
    <row r="823" customFormat="false" ht="15" hidden="false" customHeight="true" outlineLevel="0" collapsed="false">
      <c r="A823" s="455" t="s">
        <v>1824</v>
      </c>
      <c r="C823" s="456" t="n">
        <v>45569</v>
      </c>
      <c r="D823" s="456"/>
      <c r="E823" s="323" t="n">
        <v>13943</v>
      </c>
      <c r="F823" s="323" t="s">
        <v>175</v>
      </c>
      <c r="G823" s="323" t="s">
        <v>5</v>
      </c>
      <c r="H823" s="98" t="n">
        <v>12000</v>
      </c>
      <c r="I823" s="457" t="n">
        <v>25.71</v>
      </c>
      <c r="J823" s="313" t="s">
        <v>1651</v>
      </c>
      <c r="K823" s="98" t="n">
        <f aca="false">I823*H823</f>
        <v>308520</v>
      </c>
      <c r="L823" s="411" t="n">
        <v>129600</v>
      </c>
      <c r="M823" s="392" t="n">
        <f aca="false">L823/K823</f>
        <v>0.420070011668611</v>
      </c>
      <c r="N823" s="466" t="n">
        <f aca="false">I823*M823</f>
        <v>10.8</v>
      </c>
      <c r="O823" s="461" t="n">
        <v>12000</v>
      </c>
      <c r="P823" s="462" t="n">
        <f aca="false">H823-O823</f>
        <v>0</v>
      </c>
      <c r="Q823" s="463" t="n">
        <f aca="false">O823*I823</f>
        <v>308520</v>
      </c>
      <c r="R823" s="48" t="n">
        <f aca="false">K823-Q823</f>
        <v>0</v>
      </c>
      <c r="S823" s="467"/>
      <c r="T823" s="2" t="s">
        <v>1711</v>
      </c>
      <c r="V823" s="464"/>
      <c r="W823" s="464"/>
      <c r="X823" s="464"/>
      <c r="Y823" s="464"/>
      <c r="Z823" s="464"/>
      <c r="AA823" s="464"/>
      <c r="AB823" s="464"/>
      <c r="AC823" s="464"/>
      <c r="AD823" s="464"/>
      <c r="AE823" s="464"/>
      <c r="AF823" s="464"/>
      <c r="AG823" s="464"/>
      <c r="AH823" s="465"/>
      <c r="AI823" s="464"/>
    </row>
    <row r="824" customFormat="false" ht="15" hidden="false" customHeight="true" outlineLevel="0" collapsed="false">
      <c r="A824" s="455" t="s">
        <v>1824</v>
      </c>
      <c r="C824" s="456" t="n">
        <v>45569</v>
      </c>
      <c r="D824" s="456"/>
      <c r="E824" s="323" t="n">
        <v>13943</v>
      </c>
      <c r="F824" s="323" t="s">
        <v>175</v>
      </c>
      <c r="G824" s="323" t="s">
        <v>42</v>
      </c>
      <c r="H824" s="98" t="n">
        <v>1200</v>
      </c>
      <c r="I824" s="457" t="n">
        <v>30</v>
      </c>
      <c r="J824" s="313" t="s">
        <v>1651</v>
      </c>
      <c r="K824" s="98" t="n">
        <f aca="false">I824*H824</f>
        <v>36000</v>
      </c>
      <c r="L824" s="411" t="n">
        <v>14880</v>
      </c>
      <c r="M824" s="392" t="n">
        <f aca="false">L824/K824</f>
        <v>0.413333333333333</v>
      </c>
      <c r="N824" s="466" t="n">
        <f aca="false">I824*M824</f>
        <v>12.4</v>
      </c>
      <c r="O824" s="461" t="n">
        <v>1200</v>
      </c>
      <c r="P824" s="462" t="n">
        <f aca="false">H824-O824</f>
        <v>0</v>
      </c>
      <c r="Q824" s="463" t="n">
        <f aca="false">O824*I824</f>
        <v>36000</v>
      </c>
      <c r="R824" s="48" t="n">
        <f aca="false">K824-Q824</f>
        <v>0</v>
      </c>
      <c r="S824" s="467"/>
      <c r="T824" s="2" t="s">
        <v>1711</v>
      </c>
      <c r="V824" s="464"/>
      <c r="W824" s="464"/>
      <c r="X824" s="464"/>
      <c r="Y824" s="464"/>
      <c r="Z824" s="464"/>
      <c r="AA824" s="464"/>
      <c r="AB824" s="464"/>
      <c r="AC824" s="464"/>
      <c r="AD824" s="464"/>
      <c r="AE824" s="464"/>
      <c r="AF824" s="464"/>
      <c r="AG824" s="464"/>
      <c r="AH824" s="465"/>
      <c r="AI824" s="464"/>
    </row>
    <row r="825" customFormat="false" ht="15" hidden="false" customHeight="true" outlineLevel="0" collapsed="false">
      <c r="A825" s="455" t="s">
        <v>1824</v>
      </c>
      <c r="C825" s="456" t="n">
        <v>45569</v>
      </c>
      <c r="D825" s="456"/>
      <c r="E825" s="323" t="n">
        <v>13943</v>
      </c>
      <c r="F825" s="323" t="s">
        <v>175</v>
      </c>
      <c r="G825" s="323" t="s">
        <v>6</v>
      </c>
      <c r="H825" s="98" t="n">
        <v>4500</v>
      </c>
      <c r="I825" s="457" t="n">
        <v>30</v>
      </c>
      <c r="J825" s="313" t="s">
        <v>1651</v>
      </c>
      <c r="K825" s="98" t="n">
        <f aca="false">I825*H825</f>
        <v>135000</v>
      </c>
      <c r="L825" s="411" t="n">
        <v>57600</v>
      </c>
      <c r="M825" s="392" t="n">
        <f aca="false">L825/K825</f>
        <v>0.426666666666667</v>
      </c>
      <c r="N825" s="466" t="n">
        <f aca="false">I825*M825</f>
        <v>12.8</v>
      </c>
      <c r="O825" s="461" t="n">
        <v>4500</v>
      </c>
      <c r="P825" s="462" t="n">
        <f aca="false">H825-O825</f>
        <v>0</v>
      </c>
      <c r="Q825" s="463" t="n">
        <f aca="false">O825*I825</f>
        <v>135000</v>
      </c>
      <c r="R825" s="48" t="n">
        <f aca="false">K825-Q825</f>
        <v>0</v>
      </c>
      <c r="S825" s="467"/>
      <c r="T825" s="2" t="s">
        <v>1711</v>
      </c>
      <c r="V825" s="464"/>
      <c r="W825" s="464"/>
      <c r="X825" s="464"/>
      <c r="Y825" s="464"/>
      <c r="Z825" s="464"/>
      <c r="AA825" s="464"/>
      <c r="AB825" s="464"/>
      <c r="AC825" s="464"/>
      <c r="AD825" s="464"/>
      <c r="AE825" s="464"/>
      <c r="AF825" s="464"/>
      <c r="AG825" s="464"/>
      <c r="AH825" s="465"/>
      <c r="AI825" s="464"/>
    </row>
    <row r="826" customFormat="false" ht="15" hidden="false" customHeight="true" outlineLevel="0" collapsed="false">
      <c r="A826" s="455" t="s">
        <v>1824</v>
      </c>
      <c r="C826" s="456" t="n">
        <v>45569</v>
      </c>
      <c r="D826" s="456"/>
      <c r="E826" s="323" t="n">
        <v>13943</v>
      </c>
      <c r="F826" s="323" t="s">
        <v>175</v>
      </c>
      <c r="G826" s="323" t="s">
        <v>13</v>
      </c>
      <c r="H826" s="98" t="n">
        <v>600</v>
      </c>
      <c r="I826" s="457" t="n">
        <v>22.5</v>
      </c>
      <c r="J826" s="313" t="s">
        <v>1651</v>
      </c>
      <c r="K826" s="98" t="n">
        <f aca="false">I826*H826</f>
        <v>13500</v>
      </c>
      <c r="L826" s="411" t="n">
        <v>6000</v>
      </c>
      <c r="M826" s="392" t="n">
        <f aca="false">L826/K826</f>
        <v>0.444444444444444</v>
      </c>
      <c r="N826" s="466" t="n">
        <f aca="false">I826*M826</f>
        <v>10</v>
      </c>
      <c r="O826" s="461" t="n">
        <v>600</v>
      </c>
      <c r="P826" s="462" t="n">
        <f aca="false">H826-O826</f>
        <v>0</v>
      </c>
      <c r="Q826" s="463" t="n">
        <f aca="false">O826*I826</f>
        <v>13500</v>
      </c>
      <c r="R826" s="48" t="n">
        <f aca="false">K826-Q826</f>
        <v>0</v>
      </c>
      <c r="S826" s="467"/>
      <c r="T826" s="2" t="s">
        <v>1711</v>
      </c>
      <c r="V826" s="464"/>
      <c r="W826" s="464"/>
      <c r="X826" s="464"/>
      <c r="Y826" s="464"/>
      <c r="Z826" s="464"/>
      <c r="AA826" s="464"/>
      <c r="AB826" s="464"/>
      <c r="AC826" s="464"/>
      <c r="AD826" s="464"/>
      <c r="AE826" s="464"/>
      <c r="AF826" s="464"/>
      <c r="AG826" s="464"/>
      <c r="AH826" s="465"/>
      <c r="AI826" s="464"/>
    </row>
    <row r="827" customFormat="false" ht="15" hidden="false" customHeight="true" outlineLevel="0" collapsed="false">
      <c r="A827" s="455" t="s">
        <v>1824</v>
      </c>
      <c r="C827" s="456" t="n">
        <v>45569</v>
      </c>
      <c r="D827" s="456"/>
      <c r="E827" s="323" t="n">
        <v>13943</v>
      </c>
      <c r="F827" s="323" t="s">
        <v>175</v>
      </c>
      <c r="G827" s="323" t="s">
        <v>10</v>
      </c>
      <c r="H827" s="98" t="n">
        <v>4500</v>
      </c>
      <c r="I827" s="457" t="n">
        <v>38.3</v>
      </c>
      <c r="J827" s="313" t="s">
        <v>1652</v>
      </c>
      <c r="K827" s="98" t="n">
        <f aca="false">I827*H827</f>
        <v>172350</v>
      </c>
      <c r="L827" s="411" t="n">
        <v>42750</v>
      </c>
      <c r="M827" s="392" t="n">
        <f aca="false">L827/K827</f>
        <v>0.248041775456919</v>
      </c>
      <c r="N827" s="466" t="n">
        <f aca="false">I827*M827</f>
        <v>9.5</v>
      </c>
      <c r="O827" s="461" t="n">
        <v>4500</v>
      </c>
      <c r="P827" s="462" t="n">
        <f aca="false">H827-O827</f>
        <v>0</v>
      </c>
      <c r="Q827" s="463" t="n">
        <f aca="false">O827*I827</f>
        <v>172350</v>
      </c>
      <c r="R827" s="48" t="n">
        <f aca="false">K827-Q827</f>
        <v>0</v>
      </c>
      <c r="S827" s="467"/>
      <c r="T827" s="2" t="s">
        <v>1711</v>
      </c>
      <c r="V827" s="464"/>
      <c r="W827" s="464"/>
      <c r="X827" s="464"/>
      <c r="Y827" s="464"/>
      <c r="Z827" s="464"/>
      <c r="AA827" s="464"/>
      <c r="AB827" s="464"/>
      <c r="AC827" s="464"/>
      <c r="AD827" s="464"/>
      <c r="AE827" s="464"/>
      <c r="AF827" s="464"/>
      <c r="AG827" s="464"/>
      <c r="AH827" s="465"/>
      <c r="AI827" s="464"/>
    </row>
    <row r="828" customFormat="false" ht="15" hidden="false" customHeight="true" outlineLevel="0" collapsed="false">
      <c r="A828" s="455" t="s">
        <v>1824</v>
      </c>
      <c r="C828" s="456" t="n">
        <v>45569</v>
      </c>
      <c r="D828" s="456"/>
      <c r="E828" s="323" t="n">
        <v>13943</v>
      </c>
      <c r="F828" s="323" t="s">
        <v>175</v>
      </c>
      <c r="G828" s="323" t="s">
        <v>10</v>
      </c>
      <c r="H828" s="98" t="n">
        <v>3000</v>
      </c>
      <c r="I828" s="457" t="n">
        <v>25.71</v>
      </c>
      <c r="J828" s="313" t="s">
        <v>1651</v>
      </c>
      <c r="K828" s="98" t="n">
        <f aca="false">I828*H828</f>
        <v>77130</v>
      </c>
      <c r="L828" s="411" t="n">
        <v>22500</v>
      </c>
      <c r="M828" s="392" t="n">
        <f aca="false">L828/K828</f>
        <v>0.29171528588098</v>
      </c>
      <c r="N828" s="466" t="n">
        <f aca="false">I828*M828</f>
        <v>7.5</v>
      </c>
      <c r="O828" s="461" t="n">
        <v>3000</v>
      </c>
      <c r="P828" s="462" t="n">
        <f aca="false">H828-O828</f>
        <v>0</v>
      </c>
      <c r="Q828" s="463" t="n">
        <f aca="false">O828*I828</f>
        <v>77130</v>
      </c>
      <c r="R828" s="48" t="n">
        <f aca="false">K828-Q828</f>
        <v>0</v>
      </c>
      <c r="S828" s="467"/>
      <c r="T828" s="2" t="s">
        <v>1711</v>
      </c>
      <c r="V828" s="464"/>
      <c r="W828" s="464"/>
      <c r="X828" s="464"/>
      <c r="Y828" s="464"/>
      <c r="Z828" s="464"/>
      <c r="AA828" s="464"/>
      <c r="AB828" s="464"/>
      <c r="AC828" s="464"/>
      <c r="AD828" s="464"/>
      <c r="AE828" s="464"/>
      <c r="AF828" s="464"/>
      <c r="AG828" s="464"/>
      <c r="AH828" s="465"/>
      <c r="AI828" s="464"/>
    </row>
    <row r="829" customFormat="false" ht="15" hidden="false" customHeight="true" outlineLevel="0" collapsed="false">
      <c r="A829" s="455" t="s">
        <v>1824</v>
      </c>
      <c r="C829" s="456" t="n">
        <v>45569</v>
      </c>
      <c r="D829" s="456"/>
      <c r="E829" s="323" t="n">
        <v>13943</v>
      </c>
      <c r="F829" s="323" t="s">
        <v>175</v>
      </c>
      <c r="G829" s="323" t="s">
        <v>17</v>
      </c>
      <c r="H829" s="98" t="n">
        <v>3000</v>
      </c>
      <c r="I829" s="457" t="n">
        <v>22.5</v>
      </c>
      <c r="J829" s="313" t="s">
        <v>1651</v>
      </c>
      <c r="K829" s="98" t="n">
        <f aca="false">I829*H829</f>
        <v>67500</v>
      </c>
      <c r="L829" s="411" t="n">
        <v>30000</v>
      </c>
      <c r="M829" s="392" t="n">
        <f aca="false">L829/K829</f>
        <v>0.444444444444444</v>
      </c>
      <c r="N829" s="466" t="n">
        <f aca="false">I829*M829</f>
        <v>10</v>
      </c>
      <c r="O829" s="461" t="n">
        <v>3000</v>
      </c>
      <c r="P829" s="462" t="n">
        <f aca="false">H829-O829</f>
        <v>0</v>
      </c>
      <c r="Q829" s="463" t="n">
        <f aca="false">O829*I829</f>
        <v>67500</v>
      </c>
      <c r="R829" s="48" t="n">
        <f aca="false">K829-Q829</f>
        <v>0</v>
      </c>
      <c r="S829" s="467"/>
      <c r="T829" s="2" t="s">
        <v>1711</v>
      </c>
      <c r="V829" s="464"/>
      <c r="W829" s="464"/>
      <c r="X829" s="464"/>
      <c r="Y829" s="464"/>
      <c r="Z829" s="464"/>
      <c r="AA829" s="464"/>
      <c r="AB829" s="464"/>
      <c r="AC829" s="464"/>
      <c r="AD829" s="464"/>
      <c r="AE829" s="464"/>
      <c r="AF829" s="464"/>
      <c r="AG829" s="464"/>
      <c r="AH829" s="465"/>
      <c r="AI829" s="464"/>
    </row>
    <row r="830" customFormat="false" ht="15" hidden="false" customHeight="true" outlineLevel="0" collapsed="false">
      <c r="A830" s="455" t="s">
        <v>1880</v>
      </c>
      <c r="C830" s="456" t="n">
        <v>45572</v>
      </c>
      <c r="D830" s="456"/>
      <c r="E830" s="57" t="n">
        <v>13945</v>
      </c>
      <c r="F830" s="323" t="s">
        <v>175</v>
      </c>
      <c r="G830" s="323" t="s">
        <v>5</v>
      </c>
      <c r="H830" s="98" t="n">
        <v>405</v>
      </c>
      <c r="I830" s="457" t="n">
        <v>37.5</v>
      </c>
      <c r="J830" s="313" t="s">
        <v>1652</v>
      </c>
      <c r="K830" s="98" t="n">
        <f aca="false">I830*H830</f>
        <v>15187.5</v>
      </c>
      <c r="L830" s="411" t="n">
        <v>8059.5</v>
      </c>
      <c r="M830" s="392" t="n">
        <f aca="false">L830/K830</f>
        <v>0.530666666666667</v>
      </c>
      <c r="N830" s="466" t="n">
        <f aca="false">I830*M830</f>
        <v>19.9</v>
      </c>
      <c r="O830" s="461" t="n">
        <v>405</v>
      </c>
      <c r="P830" s="462" t="n">
        <f aca="false">H830-O830</f>
        <v>0</v>
      </c>
      <c r="Q830" s="463" t="n">
        <f aca="false">O830*I830</f>
        <v>15187.5</v>
      </c>
      <c r="R830" s="48" t="n">
        <f aca="false">K830-Q830</f>
        <v>0</v>
      </c>
      <c r="S830" s="467"/>
      <c r="T830" s="2" t="s">
        <v>1711</v>
      </c>
      <c r="V830" s="464"/>
      <c r="W830" s="464"/>
      <c r="X830" s="464"/>
      <c r="Y830" s="464"/>
      <c r="Z830" s="464"/>
      <c r="AA830" s="464"/>
      <c r="AB830" s="464"/>
      <c r="AC830" s="464"/>
      <c r="AD830" s="464"/>
      <c r="AE830" s="464"/>
      <c r="AF830" s="464"/>
      <c r="AG830" s="464"/>
      <c r="AH830" s="465"/>
      <c r="AI830" s="464"/>
    </row>
    <row r="831" customFormat="false" ht="15" hidden="false" customHeight="true" outlineLevel="0" collapsed="false">
      <c r="A831" s="455" t="s">
        <v>1881</v>
      </c>
      <c r="C831" s="456" t="n">
        <v>45572</v>
      </c>
      <c r="D831" s="456"/>
      <c r="E831" s="57" t="n">
        <v>13946</v>
      </c>
      <c r="F831" s="323" t="s">
        <v>175</v>
      </c>
      <c r="G831" s="323" t="s">
        <v>5</v>
      </c>
      <c r="H831" s="98" t="n">
        <v>30</v>
      </c>
      <c r="I831" s="457" t="n">
        <v>25.71</v>
      </c>
      <c r="J831" s="313" t="s">
        <v>1651</v>
      </c>
      <c r="K831" s="98" t="n">
        <f aca="false">I831*H831</f>
        <v>771.3</v>
      </c>
      <c r="L831" s="411" t="n">
        <v>450</v>
      </c>
      <c r="M831" s="392" t="n">
        <f aca="false">L831/K831</f>
        <v>0.58343057176196</v>
      </c>
      <c r="N831" s="466" t="n">
        <f aca="false">I831*M831</f>
        <v>15</v>
      </c>
      <c r="O831" s="461" t="n">
        <v>30</v>
      </c>
      <c r="P831" s="462" t="n">
        <f aca="false">H831-O831</f>
        <v>0</v>
      </c>
      <c r="Q831" s="463" t="n">
        <f aca="false">O831*I831</f>
        <v>771.3</v>
      </c>
      <c r="R831" s="48" t="n">
        <f aca="false">K831-Q831</f>
        <v>0</v>
      </c>
      <c r="S831" s="467"/>
      <c r="T831" s="2" t="s">
        <v>1711</v>
      </c>
      <c r="V831" s="464"/>
      <c r="W831" s="464"/>
      <c r="X831" s="464"/>
      <c r="Y831" s="464"/>
      <c r="Z831" s="464"/>
      <c r="AA831" s="464"/>
      <c r="AB831" s="464"/>
      <c r="AC831" s="464"/>
      <c r="AD831" s="464"/>
      <c r="AE831" s="464"/>
      <c r="AF831" s="464"/>
      <c r="AG831" s="464"/>
      <c r="AH831" s="465"/>
      <c r="AI831" s="464"/>
    </row>
    <row r="832" customFormat="false" ht="15" hidden="false" customHeight="true" outlineLevel="0" collapsed="false">
      <c r="A832" s="455" t="s">
        <v>1842</v>
      </c>
      <c r="C832" s="456" t="n">
        <v>45572</v>
      </c>
      <c r="D832" s="456"/>
      <c r="E832" s="57" t="n">
        <v>13947</v>
      </c>
      <c r="F832" s="323" t="s">
        <v>175</v>
      </c>
      <c r="G832" s="323" t="s">
        <v>19</v>
      </c>
      <c r="H832" s="98" t="n">
        <v>15</v>
      </c>
      <c r="I832" s="457" t="n">
        <v>22.5</v>
      </c>
      <c r="J832" s="313" t="s">
        <v>1651</v>
      </c>
      <c r="K832" s="98" t="n">
        <f aca="false">I832*H832</f>
        <v>337.5</v>
      </c>
      <c r="L832" s="411" t="n">
        <v>330</v>
      </c>
      <c r="M832" s="392" t="n">
        <f aca="false">L832/K832</f>
        <v>0.977777777777778</v>
      </c>
      <c r="N832" s="466" t="n">
        <f aca="false">I832*M832</f>
        <v>22</v>
      </c>
      <c r="O832" s="461" t="n">
        <v>15</v>
      </c>
      <c r="P832" s="462" t="n">
        <f aca="false">H832-O832</f>
        <v>0</v>
      </c>
      <c r="Q832" s="463" t="n">
        <f aca="false">O832*I832</f>
        <v>337.5</v>
      </c>
      <c r="R832" s="48" t="n">
        <f aca="false">K832-Q832</f>
        <v>0</v>
      </c>
      <c r="S832" s="467"/>
      <c r="T832" s="2" t="s">
        <v>1711</v>
      </c>
      <c r="V832" s="464"/>
      <c r="W832" s="464"/>
      <c r="X832" s="464"/>
      <c r="Y832" s="464"/>
      <c r="Z832" s="464"/>
      <c r="AA832" s="464"/>
      <c r="AB832" s="464"/>
      <c r="AC832" s="464"/>
      <c r="AD832" s="464"/>
      <c r="AE832" s="464"/>
      <c r="AF832" s="464"/>
      <c r="AG832" s="464"/>
      <c r="AH832" s="465"/>
      <c r="AI832" s="464"/>
    </row>
    <row r="833" customFormat="false" ht="15" hidden="false" customHeight="true" outlineLevel="0" collapsed="false">
      <c r="A833" s="455" t="s">
        <v>1788</v>
      </c>
      <c r="C833" s="456" t="n">
        <v>45572</v>
      </c>
      <c r="D833" s="456"/>
      <c r="E833" s="57" t="n">
        <v>13949</v>
      </c>
      <c r="F833" s="323" t="s">
        <v>175</v>
      </c>
      <c r="G833" s="323" t="s">
        <v>7</v>
      </c>
      <c r="H833" s="98" t="n">
        <v>30</v>
      </c>
      <c r="I833" s="457" t="n">
        <v>25.71</v>
      </c>
      <c r="J833" s="313" t="s">
        <v>1651</v>
      </c>
      <c r="K833" s="98" t="n">
        <f aca="false">I833*H833</f>
        <v>771.3</v>
      </c>
      <c r="L833" s="411" t="n">
        <v>336</v>
      </c>
      <c r="M833" s="392" t="n">
        <f aca="false">L833/K833</f>
        <v>0.43562816024893</v>
      </c>
      <c r="N833" s="466" t="n">
        <f aca="false">I833*M833</f>
        <v>11.2</v>
      </c>
      <c r="O833" s="461" t="n">
        <v>30</v>
      </c>
      <c r="P833" s="462" t="n">
        <f aca="false">H833-O833</f>
        <v>0</v>
      </c>
      <c r="Q833" s="463" t="n">
        <f aca="false">O833*I833</f>
        <v>771.3</v>
      </c>
      <c r="R833" s="48" t="n">
        <f aca="false">K833-Q833</f>
        <v>0</v>
      </c>
      <c r="S833" s="467"/>
      <c r="T833" s="2" t="s">
        <v>1711</v>
      </c>
      <c r="V833" s="464"/>
      <c r="W833" s="464"/>
      <c r="X833" s="464"/>
      <c r="Y833" s="464"/>
      <c r="Z833" s="464"/>
      <c r="AA833" s="464"/>
      <c r="AB833" s="464"/>
      <c r="AC833" s="464"/>
      <c r="AD833" s="464"/>
      <c r="AE833" s="464"/>
      <c r="AF833" s="464"/>
      <c r="AG833" s="464"/>
      <c r="AH833" s="465"/>
      <c r="AI833" s="464"/>
    </row>
    <row r="834" customFormat="false" ht="15" hidden="false" customHeight="true" outlineLevel="0" collapsed="false">
      <c r="A834" s="455" t="s">
        <v>1855</v>
      </c>
      <c r="C834" s="456" t="n">
        <v>45573</v>
      </c>
      <c r="D834" s="456"/>
      <c r="E834" s="57" t="n">
        <v>13955</v>
      </c>
      <c r="F834" s="57" t="s">
        <v>175</v>
      </c>
      <c r="G834" s="323" t="s">
        <v>5</v>
      </c>
      <c r="H834" s="98" t="n">
        <v>1710</v>
      </c>
      <c r="I834" s="457" t="n">
        <v>25.71</v>
      </c>
      <c r="J834" s="313" t="s">
        <v>1651</v>
      </c>
      <c r="K834" s="98" t="n">
        <f aca="false">I834*H834</f>
        <v>43964.1</v>
      </c>
      <c r="L834" s="411" t="n">
        <v>23769</v>
      </c>
      <c r="M834" s="392" t="n">
        <f aca="false">L834/K834</f>
        <v>0.540645663166083</v>
      </c>
      <c r="N834" s="466" t="n">
        <f aca="false">I834*M834</f>
        <v>13.9</v>
      </c>
      <c r="O834" s="461" t="n">
        <v>1710</v>
      </c>
      <c r="P834" s="462" t="n">
        <f aca="false">H834-O834</f>
        <v>0</v>
      </c>
      <c r="Q834" s="463" t="n">
        <f aca="false">O834*I834</f>
        <v>43964.1</v>
      </c>
      <c r="R834" s="48" t="n">
        <f aca="false">K834-Q834</f>
        <v>0</v>
      </c>
      <c r="S834" s="467"/>
      <c r="T834" s="2" t="s">
        <v>1711</v>
      </c>
      <c r="V834" s="464"/>
      <c r="W834" s="464"/>
      <c r="X834" s="464"/>
      <c r="Y834" s="464"/>
      <c r="Z834" s="464"/>
      <c r="AA834" s="464"/>
      <c r="AB834" s="464"/>
      <c r="AC834" s="464"/>
      <c r="AD834" s="464"/>
      <c r="AE834" s="464"/>
      <c r="AF834" s="464"/>
      <c r="AG834" s="464"/>
      <c r="AH834" s="465"/>
      <c r="AI834" s="464"/>
    </row>
    <row r="835" customFormat="false" ht="15" hidden="false" customHeight="true" outlineLevel="0" collapsed="false">
      <c r="A835" s="455" t="s">
        <v>58</v>
      </c>
      <c r="C835" s="456" t="n">
        <v>45573</v>
      </c>
      <c r="D835" s="456"/>
      <c r="E835" s="57" t="n">
        <v>13957</v>
      </c>
      <c r="F835" s="57" t="s">
        <v>175</v>
      </c>
      <c r="G835" s="323" t="s">
        <v>6</v>
      </c>
      <c r="H835" s="98" t="n">
        <v>555</v>
      </c>
      <c r="I835" s="457" t="n">
        <v>30</v>
      </c>
      <c r="J835" s="313" t="s">
        <v>1651</v>
      </c>
      <c r="K835" s="98" t="n">
        <f aca="false">I835*H835</f>
        <v>16650</v>
      </c>
      <c r="L835" s="411" t="n">
        <v>10434</v>
      </c>
      <c r="M835" s="392" t="n">
        <f aca="false">L835/K835</f>
        <v>0.626666666666667</v>
      </c>
      <c r="N835" s="466" t="n">
        <f aca="false">I835*M835</f>
        <v>18.8</v>
      </c>
      <c r="O835" s="461" t="n">
        <v>555</v>
      </c>
      <c r="P835" s="462" t="n">
        <f aca="false">H835-O835</f>
        <v>0</v>
      </c>
      <c r="Q835" s="463" t="n">
        <f aca="false">O835*I835</f>
        <v>16650</v>
      </c>
      <c r="R835" s="48" t="n">
        <f aca="false">K835-Q835</f>
        <v>0</v>
      </c>
      <c r="S835" s="467"/>
      <c r="T835" s="2" t="s">
        <v>1711</v>
      </c>
      <c r="V835" s="464"/>
      <c r="W835" s="464"/>
      <c r="X835" s="464"/>
      <c r="Y835" s="464"/>
      <c r="Z835" s="464"/>
      <c r="AA835" s="464"/>
      <c r="AB835" s="464"/>
      <c r="AC835" s="464"/>
      <c r="AD835" s="464"/>
      <c r="AE835" s="464"/>
      <c r="AF835" s="464"/>
      <c r="AG835" s="464"/>
      <c r="AH835" s="465"/>
      <c r="AI835" s="464"/>
    </row>
    <row r="836" customFormat="false" ht="15" hidden="false" customHeight="true" outlineLevel="0" collapsed="false">
      <c r="A836" s="455" t="s">
        <v>1882</v>
      </c>
      <c r="C836" s="456" t="n">
        <v>45573</v>
      </c>
      <c r="D836" s="456"/>
      <c r="E836" s="57" t="n">
        <v>13958</v>
      </c>
      <c r="F836" s="323" t="s">
        <v>175</v>
      </c>
      <c r="G836" s="323" t="s">
        <v>5</v>
      </c>
      <c r="H836" s="98" t="n">
        <v>4410</v>
      </c>
      <c r="I836" s="457" t="n">
        <v>37.5</v>
      </c>
      <c r="J836" s="313" t="s">
        <v>1652</v>
      </c>
      <c r="K836" s="98" t="n">
        <f aca="false">I836*H836</f>
        <v>165375</v>
      </c>
      <c r="L836" s="411" t="n">
        <v>66811.5</v>
      </c>
      <c r="M836" s="392" t="n">
        <f aca="false">L836/K836</f>
        <v>0.404</v>
      </c>
      <c r="N836" s="466" t="n">
        <f aca="false">I836*M836</f>
        <v>15.15</v>
      </c>
      <c r="O836" s="461" t="n">
        <v>4410</v>
      </c>
      <c r="P836" s="462" t="n">
        <f aca="false">H836-O836</f>
        <v>0</v>
      </c>
      <c r="Q836" s="463" t="n">
        <f aca="false">O836*I836</f>
        <v>165375</v>
      </c>
      <c r="R836" s="48" t="n">
        <f aca="false">K836-Q836</f>
        <v>0</v>
      </c>
      <c r="S836" s="467"/>
      <c r="T836" s="2" t="s">
        <v>1711</v>
      </c>
      <c r="V836" s="464"/>
      <c r="W836" s="464"/>
      <c r="X836" s="464"/>
      <c r="Y836" s="464"/>
      <c r="Z836" s="464"/>
      <c r="AA836" s="464"/>
      <c r="AB836" s="464"/>
      <c r="AC836" s="464"/>
      <c r="AD836" s="464"/>
      <c r="AE836" s="464"/>
      <c r="AF836" s="464"/>
      <c r="AG836" s="464"/>
      <c r="AH836" s="465"/>
      <c r="AI836" s="464"/>
    </row>
    <row r="837" customFormat="false" ht="15" hidden="false" customHeight="true" outlineLevel="0" collapsed="false">
      <c r="A837" s="455" t="s">
        <v>1882</v>
      </c>
      <c r="C837" s="456" t="n">
        <v>45573</v>
      </c>
      <c r="D837" s="456"/>
      <c r="E837" s="57" t="n">
        <v>13960</v>
      </c>
      <c r="F837" s="323" t="s">
        <v>175</v>
      </c>
      <c r="G837" s="323" t="s">
        <v>5</v>
      </c>
      <c r="H837" s="98" t="n">
        <v>330</v>
      </c>
      <c r="I837" s="457" t="n">
        <v>37.5</v>
      </c>
      <c r="J837" s="313" t="s">
        <v>1652</v>
      </c>
      <c r="K837" s="98" t="n">
        <f aca="false">I837*H837</f>
        <v>12375</v>
      </c>
      <c r="L837" s="411" t="n">
        <v>4999.8</v>
      </c>
      <c r="M837" s="392" t="n">
        <f aca="false">L837/K837</f>
        <v>0.404024242424242</v>
      </c>
      <c r="N837" s="466" t="n">
        <f aca="false">I837*M837</f>
        <v>15.1509090909091</v>
      </c>
      <c r="O837" s="461" t="n">
        <v>330</v>
      </c>
      <c r="P837" s="462" t="n">
        <f aca="false">H837-O837</f>
        <v>0</v>
      </c>
      <c r="Q837" s="463" t="n">
        <f aca="false">O837*I837</f>
        <v>12375</v>
      </c>
      <c r="R837" s="48" t="n">
        <f aca="false">K837-Q837</f>
        <v>0</v>
      </c>
      <c r="S837" s="467"/>
      <c r="T837" s="2" t="s">
        <v>1711</v>
      </c>
      <c r="V837" s="464"/>
      <c r="W837" s="464"/>
      <c r="X837" s="464"/>
      <c r="Y837" s="464"/>
      <c r="Z837" s="464"/>
      <c r="AA837" s="464"/>
      <c r="AB837" s="464"/>
      <c r="AC837" s="464"/>
      <c r="AD837" s="464"/>
      <c r="AE837" s="464"/>
      <c r="AF837" s="464"/>
      <c r="AG837" s="464"/>
      <c r="AH837" s="465"/>
      <c r="AI837" s="464"/>
    </row>
    <row r="838" customFormat="false" ht="15" hidden="false" customHeight="true" outlineLevel="0" collapsed="false">
      <c r="A838" s="455" t="s">
        <v>1883</v>
      </c>
      <c r="C838" s="456" t="n">
        <v>45573</v>
      </c>
      <c r="D838" s="456"/>
      <c r="E838" s="57" t="n">
        <v>13961</v>
      </c>
      <c r="F838" s="323" t="s">
        <v>175</v>
      </c>
      <c r="G838" s="323" t="s">
        <v>19</v>
      </c>
      <c r="H838" s="98" t="n">
        <v>105</v>
      </c>
      <c r="I838" s="457" t="n">
        <v>22.5</v>
      </c>
      <c r="J838" s="313" t="s">
        <v>1651</v>
      </c>
      <c r="K838" s="98" t="n">
        <f aca="false">I838*H838</f>
        <v>2362.5</v>
      </c>
      <c r="L838" s="411" t="n">
        <v>2909.55</v>
      </c>
      <c r="M838" s="392" t="n">
        <f aca="false">L838/K838</f>
        <v>1.23155555555556</v>
      </c>
      <c r="N838" s="466" t="n">
        <f aca="false">I838*M838</f>
        <v>27.71</v>
      </c>
      <c r="O838" s="461" t="n">
        <v>105</v>
      </c>
      <c r="P838" s="462" t="n">
        <f aca="false">H838-O838</f>
        <v>0</v>
      </c>
      <c r="Q838" s="463" t="n">
        <f aca="false">O838*I838</f>
        <v>2362.5</v>
      </c>
      <c r="R838" s="48" t="n">
        <f aca="false">K838-Q838</f>
        <v>0</v>
      </c>
      <c r="S838" s="467"/>
      <c r="T838" s="2" t="s">
        <v>1711</v>
      </c>
      <c r="V838" s="464"/>
      <c r="W838" s="464"/>
      <c r="X838" s="464"/>
      <c r="Y838" s="464"/>
      <c r="Z838" s="464"/>
      <c r="AA838" s="464"/>
      <c r="AB838" s="464"/>
      <c r="AC838" s="464"/>
      <c r="AD838" s="464"/>
      <c r="AE838" s="464"/>
      <c r="AF838" s="464"/>
      <c r="AG838" s="464"/>
      <c r="AH838" s="465"/>
      <c r="AI838" s="464"/>
    </row>
    <row r="839" customFormat="false" ht="15" hidden="false" customHeight="true" outlineLevel="0" collapsed="false">
      <c r="A839" s="455" t="s">
        <v>1883</v>
      </c>
      <c r="C839" s="456" t="n">
        <v>45573</v>
      </c>
      <c r="D839" s="456"/>
      <c r="E839" s="57" t="n">
        <v>13961</v>
      </c>
      <c r="F839" s="323" t="s">
        <v>175</v>
      </c>
      <c r="G839" s="323" t="s">
        <v>6</v>
      </c>
      <c r="H839" s="98" t="n">
        <v>255</v>
      </c>
      <c r="I839" s="457" t="n">
        <v>30</v>
      </c>
      <c r="J839" s="313" t="s">
        <v>1651</v>
      </c>
      <c r="K839" s="98" t="n">
        <f aca="false">I839*H839</f>
        <v>7650</v>
      </c>
      <c r="L839" s="411" t="n">
        <v>6530.55</v>
      </c>
      <c r="M839" s="392" t="n">
        <f aca="false">L839/K839</f>
        <v>0.853666666666667</v>
      </c>
      <c r="N839" s="466" t="n">
        <f aca="false">I839*M839</f>
        <v>25.61</v>
      </c>
      <c r="O839" s="461" t="n">
        <v>255</v>
      </c>
      <c r="P839" s="462" t="n">
        <f aca="false">H839-O839</f>
        <v>0</v>
      </c>
      <c r="Q839" s="463" t="n">
        <f aca="false">O839*I839</f>
        <v>7650</v>
      </c>
      <c r="R839" s="48" t="n">
        <f aca="false">K839-Q839</f>
        <v>0</v>
      </c>
      <c r="S839" s="467"/>
      <c r="T839" s="2" t="s">
        <v>1711</v>
      </c>
      <c r="V839" s="464"/>
      <c r="W839" s="464"/>
      <c r="X839" s="464"/>
      <c r="Y839" s="464"/>
      <c r="Z839" s="464"/>
      <c r="AA839" s="464"/>
      <c r="AB839" s="464"/>
      <c r="AC839" s="464"/>
      <c r="AD839" s="464"/>
      <c r="AE839" s="464"/>
      <c r="AF839" s="464"/>
      <c r="AG839" s="464"/>
      <c r="AH839" s="465"/>
      <c r="AI839" s="464"/>
    </row>
    <row r="840" customFormat="false" ht="15" hidden="false" customHeight="true" outlineLevel="0" collapsed="false">
      <c r="A840" s="455" t="s">
        <v>58</v>
      </c>
      <c r="C840" s="456" t="n">
        <v>45573</v>
      </c>
      <c r="D840" s="456"/>
      <c r="E840" s="57" t="n">
        <v>13962</v>
      </c>
      <c r="F840" s="57" t="s">
        <v>175</v>
      </c>
      <c r="G840" s="323" t="s">
        <v>19</v>
      </c>
      <c r="H840" s="98" t="n">
        <v>300</v>
      </c>
      <c r="I840" s="457" t="n">
        <v>22.5</v>
      </c>
      <c r="J840" s="313" t="s">
        <v>1651</v>
      </c>
      <c r="K840" s="98" t="n">
        <f aca="false">I840*H840</f>
        <v>6750</v>
      </c>
      <c r="L840" s="411" t="n">
        <v>5985</v>
      </c>
      <c r="M840" s="392" t="n">
        <f aca="false">L840/K840</f>
        <v>0.886666666666667</v>
      </c>
      <c r="N840" s="466" t="n">
        <f aca="false">I840*M840</f>
        <v>19.95</v>
      </c>
      <c r="O840" s="461" t="n">
        <v>300</v>
      </c>
      <c r="P840" s="462" t="n">
        <f aca="false">H840-O840</f>
        <v>0</v>
      </c>
      <c r="Q840" s="463" t="n">
        <f aca="false">O840*I840</f>
        <v>6750</v>
      </c>
      <c r="R840" s="48" t="n">
        <f aca="false">K840-Q840</f>
        <v>0</v>
      </c>
      <c r="S840" s="467"/>
      <c r="T840" s="2" t="s">
        <v>1711</v>
      </c>
      <c r="V840" s="464"/>
      <c r="W840" s="464"/>
      <c r="X840" s="464"/>
      <c r="Y840" s="464"/>
      <c r="Z840" s="464"/>
      <c r="AA840" s="464"/>
      <c r="AB840" s="464"/>
      <c r="AC840" s="464"/>
      <c r="AD840" s="464"/>
      <c r="AE840" s="464"/>
      <c r="AF840" s="464"/>
      <c r="AG840" s="464"/>
      <c r="AH840" s="465"/>
      <c r="AI840" s="464"/>
    </row>
    <row r="841" customFormat="false" ht="15" hidden="false" customHeight="true" outlineLevel="0" collapsed="false">
      <c r="A841" s="455" t="s">
        <v>1884</v>
      </c>
      <c r="C841" s="456" t="n">
        <v>45575</v>
      </c>
      <c r="D841" s="456"/>
      <c r="E841" s="323" t="n">
        <v>13963</v>
      </c>
      <c r="F841" s="323" t="s">
        <v>175</v>
      </c>
      <c r="G841" s="323" t="s">
        <v>5</v>
      </c>
      <c r="H841" s="98" t="n">
        <v>150</v>
      </c>
      <c r="I841" s="457" t="n">
        <v>90</v>
      </c>
      <c r="J841" s="313" t="s">
        <v>1653</v>
      </c>
      <c r="K841" s="98" t="n">
        <f aca="false">I841*H841</f>
        <v>13500</v>
      </c>
      <c r="L841" s="411" t="n">
        <v>3885</v>
      </c>
      <c r="M841" s="392" t="n">
        <f aca="false">L841/K841</f>
        <v>0.287777777777778</v>
      </c>
      <c r="N841" s="466" t="n">
        <f aca="false">I841*M841</f>
        <v>25.9</v>
      </c>
      <c r="O841" s="461" t="n">
        <v>150</v>
      </c>
      <c r="P841" s="462" t="n">
        <f aca="false">H841-O841</f>
        <v>0</v>
      </c>
      <c r="Q841" s="463" t="n">
        <f aca="false">O841*I841</f>
        <v>13500</v>
      </c>
      <c r="R841" s="48" t="n">
        <f aca="false">K841-Q841</f>
        <v>0</v>
      </c>
      <c r="S841" s="467"/>
      <c r="T841" s="2" t="s">
        <v>1711</v>
      </c>
      <c r="V841" s="464"/>
      <c r="W841" s="464"/>
      <c r="X841" s="464"/>
      <c r="Y841" s="464"/>
      <c r="Z841" s="464"/>
      <c r="AA841" s="464"/>
      <c r="AB841" s="464"/>
      <c r="AC841" s="464"/>
      <c r="AD841" s="464"/>
      <c r="AE841" s="464"/>
      <c r="AF841" s="464"/>
      <c r="AG841" s="464"/>
      <c r="AH841" s="465"/>
      <c r="AI841" s="464"/>
    </row>
    <row r="842" customFormat="false" ht="15" hidden="false" customHeight="true" outlineLevel="0" collapsed="false">
      <c r="A842" s="455" t="s">
        <v>1885</v>
      </c>
      <c r="C842" s="456" t="n">
        <v>45575</v>
      </c>
      <c r="D842" s="456"/>
      <c r="E842" s="323" t="n">
        <v>13964</v>
      </c>
      <c r="F842" s="323" t="s">
        <v>175</v>
      </c>
      <c r="G842" s="323" t="s">
        <v>5</v>
      </c>
      <c r="H842" s="98" t="n">
        <v>720</v>
      </c>
      <c r="I842" s="457" t="n">
        <v>25.71</v>
      </c>
      <c r="J842" s="313" t="s">
        <v>1651</v>
      </c>
      <c r="K842" s="98" t="n">
        <f aca="false">I842*H842</f>
        <v>18511.2</v>
      </c>
      <c r="L842" s="411" t="n">
        <v>13032</v>
      </c>
      <c r="M842" s="392" t="n">
        <f aca="false">L842/K842</f>
        <v>0.704006223259432</v>
      </c>
      <c r="N842" s="466" t="n">
        <f aca="false">I842*M842</f>
        <v>18.1</v>
      </c>
      <c r="O842" s="461" t="n">
        <v>720</v>
      </c>
      <c r="P842" s="462" t="n">
        <f aca="false">H842-O842</f>
        <v>0</v>
      </c>
      <c r="Q842" s="463" t="n">
        <f aca="false">O842*I842</f>
        <v>18511.2</v>
      </c>
      <c r="R842" s="48" t="n">
        <f aca="false">K842-Q842</f>
        <v>0</v>
      </c>
      <c r="S842" s="467"/>
      <c r="T842" s="2" t="s">
        <v>1711</v>
      </c>
      <c r="V842" s="464"/>
      <c r="W842" s="464"/>
      <c r="X842" s="464"/>
      <c r="Y842" s="464"/>
      <c r="Z842" s="464"/>
      <c r="AA842" s="464"/>
      <c r="AB842" s="464"/>
      <c r="AC842" s="464"/>
      <c r="AD842" s="464"/>
      <c r="AE842" s="464"/>
      <c r="AF842" s="464"/>
      <c r="AG842" s="464"/>
      <c r="AH842" s="465"/>
      <c r="AI842" s="464"/>
    </row>
    <row r="843" customFormat="false" ht="15" hidden="false" customHeight="true" outlineLevel="0" collapsed="false">
      <c r="A843" s="455" t="s">
        <v>1886</v>
      </c>
      <c r="C843" s="456" t="n">
        <v>45579</v>
      </c>
      <c r="D843" s="456"/>
      <c r="E843" s="323" t="n">
        <v>13965</v>
      </c>
      <c r="F843" s="323" t="s">
        <v>175</v>
      </c>
      <c r="G843" s="323" t="s">
        <v>5</v>
      </c>
      <c r="H843" s="98" t="n">
        <v>1305</v>
      </c>
      <c r="I843" s="457" t="n">
        <v>37.5</v>
      </c>
      <c r="J843" s="313" t="s">
        <v>1652</v>
      </c>
      <c r="K843" s="98" t="n">
        <f aca="false">I843*H843</f>
        <v>48937.5</v>
      </c>
      <c r="L843" s="411" t="n">
        <v>19575</v>
      </c>
      <c r="M843" s="392" t="n">
        <f aca="false">L843/K843</f>
        <v>0.4</v>
      </c>
      <c r="N843" s="466" t="n">
        <f aca="false">I843*M843</f>
        <v>15</v>
      </c>
      <c r="O843" s="461" t="n">
        <v>1305</v>
      </c>
      <c r="P843" s="462" t="n">
        <f aca="false">H843-O843</f>
        <v>0</v>
      </c>
      <c r="Q843" s="463" t="n">
        <f aca="false">O843*I843</f>
        <v>48937.5</v>
      </c>
      <c r="R843" s="48" t="n">
        <f aca="false">K843-Q843</f>
        <v>0</v>
      </c>
      <c r="S843" s="467"/>
      <c r="T843" s="2" t="s">
        <v>1711</v>
      </c>
      <c r="V843" s="464"/>
      <c r="W843" s="464"/>
      <c r="X843" s="464"/>
      <c r="Y843" s="464"/>
      <c r="Z843" s="464"/>
      <c r="AA843" s="464"/>
      <c r="AB843" s="464"/>
      <c r="AC843" s="464"/>
      <c r="AD843" s="464"/>
      <c r="AE843" s="464"/>
      <c r="AF843" s="464"/>
      <c r="AG843" s="464"/>
      <c r="AH843" s="465"/>
      <c r="AI843" s="464"/>
    </row>
    <row r="844" customFormat="false" ht="15" hidden="false" customHeight="true" outlineLevel="0" collapsed="false">
      <c r="A844" s="455" t="s">
        <v>1723</v>
      </c>
      <c r="C844" s="456" t="n">
        <v>45579</v>
      </c>
      <c r="D844" s="456"/>
      <c r="E844" s="323" t="n">
        <v>13966</v>
      </c>
      <c r="F844" s="323" t="s">
        <v>175</v>
      </c>
      <c r="G844" s="323" t="s">
        <v>7</v>
      </c>
      <c r="H844" s="98" t="n">
        <v>1005</v>
      </c>
      <c r="I844" s="457" t="n">
        <v>25.71</v>
      </c>
      <c r="J844" s="313" t="s">
        <v>1651</v>
      </c>
      <c r="K844" s="98" t="n">
        <f aca="false">I844*H844</f>
        <v>25838.55</v>
      </c>
      <c r="L844" s="411" t="n">
        <v>12009.75</v>
      </c>
      <c r="M844" s="392" t="n">
        <f aca="false">L844/K844</f>
        <v>0.464799688837028</v>
      </c>
      <c r="N844" s="466" t="n">
        <f aca="false">I844*M844</f>
        <v>11.95</v>
      </c>
      <c r="O844" s="461" t="n">
        <v>1005</v>
      </c>
      <c r="P844" s="462" t="n">
        <f aca="false">H844-O844</f>
        <v>0</v>
      </c>
      <c r="Q844" s="463" t="n">
        <f aca="false">O844*I844</f>
        <v>25838.55</v>
      </c>
      <c r="R844" s="48" t="n">
        <f aca="false">K844-Q844</f>
        <v>0</v>
      </c>
      <c r="S844" s="467"/>
      <c r="T844" s="2" t="s">
        <v>1711</v>
      </c>
      <c r="V844" s="464"/>
      <c r="W844" s="464"/>
      <c r="X844" s="464"/>
      <c r="Y844" s="464"/>
      <c r="Z844" s="464"/>
      <c r="AA844" s="464"/>
      <c r="AB844" s="464"/>
      <c r="AC844" s="464"/>
      <c r="AD844" s="464"/>
      <c r="AE844" s="464"/>
      <c r="AF844" s="464"/>
      <c r="AG844" s="464"/>
      <c r="AH844" s="465"/>
      <c r="AI844" s="464"/>
    </row>
    <row r="845" customFormat="false" ht="15" hidden="false" customHeight="true" outlineLevel="0" collapsed="false">
      <c r="A845" s="455" t="s">
        <v>1723</v>
      </c>
      <c r="C845" s="456" t="n">
        <v>45579</v>
      </c>
      <c r="D845" s="456"/>
      <c r="E845" s="323" t="n">
        <v>13966</v>
      </c>
      <c r="F845" s="323" t="s">
        <v>175</v>
      </c>
      <c r="G845" s="323" t="s">
        <v>6</v>
      </c>
      <c r="H845" s="98" t="n">
        <v>510</v>
      </c>
      <c r="I845" s="457" t="n">
        <v>30</v>
      </c>
      <c r="J845" s="313" t="s">
        <v>1651</v>
      </c>
      <c r="K845" s="98" t="n">
        <f aca="false">I845*H845</f>
        <v>15300</v>
      </c>
      <c r="L845" s="411" t="n">
        <v>6885</v>
      </c>
      <c r="M845" s="392" t="n">
        <f aca="false">L845/K845</f>
        <v>0.45</v>
      </c>
      <c r="N845" s="466" t="n">
        <f aca="false">I845*M845</f>
        <v>13.5</v>
      </c>
      <c r="O845" s="461" t="n">
        <v>510</v>
      </c>
      <c r="P845" s="462" t="n">
        <f aca="false">H845-O845</f>
        <v>0</v>
      </c>
      <c r="Q845" s="463" t="n">
        <f aca="false">O845*I845</f>
        <v>15300</v>
      </c>
      <c r="R845" s="48" t="n">
        <f aca="false">K845-Q845</f>
        <v>0</v>
      </c>
      <c r="S845" s="467"/>
      <c r="T845" s="2" t="s">
        <v>1711</v>
      </c>
      <c r="V845" s="464"/>
      <c r="W845" s="464"/>
      <c r="X845" s="464"/>
      <c r="Y845" s="464"/>
      <c r="Z845" s="464"/>
      <c r="AA845" s="464"/>
      <c r="AB845" s="464"/>
      <c r="AC845" s="464"/>
      <c r="AD845" s="464"/>
      <c r="AE845" s="464"/>
      <c r="AF845" s="464"/>
      <c r="AG845" s="464"/>
      <c r="AH845" s="465"/>
      <c r="AI845" s="464"/>
    </row>
    <row r="846" customFormat="false" ht="15" hidden="false" customHeight="true" outlineLevel="0" collapsed="false">
      <c r="A846" s="455" t="s">
        <v>1723</v>
      </c>
      <c r="C846" s="456" t="n">
        <v>45579</v>
      </c>
      <c r="D846" s="456"/>
      <c r="E846" s="323" t="n">
        <v>13966</v>
      </c>
      <c r="F846" s="323" t="s">
        <v>175</v>
      </c>
      <c r="G846" s="323" t="s">
        <v>17</v>
      </c>
      <c r="H846" s="98" t="n">
        <v>1005</v>
      </c>
      <c r="I846" s="457" t="n">
        <v>22.5</v>
      </c>
      <c r="J846" s="313" t="s">
        <v>1651</v>
      </c>
      <c r="K846" s="98" t="n">
        <f aca="false">I846*H846</f>
        <v>22612.5</v>
      </c>
      <c r="L846" s="411" t="n">
        <v>9537.45</v>
      </c>
      <c r="M846" s="392" t="n">
        <f aca="false">L846/K846</f>
        <v>0.421777777777778</v>
      </c>
      <c r="N846" s="466" t="n">
        <f aca="false">I846*M846</f>
        <v>9.49</v>
      </c>
      <c r="O846" s="461" t="n">
        <v>1005</v>
      </c>
      <c r="P846" s="462" t="n">
        <f aca="false">H846-O846</f>
        <v>0</v>
      </c>
      <c r="Q846" s="463" t="n">
        <f aca="false">O846*I846</f>
        <v>22612.5</v>
      </c>
      <c r="R846" s="48" t="n">
        <f aca="false">K846-Q846</f>
        <v>0</v>
      </c>
      <c r="S846" s="467"/>
      <c r="T846" s="2" t="s">
        <v>1711</v>
      </c>
      <c r="V846" s="464"/>
      <c r="W846" s="464"/>
      <c r="X846" s="464"/>
      <c r="Y846" s="464"/>
      <c r="Z846" s="464"/>
      <c r="AA846" s="464"/>
      <c r="AB846" s="464"/>
      <c r="AC846" s="464"/>
      <c r="AD846" s="464"/>
      <c r="AE846" s="464"/>
      <c r="AF846" s="464"/>
      <c r="AG846" s="464"/>
      <c r="AH846" s="465"/>
      <c r="AI846" s="464"/>
    </row>
    <row r="847" customFormat="false" ht="15" hidden="false" customHeight="true" outlineLevel="0" collapsed="false">
      <c r="A847" s="455" t="s">
        <v>1759</v>
      </c>
      <c r="C847" s="456" t="n">
        <v>45579</v>
      </c>
      <c r="D847" s="456"/>
      <c r="E847" s="323" t="n">
        <v>13967</v>
      </c>
      <c r="F847" s="323" t="s">
        <v>175</v>
      </c>
      <c r="G847" s="323" t="s">
        <v>42</v>
      </c>
      <c r="H847" s="98" t="n">
        <v>50</v>
      </c>
      <c r="I847" s="457" t="n">
        <v>30</v>
      </c>
      <c r="J847" s="313" t="s">
        <v>1651</v>
      </c>
      <c r="K847" s="98" t="n">
        <f aca="false">I847*H847</f>
        <v>1500</v>
      </c>
      <c r="L847" s="411" t="n">
        <v>621</v>
      </c>
      <c r="M847" s="392" t="n">
        <f aca="false">L847/K847</f>
        <v>0.414</v>
      </c>
      <c r="N847" s="466" t="n">
        <f aca="false">I847*M847</f>
        <v>12.42</v>
      </c>
      <c r="O847" s="461" t="n">
        <v>50</v>
      </c>
      <c r="P847" s="462" t="n">
        <f aca="false">H847-O847</f>
        <v>0</v>
      </c>
      <c r="Q847" s="463" t="n">
        <f aca="false">O847*I847</f>
        <v>1500</v>
      </c>
      <c r="R847" s="48" t="n">
        <f aca="false">K847-Q847</f>
        <v>0</v>
      </c>
      <c r="S847" s="467"/>
      <c r="T847" s="2" t="s">
        <v>1711</v>
      </c>
      <c r="V847" s="464"/>
      <c r="W847" s="464"/>
      <c r="X847" s="464"/>
      <c r="Y847" s="464"/>
      <c r="Z847" s="464"/>
      <c r="AA847" s="464"/>
      <c r="AB847" s="464"/>
      <c r="AC847" s="464"/>
      <c r="AD847" s="464"/>
      <c r="AE847" s="464"/>
      <c r="AF847" s="464"/>
      <c r="AG847" s="464"/>
      <c r="AH847" s="465"/>
      <c r="AI847" s="464"/>
    </row>
    <row r="848" customFormat="false" ht="15" hidden="false" customHeight="true" outlineLevel="0" collapsed="false">
      <c r="A848" s="455" t="s">
        <v>1758</v>
      </c>
      <c r="C848" s="456" t="n">
        <v>45579</v>
      </c>
      <c r="D848" s="456"/>
      <c r="E848" s="57" t="n">
        <v>13968</v>
      </c>
      <c r="F848" s="323" t="s">
        <v>175</v>
      </c>
      <c r="G848" s="323" t="s">
        <v>10</v>
      </c>
      <c r="H848" s="98" t="n">
        <v>1000</v>
      </c>
      <c r="I848" s="457" t="n">
        <v>25.71</v>
      </c>
      <c r="J848" s="313" t="s">
        <v>1651</v>
      </c>
      <c r="K848" s="98" t="n">
        <f aca="false">I848*H848</f>
        <v>25710</v>
      </c>
      <c r="L848" s="411" t="n">
        <v>8000</v>
      </c>
      <c r="M848" s="392" t="n">
        <f aca="false">L848/K848</f>
        <v>0.311162971606379</v>
      </c>
      <c r="N848" s="466" t="n">
        <f aca="false">I848*M848</f>
        <v>8</v>
      </c>
      <c r="O848" s="461" t="n">
        <v>1000</v>
      </c>
      <c r="P848" s="462" t="n">
        <f aca="false">H848-O848</f>
        <v>0</v>
      </c>
      <c r="Q848" s="463" t="n">
        <f aca="false">O848*I848</f>
        <v>25710</v>
      </c>
      <c r="R848" s="48" t="n">
        <f aca="false">K848-Q848</f>
        <v>0</v>
      </c>
      <c r="S848" s="467"/>
      <c r="T848" s="2" t="s">
        <v>1711</v>
      </c>
      <c r="V848" s="464"/>
      <c r="W848" s="464"/>
      <c r="X848" s="464"/>
      <c r="Y848" s="464"/>
      <c r="Z848" s="464"/>
      <c r="AA848" s="464"/>
      <c r="AB848" s="464"/>
      <c r="AC848" s="464"/>
      <c r="AD848" s="464"/>
      <c r="AE848" s="464"/>
      <c r="AF848" s="464"/>
      <c r="AG848" s="464"/>
      <c r="AH848" s="465"/>
      <c r="AI848" s="464"/>
    </row>
    <row r="849" customFormat="false" ht="15" hidden="false" customHeight="true" outlineLevel="0" collapsed="false">
      <c r="A849" s="455" t="s">
        <v>1758</v>
      </c>
      <c r="C849" s="456" t="n">
        <v>45579</v>
      </c>
      <c r="D849" s="456"/>
      <c r="E849" s="57" t="n">
        <v>13969</v>
      </c>
      <c r="F849" s="323" t="s">
        <v>175</v>
      </c>
      <c r="G849" s="323" t="s">
        <v>42</v>
      </c>
      <c r="H849" s="98" t="n">
        <v>300</v>
      </c>
      <c r="I849" s="457" t="n">
        <v>30</v>
      </c>
      <c r="J849" s="313" t="s">
        <v>1651</v>
      </c>
      <c r="K849" s="98" t="n">
        <f aca="false">I849*H849</f>
        <v>9000</v>
      </c>
      <c r="L849" s="411" t="n">
        <v>4050</v>
      </c>
      <c r="M849" s="392" t="n">
        <f aca="false">L849/K849</f>
        <v>0.45</v>
      </c>
      <c r="N849" s="466" t="n">
        <f aca="false">I849*M849</f>
        <v>13.5</v>
      </c>
      <c r="O849" s="461" t="n">
        <v>300</v>
      </c>
      <c r="P849" s="462" t="n">
        <f aca="false">H849-O849</f>
        <v>0</v>
      </c>
      <c r="Q849" s="463" t="n">
        <f aca="false">O849*I849</f>
        <v>9000</v>
      </c>
      <c r="R849" s="48" t="n">
        <f aca="false">K849-Q849</f>
        <v>0</v>
      </c>
      <c r="S849" s="467"/>
      <c r="T849" s="2" t="s">
        <v>1711</v>
      </c>
      <c r="V849" s="464"/>
      <c r="W849" s="464"/>
      <c r="X849" s="464"/>
      <c r="Y849" s="464"/>
      <c r="Z849" s="464"/>
      <c r="AA849" s="464"/>
      <c r="AB849" s="464"/>
      <c r="AC849" s="464"/>
      <c r="AD849" s="464"/>
      <c r="AE849" s="464"/>
      <c r="AF849" s="464"/>
      <c r="AG849" s="464"/>
      <c r="AH849" s="465"/>
      <c r="AI849" s="464"/>
    </row>
    <row r="850" customFormat="false" ht="15" hidden="false" customHeight="true" outlineLevel="0" collapsed="false">
      <c r="A850" s="455" t="s">
        <v>1758</v>
      </c>
      <c r="C850" s="456" t="n">
        <v>45579</v>
      </c>
      <c r="D850" s="456"/>
      <c r="E850" s="57" t="n">
        <v>13970</v>
      </c>
      <c r="F850" s="57" t="s">
        <v>175</v>
      </c>
      <c r="G850" s="323" t="s">
        <v>6</v>
      </c>
      <c r="H850" s="98" t="n">
        <v>150</v>
      </c>
      <c r="I850" s="457" t="n">
        <v>30</v>
      </c>
      <c r="J850" s="313" t="s">
        <v>1651</v>
      </c>
      <c r="K850" s="98" t="n">
        <f aca="false">I850*H850</f>
        <v>4500</v>
      </c>
      <c r="L850" s="411" t="n">
        <v>1875</v>
      </c>
      <c r="M850" s="392" t="n">
        <f aca="false">L850/K850</f>
        <v>0.416666666666667</v>
      </c>
      <c r="N850" s="466" t="n">
        <f aca="false">I850*M850</f>
        <v>12.5</v>
      </c>
      <c r="O850" s="461" t="n">
        <v>150</v>
      </c>
      <c r="P850" s="462" t="n">
        <f aca="false">H850-O850</f>
        <v>0</v>
      </c>
      <c r="Q850" s="463" t="n">
        <f aca="false">O850*I850</f>
        <v>4500</v>
      </c>
      <c r="R850" s="48" t="n">
        <f aca="false">K850-Q850</f>
        <v>0</v>
      </c>
      <c r="S850" s="467"/>
      <c r="T850" s="2" t="s">
        <v>1711</v>
      </c>
      <c r="V850" s="464"/>
      <c r="W850" s="464"/>
      <c r="X850" s="464"/>
      <c r="Y850" s="464"/>
      <c r="Z850" s="464"/>
      <c r="AA850" s="464"/>
      <c r="AB850" s="464"/>
      <c r="AC850" s="464"/>
      <c r="AD850" s="464"/>
      <c r="AE850" s="464"/>
      <c r="AF850" s="464"/>
      <c r="AG850" s="464"/>
      <c r="AH850" s="465"/>
      <c r="AI850" s="464"/>
    </row>
    <row r="851" customFormat="false" ht="15" hidden="false" customHeight="true" outlineLevel="0" collapsed="false">
      <c r="A851" s="455" t="s">
        <v>1887</v>
      </c>
      <c r="C851" s="456" t="n">
        <v>45579</v>
      </c>
      <c r="D851" s="456"/>
      <c r="E851" s="57" t="n">
        <v>13971</v>
      </c>
      <c r="F851" s="57" t="s">
        <v>175</v>
      </c>
      <c r="G851" s="323" t="s">
        <v>10</v>
      </c>
      <c r="H851" s="98" t="n">
        <v>1080</v>
      </c>
      <c r="I851" s="457" t="n">
        <v>38.3</v>
      </c>
      <c r="J851" s="313" t="s">
        <v>1652</v>
      </c>
      <c r="K851" s="98" t="n">
        <f aca="false">I851*H851</f>
        <v>41364</v>
      </c>
      <c r="L851" s="411" t="n">
        <v>13500</v>
      </c>
      <c r="M851" s="392" t="n">
        <f aca="false">L851/K851</f>
        <v>0.326370757180157</v>
      </c>
      <c r="N851" s="466" t="n">
        <f aca="false">I851*M851</f>
        <v>12.5</v>
      </c>
      <c r="O851" s="461" t="n">
        <v>1080</v>
      </c>
      <c r="P851" s="462" t="n">
        <f aca="false">H851-O851</f>
        <v>0</v>
      </c>
      <c r="Q851" s="463" t="n">
        <f aca="false">O851*I851</f>
        <v>41364</v>
      </c>
      <c r="R851" s="48" t="n">
        <f aca="false">K851-Q851</f>
        <v>0</v>
      </c>
      <c r="S851" s="467"/>
      <c r="T851" s="2" t="s">
        <v>1711</v>
      </c>
      <c r="V851" s="464"/>
      <c r="W851" s="464"/>
      <c r="X851" s="464"/>
      <c r="Y851" s="464"/>
      <c r="Z851" s="464"/>
      <c r="AA851" s="464"/>
      <c r="AB851" s="464"/>
      <c r="AC851" s="464"/>
      <c r="AD851" s="464"/>
      <c r="AE851" s="464"/>
      <c r="AF851" s="464"/>
      <c r="AG851" s="464"/>
      <c r="AH851" s="465"/>
      <c r="AI851" s="464"/>
    </row>
    <row r="852" customFormat="false" ht="15" hidden="false" customHeight="true" outlineLevel="0" collapsed="false">
      <c r="A852" s="455" t="s">
        <v>1888</v>
      </c>
      <c r="C852" s="456" t="n">
        <v>45579</v>
      </c>
      <c r="D852" s="456"/>
      <c r="E852" s="57" t="n">
        <v>13972</v>
      </c>
      <c r="F852" s="323" t="s">
        <v>175</v>
      </c>
      <c r="G852" s="323" t="s">
        <v>15</v>
      </c>
      <c r="H852" s="98" t="n">
        <v>15</v>
      </c>
      <c r="I852" s="457" t="n">
        <v>22.5</v>
      </c>
      <c r="J852" s="313" t="s">
        <v>1651</v>
      </c>
      <c r="K852" s="98" t="n">
        <f aca="false">I852*H852</f>
        <v>337.5</v>
      </c>
      <c r="L852" s="411" t="n">
        <v>335</v>
      </c>
      <c r="M852" s="392" t="n">
        <f aca="false">L852/K852</f>
        <v>0.992592592592593</v>
      </c>
      <c r="N852" s="466" t="n">
        <f aca="false">I852*M852</f>
        <v>22.3333333333333</v>
      </c>
      <c r="O852" s="461" t="n">
        <v>15</v>
      </c>
      <c r="P852" s="462" t="n">
        <f aca="false">H852-O852</f>
        <v>0</v>
      </c>
      <c r="Q852" s="463" t="n">
        <f aca="false">O852*I852</f>
        <v>337.5</v>
      </c>
      <c r="R852" s="48" t="n">
        <f aca="false">K852-Q852</f>
        <v>0</v>
      </c>
      <c r="S852" s="467"/>
      <c r="T852" s="2" t="s">
        <v>1711</v>
      </c>
      <c r="V852" s="464"/>
      <c r="W852" s="464"/>
      <c r="X852" s="464"/>
      <c r="Y852" s="464"/>
      <c r="Z852" s="464"/>
      <c r="AA852" s="464"/>
      <c r="AB852" s="464"/>
      <c r="AC852" s="464"/>
      <c r="AD852" s="464"/>
      <c r="AE852" s="464"/>
      <c r="AF852" s="464"/>
      <c r="AG852" s="464"/>
      <c r="AH852" s="465"/>
      <c r="AI852" s="464"/>
    </row>
    <row r="853" customFormat="false" ht="15" hidden="false" customHeight="true" outlineLevel="0" collapsed="false">
      <c r="A853" s="455" t="s">
        <v>1888</v>
      </c>
      <c r="C853" s="456" t="n">
        <v>45579</v>
      </c>
      <c r="D853" s="456"/>
      <c r="E853" s="57" t="n">
        <v>13972</v>
      </c>
      <c r="F853" s="57" t="s">
        <v>175</v>
      </c>
      <c r="G853" s="323" t="s">
        <v>5</v>
      </c>
      <c r="H853" s="98" t="n">
        <v>45</v>
      </c>
      <c r="I853" s="457" t="n">
        <v>37.5</v>
      </c>
      <c r="J853" s="313" t="s">
        <v>1652</v>
      </c>
      <c r="K853" s="98" t="n">
        <f aca="false">I853*H853</f>
        <v>1687.5</v>
      </c>
      <c r="L853" s="411" t="n">
        <v>1120</v>
      </c>
      <c r="M853" s="392" t="n">
        <f aca="false">L853/K853</f>
        <v>0.663703703703704</v>
      </c>
      <c r="N853" s="466" t="n">
        <f aca="false">I853*M853</f>
        <v>24.8888888888889</v>
      </c>
      <c r="O853" s="461" t="n">
        <v>45</v>
      </c>
      <c r="P853" s="462" t="n">
        <f aca="false">H853-O853</f>
        <v>0</v>
      </c>
      <c r="Q853" s="463" t="n">
        <f aca="false">O853*I853</f>
        <v>1687.5</v>
      </c>
      <c r="R853" s="48" t="n">
        <f aca="false">K853-Q853</f>
        <v>0</v>
      </c>
      <c r="S853" s="467"/>
      <c r="T853" s="2" t="s">
        <v>1711</v>
      </c>
      <c r="V853" s="464"/>
      <c r="W853" s="464"/>
      <c r="X853" s="464"/>
      <c r="Y853" s="464"/>
      <c r="Z853" s="464"/>
      <c r="AA853" s="464"/>
      <c r="AB853" s="464"/>
      <c r="AC853" s="464"/>
      <c r="AD853" s="464"/>
      <c r="AE853" s="464"/>
      <c r="AF853" s="464"/>
      <c r="AG853" s="464"/>
      <c r="AH853" s="465"/>
      <c r="AI853" s="464"/>
    </row>
    <row r="854" customFormat="false" ht="15" hidden="false" customHeight="true" outlineLevel="0" collapsed="false">
      <c r="A854" s="455" t="s">
        <v>1888</v>
      </c>
      <c r="C854" s="456" t="n">
        <v>45579</v>
      </c>
      <c r="D854" s="456"/>
      <c r="E854" s="57" t="n">
        <v>13972</v>
      </c>
      <c r="F854" s="323" t="s">
        <v>175</v>
      </c>
      <c r="G854" s="323" t="s">
        <v>13</v>
      </c>
      <c r="H854" s="98" t="n">
        <v>60</v>
      </c>
      <c r="I854" s="457" t="n">
        <v>22.5</v>
      </c>
      <c r="J854" s="313" t="s">
        <v>1651</v>
      </c>
      <c r="K854" s="98" t="n">
        <f aca="false">I854*H854</f>
        <v>1350</v>
      </c>
      <c r="L854" s="411" t="n">
        <v>936</v>
      </c>
      <c r="M854" s="392" t="n">
        <f aca="false">L854/K854</f>
        <v>0.693333333333333</v>
      </c>
      <c r="N854" s="466" t="n">
        <f aca="false">I854*M854</f>
        <v>15.6</v>
      </c>
      <c r="O854" s="461" t="n">
        <v>60</v>
      </c>
      <c r="P854" s="462" t="n">
        <f aca="false">H854-O854</f>
        <v>0</v>
      </c>
      <c r="Q854" s="463" t="n">
        <f aca="false">O854*I854</f>
        <v>1350</v>
      </c>
      <c r="R854" s="48" t="n">
        <f aca="false">K854-Q854</f>
        <v>0</v>
      </c>
      <c r="S854" s="467"/>
      <c r="T854" s="2" t="s">
        <v>1711</v>
      </c>
      <c r="V854" s="464"/>
      <c r="W854" s="464"/>
      <c r="X854" s="464"/>
      <c r="Y854" s="464"/>
      <c r="Z854" s="464"/>
      <c r="AA854" s="464"/>
      <c r="AB854" s="464"/>
      <c r="AC854" s="464"/>
      <c r="AD854" s="464"/>
      <c r="AE854" s="464"/>
      <c r="AF854" s="464"/>
      <c r="AG854" s="464"/>
      <c r="AH854" s="465"/>
      <c r="AI854" s="464"/>
    </row>
    <row r="855" customFormat="false" ht="15" hidden="false" customHeight="true" outlineLevel="0" collapsed="false">
      <c r="A855" s="455" t="s">
        <v>1824</v>
      </c>
      <c r="C855" s="456" t="n">
        <v>45579</v>
      </c>
      <c r="D855" s="456"/>
      <c r="E855" s="57" t="n">
        <v>13974</v>
      </c>
      <c r="F855" s="323" t="s">
        <v>175</v>
      </c>
      <c r="G855" s="323" t="s">
        <v>15</v>
      </c>
      <c r="H855" s="98" t="n">
        <v>750</v>
      </c>
      <c r="I855" s="457" t="n">
        <v>22.5</v>
      </c>
      <c r="J855" s="313" t="s">
        <v>1651</v>
      </c>
      <c r="K855" s="98" t="n">
        <f aca="false">I855*H855</f>
        <v>16875</v>
      </c>
      <c r="L855" s="411" t="n">
        <v>12750</v>
      </c>
      <c r="M855" s="392" t="n">
        <f aca="false">L855/K855</f>
        <v>0.755555555555556</v>
      </c>
      <c r="N855" s="466" t="n">
        <f aca="false">I855*M855</f>
        <v>17</v>
      </c>
      <c r="O855" s="461" t="n">
        <v>750</v>
      </c>
      <c r="P855" s="462" t="n">
        <f aca="false">H855-O855</f>
        <v>0</v>
      </c>
      <c r="Q855" s="463" t="n">
        <f aca="false">O855*I855</f>
        <v>16875</v>
      </c>
      <c r="R855" s="48" t="n">
        <f aca="false">K855-Q855</f>
        <v>0</v>
      </c>
      <c r="S855" s="467"/>
      <c r="T855" s="2" t="s">
        <v>1711</v>
      </c>
      <c r="V855" s="464"/>
      <c r="W855" s="464"/>
      <c r="X855" s="464"/>
      <c r="Y855" s="464"/>
      <c r="Z855" s="464"/>
      <c r="AA855" s="464"/>
      <c r="AB855" s="464"/>
      <c r="AC855" s="464"/>
      <c r="AD855" s="464"/>
      <c r="AE855" s="464"/>
      <c r="AF855" s="464"/>
      <c r="AG855" s="464"/>
      <c r="AH855" s="465"/>
      <c r="AI855" s="464"/>
    </row>
    <row r="856" customFormat="false" ht="15" hidden="false" customHeight="true" outlineLevel="0" collapsed="false">
      <c r="A856" s="455" t="s">
        <v>1824</v>
      </c>
      <c r="C856" s="456" t="n">
        <v>45579</v>
      </c>
      <c r="D856" s="456"/>
      <c r="E856" s="57" t="n">
        <v>13974</v>
      </c>
      <c r="F856" s="57" t="s">
        <v>175</v>
      </c>
      <c r="G856" s="323" t="s">
        <v>17</v>
      </c>
      <c r="H856" s="98" t="n">
        <v>600</v>
      </c>
      <c r="I856" s="457" t="n">
        <v>37.5</v>
      </c>
      <c r="J856" s="313" t="s">
        <v>1652</v>
      </c>
      <c r="K856" s="98" t="n">
        <f aca="false">I856*H856</f>
        <v>22500</v>
      </c>
      <c r="L856" s="411" t="n">
        <v>9600</v>
      </c>
      <c r="M856" s="392" t="n">
        <f aca="false">L856/K856</f>
        <v>0.426666666666667</v>
      </c>
      <c r="N856" s="466" t="n">
        <f aca="false">I856*M856</f>
        <v>16</v>
      </c>
      <c r="O856" s="461" t="n">
        <v>600</v>
      </c>
      <c r="P856" s="462" t="n">
        <f aca="false">H856-O856</f>
        <v>0</v>
      </c>
      <c r="Q856" s="463" t="n">
        <f aca="false">O856*I856</f>
        <v>22500</v>
      </c>
      <c r="R856" s="48" t="n">
        <f aca="false">K856-Q856</f>
        <v>0</v>
      </c>
      <c r="S856" s="467"/>
      <c r="T856" s="2" t="s">
        <v>1711</v>
      </c>
      <c r="V856" s="464"/>
      <c r="W856" s="464"/>
      <c r="X856" s="464"/>
      <c r="Y856" s="464"/>
      <c r="Z856" s="464"/>
      <c r="AA856" s="464"/>
      <c r="AB856" s="464"/>
      <c r="AC856" s="464"/>
      <c r="AD856" s="464"/>
      <c r="AE856" s="464"/>
      <c r="AF856" s="464"/>
      <c r="AG856" s="464"/>
      <c r="AH856" s="465"/>
      <c r="AI856" s="464"/>
    </row>
    <row r="857" customFormat="false" ht="15" hidden="false" customHeight="true" outlineLevel="0" collapsed="false">
      <c r="A857" s="455" t="s">
        <v>1864</v>
      </c>
      <c r="C857" s="456" t="n">
        <v>45580</v>
      </c>
      <c r="D857" s="456"/>
      <c r="E857" s="57" t="n">
        <v>13976</v>
      </c>
      <c r="F857" s="57" t="s">
        <v>175</v>
      </c>
      <c r="G857" s="323" t="s">
        <v>7</v>
      </c>
      <c r="H857" s="98" t="n">
        <v>375</v>
      </c>
      <c r="I857" s="457" t="n">
        <v>25.71</v>
      </c>
      <c r="J857" s="313" t="s">
        <v>1651</v>
      </c>
      <c r="K857" s="98" t="n">
        <f aca="false">I857*H857</f>
        <v>9641.25</v>
      </c>
      <c r="L857" s="411" t="n">
        <v>3750</v>
      </c>
      <c r="M857" s="392" t="n">
        <f aca="false">L857/K857</f>
        <v>0.388953714507974</v>
      </c>
      <c r="N857" s="466" t="n">
        <f aca="false">I857*M857</f>
        <v>10</v>
      </c>
      <c r="O857" s="461" t="n">
        <v>375</v>
      </c>
      <c r="P857" s="462" t="n">
        <f aca="false">H857-O857</f>
        <v>0</v>
      </c>
      <c r="Q857" s="463" t="n">
        <f aca="false">O857*I857</f>
        <v>9641.25</v>
      </c>
      <c r="R857" s="48" t="n">
        <f aca="false">K857-Q857</f>
        <v>0</v>
      </c>
      <c r="S857" s="467"/>
      <c r="T857" s="2" t="s">
        <v>1711</v>
      </c>
      <c r="V857" s="464"/>
      <c r="W857" s="464"/>
      <c r="X857" s="464"/>
      <c r="Y857" s="464"/>
      <c r="Z857" s="464"/>
      <c r="AA857" s="464"/>
      <c r="AB857" s="464"/>
      <c r="AC857" s="464"/>
      <c r="AD857" s="464"/>
      <c r="AE857" s="464"/>
      <c r="AF857" s="464"/>
      <c r="AG857" s="464"/>
      <c r="AH857" s="465"/>
      <c r="AI857" s="464"/>
    </row>
    <row r="858" customFormat="false" ht="15" hidden="false" customHeight="true" outlineLevel="0" collapsed="false">
      <c r="A858" s="455" t="s">
        <v>1864</v>
      </c>
      <c r="C858" s="456" t="n">
        <v>45580</v>
      </c>
      <c r="D858" s="456"/>
      <c r="E858" s="57" t="n">
        <v>13976</v>
      </c>
      <c r="F858" s="323" t="s">
        <v>175</v>
      </c>
      <c r="G858" s="323" t="s">
        <v>42</v>
      </c>
      <c r="H858" s="98" t="n">
        <v>120</v>
      </c>
      <c r="I858" s="457" t="n">
        <v>45</v>
      </c>
      <c r="J858" s="313" t="s">
        <v>1652</v>
      </c>
      <c r="K858" s="98" t="n">
        <f aca="false">I858*H858</f>
        <v>5400</v>
      </c>
      <c r="L858" s="411" t="n">
        <v>2160</v>
      </c>
      <c r="M858" s="392" t="n">
        <f aca="false">L858/K858</f>
        <v>0.4</v>
      </c>
      <c r="N858" s="466" t="n">
        <f aca="false">I858*M858</f>
        <v>18</v>
      </c>
      <c r="O858" s="461" t="n">
        <v>120</v>
      </c>
      <c r="P858" s="462" t="n">
        <f aca="false">H858-O858</f>
        <v>0</v>
      </c>
      <c r="Q858" s="463" t="n">
        <f aca="false">O858*I858</f>
        <v>5400</v>
      </c>
      <c r="R858" s="48" t="n">
        <f aca="false">K858-Q858</f>
        <v>0</v>
      </c>
      <c r="S858" s="467"/>
      <c r="T858" s="2" t="s">
        <v>1711</v>
      </c>
      <c r="V858" s="464"/>
      <c r="W858" s="464"/>
      <c r="X858" s="464"/>
      <c r="Y858" s="464"/>
      <c r="Z858" s="464"/>
      <c r="AA858" s="464"/>
      <c r="AB858" s="464"/>
      <c r="AC858" s="464"/>
      <c r="AD858" s="464"/>
      <c r="AE858" s="464"/>
      <c r="AF858" s="464"/>
      <c r="AG858" s="464"/>
      <c r="AH858" s="465"/>
      <c r="AI858" s="464"/>
    </row>
    <row r="859" customFormat="false" ht="15" hidden="false" customHeight="true" outlineLevel="0" collapsed="false">
      <c r="A859" s="455" t="s">
        <v>1864</v>
      </c>
      <c r="C859" s="456" t="n">
        <v>45580</v>
      </c>
      <c r="D859" s="456"/>
      <c r="E859" s="57" t="n">
        <v>13976</v>
      </c>
      <c r="F859" s="323" t="s">
        <v>175</v>
      </c>
      <c r="G859" s="323" t="s">
        <v>21</v>
      </c>
      <c r="H859" s="98" t="n">
        <v>200</v>
      </c>
      <c r="I859" s="457" t="n">
        <v>1</v>
      </c>
      <c r="J859" s="313" t="s">
        <v>1653</v>
      </c>
      <c r="K859" s="98" t="n">
        <f aca="false">I859*H859</f>
        <v>200</v>
      </c>
      <c r="L859" s="411" t="n">
        <v>900</v>
      </c>
      <c r="M859" s="392" t="n">
        <f aca="false">L859/K859</f>
        <v>4.5</v>
      </c>
      <c r="N859" s="466" t="n">
        <f aca="false">I859*M859</f>
        <v>4.5</v>
      </c>
      <c r="O859" s="461" t="n">
        <v>200</v>
      </c>
      <c r="P859" s="462" t="n">
        <f aca="false">H859-O859</f>
        <v>0</v>
      </c>
      <c r="Q859" s="463" t="n">
        <f aca="false">O859*I859</f>
        <v>200</v>
      </c>
      <c r="R859" s="48" t="n">
        <f aca="false">K859-Q859</f>
        <v>0</v>
      </c>
      <c r="S859" s="467"/>
      <c r="T859" s="2" t="s">
        <v>1711</v>
      </c>
      <c r="V859" s="464"/>
      <c r="W859" s="464"/>
      <c r="X859" s="464"/>
      <c r="Y859" s="464"/>
      <c r="Z859" s="464"/>
      <c r="AA859" s="464"/>
      <c r="AB859" s="464"/>
      <c r="AC859" s="464"/>
      <c r="AD859" s="464"/>
      <c r="AE859" s="464"/>
      <c r="AF859" s="464"/>
      <c r="AG859" s="464"/>
      <c r="AH859" s="465"/>
      <c r="AI859" s="464"/>
    </row>
    <row r="860" customFormat="false" ht="15" hidden="false" customHeight="true" outlineLevel="0" collapsed="false">
      <c r="A860" s="455" t="s">
        <v>1889</v>
      </c>
      <c r="C860" s="456" t="n">
        <v>45580</v>
      </c>
      <c r="D860" s="456"/>
      <c r="E860" s="57" t="n">
        <v>13977</v>
      </c>
      <c r="F860" s="323" t="s">
        <v>175</v>
      </c>
      <c r="G860" s="323" t="s">
        <v>15</v>
      </c>
      <c r="H860" s="98" t="n">
        <v>1650</v>
      </c>
      <c r="I860" s="457" t="n">
        <v>90</v>
      </c>
      <c r="J860" s="313" t="s">
        <v>1653</v>
      </c>
      <c r="K860" s="98" t="n">
        <f aca="false">I860*H860</f>
        <v>148500</v>
      </c>
      <c r="L860" s="411" t="n">
        <v>49500</v>
      </c>
      <c r="M860" s="392" t="n">
        <f aca="false">L860/K860</f>
        <v>0.333333333333333</v>
      </c>
      <c r="N860" s="466" t="n">
        <f aca="false">I860*M860</f>
        <v>30</v>
      </c>
      <c r="O860" s="461" t="n">
        <v>1650</v>
      </c>
      <c r="P860" s="462" t="n">
        <f aca="false">H860-O860</f>
        <v>0</v>
      </c>
      <c r="Q860" s="463" t="n">
        <f aca="false">O860*I860</f>
        <v>148500</v>
      </c>
      <c r="R860" s="48" t="n">
        <f aca="false">K860-Q860</f>
        <v>0</v>
      </c>
      <c r="S860" s="467"/>
      <c r="T860" s="2" t="s">
        <v>1711</v>
      </c>
      <c r="V860" s="464"/>
      <c r="W860" s="464"/>
      <c r="X860" s="464"/>
      <c r="Y860" s="464"/>
      <c r="Z860" s="464"/>
      <c r="AA860" s="464"/>
      <c r="AB860" s="464"/>
      <c r="AC860" s="464"/>
      <c r="AD860" s="464"/>
      <c r="AE860" s="464"/>
      <c r="AF860" s="464"/>
      <c r="AG860" s="464"/>
      <c r="AH860" s="465"/>
      <c r="AI860" s="464"/>
    </row>
    <row r="861" customFormat="false" ht="15" hidden="false" customHeight="true" outlineLevel="0" collapsed="false">
      <c r="A861" s="455" t="s">
        <v>1730</v>
      </c>
      <c r="C861" s="456" t="n">
        <v>45582</v>
      </c>
      <c r="D861" s="456"/>
      <c r="E861" s="323" t="n">
        <v>13978</v>
      </c>
      <c r="F861" s="323" t="s">
        <v>175</v>
      </c>
      <c r="G861" s="323" t="s">
        <v>42</v>
      </c>
      <c r="H861" s="98" t="n">
        <v>435</v>
      </c>
      <c r="I861" s="457" t="n">
        <v>30</v>
      </c>
      <c r="J861" s="313" t="s">
        <v>1651</v>
      </c>
      <c r="K861" s="98" t="n">
        <f aca="false">I861*H861</f>
        <v>13050</v>
      </c>
      <c r="L861" s="411" t="n">
        <v>5942.1</v>
      </c>
      <c r="M861" s="392" t="n">
        <f aca="false">L861/K861</f>
        <v>0.455333333333333</v>
      </c>
      <c r="N861" s="466" t="n">
        <f aca="false">I861*M861</f>
        <v>13.66</v>
      </c>
      <c r="O861" s="461" t="n">
        <v>435</v>
      </c>
      <c r="P861" s="462" t="n">
        <f aca="false">H861-O861</f>
        <v>0</v>
      </c>
      <c r="Q861" s="463" t="n">
        <f aca="false">O861*I861</f>
        <v>13050</v>
      </c>
      <c r="R861" s="48" t="n">
        <f aca="false">K861-Q861</f>
        <v>0</v>
      </c>
      <c r="S861" s="467"/>
      <c r="T861" s="2" t="s">
        <v>1711</v>
      </c>
      <c r="V861" s="464"/>
      <c r="W861" s="464"/>
      <c r="X861" s="464"/>
      <c r="Y861" s="464"/>
      <c r="Z861" s="464"/>
      <c r="AA861" s="464"/>
      <c r="AB861" s="464"/>
      <c r="AC861" s="464"/>
      <c r="AD861" s="464"/>
      <c r="AE861" s="464"/>
      <c r="AF861" s="464"/>
      <c r="AG861" s="464"/>
      <c r="AH861" s="465"/>
      <c r="AI861" s="464"/>
    </row>
    <row r="862" customFormat="false" ht="15" hidden="false" customHeight="true" outlineLevel="0" collapsed="false">
      <c r="A862" s="455" t="s">
        <v>1730</v>
      </c>
      <c r="C862" s="456" t="n">
        <v>45582</v>
      </c>
      <c r="D862" s="456"/>
      <c r="E862" s="57" t="n">
        <v>13978</v>
      </c>
      <c r="F862" s="323" t="s">
        <v>175</v>
      </c>
      <c r="G862" s="323" t="s">
        <v>17</v>
      </c>
      <c r="H862" s="98" t="n">
        <v>135</v>
      </c>
      <c r="I862" s="457" t="n">
        <v>22.5</v>
      </c>
      <c r="J862" s="313" t="s">
        <v>1651</v>
      </c>
      <c r="K862" s="98" t="n">
        <f aca="false">I862*H862</f>
        <v>3037.5</v>
      </c>
      <c r="L862" s="411" t="n">
        <v>1470.15</v>
      </c>
      <c r="M862" s="392" t="n">
        <f aca="false">L862/K862</f>
        <v>0.484</v>
      </c>
      <c r="N862" s="466" t="n">
        <f aca="false">I862*M862</f>
        <v>10.89</v>
      </c>
      <c r="O862" s="461" t="n">
        <v>135</v>
      </c>
      <c r="P862" s="462" t="n">
        <f aca="false">H862-O862</f>
        <v>0</v>
      </c>
      <c r="Q862" s="463" t="n">
        <f aca="false">O862*I862</f>
        <v>3037.5</v>
      </c>
      <c r="R862" s="48" t="n">
        <f aca="false">K862-Q862</f>
        <v>0</v>
      </c>
      <c r="S862" s="467"/>
      <c r="T862" s="2" t="s">
        <v>1711</v>
      </c>
      <c r="V862" s="464"/>
      <c r="W862" s="464"/>
      <c r="X862" s="464"/>
      <c r="Y862" s="464"/>
      <c r="Z862" s="464"/>
      <c r="AA862" s="464"/>
      <c r="AB862" s="464"/>
      <c r="AC862" s="464"/>
      <c r="AD862" s="464"/>
      <c r="AE862" s="464"/>
      <c r="AF862" s="464"/>
      <c r="AG862" s="464"/>
      <c r="AH862" s="465"/>
      <c r="AI862" s="464"/>
    </row>
    <row r="863" customFormat="false" ht="15" hidden="false" customHeight="true" outlineLevel="0" collapsed="false">
      <c r="A863" s="455" t="s">
        <v>1890</v>
      </c>
      <c r="C863" s="456" t="n">
        <v>45581</v>
      </c>
      <c r="D863" s="456"/>
      <c r="E863" s="57" t="n">
        <v>13979</v>
      </c>
      <c r="F863" s="323" t="s">
        <v>175</v>
      </c>
      <c r="G863" s="323" t="s">
        <v>13</v>
      </c>
      <c r="H863" s="98" t="n">
        <v>75</v>
      </c>
      <c r="I863" s="457" t="n">
        <v>22.5</v>
      </c>
      <c r="J863" s="313" t="s">
        <v>1651</v>
      </c>
      <c r="K863" s="98" t="n">
        <f aca="false">I863*H863</f>
        <v>1687.5</v>
      </c>
      <c r="L863" s="411" t="n">
        <v>1048.5</v>
      </c>
      <c r="M863" s="392" t="n">
        <f aca="false">L863/K863</f>
        <v>0.621333333333333</v>
      </c>
      <c r="N863" s="466" t="n">
        <f aca="false">I863*M863</f>
        <v>13.98</v>
      </c>
      <c r="O863" s="461" t="n">
        <v>75</v>
      </c>
      <c r="P863" s="462" t="n">
        <f aca="false">H863-O863</f>
        <v>0</v>
      </c>
      <c r="Q863" s="463" t="n">
        <f aca="false">O863*I863</f>
        <v>1687.5</v>
      </c>
      <c r="R863" s="48" t="n">
        <f aca="false">K863-Q863</f>
        <v>0</v>
      </c>
      <c r="S863" s="467"/>
      <c r="T863" s="2" t="s">
        <v>1711</v>
      </c>
      <c r="V863" s="464"/>
      <c r="W863" s="464"/>
      <c r="X863" s="464"/>
      <c r="Y863" s="464"/>
      <c r="Z863" s="464"/>
      <c r="AA863" s="464"/>
      <c r="AB863" s="464"/>
      <c r="AC863" s="464"/>
      <c r="AD863" s="464"/>
      <c r="AE863" s="464"/>
      <c r="AF863" s="464"/>
      <c r="AG863" s="464"/>
      <c r="AH863" s="465"/>
      <c r="AI863" s="464"/>
    </row>
    <row r="864" customFormat="false" ht="15" hidden="false" customHeight="true" outlineLevel="0" collapsed="false">
      <c r="A864" s="455" t="s">
        <v>1715</v>
      </c>
      <c r="C864" s="456" t="n">
        <v>45581</v>
      </c>
      <c r="D864" s="456"/>
      <c r="E864" s="57" t="n">
        <v>13981</v>
      </c>
      <c r="F864" s="323" t="s">
        <v>175</v>
      </c>
      <c r="G864" s="323" t="s">
        <v>7</v>
      </c>
      <c r="H864" s="98" t="n">
        <v>1500</v>
      </c>
      <c r="I864" s="457" t="n">
        <v>25.71</v>
      </c>
      <c r="J864" s="313" t="s">
        <v>1651</v>
      </c>
      <c r="K864" s="98" t="n">
        <f aca="false">I864*H864</f>
        <v>38565</v>
      </c>
      <c r="L864" s="411" t="n">
        <v>33915</v>
      </c>
      <c r="M864" s="392" t="n">
        <f aca="false">L864/K864</f>
        <v>0.879424348502528</v>
      </c>
      <c r="N864" s="466" t="n">
        <f aca="false">I864*M864</f>
        <v>22.61</v>
      </c>
      <c r="O864" s="461" t="n">
        <v>1500</v>
      </c>
      <c r="P864" s="462" t="n">
        <f aca="false">H864-O864</f>
        <v>0</v>
      </c>
      <c r="Q864" s="463" t="n">
        <f aca="false">O864*I864</f>
        <v>38565</v>
      </c>
      <c r="R864" s="48" t="n">
        <f aca="false">K864-Q864</f>
        <v>0</v>
      </c>
      <c r="S864" s="467"/>
      <c r="T864" s="2" t="s">
        <v>1711</v>
      </c>
      <c r="V864" s="464"/>
      <c r="W864" s="464"/>
      <c r="X864" s="464"/>
      <c r="Y864" s="464"/>
      <c r="Z864" s="464"/>
      <c r="AA864" s="464"/>
      <c r="AB864" s="464"/>
      <c r="AC864" s="464"/>
      <c r="AD864" s="464"/>
      <c r="AE864" s="464"/>
      <c r="AF864" s="464"/>
      <c r="AG864" s="464"/>
      <c r="AH864" s="465"/>
      <c r="AI864" s="464"/>
    </row>
    <row r="865" customFormat="false" ht="15" hidden="false" customHeight="true" outlineLevel="0" collapsed="false">
      <c r="A865" s="455" t="s">
        <v>1715</v>
      </c>
      <c r="C865" s="456" t="n">
        <v>45581</v>
      </c>
      <c r="D865" s="456"/>
      <c r="E865" s="57" t="n">
        <v>13981</v>
      </c>
      <c r="F865" s="57" t="s">
        <v>175</v>
      </c>
      <c r="G865" s="323" t="s">
        <v>10</v>
      </c>
      <c r="H865" s="98" t="n">
        <v>450</v>
      </c>
      <c r="I865" s="457" t="n">
        <v>25.71</v>
      </c>
      <c r="J865" s="313" t="s">
        <v>1651</v>
      </c>
      <c r="K865" s="98" t="n">
        <f aca="false">I865*H865</f>
        <v>11569.5</v>
      </c>
      <c r="L865" s="411" t="n">
        <v>6880.5</v>
      </c>
      <c r="M865" s="392" t="n">
        <f aca="false">L865/K865</f>
        <v>0.594710229482692</v>
      </c>
      <c r="N865" s="466" t="n">
        <f aca="false">I865*M865</f>
        <v>15.29</v>
      </c>
      <c r="O865" s="461" t="n">
        <v>450</v>
      </c>
      <c r="P865" s="462" t="n">
        <f aca="false">H865-O865</f>
        <v>0</v>
      </c>
      <c r="Q865" s="463" t="n">
        <f aca="false">O865*I865</f>
        <v>11569.5</v>
      </c>
      <c r="R865" s="48" t="n">
        <f aca="false">K865-Q865</f>
        <v>0</v>
      </c>
      <c r="S865" s="467"/>
      <c r="T865" s="2" t="s">
        <v>1711</v>
      </c>
      <c r="V865" s="464"/>
      <c r="W865" s="464"/>
      <c r="X865" s="464"/>
      <c r="Y865" s="464"/>
      <c r="Z865" s="464"/>
      <c r="AA865" s="464"/>
      <c r="AB865" s="464"/>
      <c r="AC865" s="464"/>
      <c r="AD865" s="464"/>
      <c r="AE865" s="464"/>
      <c r="AF865" s="464"/>
      <c r="AG865" s="464"/>
      <c r="AH865" s="465"/>
      <c r="AI865" s="464"/>
    </row>
    <row r="866" customFormat="false" ht="15" hidden="false" customHeight="true" outlineLevel="0" collapsed="false">
      <c r="A866" s="455" t="s">
        <v>1749</v>
      </c>
      <c r="C866" s="456" t="n">
        <v>45581</v>
      </c>
      <c r="D866" s="456"/>
      <c r="E866" s="57" t="n">
        <v>13982</v>
      </c>
      <c r="F866" s="57" t="s">
        <v>175</v>
      </c>
      <c r="G866" s="323" t="s">
        <v>13</v>
      </c>
      <c r="H866" s="98" t="n">
        <v>675</v>
      </c>
      <c r="I866" s="457" t="n">
        <v>22.5</v>
      </c>
      <c r="J866" s="313" t="s">
        <v>1651</v>
      </c>
      <c r="K866" s="98" t="n">
        <f aca="false">I866*H866</f>
        <v>15187.5</v>
      </c>
      <c r="L866" s="411" t="n">
        <v>8625</v>
      </c>
      <c r="M866" s="392" t="n">
        <f aca="false">L866/K866</f>
        <v>0.567901234567901</v>
      </c>
      <c r="N866" s="466" t="n">
        <f aca="false">I866*M866</f>
        <v>12.7777777777778</v>
      </c>
      <c r="O866" s="461" t="n">
        <v>675</v>
      </c>
      <c r="P866" s="462" t="n">
        <f aca="false">H866-O866</f>
        <v>0</v>
      </c>
      <c r="Q866" s="463" t="n">
        <f aca="false">O866*I866</f>
        <v>15187.5</v>
      </c>
      <c r="R866" s="48" t="n">
        <f aca="false">K866-Q866</f>
        <v>0</v>
      </c>
      <c r="S866" s="467"/>
      <c r="T866" s="2" t="s">
        <v>1711</v>
      </c>
      <c r="V866" s="464"/>
      <c r="W866" s="464"/>
      <c r="X866" s="464"/>
      <c r="Y866" s="464"/>
      <c r="Z866" s="464"/>
      <c r="AA866" s="464"/>
      <c r="AB866" s="464"/>
      <c r="AC866" s="464"/>
      <c r="AD866" s="464"/>
      <c r="AE866" s="464"/>
      <c r="AF866" s="464"/>
      <c r="AG866" s="464"/>
      <c r="AH866" s="465"/>
      <c r="AI866" s="464"/>
    </row>
    <row r="867" customFormat="false" ht="15" hidden="false" customHeight="true" outlineLevel="0" collapsed="false">
      <c r="A867" s="455" t="s">
        <v>1749</v>
      </c>
      <c r="C867" s="456" t="n">
        <v>45581</v>
      </c>
      <c r="D867" s="456"/>
      <c r="E867" s="57" t="n">
        <v>13982</v>
      </c>
      <c r="F867" s="323" t="s">
        <v>175</v>
      </c>
      <c r="G867" s="323" t="s">
        <v>16</v>
      </c>
      <c r="H867" s="98" t="n">
        <v>90</v>
      </c>
      <c r="I867" s="457" t="n">
        <v>22.5</v>
      </c>
      <c r="J867" s="313" t="s">
        <v>1651</v>
      </c>
      <c r="K867" s="98" t="n">
        <f aca="false">I867*H867</f>
        <v>2025</v>
      </c>
      <c r="L867" s="411" t="n">
        <v>1305</v>
      </c>
      <c r="M867" s="392" t="n">
        <f aca="false">L867/K867</f>
        <v>0.644444444444445</v>
      </c>
      <c r="N867" s="466" t="n">
        <f aca="false">I867*M867</f>
        <v>14.5</v>
      </c>
      <c r="O867" s="461" t="n">
        <v>90</v>
      </c>
      <c r="P867" s="462" t="n">
        <f aca="false">H867-O867</f>
        <v>0</v>
      </c>
      <c r="Q867" s="463" t="n">
        <f aca="false">O867*I867</f>
        <v>2025</v>
      </c>
      <c r="R867" s="48" t="n">
        <f aca="false">K867-Q867</f>
        <v>0</v>
      </c>
      <c r="S867" s="467"/>
      <c r="T867" s="2" t="s">
        <v>1711</v>
      </c>
      <c r="V867" s="464"/>
      <c r="W867" s="464"/>
      <c r="X867" s="464"/>
      <c r="Y867" s="464"/>
      <c r="Z867" s="464"/>
      <c r="AA867" s="464"/>
      <c r="AB867" s="464"/>
      <c r="AC867" s="464"/>
      <c r="AD867" s="464"/>
      <c r="AE867" s="464"/>
      <c r="AF867" s="464"/>
      <c r="AG867" s="464"/>
      <c r="AH867" s="465"/>
      <c r="AI867" s="464"/>
    </row>
    <row r="868" customFormat="false" ht="15" hidden="false" customHeight="true" outlineLevel="0" collapsed="false">
      <c r="A868" s="455" t="s">
        <v>1891</v>
      </c>
      <c r="C868" s="456" t="n">
        <v>45581</v>
      </c>
      <c r="D868" s="456"/>
      <c r="E868" s="57" t="n">
        <v>13983</v>
      </c>
      <c r="F868" s="323" t="s">
        <v>175</v>
      </c>
      <c r="G868" s="323" t="s">
        <v>5</v>
      </c>
      <c r="H868" s="98" t="n">
        <v>75</v>
      </c>
      <c r="I868" s="457" t="n">
        <v>25.71</v>
      </c>
      <c r="J868" s="313" t="s">
        <v>1651</v>
      </c>
      <c r="K868" s="98" t="n">
        <f aca="false">I868*H868</f>
        <v>1928.25</v>
      </c>
      <c r="L868" s="411" t="n">
        <v>1500</v>
      </c>
      <c r="M868" s="392" t="n">
        <f aca="false">L868/K868</f>
        <v>0.777907429015947</v>
      </c>
      <c r="N868" s="466" t="n">
        <f aca="false">I868*M868</f>
        <v>20</v>
      </c>
      <c r="O868" s="461" t="n">
        <v>75</v>
      </c>
      <c r="P868" s="462" t="n">
        <f aca="false">H868-O868</f>
        <v>0</v>
      </c>
      <c r="Q868" s="463" t="n">
        <f aca="false">O868*I868</f>
        <v>1928.25</v>
      </c>
      <c r="R868" s="48" t="n">
        <f aca="false">K868-Q868</f>
        <v>0</v>
      </c>
      <c r="S868" s="467"/>
      <c r="T868" s="2" t="s">
        <v>1711</v>
      </c>
      <c r="V868" s="464"/>
      <c r="W868" s="464"/>
      <c r="X868" s="464"/>
      <c r="Y868" s="464"/>
      <c r="Z868" s="464"/>
      <c r="AA868" s="464"/>
      <c r="AB868" s="464"/>
      <c r="AC868" s="464"/>
      <c r="AD868" s="464"/>
      <c r="AE868" s="464"/>
      <c r="AF868" s="464"/>
      <c r="AG868" s="464"/>
      <c r="AH868" s="465"/>
      <c r="AI868" s="464"/>
    </row>
    <row r="869" customFormat="false" ht="15" hidden="false" customHeight="true" outlineLevel="0" collapsed="false">
      <c r="A869" s="455" t="s">
        <v>1891</v>
      </c>
      <c r="C869" s="456" t="n">
        <v>45581</v>
      </c>
      <c r="D869" s="456"/>
      <c r="E869" s="57" t="n">
        <v>13983</v>
      </c>
      <c r="F869" s="323" t="s">
        <v>175</v>
      </c>
      <c r="G869" s="323" t="s">
        <v>42</v>
      </c>
      <c r="H869" s="98" t="n">
        <v>75</v>
      </c>
      <c r="I869" s="457" t="n">
        <v>30</v>
      </c>
      <c r="J869" s="313" t="s">
        <v>1651</v>
      </c>
      <c r="K869" s="98" t="n">
        <f aca="false">I869*H869</f>
        <v>2250</v>
      </c>
      <c r="L869" s="411" t="n">
        <v>1612.5</v>
      </c>
      <c r="M869" s="392" t="n">
        <f aca="false">L869/K869</f>
        <v>0.716666666666667</v>
      </c>
      <c r="N869" s="466" t="n">
        <f aca="false">I869*M869</f>
        <v>21.5</v>
      </c>
      <c r="O869" s="461" t="n">
        <v>75</v>
      </c>
      <c r="P869" s="462" t="n">
        <f aca="false">H869-O869</f>
        <v>0</v>
      </c>
      <c r="Q869" s="463" t="n">
        <f aca="false">O869*I869</f>
        <v>2250</v>
      </c>
      <c r="R869" s="48" t="n">
        <f aca="false">K869-Q869</f>
        <v>0</v>
      </c>
      <c r="S869" s="467"/>
      <c r="T869" s="2" t="s">
        <v>1711</v>
      </c>
      <c r="V869" s="464"/>
      <c r="W869" s="464"/>
      <c r="X869" s="464"/>
      <c r="Y869" s="464"/>
      <c r="Z869" s="464"/>
      <c r="AA869" s="464"/>
      <c r="AB869" s="464"/>
      <c r="AC869" s="464"/>
      <c r="AD869" s="464"/>
      <c r="AE869" s="464"/>
      <c r="AF869" s="464"/>
      <c r="AG869" s="464"/>
      <c r="AH869" s="465"/>
      <c r="AI869" s="464"/>
    </row>
    <row r="870" customFormat="false" ht="15" hidden="false" customHeight="true" outlineLevel="0" collapsed="false">
      <c r="A870" s="455" t="s">
        <v>1891</v>
      </c>
      <c r="C870" s="456" t="n">
        <v>45581</v>
      </c>
      <c r="D870" s="456"/>
      <c r="E870" s="57" t="n">
        <v>13983</v>
      </c>
      <c r="F870" s="323" t="s">
        <v>175</v>
      </c>
      <c r="G870" s="323" t="s">
        <v>13</v>
      </c>
      <c r="H870" s="98" t="n">
        <v>60</v>
      </c>
      <c r="I870" s="457" t="n">
        <v>22.5</v>
      </c>
      <c r="J870" s="313" t="s">
        <v>1651</v>
      </c>
      <c r="K870" s="98" t="n">
        <f aca="false">I870*H870</f>
        <v>1350</v>
      </c>
      <c r="L870" s="411" t="n">
        <v>1025.4</v>
      </c>
      <c r="M870" s="392" t="n">
        <f aca="false">L870/K870</f>
        <v>0.759555555555556</v>
      </c>
      <c r="N870" s="466" t="n">
        <f aca="false">I870*M870</f>
        <v>17.09</v>
      </c>
      <c r="O870" s="461" t="n">
        <v>60</v>
      </c>
      <c r="P870" s="462" t="n">
        <f aca="false">H870-O870</f>
        <v>0</v>
      </c>
      <c r="Q870" s="463" t="n">
        <f aca="false">O870*I870</f>
        <v>1350</v>
      </c>
      <c r="R870" s="48" t="n">
        <f aca="false">K870-Q870</f>
        <v>0</v>
      </c>
      <c r="S870" s="467"/>
      <c r="T870" s="2" t="s">
        <v>1711</v>
      </c>
      <c r="V870" s="464"/>
      <c r="W870" s="464"/>
      <c r="X870" s="464"/>
      <c r="Y870" s="464"/>
      <c r="Z870" s="464"/>
      <c r="AA870" s="464"/>
      <c r="AB870" s="464"/>
      <c r="AC870" s="464"/>
      <c r="AD870" s="464"/>
      <c r="AE870" s="464"/>
      <c r="AF870" s="464"/>
      <c r="AG870" s="464"/>
      <c r="AH870" s="465"/>
      <c r="AI870" s="464"/>
    </row>
    <row r="871" customFormat="false" ht="15" hidden="false" customHeight="true" outlineLevel="0" collapsed="false">
      <c r="A871" s="455" t="s">
        <v>1891</v>
      </c>
      <c r="C871" s="456" t="n">
        <v>45581</v>
      </c>
      <c r="D871" s="456"/>
      <c r="E871" s="57" t="n">
        <v>13983</v>
      </c>
      <c r="F871" s="323" t="s">
        <v>175</v>
      </c>
      <c r="G871" s="323" t="s">
        <v>17</v>
      </c>
      <c r="H871" s="98" t="n">
        <v>60</v>
      </c>
      <c r="I871" s="457" t="n">
        <v>22.5</v>
      </c>
      <c r="J871" s="313" t="s">
        <v>1651</v>
      </c>
      <c r="K871" s="98" t="n">
        <f aca="false">I871*H871</f>
        <v>1350</v>
      </c>
      <c r="L871" s="411" t="n">
        <v>1069.8</v>
      </c>
      <c r="M871" s="392" t="n">
        <f aca="false">L871/K871</f>
        <v>0.792444444444444</v>
      </c>
      <c r="N871" s="466" t="n">
        <f aca="false">I871*M871</f>
        <v>17.83</v>
      </c>
      <c r="O871" s="461" t="n">
        <v>60</v>
      </c>
      <c r="P871" s="462" t="n">
        <f aca="false">H871-O871</f>
        <v>0</v>
      </c>
      <c r="Q871" s="463" t="n">
        <f aca="false">O871*I871</f>
        <v>1350</v>
      </c>
      <c r="R871" s="48" t="n">
        <f aca="false">K871-Q871</f>
        <v>0</v>
      </c>
      <c r="S871" s="467"/>
      <c r="T871" s="2" t="s">
        <v>1711</v>
      </c>
      <c r="V871" s="464"/>
      <c r="W871" s="464"/>
      <c r="X871" s="464"/>
      <c r="Y871" s="464"/>
      <c r="Z871" s="464"/>
      <c r="AA871" s="464"/>
      <c r="AB871" s="464"/>
      <c r="AC871" s="464"/>
      <c r="AD871" s="464"/>
      <c r="AE871" s="464"/>
      <c r="AF871" s="464"/>
      <c r="AG871" s="464"/>
      <c r="AH871" s="465"/>
      <c r="AI871" s="464"/>
    </row>
    <row r="872" customFormat="false" ht="15" hidden="false" customHeight="true" outlineLevel="0" collapsed="false">
      <c r="A872" s="455" t="s">
        <v>1714</v>
      </c>
      <c r="C872" s="456" t="n">
        <v>45581</v>
      </c>
      <c r="D872" s="456"/>
      <c r="E872" s="57" t="n">
        <v>13984</v>
      </c>
      <c r="F872" s="323" t="s">
        <v>175</v>
      </c>
      <c r="G872" s="323" t="s">
        <v>11</v>
      </c>
      <c r="H872" s="98" t="n">
        <v>150</v>
      </c>
      <c r="I872" s="457" t="n">
        <v>14</v>
      </c>
      <c r="J872" s="313" t="s">
        <v>1651</v>
      </c>
      <c r="K872" s="98" t="n">
        <f aca="false">I872*H872</f>
        <v>2100</v>
      </c>
      <c r="L872" s="411" t="n">
        <v>8700</v>
      </c>
      <c r="M872" s="392" t="n">
        <f aca="false">L872/K872</f>
        <v>4.14285714285714</v>
      </c>
      <c r="N872" s="466" t="n">
        <f aca="false">I872*M872</f>
        <v>58</v>
      </c>
      <c r="O872" s="461" t="n">
        <v>150</v>
      </c>
      <c r="P872" s="462" t="n">
        <f aca="false">H872-O872</f>
        <v>0</v>
      </c>
      <c r="Q872" s="463" t="n">
        <f aca="false">O872*I872</f>
        <v>2100</v>
      </c>
      <c r="R872" s="48" t="n">
        <f aca="false">K872-Q872</f>
        <v>0</v>
      </c>
      <c r="S872" s="467"/>
      <c r="T872" s="2" t="s">
        <v>1711</v>
      </c>
      <c r="V872" s="464"/>
      <c r="W872" s="464"/>
      <c r="X872" s="464"/>
      <c r="Y872" s="464"/>
      <c r="Z872" s="464"/>
      <c r="AA872" s="464"/>
      <c r="AB872" s="464"/>
      <c r="AC872" s="464"/>
      <c r="AD872" s="464"/>
      <c r="AE872" s="464"/>
      <c r="AF872" s="464"/>
      <c r="AG872" s="464"/>
      <c r="AH872" s="465"/>
      <c r="AI872" s="464"/>
    </row>
    <row r="873" customFormat="false" ht="15" hidden="false" customHeight="true" outlineLevel="0" collapsed="false">
      <c r="A873" s="455" t="s">
        <v>1798</v>
      </c>
      <c r="C873" s="456" t="n">
        <v>45581</v>
      </c>
      <c r="D873" s="456"/>
      <c r="E873" s="57" t="n">
        <v>13985</v>
      </c>
      <c r="F873" s="323" t="s">
        <v>175</v>
      </c>
      <c r="G873" s="323" t="s">
        <v>7</v>
      </c>
      <c r="H873" s="98" t="n">
        <v>225</v>
      </c>
      <c r="I873" s="457" t="n">
        <v>25.71</v>
      </c>
      <c r="J873" s="313" t="s">
        <v>1651</v>
      </c>
      <c r="K873" s="98" t="n">
        <f aca="false">I873*H873</f>
        <v>5784.75</v>
      </c>
      <c r="L873" s="411" t="n">
        <v>2452.5</v>
      </c>
      <c r="M873" s="392" t="n">
        <f aca="false">L873/K873</f>
        <v>0.423959548813691</v>
      </c>
      <c r="N873" s="466" t="n">
        <f aca="false">I873*M873</f>
        <v>10.9</v>
      </c>
      <c r="O873" s="461" t="n">
        <v>225</v>
      </c>
      <c r="P873" s="462" t="n">
        <f aca="false">H873-O873</f>
        <v>0</v>
      </c>
      <c r="Q873" s="463" t="n">
        <f aca="false">O873*I873</f>
        <v>5784.75</v>
      </c>
      <c r="R873" s="48" t="n">
        <f aca="false">K873-Q873</f>
        <v>0</v>
      </c>
      <c r="S873" s="467"/>
      <c r="T873" s="2" t="s">
        <v>1711</v>
      </c>
      <c r="V873" s="464"/>
      <c r="W873" s="464"/>
      <c r="X873" s="464"/>
      <c r="Y873" s="464"/>
      <c r="Z873" s="464"/>
      <c r="AA873" s="464"/>
      <c r="AB873" s="464"/>
      <c r="AC873" s="464"/>
      <c r="AD873" s="464"/>
      <c r="AE873" s="464"/>
      <c r="AF873" s="464"/>
      <c r="AG873" s="464"/>
      <c r="AH873" s="465"/>
      <c r="AI873" s="464"/>
    </row>
    <row r="874" customFormat="false" ht="15" hidden="false" customHeight="true" outlineLevel="0" collapsed="false">
      <c r="A874" s="455" t="s">
        <v>1798</v>
      </c>
      <c r="C874" s="456" t="n">
        <v>45581</v>
      </c>
      <c r="D874" s="456"/>
      <c r="E874" s="57" t="n">
        <v>13985</v>
      </c>
      <c r="F874" s="323" t="s">
        <v>175</v>
      </c>
      <c r="G874" s="323" t="s">
        <v>5</v>
      </c>
      <c r="H874" s="98" t="n">
        <v>6375</v>
      </c>
      <c r="I874" s="457" t="n">
        <v>25.71</v>
      </c>
      <c r="J874" s="313" t="s">
        <v>1651</v>
      </c>
      <c r="K874" s="98" t="n">
        <f aca="false">I874*H874</f>
        <v>163901.25</v>
      </c>
      <c r="L874" s="411" t="n">
        <v>68085</v>
      </c>
      <c r="M874" s="392" t="n">
        <f aca="false">L874/K874</f>
        <v>0.415402567094516</v>
      </c>
      <c r="N874" s="466" t="n">
        <f aca="false">I874*M874</f>
        <v>10.68</v>
      </c>
      <c r="O874" s="461" t="n">
        <v>6375</v>
      </c>
      <c r="P874" s="462" t="n">
        <f aca="false">H874-O874</f>
        <v>0</v>
      </c>
      <c r="Q874" s="463" t="n">
        <f aca="false">O874*I874</f>
        <v>163901.25</v>
      </c>
      <c r="R874" s="48" t="n">
        <f aca="false">K874-Q874</f>
        <v>0</v>
      </c>
      <c r="S874" s="467"/>
      <c r="T874" s="2" t="s">
        <v>1711</v>
      </c>
      <c r="V874" s="464"/>
      <c r="W874" s="464"/>
      <c r="X874" s="464"/>
      <c r="Y874" s="464"/>
      <c r="Z874" s="464"/>
      <c r="AA874" s="464"/>
      <c r="AB874" s="464"/>
      <c r="AC874" s="464"/>
      <c r="AD874" s="464"/>
      <c r="AE874" s="464"/>
      <c r="AF874" s="464"/>
      <c r="AG874" s="464"/>
      <c r="AH874" s="465"/>
      <c r="AI874" s="464"/>
    </row>
    <row r="875" customFormat="false" ht="15" hidden="false" customHeight="true" outlineLevel="0" collapsed="false">
      <c r="A875" s="455" t="s">
        <v>1798</v>
      </c>
      <c r="C875" s="456" t="n">
        <v>45581</v>
      </c>
      <c r="D875" s="456"/>
      <c r="E875" s="57" t="n">
        <v>13985</v>
      </c>
      <c r="F875" s="323" t="s">
        <v>175</v>
      </c>
      <c r="G875" s="323" t="s">
        <v>13</v>
      </c>
      <c r="H875" s="98" t="n">
        <v>1500</v>
      </c>
      <c r="I875" s="457" t="n">
        <v>22.5</v>
      </c>
      <c r="J875" s="313" t="s">
        <v>1651</v>
      </c>
      <c r="K875" s="98" t="n">
        <f aca="false">I875*H875</f>
        <v>33750</v>
      </c>
      <c r="L875" s="411" t="n">
        <v>14250</v>
      </c>
      <c r="M875" s="392" t="n">
        <f aca="false">L875/K875</f>
        <v>0.422222222222222</v>
      </c>
      <c r="N875" s="466" t="n">
        <f aca="false">I875*M875</f>
        <v>9.5</v>
      </c>
      <c r="O875" s="461" t="n">
        <v>1500</v>
      </c>
      <c r="P875" s="462" t="n">
        <f aca="false">H875-O875</f>
        <v>0</v>
      </c>
      <c r="Q875" s="463" t="n">
        <f aca="false">O875*I875</f>
        <v>33750</v>
      </c>
      <c r="R875" s="48" t="n">
        <f aca="false">K875-Q875</f>
        <v>0</v>
      </c>
      <c r="S875" s="467"/>
      <c r="T875" s="2" t="s">
        <v>1711</v>
      </c>
      <c r="V875" s="464"/>
      <c r="W875" s="464"/>
      <c r="X875" s="464"/>
      <c r="Y875" s="464"/>
      <c r="Z875" s="464"/>
      <c r="AA875" s="464"/>
      <c r="AB875" s="464"/>
      <c r="AC875" s="464"/>
      <c r="AD875" s="464"/>
      <c r="AE875" s="464"/>
      <c r="AF875" s="464"/>
      <c r="AG875" s="464"/>
      <c r="AH875" s="465"/>
      <c r="AI875" s="464"/>
    </row>
    <row r="876" customFormat="false" ht="15" hidden="false" customHeight="true" outlineLevel="0" collapsed="false">
      <c r="A876" s="455" t="s">
        <v>1798</v>
      </c>
      <c r="C876" s="456" t="n">
        <v>45581</v>
      </c>
      <c r="D876" s="456"/>
      <c r="E876" s="323" t="n">
        <v>13985</v>
      </c>
      <c r="F876" s="323" t="s">
        <v>175</v>
      </c>
      <c r="G876" s="323" t="s">
        <v>17</v>
      </c>
      <c r="H876" s="98" t="n">
        <v>1200</v>
      </c>
      <c r="I876" s="457" t="n">
        <v>22.5</v>
      </c>
      <c r="J876" s="313" t="s">
        <v>1651</v>
      </c>
      <c r="K876" s="98" t="n">
        <f aca="false">I876*H876</f>
        <v>27000</v>
      </c>
      <c r="L876" s="411" t="n">
        <v>11400</v>
      </c>
      <c r="M876" s="392" t="n">
        <f aca="false">L876/K876</f>
        <v>0.422222222222222</v>
      </c>
      <c r="N876" s="466" t="n">
        <f aca="false">I876*M876</f>
        <v>9.5</v>
      </c>
      <c r="O876" s="461" t="n">
        <v>1200</v>
      </c>
      <c r="P876" s="462" t="n">
        <f aca="false">H876-O876</f>
        <v>0</v>
      </c>
      <c r="Q876" s="463" t="n">
        <f aca="false">O876*I876</f>
        <v>27000</v>
      </c>
      <c r="R876" s="48" t="n">
        <f aca="false">K876-Q876</f>
        <v>0</v>
      </c>
      <c r="S876" s="467"/>
      <c r="T876" s="2" t="s">
        <v>1711</v>
      </c>
      <c r="V876" s="464"/>
      <c r="W876" s="464"/>
      <c r="X876" s="464"/>
      <c r="Y876" s="464"/>
      <c r="Z876" s="464"/>
      <c r="AA876" s="464"/>
      <c r="AB876" s="464"/>
      <c r="AC876" s="464"/>
      <c r="AD876" s="464"/>
      <c r="AE876" s="464"/>
      <c r="AF876" s="464"/>
      <c r="AG876" s="464"/>
      <c r="AH876" s="465"/>
      <c r="AI876" s="464"/>
    </row>
    <row r="877" customFormat="false" ht="15" hidden="false" customHeight="true" outlineLevel="0" collapsed="false">
      <c r="A877" s="455" t="s">
        <v>1724</v>
      </c>
      <c r="C877" s="456" t="n">
        <v>45582</v>
      </c>
      <c r="D877" s="456"/>
      <c r="E877" s="323" t="n">
        <v>13986</v>
      </c>
      <c r="F877" s="323" t="s">
        <v>175</v>
      </c>
      <c r="G877" s="323" t="s">
        <v>5</v>
      </c>
      <c r="H877" s="98" t="n">
        <v>3000</v>
      </c>
      <c r="I877" s="457" t="n">
        <v>25.71</v>
      </c>
      <c r="J877" s="313" t="s">
        <v>1651</v>
      </c>
      <c r="K877" s="98" t="n">
        <f aca="false">I877*H877</f>
        <v>77130</v>
      </c>
      <c r="L877" s="411" t="n">
        <v>38700</v>
      </c>
      <c r="M877" s="392" t="n">
        <f aca="false">L877/K877</f>
        <v>0.501750291715286</v>
      </c>
      <c r="N877" s="466" t="n">
        <f aca="false">I877*M877</f>
        <v>12.9</v>
      </c>
      <c r="O877" s="461" t="n">
        <v>3000</v>
      </c>
      <c r="P877" s="462" t="n">
        <f aca="false">H877-O877</f>
        <v>0</v>
      </c>
      <c r="Q877" s="463" t="n">
        <f aca="false">O877*I877</f>
        <v>77130</v>
      </c>
      <c r="R877" s="48" t="n">
        <f aca="false">K877-Q877</f>
        <v>0</v>
      </c>
      <c r="S877" s="467"/>
      <c r="T877" s="2" t="s">
        <v>1711</v>
      </c>
      <c r="V877" s="464"/>
      <c r="W877" s="464"/>
      <c r="X877" s="464"/>
      <c r="Y877" s="464"/>
      <c r="Z877" s="464"/>
      <c r="AA877" s="464"/>
      <c r="AB877" s="464"/>
      <c r="AC877" s="464"/>
      <c r="AD877" s="464"/>
      <c r="AE877" s="464"/>
      <c r="AF877" s="464"/>
      <c r="AG877" s="464"/>
      <c r="AH877" s="465"/>
      <c r="AI877" s="464"/>
    </row>
    <row r="878" customFormat="false" ht="15" hidden="false" customHeight="true" outlineLevel="0" collapsed="false">
      <c r="A878" s="455" t="s">
        <v>1724</v>
      </c>
      <c r="C878" s="456" t="n">
        <v>45582</v>
      </c>
      <c r="D878" s="456"/>
      <c r="E878" s="323" t="n">
        <v>13986</v>
      </c>
      <c r="F878" s="323" t="s">
        <v>175</v>
      </c>
      <c r="G878" s="323" t="s">
        <v>42</v>
      </c>
      <c r="H878" s="98" t="n">
        <v>9525</v>
      </c>
      <c r="I878" s="457" t="n">
        <v>30</v>
      </c>
      <c r="J878" s="313" t="s">
        <v>1651</v>
      </c>
      <c r="K878" s="98" t="n">
        <f aca="false">I878*H878</f>
        <v>285750</v>
      </c>
      <c r="L878" s="411" t="n">
        <v>133350</v>
      </c>
      <c r="M878" s="392" t="n">
        <f aca="false">L878/K878</f>
        <v>0.466666666666667</v>
      </c>
      <c r="N878" s="466" t="n">
        <f aca="false">I878*M878</f>
        <v>14</v>
      </c>
      <c r="O878" s="461" t="n">
        <v>9525</v>
      </c>
      <c r="P878" s="462" t="n">
        <f aca="false">H878-O878</f>
        <v>0</v>
      </c>
      <c r="Q878" s="463" t="n">
        <f aca="false">O878*I878</f>
        <v>285750</v>
      </c>
      <c r="R878" s="48" t="n">
        <f aca="false">K878-Q878</f>
        <v>0</v>
      </c>
      <c r="S878" s="467"/>
      <c r="T878" s="2" t="s">
        <v>1711</v>
      </c>
      <c r="V878" s="464"/>
      <c r="W878" s="464"/>
      <c r="X878" s="464"/>
      <c r="Y878" s="464"/>
      <c r="Z878" s="464"/>
      <c r="AA878" s="464"/>
      <c r="AB878" s="464"/>
      <c r="AC878" s="464"/>
      <c r="AD878" s="464"/>
      <c r="AE878" s="464"/>
      <c r="AF878" s="464"/>
      <c r="AG878" s="464"/>
      <c r="AH878" s="465"/>
      <c r="AI878" s="464"/>
    </row>
    <row r="879" customFormat="false" ht="15" hidden="false" customHeight="true" outlineLevel="0" collapsed="false">
      <c r="A879" s="455" t="s">
        <v>1724</v>
      </c>
      <c r="C879" s="456" t="n">
        <v>45582</v>
      </c>
      <c r="D879" s="456"/>
      <c r="E879" s="323" t="n">
        <v>13986</v>
      </c>
      <c r="F879" s="323" t="s">
        <v>175</v>
      </c>
      <c r="G879" s="323" t="s">
        <v>11</v>
      </c>
      <c r="H879" s="98" t="n">
        <v>2250</v>
      </c>
      <c r="I879" s="457" t="n">
        <v>14</v>
      </c>
      <c r="J879" s="313" t="s">
        <v>1651</v>
      </c>
      <c r="K879" s="98" t="n">
        <f aca="false">I879*H879</f>
        <v>31500</v>
      </c>
      <c r="L879" s="411" t="n">
        <v>121500</v>
      </c>
      <c r="M879" s="392" t="n">
        <f aca="false">L879/K879</f>
        <v>3.85714285714286</v>
      </c>
      <c r="N879" s="466" t="n">
        <f aca="false">I879*M879</f>
        <v>54</v>
      </c>
      <c r="O879" s="461" t="n">
        <v>2250</v>
      </c>
      <c r="P879" s="462" t="n">
        <f aca="false">H879-O879</f>
        <v>0</v>
      </c>
      <c r="Q879" s="463" t="n">
        <f aca="false">O879*I879</f>
        <v>31500</v>
      </c>
      <c r="R879" s="48" t="n">
        <f aca="false">K879-Q879</f>
        <v>0</v>
      </c>
      <c r="S879" s="467"/>
      <c r="T879" s="2" t="s">
        <v>1711</v>
      </c>
      <c r="V879" s="464"/>
      <c r="W879" s="464"/>
      <c r="X879" s="464"/>
      <c r="Y879" s="464"/>
      <c r="Z879" s="464"/>
      <c r="AA879" s="464"/>
      <c r="AB879" s="464"/>
      <c r="AC879" s="464"/>
      <c r="AD879" s="464"/>
      <c r="AE879" s="464"/>
      <c r="AF879" s="464"/>
      <c r="AG879" s="464"/>
      <c r="AH879" s="465"/>
      <c r="AI879" s="464"/>
    </row>
    <row r="880" customFormat="false" ht="15" hidden="false" customHeight="true" outlineLevel="0" collapsed="false">
      <c r="A880" s="455" t="s">
        <v>1724</v>
      </c>
      <c r="C880" s="456" t="n">
        <v>45582</v>
      </c>
      <c r="D880" s="456"/>
      <c r="E880" s="323" t="n">
        <v>13986</v>
      </c>
      <c r="F880" s="323" t="s">
        <v>175</v>
      </c>
      <c r="G880" s="323" t="s">
        <v>7</v>
      </c>
      <c r="H880" s="98" t="n">
        <v>1500</v>
      </c>
      <c r="I880" s="457" t="n">
        <v>25.71</v>
      </c>
      <c r="J880" s="313" t="s">
        <v>1651</v>
      </c>
      <c r="K880" s="98" t="n">
        <f aca="false">I880*H880</f>
        <v>38565</v>
      </c>
      <c r="L880" s="411" t="n">
        <v>18600</v>
      </c>
      <c r="M880" s="392" t="n">
        <f aca="false">L880/K880</f>
        <v>0.482302605989887</v>
      </c>
      <c r="N880" s="466" t="n">
        <f aca="false">I880*M880</f>
        <v>12.4</v>
      </c>
      <c r="O880" s="461" t="n">
        <v>1500</v>
      </c>
      <c r="P880" s="462" t="n">
        <f aca="false">H880-O880</f>
        <v>0</v>
      </c>
      <c r="Q880" s="463" t="n">
        <f aca="false">O880*I880</f>
        <v>38565</v>
      </c>
      <c r="R880" s="48" t="n">
        <f aca="false">K880-Q880</f>
        <v>0</v>
      </c>
      <c r="S880" s="467"/>
      <c r="T880" s="2" t="s">
        <v>1711</v>
      </c>
      <c r="V880" s="464"/>
      <c r="W880" s="464"/>
      <c r="X880" s="464"/>
      <c r="Y880" s="464"/>
      <c r="Z880" s="464"/>
      <c r="AA880" s="464"/>
      <c r="AB880" s="464"/>
      <c r="AC880" s="464"/>
      <c r="AD880" s="464"/>
      <c r="AE880" s="464"/>
      <c r="AF880" s="464"/>
      <c r="AG880" s="464"/>
      <c r="AH880" s="465"/>
      <c r="AI880" s="464"/>
    </row>
    <row r="881" customFormat="false" ht="15" hidden="false" customHeight="true" outlineLevel="0" collapsed="false">
      <c r="A881" s="455" t="s">
        <v>1724</v>
      </c>
      <c r="C881" s="456" t="n">
        <v>45582</v>
      </c>
      <c r="D881" s="456"/>
      <c r="E881" s="323" t="n">
        <v>13986</v>
      </c>
      <c r="F881" s="323" t="s">
        <v>175</v>
      </c>
      <c r="G881" s="323" t="s">
        <v>17</v>
      </c>
      <c r="H881" s="98" t="n">
        <v>1500</v>
      </c>
      <c r="I881" s="457" t="n">
        <v>22.5</v>
      </c>
      <c r="J881" s="313" t="s">
        <v>1651</v>
      </c>
      <c r="K881" s="98" t="n">
        <f aca="false">I881*H881</f>
        <v>33750</v>
      </c>
      <c r="L881" s="411" t="n">
        <v>23850</v>
      </c>
      <c r="M881" s="392" t="n">
        <f aca="false">L881/K881</f>
        <v>0.706666666666667</v>
      </c>
      <c r="N881" s="466" t="n">
        <f aca="false">I881*M881</f>
        <v>15.9</v>
      </c>
      <c r="O881" s="461" t="n">
        <v>1500</v>
      </c>
      <c r="P881" s="462" t="n">
        <f aca="false">H881-O881</f>
        <v>0</v>
      </c>
      <c r="Q881" s="463" t="n">
        <f aca="false">O881*I881</f>
        <v>33750</v>
      </c>
      <c r="R881" s="48" t="n">
        <f aca="false">K881-Q881</f>
        <v>0</v>
      </c>
      <c r="S881" s="467"/>
      <c r="T881" s="2" t="s">
        <v>1711</v>
      </c>
      <c r="V881" s="464"/>
      <c r="W881" s="464"/>
      <c r="X881" s="464"/>
      <c r="Y881" s="464"/>
      <c r="Z881" s="464"/>
      <c r="AA881" s="464"/>
      <c r="AB881" s="464"/>
      <c r="AC881" s="464"/>
      <c r="AD881" s="464"/>
      <c r="AE881" s="464"/>
      <c r="AF881" s="464"/>
      <c r="AG881" s="464"/>
      <c r="AH881" s="465"/>
      <c r="AI881" s="464"/>
    </row>
    <row r="882" customFormat="false" ht="15" hidden="false" customHeight="true" outlineLevel="0" collapsed="false">
      <c r="A882" s="455" t="s">
        <v>1798</v>
      </c>
      <c r="C882" s="456" t="n">
        <v>45582</v>
      </c>
      <c r="D882" s="456"/>
      <c r="E882" s="57" t="n">
        <v>13987</v>
      </c>
      <c r="F882" s="323" t="s">
        <v>175</v>
      </c>
      <c r="G882" s="323" t="s">
        <v>19</v>
      </c>
      <c r="H882" s="98" t="n">
        <v>150</v>
      </c>
      <c r="I882" s="457" t="n">
        <v>22.5</v>
      </c>
      <c r="J882" s="313" t="s">
        <v>1651</v>
      </c>
      <c r="K882" s="98" t="n">
        <f aca="false">I882*H882</f>
        <v>3375</v>
      </c>
      <c r="L882" s="411" t="n">
        <v>2250</v>
      </c>
      <c r="M882" s="392" t="n">
        <f aca="false">L882/K882</f>
        <v>0.666666666666667</v>
      </c>
      <c r="N882" s="466" t="n">
        <f aca="false">I882*M882</f>
        <v>15</v>
      </c>
      <c r="O882" s="461" t="n">
        <v>150</v>
      </c>
      <c r="P882" s="462" t="n">
        <f aca="false">H882-O882</f>
        <v>0</v>
      </c>
      <c r="Q882" s="463" t="n">
        <f aca="false">O882*I882</f>
        <v>3375</v>
      </c>
      <c r="R882" s="48" t="n">
        <f aca="false">K882-Q882</f>
        <v>0</v>
      </c>
      <c r="S882" s="467"/>
      <c r="T882" s="2" t="s">
        <v>1711</v>
      </c>
      <c r="V882" s="464"/>
      <c r="W882" s="464"/>
      <c r="X882" s="464"/>
      <c r="Y882" s="464"/>
      <c r="Z882" s="464"/>
      <c r="AA882" s="464"/>
      <c r="AB882" s="464"/>
      <c r="AC882" s="464"/>
      <c r="AD882" s="464"/>
      <c r="AE882" s="464"/>
      <c r="AF882" s="464"/>
      <c r="AG882" s="464"/>
      <c r="AH882" s="465"/>
      <c r="AI882" s="464"/>
    </row>
    <row r="883" customFormat="false" ht="15" hidden="false" customHeight="true" outlineLevel="0" collapsed="false">
      <c r="A883" s="455" t="s">
        <v>1798</v>
      </c>
      <c r="C883" s="456" t="n">
        <v>45582</v>
      </c>
      <c r="D883" s="456"/>
      <c r="E883" s="57" t="n">
        <v>13987</v>
      </c>
      <c r="F883" s="323" t="s">
        <v>175</v>
      </c>
      <c r="G883" s="323" t="s">
        <v>10</v>
      </c>
      <c r="H883" s="98" t="n">
        <v>2250</v>
      </c>
      <c r="I883" s="457" t="n">
        <v>25.71</v>
      </c>
      <c r="J883" s="313" t="s">
        <v>1651</v>
      </c>
      <c r="K883" s="98" t="n">
        <f aca="false">I883*H883</f>
        <v>57847.5</v>
      </c>
      <c r="L883" s="411" t="n">
        <v>14625</v>
      </c>
      <c r="M883" s="392" t="n">
        <f aca="false">L883/K883</f>
        <v>0.252819914430183</v>
      </c>
      <c r="N883" s="466" t="n">
        <f aca="false">I883*M883</f>
        <v>6.5</v>
      </c>
      <c r="O883" s="461" t="n">
        <v>2250</v>
      </c>
      <c r="P883" s="462" t="n">
        <f aca="false">H883-O883</f>
        <v>0</v>
      </c>
      <c r="Q883" s="463" t="n">
        <f aca="false">O883*I883</f>
        <v>57847.5</v>
      </c>
      <c r="R883" s="48" t="n">
        <f aca="false">K883-Q883</f>
        <v>0</v>
      </c>
      <c r="S883" s="467"/>
      <c r="T883" s="2" t="s">
        <v>1711</v>
      </c>
      <c r="V883" s="464"/>
      <c r="W883" s="464"/>
      <c r="X883" s="464"/>
      <c r="Y883" s="464"/>
      <c r="Z883" s="464"/>
      <c r="AA883" s="464"/>
      <c r="AB883" s="464"/>
      <c r="AC883" s="464"/>
      <c r="AD883" s="464"/>
      <c r="AE883" s="464"/>
      <c r="AF883" s="464"/>
      <c r="AG883" s="464"/>
      <c r="AH883" s="465"/>
      <c r="AI883" s="464"/>
    </row>
    <row r="884" customFormat="false" ht="15" hidden="false" customHeight="true" outlineLevel="0" collapsed="false">
      <c r="A884" s="455" t="s">
        <v>1798</v>
      </c>
      <c r="C884" s="456" t="n">
        <v>45582</v>
      </c>
      <c r="D884" s="456"/>
      <c r="E884" s="57" t="n">
        <v>13987</v>
      </c>
      <c r="F884" s="323" t="s">
        <v>175</v>
      </c>
      <c r="G884" s="323" t="s">
        <v>10</v>
      </c>
      <c r="H884" s="98" t="n">
        <v>510</v>
      </c>
      <c r="I884" s="457" t="n">
        <v>90</v>
      </c>
      <c r="J884" s="313" t="s">
        <v>1653</v>
      </c>
      <c r="K884" s="98" t="n">
        <f aca="false">I884*H884</f>
        <v>45900</v>
      </c>
      <c r="L884" s="411" t="n">
        <v>5610</v>
      </c>
      <c r="M884" s="392" t="n">
        <f aca="false">L884/K884</f>
        <v>0.122222222222222</v>
      </c>
      <c r="N884" s="466" t="n">
        <f aca="false">I884*M884</f>
        <v>11</v>
      </c>
      <c r="O884" s="461" t="n">
        <v>510</v>
      </c>
      <c r="P884" s="462" t="n">
        <f aca="false">H884-O884</f>
        <v>0</v>
      </c>
      <c r="Q884" s="463" t="n">
        <f aca="false">O884*I884</f>
        <v>45900</v>
      </c>
      <c r="R884" s="48" t="n">
        <f aca="false">K884-Q884</f>
        <v>0</v>
      </c>
      <c r="S884" s="467"/>
      <c r="T884" s="2" t="s">
        <v>1711</v>
      </c>
      <c r="V884" s="464"/>
      <c r="W884" s="464"/>
      <c r="X884" s="464"/>
      <c r="Y884" s="464"/>
      <c r="Z884" s="464"/>
      <c r="AA884" s="464"/>
      <c r="AB884" s="464"/>
      <c r="AC884" s="464"/>
      <c r="AD884" s="464"/>
      <c r="AE884" s="464"/>
      <c r="AF884" s="464"/>
      <c r="AG884" s="464"/>
      <c r="AH884" s="465"/>
      <c r="AI884" s="464"/>
    </row>
    <row r="885" customFormat="false" ht="15" hidden="false" customHeight="true" outlineLevel="0" collapsed="false">
      <c r="A885" s="455" t="s">
        <v>1892</v>
      </c>
      <c r="C885" s="456" t="n">
        <v>45582</v>
      </c>
      <c r="D885" s="456"/>
      <c r="E885" s="57" t="n">
        <v>13988</v>
      </c>
      <c r="F885" s="323" t="s">
        <v>175</v>
      </c>
      <c r="G885" s="323" t="s">
        <v>13</v>
      </c>
      <c r="H885" s="98" t="n">
        <v>11550</v>
      </c>
      <c r="I885" s="457" t="n">
        <v>90</v>
      </c>
      <c r="J885" s="313" t="s">
        <v>1653</v>
      </c>
      <c r="K885" s="98" t="n">
        <f aca="false">I885*H885</f>
        <v>1039500</v>
      </c>
      <c r="L885" s="411" t="n">
        <v>265650</v>
      </c>
      <c r="M885" s="392" t="n">
        <f aca="false">L885/K885</f>
        <v>0.255555555555556</v>
      </c>
      <c r="N885" s="466" t="n">
        <f aca="false">I885*M885</f>
        <v>23</v>
      </c>
      <c r="O885" s="461" t="n">
        <v>11550</v>
      </c>
      <c r="P885" s="462" t="n">
        <f aca="false">H885-O885</f>
        <v>0</v>
      </c>
      <c r="Q885" s="463" t="n">
        <f aca="false">O885*I885</f>
        <v>1039500</v>
      </c>
      <c r="R885" s="48" t="n">
        <f aca="false">K885-Q885</f>
        <v>0</v>
      </c>
      <c r="S885" s="467"/>
      <c r="T885" s="2" t="s">
        <v>1711</v>
      </c>
      <c r="V885" s="464"/>
      <c r="W885" s="464"/>
      <c r="X885" s="464"/>
      <c r="Y885" s="464"/>
      <c r="Z885" s="464"/>
      <c r="AA885" s="464"/>
      <c r="AB885" s="464"/>
      <c r="AC885" s="464"/>
      <c r="AD885" s="464"/>
      <c r="AE885" s="464"/>
      <c r="AF885" s="464"/>
      <c r="AG885" s="464"/>
      <c r="AH885" s="465"/>
      <c r="AI885" s="464"/>
    </row>
    <row r="886" customFormat="false" ht="15" hidden="false" customHeight="true" outlineLevel="0" collapsed="false">
      <c r="A886" s="455" t="s">
        <v>1892</v>
      </c>
      <c r="C886" s="456" t="n">
        <v>45582</v>
      </c>
      <c r="D886" s="456"/>
      <c r="E886" s="57" t="n">
        <v>13988</v>
      </c>
      <c r="F886" s="323" t="s">
        <v>175</v>
      </c>
      <c r="G886" s="323" t="s">
        <v>6</v>
      </c>
      <c r="H886" s="98" t="n">
        <v>12000</v>
      </c>
      <c r="I886" s="457" t="n">
        <v>90</v>
      </c>
      <c r="J886" s="313" t="s">
        <v>1653</v>
      </c>
      <c r="K886" s="98" t="n">
        <f aca="false">I886*H886</f>
        <v>1080000</v>
      </c>
      <c r="L886" s="411" t="n">
        <v>240000</v>
      </c>
      <c r="M886" s="392" t="n">
        <f aca="false">L886/K886</f>
        <v>0.222222222222222</v>
      </c>
      <c r="N886" s="466" t="n">
        <f aca="false">I886*M886</f>
        <v>20</v>
      </c>
      <c r="O886" s="461" t="n">
        <v>12000</v>
      </c>
      <c r="P886" s="462" t="n">
        <f aca="false">H886-O886</f>
        <v>0</v>
      </c>
      <c r="Q886" s="463" t="n">
        <f aca="false">O886*I886</f>
        <v>1080000</v>
      </c>
      <c r="R886" s="48" t="n">
        <f aca="false">K886-Q886</f>
        <v>0</v>
      </c>
      <c r="S886" s="467"/>
      <c r="T886" s="2" t="s">
        <v>1711</v>
      </c>
      <c r="V886" s="464"/>
      <c r="W886" s="464"/>
      <c r="X886" s="464"/>
      <c r="Y886" s="464"/>
      <c r="Z886" s="464"/>
      <c r="AA886" s="464"/>
      <c r="AB886" s="464"/>
      <c r="AC886" s="464"/>
      <c r="AD886" s="464"/>
      <c r="AE886" s="464"/>
      <c r="AF886" s="464"/>
      <c r="AG886" s="464"/>
      <c r="AH886" s="465"/>
      <c r="AI886" s="464"/>
    </row>
    <row r="887" customFormat="false" ht="15" hidden="false" customHeight="true" outlineLevel="0" collapsed="false">
      <c r="A887" s="455" t="s">
        <v>1892</v>
      </c>
      <c r="C887" s="456" t="n">
        <v>45582</v>
      </c>
      <c r="D887" s="456"/>
      <c r="E887" s="57" t="n">
        <v>13989</v>
      </c>
      <c r="F887" s="323" t="s">
        <v>175</v>
      </c>
      <c r="G887" s="323" t="s">
        <v>10</v>
      </c>
      <c r="H887" s="98" t="n">
        <v>8520</v>
      </c>
      <c r="I887" s="457" t="n">
        <v>90</v>
      </c>
      <c r="J887" s="313" t="s">
        <v>1653</v>
      </c>
      <c r="K887" s="98" t="n">
        <f aca="false">I887*H887</f>
        <v>766800</v>
      </c>
      <c r="L887" s="411" t="n">
        <v>109056</v>
      </c>
      <c r="M887" s="392" t="n">
        <f aca="false">L887/K887</f>
        <v>0.142222222222222</v>
      </c>
      <c r="N887" s="466" t="n">
        <f aca="false">I887*M887</f>
        <v>12.8</v>
      </c>
      <c r="O887" s="461" t="n">
        <v>8520</v>
      </c>
      <c r="P887" s="462" t="n">
        <f aca="false">H887-O887</f>
        <v>0</v>
      </c>
      <c r="Q887" s="463" t="n">
        <f aca="false">O887*I887</f>
        <v>766800</v>
      </c>
      <c r="R887" s="48" t="n">
        <f aca="false">K887-Q887</f>
        <v>0</v>
      </c>
      <c r="S887" s="467"/>
      <c r="T887" s="2" t="s">
        <v>1711</v>
      </c>
      <c r="V887" s="464"/>
      <c r="W887" s="464"/>
      <c r="X887" s="464"/>
      <c r="Y887" s="464"/>
      <c r="Z887" s="464"/>
      <c r="AA887" s="464"/>
      <c r="AB887" s="464"/>
      <c r="AC887" s="464"/>
      <c r="AD887" s="464"/>
      <c r="AE887" s="464"/>
      <c r="AF887" s="464"/>
      <c r="AG887" s="464"/>
      <c r="AH887" s="465"/>
      <c r="AI887" s="464"/>
    </row>
    <row r="888" customFormat="false" ht="15" hidden="false" customHeight="true" outlineLevel="0" collapsed="false">
      <c r="A888" s="455" t="s">
        <v>1892</v>
      </c>
      <c r="C888" s="456" t="n">
        <v>45582</v>
      </c>
      <c r="D888" s="456"/>
      <c r="E888" s="57" t="n">
        <v>13989</v>
      </c>
      <c r="F888" s="323" t="s">
        <v>175</v>
      </c>
      <c r="G888" s="323" t="s">
        <v>5</v>
      </c>
      <c r="H888" s="98" t="n">
        <v>2520</v>
      </c>
      <c r="I888" s="457" t="n">
        <v>90</v>
      </c>
      <c r="J888" s="313" t="s">
        <v>1653</v>
      </c>
      <c r="K888" s="98" t="n">
        <f aca="false">I888*H888</f>
        <v>226800</v>
      </c>
      <c r="L888" s="411" t="n">
        <v>50400</v>
      </c>
      <c r="M888" s="392" t="n">
        <f aca="false">L888/K888</f>
        <v>0.222222222222222</v>
      </c>
      <c r="N888" s="466" t="n">
        <f aca="false">I888*M888</f>
        <v>20</v>
      </c>
      <c r="O888" s="461" t="n">
        <v>2520</v>
      </c>
      <c r="P888" s="462" t="n">
        <f aca="false">H888-O888</f>
        <v>0</v>
      </c>
      <c r="Q888" s="463" t="n">
        <f aca="false">O888*I888</f>
        <v>226800</v>
      </c>
      <c r="R888" s="48" t="n">
        <f aca="false">K888-Q888</f>
        <v>0</v>
      </c>
      <c r="S888" s="467"/>
      <c r="T888" s="2" t="s">
        <v>1711</v>
      </c>
      <c r="V888" s="464"/>
      <c r="W888" s="464"/>
      <c r="X888" s="464"/>
      <c r="Y888" s="464"/>
      <c r="Z888" s="464"/>
      <c r="AA888" s="464"/>
      <c r="AB888" s="464"/>
      <c r="AC888" s="464"/>
      <c r="AD888" s="464"/>
      <c r="AE888" s="464"/>
      <c r="AF888" s="464"/>
      <c r="AG888" s="464"/>
      <c r="AH888" s="465"/>
      <c r="AI888" s="464"/>
    </row>
    <row r="889" customFormat="false" ht="15" hidden="false" customHeight="true" outlineLevel="0" collapsed="false">
      <c r="A889" s="455" t="s">
        <v>1892</v>
      </c>
      <c r="C889" s="456" t="n">
        <v>45582</v>
      </c>
      <c r="D889" s="456"/>
      <c r="E889" s="57" t="n">
        <v>13990</v>
      </c>
      <c r="F889" s="323" t="s">
        <v>175</v>
      </c>
      <c r="G889" s="323" t="s">
        <v>13</v>
      </c>
      <c r="H889" s="98" t="n">
        <v>210</v>
      </c>
      <c r="I889" s="457" t="n">
        <v>90</v>
      </c>
      <c r="J889" s="313" t="s">
        <v>1653</v>
      </c>
      <c r="K889" s="98" t="n">
        <f aca="false">I889*H889</f>
        <v>18900</v>
      </c>
      <c r="L889" s="411" t="n">
        <v>4830</v>
      </c>
      <c r="M889" s="392" t="n">
        <f aca="false">L889/K889</f>
        <v>0.255555555555556</v>
      </c>
      <c r="N889" s="466" t="n">
        <f aca="false">I889*M889</f>
        <v>23</v>
      </c>
      <c r="O889" s="461" t="n">
        <v>210</v>
      </c>
      <c r="P889" s="462" t="n">
        <f aca="false">H889-O889</f>
        <v>0</v>
      </c>
      <c r="Q889" s="463" t="n">
        <f aca="false">O889*I889</f>
        <v>18900</v>
      </c>
      <c r="R889" s="48" t="n">
        <f aca="false">K889-Q889</f>
        <v>0</v>
      </c>
      <c r="S889" s="467"/>
      <c r="T889" s="2" t="s">
        <v>1711</v>
      </c>
      <c r="V889" s="464"/>
      <c r="W889" s="464"/>
      <c r="X889" s="464"/>
      <c r="Y889" s="464"/>
      <c r="Z889" s="464"/>
      <c r="AA889" s="464"/>
      <c r="AB889" s="464"/>
      <c r="AC889" s="464"/>
      <c r="AD889" s="464"/>
      <c r="AE889" s="464"/>
      <c r="AF889" s="464"/>
      <c r="AG889" s="464"/>
      <c r="AH889" s="465"/>
      <c r="AI889" s="464"/>
    </row>
    <row r="890" customFormat="false" ht="15" hidden="false" customHeight="true" outlineLevel="0" collapsed="false">
      <c r="A890" s="455" t="s">
        <v>1892</v>
      </c>
      <c r="C890" s="456" t="n">
        <v>45582</v>
      </c>
      <c r="D890" s="456"/>
      <c r="E890" s="57" t="n">
        <v>13990</v>
      </c>
      <c r="F890" s="323" t="s">
        <v>175</v>
      </c>
      <c r="G890" s="323" t="s">
        <v>5</v>
      </c>
      <c r="H890" s="98" t="n">
        <v>270</v>
      </c>
      <c r="I890" s="457" t="n">
        <v>90</v>
      </c>
      <c r="J890" s="313" t="s">
        <v>1653</v>
      </c>
      <c r="K890" s="98" t="n">
        <f aca="false">I890*H890</f>
        <v>24300</v>
      </c>
      <c r="L890" s="411" t="n">
        <v>5400</v>
      </c>
      <c r="M890" s="392" t="n">
        <f aca="false">L890/K890</f>
        <v>0.222222222222222</v>
      </c>
      <c r="N890" s="466" t="n">
        <f aca="false">I890*M890</f>
        <v>20</v>
      </c>
      <c r="O890" s="461" t="n">
        <v>270</v>
      </c>
      <c r="P890" s="462" t="n">
        <f aca="false">H890-O890</f>
        <v>0</v>
      </c>
      <c r="Q890" s="463" t="n">
        <f aca="false">O890*I890</f>
        <v>24300</v>
      </c>
      <c r="R890" s="48" t="n">
        <f aca="false">K890-Q890</f>
        <v>0</v>
      </c>
      <c r="S890" s="467"/>
      <c r="T890" s="2" t="s">
        <v>1711</v>
      </c>
      <c r="V890" s="464"/>
      <c r="W890" s="464"/>
      <c r="X890" s="464"/>
      <c r="Y890" s="464"/>
      <c r="Z890" s="464"/>
      <c r="AA890" s="464"/>
      <c r="AB890" s="464"/>
      <c r="AC890" s="464"/>
      <c r="AD890" s="464"/>
      <c r="AE890" s="464"/>
      <c r="AF890" s="464"/>
      <c r="AG890" s="464"/>
      <c r="AH890" s="465"/>
      <c r="AI890" s="464"/>
    </row>
    <row r="891" customFormat="false" ht="15" hidden="false" customHeight="true" outlineLevel="0" collapsed="false">
      <c r="A891" s="455" t="s">
        <v>1892</v>
      </c>
      <c r="C891" s="456" t="n">
        <v>45582</v>
      </c>
      <c r="D891" s="456"/>
      <c r="E891" s="57" t="n">
        <v>13991</v>
      </c>
      <c r="F891" s="323" t="s">
        <v>175</v>
      </c>
      <c r="G891" s="323" t="s">
        <v>13</v>
      </c>
      <c r="H891" s="98" t="n">
        <v>270</v>
      </c>
      <c r="I891" s="457" t="n">
        <v>90</v>
      </c>
      <c r="J891" s="313" t="s">
        <v>1653</v>
      </c>
      <c r="K891" s="98" t="n">
        <f aca="false">I891*H891</f>
        <v>24300</v>
      </c>
      <c r="L891" s="411" t="n">
        <v>6210</v>
      </c>
      <c r="M891" s="392" t="n">
        <f aca="false">L891/K891</f>
        <v>0.255555555555556</v>
      </c>
      <c r="N891" s="466" t="n">
        <f aca="false">I891*M891</f>
        <v>23</v>
      </c>
      <c r="O891" s="461" t="n">
        <v>270</v>
      </c>
      <c r="P891" s="462" t="n">
        <f aca="false">H891-O891</f>
        <v>0</v>
      </c>
      <c r="Q891" s="463" t="n">
        <f aca="false">O891*I891</f>
        <v>24300</v>
      </c>
      <c r="R891" s="48" t="n">
        <f aca="false">K891-Q891</f>
        <v>0</v>
      </c>
      <c r="S891" s="467"/>
      <c r="T891" s="2" t="s">
        <v>1711</v>
      </c>
      <c r="V891" s="464"/>
      <c r="W891" s="464"/>
      <c r="X891" s="464"/>
      <c r="Y891" s="464"/>
      <c r="Z891" s="464"/>
      <c r="AA891" s="464"/>
      <c r="AB891" s="464"/>
      <c r="AC891" s="464"/>
      <c r="AD891" s="464"/>
      <c r="AE891" s="464"/>
      <c r="AF891" s="464"/>
      <c r="AG891" s="464"/>
      <c r="AH891" s="465"/>
      <c r="AI891" s="464"/>
    </row>
    <row r="892" customFormat="false" ht="15" hidden="false" customHeight="true" outlineLevel="0" collapsed="false">
      <c r="A892" s="455" t="s">
        <v>1892</v>
      </c>
      <c r="C892" s="456" t="n">
        <v>45582</v>
      </c>
      <c r="D892" s="456"/>
      <c r="E892" s="57" t="n">
        <v>13991</v>
      </c>
      <c r="F892" s="323" t="s">
        <v>175</v>
      </c>
      <c r="G892" s="323" t="s">
        <v>5</v>
      </c>
      <c r="H892" s="98" t="n">
        <v>270</v>
      </c>
      <c r="I892" s="457" t="n">
        <v>90</v>
      </c>
      <c r="J892" s="313" t="s">
        <v>1653</v>
      </c>
      <c r="K892" s="98" t="n">
        <f aca="false">I892*H892</f>
        <v>24300</v>
      </c>
      <c r="L892" s="411" t="n">
        <v>5400</v>
      </c>
      <c r="M892" s="392" t="n">
        <f aca="false">L892/K892</f>
        <v>0.222222222222222</v>
      </c>
      <c r="N892" s="466" t="n">
        <f aca="false">I892*M892</f>
        <v>20</v>
      </c>
      <c r="O892" s="461" t="n">
        <v>270</v>
      </c>
      <c r="P892" s="462" t="n">
        <f aca="false">H892-O892</f>
        <v>0</v>
      </c>
      <c r="Q892" s="463" t="n">
        <f aca="false">O892*I892</f>
        <v>24300</v>
      </c>
      <c r="R892" s="48" t="n">
        <f aca="false">K892-Q892</f>
        <v>0</v>
      </c>
      <c r="S892" s="467"/>
      <c r="T892" s="2" t="s">
        <v>1711</v>
      </c>
      <c r="V892" s="464"/>
      <c r="W892" s="464"/>
      <c r="X892" s="464"/>
      <c r="Y892" s="464"/>
      <c r="Z892" s="464"/>
      <c r="AA892" s="464"/>
      <c r="AB892" s="464"/>
      <c r="AC892" s="464"/>
      <c r="AD892" s="464"/>
      <c r="AE892" s="464"/>
      <c r="AF892" s="464"/>
      <c r="AG892" s="464"/>
      <c r="AH892" s="465"/>
      <c r="AI892" s="464"/>
    </row>
    <row r="893" customFormat="false" ht="15" hidden="false" customHeight="true" outlineLevel="0" collapsed="false">
      <c r="A893" s="455" t="s">
        <v>1893</v>
      </c>
      <c r="C893" s="456" t="n">
        <v>45582</v>
      </c>
      <c r="D893" s="456"/>
      <c r="E893" s="57" t="n">
        <v>13992</v>
      </c>
      <c r="F893" s="323" t="s">
        <v>175</v>
      </c>
      <c r="G893" s="323" t="s">
        <v>20</v>
      </c>
      <c r="H893" s="98" t="n">
        <v>360</v>
      </c>
      <c r="I893" s="457" t="n">
        <v>90</v>
      </c>
      <c r="J893" s="313" t="s">
        <v>1653</v>
      </c>
      <c r="K893" s="98" t="n">
        <f aca="false">I893*H893</f>
        <v>32400</v>
      </c>
      <c r="L893" s="411" t="n">
        <v>6523.92</v>
      </c>
      <c r="M893" s="392" t="n">
        <f aca="false">L893/K893</f>
        <v>0.201355555555556</v>
      </c>
      <c r="N893" s="466" t="n">
        <f aca="false">I893*M893</f>
        <v>18.122</v>
      </c>
      <c r="O893" s="461" t="n">
        <v>360</v>
      </c>
      <c r="P893" s="462" t="n">
        <f aca="false">H893-O893</f>
        <v>0</v>
      </c>
      <c r="Q893" s="463" t="n">
        <f aca="false">O893*I893</f>
        <v>32400</v>
      </c>
      <c r="R893" s="48" t="n">
        <f aca="false">K893-Q893</f>
        <v>0</v>
      </c>
      <c r="S893" s="467"/>
      <c r="T893" s="2" t="s">
        <v>1711</v>
      </c>
      <c r="V893" s="464"/>
      <c r="W893" s="464"/>
      <c r="X893" s="464"/>
      <c r="Y893" s="464"/>
      <c r="Z893" s="464"/>
      <c r="AA893" s="464"/>
      <c r="AB893" s="464"/>
      <c r="AC893" s="464"/>
      <c r="AD893" s="464"/>
      <c r="AE893" s="464"/>
      <c r="AF893" s="464"/>
      <c r="AG893" s="464"/>
      <c r="AH893" s="465"/>
      <c r="AI893" s="464"/>
    </row>
    <row r="894" customFormat="false" ht="15" hidden="false" customHeight="true" outlineLevel="0" collapsed="false">
      <c r="A894" s="455" t="s">
        <v>1859</v>
      </c>
      <c r="C894" s="456" t="n">
        <v>45583</v>
      </c>
      <c r="D894" s="456"/>
      <c r="E894" s="57" t="n">
        <v>13993</v>
      </c>
      <c r="F894" s="323" t="s">
        <v>175</v>
      </c>
      <c r="G894" s="323" t="s">
        <v>11</v>
      </c>
      <c r="H894" s="98" t="n">
        <v>705</v>
      </c>
      <c r="I894" s="457" t="n">
        <v>14</v>
      </c>
      <c r="J894" s="313" t="s">
        <v>1651</v>
      </c>
      <c r="K894" s="98" t="n">
        <f aca="false">I894*H894</f>
        <v>9870</v>
      </c>
      <c r="L894" s="411" t="n">
        <v>37130</v>
      </c>
      <c r="M894" s="392" t="n">
        <f aca="false">L894/K894</f>
        <v>3.76190476190476</v>
      </c>
      <c r="N894" s="466" t="n">
        <f aca="false">I894*M894</f>
        <v>52.6666666666667</v>
      </c>
      <c r="O894" s="461" t="n">
        <v>705</v>
      </c>
      <c r="P894" s="462" t="n">
        <f aca="false">H894-O894</f>
        <v>0</v>
      </c>
      <c r="Q894" s="463" t="n">
        <f aca="false">O894*I894</f>
        <v>9870</v>
      </c>
      <c r="R894" s="48" t="n">
        <f aca="false">K894-Q894</f>
        <v>0</v>
      </c>
      <c r="S894" s="467"/>
      <c r="T894" s="2" t="s">
        <v>1711</v>
      </c>
      <c r="V894" s="464"/>
      <c r="W894" s="464"/>
      <c r="X894" s="464"/>
      <c r="Y894" s="464"/>
      <c r="Z894" s="464"/>
      <c r="AA894" s="464"/>
      <c r="AB894" s="464"/>
      <c r="AC894" s="464"/>
      <c r="AD894" s="464"/>
      <c r="AE894" s="464"/>
      <c r="AF894" s="464"/>
      <c r="AG894" s="464"/>
      <c r="AH894" s="465"/>
      <c r="AI894" s="464"/>
    </row>
    <row r="895" customFormat="false" ht="15" hidden="false" customHeight="true" outlineLevel="0" collapsed="false">
      <c r="A895" s="455" t="s">
        <v>1859</v>
      </c>
      <c r="B895" s="44" t="s">
        <v>1731</v>
      </c>
      <c r="C895" s="456" t="n">
        <v>45583</v>
      </c>
      <c r="D895" s="456"/>
      <c r="E895" s="57" t="n">
        <v>13993</v>
      </c>
      <c r="F895" s="323" t="s">
        <v>175</v>
      </c>
      <c r="G895" s="323" t="s">
        <v>5</v>
      </c>
      <c r="H895" s="98" t="n">
        <v>700</v>
      </c>
      <c r="I895" s="457" t="n">
        <v>60</v>
      </c>
      <c r="J895" s="313" t="s">
        <v>1653</v>
      </c>
      <c r="K895" s="98" t="n">
        <f aca="false">I895*H895</f>
        <v>42000</v>
      </c>
      <c r="L895" s="411" t="n">
        <v>13300</v>
      </c>
      <c r="M895" s="392" t="n">
        <f aca="false">L895/K895</f>
        <v>0.316666666666667</v>
      </c>
      <c r="N895" s="466" t="n">
        <f aca="false">I895*M895</f>
        <v>19</v>
      </c>
      <c r="O895" s="461" t="n">
        <v>700</v>
      </c>
      <c r="P895" s="462" t="n">
        <f aca="false">H895-O895</f>
        <v>0</v>
      </c>
      <c r="Q895" s="463" t="n">
        <f aca="false">O895*I895</f>
        <v>42000</v>
      </c>
      <c r="R895" s="48" t="n">
        <f aca="false">K895-Q895</f>
        <v>0</v>
      </c>
      <c r="S895" s="467"/>
      <c r="T895" s="2" t="s">
        <v>1711</v>
      </c>
      <c r="V895" s="464"/>
      <c r="W895" s="464"/>
      <c r="X895" s="464"/>
      <c r="Y895" s="464"/>
      <c r="Z895" s="464"/>
      <c r="AA895" s="464"/>
      <c r="AB895" s="464"/>
      <c r="AC895" s="464"/>
      <c r="AD895" s="464"/>
      <c r="AE895" s="464"/>
      <c r="AF895" s="464"/>
      <c r="AG895" s="464"/>
      <c r="AH895" s="465"/>
      <c r="AI895" s="464"/>
    </row>
    <row r="896" customFormat="false" ht="15" hidden="false" customHeight="true" outlineLevel="0" collapsed="false">
      <c r="A896" s="455" t="s">
        <v>1859</v>
      </c>
      <c r="B896" s="44" t="s">
        <v>1731</v>
      </c>
      <c r="C896" s="456" t="n">
        <v>45583</v>
      </c>
      <c r="D896" s="456"/>
      <c r="E896" s="57" t="n">
        <v>13993</v>
      </c>
      <c r="F896" s="323" t="s">
        <v>175</v>
      </c>
      <c r="G896" s="323" t="s">
        <v>42</v>
      </c>
      <c r="H896" s="98" t="n">
        <v>850</v>
      </c>
      <c r="I896" s="457" t="n">
        <v>60</v>
      </c>
      <c r="J896" s="313" t="s">
        <v>1653</v>
      </c>
      <c r="K896" s="98" t="n">
        <f aca="false">I896*H896</f>
        <v>51000</v>
      </c>
      <c r="L896" s="411" t="n">
        <v>17000</v>
      </c>
      <c r="M896" s="392" t="n">
        <f aca="false">L896/K896</f>
        <v>0.333333333333333</v>
      </c>
      <c r="N896" s="466" t="n">
        <f aca="false">I896*M896</f>
        <v>20</v>
      </c>
      <c r="O896" s="461" t="n">
        <v>850</v>
      </c>
      <c r="P896" s="462" t="n">
        <f aca="false">H896-O896</f>
        <v>0</v>
      </c>
      <c r="Q896" s="463" t="n">
        <f aca="false">O896*I896</f>
        <v>51000</v>
      </c>
      <c r="R896" s="48" t="n">
        <f aca="false">K896-Q896</f>
        <v>0</v>
      </c>
      <c r="S896" s="467"/>
      <c r="T896" s="2" t="s">
        <v>1711</v>
      </c>
      <c r="V896" s="464"/>
      <c r="W896" s="464"/>
      <c r="X896" s="464"/>
      <c r="Y896" s="464"/>
      <c r="Z896" s="464"/>
      <c r="AA896" s="464"/>
      <c r="AB896" s="464"/>
      <c r="AC896" s="464"/>
      <c r="AD896" s="464"/>
      <c r="AE896" s="464"/>
      <c r="AF896" s="464"/>
      <c r="AG896" s="464"/>
      <c r="AH896" s="465"/>
      <c r="AI896" s="464"/>
    </row>
    <row r="897" customFormat="false" ht="15" hidden="false" customHeight="true" outlineLevel="0" collapsed="false">
      <c r="A897" s="455" t="s">
        <v>1894</v>
      </c>
      <c r="C897" s="456" t="n">
        <v>45583</v>
      </c>
      <c r="D897" s="456"/>
      <c r="E897" s="323" t="n">
        <v>13994</v>
      </c>
      <c r="F897" s="323" t="s">
        <v>175</v>
      </c>
      <c r="G897" s="323" t="s">
        <v>42</v>
      </c>
      <c r="H897" s="98" t="n">
        <v>105</v>
      </c>
      <c r="I897" s="457" t="n">
        <v>30</v>
      </c>
      <c r="J897" s="313" t="s">
        <v>1651</v>
      </c>
      <c r="K897" s="98" t="n">
        <f aca="false">I897*H897</f>
        <v>3150</v>
      </c>
      <c r="L897" s="411" t="n">
        <v>1774.5</v>
      </c>
      <c r="M897" s="392" t="n">
        <f aca="false">L897/K897</f>
        <v>0.563333333333333</v>
      </c>
      <c r="N897" s="466" t="n">
        <f aca="false">I897*M897</f>
        <v>16.9</v>
      </c>
      <c r="O897" s="461" t="n">
        <v>105</v>
      </c>
      <c r="P897" s="462" t="n">
        <f aca="false">H897-O897</f>
        <v>0</v>
      </c>
      <c r="Q897" s="463" t="n">
        <f aca="false">O897*I897</f>
        <v>3150</v>
      </c>
      <c r="R897" s="48" t="n">
        <f aca="false">K897-Q897</f>
        <v>0</v>
      </c>
      <c r="S897" s="467"/>
      <c r="T897" s="2" t="s">
        <v>1711</v>
      </c>
      <c r="V897" s="464"/>
      <c r="W897" s="464"/>
      <c r="X897" s="464"/>
      <c r="Y897" s="464"/>
      <c r="Z897" s="464"/>
      <c r="AA897" s="464"/>
      <c r="AB897" s="464"/>
      <c r="AC897" s="464"/>
      <c r="AD897" s="464"/>
      <c r="AE897" s="464"/>
      <c r="AF897" s="464"/>
      <c r="AG897" s="464"/>
      <c r="AH897" s="465"/>
      <c r="AI897" s="464"/>
    </row>
    <row r="898" customFormat="false" ht="15" hidden="false" customHeight="true" outlineLevel="0" collapsed="false">
      <c r="A898" s="455" t="s">
        <v>1894</v>
      </c>
      <c r="C898" s="456" t="n">
        <v>45583</v>
      </c>
      <c r="D898" s="456"/>
      <c r="E898" s="323" t="n">
        <v>13994</v>
      </c>
      <c r="F898" s="323" t="s">
        <v>175</v>
      </c>
      <c r="G898" s="323" t="s">
        <v>11</v>
      </c>
      <c r="H898" s="98" t="n">
        <v>105</v>
      </c>
      <c r="I898" s="457" t="n">
        <v>14</v>
      </c>
      <c r="J898" s="313" t="s">
        <v>1651</v>
      </c>
      <c r="K898" s="98" t="n">
        <f aca="false">I898*H898</f>
        <v>1470</v>
      </c>
      <c r="L898" s="411" t="n">
        <v>6720</v>
      </c>
      <c r="M898" s="392" t="n">
        <f aca="false">L898/K898</f>
        <v>4.57142857142857</v>
      </c>
      <c r="N898" s="466" t="n">
        <f aca="false">I898*M898</f>
        <v>64</v>
      </c>
      <c r="O898" s="461" t="n">
        <v>105</v>
      </c>
      <c r="P898" s="462" t="n">
        <f aca="false">H898-O898</f>
        <v>0</v>
      </c>
      <c r="Q898" s="463" t="n">
        <f aca="false">O898*I898</f>
        <v>1470</v>
      </c>
      <c r="R898" s="48" t="n">
        <f aca="false">K898-Q898</f>
        <v>0</v>
      </c>
      <c r="S898" s="467"/>
      <c r="T898" s="2" t="s">
        <v>1711</v>
      </c>
      <c r="V898" s="464"/>
      <c r="W898" s="464"/>
      <c r="X898" s="464"/>
      <c r="Y898" s="464"/>
      <c r="Z898" s="464"/>
      <c r="AA898" s="464"/>
      <c r="AB898" s="464"/>
      <c r="AC898" s="464"/>
      <c r="AD898" s="464"/>
      <c r="AE898" s="464"/>
      <c r="AF898" s="464"/>
      <c r="AG898" s="464"/>
      <c r="AH898" s="465"/>
      <c r="AI898" s="464"/>
    </row>
    <row r="899" customFormat="false" ht="15" hidden="false" customHeight="true" outlineLevel="0" collapsed="false">
      <c r="A899" s="455" t="s">
        <v>1895</v>
      </c>
      <c r="C899" s="456" t="n">
        <v>45583</v>
      </c>
      <c r="D899" s="456"/>
      <c r="E899" s="323" t="n">
        <v>13995</v>
      </c>
      <c r="F899" s="323" t="s">
        <v>175</v>
      </c>
      <c r="G899" s="323" t="s">
        <v>15</v>
      </c>
      <c r="H899" s="98" t="n">
        <v>825</v>
      </c>
      <c r="I899" s="457" t="n">
        <v>22.5</v>
      </c>
      <c r="J899" s="313" t="s">
        <v>1651</v>
      </c>
      <c r="K899" s="98" t="n">
        <f aca="false">I899*H899</f>
        <v>18562.5</v>
      </c>
      <c r="L899" s="411" t="n">
        <v>23801.25</v>
      </c>
      <c r="M899" s="392" t="n">
        <f aca="false">L899/K899</f>
        <v>1.28222222222222</v>
      </c>
      <c r="N899" s="466" t="n">
        <f aca="false">I899*M899</f>
        <v>28.85</v>
      </c>
      <c r="O899" s="461" t="n">
        <v>825</v>
      </c>
      <c r="P899" s="462" t="n">
        <f aca="false">H899-O899</f>
        <v>0</v>
      </c>
      <c r="Q899" s="463" t="n">
        <f aca="false">O899*I899</f>
        <v>18562.5</v>
      </c>
      <c r="R899" s="48" t="n">
        <f aca="false">K899-Q899</f>
        <v>0</v>
      </c>
      <c r="S899" s="467"/>
      <c r="T899" s="2" t="s">
        <v>1711</v>
      </c>
      <c r="V899" s="464"/>
      <c r="W899" s="464"/>
      <c r="X899" s="464"/>
      <c r="Y899" s="464"/>
      <c r="Z899" s="464"/>
      <c r="AA899" s="464"/>
      <c r="AB899" s="464"/>
      <c r="AC899" s="464"/>
      <c r="AD899" s="464"/>
      <c r="AE899" s="464"/>
      <c r="AF899" s="464"/>
      <c r="AG899" s="464"/>
      <c r="AH899" s="465"/>
      <c r="AI899" s="464"/>
    </row>
    <row r="900" customFormat="false" ht="15" hidden="false" customHeight="true" outlineLevel="0" collapsed="false">
      <c r="A900" s="455" t="s">
        <v>1895</v>
      </c>
      <c r="C900" s="456" t="n">
        <v>45583</v>
      </c>
      <c r="D900" s="456"/>
      <c r="E900" s="323" t="n">
        <v>13995</v>
      </c>
      <c r="F900" s="323" t="s">
        <v>175</v>
      </c>
      <c r="G900" s="323" t="s">
        <v>5</v>
      </c>
      <c r="H900" s="98" t="n">
        <v>510</v>
      </c>
      <c r="I900" s="457" t="n">
        <v>37.5</v>
      </c>
      <c r="J900" s="313" t="s">
        <v>1652</v>
      </c>
      <c r="K900" s="98" t="n">
        <f aca="false">I900*H900</f>
        <v>19125</v>
      </c>
      <c r="L900" s="411" t="n">
        <v>15835.5</v>
      </c>
      <c r="M900" s="392" t="n">
        <f aca="false">L900/K900</f>
        <v>0.828</v>
      </c>
      <c r="N900" s="466" t="n">
        <f aca="false">I900*M900</f>
        <v>31.05</v>
      </c>
      <c r="O900" s="461" t="n">
        <v>510</v>
      </c>
      <c r="P900" s="462" t="n">
        <f aca="false">H900-O900</f>
        <v>0</v>
      </c>
      <c r="Q900" s="463" t="n">
        <f aca="false">O900*I900</f>
        <v>19125</v>
      </c>
      <c r="R900" s="48" t="n">
        <f aca="false">K900-Q900</f>
        <v>0</v>
      </c>
      <c r="S900" s="467"/>
      <c r="T900" s="2" t="s">
        <v>1711</v>
      </c>
      <c r="V900" s="464"/>
      <c r="W900" s="464"/>
      <c r="X900" s="464"/>
      <c r="Y900" s="464"/>
      <c r="Z900" s="464"/>
      <c r="AA900" s="464"/>
      <c r="AB900" s="464"/>
      <c r="AC900" s="464"/>
      <c r="AD900" s="464"/>
      <c r="AE900" s="464"/>
      <c r="AF900" s="464"/>
      <c r="AG900" s="464"/>
      <c r="AH900" s="465"/>
      <c r="AI900" s="464"/>
    </row>
    <row r="901" customFormat="false" ht="15" hidden="false" customHeight="true" outlineLevel="0" collapsed="false">
      <c r="A901" s="455" t="s">
        <v>1895</v>
      </c>
      <c r="C901" s="456" t="n">
        <v>45583</v>
      </c>
      <c r="D901" s="456"/>
      <c r="E901" s="323" t="n">
        <v>13995</v>
      </c>
      <c r="F901" s="323" t="s">
        <v>175</v>
      </c>
      <c r="G901" s="323" t="s">
        <v>11</v>
      </c>
      <c r="H901" s="98" t="n">
        <v>555</v>
      </c>
      <c r="I901" s="457" t="n">
        <v>14</v>
      </c>
      <c r="J901" s="313" t="s">
        <v>1651</v>
      </c>
      <c r="K901" s="98" t="n">
        <f aca="false">I901*H901</f>
        <v>7770</v>
      </c>
      <c r="L901" s="411" t="n">
        <v>46603.35</v>
      </c>
      <c r="M901" s="392" t="n">
        <f aca="false">L901/K901</f>
        <v>5.99785714285714</v>
      </c>
      <c r="N901" s="466" t="n">
        <f aca="false">I901*M901</f>
        <v>83.97</v>
      </c>
      <c r="O901" s="461" t="n">
        <v>555</v>
      </c>
      <c r="P901" s="462" t="n">
        <f aca="false">H901-O901</f>
        <v>0</v>
      </c>
      <c r="Q901" s="463" t="n">
        <f aca="false">O901*I901</f>
        <v>7770</v>
      </c>
      <c r="R901" s="48" t="n">
        <f aca="false">K901-Q901</f>
        <v>0</v>
      </c>
      <c r="S901" s="467"/>
      <c r="T901" s="2" t="s">
        <v>1711</v>
      </c>
      <c r="V901" s="464"/>
      <c r="W901" s="464"/>
      <c r="X901" s="464"/>
      <c r="Y901" s="464"/>
      <c r="Z901" s="464"/>
      <c r="AA901" s="464"/>
      <c r="AB901" s="464"/>
      <c r="AC901" s="464"/>
      <c r="AD901" s="464"/>
      <c r="AE901" s="464"/>
      <c r="AF901" s="464"/>
      <c r="AG901" s="464"/>
      <c r="AH901" s="465"/>
      <c r="AI901" s="464"/>
    </row>
    <row r="902" customFormat="false" ht="15" hidden="false" customHeight="true" outlineLevel="0" collapsed="false">
      <c r="A902" s="455" t="s">
        <v>1887</v>
      </c>
      <c r="C902" s="456" t="n">
        <v>45583</v>
      </c>
      <c r="D902" s="456"/>
      <c r="E902" s="323" t="n">
        <v>13996</v>
      </c>
      <c r="F902" s="323" t="s">
        <v>175</v>
      </c>
      <c r="G902" s="323" t="s">
        <v>10</v>
      </c>
      <c r="H902" s="98" t="n">
        <v>300</v>
      </c>
      <c r="I902" s="457" t="n">
        <v>38.3</v>
      </c>
      <c r="J902" s="313" t="s">
        <v>1652</v>
      </c>
      <c r="K902" s="98" t="n">
        <f aca="false">I902*H902</f>
        <v>11490</v>
      </c>
      <c r="L902" s="411" t="n">
        <v>3750</v>
      </c>
      <c r="M902" s="392" t="n">
        <f aca="false">L902/K902</f>
        <v>0.326370757180157</v>
      </c>
      <c r="N902" s="466" t="n">
        <f aca="false">I902*M902</f>
        <v>12.5</v>
      </c>
      <c r="O902" s="461" t="n">
        <v>300</v>
      </c>
      <c r="P902" s="462" t="n">
        <f aca="false">H902-O902</f>
        <v>0</v>
      </c>
      <c r="Q902" s="463" t="n">
        <f aca="false">O902*I902</f>
        <v>11490</v>
      </c>
      <c r="R902" s="48" t="n">
        <f aca="false">K902-Q902</f>
        <v>0</v>
      </c>
      <c r="S902" s="467"/>
      <c r="T902" s="2" t="s">
        <v>1711</v>
      </c>
      <c r="V902" s="464"/>
      <c r="W902" s="464"/>
      <c r="X902" s="464"/>
      <c r="Y902" s="464"/>
      <c r="Z902" s="464"/>
      <c r="AA902" s="464"/>
      <c r="AB902" s="464"/>
      <c r="AC902" s="464"/>
      <c r="AD902" s="464"/>
      <c r="AE902" s="464"/>
      <c r="AF902" s="464"/>
      <c r="AG902" s="464"/>
      <c r="AH902" s="465"/>
      <c r="AI902" s="464"/>
    </row>
    <row r="903" customFormat="false" ht="15" hidden="false" customHeight="true" outlineLevel="0" collapsed="false">
      <c r="A903" s="455" t="s">
        <v>1887</v>
      </c>
      <c r="C903" s="456" t="n">
        <v>45583</v>
      </c>
      <c r="D903" s="456"/>
      <c r="E903" s="323" t="n">
        <v>13997</v>
      </c>
      <c r="F903" s="323" t="s">
        <v>175</v>
      </c>
      <c r="G903" s="323" t="s">
        <v>20</v>
      </c>
      <c r="H903" s="98" t="n">
        <v>90</v>
      </c>
      <c r="I903" s="457" t="n">
        <v>90</v>
      </c>
      <c r="J903" s="313" t="s">
        <v>1653</v>
      </c>
      <c r="K903" s="98" t="n">
        <f aca="false">I903*H903</f>
        <v>8100</v>
      </c>
      <c r="L903" s="411" t="n">
        <v>4618.8</v>
      </c>
      <c r="M903" s="392" t="n">
        <f aca="false">L903/K903</f>
        <v>0.570222222222222</v>
      </c>
      <c r="N903" s="466" t="n">
        <f aca="false">I903*M903</f>
        <v>51.32</v>
      </c>
      <c r="O903" s="461" t="n">
        <v>90</v>
      </c>
      <c r="P903" s="462" t="n">
        <f aca="false">H903-O903</f>
        <v>0</v>
      </c>
      <c r="Q903" s="463" t="n">
        <f aca="false">O903*I903</f>
        <v>8100</v>
      </c>
      <c r="R903" s="48" t="n">
        <f aca="false">K903-Q903</f>
        <v>0</v>
      </c>
      <c r="S903" s="467"/>
      <c r="T903" s="2" t="s">
        <v>1711</v>
      </c>
      <c r="V903" s="464"/>
      <c r="W903" s="464"/>
      <c r="X903" s="464"/>
      <c r="Y903" s="464"/>
      <c r="Z903" s="464"/>
      <c r="AA903" s="464"/>
      <c r="AB903" s="464"/>
      <c r="AC903" s="464"/>
      <c r="AD903" s="464"/>
      <c r="AE903" s="464"/>
      <c r="AF903" s="464"/>
      <c r="AG903" s="464"/>
      <c r="AH903" s="465"/>
      <c r="AI903" s="464"/>
    </row>
    <row r="904" customFormat="false" ht="15" hidden="false" customHeight="true" outlineLevel="0" collapsed="false">
      <c r="A904" s="455" t="s">
        <v>1887</v>
      </c>
      <c r="C904" s="456" t="n">
        <v>45583</v>
      </c>
      <c r="D904" s="456"/>
      <c r="E904" s="57" t="n">
        <v>13997</v>
      </c>
      <c r="F904" s="323" t="s">
        <v>175</v>
      </c>
      <c r="G904" s="323" t="s">
        <v>6</v>
      </c>
      <c r="H904" s="98" t="n">
        <v>90</v>
      </c>
      <c r="I904" s="457" t="n">
        <v>45</v>
      </c>
      <c r="J904" s="313" t="s">
        <v>1652</v>
      </c>
      <c r="K904" s="98" t="n">
        <f aca="false">I904*H904</f>
        <v>4050</v>
      </c>
      <c r="L904" s="411" t="n">
        <v>2990.7</v>
      </c>
      <c r="M904" s="392" t="n">
        <f aca="false">L904/K904</f>
        <v>0.738444444444444</v>
      </c>
      <c r="N904" s="466" t="n">
        <f aca="false">I904*M904</f>
        <v>33.23</v>
      </c>
      <c r="O904" s="461" t="n">
        <v>90</v>
      </c>
      <c r="P904" s="462" t="n">
        <f aca="false">H904-O904</f>
        <v>0</v>
      </c>
      <c r="Q904" s="463" t="n">
        <f aca="false">O904*I904</f>
        <v>4050</v>
      </c>
      <c r="R904" s="48" t="n">
        <f aca="false">K904-Q904</f>
        <v>0</v>
      </c>
      <c r="S904" s="467"/>
      <c r="T904" s="2" t="s">
        <v>1711</v>
      </c>
      <c r="V904" s="464"/>
      <c r="W904" s="464"/>
      <c r="X904" s="464"/>
      <c r="Y904" s="464"/>
      <c r="Z904" s="464"/>
      <c r="AA904" s="464"/>
      <c r="AB904" s="464"/>
      <c r="AC904" s="464"/>
      <c r="AD904" s="464"/>
      <c r="AE904" s="464"/>
      <c r="AF904" s="464"/>
      <c r="AG904" s="464"/>
      <c r="AH904" s="465"/>
      <c r="AI904" s="464"/>
    </row>
    <row r="905" customFormat="false" ht="15" hidden="false" customHeight="true" outlineLevel="0" collapsed="false">
      <c r="A905" s="455" t="s">
        <v>1887</v>
      </c>
      <c r="C905" s="456" t="n">
        <v>45583</v>
      </c>
      <c r="D905" s="456"/>
      <c r="E905" s="57" t="n">
        <v>13997</v>
      </c>
      <c r="F905" s="57" t="s">
        <v>175</v>
      </c>
      <c r="G905" s="323" t="s">
        <v>10</v>
      </c>
      <c r="H905" s="98" t="n">
        <v>90</v>
      </c>
      <c r="I905" s="457" t="n">
        <v>38.3</v>
      </c>
      <c r="J905" s="313" t="s">
        <v>1652</v>
      </c>
      <c r="K905" s="98" t="n">
        <f aca="false">I905*H905</f>
        <v>3447</v>
      </c>
      <c r="L905" s="411" t="n">
        <v>2570.4</v>
      </c>
      <c r="M905" s="392" t="n">
        <f aca="false">L905/K905</f>
        <v>0.745691906005222</v>
      </c>
      <c r="N905" s="466" t="n">
        <f aca="false">I905*M905</f>
        <v>28.56</v>
      </c>
      <c r="O905" s="461" t="n">
        <v>90</v>
      </c>
      <c r="P905" s="462" t="n">
        <f aca="false">H905-O905</f>
        <v>0</v>
      </c>
      <c r="Q905" s="463" t="n">
        <f aca="false">O905*I905</f>
        <v>3447</v>
      </c>
      <c r="R905" s="48" t="n">
        <f aca="false">K905-Q905</f>
        <v>0</v>
      </c>
      <c r="S905" s="467"/>
      <c r="T905" s="2" t="s">
        <v>1711</v>
      </c>
      <c r="V905" s="464"/>
      <c r="W905" s="464"/>
      <c r="X905" s="464"/>
      <c r="Y905" s="464"/>
      <c r="Z905" s="464"/>
      <c r="AA905" s="464"/>
      <c r="AB905" s="464"/>
      <c r="AC905" s="464"/>
      <c r="AD905" s="464"/>
      <c r="AE905" s="464"/>
      <c r="AF905" s="464"/>
      <c r="AG905" s="464"/>
      <c r="AH905" s="465"/>
      <c r="AI905" s="464"/>
    </row>
    <row r="906" customFormat="false" ht="15" hidden="false" customHeight="true" outlineLevel="0" collapsed="false">
      <c r="A906" s="455" t="s">
        <v>1896</v>
      </c>
      <c r="C906" s="456" t="n">
        <v>45583</v>
      </c>
      <c r="D906" s="456"/>
      <c r="E906" s="57" t="n">
        <v>13998</v>
      </c>
      <c r="F906" s="57" t="s">
        <v>175</v>
      </c>
      <c r="G906" s="323" t="s">
        <v>6</v>
      </c>
      <c r="H906" s="98" t="n">
        <v>255</v>
      </c>
      <c r="I906" s="457" t="n">
        <v>45</v>
      </c>
      <c r="J906" s="313" t="s">
        <v>1652</v>
      </c>
      <c r="K906" s="98" t="n">
        <f aca="false">I906*H906</f>
        <v>11475</v>
      </c>
      <c r="L906" s="411" t="n">
        <v>7140</v>
      </c>
      <c r="M906" s="392" t="n">
        <f aca="false">L906/K906</f>
        <v>0.622222222222222</v>
      </c>
      <c r="N906" s="466" t="n">
        <f aca="false">I906*M906</f>
        <v>28</v>
      </c>
      <c r="O906" s="461" t="n">
        <v>255</v>
      </c>
      <c r="P906" s="462" t="n">
        <f aca="false">H906-O906</f>
        <v>0</v>
      </c>
      <c r="Q906" s="463" t="n">
        <f aca="false">O906*I906</f>
        <v>11475</v>
      </c>
      <c r="R906" s="48" t="n">
        <f aca="false">K906-Q906</f>
        <v>0</v>
      </c>
      <c r="S906" s="467"/>
      <c r="T906" s="2" t="s">
        <v>1711</v>
      </c>
      <c r="V906" s="464"/>
      <c r="W906" s="464"/>
      <c r="X906" s="464"/>
      <c r="Y906" s="464"/>
      <c r="Z906" s="464"/>
      <c r="AA906" s="464"/>
      <c r="AB906" s="464"/>
      <c r="AC906" s="464"/>
      <c r="AD906" s="464"/>
      <c r="AE906" s="464"/>
      <c r="AF906" s="464"/>
      <c r="AG906" s="464"/>
      <c r="AH906" s="465"/>
      <c r="AI906" s="464"/>
    </row>
    <row r="907" customFormat="false" ht="15" hidden="false" customHeight="true" outlineLevel="0" collapsed="false">
      <c r="A907" s="455" t="s">
        <v>1749</v>
      </c>
      <c r="C907" s="456" t="n">
        <v>45583</v>
      </c>
      <c r="D907" s="456"/>
      <c r="E907" s="57" t="n">
        <v>13999</v>
      </c>
      <c r="F907" s="57" t="s">
        <v>175</v>
      </c>
      <c r="G907" s="323" t="s">
        <v>16</v>
      </c>
      <c r="H907" s="98" t="n">
        <v>60</v>
      </c>
      <c r="I907" s="457" t="n">
        <v>22.5</v>
      </c>
      <c r="J907" s="313" t="s">
        <v>1651</v>
      </c>
      <c r="K907" s="98" t="n">
        <f aca="false">I907*H907</f>
        <v>1350</v>
      </c>
      <c r="L907" s="411" t="n">
        <v>870</v>
      </c>
      <c r="M907" s="392" t="n">
        <f aca="false">L907/K907</f>
        <v>0.644444444444445</v>
      </c>
      <c r="N907" s="466" t="n">
        <f aca="false">I907*M907</f>
        <v>14.5</v>
      </c>
      <c r="O907" s="461" t="n">
        <v>60</v>
      </c>
      <c r="P907" s="462" t="n">
        <f aca="false">H907-O907</f>
        <v>0</v>
      </c>
      <c r="Q907" s="463" t="n">
        <f aca="false">O907*I907</f>
        <v>1350</v>
      </c>
      <c r="R907" s="48" t="n">
        <f aca="false">K907-Q907</f>
        <v>0</v>
      </c>
      <c r="S907" s="467"/>
      <c r="T907" s="2" t="s">
        <v>1711</v>
      </c>
      <c r="V907" s="464"/>
      <c r="W907" s="464"/>
      <c r="X907" s="464"/>
      <c r="Y907" s="464"/>
      <c r="Z907" s="464"/>
      <c r="AA907" s="464"/>
      <c r="AB907" s="464"/>
      <c r="AC907" s="464"/>
      <c r="AD907" s="464"/>
      <c r="AE907" s="464"/>
      <c r="AF907" s="464"/>
      <c r="AG907" s="464"/>
      <c r="AH907" s="465"/>
      <c r="AI907" s="464"/>
    </row>
    <row r="908" customFormat="false" ht="15" hidden="false" customHeight="true" outlineLevel="0" collapsed="false">
      <c r="A908" s="455" t="s">
        <v>1818</v>
      </c>
      <c r="C908" s="456" t="n">
        <v>45583</v>
      </c>
      <c r="D908" s="456"/>
      <c r="E908" s="57" t="n">
        <v>14000</v>
      </c>
      <c r="F908" s="57" t="s">
        <v>175</v>
      </c>
      <c r="G908" s="323" t="s">
        <v>5</v>
      </c>
      <c r="H908" s="98" t="n">
        <v>420</v>
      </c>
      <c r="I908" s="457" t="n">
        <v>25.71</v>
      </c>
      <c r="J908" s="313" t="s">
        <v>1651</v>
      </c>
      <c r="K908" s="98" t="n">
        <f aca="false">I908*H908</f>
        <v>10798.2</v>
      </c>
      <c r="L908" s="411" t="n">
        <v>6951</v>
      </c>
      <c r="M908" s="392" t="n">
        <f aca="false">L908/K908</f>
        <v>0.643718397510696</v>
      </c>
      <c r="N908" s="466" t="n">
        <f aca="false">I908*M908</f>
        <v>16.55</v>
      </c>
      <c r="O908" s="461" t="n">
        <v>420</v>
      </c>
      <c r="P908" s="462" t="n">
        <f aca="false">H908-O908</f>
        <v>0</v>
      </c>
      <c r="Q908" s="463" t="n">
        <f aca="false">O908*I908</f>
        <v>10798.2</v>
      </c>
      <c r="R908" s="48" t="n">
        <f aca="false">K908-Q908</f>
        <v>0</v>
      </c>
      <c r="S908" s="467"/>
      <c r="T908" s="2" t="s">
        <v>1711</v>
      </c>
      <c r="V908" s="464"/>
      <c r="W908" s="464"/>
      <c r="X908" s="464"/>
      <c r="Y908" s="464"/>
      <c r="Z908" s="464"/>
      <c r="AA908" s="464"/>
      <c r="AB908" s="464"/>
      <c r="AC908" s="464"/>
      <c r="AD908" s="464"/>
      <c r="AE908" s="464"/>
      <c r="AF908" s="464"/>
      <c r="AG908" s="464"/>
      <c r="AH908" s="465"/>
      <c r="AI908" s="464"/>
    </row>
    <row r="909" customFormat="false" ht="15" hidden="false" customHeight="true" outlineLevel="0" collapsed="false">
      <c r="A909" s="455" t="s">
        <v>1818</v>
      </c>
      <c r="C909" s="456" t="n">
        <v>45583</v>
      </c>
      <c r="D909" s="456"/>
      <c r="E909" s="57" t="n">
        <v>14000</v>
      </c>
      <c r="F909" s="57" t="s">
        <v>175</v>
      </c>
      <c r="G909" s="323" t="s">
        <v>18</v>
      </c>
      <c r="H909" s="98" t="n">
        <v>150</v>
      </c>
      <c r="I909" s="457" t="n">
        <v>25.71</v>
      </c>
      <c r="J909" s="313" t="s">
        <v>1651</v>
      </c>
      <c r="K909" s="98" t="n">
        <f aca="false">I909*H909</f>
        <v>3856.5</v>
      </c>
      <c r="L909" s="411" t="n">
        <v>3264</v>
      </c>
      <c r="M909" s="392" t="n">
        <f aca="false">L909/K909</f>
        <v>0.846363282769351</v>
      </c>
      <c r="N909" s="466" t="n">
        <f aca="false">I909*M909</f>
        <v>21.76</v>
      </c>
      <c r="O909" s="461" t="n">
        <v>150</v>
      </c>
      <c r="P909" s="462" t="n">
        <f aca="false">H909-O909</f>
        <v>0</v>
      </c>
      <c r="Q909" s="463" t="n">
        <f aca="false">O909*I909</f>
        <v>3856.5</v>
      </c>
      <c r="R909" s="48" t="n">
        <f aca="false">K909-Q909</f>
        <v>0</v>
      </c>
      <c r="S909" s="467"/>
      <c r="T909" s="2" t="s">
        <v>1711</v>
      </c>
      <c r="V909" s="464"/>
      <c r="W909" s="464"/>
      <c r="X909" s="464"/>
      <c r="Y909" s="464"/>
      <c r="Z909" s="464"/>
      <c r="AA909" s="464"/>
      <c r="AB909" s="464"/>
      <c r="AC909" s="464"/>
      <c r="AD909" s="464"/>
      <c r="AE909" s="464"/>
      <c r="AF909" s="464"/>
      <c r="AG909" s="464"/>
      <c r="AH909" s="465"/>
      <c r="AI909" s="464"/>
    </row>
    <row r="910" customFormat="false" ht="15" hidden="false" customHeight="true" outlineLevel="0" collapsed="false">
      <c r="A910" s="455" t="s">
        <v>1818</v>
      </c>
      <c r="C910" s="456" t="n">
        <v>45583</v>
      </c>
      <c r="D910" s="456"/>
      <c r="E910" s="57" t="n">
        <v>14000</v>
      </c>
      <c r="F910" s="57" t="s">
        <v>175</v>
      </c>
      <c r="G910" s="323" t="s">
        <v>17</v>
      </c>
      <c r="H910" s="98" t="n">
        <v>150</v>
      </c>
      <c r="I910" s="457" t="n">
        <v>22.5</v>
      </c>
      <c r="J910" s="313" t="s">
        <v>1651</v>
      </c>
      <c r="K910" s="98" t="n">
        <f aca="false">I910*H910</f>
        <v>3375</v>
      </c>
      <c r="L910" s="411" t="n">
        <v>2148</v>
      </c>
      <c r="M910" s="392" t="n">
        <f aca="false">L910/K910</f>
        <v>0.636444444444445</v>
      </c>
      <c r="N910" s="466" t="n">
        <f aca="false">I910*M910</f>
        <v>14.32</v>
      </c>
      <c r="O910" s="461" t="n">
        <v>150</v>
      </c>
      <c r="P910" s="462" t="n">
        <f aca="false">H910-O910</f>
        <v>0</v>
      </c>
      <c r="Q910" s="463" t="n">
        <f aca="false">O910*I910</f>
        <v>3375</v>
      </c>
      <c r="R910" s="48" t="n">
        <f aca="false">K910-Q910</f>
        <v>0</v>
      </c>
      <c r="S910" s="467"/>
      <c r="T910" s="2" t="s">
        <v>1711</v>
      </c>
      <c r="V910" s="464"/>
      <c r="W910" s="464"/>
      <c r="X910" s="464"/>
      <c r="Y910" s="464"/>
      <c r="Z910" s="464"/>
      <c r="AA910" s="464"/>
      <c r="AB910" s="464"/>
      <c r="AC910" s="464"/>
      <c r="AD910" s="464"/>
      <c r="AE910" s="464"/>
      <c r="AF910" s="464"/>
      <c r="AG910" s="464"/>
      <c r="AH910" s="465"/>
      <c r="AI910" s="464"/>
    </row>
    <row r="911" customFormat="false" ht="15" hidden="false" customHeight="true" outlineLevel="0" collapsed="false">
      <c r="A911" s="455" t="s">
        <v>1748</v>
      </c>
      <c r="C911" s="456" t="n">
        <v>45583</v>
      </c>
      <c r="D911" s="456"/>
      <c r="E911" s="57" t="n">
        <v>14001</v>
      </c>
      <c r="F911" s="57" t="s">
        <v>175</v>
      </c>
      <c r="G911" s="323" t="s">
        <v>11</v>
      </c>
      <c r="H911" s="98" t="n">
        <v>300</v>
      </c>
      <c r="I911" s="457" t="n">
        <v>14</v>
      </c>
      <c r="J911" s="313" t="s">
        <v>1651</v>
      </c>
      <c r="K911" s="98" t="n">
        <f aca="false">I911*H911</f>
        <v>4200</v>
      </c>
      <c r="L911" s="411" t="n">
        <v>17970</v>
      </c>
      <c r="M911" s="392" t="n">
        <f aca="false">L911/K911</f>
        <v>4.27857142857143</v>
      </c>
      <c r="N911" s="466" t="n">
        <f aca="false">I911*M911</f>
        <v>59.9</v>
      </c>
      <c r="O911" s="461" t="n">
        <v>300</v>
      </c>
      <c r="P911" s="462" t="n">
        <f aca="false">H911-O911</f>
        <v>0</v>
      </c>
      <c r="Q911" s="463" t="n">
        <f aca="false">O911*I911</f>
        <v>4200</v>
      </c>
      <c r="R911" s="48" t="n">
        <f aca="false">K911-Q911</f>
        <v>0</v>
      </c>
      <c r="S911" s="467"/>
      <c r="T911" s="2" t="s">
        <v>1711</v>
      </c>
      <c r="V911" s="464"/>
      <c r="W911" s="464"/>
      <c r="X911" s="464"/>
      <c r="Y911" s="464"/>
      <c r="Z911" s="464"/>
      <c r="AA911" s="464"/>
      <c r="AB911" s="464"/>
      <c r="AC911" s="464"/>
      <c r="AD911" s="464"/>
      <c r="AE911" s="464"/>
      <c r="AF911" s="464"/>
      <c r="AG911" s="464"/>
      <c r="AH911" s="465"/>
      <c r="AI911" s="464"/>
    </row>
    <row r="912" customFormat="false" ht="15" hidden="false" customHeight="true" outlineLevel="0" collapsed="false">
      <c r="A912" s="455" t="s">
        <v>1897</v>
      </c>
      <c r="C912" s="456" t="n">
        <v>45586</v>
      </c>
      <c r="D912" s="456"/>
      <c r="E912" s="57" t="n">
        <v>14002</v>
      </c>
      <c r="F912" s="57" t="s">
        <v>175</v>
      </c>
      <c r="G912" s="323" t="s">
        <v>5</v>
      </c>
      <c r="H912" s="98" t="n">
        <v>165</v>
      </c>
      <c r="I912" s="457" t="n">
        <v>25.71</v>
      </c>
      <c r="J912" s="313" t="s">
        <v>1651</v>
      </c>
      <c r="K912" s="98" t="n">
        <f aca="false">I912*H912</f>
        <v>4242.15</v>
      </c>
      <c r="L912" s="411" t="n">
        <v>2798.4</v>
      </c>
      <c r="M912" s="392" t="n">
        <f aca="false">L912/K912</f>
        <v>0.659665499805523</v>
      </c>
      <c r="N912" s="466" t="n">
        <f aca="false">I912*M912</f>
        <v>16.96</v>
      </c>
      <c r="O912" s="461" t="n">
        <v>165</v>
      </c>
      <c r="P912" s="462" t="n">
        <f aca="false">H912-O912</f>
        <v>0</v>
      </c>
      <c r="Q912" s="463" t="n">
        <f aca="false">O912*I912</f>
        <v>4242.15</v>
      </c>
      <c r="R912" s="48" t="n">
        <f aca="false">K912-Q912</f>
        <v>0</v>
      </c>
      <c r="S912" s="467"/>
      <c r="T912" s="2" t="s">
        <v>1711</v>
      </c>
      <c r="V912" s="464"/>
      <c r="W912" s="464"/>
      <c r="X912" s="464"/>
      <c r="Y912" s="464"/>
      <c r="Z912" s="464"/>
      <c r="AA912" s="464"/>
      <c r="AB912" s="464"/>
      <c r="AC912" s="464"/>
      <c r="AD912" s="464"/>
      <c r="AE912" s="464"/>
      <c r="AF912" s="464"/>
      <c r="AG912" s="464"/>
      <c r="AH912" s="465"/>
      <c r="AI912" s="464"/>
    </row>
    <row r="913" customFormat="false" ht="15" hidden="false" customHeight="true" outlineLevel="0" collapsed="false">
      <c r="A913" s="455" t="s">
        <v>1898</v>
      </c>
      <c r="C913" s="456" t="n">
        <v>45586</v>
      </c>
      <c r="D913" s="456"/>
      <c r="E913" s="57" t="n">
        <v>14004</v>
      </c>
      <c r="F913" s="57" t="s">
        <v>175</v>
      </c>
      <c r="G913" s="323" t="s">
        <v>5</v>
      </c>
      <c r="H913" s="98" t="n">
        <v>120</v>
      </c>
      <c r="I913" s="457" t="n">
        <v>25.71</v>
      </c>
      <c r="J913" s="313" t="s">
        <v>1651</v>
      </c>
      <c r="K913" s="98" t="n">
        <f aca="false">I913*H913</f>
        <v>3085.2</v>
      </c>
      <c r="L913" s="411" t="n">
        <v>2035.2</v>
      </c>
      <c r="M913" s="392" t="n">
        <f aca="false">L913/K913</f>
        <v>0.659665499805523</v>
      </c>
      <c r="N913" s="466" t="n">
        <f aca="false">I913*M913</f>
        <v>16.96</v>
      </c>
      <c r="O913" s="461" t="n">
        <v>120</v>
      </c>
      <c r="P913" s="462" t="n">
        <f aca="false">H913-O913</f>
        <v>0</v>
      </c>
      <c r="Q913" s="463" t="n">
        <f aca="false">O913*I913</f>
        <v>3085.2</v>
      </c>
      <c r="R913" s="48" t="n">
        <f aca="false">K913-Q913</f>
        <v>0</v>
      </c>
      <c r="S913" s="467"/>
      <c r="T913" s="2" t="s">
        <v>1711</v>
      </c>
      <c r="V913" s="464"/>
      <c r="W913" s="464"/>
      <c r="X913" s="464"/>
      <c r="Y913" s="464"/>
      <c r="Z913" s="464"/>
      <c r="AA913" s="464"/>
      <c r="AB913" s="464"/>
      <c r="AC913" s="464"/>
      <c r="AD913" s="464"/>
      <c r="AE913" s="464"/>
      <c r="AF913" s="464"/>
      <c r="AG913" s="464"/>
      <c r="AH913" s="465"/>
      <c r="AI913" s="464"/>
    </row>
    <row r="914" customFormat="false" ht="15" hidden="false" customHeight="true" outlineLevel="0" collapsed="false">
      <c r="A914" s="455" t="s">
        <v>1860</v>
      </c>
      <c r="C914" s="456" t="n">
        <v>45586</v>
      </c>
      <c r="D914" s="456"/>
      <c r="E914" s="57" t="n">
        <v>14005</v>
      </c>
      <c r="F914" s="57" t="s">
        <v>175</v>
      </c>
      <c r="G914" s="323" t="s">
        <v>42</v>
      </c>
      <c r="H914" s="98" t="n">
        <v>105</v>
      </c>
      <c r="I914" s="457" t="n">
        <v>30</v>
      </c>
      <c r="J914" s="313" t="s">
        <v>1651</v>
      </c>
      <c r="K914" s="98" t="n">
        <f aca="false">I914*H914</f>
        <v>3150</v>
      </c>
      <c r="L914" s="411" t="n">
        <v>1694.7</v>
      </c>
      <c r="M914" s="392" t="n">
        <f aca="false">L914/K914</f>
        <v>0.538</v>
      </c>
      <c r="N914" s="466" t="n">
        <f aca="false">I914*M914</f>
        <v>16.14</v>
      </c>
      <c r="O914" s="461" t="n">
        <v>105</v>
      </c>
      <c r="P914" s="462" t="n">
        <f aca="false">H914-O914</f>
        <v>0</v>
      </c>
      <c r="Q914" s="463" t="n">
        <f aca="false">O914*I914</f>
        <v>3150</v>
      </c>
      <c r="R914" s="48" t="n">
        <f aca="false">K914-Q914</f>
        <v>0</v>
      </c>
      <c r="S914" s="467"/>
      <c r="T914" s="2" t="s">
        <v>1711</v>
      </c>
      <c r="V914" s="464"/>
      <c r="W914" s="464"/>
      <c r="X914" s="464"/>
      <c r="Y914" s="464"/>
      <c r="Z914" s="464"/>
      <c r="AA914" s="464"/>
      <c r="AB914" s="464"/>
      <c r="AC914" s="464"/>
      <c r="AD914" s="464"/>
      <c r="AE914" s="464"/>
      <c r="AF914" s="464"/>
      <c r="AG914" s="464"/>
      <c r="AH914" s="465"/>
      <c r="AI914" s="464"/>
    </row>
    <row r="915" customFormat="false" ht="15" hidden="false" customHeight="true" outlineLevel="0" collapsed="false">
      <c r="A915" s="455" t="s">
        <v>1824</v>
      </c>
      <c r="C915" s="456" t="n">
        <v>45586</v>
      </c>
      <c r="D915" s="456"/>
      <c r="E915" s="57" t="n">
        <v>14006</v>
      </c>
      <c r="F915" s="57" t="s">
        <v>175</v>
      </c>
      <c r="G915" s="323" t="s">
        <v>7</v>
      </c>
      <c r="H915" s="98" t="n">
        <v>375</v>
      </c>
      <c r="I915" s="457" t="n">
        <v>25.71</v>
      </c>
      <c r="J915" s="313" t="s">
        <v>1651</v>
      </c>
      <c r="K915" s="98" t="n">
        <f aca="false">I915*H915</f>
        <v>9641.25</v>
      </c>
      <c r="L915" s="411" t="n">
        <v>6000</v>
      </c>
      <c r="M915" s="392" t="n">
        <f aca="false">L915/K915</f>
        <v>0.622325943212758</v>
      </c>
      <c r="N915" s="466" t="n">
        <f aca="false">I915*M915</f>
        <v>16</v>
      </c>
      <c r="O915" s="461" t="n">
        <v>375</v>
      </c>
      <c r="P915" s="462" t="n">
        <f aca="false">H915-O915</f>
        <v>0</v>
      </c>
      <c r="Q915" s="463" t="n">
        <f aca="false">O915*I915</f>
        <v>9641.25</v>
      </c>
      <c r="R915" s="48" t="n">
        <f aca="false">K915-Q915</f>
        <v>0</v>
      </c>
      <c r="S915" s="467"/>
      <c r="T915" s="2" t="s">
        <v>1711</v>
      </c>
      <c r="V915" s="464"/>
      <c r="W915" s="464"/>
      <c r="X915" s="464"/>
      <c r="Y915" s="464"/>
      <c r="Z915" s="464"/>
      <c r="AA915" s="464"/>
      <c r="AB915" s="464"/>
      <c r="AC915" s="464"/>
      <c r="AD915" s="464"/>
      <c r="AE915" s="464"/>
      <c r="AF915" s="464"/>
      <c r="AG915" s="464"/>
      <c r="AH915" s="465"/>
      <c r="AI915" s="464"/>
    </row>
    <row r="916" customFormat="false" ht="15" hidden="false" customHeight="true" outlineLevel="0" collapsed="false">
      <c r="A916" s="455" t="s">
        <v>1824</v>
      </c>
      <c r="C916" s="456" t="n">
        <v>45586</v>
      </c>
      <c r="D916" s="456"/>
      <c r="E916" s="57" t="n">
        <v>14006</v>
      </c>
      <c r="F916" s="57" t="s">
        <v>175</v>
      </c>
      <c r="G916" s="323" t="s">
        <v>15</v>
      </c>
      <c r="H916" s="98" t="n">
        <v>2250</v>
      </c>
      <c r="I916" s="457" t="n">
        <v>22.5</v>
      </c>
      <c r="J916" s="313" t="s">
        <v>1651</v>
      </c>
      <c r="K916" s="98" t="n">
        <f aca="false">I916*H916</f>
        <v>50625</v>
      </c>
      <c r="L916" s="411" t="n">
        <v>38250</v>
      </c>
      <c r="M916" s="392" t="n">
        <f aca="false">L916/K916</f>
        <v>0.755555555555556</v>
      </c>
      <c r="N916" s="466" t="n">
        <f aca="false">I916*M916</f>
        <v>17</v>
      </c>
      <c r="O916" s="461" t="n">
        <v>2250</v>
      </c>
      <c r="P916" s="462" t="n">
        <f aca="false">H916-O916</f>
        <v>0</v>
      </c>
      <c r="Q916" s="463" t="n">
        <f aca="false">O916*I916</f>
        <v>50625</v>
      </c>
      <c r="R916" s="48" t="n">
        <f aca="false">K916-Q916</f>
        <v>0</v>
      </c>
      <c r="S916" s="467"/>
      <c r="T916" s="2" t="s">
        <v>1711</v>
      </c>
      <c r="V916" s="464"/>
      <c r="W916" s="464"/>
      <c r="X916" s="464"/>
      <c r="Y916" s="464"/>
      <c r="Z916" s="464"/>
      <c r="AA916" s="464"/>
      <c r="AB916" s="464"/>
      <c r="AC916" s="464"/>
      <c r="AD916" s="464"/>
      <c r="AE916" s="464"/>
      <c r="AF916" s="464"/>
      <c r="AG916" s="464"/>
      <c r="AH916" s="465"/>
      <c r="AI916" s="464"/>
    </row>
    <row r="917" customFormat="false" ht="15" hidden="false" customHeight="true" outlineLevel="0" collapsed="false">
      <c r="A917" s="455" t="s">
        <v>1796</v>
      </c>
      <c r="C917" s="456" t="n">
        <v>45586</v>
      </c>
      <c r="D917" s="456"/>
      <c r="E917" s="57" t="n">
        <v>14007</v>
      </c>
      <c r="F917" s="57" t="s">
        <v>175</v>
      </c>
      <c r="G917" s="323" t="s">
        <v>11</v>
      </c>
      <c r="H917" s="98" t="n">
        <v>4260</v>
      </c>
      <c r="I917" s="457" t="n">
        <v>14</v>
      </c>
      <c r="J917" s="313" t="s">
        <v>1651</v>
      </c>
      <c r="K917" s="98" t="n">
        <f aca="false">I917*H917</f>
        <v>59640</v>
      </c>
      <c r="L917" s="411" t="n">
        <v>213000</v>
      </c>
      <c r="M917" s="392" t="n">
        <f aca="false">L917/K917</f>
        <v>3.57142857142857</v>
      </c>
      <c r="N917" s="466" t="n">
        <f aca="false">I917*M917</f>
        <v>50</v>
      </c>
      <c r="O917" s="461" t="n">
        <v>4260</v>
      </c>
      <c r="P917" s="462" t="n">
        <f aca="false">H917-O917</f>
        <v>0</v>
      </c>
      <c r="Q917" s="463" t="n">
        <f aca="false">O917*I917</f>
        <v>59640</v>
      </c>
      <c r="R917" s="48" t="n">
        <f aca="false">K917-Q917</f>
        <v>0</v>
      </c>
      <c r="S917" s="467"/>
      <c r="T917" s="2" t="s">
        <v>1797</v>
      </c>
      <c r="V917" s="464"/>
      <c r="W917" s="464"/>
      <c r="X917" s="464"/>
      <c r="Y917" s="464"/>
      <c r="Z917" s="464"/>
      <c r="AA917" s="464"/>
      <c r="AB917" s="464"/>
      <c r="AC917" s="464"/>
      <c r="AD917" s="464"/>
      <c r="AE917" s="464"/>
      <c r="AF917" s="464"/>
      <c r="AG917" s="464"/>
      <c r="AH917" s="465"/>
      <c r="AI917" s="464"/>
    </row>
    <row r="918" customFormat="false" ht="15" hidden="false" customHeight="true" outlineLevel="0" collapsed="false">
      <c r="A918" s="455" t="s">
        <v>1899</v>
      </c>
      <c r="C918" s="456" t="n">
        <v>45586</v>
      </c>
      <c r="D918" s="456"/>
      <c r="E918" s="57" t="n">
        <v>14008</v>
      </c>
      <c r="F918" s="57" t="s">
        <v>175</v>
      </c>
      <c r="G918" s="323" t="s">
        <v>5</v>
      </c>
      <c r="H918" s="98" t="n">
        <v>7305</v>
      </c>
      <c r="I918" s="457" t="n">
        <v>25.71</v>
      </c>
      <c r="J918" s="313" t="s">
        <v>1651</v>
      </c>
      <c r="K918" s="98" t="n">
        <f aca="false">I918*H918</f>
        <v>187811.55</v>
      </c>
      <c r="L918" s="411" t="n">
        <v>149022</v>
      </c>
      <c r="M918" s="392" t="n">
        <f aca="false">L918/K918</f>
        <v>0.793465577596266</v>
      </c>
      <c r="N918" s="466" t="n">
        <f aca="false">I918*M918</f>
        <v>20.4</v>
      </c>
      <c r="O918" s="461" t="n">
        <v>7305</v>
      </c>
      <c r="P918" s="462" t="n">
        <f aca="false">H918-O918</f>
        <v>0</v>
      </c>
      <c r="Q918" s="463" t="n">
        <f aca="false">O918*I918</f>
        <v>187811.55</v>
      </c>
      <c r="R918" s="48" t="n">
        <f aca="false">K918-Q918</f>
        <v>0</v>
      </c>
      <c r="S918" s="467"/>
      <c r="T918" s="2" t="s">
        <v>1711</v>
      </c>
      <c r="V918" s="464"/>
      <c r="W918" s="464"/>
      <c r="X918" s="464"/>
      <c r="Y918" s="464"/>
      <c r="Z918" s="464"/>
      <c r="AA918" s="464"/>
      <c r="AB918" s="464"/>
      <c r="AC918" s="464"/>
      <c r="AD918" s="464"/>
      <c r="AE918" s="464"/>
      <c r="AF918" s="464"/>
      <c r="AG918" s="464"/>
      <c r="AH918" s="465"/>
      <c r="AI918" s="464"/>
    </row>
    <row r="919" customFormat="false" ht="15" hidden="false" customHeight="true" outlineLevel="0" collapsed="false">
      <c r="A919" s="455" t="s">
        <v>1899</v>
      </c>
      <c r="C919" s="456" t="n">
        <v>45586</v>
      </c>
      <c r="D919" s="456"/>
      <c r="E919" s="57" t="n">
        <v>14008</v>
      </c>
      <c r="F919" s="323" t="s">
        <v>175</v>
      </c>
      <c r="G919" s="323" t="s">
        <v>19</v>
      </c>
      <c r="H919" s="98" t="n">
        <v>1365</v>
      </c>
      <c r="I919" s="457" t="n">
        <v>22.5</v>
      </c>
      <c r="J919" s="313" t="s">
        <v>1651</v>
      </c>
      <c r="K919" s="98" t="n">
        <f aca="false">I919*H919</f>
        <v>30712.5</v>
      </c>
      <c r="L919" s="411" t="n">
        <v>31941</v>
      </c>
      <c r="M919" s="392" t="n">
        <f aca="false">L919/K919</f>
        <v>1.04</v>
      </c>
      <c r="N919" s="466" t="n">
        <f aca="false">I919*M919</f>
        <v>23.4</v>
      </c>
      <c r="O919" s="461" t="n">
        <v>1365</v>
      </c>
      <c r="P919" s="462" t="n">
        <f aca="false">H919-O919</f>
        <v>0</v>
      </c>
      <c r="Q919" s="463" t="n">
        <f aca="false">O919*I919</f>
        <v>30712.5</v>
      </c>
      <c r="R919" s="48" t="n">
        <f aca="false">K919-Q919</f>
        <v>0</v>
      </c>
      <c r="S919" s="467"/>
      <c r="T919" s="2" t="s">
        <v>1711</v>
      </c>
      <c r="V919" s="464"/>
      <c r="W919" s="464"/>
      <c r="X919" s="464"/>
      <c r="Y919" s="464"/>
      <c r="Z919" s="464"/>
      <c r="AA919" s="464"/>
      <c r="AB919" s="464"/>
      <c r="AC919" s="464"/>
      <c r="AD919" s="464"/>
      <c r="AE919" s="464"/>
      <c r="AF919" s="464"/>
      <c r="AG919" s="464"/>
      <c r="AH919" s="465"/>
      <c r="AI919" s="464"/>
    </row>
    <row r="920" customFormat="false" ht="15" hidden="false" customHeight="true" outlineLevel="0" collapsed="false">
      <c r="A920" s="455" t="s">
        <v>1899</v>
      </c>
      <c r="C920" s="456" t="n">
        <v>45586</v>
      </c>
      <c r="D920" s="456"/>
      <c r="E920" s="57" t="n">
        <v>14008</v>
      </c>
      <c r="F920" s="323" t="s">
        <v>175</v>
      </c>
      <c r="G920" s="323" t="s">
        <v>10</v>
      </c>
      <c r="H920" s="98" t="n">
        <v>8010</v>
      </c>
      <c r="I920" s="457" t="n">
        <v>38.3</v>
      </c>
      <c r="J920" s="313" t="s">
        <v>1652</v>
      </c>
      <c r="K920" s="98" t="n">
        <f aca="false">I920*H920</f>
        <v>306783</v>
      </c>
      <c r="L920" s="411" t="n">
        <v>99324</v>
      </c>
      <c r="M920" s="392" t="n">
        <f aca="false">L920/K920</f>
        <v>0.323759791122715</v>
      </c>
      <c r="N920" s="466" t="n">
        <f aca="false">I920*M920</f>
        <v>12.4</v>
      </c>
      <c r="O920" s="461" t="n">
        <v>8010</v>
      </c>
      <c r="P920" s="462" t="n">
        <f aca="false">H920-O920</f>
        <v>0</v>
      </c>
      <c r="Q920" s="463" t="n">
        <f aca="false">O920*I920</f>
        <v>306783</v>
      </c>
      <c r="R920" s="48" t="n">
        <f aca="false">K920-Q920</f>
        <v>0</v>
      </c>
      <c r="S920" s="467"/>
      <c r="T920" s="2" t="s">
        <v>1711</v>
      </c>
      <c r="V920" s="464"/>
      <c r="W920" s="464"/>
      <c r="X920" s="464"/>
      <c r="Y920" s="464"/>
      <c r="Z920" s="464"/>
      <c r="AA920" s="464"/>
      <c r="AB920" s="464"/>
      <c r="AC920" s="464"/>
      <c r="AD920" s="464"/>
      <c r="AE920" s="464"/>
      <c r="AF920" s="464"/>
      <c r="AG920" s="464"/>
      <c r="AH920" s="465"/>
      <c r="AI920" s="464"/>
    </row>
    <row r="921" customFormat="false" ht="15" hidden="false" customHeight="true" outlineLevel="0" collapsed="false">
      <c r="A921" s="455" t="s">
        <v>1900</v>
      </c>
      <c r="C921" s="456" t="n">
        <v>45586</v>
      </c>
      <c r="D921" s="456"/>
      <c r="E921" s="57" t="n">
        <v>14009</v>
      </c>
      <c r="F921" s="323" t="s">
        <v>175</v>
      </c>
      <c r="G921" s="323" t="s">
        <v>10</v>
      </c>
      <c r="H921" s="98" t="n">
        <v>2505</v>
      </c>
      <c r="I921" s="457" t="n">
        <v>38.3</v>
      </c>
      <c r="J921" s="313" t="s">
        <v>1652</v>
      </c>
      <c r="K921" s="98" t="n">
        <f aca="false">I921*H921</f>
        <v>95941.5</v>
      </c>
      <c r="L921" s="411" t="n">
        <v>27555</v>
      </c>
      <c r="M921" s="392" t="n">
        <f aca="false">L921/K921</f>
        <v>0.287206266318538</v>
      </c>
      <c r="N921" s="466" t="n">
        <f aca="false">I921*M921</f>
        <v>11</v>
      </c>
      <c r="O921" s="461" t="n">
        <v>2505</v>
      </c>
      <c r="P921" s="462" t="n">
        <f aca="false">H921-O921</f>
        <v>0</v>
      </c>
      <c r="Q921" s="463" t="n">
        <f aca="false">O921*I921</f>
        <v>95941.5</v>
      </c>
      <c r="R921" s="48" t="n">
        <f aca="false">K921-Q921</f>
        <v>0</v>
      </c>
      <c r="S921" s="467"/>
      <c r="T921" s="2" t="s">
        <v>1711</v>
      </c>
      <c r="V921" s="464"/>
      <c r="W921" s="464"/>
      <c r="X921" s="464"/>
      <c r="Y921" s="464"/>
      <c r="Z921" s="464"/>
      <c r="AA921" s="464"/>
      <c r="AB921" s="464"/>
      <c r="AC921" s="464"/>
      <c r="AD921" s="464"/>
      <c r="AE921" s="464"/>
      <c r="AF921" s="464"/>
      <c r="AG921" s="464"/>
      <c r="AH921" s="465"/>
      <c r="AI921" s="464"/>
    </row>
    <row r="922" customFormat="false" ht="15" hidden="false" customHeight="true" outlineLevel="0" collapsed="false">
      <c r="A922" s="455" t="s">
        <v>1901</v>
      </c>
      <c r="C922" s="456" t="n">
        <v>45586</v>
      </c>
      <c r="D922" s="456"/>
      <c r="E922" s="57" t="n">
        <v>14010</v>
      </c>
      <c r="F922" s="323" t="s">
        <v>175</v>
      </c>
      <c r="G922" s="323" t="s">
        <v>5</v>
      </c>
      <c r="H922" s="98" t="n">
        <v>1280</v>
      </c>
      <c r="I922" s="457" t="n">
        <v>25.71</v>
      </c>
      <c r="J922" s="313" t="s">
        <v>1651</v>
      </c>
      <c r="K922" s="98" t="n">
        <f aca="false">I922*H922</f>
        <v>32908.8</v>
      </c>
      <c r="L922" s="411" t="n">
        <v>29440</v>
      </c>
      <c r="M922" s="392" t="n">
        <f aca="false">L922/K922</f>
        <v>0.894593543368339</v>
      </c>
      <c r="N922" s="466" t="n">
        <f aca="false">I922*M922</f>
        <v>23</v>
      </c>
      <c r="O922" s="461" t="n">
        <v>1280</v>
      </c>
      <c r="P922" s="462" t="n">
        <f aca="false">H922-O922</f>
        <v>0</v>
      </c>
      <c r="Q922" s="463" t="n">
        <f aca="false">O922*I922</f>
        <v>32908.8</v>
      </c>
      <c r="R922" s="48" t="n">
        <f aca="false">K922-Q922</f>
        <v>0</v>
      </c>
      <c r="S922" s="467"/>
      <c r="T922" s="2" t="s">
        <v>1711</v>
      </c>
      <c r="V922" s="464"/>
      <c r="W922" s="464"/>
      <c r="X922" s="464"/>
      <c r="Y922" s="464"/>
      <c r="Z922" s="464"/>
      <c r="AA922" s="464"/>
      <c r="AB922" s="464"/>
      <c r="AC922" s="464"/>
      <c r="AD922" s="464"/>
      <c r="AE922" s="464"/>
      <c r="AF922" s="464"/>
      <c r="AG922" s="464"/>
      <c r="AH922" s="465"/>
      <c r="AI922" s="464"/>
    </row>
    <row r="923" customFormat="false" ht="15" hidden="false" customHeight="true" outlineLevel="0" collapsed="false">
      <c r="A923" s="455" t="s">
        <v>1901</v>
      </c>
      <c r="C923" s="456" t="n">
        <v>45586</v>
      </c>
      <c r="D923" s="456"/>
      <c r="E923" s="57" t="n">
        <v>14010</v>
      </c>
      <c r="F923" s="323" t="s">
        <v>175</v>
      </c>
      <c r="G923" s="323" t="s">
        <v>6</v>
      </c>
      <c r="H923" s="98" t="n">
        <v>180</v>
      </c>
      <c r="I923" s="457" t="n">
        <v>30</v>
      </c>
      <c r="J923" s="313" t="s">
        <v>1651</v>
      </c>
      <c r="K923" s="98" t="n">
        <f aca="false">I923*H923</f>
        <v>5400</v>
      </c>
      <c r="L923" s="411" t="n">
        <v>5094</v>
      </c>
      <c r="M923" s="392" t="n">
        <f aca="false">L923/K923</f>
        <v>0.943333333333333</v>
      </c>
      <c r="N923" s="466" t="n">
        <f aca="false">I923*M923</f>
        <v>28.3</v>
      </c>
      <c r="O923" s="461" t="n">
        <v>180</v>
      </c>
      <c r="P923" s="462" t="n">
        <f aca="false">H923-O923</f>
        <v>0</v>
      </c>
      <c r="Q923" s="463" t="n">
        <f aca="false">O923*I923</f>
        <v>5400</v>
      </c>
      <c r="R923" s="48" t="n">
        <f aca="false">K923-Q923</f>
        <v>0</v>
      </c>
      <c r="S923" s="467"/>
      <c r="T923" s="2" t="s">
        <v>1711</v>
      </c>
      <c r="V923" s="464"/>
      <c r="W923" s="464"/>
      <c r="X923" s="464"/>
      <c r="Y923" s="464"/>
      <c r="Z923" s="464"/>
      <c r="AA923" s="464"/>
      <c r="AB923" s="464"/>
      <c r="AC923" s="464"/>
      <c r="AD923" s="464"/>
      <c r="AE923" s="464"/>
      <c r="AF923" s="464"/>
      <c r="AG923" s="464"/>
      <c r="AH923" s="465"/>
      <c r="AI923" s="464"/>
    </row>
    <row r="924" customFormat="false" ht="15" hidden="false" customHeight="true" outlineLevel="0" collapsed="false">
      <c r="A924" s="455" t="s">
        <v>1901</v>
      </c>
      <c r="C924" s="456" t="n">
        <v>45586</v>
      </c>
      <c r="D924" s="456"/>
      <c r="E924" s="57" t="n">
        <v>14010</v>
      </c>
      <c r="F924" s="323" t="s">
        <v>175</v>
      </c>
      <c r="G924" s="323" t="s">
        <v>13</v>
      </c>
      <c r="H924" s="98" t="n">
        <v>1350</v>
      </c>
      <c r="I924" s="457" t="n">
        <v>22.5</v>
      </c>
      <c r="J924" s="313" t="s">
        <v>1651</v>
      </c>
      <c r="K924" s="98" t="n">
        <f aca="false">I924*H924</f>
        <v>30375</v>
      </c>
      <c r="L924" s="411" t="n">
        <v>25110</v>
      </c>
      <c r="M924" s="392" t="n">
        <f aca="false">L924/K924</f>
        <v>0.826666666666667</v>
      </c>
      <c r="N924" s="466" t="n">
        <f aca="false">I924*M924</f>
        <v>18.6</v>
      </c>
      <c r="O924" s="461" t="n">
        <v>1350</v>
      </c>
      <c r="P924" s="462" t="n">
        <f aca="false">H924-O924</f>
        <v>0</v>
      </c>
      <c r="Q924" s="463" t="n">
        <f aca="false">O924*I924</f>
        <v>30375</v>
      </c>
      <c r="R924" s="48" t="n">
        <f aca="false">K924-Q924</f>
        <v>0</v>
      </c>
      <c r="S924" s="467"/>
      <c r="T924" s="2" t="s">
        <v>1711</v>
      </c>
      <c r="V924" s="464"/>
      <c r="W924" s="464"/>
      <c r="X924" s="464"/>
      <c r="Y924" s="464"/>
      <c r="Z924" s="464"/>
      <c r="AA924" s="464"/>
      <c r="AB924" s="464"/>
      <c r="AC924" s="464"/>
      <c r="AD924" s="464"/>
      <c r="AE924" s="464"/>
      <c r="AF924" s="464"/>
      <c r="AG924" s="464"/>
      <c r="AH924" s="465"/>
      <c r="AI924" s="464"/>
    </row>
    <row r="925" customFormat="false" ht="15" hidden="false" customHeight="true" outlineLevel="0" collapsed="false">
      <c r="A925" s="455" t="s">
        <v>1902</v>
      </c>
      <c r="C925" s="456" t="n">
        <v>45586</v>
      </c>
      <c r="D925" s="456"/>
      <c r="E925" s="57" t="n">
        <v>14012</v>
      </c>
      <c r="F925" s="323" t="s">
        <v>175</v>
      </c>
      <c r="G925" s="323" t="s">
        <v>10</v>
      </c>
      <c r="H925" s="98" t="n">
        <v>2505</v>
      </c>
      <c r="I925" s="457" t="n">
        <v>38.3</v>
      </c>
      <c r="J925" s="313" t="s">
        <v>1652</v>
      </c>
      <c r="K925" s="98" t="n">
        <f aca="false">I925*H925</f>
        <v>95941.5</v>
      </c>
      <c r="L925" s="411" t="n">
        <v>27555</v>
      </c>
      <c r="M925" s="392" t="n">
        <f aca="false">L925/K925</f>
        <v>0.287206266318538</v>
      </c>
      <c r="N925" s="466" t="n">
        <f aca="false">I925*M925</f>
        <v>11</v>
      </c>
      <c r="O925" s="461" t="n">
        <v>2505</v>
      </c>
      <c r="P925" s="462" t="n">
        <f aca="false">H925-O925</f>
        <v>0</v>
      </c>
      <c r="Q925" s="463" t="n">
        <f aca="false">O925*I925</f>
        <v>95941.5</v>
      </c>
      <c r="R925" s="48" t="n">
        <f aca="false">K925-Q925</f>
        <v>0</v>
      </c>
      <c r="S925" s="467"/>
      <c r="T925" s="2" t="s">
        <v>1711</v>
      </c>
      <c r="V925" s="464"/>
      <c r="W925" s="464"/>
      <c r="X925" s="464"/>
      <c r="Y925" s="464"/>
      <c r="Z925" s="464"/>
      <c r="AA925" s="464"/>
      <c r="AB925" s="464"/>
      <c r="AC925" s="464"/>
      <c r="AD925" s="464"/>
      <c r="AE925" s="464"/>
      <c r="AF925" s="464"/>
      <c r="AG925" s="464"/>
      <c r="AH925" s="465"/>
      <c r="AI925" s="464"/>
    </row>
    <row r="926" customFormat="false" ht="15" hidden="false" customHeight="true" outlineLevel="0" collapsed="false">
      <c r="A926" s="455" t="s">
        <v>1759</v>
      </c>
      <c r="C926" s="456" t="n">
        <v>45586</v>
      </c>
      <c r="D926" s="456"/>
      <c r="E926" s="57" t="n">
        <v>14013</v>
      </c>
      <c r="F926" s="323" t="s">
        <v>175</v>
      </c>
      <c r="G926" s="323" t="s">
        <v>42</v>
      </c>
      <c r="H926" s="98" t="n">
        <v>20</v>
      </c>
      <c r="I926" s="457" t="n">
        <v>30</v>
      </c>
      <c r="J926" s="313" t="s">
        <v>1651</v>
      </c>
      <c r="K926" s="98" t="n">
        <f aca="false">I926*H926</f>
        <v>600</v>
      </c>
      <c r="L926" s="411" t="n">
        <v>248.4</v>
      </c>
      <c r="M926" s="392" t="n">
        <f aca="false">L926/K926</f>
        <v>0.414</v>
      </c>
      <c r="N926" s="466" t="n">
        <f aca="false">I926*M926</f>
        <v>12.42</v>
      </c>
      <c r="O926" s="461" t="n">
        <v>20</v>
      </c>
      <c r="P926" s="462" t="n">
        <f aca="false">H926-O926</f>
        <v>0</v>
      </c>
      <c r="Q926" s="463" t="n">
        <f aca="false">O926*I926</f>
        <v>600</v>
      </c>
      <c r="R926" s="48" t="n">
        <f aca="false">K926-Q926</f>
        <v>0</v>
      </c>
      <c r="S926" s="467"/>
      <c r="T926" s="2" t="s">
        <v>1711</v>
      </c>
      <c r="V926" s="464"/>
      <c r="W926" s="464"/>
      <c r="X926" s="464"/>
      <c r="Y926" s="464"/>
      <c r="Z926" s="464"/>
      <c r="AA926" s="464"/>
      <c r="AB926" s="464"/>
      <c r="AC926" s="464"/>
      <c r="AD926" s="464"/>
      <c r="AE926" s="464"/>
      <c r="AF926" s="464"/>
      <c r="AG926" s="464"/>
      <c r="AH926" s="465"/>
      <c r="AI926" s="464"/>
    </row>
    <row r="927" customFormat="false" ht="15" hidden="false" customHeight="true" outlineLevel="0" collapsed="false">
      <c r="A927" s="455" t="s">
        <v>1759</v>
      </c>
      <c r="C927" s="456" t="n">
        <v>45586</v>
      </c>
      <c r="D927" s="456"/>
      <c r="E927" s="57" t="n">
        <v>14013</v>
      </c>
      <c r="F927" s="323" t="s">
        <v>175</v>
      </c>
      <c r="G927" s="323" t="s">
        <v>11</v>
      </c>
      <c r="H927" s="98" t="n">
        <v>200</v>
      </c>
      <c r="I927" s="457" t="n">
        <v>14</v>
      </c>
      <c r="J927" s="313" t="s">
        <v>1651</v>
      </c>
      <c r="K927" s="98" t="n">
        <f aca="false">I927*H927</f>
        <v>2800</v>
      </c>
      <c r="L927" s="411" t="n">
        <v>10948</v>
      </c>
      <c r="M927" s="392" t="n">
        <f aca="false">L927/K927</f>
        <v>3.91</v>
      </c>
      <c r="N927" s="466" t="n">
        <f aca="false">I927*M927</f>
        <v>54.74</v>
      </c>
      <c r="O927" s="461" t="n">
        <v>200</v>
      </c>
      <c r="P927" s="462" t="n">
        <f aca="false">H927-O927</f>
        <v>0</v>
      </c>
      <c r="Q927" s="463" t="n">
        <f aca="false">O927*I927</f>
        <v>2800</v>
      </c>
      <c r="R927" s="48" t="n">
        <f aca="false">K927-Q927</f>
        <v>0</v>
      </c>
      <c r="S927" s="467"/>
      <c r="T927" s="2" t="s">
        <v>1711</v>
      </c>
      <c r="V927" s="464"/>
      <c r="W927" s="464"/>
      <c r="X927" s="464"/>
      <c r="Y927" s="464"/>
      <c r="Z927" s="464"/>
      <c r="AA927" s="464"/>
      <c r="AB927" s="464"/>
      <c r="AC927" s="464"/>
      <c r="AD927" s="464"/>
      <c r="AE927" s="464"/>
      <c r="AF927" s="464"/>
      <c r="AG927" s="464"/>
      <c r="AH927" s="465"/>
      <c r="AI927" s="464"/>
    </row>
    <row r="928" customFormat="false" ht="15" hidden="false" customHeight="true" outlineLevel="0" collapsed="false">
      <c r="A928" s="455" t="s">
        <v>1759</v>
      </c>
      <c r="C928" s="456" t="n">
        <v>45586</v>
      </c>
      <c r="D928" s="456"/>
      <c r="E928" s="57" t="n">
        <v>14014</v>
      </c>
      <c r="F928" s="323" t="s">
        <v>175</v>
      </c>
      <c r="G928" s="323" t="s">
        <v>5</v>
      </c>
      <c r="H928" s="98" t="n">
        <v>1500</v>
      </c>
      <c r="I928" s="457" t="n">
        <v>25.71</v>
      </c>
      <c r="J928" s="313" t="s">
        <v>1651</v>
      </c>
      <c r="K928" s="98" t="n">
        <f aca="false">I928*H928</f>
        <v>38565</v>
      </c>
      <c r="L928" s="411" t="n">
        <v>15180</v>
      </c>
      <c r="M928" s="392" t="n">
        <f aca="false">L928/K928</f>
        <v>0.393621159082069</v>
      </c>
      <c r="N928" s="466" t="n">
        <f aca="false">I928*M928</f>
        <v>10.12</v>
      </c>
      <c r="O928" s="461" t="n">
        <v>1500</v>
      </c>
      <c r="P928" s="462" t="n">
        <f aca="false">H928-O928</f>
        <v>0</v>
      </c>
      <c r="Q928" s="463" t="n">
        <f aca="false">O928*I928</f>
        <v>38565</v>
      </c>
      <c r="R928" s="48" t="n">
        <f aca="false">K928-Q928</f>
        <v>0</v>
      </c>
      <c r="S928" s="467"/>
      <c r="T928" s="2" t="s">
        <v>1711</v>
      </c>
      <c r="V928" s="464"/>
      <c r="W928" s="464"/>
      <c r="X928" s="464"/>
      <c r="Y928" s="464"/>
      <c r="Z928" s="464"/>
      <c r="AA928" s="464"/>
      <c r="AB928" s="464"/>
      <c r="AC928" s="464"/>
      <c r="AD928" s="464"/>
      <c r="AE928" s="464"/>
      <c r="AF928" s="464"/>
      <c r="AG928" s="464"/>
      <c r="AH928" s="465"/>
      <c r="AI928" s="464"/>
    </row>
    <row r="929" customFormat="false" ht="15" hidden="false" customHeight="true" outlineLevel="0" collapsed="false">
      <c r="A929" s="455" t="s">
        <v>1759</v>
      </c>
      <c r="C929" s="456" t="n">
        <v>45586</v>
      </c>
      <c r="D929" s="456"/>
      <c r="E929" s="57" t="n">
        <v>14014</v>
      </c>
      <c r="F929" s="323" t="s">
        <v>175</v>
      </c>
      <c r="G929" s="323" t="s">
        <v>6</v>
      </c>
      <c r="H929" s="98" t="n">
        <v>1000</v>
      </c>
      <c r="I929" s="457" t="n">
        <v>30</v>
      </c>
      <c r="J929" s="313" t="s">
        <v>1651</v>
      </c>
      <c r="K929" s="98" t="n">
        <f aca="false">I929*H929</f>
        <v>30000</v>
      </c>
      <c r="L929" s="411" t="n">
        <v>11500</v>
      </c>
      <c r="M929" s="392" t="n">
        <f aca="false">L929/K929</f>
        <v>0.383333333333333</v>
      </c>
      <c r="N929" s="466" t="n">
        <f aca="false">I929*M929</f>
        <v>11.5</v>
      </c>
      <c r="O929" s="461" t="n">
        <v>1000</v>
      </c>
      <c r="P929" s="462" t="n">
        <f aca="false">H929-O929</f>
        <v>0</v>
      </c>
      <c r="Q929" s="463" t="n">
        <f aca="false">O929*I929</f>
        <v>30000</v>
      </c>
      <c r="R929" s="48" t="n">
        <f aca="false">K929-Q929</f>
        <v>0</v>
      </c>
      <c r="S929" s="467"/>
      <c r="T929" s="2" t="s">
        <v>1711</v>
      </c>
      <c r="V929" s="464"/>
      <c r="W929" s="464"/>
      <c r="X929" s="464"/>
      <c r="Y929" s="464"/>
      <c r="Z929" s="464"/>
      <c r="AA929" s="464"/>
      <c r="AB929" s="464"/>
      <c r="AC929" s="464"/>
      <c r="AD929" s="464"/>
      <c r="AE929" s="464"/>
      <c r="AF929" s="464"/>
      <c r="AG929" s="464"/>
      <c r="AH929" s="465"/>
      <c r="AI929" s="464"/>
    </row>
    <row r="930" customFormat="false" ht="15" hidden="false" customHeight="true" outlineLevel="0" collapsed="false">
      <c r="A930" s="455" t="s">
        <v>1759</v>
      </c>
      <c r="C930" s="456" t="n">
        <v>45586</v>
      </c>
      <c r="D930" s="456"/>
      <c r="E930" s="57" t="n">
        <v>14014</v>
      </c>
      <c r="F930" s="323" t="s">
        <v>175</v>
      </c>
      <c r="G930" s="323" t="s">
        <v>13</v>
      </c>
      <c r="H930" s="98" t="n">
        <v>1500</v>
      </c>
      <c r="I930" s="457" t="n">
        <v>22.5</v>
      </c>
      <c r="J930" s="313" t="s">
        <v>1651</v>
      </c>
      <c r="K930" s="98" t="n">
        <f aca="false">I930*H930</f>
        <v>33750</v>
      </c>
      <c r="L930" s="411" t="n">
        <v>15870</v>
      </c>
      <c r="M930" s="392" t="n">
        <f aca="false">L930/K930</f>
        <v>0.470222222222222</v>
      </c>
      <c r="N930" s="466" t="n">
        <f aca="false">I930*M930</f>
        <v>10.58</v>
      </c>
      <c r="O930" s="461" t="n">
        <v>1500</v>
      </c>
      <c r="P930" s="462" t="n">
        <f aca="false">H930-O930</f>
        <v>0</v>
      </c>
      <c r="Q930" s="463" t="n">
        <f aca="false">O930*I930</f>
        <v>33750</v>
      </c>
      <c r="R930" s="48" t="n">
        <f aca="false">K930-Q930</f>
        <v>0</v>
      </c>
      <c r="S930" s="467"/>
      <c r="T930" s="2" t="s">
        <v>1711</v>
      </c>
      <c r="V930" s="464"/>
      <c r="W930" s="464"/>
      <c r="X930" s="464"/>
      <c r="Y930" s="464"/>
      <c r="Z930" s="464"/>
      <c r="AA930" s="464"/>
      <c r="AB930" s="464"/>
      <c r="AC930" s="464"/>
      <c r="AD930" s="464"/>
      <c r="AE930" s="464"/>
      <c r="AF930" s="464"/>
      <c r="AG930" s="464"/>
      <c r="AH930" s="465"/>
      <c r="AI930" s="464"/>
    </row>
    <row r="931" customFormat="false" ht="15" hidden="false" customHeight="true" outlineLevel="0" collapsed="false">
      <c r="A931" s="455" t="s">
        <v>1903</v>
      </c>
      <c r="C931" s="456" t="n">
        <v>45586</v>
      </c>
      <c r="D931" s="456"/>
      <c r="E931" s="57" t="n">
        <v>14015</v>
      </c>
      <c r="F931" s="323" t="s">
        <v>175</v>
      </c>
      <c r="G931" s="323" t="s">
        <v>21</v>
      </c>
      <c r="H931" s="98" t="n">
        <v>150</v>
      </c>
      <c r="I931" s="457" t="n">
        <v>1</v>
      </c>
      <c r="J931" s="313" t="s">
        <v>1653</v>
      </c>
      <c r="K931" s="98" t="n">
        <f aca="false">I931*H931</f>
        <v>150</v>
      </c>
      <c r="L931" s="411" t="n">
        <v>1035</v>
      </c>
      <c r="M931" s="392" t="n">
        <f aca="false">L931/K931</f>
        <v>6.9</v>
      </c>
      <c r="N931" s="466" t="n">
        <f aca="false">I931*M931</f>
        <v>6.9</v>
      </c>
      <c r="O931" s="461" t="n">
        <v>150</v>
      </c>
      <c r="P931" s="462" t="n">
        <f aca="false">H931-O931</f>
        <v>0</v>
      </c>
      <c r="Q931" s="463" t="n">
        <f aca="false">O931*I931</f>
        <v>150</v>
      </c>
      <c r="R931" s="48" t="n">
        <f aca="false">K931-Q931</f>
        <v>0</v>
      </c>
      <c r="S931" s="467"/>
      <c r="T931" s="2" t="s">
        <v>1711</v>
      </c>
      <c r="V931" s="464"/>
      <c r="W931" s="464"/>
      <c r="X931" s="464"/>
      <c r="Y931" s="464"/>
      <c r="Z931" s="464"/>
      <c r="AA931" s="464"/>
      <c r="AB931" s="464"/>
      <c r="AC931" s="464"/>
      <c r="AD931" s="464"/>
      <c r="AE931" s="464"/>
      <c r="AF931" s="464"/>
      <c r="AG931" s="464"/>
      <c r="AH931" s="465"/>
      <c r="AI931" s="464"/>
    </row>
    <row r="932" customFormat="false" ht="15" hidden="false" customHeight="true" outlineLevel="0" collapsed="false">
      <c r="A932" s="455" t="s">
        <v>1904</v>
      </c>
      <c r="C932" s="456" t="n">
        <v>45586</v>
      </c>
      <c r="D932" s="456"/>
      <c r="E932" s="57" t="n">
        <v>14016</v>
      </c>
      <c r="F932" s="323" t="s">
        <v>175</v>
      </c>
      <c r="G932" s="323" t="s">
        <v>5</v>
      </c>
      <c r="H932" s="98" t="n">
        <v>1005</v>
      </c>
      <c r="I932" s="457" t="n">
        <v>37.5</v>
      </c>
      <c r="J932" s="313" t="s">
        <v>1652</v>
      </c>
      <c r="K932" s="98" t="n">
        <f aca="false">I932*H932</f>
        <v>37687.5</v>
      </c>
      <c r="L932" s="411" t="n">
        <v>28667.96</v>
      </c>
      <c r="M932" s="392" t="n">
        <f aca="false">L932/K932</f>
        <v>0.760675555555556</v>
      </c>
      <c r="N932" s="466" t="n">
        <f aca="false">I932*M932</f>
        <v>28.5253333333333</v>
      </c>
      <c r="O932" s="461" t="n">
        <v>1005</v>
      </c>
      <c r="P932" s="462" t="n">
        <f aca="false">H932-O932</f>
        <v>0</v>
      </c>
      <c r="Q932" s="463" t="n">
        <f aca="false">O932*I932</f>
        <v>37687.5</v>
      </c>
      <c r="R932" s="48" t="n">
        <f aca="false">K932-Q932</f>
        <v>0</v>
      </c>
      <c r="S932" s="467"/>
      <c r="T932" s="2" t="s">
        <v>1711</v>
      </c>
      <c r="V932" s="464"/>
      <c r="W932" s="464"/>
      <c r="X932" s="464"/>
      <c r="Y932" s="464"/>
      <c r="Z932" s="464"/>
      <c r="AA932" s="464"/>
      <c r="AB932" s="464"/>
      <c r="AC932" s="464"/>
      <c r="AD932" s="464"/>
      <c r="AE932" s="464"/>
      <c r="AF932" s="464"/>
      <c r="AG932" s="464"/>
      <c r="AH932" s="465"/>
      <c r="AI932" s="464"/>
    </row>
    <row r="933" customFormat="false" ht="15" hidden="false" customHeight="true" outlineLevel="0" collapsed="false">
      <c r="A933" s="455" t="s">
        <v>1871</v>
      </c>
      <c r="C933" s="456" t="n">
        <v>45586</v>
      </c>
      <c r="D933" s="456"/>
      <c r="E933" s="57" t="n">
        <v>14017</v>
      </c>
      <c r="F933" s="323" t="s">
        <v>175</v>
      </c>
      <c r="G933" s="323" t="s">
        <v>15</v>
      </c>
      <c r="H933" s="98" t="n">
        <v>300</v>
      </c>
      <c r="I933" s="457" t="n">
        <v>22.5</v>
      </c>
      <c r="J933" s="313" t="s">
        <v>1651</v>
      </c>
      <c r="K933" s="98" t="n">
        <f aca="false">I933*H933</f>
        <v>6750</v>
      </c>
      <c r="L933" s="411" t="n">
        <v>6763.6</v>
      </c>
      <c r="M933" s="392" t="n">
        <f aca="false">L933/K933</f>
        <v>1.00201481481482</v>
      </c>
      <c r="N933" s="466" t="n">
        <f aca="false">I933*M933</f>
        <v>22.5453333333333</v>
      </c>
      <c r="O933" s="461" t="n">
        <v>300</v>
      </c>
      <c r="P933" s="462" t="n">
        <f aca="false">H933-O933</f>
        <v>0</v>
      </c>
      <c r="Q933" s="463" t="n">
        <f aca="false">O933*I933</f>
        <v>6750</v>
      </c>
      <c r="R933" s="48" t="n">
        <f aca="false">K933-Q933</f>
        <v>0</v>
      </c>
      <c r="S933" s="467"/>
      <c r="T933" s="2" t="s">
        <v>1711</v>
      </c>
      <c r="V933" s="464"/>
      <c r="W933" s="464"/>
      <c r="X933" s="464"/>
      <c r="Y933" s="464"/>
      <c r="Z933" s="464"/>
      <c r="AA933" s="464"/>
      <c r="AB933" s="464"/>
      <c r="AC933" s="464"/>
      <c r="AD933" s="464"/>
      <c r="AE933" s="464"/>
      <c r="AF933" s="464"/>
      <c r="AG933" s="464"/>
      <c r="AH933" s="465"/>
      <c r="AI933" s="464"/>
    </row>
    <row r="934" customFormat="false" ht="15" hidden="false" customHeight="true" outlineLevel="0" collapsed="false">
      <c r="A934" s="455" t="s">
        <v>1871</v>
      </c>
      <c r="C934" s="456" t="n">
        <v>45586</v>
      </c>
      <c r="D934" s="456"/>
      <c r="E934" s="57" t="n">
        <v>14017</v>
      </c>
      <c r="F934" s="323" t="s">
        <v>175</v>
      </c>
      <c r="G934" s="323" t="s">
        <v>13</v>
      </c>
      <c r="H934" s="98" t="n">
        <v>300</v>
      </c>
      <c r="I934" s="457" t="n">
        <v>22.5</v>
      </c>
      <c r="J934" s="313" t="s">
        <v>1651</v>
      </c>
      <c r="K934" s="98" t="n">
        <f aca="false">I934*H934</f>
        <v>6750</v>
      </c>
      <c r="L934" s="411" t="n">
        <v>3080</v>
      </c>
      <c r="M934" s="392" t="n">
        <f aca="false">L934/K934</f>
        <v>0.456296296296296</v>
      </c>
      <c r="N934" s="466" t="n">
        <f aca="false">I934*M934</f>
        <v>10.2666666666667</v>
      </c>
      <c r="O934" s="461" t="n">
        <v>300</v>
      </c>
      <c r="P934" s="462" t="n">
        <f aca="false">H934-O934</f>
        <v>0</v>
      </c>
      <c r="Q934" s="463" t="n">
        <f aca="false">O934*I934</f>
        <v>6750</v>
      </c>
      <c r="R934" s="48" t="n">
        <f aca="false">K934-Q934</f>
        <v>0</v>
      </c>
      <c r="S934" s="467"/>
      <c r="T934" s="2" t="s">
        <v>1711</v>
      </c>
      <c r="V934" s="464"/>
      <c r="W934" s="464"/>
      <c r="X934" s="464"/>
      <c r="Y934" s="464"/>
      <c r="Z934" s="464"/>
      <c r="AA934" s="464"/>
      <c r="AB934" s="464"/>
      <c r="AC934" s="464"/>
      <c r="AD934" s="464"/>
      <c r="AE934" s="464"/>
      <c r="AF934" s="464"/>
      <c r="AG934" s="464"/>
      <c r="AH934" s="465"/>
      <c r="AI934" s="464"/>
    </row>
    <row r="935" customFormat="false" ht="15" hidden="false" customHeight="true" outlineLevel="0" collapsed="false">
      <c r="A935" s="455" t="s">
        <v>1871</v>
      </c>
      <c r="C935" s="456" t="n">
        <v>45586</v>
      </c>
      <c r="D935" s="456"/>
      <c r="E935" s="57" t="n">
        <v>14017</v>
      </c>
      <c r="F935" s="323" t="s">
        <v>175</v>
      </c>
      <c r="G935" s="323" t="s">
        <v>21</v>
      </c>
      <c r="H935" s="98" t="n">
        <v>3350</v>
      </c>
      <c r="I935" s="457" t="n">
        <v>1</v>
      </c>
      <c r="J935" s="313" t="s">
        <v>1653</v>
      </c>
      <c r="K935" s="98" t="n">
        <f aca="false">I935*H935</f>
        <v>3350</v>
      </c>
      <c r="L935" s="411" t="n">
        <v>15912.5</v>
      </c>
      <c r="M935" s="392" t="n">
        <f aca="false">L935/K935</f>
        <v>4.75</v>
      </c>
      <c r="N935" s="466" t="n">
        <f aca="false">I935*M935</f>
        <v>4.75</v>
      </c>
      <c r="O935" s="461" t="n">
        <v>3350</v>
      </c>
      <c r="P935" s="462" t="n">
        <f aca="false">H935-O935</f>
        <v>0</v>
      </c>
      <c r="Q935" s="463" t="n">
        <f aca="false">O935*I935</f>
        <v>3350</v>
      </c>
      <c r="R935" s="48" t="n">
        <f aca="false">K935-Q935</f>
        <v>0</v>
      </c>
      <c r="S935" s="467"/>
      <c r="T935" s="2" t="s">
        <v>1711</v>
      </c>
      <c r="V935" s="464"/>
      <c r="W935" s="464"/>
      <c r="X935" s="464"/>
      <c r="Y935" s="464"/>
      <c r="Z935" s="464"/>
      <c r="AA935" s="464"/>
      <c r="AB935" s="464"/>
      <c r="AC935" s="464"/>
      <c r="AD935" s="464"/>
      <c r="AE935" s="464"/>
      <c r="AF935" s="464"/>
      <c r="AG935" s="464"/>
      <c r="AH935" s="465"/>
      <c r="AI935" s="464"/>
    </row>
    <row r="936" customFormat="false" ht="15" hidden="false" customHeight="true" outlineLevel="0" collapsed="false">
      <c r="A936" s="455" t="s">
        <v>1730</v>
      </c>
      <c r="C936" s="456" t="n">
        <v>45587</v>
      </c>
      <c r="D936" s="456"/>
      <c r="E936" s="57" t="n">
        <v>14018</v>
      </c>
      <c r="F936" s="323" t="s">
        <v>175</v>
      </c>
      <c r="G936" s="323" t="s">
        <v>7</v>
      </c>
      <c r="H936" s="98" t="n">
        <v>750</v>
      </c>
      <c r="I936" s="457" t="n">
        <v>25.71</v>
      </c>
      <c r="J936" s="313" t="s">
        <v>1651</v>
      </c>
      <c r="K936" s="98" t="n">
        <f aca="false">I936*H936</f>
        <v>19282.5</v>
      </c>
      <c r="L936" s="411" t="n">
        <v>8100</v>
      </c>
      <c r="M936" s="392" t="n">
        <f aca="false">L936/K936</f>
        <v>0.420070011668611</v>
      </c>
      <c r="N936" s="466" t="n">
        <f aca="false">I936*M936</f>
        <v>10.8</v>
      </c>
      <c r="O936" s="461" t="n">
        <v>750</v>
      </c>
      <c r="P936" s="462" t="n">
        <f aca="false">H936-O936</f>
        <v>0</v>
      </c>
      <c r="Q936" s="463" t="n">
        <f aca="false">O936*I936</f>
        <v>19282.5</v>
      </c>
      <c r="R936" s="48" t="n">
        <f aca="false">K936-Q936</f>
        <v>0</v>
      </c>
      <c r="S936" s="467"/>
      <c r="T936" s="2" t="s">
        <v>1711</v>
      </c>
      <c r="V936" s="464"/>
      <c r="W936" s="464"/>
      <c r="X936" s="464"/>
      <c r="Y936" s="464"/>
      <c r="Z936" s="464"/>
      <c r="AA936" s="464"/>
      <c r="AB936" s="464"/>
      <c r="AC936" s="464"/>
      <c r="AD936" s="464"/>
      <c r="AE936" s="464"/>
      <c r="AF936" s="464"/>
      <c r="AG936" s="464"/>
      <c r="AH936" s="465"/>
      <c r="AI936" s="464"/>
    </row>
    <row r="937" customFormat="false" ht="15" hidden="false" customHeight="true" outlineLevel="0" collapsed="false">
      <c r="A937" s="455" t="s">
        <v>1730</v>
      </c>
      <c r="C937" s="456" t="n">
        <v>45587</v>
      </c>
      <c r="D937" s="456"/>
      <c r="E937" s="57" t="n">
        <v>14018</v>
      </c>
      <c r="F937" s="323" t="s">
        <v>175</v>
      </c>
      <c r="G937" s="323" t="s">
        <v>5</v>
      </c>
      <c r="H937" s="98" t="n">
        <v>450</v>
      </c>
      <c r="I937" s="457" t="n">
        <v>25.71</v>
      </c>
      <c r="J937" s="313" t="s">
        <v>1651</v>
      </c>
      <c r="K937" s="98" t="n">
        <f aca="false">I937*H937</f>
        <v>11569.5</v>
      </c>
      <c r="L937" s="411" t="n">
        <v>4729.5</v>
      </c>
      <c r="M937" s="392" t="n">
        <f aca="false">L937/K937</f>
        <v>0.40879035394788</v>
      </c>
      <c r="N937" s="466" t="n">
        <f aca="false">I937*M937</f>
        <v>10.51</v>
      </c>
      <c r="O937" s="461" t="n">
        <v>450</v>
      </c>
      <c r="P937" s="462" t="n">
        <f aca="false">H937-O937</f>
        <v>0</v>
      </c>
      <c r="Q937" s="463" t="n">
        <f aca="false">O937*I937</f>
        <v>11569.5</v>
      </c>
      <c r="R937" s="48" t="n">
        <f aca="false">K937-Q937</f>
        <v>0</v>
      </c>
      <c r="S937" s="467"/>
      <c r="T937" s="2" t="s">
        <v>1711</v>
      </c>
      <c r="V937" s="464"/>
      <c r="W937" s="464"/>
      <c r="X937" s="464"/>
      <c r="Y937" s="464"/>
      <c r="Z937" s="464"/>
      <c r="AA937" s="464"/>
      <c r="AB937" s="464"/>
      <c r="AC937" s="464"/>
      <c r="AD937" s="464"/>
      <c r="AE937" s="464"/>
      <c r="AF937" s="464"/>
      <c r="AG937" s="464"/>
      <c r="AH937" s="465"/>
      <c r="AI937" s="464"/>
    </row>
    <row r="938" customFormat="false" ht="15" hidden="false" customHeight="true" outlineLevel="0" collapsed="false">
      <c r="A938" s="455" t="s">
        <v>1730</v>
      </c>
      <c r="C938" s="456" t="n">
        <v>45587</v>
      </c>
      <c r="D938" s="456"/>
      <c r="E938" s="57" t="n">
        <v>14018</v>
      </c>
      <c r="F938" s="323" t="s">
        <v>175</v>
      </c>
      <c r="G938" s="323" t="s">
        <v>42</v>
      </c>
      <c r="H938" s="98" t="n">
        <v>1820</v>
      </c>
      <c r="I938" s="457" t="n">
        <v>30</v>
      </c>
      <c r="J938" s="313" t="s">
        <v>1651</v>
      </c>
      <c r="K938" s="98" t="n">
        <f aca="false">I938*H938</f>
        <v>54600</v>
      </c>
      <c r="L938" s="411" t="n">
        <v>24861.2</v>
      </c>
      <c r="M938" s="392" t="n">
        <f aca="false">L938/K938</f>
        <v>0.455333333333333</v>
      </c>
      <c r="N938" s="466" t="n">
        <f aca="false">I938*M938</f>
        <v>13.66</v>
      </c>
      <c r="O938" s="461" t="n">
        <v>1820</v>
      </c>
      <c r="P938" s="462" t="n">
        <f aca="false">H938-O938</f>
        <v>0</v>
      </c>
      <c r="Q938" s="463" t="n">
        <f aca="false">O938*I938</f>
        <v>54600</v>
      </c>
      <c r="R938" s="48" t="n">
        <f aca="false">K938-Q938</f>
        <v>0</v>
      </c>
      <c r="S938" s="467"/>
      <c r="T938" s="2" t="s">
        <v>1711</v>
      </c>
      <c r="V938" s="464"/>
      <c r="W938" s="464"/>
      <c r="X938" s="464"/>
      <c r="Y938" s="464"/>
      <c r="Z938" s="464"/>
      <c r="AA938" s="464"/>
      <c r="AB938" s="464"/>
      <c r="AC938" s="464"/>
      <c r="AD938" s="464"/>
      <c r="AE938" s="464"/>
      <c r="AF938" s="464"/>
      <c r="AG938" s="464"/>
      <c r="AH938" s="465"/>
      <c r="AI938" s="464"/>
    </row>
    <row r="939" customFormat="false" ht="15" hidden="false" customHeight="true" outlineLevel="0" collapsed="false">
      <c r="A939" s="455" t="s">
        <v>1730</v>
      </c>
      <c r="C939" s="456" t="n">
        <v>45587</v>
      </c>
      <c r="D939" s="456"/>
      <c r="E939" s="57" t="n">
        <v>14018</v>
      </c>
      <c r="F939" s="323" t="s">
        <v>175</v>
      </c>
      <c r="G939" s="323" t="s">
        <v>13</v>
      </c>
      <c r="H939" s="98" t="n">
        <v>600</v>
      </c>
      <c r="I939" s="457" t="n">
        <v>22.5</v>
      </c>
      <c r="J939" s="313" t="s">
        <v>1651</v>
      </c>
      <c r="K939" s="98" t="n">
        <f aca="false">I939*H939</f>
        <v>13500</v>
      </c>
      <c r="L939" s="411" t="n">
        <v>6306</v>
      </c>
      <c r="M939" s="392" t="n">
        <f aca="false">L939/K939</f>
        <v>0.467111111111111</v>
      </c>
      <c r="N939" s="466" t="n">
        <f aca="false">I939*M939</f>
        <v>10.51</v>
      </c>
      <c r="O939" s="461" t="n">
        <v>600</v>
      </c>
      <c r="P939" s="462" t="n">
        <f aca="false">H939-O939</f>
        <v>0</v>
      </c>
      <c r="Q939" s="463" t="n">
        <f aca="false">O939*I939</f>
        <v>13500</v>
      </c>
      <c r="R939" s="48" t="n">
        <f aca="false">K939-Q939</f>
        <v>0</v>
      </c>
      <c r="S939" s="467"/>
      <c r="T939" s="2" t="s">
        <v>1711</v>
      </c>
      <c r="V939" s="464"/>
      <c r="W939" s="464"/>
      <c r="X939" s="464"/>
      <c r="Y939" s="464"/>
      <c r="Z939" s="464"/>
      <c r="AA939" s="464"/>
      <c r="AB939" s="464"/>
      <c r="AC939" s="464"/>
      <c r="AD939" s="464"/>
      <c r="AE939" s="464"/>
      <c r="AF939" s="464"/>
      <c r="AG939" s="464"/>
      <c r="AH939" s="465"/>
      <c r="AI939" s="464"/>
    </row>
    <row r="940" customFormat="false" ht="15" hidden="false" customHeight="true" outlineLevel="0" collapsed="false">
      <c r="A940" s="455" t="s">
        <v>1730</v>
      </c>
      <c r="C940" s="456" t="n">
        <v>45587</v>
      </c>
      <c r="D940" s="456"/>
      <c r="E940" s="57" t="n">
        <v>14018</v>
      </c>
      <c r="F940" s="323" t="s">
        <v>175</v>
      </c>
      <c r="G940" s="323" t="s">
        <v>11</v>
      </c>
      <c r="H940" s="98" t="n">
        <v>450</v>
      </c>
      <c r="I940" s="457" t="n">
        <v>14</v>
      </c>
      <c r="J940" s="313" t="s">
        <v>1651</v>
      </c>
      <c r="K940" s="98" t="n">
        <f aca="false">I940*H940</f>
        <v>6300</v>
      </c>
      <c r="L940" s="411" t="n">
        <v>30600</v>
      </c>
      <c r="M940" s="392" t="n">
        <f aca="false">L940/K940</f>
        <v>4.85714285714286</v>
      </c>
      <c r="N940" s="466" t="n">
        <f aca="false">I940*M940</f>
        <v>68</v>
      </c>
      <c r="O940" s="461" t="n">
        <v>450</v>
      </c>
      <c r="P940" s="462" t="n">
        <f aca="false">H940-O940</f>
        <v>0</v>
      </c>
      <c r="Q940" s="463" t="n">
        <f aca="false">O940*I940</f>
        <v>6300</v>
      </c>
      <c r="R940" s="48" t="n">
        <f aca="false">K940-Q940</f>
        <v>0</v>
      </c>
      <c r="S940" s="467"/>
      <c r="T940" s="2" t="s">
        <v>1711</v>
      </c>
      <c r="V940" s="464"/>
      <c r="W940" s="464"/>
      <c r="X940" s="464"/>
      <c r="Y940" s="464"/>
      <c r="Z940" s="464"/>
      <c r="AA940" s="464"/>
      <c r="AB940" s="464"/>
      <c r="AC940" s="464"/>
      <c r="AD940" s="464"/>
      <c r="AE940" s="464"/>
      <c r="AF940" s="464"/>
      <c r="AG940" s="464"/>
      <c r="AH940" s="465"/>
      <c r="AI940" s="464"/>
    </row>
    <row r="941" customFormat="false" ht="15" hidden="false" customHeight="true" outlineLevel="0" collapsed="false">
      <c r="A941" s="455" t="s">
        <v>1730</v>
      </c>
      <c r="C941" s="456" t="n">
        <v>45587</v>
      </c>
      <c r="D941" s="456"/>
      <c r="E941" s="57" t="n">
        <v>14018</v>
      </c>
      <c r="F941" s="323" t="s">
        <v>175</v>
      </c>
      <c r="G941" s="323" t="s">
        <v>17</v>
      </c>
      <c r="H941" s="98" t="n">
        <v>470</v>
      </c>
      <c r="I941" s="457" t="n">
        <v>22.5</v>
      </c>
      <c r="J941" s="313" t="s">
        <v>1651</v>
      </c>
      <c r="K941" s="98" t="n">
        <f aca="false">I941*H941</f>
        <v>10575</v>
      </c>
      <c r="L941" s="411" t="n">
        <v>5118.3</v>
      </c>
      <c r="M941" s="392" t="n">
        <f aca="false">L941/K941</f>
        <v>0.484</v>
      </c>
      <c r="N941" s="466" t="n">
        <f aca="false">I941*M941</f>
        <v>10.89</v>
      </c>
      <c r="O941" s="461" t="n">
        <v>470</v>
      </c>
      <c r="P941" s="462" t="n">
        <f aca="false">H941-O941</f>
        <v>0</v>
      </c>
      <c r="Q941" s="463" t="n">
        <f aca="false">O941*I941</f>
        <v>10575</v>
      </c>
      <c r="R941" s="48" t="n">
        <f aca="false">K941-Q941</f>
        <v>0</v>
      </c>
      <c r="S941" s="467"/>
      <c r="T941" s="2" t="s">
        <v>1711</v>
      </c>
      <c r="V941" s="464"/>
      <c r="W941" s="464"/>
      <c r="X941" s="464"/>
      <c r="Y941" s="464"/>
      <c r="Z941" s="464"/>
      <c r="AA941" s="464"/>
      <c r="AB941" s="464"/>
      <c r="AC941" s="464"/>
      <c r="AD941" s="464"/>
      <c r="AE941" s="464"/>
      <c r="AF941" s="464"/>
      <c r="AG941" s="464"/>
      <c r="AH941" s="465"/>
      <c r="AI941" s="464"/>
    </row>
    <row r="942" customFormat="false" ht="15" hidden="false" customHeight="true" outlineLevel="0" collapsed="false">
      <c r="A942" s="455" t="s">
        <v>1905</v>
      </c>
      <c r="C942" s="456" t="n">
        <v>45587</v>
      </c>
      <c r="D942" s="456"/>
      <c r="E942" s="57" t="n">
        <v>14019</v>
      </c>
      <c r="F942" s="323" t="s">
        <v>175</v>
      </c>
      <c r="G942" s="323" t="s">
        <v>15</v>
      </c>
      <c r="H942" s="98" t="n">
        <v>30</v>
      </c>
      <c r="I942" s="457" t="n">
        <v>37.5</v>
      </c>
      <c r="J942" s="313" t="s">
        <v>1652</v>
      </c>
      <c r="K942" s="98" t="n">
        <f aca="false">I942*H942</f>
        <v>1125</v>
      </c>
      <c r="L942" s="411" t="n">
        <v>1090.56</v>
      </c>
      <c r="M942" s="392" t="n">
        <f aca="false">L942/K942</f>
        <v>0.969386666666667</v>
      </c>
      <c r="N942" s="466" t="n">
        <f aca="false">I942*M942</f>
        <v>36.352</v>
      </c>
      <c r="O942" s="461" t="n">
        <v>30</v>
      </c>
      <c r="P942" s="462" t="n">
        <f aca="false">H942-O942</f>
        <v>0</v>
      </c>
      <c r="Q942" s="463" t="n">
        <f aca="false">O942*I942</f>
        <v>1125</v>
      </c>
      <c r="R942" s="48" t="n">
        <f aca="false">K942-Q942</f>
        <v>0</v>
      </c>
      <c r="S942" s="467"/>
      <c r="T942" s="2" t="s">
        <v>1711</v>
      </c>
      <c r="V942" s="464"/>
      <c r="W942" s="464"/>
      <c r="X942" s="464"/>
      <c r="Y942" s="464"/>
      <c r="Z942" s="464"/>
      <c r="AA942" s="464"/>
      <c r="AB942" s="464"/>
      <c r="AC942" s="464"/>
      <c r="AD942" s="464"/>
      <c r="AE942" s="464"/>
      <c r="AF942" s="464"/>
      <c r="AG942" s="464"/>
      <c r="AH942" s="465"/>
      <c r="AI942" s="464"/>
    </row>
    <row r="943" customFormat="false" ht="15" hidden="false" customHeight="true" outlineLevel="0" collapsed="false">
      <c r="A943" s="455" t="s">
        <v>1905</v>
      </c>
      <c r="C943" s="456" t="n">
        <v>45587</v>
      </c>
      <c r="D943" s="456"/>
      <c r="E943" s="57" t="n">
        <v>14020</v>
      </c>
      <c r="F943" s="323" t="s">
        <v>175</v>
      </c>
      <c r="G943" s="323" t="s">
        <v>15</v>
      </c>
      <c r="H943" s="98" t="n">
        <v>60</v>
      </c>
      <c r="I943" s="457" t="n">
        <v>37.5</v>
      </c>
      <c r="J943" s="313" t="s">
        <v>1652</v>
      </c>
      <c r="K943" s="98" t="n">
        <f aca="false">I943*H943</f>
        <v>2250</v>
      </c>
      <c r="L943" s="411" t="n">
        <v>2181.12</v>
      </c>
      <c r="M943" s="392" t="n">
        <f aca="false">L943/K943</f>
        <v>0.969386666666667</v>
      </c>
      <c r="N943" s="466" t="n">
        <f aca="false">I943*M943</f>
        <v>36.352</v>
      </c>
      <c r="O943" s="461" t="n">
        <v>60</v>
      </c>
      <c r="P943" s="462" t="n">
        <f aca="false">H943-O943</f>
        <v>0</v>
      </c>
      <c r="Q943" s="463" t="n">
        <f aca="false">O943*I943</f>
        <v>2250</v>
      </c>
      <c r="R943" s="48" t="n">
        <f aca="false">K943-Q943</f>
        <v>0</v>
      </c>
      <c r="S943" s="467"/>
      <c r="T943" s="2" t="s">
        <v>1711</v>
      </c>
      <c r="V943" s="464"/>
      <c r="W943" s="464"/>
      <c r="X943" s="464"/>
      <c r="Y943" s="464"/>
      <c r="Z943" s="464"/>
      <c r="AA943" s="464"/>
      <c r="AB943" s="464"/>
      <c r="AC943" s="464"/>
      <c r="AD943" s="464"/>
      <c r="AE943" s="464"/>
      <c r="AF943" s="464"/>
      <c r="AG943" s="464"/>
      <c r="AH943" s="465"/>
      <c r="AI943" s="464"/>
    </row>
    <row r="944" customFormat="false" ht="15" hidden="false" customHeight="true" outlineLevel="0" collapsed="false">
      <c r="A944" s="455" t="s">
        <v>1905</v>
      </c>
      <c r="C944" s="456" t="n">
        <v>45587</v>
      </c>
      <c r="D944" s="456"/>
      <c r="E944" s="57" t="n">
        <v>14021</v>
      </c>
      <c r="F944" s="323" t="s">
        <v>175</v>
      </c>
      <c r="G944" s="323" t="s">
        <v>15</v>
      </c>
      <c r="H944" s="98" t="n">
        <v>30</v>
      </c>
      <c r="I944" s="457" t="n">
        <v>37.5</v>
      </c>
      <c r="J944" s="313" t="s">
        <v>1652</v>
      </c>
      <c r="K944" s="98" t="n">
        <f aca="false">I944*H944</f>
        <v>1125</v>
      </c>
      <c r="L944" s="411" t="n">
        <v>1090.56</v>
      </c>
      <c r="M944" s="392" t="n">
        <f aca="false">L944/K944</f>
        <v>0.969386666666667</v>
      </c>
      <c r="N944" s="466" t="n">
        <f aca="false">I944*M944</f>
        <v>36.352</v>
      </c>
      <c r="O944" s="461" t="n">
        <v>30</v>
      </c>
      <c r="P944" s="462" t="n">
        <f aca="false">H944-O944</f>
        <v>0</v>
      </c>
      <c r="Q944" s="463" t="n">
        <f aca="false">O944*I944</f>
        <v>1125</v>
      </c>
      <c r="R944" s="48" t="n">
        <f aca="false">K944-Q944</f>
        <v>0</v>
      </c>
      <c r="S944" s="467"/>
      <c r="T944" s="2" t="s">
        <v>1711</v>
      </c>
      <c r="V944" s="464"/>
      <c r="W944" s="464"/>
      <c r="X944" s="464"/>
      <c r="Y944" s="464"/>
      <c r="Z944" s="464"/>
      <c r="AA944" s="464"/>
      <c r="AB944" s="464"/>
      <c r="AC944" s="464"/>
      <c r="AD944" s="464"/>
      <c r="AE944" s="464"/>
      <c r="AF944" s="464"/>
      <c r="AG944" s="464"/>
      <c r="AH944" s="465"/>
      <c r="AI944" s="464"/>
    </row>
    <row r="945" customFormat="false" ht="15" hidden="false" customHeight="true" outlineLevel="0" collapsed="false">
      <c r="A945" s="455" t="s">
        <v>1905</v>
      </c>
      <c r="C945" s="456" t="n">
        <v>45587</v>
      </c>
      <c r="D945" s="456"/>
      <c r="E945" s="57" t="n">
        <v>14022</v>
      </c>
      <c r="F945" s="323" t="s">
        <v>175</v>
      </c>
      <c r="G945" s="323" t="s">
        <v>15</v>
      </c>
      <c r="H945" s="98" t="n">
        <v>30</v>
      </c>
      <c r="I945" s="457" t="n">
        <v>37.5</v>
      </c>
      <c r="J945" s="313" t="s">
        <v>1652</v>
      </c>
      <c r="K945" s="98" t="n">
        <f aca="false">I945*H945</f>
        <v>1125</v>
      </c>
      <c r="L945" s="411" t="n">
        <v>1090.56</v>
      </c>
      <c r="M945" s="392" t="n">
        <f aca="false">L945/K945</f>
        <v>0.969386666666667</v>
      </c>
      <c r="N945" s="466" t="n">
        <f aca="false">I945*M945</f>
        <v>36.352</v>
      </c>
      <c r="O945" s="461" t="n">
        <v>30</v>
      </c>
      <c r="P945" s="462" t="n">
        <f aca="false">H945-O945</f>
        <v>0</v>
      </c>
      <c r="Q945" s="463" t="n">
        <f aca="false">O945*I945</f>
        <v>1125</v>
      </c>
      <c r="R945" s="48" t="n">
        <f aca="false">K945-Q945</f>
        <v>0</v>
      </c>
      <c r="S945" s="467"/>
      <c r="T945" s="2" t="s">
        <v>1711</v>
      </c>
      <c r="V945" s="464"/>
      <c r="W945" s="464"/>
      <c r="X945" s="464"/>
      <c r="Y945" s="464"/>
      <c r="Z945" s="464"/>
      <c r="AA945" s="464"/>
      <c r="AB945" s="464"/>
      <c r="AC945" s="464"/>
      <c r="AD945" s="464"/>
      <c r="AE945" s="464"/>
      <c r="AF945" s="464"/>
      <c r="AG945" s="464"/>
      <c r="AH945" s="465"/>
      <c r="AI945" s="464"/>
    </row>
    <row r="946" customFormat="false" ht="15" hidden="false" customHeight="true" outlineLevel="0" collapsed="false">
      <c r="A946" s="455" t="s">
        <v>1905</v>
      </c>
      <c r="C946" s="456" t="n">
        <v>45587</v>
      </c>
      <c r="D946" s="456"/>
      <c r="E946" s="57" t="n">
        <v>14023</v>
      </c>
      <c r="F946" s="323" t="s">
        <v>175</v>
      </c>
      <c r="G946" s="323" t="s">
        <v>15</v>
      </c>
      <c r="H946" s="98" t="n">
        <v>30</v>
      </c>
      <c r="I946" s="457" t="n">
        <v>37.5</v>
      </c>
      <c r="J946" s="313" t="s">
        <v>1652</v>
      </c>
      <c r="K946" s="98" t="n">
        <f aca="false">I946*H946</f>
        <v>1125</v>
      </c>
      <c r="L946" s="411" t="n">
        <v>1090.56</v>
      </c>
      <c r="M946" s="392" t="n">
        <f aca="false">L946/K946</f>
        <v>0.969386666666667</v>
      </c>
      <c r="N946" s="466" t="n">
        <f aca="false">I946*M946</f>
        <v>36.352</v>
      </c>
      <c r="O946" s="461" t="n">
        <v>30</v>
      </c>
      <c r="P946" s="462" t="n">
        <f aca="false">H946-O946</f>
        <v>0</v>
      </c>
      <c r="Q946" s="463" t="n">
        <f aca="false">O946*I946</f>
        <v>1125</v>
      </c>
      <c r="R946" s="48" t="n">
        <f aca="false">K946-Q946</f>
        <v>0</v>
      </c>
      <c r="S946" s="467"/>
      <c r="T946" s="2" t="s">
        <v>1711</v>
      </c>
      <c r="V946" s="464"/>
      <c r="W946" s="464"/>
      <c r="X946" s="464"/>
      <c r="Y946" s="464"/>
      <c r="Z946" s="464"/>
      <c r="AA946" s="464"/>
      <c r="AB946" s="464"/>
      <c r="AC946" s="464"/>
      <c r="AD946" s="464"/>
      <c r="AE946" s="464"/>
      <c r="AF946" s="464"/>
      <c r="AG946" s="464"/>
      <c r="AH946" s="465"/>
      <c r="AI946" s="464"/>
    </row>
    <row r="947" customFormat="false" ht="15" hidden="false" customHeight="true" outlineLevel="0" collapsed="false">
      <c r="A947" s="455" t="s">
        <v>1905</v>
      </c>
      <c r="C947" s="456" t="n">
        <v>45587</v>
      </c>
      <c r="D947" s="456"/>
      <c r="E947" s="57" t="n">
        <v>14024</v>
      </c>
      <c r="F947" s="323" t="s">
        <v>175</v>
      </c>
      <c r="G947" s="323" t="s">
        <v>15</v>
      </c>
      <c r="H947" s="98" t="n">
        <v>30</v>
      </c>
      <c r="I947" s="457" t="n">
        <v>37.5</v>
      </c>
      <c r="J947" s="313" t="s">
        <v>1652</v>
      </c>
      <c r="K947" s="98" t="n">
        <f aca="false">I947*H947</f>
        <v>1125</v>
      </c>
      <c r="L947" s="411" t="n">
        <v>1090.56</v>
      </c>
      <c r="M947" s="392" t="n">
        <f aca="false">L947/K947</f>
        <v>0.969386666666667</v>
      </c>
      <c r="N947" s="466" t="n">
        <f aca="false">I947*M947</f>
        <v>36.352</v>
      </c>
      <c r="O947" s="461" t="n">
        <v>30</v>
      </c>
      <c r="P947" s="462" t="n">
        <f aca="false">H947-O947</f>
        <v>0</v>
      </c>
      <c r="Q947" s="463" t="n">
        <f aca="false">O947*I947</f>
        <v>1125</v>
      </c>
      <c r="R947" s="48" t="n">
        <f aca="false">K947-Q947</f>
        <v>0</v>
      </c>
      <c r="S947" s="467"/>
      <c r="T947" s="2" t="s">
        <v>1711</v>
      </c>
      <c r="V947" s="464"/>
      <c r="W947" s="464"/>
      <c r="X947" s="464"/>
      <c r="Y947" s="464"/>
      <c r="Z947" s="464"/>
      <c r="AA947" s="464"/>
      <c r="AB947" s="464"/>
      <c r="AC947" s="464"/>
      <c r="AD947" s="464"/>
      <c r="AE947" s="464"/>
      <c r="AF947" s="464"/>
      <c r="AG947" s="464"/>
      <c r="AH947" s="465"/>
      <c r="AI947" s="464"/>
    </row>
    <row r="948" customFormat="false" ht="15" hidden="false" customHeight="true" outlineLevel="0" collapsed="false">
      <c r="A948" s="455" t="s">
        <v>1905</v>
      </c>
      <c r="C948" s="456" t="n">
        <v>45587</v>
      </c>
      <c r="D948" s="456"/>
      <c r="E948" s="57" t="n">
        <v>14025</v>
      </c>
      <c r="F948" s="323" t="s">
        <v>175</v>
      </c>
      <c r="G948" s="323" t="s">
        <v>15</v>
      </c>
      <c r="H948" s="98" t="n">
        <v>15</v>
      </c>
      <c r="I948" s="457" t="n">
        <v>37.5</v>
      </c>
      <c r="J948" s="313" t="s">
        <v>1652</v>
      </c>
      <c r="K948" s="98" t="n">
        <f aca="false">I948*H948</f>
        <v>562.5</v>
      </c>
      <c r="L948" s="411" t="n">
        <v>538.86</v>
      </c>
      <c r="M948" s="392" t="n">
        <f aca="false">L948/K948</f>
        <v>0.957973333333333</v>
      </c>
      <c r="N948" s="466" t="n">
        <f aca="false">I948*M948</f>
        <v>35.924</v>
      </c>
      <c r="O948" s="461" t="n">
        <v>15</v>
      </c>
      <c r="P948" s="462" t="n">
        <f aca="false">H948-O948</f>
        <v>0</v>
      </c>
      <c r="Q948" s="463" t="n">
        <f aca="false">O948*I948</f>
        <v>562.5</v>
      </c>
      <c r="R948" s="48" t="n">
        <f aca="false">K948-Q948</f>
        <v>0</v>
      </c>
      <c r="S948" s="467"/>
      <c r="T948" s="2" t="s">
        <v>1711</v>
      </c>
      <c r="V948" s="464"/>
      <c r="W948" s="464"/>
      <c r="X948" s="464"/>
      <c r="Y948" s="464"/>
      <c r="Z948" s="464"/>
      <c r="AA948" s="464"/>
      <c r="AB948" s="464"/>
      <c r="AC948" s="464"/>
      <c r="AD948" s="464"/>
      <c r="AE948" s="464"/>
      <c r="AF948" s="464"/>
      <c r="AG948" s="464"/>
      <c r="AH948" s="465"/>
      <c r="AI948" s="464"/>
    </row>
    <row r="949" customFormat="false" ht="15" hidden="false" customHeight="true" outlineLevel="0" collapsed="false">
      <c r="A949" s="455" t="s">
        <v>1905</v>
      </c>
      <c r="C949" s="456" t="n">
        <v>45587</v>
      </c>
      <c r="D949" s="456"/>
      <c r="E949" s="57" t="n">
        <v>14026</v>
      </c>
      <c r="F949" s="323" t="s">
        <v>175</v>
      </c>
      <c r="G949" s="323" t="s">
        <v>15</v>
      </c>
      <c r="H949" s="98" t="n">
        <v>60</v>
      </c>
      <c r="I949" s="457" t="n">
        <v>37.5</v>
      </c>
      <c r="J949" s="313" t="s">
        <v>1652</v>
      </c>
      <c r="K949" s="98" t="n">
        <f aca="false">I949*H949</f>
        <v>2250</v>
      </c>
      <c r="L949" s="411" t="n">
        <v>2153.6</v>
      </c>
      <c r="M949" s="392" t="n">
        <f aca="false">L949/K949</f>
        <v>0.957155555555556</v>
      </c>
      <c r="N949" s="466" t="n">
        <f aca="false">I949*M949</f>
        <v>35.8933333333333</v>
      </c>
      <c r="O949" s="461" t="n">
        <v>60</v>
      </c>
      <c r="P949" s="462" t="n">
        <f aca="false">H949-O949</f>
        <v>0</v>
      </c>
      <c r="Q949" s="463" t="n">
        <f aca="false">O949*I949</f>
        <v>2250</v>
      </c>
      <c r="R949" s="48" t="n">
        <f aca="false">K949-Q949</f>
        <v>0</v>
      </c>
      <c r="S949" s="467"/>
      <c r="T949" s="2" t="s">
        <v>1711</v>
      </c>
      <c r="V949" s="464"/>
      <c r="W949" s="464"/>
      <c r="X949" s="464"/>
      <c r="Y949" s="464"/>
      <c r="Z949" s="464"/>
      <c r="AA949" s="464"/>
      <c r="AB949" s="464"/>
      <c r="AC949" s="464"/>
      <c r="AD949" s="464"/>
      <c r="AE949" s="464"/>
      <c r="AF949" s="464"/>
      <c r="AG949" s="464"/>
      <c r="AH949" s="465"/>
      <c r="AI949" s="464"/>
    </row>
    <row r="950" customFormat="false" ht="15" hidden="false" customHeight="true" outlineLevel="0" collapsed="false">
      <c r="A950" s="455" t="s">
        <v>1906</v>
      </c>
      <c r="C950" s="456" t="n">
        <v>45587</v>
      </c>
      <c r="D950" s="456"/>
      <c r="E950" s="57" t="n">
        <v>14027</v>
      </c>
      <c r="F950" s="323" t="s">
        <v>175</v>
      </c>
      <c r="G950" s="323" t="s">
        <v>11</v>
      </c>
      <c r="H950" s="98" t="n">
        <v>150</v>
      </c>
      <c r="I950" s="457" t="n">
        <v>14</v>
      </c>
      <c r="J950" s="313" t="s">
        <v>1651</v>
      </c>
      <c r="K950" s="98" t="n">
        <f aca="false">I950*H950</f>
        <v>2100</v>
      </c>
      <c r="L950" s="411" t="n">
        <v>11250</v>
      </c>
      <c r="M950" s="392" t="n">
        <f aca="false">L950/K950</f>
        <v>5.35714285714286</v>
      </c>
      <c r="N950" s="466" t="n">
        <f aca="false">I950*M950</f>
        <v>75</v>
      </c>
      <c r="O950" s="461" t="n">
        <v>150</v>
      </c>
      <c r="P950" s="462" t="n">
        <f aca="false">H950-O950</f>
        <v>0</v>
      </c>
      <c r="Q950" s="463" t="n">
        <f aca="false">O950*I950</f>
        <v>2100</v>
      </c>
      <c r="R950" s="48" t="n">
        <f aca="false">K950-Q950</f>
        <v>0</v>
      </c>
      <c r="S950" s="467"/>
      <c r="T950" s="2" t="s">
        <v>1711</v>
      </c>
      <c r="V950" s="464"/>
      <c r="W950" s="464"/>
      <c r="X950" s="464"/>
      <c r="Y950" s="464"/>
      <c r="Z950" s="464"/>
      <c r="AA950" s="464"/>
      <c r="AB950" s="464"/>
      <c r="AC950" s="464"/>
      <c r="AD950" s="464"/>
      <c r="AE950" s="464"/>
      <c r="AF950" s="464"/>
      <c r="AG950" s="464"/>
      <c r="AH950" s="465"/>
      <c r="AI950" s="464"/>
    </row>
    <row r="951" customFormat="false" ht="15" hidden="false" customHeight="true" outlineLevel="0" collapsed="false">
      <c r="A951" s="455" t="s">
        <v>1906</v>
      </c>
      <c r="C951" s="456" t="n">
        <v>45587</v>
      </c>
      <c r="D951" s="456"/>
      <c r="E951" s="57" t="n">
        <v>14027</v>
      </c>
      <c r="F951" s="323" t="s">
        <v>175</v>
      </c>
      <c r="G951" s="323" t="s">
        <v>17</v>
      </c>
      <c r="H951" s="98" t="n">
        <v>20010</v>
      </c>
      <c r="I951" s="457" t="n">
        <v>22.5</v>
      </c>
      <c r="J951" s="313" t="s">
        <v>1651</v>
      </c>
      <c r="K951" s="98" t="n">
        <f aca="false">I951*H951</f>
        <v>450225</v>
      </c>
      <c r="L951" s="411" t="n">
        <v>300150</v>
      </c>
      <c r="M951" s="392" t="n">
        <f aca="false">L951/K951</f>
        <v>0.666666666666667</v>
      </c>
      <c r="N951" s="466" t="n">
        <f aca="false">I951*M951</f>
        <v>15</v>
      </c>
      <c r="O951" s="461" t="n">
        <v>20010</v>
      </c>
      <c r="P951" s="462" t="n">
        <f aca="false">H951-O951</f>
        <v>0</v>
      </c>
      <c r="Q951" s="463" t="n">
        <f aca="false">O951*I951</f>
        <v>450225</v>
      </c>
      <c r="R951" s="48" t="n">
        <f aca="false">K951-Q951</f>
        <v>0</v>
      </c>
      <c r="S951" s="467"/>
      <c r="T951" s="2" t="s">
        <v>1711</v>
      </c>
      <c r="V951" s="464"/>
      <c r="W951" s="464"/>
      <c r="X951" s="464"/>
      <c r="Y951" s="464"/>
      <c r="Z951" s="464"/>
      <c r="AA951" s="464"/>
      <c r="AB951" s="464"/>
      <c r="AC951" s="464"/>
      <c r="AD951" s="464"/>
      <c r="AE951" s="464"/>
      <c r="AF951" s="464"/>
      <c r="AG951" s="464"/>
      <c r="AH951" s="465"/>
      <c r="AI951" s="464"/>
    </row>
    <row r="952" customFormat="false" ht="15" hidden="false" customHeight="true" outlineLevel="0" collapsed="false">
      <c r="A952" s="455" t="s">
        <v>1905</v>
      </c>
      <c r="C952" s="456" t="n">
        <v>45587</v>
      </c>
      <c r="D952" s="456"/>
      <c r="E952" s="57" t="n">
        <v>14028</v>
      </c>
      <c r="F952" s="323" t="s">
        <v>175</v>
      </c>
      <c r="G952" s="323" t="s">
        <v>15</v>
      </c>
      <c r="H952" s="98" t="n">
        <v>30</v>
      </c>
      <c r="I952" s="457" t="n">
        <v>37.5</v>
      </c>
      <c r="J952" s="313" t="s">
        <v>1652</v>
      </c>
      <c r="K952" s="98" t="n">
        <f aca="false">I952*H952</f>
        <v>1125</v>
      </c>
      <c r="L952" s="411" t="n">
        <v>1090.56</v>
      </c>
      <c r="M952" s="392" t="n">
        <f aca="false">L952/K952</f>
        <v>0.969386666666667</v>
      </c>
      <c r="N952" s="466" t="n">
        <f aca="false">I952*M952</f>
        <v>36.352</v>
      </c>
      <c r="O952" s="461" t="n">
        <v>30</v>
      </c>
      <c r="P952" s="462" t="n">
        <f aca="false">H952-O952</f>
        <v>0</v>
      </c>
      <c r="Q952" s="463" t="n">
        <f aca="false">O952*I952</f>
        <v>1125</v>
      </c>
      <c r="R952" s="48" t="n">
        <f aca="false">K952-Q952</f>
        <v>0</v>
      </c>
      <c r="S952" s="467"/>
      <c r="T952" s="2" t="s">
        <v>1711</v>
      </c>
      <c r="V952" s="464"/>
      <c r="W952" s="464"/>
      <c r="X952" s="464"/>
      <c r="Y952" s="464"/>
      <c r="Z952" s="464"/>
      <c r="AA952" s="464"/>
      <c r="AB952" s="464"/>
      <c r="AC952" s="464"/>
      <c r="AD952" s="464"/>
      <c r="AE952" s="464"/>
      <c r="AF952" s="464"/>
      <c r="AG952" s="464"/>
      <c r="AH952" s="465"/>
      <c r="AI952" s="464"/>
    </row>
    <row r="953" customFormat="false" ht="15" hidden="false" customHeight="true" outlineLevel="0" collapsed="false">
      <c r="A953" s="455" t="s">
        <v>1907</v>
      </c>
      <c r="C953" s="456" t="n">
        <v>45587</v>
      </c>
      <c r="D953" s="456"/>
      <c r="E953" s="57" t="n">
        <v>14029</v>
      </c>
      <c r="F953" s="323" t="s">
        <v>175</v>
      </c>
      <c r="G953" s="323" t="s">
        <v>10</v>
      </c>
      <c r="H953" s="98" t="n">
        <v>15</v>
      </c>
      <c r="I953" s="457" t="n">
        <v>38.3</v>
      </c>
      <c r="J953" s="313" t="s">
        <v>1652</v>
      </c>
      <c r="K953" s="98" t="n">
        <f aca="false">I953*H953</f>
        <v>574.5</v>
      </c>
      <c r="L953" s="411" t="n">
        <v>209.54</v>
      </c>
      <c r="M953" s="392" t="n">
        <f aca="false">L953/K953</f>
        <v>0.36473455178416</v>
      </c>
      <c r="N953" s="466" t="n">
        <f aca="false">I953*M953</f>
        <v>13.9693333333333</v>
      </c>
      <c r="O953" s="461" t="n">
        <v>15</v>
      </c>
      <c r="P953" s="462" t="n">
        <f aca="false">H953-O953</f>
        <v>0</v>
      </c>
      <c r="Q953" s="463" t="n">
        <f aca="false">O953*I953</f>
        <v>574.5</v>
      </c>
      <c r="R953" s="48" t="n">
        <f aca="false">K953-Q953</f>
        <v>0</v>
      </c>
      <c r="S953" s="467"/>
      <c r="T953" s="2" t="s">
        <v>1711</v>
      </c>
      <c r="V953" s="464"/>
      <c r="W953" s="464"/>
      <c r="X953" s="464"/>
      <c r="Y953" s="464"/>
      <c r="Z953" s="464"/>
      <c r="AA953" s="464"/>
      <c r="AB953" s="464"/>
      <c r="AC953" s="464"/>
      <c r="AD953" s="464"/>
      <c r="AE953" s="464"/>
      <c r="AF953" s="464"/>
      <c r="AG953" s="464"/>
      <c r="AH953" s="465"/>
      <c r="AI953" s="464"/>
    </row>
    <row r="954" customFormat="false" ht="15" hidden="false" customHeight="true" outlineLevel="0" collapsed="false">
      <c r="A954" s="455" t="s">
        <v>1908</v>
      </c>
      <c r="C954" s="456" t="n">
        <v>45587</v>
      </c>
      <c r="D954" s="456"/>
      <c r="E954" s="57" t="n">
        <v>14030</v>
      </c>
      <c r="F954" s="323" t="s">
        <v>175</v>
      </c>
      <c r="G954" s="323" t="s">
        <v>42</v>
      </c>
      <c r="H954" s="98" t="n">
        <v>525</v>
      </c>
      <c r="I954" s="457" t="n">
        <v>30</v>
      </c>
      <c r="J954" s="313" t="s">
        <v>1651</v>
      </c>
      <c r="K954" s="98" t="n">
        <f aca="false">I954*H954</f>
        <v>15750</v>
      </c>
      <c r="L954" s="411" t="n">
        <v>8872.5</v>
      </c>
      <c r="M954" s="392" t="n">
        <f aca="false">L954/K954</f>
        <v>0.563333333333333</v>
      </c>
      <c r="N954" s="466" t="n">
        <f aca="false">I954*M954</f>
        <v>16.9</v>
      </c>
      <c r="O954" s="461" t="n">
        <v>525</v>
      </c>
      <c r="P954" s="462" t="n">
        <f aca="false">H954-O954</f>
        <v>0</v>
      </c>
      <c r="Q954" s="463" t="n">
        <f aca="false">O954*I954</f>
        <v>15750</v>
      </c>
      <c r="R954" s="48" t="n">
        <f aca="false">K954-Q954</f>
        <v>0</v>
      </c>
      <c r="S954" s="467"/>
      <c r="T954" s="2" t="s">
        <v>1711</v>
      </c>
      <c r="V954" s="464"/>
      <c r="W954" s="464"/>
      <c r="X954" s="464"/>
      <c r="Y954" s="464"/>
      <c r="Z954" s="464"/>
      <c r="AA954" s="464"/>
      <c r="AB954" s="464"/>
      <c r="AC954" s="464"/>
      <c r="AD954" s="464"/>
      <c r="AE954" s="464"/>
      <c r="AF954" s="464"/>
      <c r="AG954" s="464"/>
      <c r="AH954" s="465"/>
      <c r="AI954" s="464"/>
    </row>
    <row r="955" customFormat="false" ht="15" hidden="false" customHeight="true" outlineLevel="0" collapsed="false">
      <c r="A955" s="455" t="s">
        <v>1908</v>
      </c>
      <c r="C955" s="456" t="n">
        <v>45587</v>
      </c>
      <c r="D955" s="456"/>
      <c r="E955" s="57" t="n">
        <v>14030</v>
      </c>
      <c r="F955" s="323" t="s">
        <v>175</v>
      </c>
      <c r="G955" s="323" t="s">
        <v>11</v>
      </c>
      <c r="H955" s="98" t="n">
        <v>45</v>
      </c>
      <c r="I955" s="457" t="n">
        <v>14</v>
      </c>
      <c r="J955" s="313" t="s">
        <v>1651</v>
      </c>
      <c r="K955" s="98" t="n">
        <f aca="false">I955*H955</f>
        <v>630</v>
      </c>
      <c r="L955" s="411" t="n">
        <v>2880</v>
      </c>
      <c r="M955" s="392" t="n">
        <f aca="false">L955/K955</f>
        <v>4.57142857142857</v>
      </c>
      <c r="N955" s="466" t="n">
        <f aca="false">I955*M955</f>
        <v>64</v>
      </c>
      <c r="O955" s="461" t="n">
        <v>45</v>
      </c>
      <c r="P955" s="462" t="n">
        <f aca="false">H955-O955</f>
        <v>0</v>
      </c>
      <c r="Q955" s="463" t="n">
        <f aca="false">O955*I955</f>
        <v>630</v>
      </c>
      <c r="R955" s="48" t="n">
        <f aca="false">K955-Q955</f>
        <v>0</v>
      </c>
      <c r="S955" s="467"/>
      <c r="T955" s="2" t="s">
        <v>1711</v>
      </c>
      <c r="V955" s="464"/>
      <c r="W955" s="464"/>
      <c r="X955" s="464"/>
      <c r="Y955" s="464"/>
      <c r="Z955" s="464"/>
      <c r="AA955" s="464"/>
      <c r="AB955" s="464"/>
      <c r="AC955" s="464"/>
      <c r="AD955" s="464"/>
      <c r="AE955" s="464"/>
      <c r="AF955" s="464"/>
      <c r="AG955" s="464"/>
      <c r="AH955" s="465"/>
      <c r="AI955" s="464"/>
    </row>
    <row r="956" customFormat="false" ht="15" hidden="false" customHeight="true" outlineLevel="0" collapsed="false">
      <c r="A956" s="455" t="s">
        <v>1909</v>
      </c>
      <c r="C956" s="456" t="n">
        <v>45587</v>
      </c>
      <c r="D956" s="456"/>
      <c r="E956" s="57" t="n">
        <v>14031</v>
      </c>
      <c r="F956" s="323" t="s">
        <v>175</v>
      </c>
      <c r="G956" s="323" t="s">
        <v>17</v>
      </c>
      <c r="H956" s="98" t="n">
        <v>150</v>
      </c>
      <c r="I956" s="457" t="n">
        <v>22.5</v>
      </c>
      <c r="J956" s="313" t="s">
        <v>1651</v>
      </c>
      <c r="K956" s="98" t="n">
        <f aca="false">I956*H956</f>
        <v>3375</v>
      </c>
      <c r="L956" s="411" t="n">
        <v>2767.8</v>
      </c>
      <c r="M956" s="392" t="n">
        <f aca="false">L956/K956</f>
        <v>0.820088888888889</v>
      </c>
      <c r="N956" s="466" t="n">
        <f aca="false">I956*M956</f>
        <v>18.452</v>
      </c>
      <c r="O956" s="461" t="n">
        <v>150</v>
      </c>
      <c r="P956" s="462" t="n">
        <f aca="false">H956-O956</f>
        <v>0</v>
      </c>
      <c r="Q956" s="463" t="n">
        <f aca="false">O956*I956</f>
        <v>3375</v>
      </c>
      <c r="R956" s="48" t="n">
        <f aca="false">K956-Q956</f>
        <v>0</v>
      </c>
      <c r="S956" s="467"/>
      <c r="T956" s="2" t="s">
        <v>1711</v>
      </c>
      <c r="V956" s="464"/>
      <c r="W956" s="464"/>
      <c r="X956" s="464"/>
      <c r="Y956" s="464"/>
      <c r="Z956" s="464"/>
      <c r="AA956" s="464"/>
      <c r="AB956" s="464"/>
      <c r="AC956" s="464"/>
      <c r="AD956" s="464"/>
      <c r="AE956" s="464"/>
      <c r="AF956" s="464"/>
      <c r="AG956" s="464"/>
      <c r="AH956" s="465"/>
      <c r="AI956" s="464"/>
    </row>
    <row r="957" customFormat="false" ht="15" hidden="false" customHeight="true" outlineLevel="0" collapsed="false">
      <c r="A957" s="455" t="s">
        <v>1907</v>
      </c>
      <c r="C957" s="456" t="n">
        <v>45587</v>
      </c>
      <c r="D957" s="456"/>
      <c r="E957" s="57" t="n">
        <v>14032</v>
      </c>
      <c r="F957" s="323" t="s">
        <v>175</v>
      </c>
      <c r="G957" s="323" t="s">
        <v>13</v>
      </c>
      <c r="H957" s="98" t="n">
        <v>45</v>
      </c>
      <c r="I957" s="457" t="n">
        <v>37.5</v>
      </c>
      <c r="J957" s="313" t="s">
        <v>1652</v>
      </c>
      <c r="K957" s="98" t="n">
        <f aca="false">I957*H957</f>
        <v>1687.5</v>
      </c>
      <c r="L957" s="411" t="n">
        <v>1433.16</v>
      </c>
      <c r="M957" s="392" t="n">
        <f aca="false">L957/K957</f>
        <v>0.84928</v>
      </c>
      <c r="N957" s="466" t="n">
        <f aca="false">I957*M957</f>
        <v>31.848</v>
      </c>
      <c r="O957" s="461" t="n">
        <v>45</v>
      </c>
      <c r="P957" s="462" t="n">
        <f aca="false">H957-O957</f>
        <v>0</v>
      </c>
      <c r="Q957" s="463" t="n">
        <f aca="false">O957*I957</f>
        <v>1687.5</v>
      </c>
      <c r="R957" s="48" t="n">
        <f aca="false">K957-Q957</f>
        <v>0</v>
      </c>
      <c r="S957" s="467"/>
      <c r="T957" s="2" t="s">
        <v>1711</v>
      </c>
      <c r="V957" s="464"/>
      <c r="W957" s="464"/>
      <c r="X957" s="464"/>
      <c r="Y957" s="464"/>
      <c r="Z957" s="464"/>
      <c r="AA957" s="464"/>
      <c r="AB957" s="464"/>
      <c r="AC957" s="464"/>
      <c r="AD957" s="464"/>
      <c r="AE957" s="464"/>
      <c r="AF957" s="464"/>
      <c r="AG957" s="464"/>
      <c r="AH957" s="465"/>
      <c r="AI957" s="464"/>
    </row>
    <row r="958" customFormat="false" ht="15" hidden="false" customHeight="true" outlineLevel="0" collapsed="false">
      <c r="A958" s="455" t="s">
        <v>1907</v>
      </c>
      <c r="C958" s="456" t="n">
        <v>45587</v>
      </c>
      <c r="D958" s="456"/>
      <c r="E958" s="57" t="n">
        <v>14032</v>
      </c>
      <c r="F958" s="323" t="s">
        <v>175</v>
      </c>
      <c r="G958" s="323" t="s">
        <v>10</v>
      </c>
      <c r="H958" s="98" t="n">
        <v>45</v>
      </c>
      <c r="I958" s="457" t="n">
        <v>38.3</v>
      </c>
      <c r="J958" s="313" t="s">
        <v>1652</v>
      </c>
      <c r="K958" s="98" t="n">
        <f aca="false">I958*H958</f>
        <v>1723.5</v>
      </c>
      <c r="L958" s="411" t="n">
        <v>628.62</v>
      </c>
      <c r="M958" s="392" t="n">
        <f aca="false">L958/K958</f>
        <v>0.36473455178416</v>
      </c>
      <c r="N958" s="466" t="n">
        <f aca="false">I958*M958</f>
        <v>13.9693333333333</v>
      </c>
      <c r="O958" s="461" t="n">
        <v>45</v>
      </c>
      <c r="P958" s="462" t="n">
        <f aca="false">H958-O958</f>
        <v>0</v>
      </c>
      <c r="Q958" s="463" t="n">
        <f aca="false">O958*I958</f>
        <v>1723.5</v>
      </c>
      <c r="R958" s="48" t="n">
        <f aca="false">K958-Q958</f>
        <v>0</v>
      </c>
      <c r="S958" s="467"/>
      <c r="T958" s="2" t="s">
        <v>1711</v>
      </c>
      <c r="V958" s="464"/>
      <c r="W958" s="464"/>
      <c r="X958" s="464"/>
      <c r="Y958" s="464"/>
      <c r="Z958" s="464"/>
      <c r="AA958" s="464"/>
      <c r="AB958" s="464"/>
      <c r="AC958" s="464"/>
      <c r="AD958" s="464"/>
      <c r="AE958" s="464"/>
      <c r="AF958" s="464"/>
      <c r="AG958" s="464"/>
      <c r="AH958" s="465"/>
      <c r="AI958" s="464"/>
    </row>
    <row r="959" customFormat="false" ht="15" hidden="false" customHeight="true" outlineLevel="0" collapsed="false">
      <c r="A959" s="455" t="s">
        <v>1910</v>
      </c>
      <c r="C959" s="456" t="n">
        <v>45587</v>
      </c>
      <c r="D959" s="456"/>
      <c r="E959" s="57" t="n">
        <v>14033</v>
      </c>
      <c r="F959" s="323" t="s">
        <v>175</v>
      </c>
      <c r="G959" s="323" t="s">
        <v>10</v>
      </c>
      <c r="H959" s="98" t="n">
        <v>225</v>
      </c>
      <c r="I959" s="457" t="n">
        <v>38.3</v>
      </c>
      <c r="J959" s="313" t="s">
        <v>1652</v>
      </c>
      <c r="K959" s="98" t="n">
        <f aca="false">I959*H959</f>
        <v>8617.5</v>
      </c>
      <c r="L959" s="411" t="n">
        <v>2587.5</v>
      </c>
      <c r="M959" s="392" t="n">
        <f aca="false">L959/K959</f>
        <v>0.300261096605744</v>
      </c>
      <c r="N959" s="466" t="n">
        <f aca="false">I959*M959</f>
        <v>11.5</v>
      </c>
      <c r="O959" s="461" t="n">
        <v>225</v>
      </c>
      <c r="P959" s="462" t="n">
        <f aca="false">H959-O959</f>
        <v>0</v>
      </c>
      <c r="Q959" s="463" t="n">
        <f aca="false">O959*I959</f>
        <v>8617.5</v>
      </c>
      <c r="R959" s="48" t="n">
        <f aca="false">K959-Q959</f>
        <v>0</v>
      </c>
      <c r="S959" s="467"/>
      <c r="T959" s="2" t="s">
        <v>1711</v>
      </c>
      <c r="V959" s="464"/>
      <c r="W959" s="464"/>
      <c r="X959" s="464"/>
      <c r="Y959" s="464"/>
      <c r="Z959" s="464"/>
      <c r="AA959" s="464"/>
      <c r="AB959" s="464"/>
      <c r="AC959" s="464"/>
      <c r="AD959" s="464"/>
      <c r="AE959" s="464"/>
      <c r="AF959" s="464"/>
      <c r="AG959" s="464"/>
      <c r="AH959" s="465"/>
      <c r="AI959" s="464"/>
    </row>
    <row r="960" customFormat="false" ht="15" hidden="false" customHeight="true" outlineLevel="0" collapsed="false">
      <c r="A960" s="455" t="s">
        <v>1911</v>
      </c>
      <c r="C960" s="456" t="n">
        <v>45587</v>
      </c>
      <c r="D960" s="456"/>
      <c r="E960" s="57" t="n">
        <v>14034</v>
      </c>
      <c r="F960" s="323" t="s">
        <v>175</v>
      </c>
      <c r="G960" s="323" t="s">
        <v>10</v>
      </c>
      <c r="H960" s="98" t="n">
        <v>225</v>
      </c>
      <c r="I960" s="457" t="n">
        <v>38.3</v>
      </c>
      <c r="J960" s="313" t="s">
        <v>1652</v>
      </c>
      <c r="K960" s="98" t="n">
        <f aca="false">I960*H960</f>
        <v>8617.5</v>
      </c>
      <c r="L960" s="411" t="n">
        <v>2587.5</v>
      </c>
      <c r="M960" s="392" t="n">
        <f aca="false">L960/K960</f>
        <v>0.300261096605744</v>
      </c>
      <c r="N960" s="466" t="n">
        <f aca="false">I960*M960</f>
        <v>11.5</v>
      </c>
      <c r="O960" s="461" t="n">
        <v>225</v>
      </c>
      <c r="P960" s="462" t="n">
        <f aca="false">H960-O960</f>
        <v>0</v>
      </c>
      <c r="Q960" s="463" t="n">
        <f aca="false">O960*I960</f>
        <v>8617.5</v>
      </c>
      <c r="R960" s="48" t="n">
        <f aca="false">K960-Q960</f>
        <v>0</v>
      </c>
      <c r="S960" s="467"/>
      <c r="T960" s="2" t="s">
        <v>1711</v>
      </c>
      <c r="V960" s="464"/>
      <c r="W960" s="464"/>
      <c r="X960" s="464"/>
      <c r="Y960" s="464"/>
      <c r="Z960" s="464"/>
      <c r="AA960" s="464"/>
      <c r="AB960" s="464"/>
      <c r="AC960" s="464"/>
      <c r="AD960" s="464"/>
      <c r="AE960" s="464"/>
      <c r="AF960" s="464"/>
      <c r="AG960" s="464"/>
      <c r="AH960" s="465"/>
      <c r="AI960" s="464"/>
    </row>
    <row r="961" customFormat="false" ht="15" hidden="false" customHeight="true" outlineLevel="0" collapsed="false">
      <c r="A961" s="455" t="s">
        <v>1912</v>
      </c>
      <c r="C961" s="456" t="n">
        <v>45588</v>
      </c>
      <c r="D961" s="456"/>
      <c r="E961" s="57" t="n">
        <v>14035</v>
      </c>
      <c r="F961" s="323" t="s">
        <v>175</v>
      </c>
      <c r="G961" s="323" t="s">
        <v>5</v>
      </c>
      <c r="H961" s="98" t="n">
        <v>1010</v>
      </c>
      <c r="I961" s="457" t="n">
        <v>25.71</v>
      </c>
      <c r="J961" s="313" t="s">
        <v>1651</v>
      </c>
      <c r="K961" s="98" t="n">
        <f aca="false">I961*H961</f>
        <v>25967.1</v>
      </c>
      <c r="L961" s="411" t="n">
        <v>14039</v>
      </c>
      <c r="M961" s="392" t="n">
        <f aca="false">L961/K961</f>
        <v>0.540645663166083</v>
      </c>
      <c r="N961" s="466" t="n">
        <f aca="false">I961*M961</f>
        <v>13.9</v>
      </c>
      <c r="O961" s="461" t="n">
        <v>1010</v>
      </c>
      <c r="P961" s="462" t="n">
        <f aca="false">H961-O961</f>
        <v>0</v>
      </c>
      <c r="Q961" s="463" t="n">
        <f aca="false">O961*I961</f>
        <v>25967.1</v>
      </c>
      <c r="R961" s="48" t="n">
        <f aca="false">K961-Q961</f>
        <v>0</v>
      </c>
      <c r="S961" s="467"/>
      <c r="T961" s="2" t="s">
        <v>1711</v>
      </c>
      <c r="V961" s="464"/>
      <c r="W961" s="464"/>
      <c r="X961" s="464"/>
      <c r="Y961" s="464"/>
      <c r="Z961" s="464"/>
      <c r="AA961" s="464"/>
      <c r="AB961" s="464"/>
      <c r="AC961" s="464"/>
      <c r="AD961" s="464"/>
      <c r="AE961" s="464"/>
      <c r="AF961" s="464"/>
      <c r="AG961" s="464"/>
      <c r="AH961" s="465"/>
      <c r="AI961" s="464"/>
    </row>
    <row r="962" customFormat="false" ht="15" hidden="false" customHeight="true" outlineLevel="0" collapsed="false">
      <c r="A962" s="455" t="s">
        <v>1912</v>
      </c>
      <c r="C962" s="456" t="n">
        <v>45588</v>
      </c>
      <c r="D962" s="456"/>
      <c r="E962" s="57" t="n">
        <v>14035</v>
      </c>
      <c r="F962" s="323" t="s">
        <v>175</v>
      </c>
      <c r="G962" s="323" t="s">
        <v>42</v>
      </c>
      <c r="H962" s="98" t="n">
        <v>1500</v>
      </c>
      <c r="I962" s="457" t="n">
        <v>30</v>
      </c>
      <c r="J962" s="313" t="s">
        <v>1651</v>
      </c>
      <c r="K962" s="98" t="n">
        <f aca="false">I962*H962</f>
        <v>45000</v>
      </c>
      <c r="L962" s="411" t="n">
        <v>22200</v>
      </c>
      <c r="M962" s="392" t="n">
        <f aca="false">L962/K962</f>
        <v>0.493333333333333</v>
      </c>
      <c r="N962" s="466" t="n">
        <f aca="false">I962*M962</f>
        <v>14.8</v>
      </c>
      <c r="O962" s="461" t="n">
        <v>1500</v>
      </c>
      <c r="P962" s="462" t="n">
        <f aca="false">H962-O962</f>
        <v>0</v>
      </c>
      <c r="Q962" s="463" t="n">
        <f aca="false">O962*I962</f>
        <v>45000</v>
      </c>
      <c r="R962" s="48" t="n">
        <f aca="false">K962-Q962</f>
        <v>0</v>
      </c>
      <c r="S962" s="467"/>
      <c r="T962" s="2" t="s">
        <v>1711</v>
      </c>
      <c r="V962" s="464"/>
      <c r="W962" s="464"/>
      <c r="X962" s="464"/>
      <c r="Y962" s="464"/>
      <c r="Z962" s="464"/>
      <c r="AA962" s="464"/>
      <c r="AB962" s="464"/>
      <c r="AC962" s="464"/>
      <c r="AD962" s="464"/>
      <c r="AE962" s="464"/>
      <c r="AF962" s="464"/>
      <c r="AG962" s="464"/>
      <c r="AH962" s="465"/>
      <c r="AI962" s="464"/>
    </row>
    <row r="963" customFormat="false" ht="15" hidden="false" customHeight="true" outlineLevel="0" collapsed="false">
      <c r="A963" s="455" t="s">
        <v>1912</v>
      </c>
      <c r="C963" s="456" t="n">
        <v>45588</v>
      </c>
      <c r="D963" s="456"/>
      <c r="E963" s="57" t="n">
        <v>14035</v>
      </c>
      <c r="F963" s="323" t="s">
        <v>175</v>
      </c>
      <c r="G963" s="323" t="s">
        <v>11</v>
      </c>
      <c r="H963" s="98" t="n">
        <v>300</v>
      </c>
      <c r="I963" s="457" t="n">
        <v>14</v>
      </c>
      <c r="J963" s="313" t="s">
        <v>1651</v>
      </c>
      <c r="K963" s="98" t="n">
        <f aca="false">I963*H963</f>
        <v>4200</v>
      </c>
      <c r="L963" s="411" t="n">
        <v>17970</v>
      </c>
      <c r="M963" s="392" t="n">
        <f aca="false">L963/K963</f>
        <v>4.27857142857143</v>
      </c>
      <c r="N963" s="466" t="n">
        <f aca="false">I963*M963</f>
        <v>59.9</v>
      </c>
      <c r="O963" s="461" t="n">
        <v>300</v>
      </c>
      <c r="P963" s="462" t="n">
        <f aca="false">H963-O963</f>
        <v>0</v>
      </c>
      <c r="Q963" s="463" t="n">
        <f aca="false">O963*I963</f>
        <v>4200</v>
      </c>
      <c r="R963" s="48" t="n">
        <f aca="false">K963-Q963</f>
        <v>0</v>
      </c>
      <c r="S963" s="467"/>
      <c r="T963" s="2" t="s">
        <v>1711</v>
      </c>
      <c r="V963" s="464"/>
      <c r="W963" s="464"/>
      <c r="X963" s="464"/>
      <c r="Y963" s="464"/>
      <c r="Z963" s="464"/>
      <c r="AA963" s="464"/>
      <c r="AB963" s="464"/>
      <c r="AC963" s="464"/>
      <c r="AD963" s="464"/>
      <c r="AE963" s="464"/>
      <c r="AF963" s="464"/>
      <c r="AG963" s="464"/>
      <c r="AH963" s="465"/>
      <c r="AI963" s="464"/>
    </row>
    <row r="964" customFormat="false" ht="15" hidden="false" customHeight="true" outlineLevel="0" collapsed="false">
      <c r="A964" s="455" t="s">
        <v>1889</v>
      </c>
      <c r="C964" s="456" t="n">
        <v>45588</v>
      </c>
      <c r="D964" s="456"/>
      <c r="E964" s="57" t="n">
        <v>14036</v>
      </c>
      <c r="F964" s="323" t="s">
        <v>175</v>
      </c>
      <c r="G964" s="323" t="s">
        <v>15</v>
      </c>
      <c r="H964" s="98" t="n">
        <v>3360</v>
      </c>
      <c r="I964" s="457" t="n">
        <v>90</v>
      </c>
      <c r="J964" s="313" t="s">
        <v>1653</v>
      </c>
      <c r="K964" s="98" t="n">
        <f aca="false">I964*H964</f>
        <v>302400</v>
      </c>
      <c r="L964" s="411" t="n">
        <v>100800</v>
      </c>
      <c r="M964" s="392" t="n">
        <f aca="false">L964/K964</f>
        <v>0.333333333333333</v>
      </c>
      <c r="N964" s="466" t="n">
        <f aca="false">I964*M964</f>
        <v>30</v>
      </c>
      <c r="O964" s="461" t="n">
        <v>3360</v>
      </c>
      <c r="P964" s="462" t="n">
        <f aca="false">H964-O964</f>
        <v>0</v>
      </c>
      <c r="Q964" s="463" t="n">
        <f aca="false">O964*I964</f>
        <v>302400</v>
      </c>
      <c r="R964" s="48" t="n">
        <f aca="false">K964-Q964</f>
        <v>0</v>
      </c>
      <c r="S964" s="467"/>
      <c r="T964" s="2" t="s">
        <v>1711</v>
      </c>
      <c r="V964" s="464"/>
      <c r="W964" s="464"/>
      <c r="X964" s="464"/>
      <c r="Y964" s="464"/>
      <c r="Z964" s="464"/>
      <c r="AA964" s="464"/>
      <c r="AB964" s="464"/>
      <c r="AC964" s="464"/>
      <c r="AD964" s="464"/>
      <c r="AE964" s="464"/>
      <c r="AF964" s="464"/>
      <c r="AG964" s="464"/>
      <c r="AH964" s="465"/>
      <c r="AI964" s="464"/>
    </row>
    <row r="965" customFormat="false" ht="15" hidden="false" customHeight="true" outlineLevel="0" collapsed="false">
      <c r="A965" s="455" t="s">
        <v>1913</v>
      </c>
      <c r="C965" s="456" t="n">
        <v>45588</v>
      </c>
      <c r="D965" s="456"/>
      <c r="E965" s="57" t="n">
        <v>14037</v>
      </c>
      <c r="F965" s="323" t="s">
        <v>175</v>
      </c>
      <c r="G965" s="323" t="s">
        <v>15</v>
      </c>
      <c r="H965" s="98" t="n">
        <v>300</v>
      </c>
      <c r="I965" s="457" t="n">
        <v>22.5</v>
      </c>
      <c r="J965" s="313" t="s">
        <v>1651</v>
      </c>
      <c r="K965" s="98" t="n">
        <f aca="false">I965*H965</f>
        <v>6750</v>
      </c>
      <c r="L965" s="411" t="n">
        <v>4977</v>
      </c>
      <c r="M965" s="392" t="n">
        <f aca="false">L965/K965</f>
        <v>0.737333333333333</v>
      </c>
      <c r="N965" s="466" t="n">
        <f aca="false">I965*M965</f>
        <v>16.59</v>
      </c>
      <c r="O965" s="461" t="n">
        <v>300</v>
      </c>
      <c r="P965" s="462" t="n">
        <f aca="false">H965-O965</f>
        <v>0</v>
      </c>
      <c r="Q965" s="463" t="n">
        <f aca="false">O965*I965</f>
        <v>6750</v>
      </c>
      <c r="R965" s="48" t="n">
        <f aca="false">K965-Q965</f>
        <v>0</v>
      </c>
      <c r="S965" s="467"/>
      <c r="T965" s="2" t="s">
        <v>1711</v>
      </c>
      <c r="V965" s="464"/>
      <c r="W965" s="464"/>
      <c r="X965" s="464"/>
      <c r="Y965" s="464"/>
      <c r="Z965" s="464"/>
      <c r="AA965" s="464"/>
      <c r="AB965" s="464"/>
      <c r="AC965" s="464"/>
      <c r="AD965" s="464"/>
      <c r="AE965" s="464"/>
      <c r="AF965" s="464"/>
      <c r="AG965" s="464"/>
      <c r="AH965" s="465"/>
      <c r="AI965" s="464"/>
    </row>
    <row r="966" customFormat="false" ht="15" hidden="false" customHeight="true" outlineLevel="0" collapsed="false">
      <c r="A966" s="455" t="s">
        <v>1913</v>
      </c>
      <c r="C966" s="456" t="n">
        <v>45588</v>
      </c>
      <c r="D966" s="456"/>
      <c r="E966" s="57" t="n">
        <v>14037</v>
      </c>
      <c r="F966" s="323" t="s">
        <v>175</v>
      </c>
      <c r="G966" s="323" t="s">
        <v>5</v>
      </c>
      <c r="H966" s="98" t="n">
        <v>1500</v>
      </c>
      <c r="I966" s="457" t="n">
        <v>25.71</v>
      </c>
      <c r="J966" s="313" t="s">
        <v>1651</v>
      </c>
      <c r="K966" s="98" t="n">
        <f aca="false">I966*H966</f>
        <v>38565</v>
      </c>
      <c r="L966" s="411" t="n">
        <v>18900</v>
      </c>
      <c r="M966" s="392" t="n">
        <f aca="false">L966/K966</f>
        <v>0.490081680280047</v>
      </c>
      <c r="N966" s="466" t="n">
        <f aca="false">I966*M966</f>
        <v>12.6</v>
      </c>
      <c r="O966" s="461" t="n">
        <v>1500</v>
      </c>
      <c r="P966" s="462" t="n">
        <f aca="false">H966-O966</f>
        <v>0</v>
      </c>
      <c r="Q966" s="463" t="n">
        <f aca="false">O966*I966</f>
        <v>38565</v>
      </c>
      <c r="R966" s="48" t="n">
        <f aca="false">K966-Q966</f>
        <v>0</v>
      </c>
      <c r="S966" s="467"/>
      <c r="T966" s="2" t="s">
        <v>1711</v>
      </c>
      <c r="V966" s="464"/>
      <c r="W966" s="464"/>
      <c r="X966" s="464"/>
      <c r="Y966" s="464"/>
      <c r="Z966" s="464"/>
      <c r="AA966" s="464"/>
      <c r="AB966" s="464"/>
      <c r="AC966" s="464"/>
      <c r="AD966" s="464"/>
      <c r="AE966" s="464"/>
      <c r="AF966" s="464"/>
      <c r="AG966" s="464"/>
      <c r="AH966" s="465"/>
      <c r="AI966" s="464"/>
    </row>
    <row r="967" customFormat="false" ht="15" hidden="false" customHeight="true" outlineLevel="0" collapsed="false">
      <c r="A967" s="455" t="s">
        <v>1913</v>
      </c>
      <c r="C967" s="456" t="n">
        <v>45588</v>
      </c>
      <c r="D967" s="456"/>
      <c r="E967" s="57" t="n">
        <v>14037</v>
      </c>
      <c r="F967" s="323" t="s">
        <v>175</v>
      </c>
      <c r="G967" s="323" t="s">
        <v>13</v>
      </c>
      <c r="H967" s="98" t="n">
        <v>900</v>
      </c>
      <c r="I967" s="457" t="n">
        <v>22.5</v>
      </c>
      <c r="J967" s="313" t="s">
        <v>1651</v>
      </c>
      <c r="K967" s="98" t="n">
        <f aca="false">I967*H967</f>
        <v>20250</v>
      </c>
      <c r="L967" s="411" t="n">
        <v>10080</v>
      </c>
      <c r="M967" s="392" t="n">
        <f aca="false">L967/K967</f>
        <v>0.497777777777778</v>
      </c>
      <c r="N967" s="466" t="n">
        <f aca="false">I967*M967</f>
        <v>11.2</v>
      </c>
      <c r="O967" s="461" t="n">
        <v>900</v>
      </c>
      <c r="P967" s="462" t="n">
        <f aca="false">H967-O967</f>
        <v>0</v>
      </c>
      <c r="Q967" s="463" t="n">
        <f aca="false">O967*I967</f>
        <v>20250</v>
      </c>
      <c r="R967" s="48" t="n">
        <f aca="false">K967-Q967</f>
        <v>0</v>
      </c>
      <c r="S967" s="467"/>
      <c r="T967" s="2" t="s">
        <v>1711</v>
      </c>
      <c r="V967" s="464"/>
      <c r="W967" s="464"/>
      <c r="X967" s="464"/>
      <c r="Y967" s="464"/>
      <c r="Z967" s="464"/>
      <c r="AA967" s="464"/>
      <c r="AB967" s="464"/>
      <c r="AC967" s="464"/>
      <c r="AD967" s="464"/>
      <c r="AE967" s="464"/>
      <c r="AF967" s="464"/>
      <c r="AG967" s="464"/>
      <c r="AH967" s="465"/>
      <c r="AI967" s="464"/>
    </row>
    <row r="968" customFormat="false" ht="15" hidden="false" customHeight="true" outlineLevel="0" collapsed="false">
      <c r="A968" s="455" t="s">
        <v>1913</v>
      </c>
      <c r="C968" s="456" t="n">
        <v>45588</v>
      </c>
      <c r="D968" s="456"/>
      <c r="E968" s="57" t="n">
        <v>14037</v>
      </c>
      <c r="F968" s="323" t="s">
        <v>175</v>
      </c>
      <c r="G968" s="323" t="s">
        <v>11</v>
      </c>
      <c r="H968" s="98" t="n">
        <v>150</v>
      </c>
      <c r="I968" s="457" t="n">
        <v>14</v>
      </c>
      <c r="J968" s="313" t="s">
        <v>1651</v>
      </c>
      <c r="K968" s="98" t="n">
        <f aca="false">I968*H968</f>
        <v>2100</v>
      </c>
      <c r="L968" s="411" t="n">
        <v>10000</v>
      </c>
      <c r="M968" s="392" t="n">
        <f aca="false">L968/K968</f>
        <v>4.76190476190476</v>
      </c>
      <c r="N968" s="466" t="n">
        <f aca="false">I968*M968</f>
        <v>66.6666666666667</v>
      </c>
      <c r="O968" s="461" t="n">
        <v>150</v>
      </c>
      <c r="P968" s="462" t="n">
        <f aca="false">H968-O968</f>
        <v>0</v>
      </c>
      <c r="Q968" s="463" t="n">
        <f aca="false">O968*I968</f>
        <v>2100</v>
      </c>
      <c r="R968" s="48" t="n">
        <f aca="false">K968-Q968</f>
        <v>0</v>
      </c>
      <c r="S968" s="467"/>
      <c r="T968" s="2" t="s">
        <v>1711</v>
      </c>
      <c r="V968" s="464"/>
      <c r="W968" s="464"/>
      <c r="X968" s="464"/>
      <c r="Y968" s="464"/>
      <c r="Z968" s="464"/>
      <c r="AA968" s="464"/>
      <c r="AB968" s="464"/>
      <c r="AC968" s="464"/>
      <c r="AD968" s="464"/>
      <c r="AE968" s="464"/>
      <c r="AF968" s="464"/>
      <c r="AG968" s="464"/>
      <c r="AH968" s="465"/>
      <c r="AI968" s="464"/>
    </row>
    <row r="969" customFormat="false" ht="15" hidden="false" customHeight="true" outlineLevel="0" collapsed="false">
      <c r="A969" s="455" t="s">
        <v>1913</v>
      </c>
      <c r="C969" s="456" t="n">
        <v>45588</v>
      </c>
      <c r="D969" s="456"/>
      <c r="E969" s="57" t="n">
        <v>14037</v>
      </c>
      <c r="F969" s="323" t="s">
        <v>175</v>
      </c>
      <c r="G969" s="323" t="s">
        <v>17</v>
      </c>
      <c r="H969" s="98" t="n">
        <v>300</v>
      </c>
      <c r="I969" s="457" t="n">
        <v>22.5</v>
      </c>
      <c r="J969" s="313" t="s">
        <v>1651</v>
      </c>
      <c r="K969" s="98" t="n">
        <f aca="false">I969*H969</f>
        <v>6750</v>
      </c>
      <c r="L969" s="411" t="n">
        <v>3534</v>
      </c>
      <c r="M969" s="392" t="n">
        <f aca="false">L969/K969</f>
        <v>0.523555555555556</v>
      </c>
      <c r="N969" s="466" t="n">
        <f aca="false">I969*M969</f>
        <v>11.78</v>
      </c>
      <c r="O969" s="461" t="n">
        <v>300</v>
      </c>
      <c r="P969" s="462" t="n">
        <f aca="false">H969-O969</f>
        <v>0</v>
      </c>
      <c r="Q969" s="463" t="n">
        <f aca="false">O969*I969</f>
        <v>6750</v>
      </c>
      <c r="R969" s="48" t="n">
        <f aca="false">K969-Q969</f>
        <v>0</v>
      </c>
      <c r="S969" s="467"/>
      <c r="T969" s="2" t="s">
        <v>1711</v>
      </c>
      <c r="V969" s="464"/>
      <c r="W969" s="464"/>
      <c r="X969" s="464"/>
      <c r="Y969" s="464"/>
      <c r="Z969" s="464"/>
      <c r="AA969" s="464"/>
      <c r="AB969" s="464"/>
      <c r="AC969" s="464"/>
      <c r="AD969" s="464"/>
      <c r="AE969" s="464"/>
      <c r="AF969" s="464"/>
      <c r="AG969" s="464"/>
      <c r="AH969" s="465"/>
      <c r="AI969" s="464"/>
    </row>
    <row r="970" customFormat="false" ht="15" hidden="false" customHeight="true" outlineLevel="0" collapsed="false">
      <c r="A970" s="455" t="s">
        <v>1913</v>
      </c>
      <c r="C970" s="456" t="n">
        <v>45588</v>
      </c>
      <c r="D970" s="456"/>
      <c r="E970" s="57" t="n">
        <v>14037</v>
      </c>
      <c r="F970" s="323" t="s">
        <v>175</v>
      </c>
      <c r="G970" s="323" t="s">
        <v>5</v>
      </c>
      <c r="H970" s="98" t="n">
        <v>2000</v>
      </c>
      <c r="I970" s="457" t="n">
        <v>60</v>
      </c>
      <c r="J970" s="313" t="s">
        <v>1653</v>
      </c>
      <c r="K970" s="98" t="n">
        <f aca="false">I970*H970</f>
        <v>120000</v>
      </c>
      <c r="L970" s="411" t="n">
        <v>30160</v>
      </c>
      <c r="M970" s="392" t="n">
        <f aca="false">L970/K970</f>
        <v>0.251333333333333</v>
      </c>
      <c r="N970" s="466" t="n">
        <f aca="false">I970*M970</f>
        <v>15.08</v>
      </c>
      <c r="O970" s="461" t="n">
        <v>2000</v>
      </c>
      <c r="P970" s="462" t="n">
        <f aca="false">H970-O970</f>
        <v>0</v>
      </c>
      <c r="Q970" s="463" t="n">
        <f aca="false">O970*I970</f>
        <v>120000</v>
      </c>
      <c r="R970" s="48" t="n">
        <f aca="false">K970-Q970</f>
        <v>0</v>
      </c>
      <c r="S970" s="467"/>
      <c r="T970" s="2" t="s">
        <v>1711</v>
      </c>
      <c r="V970" s="464"/>
      <c r="W970" s="464"/>
      <c r="X970" s="464"/>
      <c r="Y970" s="464"/>
      <c r="Z970" s="464"/>
      <c r="AA970" s="464"/>
      <c r="AB970" s="464"/>
      <c r="AC970" s="464"/>
      <c r="AD970" s="464"/>
      <c r="AE970" s="464"/>
      <c r="AF970" s="464"/>
      <c r="AG970" s="464"/>
      <c r="AH970" s="465"/>
      <c r="AI970" s="464"/>
    </row>
    <row r="971" customFormat="false" ht="15" hidden="false" customHeight="true" outlineLevel="0" collapsed="false">
      <c r="A971" s="455" t="s">
        <v>1913</v>
      </c>
      <c r="C971" s="456" t="n">
        <v>45588</v>
      </c>
      <c r="D971" s="456"/>
      <c r="E971" s="57" t="n">
        <v>14037</v>
      </c>
      <c r="F971" s="323" t="s">
        <v>175</v>
      </c>
      <c r="G971" s="323" t="s">
        <v>13</v>
      </c>
      <c r="H971" s="98" t="n">
        <v>1500</v>
      </c>
      <c r="I971" s="457" t="n">
        <v>40</v>
      </c>
      <c r="J971" s="313" t="s">
        <v>1653</v>
      </c>
      <c r="K971" s="98" t="n">
        <f aca="false">I971*H971</f>
        <v>60000</v>
      </c>
      <c r="L971" s="411" t="n">
        <v>19545</v>
      </c>
      <c r="M971" s="392" t="n">
        <f aca="false">L971/K971</f>
        <v>0.32575</v>
      </c>
      <c r="N971" s="466" t="n">
        <f aca="false">I971*M971</f>
        <v>13.03</v>
      </c>
      <c r="O971" s="461" t="n">
        <v>1500</v>
      </c>
      <c r="P971" s="462" t="n">
        <f aca="false">H971-O971</f>
        <v>0</v>
      </c>
      <c r="Q971" s="463" t="n">
        <f aca="false">O971*I971</f>
        <v>60000</v>
      </c>
      <c r="R971" s="48" t="n">
        <f aca="false">K971-Q971</f>
        <v>0</v>
      </c>
      <c r="S971" s="467"/>
      <c r="T971" s="2" t="s">
        <v>1711</v>
      </c>
      <c r="V971" s="464"/>
      <c r="W971" s="464"/>
      <c r="X971" s="464"/>
      <c r="Y971" s="464"/>
      <c r="Z971" s="464"/>
      <c r="AA971" s="464"/>
      <c r="AB971" s="464"/>
      <c r="AC971" s="464"/>
      <c r="AD971" s="464"/>
      <c r="AE971" s="464"/>
      <c r="AF971" s="464"/>
      <c r="AG971" s="464"/>
      <c r="AH971" s="465"/>
      <c r="AI971" s="464"/>
    </row>
    <row r="972" customFormat="false" ht="15" hidden="false" customHeight="true" outlineLevel="0" collapsed="false">
      <c r="A972" s="455" t="s">
        <v>1913</v>
      </c>
      <c r="C972" s="456" t="n">
        <v>45589</v>
      </c>
      <c r="D972" s="456"/>
      <c r="E972" s="57" t="n">
        <v>14041</v>
      </c>
      <c r="F972" s="323" t="s">
        <v>175</v>
      </c>
      <c r="G972" s="323" t="s">
        <v>13</v>
      </c>
      <c r="H972" s="98" t="n">
        <v>900</v>
      </c>
      <c r="I972" s="457" t="n">
        <v>22.5</v>
      </c>
      <c r="J972" s="313" t="s">
        <v>1651</v>
      </c>
      <c r="K972" s="98" t="n">
        <f aca="false">I972*H972</f>
        <v>20250</v>
      </c>
      <c r="L972" s="411" t="n">
        <v>10080</v>
      </c>
      <c r="M972" s="392" t="n">
        <f aca="false">L972/K972</f>
        <v>0.497777777777778</v>
      </c>
      <c r="N972" s="466" t="n">
        <f aca="false">I972*M972</f>
        <v>11.2</v>
      </c>
      <c r="O972" s="461" t="n">
        <v>900</v>
      </c>
      <c r="P972" s="462" t="n">
        <f aca="false">H972-O972</f>
        <v>0</v>
      </c>
      <c r="Q972" s="463" t="n">
        <f aca="false">O972*I972</f>
        <v>20250</v>
      </c>
      <c r="R972" s="48" t="n">
        <f aca="false">K972-Q972</f>
        <v>0</v>
      </c>
      <c r="S972" s="467"/>
      <c r="T972" s="2" t="s">
        <v>1711</v>
      </c>
      <c r="V972" s="464"/>
      <c r="W972" s="464"/>
      <c r="X972" s="464"/>
      <c r="Y972" s="464"/>
      <c r="Z972" s="464"/>
      <c r="AA972" s="464"/>
      <c r="AB972" s="464"/>
      <c r="AC972" s="464"/>
      <c r="AD972" s="464"/>
      <c r="AE972" s="464"/>
      <c r="AF972" s="464"/>
      <c r="AG972" s="464"/>
      <c r="AH972" s="465"/>
      <c r="AI972" s="464"/>
    </row>
    <row r="973" customFormat="false" ht="15" hidden="false" customHeight="true" outlineLevel="0" collapsed="false">
      <c r="A973" s="455" t="s">
        <v>1913</v>
      </c>
      <c r="C973" s="456" t="n">
        <v>45589</v>
      </c>
      <c r="D973" s="456"/>
      <c r="E973" s="57" t="n">
        <v>14041</v>
      </c>
      <c r="F973" s="323" t="s">
        <v>175</v>
      </c>
      <c r="G973" s="323" t="s">
        <v>15</v>
      </c>
      <c r="H973" s="98" t="n">
        <v>300</v>
      </c>
      <c r="I973" s="457" t="n">
        <v>22.5</v>
      </c>
      <c r="J973" s="313" t="s">
        <v>1651</v>
      </c>
      <c r="K973" s="98" t="n">
        <f aca="false">I973*H973</f>
        <v>6750</v>
      </c>
      <c r="L973" s="411" t="n">
        <v>4977</v>
      </c>
      <c r="M973" s="392" t="n">
        <f aca="false">L973/K973</f>
        <v>0.737333333333333</v>
      </c>
      <c r="N973" s="466" t="n">
        <f aca="false">I973*M973</f>
        <v>16.59</v>
      </c>
      <c r="O973" s="461" t="n">
        <v>300</v>
      </c>
      <c r="P973" s="462" t="n">
        <f aca="false">H973-O973</f>
        <v>0</v>
      </c>
      <c r="Q973" s="463" t="n">
        <f aca="false">O973*I973</f>
        <v>6750</v>
      </c>
      <c r="R973" s="48" t="n">
        <f aca="false">K973-Q973</f>
        <v>0</v>
      </c>
      <c r="S973" s="467"/>
      <c r="T973" s="2" t="s">
        <v>1711</v>
      </c>
      <c r="V973" s="464"/>
      <c r="W973" s="464"/>
      <c r="X973" s="464"/>
      <c r="Y973" s="464"/>
      <c r="Z973" s="464"/>
      <c r="AA973" s="464"/>
      <c r="AB973" s="464"/>
      <c r="AC973" s="464"/>
      <c r="AD973" s="464"/>
      <c r="AE973" s="464"/>
      <c r="AF973" s="464"/>
      <c r="AG973" s="464"/>
      <c r="AH973" s="465"/>
      <c r="AI973" s="464"/>
    </row>
    <row r="974" customFormat="false" ht="15" hidden="false" customHeight="true" outlineLevel="0" collapsed="false">
      <c r="A974" s="455" t="s">
        <v>1913</v>
      </c>
      <c r="C974" s="456" t="n">
        <v>45589</v>
      </c>
      <c r="D974" s="456"/>
      <c r="E974" s="57" t="n">
        <v>14041</v>
      </c>
      <c r="F974" s="323" t="s">
        <v>175</v>
      </c>
      <c r="G974" s="323" t="s">
        <v>5</v>
      </c>
      <c r="H974" s="98" t="n">
        <v>1500</v>
      </c>
      <c r="I974" s="457" t="n">
        <v>25.71</v>
      </c>
      <c r="J974" s="313" t="s">
        <v>1651</v>
      </c>
      <c r="K974" s="98" t="n">
        <f aca="false">I974*H974</f>
        <v>38565</v>
      </c>
      <c r="L974" s="411" t="n">
        <v>18900</v>
      </c>
      <c r="M974" s="392" t="n">
        <f aca="false">L974/K974</f>
        <v>0.490081680280047</v>
      </c>
      <c r="N974" s="466" t="n">
        <f aca="false">I974*M974</f>
        <v>12.6</v>
      </c>
      <c r="O974" s="461" t="n">
        <v>1500</v>
      </c>
      <c r="P974" s="462" t="n">
        <f aca="false">H974-O974</f>
        <v>0</v>
      </c>
      <c r="Q974" s="463" t="n">
        <f aca="false">O974*I974</f>
        <v>38565</v>
      </c>
      <c r="R974" s="48" t="n">
        <f aca="false">K974-Q974</f>
        <v>0</v>
      </c>
      <c r="S974" s="467"/>
      <c r="T974" s="2" t="s">
        <v>1711</v>
      </c>
      <c r="V974" s="464"/>
      <c r="W974" s="464"/>
      <c r="X974" s="464"/>
      <c r="Y974" s="464"/>
      <c r="Z974" s="464"/>
      <c r="AA974" s="464"/>
      <c r="AB974" s="464"/>
      <c r="AC974" s="464"/>
      <c r="AD974" s="464"/>
      <c r="AE974" s="464"/>
      <c r="AF974" s="464"/>
      <c r="AG974" s="464"/>
      <c r="AH974" s="465"/>
      <c r="AI974" s="464"/>
    </row>
    <row r="975" customFormat="false" ht="15" hidden="false" customHeight="true" outlineLevel="0" collapsed="false">
      <c r="A975" s="455" t="s">
        <v>1913</v>
      </c>
      <c r="C975" s="456" t="n">
        <v>45589</v>
      </c>
      <c r="D975" s="456"/>
      <c r="E975" s="57" t="n">
        <v>14041</v>
      </c>
      <c r="F975" s="323" t="s">
        <v>175</v>
      </c>
      <c r="G975" s="323" t="s">
        <v>11</v>
      </c>
      <c r="H975" s="98" t="n">
        <v>150</v>
      </c>
      <c r="I975" s="457" t="n">
        <v>14</v>
      </c>
      <c r="J975" s="313" t="s">
        <v>1651</v>
      </c>
      <c r="K975" s="98" t="n">
        <f aca="false">I975*H975</f>
        <v>2100</v>
      </c>
      <c r="L975" s="411" t="n">
        <v>10000</v>
      </c>
      <c r="M975" s="392" t="n">
        <f aca="false">L975/K975</f>
        <v>4.76190476190476</v>
      </c>
      <c r="N975" s="466" t="n">
        <f aca="false">I975*M975</f>
        <v>66.6666666666667</v>
      </c>
      <c r="O975" s="461" t="n">
        <v>150</v>
      </c>
      <c r="P975" s="462" t="n">
        <f aca="false">H975-O975</f>
        <v>0</v>
      </c>
      <c r="Q975" s="463" t="n">
        <f aca="false">O975*I975</f>
        <v>2100</v>
      </c>
      <c r="R975" s="48" t="n">
        <f aca="false">K975-Q975</f>
        <v>0</v>
      </c>
      <c r="S975" s="467"/>
      <c r="T975" s="2" t="s">
        <v>1711</v>
      </c>
      <c r="V975" s="464"/>
      <c r="W975" s="464"/>
      <c r="X975" s="464"/>
      <c r="Y975" s="464"/>
      <c r="Z975" s="464"/>
      <c r="AA975" s="464"/>
      <c r="AB975" s="464"/>
      <c r="AC975" s="464"/>
      <c r="AD975" s="464"/>
      <c r="AE975" s="464"/>
      <c r="AF975" s="464"/>
      <c r="AG975" s="464"/>
      <c r="AH975" s="465"/>
      <c r="AI975" s="464"/>
    </row>
    <row r="976" customFormat="false" ht="15" hidden="false" customHeight="true" outlineLevel="0" collapsed="false">
      <c r="A976" s="455" t="s">
        <v>1913</v>
      </c>
      <c r="C976" s="456" t="n">
        <v>45589</v>
      </c>
      <c r="D976" s="456"/>
      <c r="E976" s="57" t="n">
        <v>14041</v>
      </c>
      <c r="F976" s="323" t="s">
        <v>175</v>
      </c>
      <c r="G976" s="323" t="s">
        <v>17</v>
      </c>
      <c r="H976" s="98" t="n">
        <v>300</v>
      </c>
      <c r="I976" s="457" t="n">
        <v>22.5</v>
      </c>
      <c r="J976" s="313" t="s">
        <v>1651</v>
      </c>
      <c r="K976" s="98" t="n">
        <f aca="false">I976*H976</f>
        <v>6750</v>
      </c>
      <c r="L976" s="411" t="n">
        <v>3534</v>
      </c>
      <c r="M976" s="392" t="n">
        <f aca="false">L976/K976</f>
        <v>0.523555555555556</v>
      </c>
      <c r="N976" s="466" t="n">
        <f aca="false">I976*M976</f>
        <v>11.78</v>
      </c>
      <c r="O976" s="461" t="n">
        <v>300</v>
      </c>
      <c r="P976" s="462" t="n">
        <f aca="false">H976-O976</f>
        <v>0</v>
      </c>
      <c r="Q976" s="463" t="n">
        <f aca="false">O976*I976</f>
        <v>6750</v>
      </c>
      <c r="R976" s="48" t="n">
        <f aca="false">K976-Q976</f>
        <v>0</v>
      </c>
      <c r="S976" s="467"/>
      <c r="T976" s="2" t="s">
        <v>1711</v>
      </c>
      <c r="V976" s="464"/>
      <c r="W976" s="464"/>
      <c r="X976" s="464"/>
      <c r="Y976" s="464"/>
      <c r="Z976" s="464"/>
      <c r="AA976" s="464"/>
      <c r="AB976" s="464"/>
      <c r="AC976" s="464"/>
      <c r="AD976" s="464"/>
      <c r="AE976" s="464"/>
      <c r="AF976" s="464"/>
      <c r="AG976" s="464"/>
      <c r="AH976" s="465"/>
      <c r="AI976" s="464"/>
    </row>
    <row r="977" customFormat="false" ht="15" hidden="false" customHeight="true" outlineLevel="0" collapsed="false">
      <c r="A977" s="455" t="s">
        <v>1913</v>
      </c>
      <c r="C977" s="456" t="n">
        <v>45589</v>
      </c>
      <c r="D977" s="456"/>
      <c r="E977" s="57" t="n">
        <v>14041</v>
      </c>
      <c r="F977" s="323" t="s">
        <v>175</v>
      </c>
      <c r="G977" s="323" t="s">
        <v>5</v>
      </c>
      <c r="H977" s="98" t="n">
        <v>2000</v>
      </c>
      <c r="I977" s="457" t="n">
        <v>60</v>
      </c>
      <c r="J977" s="313" t="s">
        <v>1653</v>
      </c>
      <c r="K977" s="98" t="n">
        <f aca="false">I977*H977</f>
        <v>120000</v>
      </c>
      <c r="L977" s="411" t="n">
        <v>30160</v>
      </c>
      <c r="M977" s="392" t="n">
        <f aca="false">L977/K977</f>
        <v>0.251333333333333</v>
      </c>
      <c r="N977" s="466" t="n">
        <f aca="false">I977*M977</f>
        <v>15.08</v>
      </c>
      <c r="O977" s="461" t="n">
        <v>2000</v>
      </c>
      <c r="P977" s="462" t="n">
        <f aca="false">H977-O977</f>
        <v>0</v>
      </c>
      <c r="Q977" s="463" t="n">
        <f aca="false">O977*I977</f>
        <v>120000</v>
      </c>
      <c r="R977" s="48" t="n">
        <f aca="false">K977-Q977</f>
        <v>0</v>
      </c>
      <c r="S977" s="467"/>
      <c r="T977" s="2" t="s">
        <v>1711</v>
      </c>
      <c r="V977" s="464"/>
      <c r="W977" s="464"/>
      <c r="X977" s="464"/>
      <c r="Y977" s="464"/>
      <c r="Z977" s="464"/>
      <c r="AA977" s="464"/>
      <c r="AB977" s="464"/>
      <c r="AC977" s="464"/>
      <c r="AD977" s="464"/>
      <c r="AE977" s="464"/>
      <c r="AF977" s="464"/>
      <c r="AG977" s="464"/>
      <c r="AH977" s="465"/>
      <c r="AI977" s="464"/>
    </row>
    <row r="978" customFormat="false" ht="15" hidden="false" customHeight="true" outlineLevel="0" collapsed="false">
      <c r="A978" s="455" t="s">
        <v>1913</v>
      </c>
      <c r="C978" s="456" t="n">
        <v>45589</v>
      </c>
      <c r="D978" s="456"/>
      <c r="E978" s="57" t="n">
        <v>14041</v>
      </c>
      <c r="F978" s="323" t="s">
        <v>175</v>
      </c>
      <c r="G978" s="323" t="s">
        <v>13</v>
      </c>
      <c r="H978" s="98" t="n">
        <v>1500</v>
      </c>
      <c r="I978" s="457" t="n">
        <v>40</v>
      </c>
      <c r="J978" s="313" t="s">
        <v>1653</v>
      </c>
      <c r="K978" s="98" t="n">
        <f aca="false">I978*H978</f>
        <v>60000</v>
      </c>
      <c r="L978" s="411" t="n">
        <v>19545</v>
      </c>
      <c r="M978" s="392" t="n">
        <f aca="false">L978/K978</f>
        <v>0.32575</v>
      </c>
      <c r="N978" s="466" t="n">
        <f aca="false">I978*M978</f>
        <v>13.03</v>
      </c>
      <c r="O978" s="461" t="n">
        <v>1500</v>
      </c>
      <c r="P978" s="462" t="n">
        <f aca="false">H978-O978</f>
        <v>0</v>
      </c>
      <c r="Q978" s="463" t="n">
        <f aca="false">O978*I978</f>
        <v>60000</v>
      </c>
      <c r="R978" s="48" t="n">
        <f aca="false">K978-Q978</f>
        <v>0</v>
      </c>
      <c r="S978" s="467"/>
      <c r="T978" s="2" t="s">
        <v>1711</v>
      </c>
      <c r="V978" s="464"/>
      <c r="W978" s="464"/>
      <c r="X978" s="464"/>
      <c r="Y978" s="464"/>
      <c r="Z978" s="464"/>
      <c r="AA978" s="464"/>
      <c r="AB978" s="464"/>
      <c r="AC978" s="464"/>
      <c r="AD978" s="464"/>
      <c r="AE978" s="464"/>
      <c r="AF978" s="464"/>
      <c r="AG978" s="464"/>
      <c r="AH978" s="465"/>
      <c r="AI978" s="464"/>
    </row>
    <row r="979" customFormat="false" ht="15" hidden="false" customHeight="true" outlineLevel="0" collapsed="false">
      <c r="A979" s="455" t="s">
        <v>1913</v>
      </c>
      <c r="C979" s="456" t="n">
        <v>45589</v>
      </c>
      <c r="D979" s="456"/>
      <c r="E979" s="57" t="n">
        <v>14043</v>
      </c>
      <c r="F979" s="323" t="s">
        <v>175</v>
      </c>
      <c r="G979" s="323" t="s">
        <v>15</v>
      </c>
      <c r="H979" s="98" t="n">
        <v>300</v>
      </c>
      <c r="I979" s="457" t="n">
        <v>22.5</v>
      </c>
      <c r="J979" s="313" t="s">
        <v>1651</v>
      </c>
      <c r="K979" s="98" t="n">
        <f aca="false">I979*H979</f>
        <v>6750</v>
      </c>
      <c r="L979" s="411" t="n">
        <v>4977</v>
      </c>
      <c r="M979" s="392" t="n">
        <f aca="false">L979/K979</f>
        <v>0.737333333333333</v>
      </c>
      <c r="N979" s="466" t="n">
        <f aca="false">I979*M979</f>
        <v>16.59</v>
      </c>
      <c r="O979" s="461" t="n">
        <v>300</v>
      </c>
      <c r="P979" s="462" t="n">
        <f aca="false">H979-O979</f>
        <v>0</v>
      </c>
      <c r="Q979" s="463" t="n">
        <f aca="false">O979*I979</f>
        <v>6750</v>
      </c>
      <c r="R979" s="48" t="n">
        <f aca="false">K979-Q979</f>
        <v>0</v>
      </c>
      <c r="S979" s="467"/>
      <c r="T979" s="2" t="s">
        <v>1711</v>
      </c>
      <c r="V979" s="464"/>
      <c r="W979" s="464"/>
      <c r="X979" s="464"/>
      <c r="Y979" s="464"/>
      <c r="Z979" s="464"/>
      <c r="AA979" s="464"/>
      <c r="AB979" s="464"/>
      <c r="AC979" s="464"/>
      <c r="AD979" s="464"/>
      <c r="AE979" s="464"/>
      <c r="AF979" s="464"/>
      <c r="AG979" s="464"/>
      <c r="AH979" s="465"/>
      <c r="AI979" s="464"/>
    </row>
    <row r="980" customFormat="false" ht="15" hidden="false" customHeight="true" outlineLevel="0" collapsed="false">
      <c r="A980" s="455" t="s">
        <v>1913</v>
      </c>
      <c r="C980" s="456" t="n">
        <v>45589</v>
      </c>
      <c r="D980" s="456"/>
      <c r="E980" s="323" t="n">
        <v>14043</v>
      </c>
      <c r="F980" s="323" t="s">
        <v>175</v>
      </c>
      <c r="G980" s="323" t="s">
        <v>5</v>
      </c>
      <c r="H980" s="98" t="n">
        <v>1500</v>
      </c>
      <c r="I980" s="457" t="n">
        <v>25.71</v>
      </c>
      <c r="J980" s="313" t="s">
        <v>1651</v>
      </c>
      <c r="K980" s="98" t="n">
        <f aca="false">I980*H980</f>
        <v>38565</v>
      </c>
      <c r="L980" s="411" t="n">
        <v>18900</v>
      </c>
      <c r="M980" s="392" t="n">
        <f aca="false">L980/K980</f>
        <v>0.490081680280047</v>
      </c>
      <c r="N980" s="466" t="n">
        <f aca="false">I980*M980</f>
        <v>12.6</v>
      </c>
      <c r="O980" s="461" t="n">
        <v>1500</v>
      </c>
      <c r="P980" s="462" t="n">
        <f aca="false">H980-O980</f>
        <v>0</v>
      </c>
      <c r="Q980" s="463" t="n">
        <f aca="false">O980*I980</f>
        <v>38565</v>
      </c>
      <c r="R980" s="48" t="n">
        <f aca="false">K980-Q980</f>
        <v>0</v>
      </c>
      <c r="S980" s="467"/>
      <c r="T980" s="2" t="s">
        <v>1711</v>
      </c>
      <c r="V980" s="464"/>
      <c r="W980" s="464"/>
      <c r="X980" s="464"/>
      <c r="Y980" s="464"/>
      <c r="Z980" s="464"/>
      <c r="AA980" s="464"/>
      <c r="AB980" s="464"/>
      <c r="AC980" s="464"/>
      <c r="AD980" s="464"/>
      <c r="AE980" s="464"/>
      <c r="AF980" s="464"/>
      <c r="AG980" s="464"/>
      <c r="AH980" s="465"/>
      <c r="AI980" s="464"/>
    </row>
    <row r="981" customFormat="false" ht="15" hidden="false" customHeight="true" outlineLevel="0" collapsed="false">
      <c r="A981" s="455" t="s">
        <v>1913</v>
      </c>
      <c r="C981" s="456" t="n">
        <v>45589</v>
      </c>
      <c r="D981" s="456"/>
      <c r="E981" s="57" t="n">
        <v>14043</v>
      </c>
      <c r="F981" s="323" t="s">
        <v>175</v>
      </c>
      <c r="G981" s="323" t="s">
        <v>13</v>
      </c>
      <c r="H981" s="98" t="n">
        <v>900</v>
      </c>
      <c r="I981" s="457" t="n">
        <v>22.5</v>
      </c>
      <c r="J981" s="313" t="s">
        <v>1651</v>
      </c>
      <c r="K981" s="98" t="n">
        <f aca="false">I981*H981</f>
        <v>20250</v>
      </c>
      <c r="L981" s="411" t="n">
        <v>10080</v>
      </c>
      <c r="M981" s="392" t="n">
        <f aca="false">L981/K981</f>
        <v>0.497777777777778</v>
      </c>
      <c r="N981" s="466" t="n">
        <f aca="false">I981*M981</f>
        <v>11.2</v>
      </c>
      <c r="O981" s="461" t="n">
        <v>900</v>
      </c>
      <c r="P981" s="462" t="n">
        <f aca="false">H981-O981</f>
        <v>0</v>
      </c>
      <c r="Q981" s="463" t="n">
        <f aca="false">O981*I981</f>
        <v>20250</v>
      </c>
      <c r="R981" s="48" t="n">
        <f aca="false">K981-Q981</f>
        <v>0</v>
      </c>
      <c r="S981" s="467"/>
      <c r="T981" s="2" t="s">
        <v>1711</v>
      </c>
      <c r="V981" s="464"/>
      <c r="W981" s="464"/>
      <c r="X981" s="464"/>
      <c r="Y981" s="464"/>
      <c r="Z981" s="464"/>
      <c r="AA981" s="464"/>
      <c r="AB981" s="464"/>
      <c r="AC981" s="464"/>
      <c r="AD981" s="464"/>
      <c r="AE981" s="464"/>
      <c r="AF981" s="464"/>
      <c r="AG981" s="464"/>
      <c r="AH981" s="465"/>
      <c r="AI981" s="464"/>
    </row>
    <row r="982" customFormat="false" ht="15" hidden="false" customHeight="true" outlineLevel="0" collapsed="false">
      <c r="A982" s="455" t="s">
        <v>1913</v>
      </c>
      <c r="C982" s="456" t="n">
        <v>45589</v>
      </c>
      <c r="D982" s="456"/>
      <c r="E982" s="57" t="n">
        <v>14043</v>
      </c>
      <c r="F982" s="323" t="s">
        <v>175</v>
      </c>
      <c r="G982" s="323" t="s">
        <v>11</v>
      </c>
      <c r="H982" s="98" t="n">
        <v>150</v>
      </c>
      <c r="I982" s="457" t="n">
        <v>14</v>
      </c>
      <c r="J982" s="313" t="s">
        <v>1651</v>
      </c>
      <c r="K982" s="98" t="n">
        <f aca="false">I982*H982</f>
        <v>2100</v>
      </c>
      <c r="L982" s="411" t="n">
        <v>10000</v>
      </c>
      <c r="M982" s="392" t="n">
        <f aca="false">L982/K982</f>
        <v>4.76190476190476</v>
      </c>
      <c r="N982" s="466" t="n">
        <f aca="false">I982*M982</f>
        <v>66.6666666666667</v>
      </c>
      <c r="O982" s="461" t="n">
        <v>150</v>
      </c>
      <c r="P982" s="462" t="n">
        <f aca="false">H982-O982</f>
        <v>0</v>
      </c>
      <c r="Q982" s="463" t="n">
        <f aca="false">O982*I982</f>
        <v>2100</v>
      </c>
      <c r="R982" s="48" t="n">
        <f aca="false">K982-Q982</f>
        <v>0</v>
      </c>
      <c r="S982" s="467"/>
      <c r="T982" s="2" t="s">
        <v>1711</v>
      </c>
      <c r="V982" s="464"/>
      <c r="W982" s="464"/>
      <c r="X982" s="464"/>
      <c r="Y982" s="464"/>
      <c r="Z982" s="464"/>
      <c r="AA982" s="464"/>
      <c r="AB982" s="464"/>
      <c r="AC982" s="464"/>
      <c r="AD982" s="464"/>
      <c r="AE982" s="464"/>
      <c r="AF982" s="464"/>
      <c r="AG982" s="464"/>
      <c r="AH982" s="465"/>
      <c r="AI982" s="464"/>
    </row>
    <row r="983" customFormat="false" ht="15" hidden="false" customHeight="true" outlineLevel="0" collapsed="false">
      <c r="A983" s="455" t="s">
        <v>1913</v>
      </c>
      <c r="C983" s="456" t="n">
        <v>45589</v>
      </c>
      <c r="D983" s="456"/>
      <c r="E983" s="57" t="n">
        <v>14043</v>
      </c>
      <c r="F983" s="323" t="s">
        <v>175</v>
      </c>
      <c r="G983" s="323" t="s">
        <v>17</v>
      </c>
      <c r="H983" s="98" t="n">
        <v>300</v>
      </c>
      <c r="I983" s="457" t="n">
        <v>22.5</v>
      </c>
      <c r="J983" s="313" t="s">
        <v>1651</v>
      </c>
      <c r="K983" s="98" t="n">
        <f aca="false">I983*H983</f>
        <v>6750</v>
      </c>
      <c r="L983" s="411" t="n">
        <v>3534</v>
      </c>
      <c r="M983" s="392" t="n">
        <f aca="false">L983/K983</f>
        <v>0.523555555555556</v>
      </c>
      <c r="N983" s="466" t="n">
        <f aca="false">I983*M983</f>
        <v>11.78</v>
      </c>
      <c r="O983" s="461" t="n">
        <v>300</v>
      </c>
      <c r="P983" s="462" t="n">
        <f aca="false">H983-O983</f>
        <v>0</v>
      </c>
      <c r="Q983" s="463" t="n">
        <f aca="false">O983*I983</f>
        <v>6750</v>
      </c>
      <c r="R983" s="48" t="n">
        <f aca="false">K983-Q983</f>
        <v>0</v>
      </c>
      <c r="S983" s="467"/>
      <c r="T983" s="2" t="s">
        <v>1711</v>
      </c>
      <c r="V983" s="464"/>
      <c r="W983" s="464"/>
      <c r="X983" s="464"/>
      <c r="Y983" s="464"/>
      <c r="Z983" s="464"/>
      <c r="AA983" s="464"/>
      <c r="AB983" s="464"/>
      <c r="AC983" s="464"/>
      <c r="AD983" s="464"/>
      <c r="AE983" s="464"/>
      <c r="AF983" s="464"/>
      <c r="AG983" s="464"/>
      <c r="AH983" s="465"/>
      <c r="AI983" s="464"/>
    </row>
    <row r="984" customFormat="false" ht="15" hidden="false" customHeight="true" outlineLevel="0" collapsed="false">
      <c r="A984" s="455" t="s">
        <v>1913</v>
      </c>
      <c r="C984" s="456" t="n">
        <v>45589</v>
      </c>
      <c r="D984" s="456"/>
      <c r="E984" s="57" t="n">
        <v>14043</v>
      </c>
      <c r="F984" s="323" t="s">
        <v>175</v>
      </c>
      <c r="G984" s="323" t="s">
        <v>5</v>
      </c>
      <c r="H984" s="98" t="n">
        <v>2000</v>
      </c>
      <c r="I984" s="457" t="n">
        <v>60</v>
      </c>
      <c r="J984" s="313" t="s">
        <v>1653</v>
      </c>
      <c r="K984" s="98" t="n">
        <f aca="false">I984*H984</f>
        <v>120000</v>
      </c>
      <c r="L984" s="411" t="n">
        <v>30160</v>
      </c>
      <c r="M984" s="392" t="n">
        <f aca="false">L984/K984</f>
        <v>0.251333333333333</v>
      </c>
      <c r="N984" s="466" t="n">
        <f aca="false">I984*M984</f>
        <v>15.08</v>
      </c>
      <c r="O984" s="461" t="n">
        <v>2000</v>
      </c>
      <c r="P984" s="462" t="n">
        <f aca="false">H984-O984</f>
        <v>0</v>
      </c>
      <c r="Q984" s="463" t="n">
        <f aca="false">O984*I984</f>
        <v>120000</v>
      </c>
      <c r="R984" s="48" t="n">
        <f aca="false">K984-Q984</f>
        <v>0</v>
      </c>
      <c r="S984" s="467"/>
      <c r="T984" s="2" t="s">
        <v>1711</v>
      </c>
      <c r="V984" s="464"/>
      <c r="W984" s="464"/>
      <c r="X984" s="464"/>
      <c r="Y984" s="464"/>
      <c r="Z984" s="464"/>
      <c r="AA984" s="464"/>
      <c r="AB984" s="464"/>
      <c r="AC984" s="464"/>
      <c r="AD984" s="464"/>
      <c r="AE984" s="464"/>
      <c r="AF984" s="464"/>
      <c r="AG984" s="464"/>
      <c r="AH984" s="465"/>
      <c r="AI984" s="464"/>
    </row>
    <row r="985" customFormat="false" ht="15" hidden="false" customHeight="true" outlineLevel="0" collapsed="false">
      <c r="A985" s="455" t="s">
        <v>1913</v>
      </c>
      <c r="C985" s="456" t="n">
        <v>45589</v>
      </c>
      <c r="D985" s="456"/>
      <c r="E985" s="57" t="n">
        <v>14043</v>
      </c>
      <c r="F985" s="323" t="s">
        <v>175</v>
      </c>
      <c r="G985" s="323" t="s">
        <v>13</v>
      </c>
      <c r="H985" s="98" t="n">
        <v>1500</v>
      </c>
      <c r="I985" s="457" t="n">
        <v>40</v>
      </c>
      <c r="J985" s="313" t="s">
        <v>1653</v>
      </c>
      <c r="K985" s="98" t="n">
        <f aca="false">I985*H985</f>
        <v>60000</v>
      </c>
      <c r="L985" s="411" t="n">
        <v>19545</v>
      </c>
      <c r="M985" s="392" t="n">
        <f aca="false">L985/K985</f>
        <v>0.32575</v>
      </c>
      <c r="N985" s="466" t="n">
        <f aca="false">I985*M985</f>
        <v>13.03</v>
      </c>
      <c r="O985" s="461" t="n">
        <v>1500</v>
      </c>
      <c r="P985" s="462" t="n">
        <f aca="false">H985-O985</f>
        <v>0</v>
      </c>
      <c r="Q985" s="463" t="n">
        <f aca="false">O985*I985</f>
        <v>60000</v>
      </c>
      <c r="R985" s="48" t="n">
        <f aca="false">K985-Q985</f>
        <v>0</v>
      </c>
      <c r="S985" s="467"/>
      <c r="T985" s="2" t="s">
        <v>1711</v>
      </c>
      <c r="V985" s="464"/>
      <c r="W985" s="464"/>
      <c r="X985" s="464"/>
      <c r="Y985" s="464"/>
      <c r="Z985" s="464"/>
      <c r="AA985" s="464"/>
      <c r="AB985" s="464"/>
      <c r="AC985" s="464"/>
      <c r="AD985" s="464"/>
      <c r="AE985" s="464"/>
      <c r="AF985" s="464"/>
      <c r="AG985" s="464"/>
      <c r="AH985" s="465"/>
      <c r="AI985" s="464"/>
    </row>
    <row r="986" customFormat="false" ht="15" hidden="false" customHeight="true" outlineLevel="0" collapsed="false">
      <c r="A986" s="455" t="s">
        <v>58</v>
      </c>
      <c r="C986" s="456" t="n">
        <v>45589</v>
      </c>
      <c r="D986" s="456"/>
      <c r="E986" s="57" t="n">
        <v>14044</v>
      </c>
      <c r="F986" s="323" t="s">
        <v>175</v>
      </c>
      <c r="G986" s="323" t="s">
        <v>19</v>
      </c>
      <c r="H986" s="98" t="n">
        <v>525</v>
      </c>
      <c r="I986" s="457" t="n">
        <v>22.5</v>
      </c>
      <c r="J986" s="313" t="s">
        <v>1651</v>
      </c>
      <c r="K986" s="98" t="n">
        <f aca="false">I986*H986</f>
        <v>11812.5</v>
      </c>
      <c r="L986" s="411" t="n">
        <v>10741.5</v>
      </c>
      <c r="M986" s="392" t="n">
        <f aca="false">L986/K986</f>
        <v>0.909333333333333</v>
      </c>
      <c r="N986" s="466" t="n">
        <f aca="false">I986*M986</f>
        <v>20.46</v>
      </c>
      <c r="O986" s="461" t="n">
        <v>525</v>
      </c>
      <c r="P986" s="462" t="n">
        <f aca="false">H986-O986</f>
        <v>0</v>
      </c>
      <c r="Q986" s="463" t="n">
        <f aca="false">O986*I986</f>
        <v>11812.5</v>
      </c>
      <c r="R986" s="48" t="n">
        <f aca="false">K986-Q986</f>
        <v>0</v>
      </c>
      <c r="S986" s="467"/>
      <c r="T986" s="2" t="s">
        <v>1711</v>
      </c>
      <c r="V986" s="464"/>
      <c r="W986" s="464"/>
      <c r="X986" s="464"/>
      <c r="Y986" s="464"/>
      <c r="Z986" s="464"/>
      <c r="AA986" s="464"/>
      <c r="AB986" s="464"/>
      <c r="AC986" s="464"/>
      <c r="AD986" s="464"/>
      <c r="AE986" s="464"/>
      <c r="AF986" s="464"/>
      <c r="AG986" s="464"/>
      <c r="AH986" s="465"/>
      <c r="AI986" s="464"/>
    </row>
    <row r="987" customFormat="false" ht="15" hidden="false" customHeight="true" outlineLevel="0" collapsed="false">
      <c r="A987" s="455" t="s">
        <v>1913</v>
      </c>
      <c r="C987" s="456" t="n">
        <v>45589</v>
      </c>
      <c r="D987" s="456"/>
      <c r="E987" s="57" t="n">
        <v>14045</v>
      </c>
      <c r="F987" s="323" t="s">
        <v>175</v>
      </c>
      <c r="G987" s="323" t="s">
        <v>15</v>
      </c>
      <c r="H987" s="98" t="n">
        <v>300</v>
      </c>
      <c r="I987" s="457" t="n">
        <v>22.5</v>
      </c>
      <c r="J987" s="313" t="s">
        <v>1651</v>
      </c>
      <c r="K987" s="98" t="n">
        <f aca="false">I987*H987</f>
        <v>6750</v>
      </c>
      <c r="L987" s="411" t="n">
        <v>4977</v>
      </c>
      <c r="M987" s="392" t="n">
        <f aca="false">L987/K987</f>
        <v>0.737333333333333</v>
      </c>
      <c r="N987" s="466" t="n">
        <f aca="false">I987*M987</f>
        <v>16.59</v>
      </c>
      <c r="O987" s="461" t="n">
        <v>300</v>
      </c>
      <c r="P987" s="462" t="n">
        <f aca="false">H987-O987</f>
        <v>0</v>
      </c>
      <c r="Q987" s="463" t="n">
        <f aca="false">O987*I987</f>
        <v>6750</v>
      </c>
      <c r="R987" s="48" t="n">
        <f aca="false">K987-Q987</f>
        <v>0</v>
      </c>
      <c r="S987" s="467"/>
      <c r="T987" s="2" t="s">
        <v>1711</v>
      </c>
      <c r="V987" s="464"/>
      <c r="W987" s="464"/>
      <c r="X987" s="464"/>
      <c r="Y987" s="464"/>
      <c r="Z987" s="464"/>
      <c r="AA987" s="464"/>
      <c r="AB987" s="464"/>
      <c r="AC987" s="464"/>
      <c r="AD987" s="464"/>
      <c r="AE987" s="464"/>
      <c r="AF987" s="464"/>
      <c r="AG987" s="464"/>
      <c r="AH987" s="465"/>
      <c r="AI987" s="464"/>
    </row>
    <row r="988" customFormat="false" ht="15" hidden="false" customHeight="true" outlineLevel="0" collapsed="false">
      <c r="A988" s="455" t="s">
        <v>1913</v>
      </c>
      <c r="C988" s="456" t="n">
        <v>45589</v>
      </c>
      <c r="D988" s="456"/>
      <c r="E988" s="57" t="n">
        <v>14045</v>
      </c>
      <c r="F988" s="323" t="s">
        <v>175</v>
      </c>
      <c r="G988" s="323" t="s">
        <v>5</v>
      </c>
      <c r="H988" s="98" t="n">
        <v>1500</v>
      </c>
      <c r="I988" s="457" t="n">
        <v>25.71</v>
      </c>
      <c r="J988" s="313" t="s">
        <v>1651</v>
      </c>
      <c r="K988" s="98" t="n">
        <f aca="false">I988*H988</f>
        <v>38565</v>
      </c>
      <c r="L988" s="411" t="n">
        <v>18900</v>
      </c>
      <c r="M988" s="392" t="n">
        <f aca="false">L988/K988</f>
        <v>0.490081680280047</v>
      </c>
      <c r="N988" s="466" t="n">
        <f aca="false">I988*M988</f>
        <v>12.6</v>
      </c>
      <c r="O988" s="461" t="n">
        <v>1500</v>
      </c>
      <c r="P988" s="462" t="n">
        <f aca="false">H988-O988</f>
        <v>0</v>
      </c>
      <c r="Q988" s="463" t="n">
        <f aca="false">O988*I988</f>
        <v>38565</v>
      </c>
      <c r="R988" s="48" t="n">
        <f aca="false">K988-Q988</f>
        <v>0</v>
      </c>
      <c r="S988" s="467"/>
      <c r="T988" s="2" t="s">
        <v>1711</v>
      </c>
      <c r="V988" s="464"/>
      <c r="W988" s="464"/>
      <c r="X988" s="464"/>
      <c r="Y988" s="464"/>
      <c r="Z988" s="464"/>
      <c r="AA988" s="464"/>
      <c r="AB988" s="464"/>
      <c r="AC988" s="464"/>
      <c r="AD988" s="464"/>
      <c r="AE988" s="464"/>
      <c r="AF988" s="464"/>
      <c r="AG988" s="464"/>
      <c r="AH988" s="465"/>
      <c r="AI988" s="464"/>
    </row>
    <row r="989" customFormat="false" ht="15" hidden="false" customHeight="true" outlineLevel="0" collapsed="false">
      <c r="A989" s="455" t="s">
        <v>1913</v>
      </c>
      <c r="C989" s="456" t="n">
        <v>45589</v>
      </c>
      <c r="D989" s="456"/>
      <c r="E989" s="57" t="n">
        <v>14045</v>
      </c>
      <c r="F989" s="323" t="s">
        <v>175</v>
      </c>
      <c r="G989" s="323" t="s">
        <v>13</v>
      </c>
      <c r="H989" s="98" t="n">
        <v>900</v>
      </c>
      <c r="I989" s="457" t="n">
        <v>22.5</v>
      </c>
      <c r="J989" s="313" t="s">
        <v>1651</v>
      </c>
      <c r="K989" s="98" t="n">
        <f aca="false">I989*H989</f>
        <v>20250</v>
      </c>
      <c r="L989" s="411" t="n">
        <v>10080</v>
      </c>
      <c r="M989" s="392" t="n">
        <f aca="false">L989/K989</f>
        <v>0.497777777777778</v>
      </c>
      <c r="N989" s="466" t="n">
        <f aca="false">I989*M989</f>
        <v>11.2</v>
      </c>
      <c r="O989" s="461" t="n">
        <v>900</v>
      </c>
      <c r="P989" s="462" t="n">
        <f aca="false">H989-O989</f>
        <v>0</v>
      </c>
      <c r="Q989" s="463" t="n">
        <f aca="false">O989*I989</f>
        <v>20250</v>
      </c>
      <c r="R989" s="48" t="n">
        <f aca="false">K989-Q989</f>
        <v>0</v>
      </c>
      <c r="S989" s="467"/>
      <c r="T989" s="2" t="s">
        <v>1711</v>
      </c>
      <c r="V989" s="464"/>
      <c r="W989" s="464"/>
      <c r="X989" s="464"/>
      <c r="Y989" s="464"/>
      <c r="Z989" s="464"/>
      <c r="AA989" s="464"/>
      <c r="AB989" s="464"/>
      <c r="AC989" s="464"/>
      <c r="AD989" s="464"/>
      <c r="AE989" s="464"/>
      <c r="AF989" s="464"/>
      <c r="AG989" s="464"/>
      <c r="AH989" s="465"/>
      <c r="AI989" s="464"/>
    </row>
    <row r="990" customFormat="false" ht="15" hidden="false" customHeight="true" outlineLevel="0" collapsed="false">
      <c r="A990" s="455" t="s">
        <v>1913</v>
      </c>
      <c r="C990" s="456" t="n">
        <v>45589</v>
      </c>
      <c r="D990" s="456"/>
      <c r="E990" s="57" t="n">
        <v>14045</v>
      </c>
      <c r="F990" s="323" t="s">
        <v>175</v>
      </c>
      <c r="G990" s="323" t="s">
        <v>11</v>
      </c>
      <c r="H990" s="98" t="n">
        <v>150</v>
      </c>
      <c r="I990" s="457" t="n">
        <v>14</v>
      </c>
      <c r="J990" s="313" t="s">
        <v>1651</v>
      </c>
      <c r="K990" s="98" t="n">
        <f aca="false">I990*H990</f>
        <v>2100</v>
      </c>
      <c r="L990" s="411" t="n">
        <v>10000</v>
      </c>
      <c r="M990" s="392" t="n">
        <f aca="false">L990/K990</f>
        <v>4.76190476190476</v>
      </c>
      <c r="N990" s="466" t="n">
        <f aca="false">I990*M990</f>
        <v>66.6666666666667</v>
      </c>
      <c r="O990" s="461" t="n">
        <v>150</v>
      </c>
      <c r="P990" s="462" t="n">
        <f aca="false">H990-O990</f>
        <v>0</v>
      </c>
      <c r="Q990" s="463" t="n">
        <f aca="false">O990*I990</f>
        <v>2100</v>
      </c>
      <c r="R990" s="48" t="n">
        <f aca="false">K990-Q990</f>
        <v>0</v>
      </c>
      <c r="S990" s="467"/>
      <c r="T990" s="2" t="s">
        <v>1711</v>
      </c>
      <c r="V990" s="464"/>
      <c r="W990" s="464"/>
      <c r="X990" s="464"/>
      <c r="Y990" s="464"/>
      <c r="Z990" s="464"/>
      <c r="AA990" s="464"/>
      <c r="AB990" s="464"/>
      <c r="AC990" s="464"/>
      <c r="AD990" s="464"/>
      <c r="AE990" s="464"/>
      <c r="AF990" s="464"/>
      <c r="AG990" s="464"/>
      <c r="AH990" s="465"/>
      <c r="AI990" s="464"/>
    </row>
    <row r="991" customFormat="false" ht="15" hidden="false" customHeight="true" outlineLevel="0" collapsed="false">
      <c r="A991" s="455" t="s">
        <v>1913</v>
      </c>
      <c r="C991" s="456" t="n">
        <v>45589</v>
      </c>
      <c r="D991" s="456"/>
      <c r="E991" s="57" t="n">
        <v>14045</v>
      </c>
      <c r="F991" s="323" t="s">
        <v>175</v>
      </c>
      <c r="G991" s="323" t="s">
        <v>17</v>
      </c>
      <c r="H991" s="98" t="n">
        <v>300</v>
      </c>
      <c r="I991" s="457" t="n">
        <v>22.5</v>
      </c>
      <c r="J991" s="313" t="s">
        <v>1651</v>
      </c>
      <c r="K991" s="98" t="n">
        <f aca="false">I991*H991</f>
        <v>6750</v>
      </c>
      <c r="L991" s="411" t="n">
        <v>3534</v>
      </c>
      <c r="M991" s="392" t="n">
        <f aca="false">L991/K991</f>
        <v>0.523555555555556</v>
      </c>
      <c r="N991" s="466" t="n">
        <f aca="false">I991*M991</f>
        <v>11.78</v>
      </c>
      <c r="O991" s="461" t="n">
        <v>300</v>
      </c>
      <c r="P991" s="462" t="n">
        <f aca="false">H991-O991</f>
        <v>0</v>
      </c>
      <c r="Q991" s="463" t="n">
        <f aca="false">O991*I991</f>
        <v>6750</v>
      </c>
      <c r="R991" s="48" t="n">
        <f aca="false">K991-Q991</f>
        <v>0</v>
      </c>
      <c r="S991" s="467"/>
      <c r="T991" s="2" t="s">
        <v>1711</v>
      </c>
      <c r="V991" s="464"/>
      <c r="W991" s="464"/>
      <c r="X991" s="464"/>
      <c r="Y991" s="464"/>
      <c r="Z991" s="464"/>
      <c r="AA991" s="464"/>
      <c r="AB991" s="464"/>
      <c r="AC991" s="464"/>
      <c r="AD991" s="464"/>
      <c r="AE991" s="464"/>
      <c r="AF991" s="464"/>
      <c r="AG991" s="464"/>
      <c r="AH991" s="465"/>
      <c r="AI991" s="464"/>
    </row>
    <row r="992" customFormat="false" ht="15" hidden="false" customHeight="true" outlineLevel="0" collapsed="false">
      <c r="A992" s="455" t="s">
        <v>1913</v>
      </c>
      <c r="C992" s="456" t="n">
        <v>45589</v>
      </c>
      <c r="D992" s="456"/>
      <c r="E992" s="57" t="n">
        <v>14045</v>
      </c>
      <c r="F992" s="323" t="s">
        <v>175</v>
      </c>
      <c r="G992" s="323" t="s">
        <v>5</v>
      </c>
      <c r="H992" s="98" t="n">
        <v>2250</v>
      </c>
      <c r="I992" s="457" t="n">
        <v>60</v>
      </c>
      <c r="J992" s="313" t="s">
        <v>1653</v>
      </c>
      <c r="K992" s="98" t="n">
        <f aca="false">I992*H992</f>
        <v>135000</v>
      </c>
      <c r="L992" s="411" t="n">
        <v>33930</v>
      </c>
      <c r="M992" s="392" t="n">
        <f aca="false">L992/K992</f>
        <v>0.251333333333333</v>
      </c>
      <c r="N992" s="466" t="n">
        <f aca="false">I992*M992</f>
        <v>15.08</v>
      </c>
      <c r="O992" s="461" t="n">
        <v>2250</v>
      </c>
      <c r="P992" s="462" t="n">
        <f aca="false">H992-O992</f>
        <v>0</v>
      </c>
      <c r="Q992" s="463" t="n">
        <f aca="false">O992*I992</f>
        <v>135000</v>
      </c>
      <c r="R992" s="48" t="n">
        <f aca="false">K992-Q992</f>
        <v>0</v>
      </c>
      <c r="S992" s="467"/>
      <c r="T992" s="2" t="s">
        <v>1711</v>
      </c>
      <c r="V992" s="464"/>
      <c r="W992" s="464"/>
      <c r="X992" s="464"/>
      <c r="Y992" s="464"/>
      <c r="Z992" s="464"/>
      <c r="AA992" s="464"/>
      <c r="AB992" s="464"/>
      <c r="AC992" s="464"/>
      <c r="AD992" s="464"/>
      <c r="AE992" s="464"/>
      <c r="AF992" s="464"/>
      <c r="AG992" s="464"/>
      <c r="AH992" s="465"/>
      <c r="AI992" s="464"/>
    </row>
    <row r="993" customFormat="false" ht="15" hidden="false" customHeight="true" outlineLevel="0" collapsed="false">
      <c r="A993" s="455" t="s">
        <v>1913</v>
      </c>
      <c r="C993" s="456" t="n">
        <v>45589</v>
      </c>
      <c r="D993" s="456"/>
      <c r="E993" s="57" t="n">
        <v>14045</v>
      </c>
      <c r="F993" s="323" t="s">
        <v>175</v>
      </c>
      <c r="G993" s="323" t="s">
        <v>13</v>
      </c>
      <c r="H993" s="98" t="n">
        <v>1500</v>
      </c>
      <c r="I993" s="457" t="n">
        <v>40</v>
      </c>
      <c r="J993" s="313" t="s">
        <v>1653</v>
      </c>
      <c r="K993" s="98" t="n">
        <f aca="false">I993*H993</f>
        <v>60000</v>
      </c>
      <c r="L993" s="411" t="n">
        <v>19545</v>
      </c>
      <c r="M993" s="392" t="n">
        <f aca="false">L993/K993</f>
        <v>0.32575</v>
      </c>
      <c r="N993" s="466" t="n">
        <f aca="false">I993*M993</f>
        <v>13.03</v>
      </c>
      <c r="O993" s="461" t="n">
        <v>1500</v>
      </c>
      <c r="P993" s="462" t="n">
        <f aca="false">H993-O993</f>
        <v>0</v>
      </c>
      <c r="Q993" s="463" t="n">
        <f aca="false">O993*I993</f>
        <v>60000</v>
      </c>
      <c r="R993" s="48" t="n">
        <f aca="false">K993-Q993</f>
        <v>0</v>
      </c>
      <c r="S993" s="467"/>
      <c r="T993" s="2" t="s">
        <v>1711</v>
      </c>
      <c r="V993" s="464"/>
      <c r="W993" s="464"/>
      <c r="X993" s="464"/>
      <c r="Y993" s="464"/>
      <c r="Z993" s="464"/>
      <c r="AA993" s="464"/>
      <c r="AB993" s="464"/>
      <c r="AC993" s="464"/>
      <c r="AD993" s="464"/>
      <c r="AE993" s="464"/>
      <c r="AF993" s="464"/>
      <c r="AG993" s="464"/>
      <c r="AH993" s="465"/>
      <c r="AI993" s="464"/>
    </row>
    <row r="994" customFormat="false" ht="15" hidden="false" customHeight="true" outlineLevel="0" collapsed="false">
      <c r="A994" s="455" t="s">
        <v>1913</v>
      </c>
      <c r="C994" s="456" t="n">
        <v>45589</v>
      </c>
      <c r="D994" s="456"/>
      <c r="E994" s="323" t="n">
        <v>14046</v>
      </c>
      <c r="F994" s="323" t="s">
        <v>175</v>
      </c>
      <c r="G994" s="323" t="s">
        <v>15</v>
      </c>
      <c r="H994" s="98" t="n">
        <v>300</v>
      </c>
      <c r="I994" s="457" t="n">
        <v>22.5</v>
      </c>
      <c r="J994" s="313" t="s">
        <v>1651</v>
      </c>
      <c r="K994" s="98" t="n">
        <f aca="false">I994*H994</f>
        <v>6750</v>
      </c>
      <c r="L994" s="411" t="n">
        <v>4977</v>
      </c>
      <c r="M994" s="392" t="n">
        <f aca="false">L994/K994</f>
        <v>0.737333333333333</v>
      </c>
      <c r="N994" s="466" t="n">
        <f aca="false">I994*M994</f>
        <v>16.59</v>
      </c>
      <c r="O994" s="461" t="n">
        <v>300</v>
      </c>
      <c r="P994" s="462" t="n">
        <f aca="false">H994-O994</f>
        <v>0</v>
      </c>
      <c r="Q994" s="463" t="n">
        <f aca="false">O994*I994</f>
        <v>6750</v>
      </c>
      <c r="R994" s="48" t="n">
        <f aca="false">K994-Q994</f>
        <v>0</v>
      </c>
      <c r="S994" s="467"/>
      <c r="T994" s="2" t="s">
        <v>1711</v>
      </c>
      <c r="V994" s="464"/>
      <c r="W994" s="464"/>
      <c r="X994" s="464"/>
      <c r="Y994" s="464"/>
      <c r="Z994" s="464"/>
      <c r="AA994" s="464"/>
      <c r="AB994" s="464"/>
      <c r="AC994" s="464"/>
      <c r="AD994" s="464"/>
      <c r="AE994" s="464"/>
      <c r="AF994" s="464"/>
      <c r="AG994" s="464"/>
      <c r="AH994" s="465"/>
      <c r="AI994" s="464"/>
    </row>
    <row r="995" customFormat="false" ht="15" hidden="false" customHeight="true" outlineLevel="0" collapsed="false">
      <c r="A995" s="455" t="s">
        <v>1913</v>
      </c>
      <c r="C995" s="456" t="n">
        <v>45589</v>
      </c>
      <c r="D995" s="456"/>
      <c r="E995" s="323" t="n">
        <v>14046</v>
      </c>
      <c r="F995" s="323" t="s">
        <v>175</v>
      </c>
      <c r="G995" s="323" t="s">
        <v>5</v>
      </c>
      <c r="H995" s="98" t="n">
        <v>1500</v>
      </c>
      <c r="I995" s="457" t="n">
        <v>25.71</v>
      </c>
      <c r="J995" s="313" t="s">
        <v>1651</v>
      </c>
      <c r="K995" s="98" t="n">
        <f aca="false">I995*H995</f>
        <v>38565</v>
      </c>
      <c r="L995" s="411" t="n">
        <v>18900</v>
      </c>
      <c r="M995" s="392" t="n">
        <f aca="false">L995/K995</f>
        <v>0.490081680280047</v>
      </c>
      <c r="N995" s="466" t="n">
        <f aca="false">I995*M995</f>
        <v>12.6</v>
      </c>
      <c r="O995" s="461" t="n">
        <v>1500</v>
      </c>
      <c r="P995" s="462" t="n">
        <f aca="false">H995-O995</f>
        <v>0</v>
      </c>
      <c r="Q995" s="463" t="n">
        <f aca="false">O995*I995</f>
        <v>38565</v>
      </c>
      <c r="R995" s="48" t="n">
        <f aca="false">K995-Q995</f>
        <v>0</v>
      </c>
      <c r="S995" s="467"/>
      <c r="T995" s="2" t="s">
        <v>1711</v>
      </c>
      <c r="V995" s="464"/>
      <c r="W995" s="464"/>
      <c r="X995" s="464"/>
      <c r="Y995" s="464"/>
      <c r="Z995" s="464"/>
      <c r="AA995" s="464"/>
      <c r="AB995" s="464"/>
      <c r="AC995" s="464"/>
      <c r="AD995" s="464"/>
      <c r="AE995" s="464"/>
      <c r="AF995" s="464"/>
      <c r="AG995" s="464"/>
      <c r="AH995" s="465"/>
      <c r="AI995" s="464"/>
    </row>
    <row r="996" customFormat="false" ht="15" hidden="false" customHeight="true" outlineLevel="0" collapsed="false">
      <c r="A996" s="455" t="s">
        <v>1913</v>
      </c>
      <c r="C996" s="456" t="n">
        <v>45589</v>
      </c>
      <c r="D996" s="456"/>
      <c r="E996" s="323" t="n">
        <v>14046</v>
      </c>
      <c r="F996" s="323" t="s">
        <v>175</v>
      </c>
      <c r="G996" s="323" t="s">
        <v>13</v>
      </c>
      <c r="H996" s="98" t="n">
        <v>900</v>
      </c>
      <c r="I996" s="457" t="n">
        <v>22.5</v>
      </c>
      <c r="J996" s="313" t="s">
        <v>1651</v>
      </c>
      <c r="K996" s="98" t="n">
        <f aca="false">I996*H996</f>
        <v>20250</v>
      </c>
      <c r="L996" s="411" t="n">
        <v>10080</v>
      </c>
      <c r="M996" s="392" t="n">
        <f aca="false">L996/K996</f>
        <v>0.497777777777778</v>
      </c>
      <c r="N996" s="466" t="n">
        <f aca="false">I996*M996</f>
        <v>11.2</v>
      </c>
      <c r="O996" s="461" t="n">
        <v>900</v>
      </c>
      <c r="P996" s="462" t="n">
        <f aca="false">H996-O996</f>
        <v>0</v>
      </c>
      <c r="Q996" s="463" t="n">
        <f aca="false">O996*I996</f>
        <v>20250</v>
      </c>
      <c r="R996" s="48" t="n">
        <f aca="false">K996-Q996</f>
        <v>0</v>
      </c>
      <c r="S996" s="467"/>
      <c r="T996" s="2" t="s">
        <v>1711</v>
      </c>
      <c r="V996" s="464"/>
      <c r="W996" s="464"/>
      <c r="X996" s="464"/>
      <c r="Y996" s="464"/>
      <c r="Z996" s="464"/>
      <c r="AA996" s="464"/>
      <c r="AB996" s="464"/>
      <c r="AC996" s="464"/>
      <c r="AD996" s="464"/>
      <c r="AE996" s="464"/>
      <c r="AF996" s="464"/>
      <c r="AG996" s="464"/>
      <c r="AH996" s="465"/>
      <c r="AI996" s="464"/>
    </row>
    <row r="997" customFormat="false" ht="15" hidden="false" customHeight="true" outlineLevel="0" collapsed="false">
      <c r="A997" s="455" t="s">
        <v>1913</v>
      </c>
      <c r="C997" s="456" t="n">
        <v>45589</v>
      </c>
      <c r="D997" s="456"/>
      <c r="E997" s="323" t="n">
        <v>14046</v>
      </c>
      <c r="F997" s="323" t="s">
        <v>175</v>
      </c>
      <c r="G997" s="323" t="s">
        <v>11</v>
      </c>
      <c r="H997" s="98" t="n">
        <v>150</v>
      </c>
      <c r="I997" s="457" t="n">
        <v>14</v>
      </c>
      <c r="J997" s="313" t="s">
        <v>1651</v>
      </c>
      <c r="K997" s="98" t="n">
        <f aca="false">I997*H997</f>
        <v>2100</v>
      </c>
      <c r="L997" s="411" t="n">
        <v>10000</v>
      </c>
      <c r="M997" s="392" t="n">
        <f aca="false">L997/K997</f>
        <v>4.76190476190476</v>
      </c>
      <c r="N997" s="466" t="n">
        <f aca="false">I997*M997</f>
        <v>66.6666666666667</v>
      </c>
      <c r="O997" s="461" t="n">
        <v>150</v>
      </c>
      <c r="P997" s="462" t="n">
        <f aca="false">H997-O997</f>
        <v>0</v>
      </c>
      <c r="Q997" s="463" t="n">
        <f aca="false">O997*I997</f>
        <v>2100</v>
      </c>
      <c r="R997" s="48" t="n">
        <f aca="false">K997-Q997</f>
        <v>0</v>
      </c>
      <c r="S997" s="467"/>
      <c r="T997" s="2" t="s">
        <v>1711</v>
      </c>
      <c r="V997" s="464"/>
      <c r="W997" s="464"/>
      <c r="X997" s="464"/>
      <c r="Y997" s="464"/>
      <c r="Z997" s="464"/>
      <c r="AA997" s="464"/>
      <c r="AB997" s="464"/>
      <c r="AC997" s="464"/>
      <c r="AD997" s="464"/>
      <c r="AE997" s="464"/>
      <c r="AF997" s="464"/>
      <c r="AG997" s="464"/>
      <c r="AH997" s="465"/>
      <c r="AI997" s="464"/>
    </row>
    <row r="998" customFormat="false" ht="15" hidden="false" customHeight="true" outlineLevel="0" collapsed="false">
      <c r="A998" s="455" t="s">
        <v>1913</v>
      </c>
      <c r="C998" s="456" t="n">
        <v>45589</v>
      </c>
      <c r="D998" s="456"/>
      <c r="E998" s="323" t="n">
        <v>14046</v>
      </c>
      <c r="F998" s="323" t="s">
        <v>175</v>
      </c>
      <c r="G998" s="323" t="s">
        <v>17</v>
      </c>
      <c r="H998" s="98" t="n">
        <v>300</v>
      </c>
      <c r="I998" s="457" t="n">
        <v>22.5</v>
      </c>
      <c r="J998" s="313" t="s">
        <v>1651</v>
      </c>
      <c r="K998" s="98" t="n">
        <f aca="false">I998*H998</f>
        <v>6750</v>
      </c>
      <c r="L998" s="411" t="n">
        <v>3534</v>
      </c>
      <c r="M998" s="392" t="n">
        <f aca="false">L998/K998</f>
        <v>0.523555555555556</v>
      </c>
      <c r="N998" s="466" t="n">
        <f aca="false">I998*M998</f>
        <v>11.78</v>
      </c>
      <c r="O998" s="461" t="n">
        <v>300</v>
      </c>
      <c r="P998" s="462" t="n">
        <f aca="false">H998-O998</f>
        <v>0</v>
      </c>
      <c r="Q998" s="463" t="n">
        <f aca="false">O998*I998</f>
        <v>6750</v>
      </c>
      <c r="R998" s="48" t="n">
        <f aca="false">K998-Q998</f>
        <v>0</v>
      </c>
      <c r="S998" s="467"/>
      <c r="T998" s="2" t="s">
        <v>1711</v>
      </c>
      <c r="V998" s="464"/>
      <c r="W998" s="464"/>
      <c r="X998" s="464"/>
      <c r="Y998" s="464"/>
      <c r="Z998" s="464"/>
      <c r="AA998" s="464"/>
      <c r="AB998" s="464"/>
      <c r="AC998" s="464"/>
      <c r="AD998" s="464"/>
      <c r="AE998" s="464"/>
      <c r="AF998" s="464"/>
      <c r="AG998" s="464"/>
      <c r="AH998" s="465"/>
      <c r="AI998" s="464"/>
    </row>
    <row r="999" customFormat="false" ht="15" hidden="false" customHeight="true" outlineLevel="0" collapsed="false">
      <c r="A999" s="455" t="s">
        <v>1913</v>
      </c>
      <c r="C999" s="456" t="n">
        <v>45589</v>
      </c>
      <c r="D999" s="456"/>
      <c r="E999" s="323" t="n">
        <v>14046</v>
      </c>
      <c r="F999" s="323" t="s">
        <v>175</v>
      </c>
      <c r="G999" s="323" t="s">
        <v>5</v>
      </c>
      <c r="H999" s="98" t="n">
        <v>2000</v>
      </c>
      <c r="I999" s="457" t="n">
        <v>60</v>
      </c>
      <c r="J999" s="313" t="s">
        <v>1653</v>
      </c>
      <c r="K999" s="98" t="n">
        <f aca="false">I999*H999</f>
        <v>120000</v>
      </c>
      <c r="L999" s="411" t="n">
        <v>30160</v>
      </c>
      <c r="M999" s="392" t="n">
        <f aca="false">L999/K999</f>
        <v>0.251333333333333</v>
      </c>
      <c r="N999" s="466" t="n">
        <f aca="false">I999*M999</f>
        <v>15.08</v>
      </c>
      <c r="O999" s="461" t="n">
        <v>2000</v>
      </c>
      <c r="P999" s="462" t="n">
        <f aca="false">H999-O999</f>
        <v>0</v>
      </c>
      <c r="Q999" s="463" t="n">
        <f aca="false">O999*I999</f>
        <v>120000</v>
      </c>
      <c r="R999" s="48" t="n">
        <f aca="false">K999-Q999</f>
        <v>0</v>
      </c>
      <c r="S999" s="467"/>
      <c r="T999" s="2" t="s">
        <v>1711</v>
      </c>
      <c r="V999" s="464"/>
      <c r="W999" s="464"/>
      <c r="X999" s="464"/>
      <c r="Y999" s="464"/>
      <c r="Z999" s="464"/>
      <c r="AA999" s="464"/>
      <c r="AB999" s="464"/>
      <c r="AC999" s="464"/>
      <c r="AD999" s="464"/>
      <c r="AE999" s="464"/>
      <c r="AF999" s="464"/>
      <c r="AG999" s="464"/>
      <c r="AH999" s="465"/>
      <c r="AI999" s="464"/>
    </row>
    <row r="1000" customFormat="false" ht="15" hidden="false" customHeight="true" outlineLevel="0" collapsed="false">
      <c r="A1000" s="455" t="s">
        <v>1913</v>
      </c>
      <c r="C1000" s="456" t="n">
        <v>45589</v>
      </c>
      <c r="D1000" s="456"/>
      <c r="E1000" s="323" t="n">
        <v>14046</v>
      </c>
      <c r="F1000" s="323" t="s">
        <v>175</v>
      </c>
      <c r="G1000" s="323" t="s">
        <v>13</v>
      </c>
      <c r="H1000" s="98" t="n">
        <v>1500</v>
      </c>
      <c r="I1000" s="457" t="n">
        <v>40</v>
      </c>
      <c r="J1000" s="313" t="s">
        <v>1653</v>
      </c>
      <c r="K1000" s="98" t="n">
        <f aca="false">I1000*H1000</f>
        <v>60000</v>
      </c>
      <c r="L1000" s="411" t="n">
        <v>19545</v>
      </c>
      <c r="M1000" s="392" t="n">
        <f aca="false">L1000/K1000</f>
        <v>0.32575</v>
      </c>
      <c r="N1000" s="466" t="n">
        <f aca="false">I1000*M1000</f>
        <v>13.03</v>
      </c>
      <c r="O1000" s="461" t="n">
        <v>1500</v>
      </c>
      <c r="P1000" s="462" t="n">
        <f aca="false">H1000-O1000</f>
        <v>0</v>
      </c>
      <c r="Q1000" s="463" t="n">
        <f aca="false">O1000*I1000</f>
        <v>60000</v>
      </c>
      <c r="R1000" s="48" t="n">
        <f aca="false">K1000-Q1000</f>
        <v>0</v>
      </c>
      <c r="S1000" s="467"/>
      <c r="T1000" s="2" t="s">
        <v>1711</v>
      </c>
      <c r="V1000" s="464"/>
      <c r="W1000" s="464"/>
      <c r="X1000" s="464"/>
      <c r="Y1000" s="464"/>
      <c r="Z1000" s="464"/>
      <c r="AA1000" s="464"/>
      <c r="AB1000" s="464"/>
      <c r="AC1000" s="464"/>
      <c r="AD1000" s="464"/>
      <c r="AE1000" s="464"/>
      <c r="AF1000" s="464"/>
      <c r="AG1000" s="464"/>
      <c r="AH1000" s="465"/>
      <c r="AI1000" s="464"/>
    </row>
    <row r="1001" customFormat="false" ht="15" hidden="false" customHeight="true" outlineLevel="0" collapsed="false">
      <c r="A1001" s="455" t="s">
        <v>1812</v>
      </c>
      <c r="C1001" s="456" t="n">
        <v>45589</v>
      </c>
      <c r="D1001" s="456"/>
      <c r="E1001" s="323" t="n">
        <v>14048</v>
      </c>
      <c r="F1001" s="57" t="s">
        <v>175</v>
      </c>
      <c r="G1001" s="323" t="s">
        <v>5</v>
      </c>
      <c r="H1001" s="98" t="n">
        <v>750</v>
      </c>
      <c r="I1001" s="457" t="n">
        <v>25.71</v>
      </c>
      <c r="J1001" s="313" t="s">
        <v>1651</v>
      </c>
      <c r="K1001" s="98" t="n">
        <f aca="false">I1001*H1001</f>
        <v>19282.5</v>
      </c>
      <c r="L1001" s="411" t="n">
        <v>9765</v>
      </c>
      <c r="M1001" s="392" t="n">
        <f aca="false">L1001/K1001</f>
        <v>0.506417736289382</v>
      </c>
      <c r="N1001" s="466" t="n">
        <f aca="false">I1001*M1001</f>
        <v>13.02</v>
      </c>
      <c r="O1001" s="461" t="n">
        <v>750</v>
      </c>
      <c r="P1001" s="462" t="n">
        <f aca="false">H1001-O1001</f>
        <v>0</v>
      </c>
      <c r="Q1001" s="463" t="n">
        <f aca="false">O1001*I1001</f>
        <v>19282.5</v>
      </c>
      <c r="R1001" s="48" t="n">
        <f aca="false">K1001-Q1001</f>
        <v>0</v>
      </c>
      <c r="S1001" s="467"/>
      <c r="T1001" s="2" t="s">
        <v>1711</v>
      </c>
      <c r="V1001" s="464"/>
      <c r="W1001" s="464"/>
      <c r="X1001" s="464"/>
      <c r="Y1001" s="464"/>
      <c r="Z1001" s="464"/>
      <c r="AA1001" s="464"/>
      <c r="AB1001" s="464"/>
      <c r="AC1001" s="464"/>
      <c r="AD1001" s="464"/>
      <c r="AE1001" s="464"/>
      <c r="AF1001" s="464"/>
      <c r="AG1001" s="464"/>
      <c r="AH1001" s="465"/>
      <c r="AI1001" s="464"/>
    </row>
    <row r="1002" customFormat="false" ht="15" hidden="false" customHeight="true" outlineLevel="0" collapsed="false">
      <c r="A1002" s="455" t="s">
        <v>1859</v>
      </c>
      <c r="C1002" s="456" t="n">
        <v>45589</v>
      </c>
      <c r="D1002" s="456"/>
      <c r="E1002" s="323" t="n">
        <v>14049</v>
      </c>
      <c r="F1002" s="57" t="s">
        <v>175</v>
      </c>
      <c r="G1002" s="323" t="s">
        <v>13</v>
      </c>
      <c r="H1002" s="98" t="n">
        <v>525</v>
      </c>
      <c r="I1002" s="457" t="n">
        <v>40</v>
      </c>
      <c r="J1002" s="313" t="s">
        <v>1653</v>
      </c>
      <c r="K1002" s="98" t="n">
        <f aca="false">I1002*H1002</f>
        <v>21000</v>
      </c>
      <c r="L1002" s="411" t="n">
        <v>5880</v>
      </c>
      <c r="M1002" s="392" t="n">
        <f aca="false">L1002/K1002</f>
        <v>0.28</v>
      </c>
      <c r="N1002" s="466" t="n">
        <f aca="false">I1002*M1002</f>
        <v>11.2</v>
      </c>
      <c r="O1002" s="461" t="n">
        <v>525</v>
      </c>
      <c r="P1002" s="462" t="n">
        <f aca="false">H1002-O1002</f>
        <v>0</v>
      </c>
      <c r="Q1002" s="463" t="n">
        <f aca="false">O1002*I1002</f>
        <v>21000</v>
      </c>
      <c r="R1002" s="48" t="n">
        <f aca="false">K1002-Q1002</f>
        <v>0</v>
      </c>
      <c r="S1002" s="467"/>
      <c r="T1002" s="2" t="s">
        <v>1711</v>
      </c>
      <c r="V1002" s="464"/>
      <c r="W1002" s="464"/>
      <c r="X1002" s="464"/>
      <c r="Y1002" s="464"/>
      <c r="Z1002" s="464"/>
      <c r="AA1002" s="464"/>
      <c r="AB1002" s="464"/>
      <c r="AC1002" s="464"/>
      <c r="AD1002" s="464"/>
      <c r="AE1002" s="464"/>
      <c r="AF1002" s="464"/>
      <c r="AG1002" s="464"/>
      <c r="AH1002" s="465"/>
      <c r="AI1002" s="464"/>
    </row>
    <row r="1003" customFormat="false" ht="15" hidden="false" customHeight="true" outlineLevel="0" collapsed="false">
      <c r="A1003" s="455" t="s">
        <v>1859</v>
      </c>
      <c r="C1003" s="456" t="n">
        <v>45589</v>
      </c>
      <c r="D1003" s="456"/>
      <c r="E1003" s="323" t="n">
        <v>14049</v>
      </c>
      <c r="F1003" s="57" t="s">
        <v>175</v>
      </c>
      <c r="G1003" s="323" t="s">
        <v>11</v>
      </c>
      <c r="H1003" s="98" t="n">
        <v>165</v>
      </c>
      <c r="I1003" s="457" t="n">
        <v>14</v>
      </c>
      <c r="J1003" s="313" t="s">
        <v>1651</v>
      </c>
      <c r="K1003" s="98" t="n">
        <f aca="false">I1003*H1003</f>
        <v>2310</v>
      </c>
      <c r="L1003" s="411" t="n">
        <v>8662.5</v>
      </c>
      <c r="M1003" s="392" t="n">
        <f aca="false">L1003/K1003</f>
        <v>3.75</v>
      </c>
      <c r="N1003" s="466" t="n">
        <f aca="false">I1003*M1003</f>
        <v>52.5</v>
      </c>
      <c r="O1003" s="461" t="n">
        <v>165</v>
      </c>
      <c r="P1003" s="462" t="n">
        <f aca="false">H1003-O1003</f>
        <v>0</v>
      </c>
      <c r="Q1003" s="463" t="n">
        <f aca="false">O1003*I1003</f>
        <v>2310</v>
      </c>
      <c r="R1003" s="48" t="n">
        <f aca="false">K1003-Q1003</f>
        <v>0</v>
      </c>
      <c r="S1003" s="467"/>
      <c r="T1003" s="2" t="s">
        <v>1711</v>
      </c>
      <c r="V1003" s="464"/>
      <c r="W1003" s="464"/>
      <c r="X1003" s="464"/>
      <c r="Y1003" s="464"/>
      <c r="Z1003" s="464"/>
      <c r="AA1003" s="464"/>
      <c r="AB1003" s="464"/>
      <c r="AC1003" s="464"/>
      <c r="AD1003" s="464"/>
      <c r="AE1003" s="464"/>
      <c r="AF1003" s="464"/>
      <c r="AG1003" s="464"/>
      <c r="AH1003" s="465"/>
      <c r="AI1003" s="464"/>
    </row>
    <row r="1004" customFormat="false" ht="15" hidden="false" customHeight="true" outlineLevel="0" collapsed="false">
      <c r="A1004" s="455" t="s">
        <v>1753</v>
      </c>
      <c r="C1004" s="456" t="n">
        <v>45589</v>
      </c>
      <c r="D1004" s="456"/>
      <c r="E1004" s="57" t="n">
        <v>14051</v>
      </c>
      <c r="F1004" s="57" t="s">
        <v>175</v>
      </c>
      <c r="G1004" s="323" t="s">
        <v>11</v>
      </c>
      <c r="H1004" s="98" t="n">
        <v>3000</v>
      </c>
      <c r="I1004" s="457" t="n">
        <v>14</v>
      </c>
      <c r="J1004" s="313" t="s">
        <v>1651</v>
      </c>
      <c r="K1004" s="98" t="n">
        <f aca="false">I1004*H1004</f>
        <v>42000</v>
      </c>
      <c r="L1004" s="411" t="n">
        <v>157500</v>
      </c>
      <c r="M1004" s="392" t="n">
        <f aca="false">L1004/K1004</f>
        <v>3.75</v>
      </c>
      <c r="N1004" s="466" t="n">
        <f aca="false">I1004*M1004</f>
        <v>52.5</v>
      </c>
      <c r="O1004" s="461" t="n">
        <v>3000</v>
      </c>
      <c r="P1004" s="462" t="n">
        <f aca="false">H1004-O1004</f>
        <v>0</v>
      </c>
      <c r="Q1004" s="463" t="n">
        <f aca="false">O1004*I1004</f>
        <v>42000</v>
      </c>
      <c r="R1004" s="48" t="n">
        <f aca="false">K1004-Q1004</f>
        <v>0</v>
      </c>
      <c r="S1004" s="467"/>
      <c r="T1004" s="2" t="s">
        <v>1711</v>
      </c>
      <c r="V1004" s="464"/>
      <c r="W1004" s="464"/>
      <c r="X1004" s="464"/>
      <c r="Y1004" s="464"/>
      <c r="Z1004" s="464"/>
      <c r="AA1004" s="464"/>
      <c r="AB1004" s="464"/>
      <c r="AC1004" s="464"/>
      <c r="AD1004" s="464"/>
      <c r="AE1004" s="464"/>
      <c r="AF1004" s="464"/>
      <c r="AG1004" s="464"/>
      <c r="AH1004" s="465"/>
      <c r="AI1004" s="464"/>
    </row>
    <row r="1005" customFormat="false" ht="15" hidden="false" customHeight="true" outlineLevel="0" collapsed="false">
      <c r="A1005" s="455" t="s">
        <v>1753</v>
      </c>
      <c r="C1005" s="456" t="n">
        <v>45589</v>
      </c>
      <c r="D1005" s="456"/>
      <c r="E1005" s="57" t="n">
        <v>14051</v>
      </c>
      <c r="F1005" s="57" t="s">
        <v>175</v>
      </c>
      <c r="G1005" s="323" t="s">
        <v>42</v>
      </c>
      <c r="H1005" s="98" t="n">
        <v>4175</v>
      </c>
      <c r="I1005" s="457" t="n">
        <v>60</v>
      </c>
      <c r="J1005" s="313" t="s">
        <v>1653</v>
      </c>
      <c r="K1005" s="98" t="n">
        <f aca="false">I1005*H1005</f>
        <v>250500</v>
      </c>
      <c r="L1005" s="411" t="n">
        <v>83500</v>
      </c>
      <c r="M1005" s="392" t="n">
        <f aca="false">L1005/K1005</f>
        <v>0.333333333333333</v>
      </c>
      <c r="N1005" s="466" t="n">
        <f aca="false">I1005*M1005</f>
        <v>20</v>
      </c>
      <c r="O1005" s="461" t="n">
        <v>4175</v>
      </c>
      <c r="P1005" s="462" t="n">
        <f aca="false">H1005-O1005</f>
        <v>0</v>
      </c>
      <c r="Q1005" s="463" t="n">
        <f aca="false">O1005*I1005</f>
        <v>250500</v>
      </c>
      <c r="R1005" s="48" t="n">
        <f aca="false">K1005-Q1005</f>
        <v>0</v>
      </c>
      <c r="S1005" s="467"/>
      <c r="T1005" s="2" t="s">
        <v>1711</v>
      </c>
      <c r="V1005" s="464"/>
      <c r="W1005" s="464"/>
      <c r="X1005" s="464"/>
      <c r="Y1005" s="464"/>
      <c r="Z1005" s="464"/>
      <c r="AA1005" s="464"/>
      <c r="AB1005" s="464"/>
      <c r="AC1005" s="464"/>
      <c r="AD1005" s="464"/>
      <c r="AE1005" s="464"/>
      <c r="AF1005" s="464"/>
      <c r="AG1005" s="464"/>
      <c r="AH1005" s="465"/>
      <c r="AI1005" s="464"/>
    </row>
    <row r="1006" customFormat="false" ht="15" hidden="false" customHeight="true" outlineLevel="0" collapsed="false">
      <c r="A1006" s="455" t="s">
        <v>1753</v>
      </c>
      <c r="C1006" s="456" t="n">
        <v>45589</v>
      </c>
      <c r="D1006" s="456"/>
      <c r="E1006" s="57" t="n">
        <v>14051</v>
      </c>
      <c r="F1006" s="57" t="s">
        <v>175</v>
      </c>
      <c r="G1006" s="323" t="s">
        <v>13</v>
      </c>
      <c r="H1006" s="98" t="n">
        <v>5000</v>
      </c>
      <c r="I1006" s="457" t="n">
        <v>40</v>
      </c>
      <c r="J1006" s="313" t="s">
        <v>1653</v>
      </c>
      <c r="K1006" s="98" t="n">
        <f aca="false">I1006*H1006</f>
        <v>200000</v>
      </c>
      <c r="L1006" s="411" t="n">
        <v>56000</v>
      </c>
      <c r="M1006" s="392" t="n">
        <f aca="false">L1006/K1006</f>
        <v>0.28</v>
      </c>
      <c r="N1006" s="466" t="n">
        <f aca="false">I1006*M1006</f>
        <v>11.2</v>
      </c>
      <c r="O1006" s="461" t="n">
        <v>5000</v>
      </c>
      <c r="P1006" s="462" t="n">
        <f aca="false">H1006-O1006</f>
        <v>0</v>
      </c>
      <c r="Q1006" s="463" t="n">
        <f aca="false">O1006*I1006</f>
        <v>200000</v>
      </c>
      <c r="R1006" s="48" t="n">
        <f aca="false">K1006-Q1006</f>
        <v>0</v>
      </c>
      <c r="S1006" s="467"/>
      <c r="T1006" s="2" t="s">
        <v>1711</v>
      </c>
      <c r="V1006" s="464"/>
      <c r="W1006" s="464"/>
      <c r="X1006" s="464"/>
      <c r="Y1006" s="464"/>
      <c r="Z1006" s="464"/>
      <c r="AA1006" s="464"/>
      <c r="AB1006" s="464"/>
      <c r="AC1006" s="464"/>
      <c r="AD1006" s="464"/>
      <c r="AE1006" s="464"/>
      <c r="AF1006" s="464"/>
      <c r="AG1006" s="464"/>
      <c r="AH1006" s="465"/>
      <c r="AI1006" s="464"/>
    </row>
    <row r="1007" customFormat="false" ht="15" hidden="false" customHeight="true" outlineLevel="0" collapsed="false">
      <c r="A1007" s="455" t="s">
        <v>1753</v>
      </c>
      <c r="C1007" s="456" t="n">
        <v>45589</v>
      </c>
      <c r="D1007" s="456"/>
      <c r="E1007" s="323" t="n">
        <v>14052</v>
      </c>
      <c r="F1007" s="57" t="s">
        <v>175</v>
      </c>
      <c r="G1007" s="323" t="s">
        <v>13</v>
      </c>
      <c r="H1007" s="98" t="n">
        <v>3000</v>
      </c>
      <c r="I1007" s="457" t="n">
        <v>22.5</v>
      </c>
      <c r="J1007" s="313" t="s">
        <v>1651</v>
      </c>
      <c r="K1007" s="98" t="n">
        <f aca="false">I1007*H1007</f>
        <v>67500</v>
      </c>
      <c r="L1007" s="411" t="n">
        <v>3360</v>
      </c>
      <c r="M1007" s="392" t="n">
        <f aca="false">L1007/K1007</f>
        <v>0.0497777777777778</v>
      </c>
      <c r="N1007" s="466" t="n">
        <f aca="false">I1007*M1007</f>
        <v>1.12</v>
      </c>
      <c r="O1007" s="461" t="n">
        <v>3000</v>
      </c>
      <c r="P1007" s="462" t="n">
        <f aca="false">H1007-O1007</f>
        <v>0</v>
      </c>
      <c r="Q1007" s="463" t="n">
        <f aca="false">O1007*I1007</f>
        <v>67500</v>
      </c>
      <c r="R1007" s="48" t="n">
        <f aca="false">K1007-Q1007</f>
        <v>0</v>
      </c>
      <c r="S1007" s="467"/>
      <c r="T1007" s="2" t="s">
        <v>1711</v>
      </c>
      <c r="V1007" s="464"/>
      <c r="W1007" s="464"/>
      <c r="X1007" s="464"/>
      <c r="Y1007" s="464"/>
      <c r="Z1007" s="464"/>
      <c r="AA1007" s="464"/>
      <c r="AB1007" s="464"/>
      <c r="AC1007" s="464"/>
      <c r="AD1007" s="464"/>
      <c r="AE1007" s="464"/>
      <c r="AF1007" s="464"/>
      <c r="AG1007" s="464"/>
      <c r="AH1007" s="465"/>
      <c r="AI1007" s="464"/>
    </row>
    <row r="1008" customFormat="false" ht="15" hidden="false" customHeight="true" outlineLevel="0" collapsed="false">
      <c r="A1008" s="455" t="s">
        <v>1753</v>
      </c>
      <c r="C1008" s="456" t="n">
        <v>45589</v>
      </c>
      <c r="D1008" s="456"/>
      <c r="E1008" s="323" t="n">
        <v>14052</v>
      </c>
      <c r="F1008" s="57" t="s">
        <v>175</v>
      </c>
      <c r="G1008" s="323" t="s">
        <v>11</v>
      </c>
      <c r="H1008" s="98" t="n">
        <v>2010</v>
      </c>
      <c r="I1008" s="457" t="n">
        <v>14</v>
      </c>
      <c r="J1008" s="313" t="s">
        <v>1651</v>
      </c>
      <c r="K1008" s="98" t="n">
        <f aca="false">I1008*H1008</f>
        <v>28140</v>
      </c>
      <c r="L1008" s="411" t="n">
        <v>105525</v>
      </c>
      <c r="M1008" s="392" t="n">
        <f aca="false">L1008/K1008</f>
        <v>3.75</v>
      </c>
      <c r="N1008" s="466" t="n">
        <f aca="false">I1008*M1008</f>
        <v>52.5</v>
      </c>
      <c r="O1008" s="461" t="n">
        <v>2010</v>
      </c>
      <c r="P1008" s="462" t="n">
        <f aca="false">H1008-O1008</f>
        <v>0</v>
      </c>
      <c r="Q1008" s="463" t="n">
        <f aca="false">O1008*I1008</f>
        <v>28140</v>
      </c>
      <c r="R1008" s="48" t="n">
        <f aca="false">K1008-Q1008</f>
        <v>0</v>
      </c>
      <c r="S1008" s="467"/>
      <c r="T1008" s="2" t="s">
        <v>1711</v>
      </c>
      <c r="V1008" s="464"/>
      <c r="W1008" s="464"/>
      <c r="X1008" s="464"/>
      <c r="Y1008" s="464"/>
      <c r="Z1008" s="464"/>
      <c r="AA1008" s="464"/>
      <c r="AB1008" s="464"/>
      <c r="AC1008" s="464"/>
      <c r="AD1008" s="464"/>
      <c r="AE1008" s="464"/>
      <c r="AF1008" s="464"/>
      <c r="AG1008" s="464"/>
      <c r="AH1008" s="465"/>
      <c r="AI1008" s="464"/>
    </row>
    <row r="1009" customFormat="false" ht="15" hidden="false" customHeight="true" outlineLevel="0" collapsed="false">
      <c r="A1009" s="455" t="s">
        <v>1914</v>
      </c>
      <c r="C1009" s="456" t="n">
        <v>45589</v>
      </c>
      <c r="D1009" s="456"/>
      <c r="E1009" s="323" t="n">
        <v>14053</v>
      </c>
      <c r="F1009" s="57" t="s">
        <v>175</v>
      </c>
      <c r="G1009" s="323" t="s">
        <v>6</v>
      </c>
      <c r="H1009" s="98" t="n">
        <v>510</v>
      </c>
      <c r="I1009" s="457" t="n">
        <v>30</v>
      </c>
      <c r="J1009" s="313" t="s">
        <v>1651</v>
      </c>
      <c r="K1009" s="98" t="n">
        <f aca="false">I1009*H1009</f>
        <v>15300</v>
      </c>
      <c r="L1009" s="411" t="n">
        <v>11475</v>
      </c>
      <c r="M1009" s="392" t="n">
        <f aca="false">L1009/K1009</f>
        <v>0.75</v>
      </c>
      <c r="N1009" s="466" t="n">
        <f aca="false">I1009*M1009</f>
        <v>22.5</v>
      </c>
      <c r="O1009" s="461" t="n">
        <v>510</v>
      </c>
      <c r="P1009" s="462" t="n">
        <f aca="false">H1009-O1009</f>
        <v>0</v>
      </c>
      <c r="Q1009" s="463" t="n">
        <f aca="false">O1009*I1009</f>
        <v>15300</v>
      </c>
      <c r="R1009" s="48" t="n">
        <f aca="false">K1009-Q1009</f>
        <v>0</v>
      </c>
      <c r="S1009" s="467"/>
      <c r="T1009" s="2" t="s">
        <v>1711</v>
      </c>
      <c r="V1009" s="464"/>
      <c r="W1009" s="464"/>
      <c r="X1009" s="464"/>
      <c r="Y1009" s="464"/>
      <c r="Z1009" s="464"/>
      <c r="AA1009" s="464"/>
      <c r="AB1009" s="464"/>
      <c r="AC1009" s="464"/>
      <c r="AD1009" s="464"/>
      <c r="AE1009" s="464"/>
      <c r="AF1009" s="464"/>
      <c r="AG1009" s="464"/>
      <c r="AH1009" s="465"/>
      <c r="AI1009" s="464"/>
    </row>
    <row r="1010" customFormat="false" ht="15" hidden="false" customHeight="true" outlineLevel="0" collapsed="false">
      <c r="A1010" s="455" t="s">
        <v>1753</v>
      </c>
      <c r="C1010" s="456" t="n">
        <v>45589</v>
      </c>
      <c r="D1010" s="456"/>
      <c r="E1010" s="57" t="n">
        <v>14054</v>
      </c>
      <c r="F1010" s="323" t="s">
        <v>175</v>
      </c>
      <c r="G1010" s="323" t="s">
        <v>7</v>
      </c>
      <c r="H1010" s="98" t="n">
        <v>4005</v>
      </c>
      <c r="I1010" s="457" t="n">
        <v>25.71</v>
      </c>
      <c r="J1010" s="313" t="s">
        <v>1651</v>
      </c>
      <c r="K1010" s="98" t="n">
        <f aca="false">I1010*H1010</f>
        <v>102968.55</v>
      </c>
      <c r="L1010" s="411" t="n">
        <v>47259</v>
      </c>
      <c r="M1010" s="392" t="n">
        <f aca="false">L1010/K1010</f>
        <v>0.458965383119409</v>
      </c>
      <c r="N1010" s="466" t="n">
        <f aca="false">I1010*M1010</f>
        <v>11.8</v>
      </c>
      <c r="O1010" s="461" t="n">
        <v>4005</v>
      </c>
      <c r="P1010" s="462" t="n">
        <f aca="false">H1010-O1010</f>
        <v>0</v>
      </c>
      <c r="Q1010" s="463" t="n">
        <f aca="false">O1010*I1010</f>
        <v>102968.55</v>
      </c>
      <c r="R1010" s="48" t="n">
        <f aca="false">K1010-Q1010</f>
        <v>0</v>
      </c>
      <c r="S1010" s="467"/>
      <c r="T1010" s="2" t="s">
        <v>1711</v>
      </c>
      <c r="V1010" s="464"/>
      <c r="W1010" s="464"/>
      <c r="X1010" s="464"/>
      <c r="Y1010" s="464"/>
      <c r="Z1010" s="464"/>
      <c r="AA1010" s="464"/>
      <c r="AB1010" s="464"/>
      <c r="AC1010" s="464"/>
      <c r="AD1010" s="464"/>
      <c r="AE1010" s="464"/>
      <c r="AF1010" s="464"/>
      <c r="AG1010" s="464"/>
      <c r="AH1010" s="465"/>
      <c r="AI1010" s="464"/>
    </row>
    <row r="1011" customFormat="false" ht="15" hidden="false" customHeight="true" outlineLevel="0" collapsed="false">
      <c r="A1011" s="455" t="s">
        <v>1753</v>
      </c>
      <c r="C1011" s="456" t="n">
        <v>45589</v>
      </c>
      <c r="D1011" s="456"/>
      <c r="E1011" s="57" t="n">
        <v>14054</v>
      </c>
      <c r="F1011" s="323" t="s">
        <v>175</v>
      </c>
      <c r="G1011" s="323" t="s">
        <v>13</v>
      </c>
      <c r="H1011" s="98" t="n">
        <v>3000</v>
      </c>
      <c r="I1011" s="457" t="n">
        <v>22.5</v>
      </c>
      <c r="J1011" s="313" t="s">
        <v>1651</v>
      </c>
      <c r="K1011" s="98" t="n">
        <f aca="false">I1011*H1011</f>
        <v>67500</v>
      </c>
      <c r="L1011" s="411" t="n">
        <v>33600</v>
      </c>
      <c r="M1011" s="392" t="n">
        <f aca="false">L1011/K1011</f>
        <v>0.497777777777778</v>
      </c>
      <c r="N1011" s="466" t="n">
        <f aca="false">I1011*M1011</f>
        <v>11.2</v>
      </c>
      <c r="O1011" s="461" t="n">
        <v>3000</v>
      </c>
      <c r="P1011" s="462" t="n">
        <f aca="false">H1011-O1011</f>
        <v>0</v>
      </c>
      <c r="Q1011" s="463" t="n">
        <f aca="false">O1011*I1011</f>
        <v>67500</v>
      </c>
      <c r="R1011" s="48" t="n">
        <f aca="false">K1011-Q1011</f>
        <v>0</v>
      </c>
      <c r="S1011" s="467"/>
      <c r="T1011" s="2" t="s">
        <v>1711</v>
      </c>
      <c r="V1011" s="464"/>
      <c r="W1011" s="464"/>
      <c r="X1011" s="464"/>
      <c r="Y1011" s="464"/>
      <c r="Z1011" s="464"/>
      <c r="AA1011" s="464"/>
      <c r="AB1011" s="464"/>
      <c r="AC1011" s="464"/>
      <c r="AD1011" s="464"/>
      <c r="AE1011" s="464"/>
      <c r="AF1011" s="464"/>
      <c r="AG1011" s="464"/>
      <c r="AH1011" s="465"/>
      <c r="AI1011" s="464"/>
    </row>
    <row r="1012" customFormat="false" ht="15" hidden="false" customHeight="true" outlineLevel="0" collapsed="false">
      <c r="A1012" s="455" t="s">
        <v>1753</v>
      </c>
      <c r="C1012" s="456" t="n">
        <v>45589</v>
      </c>
      <c r="D1012" s="456"/>
      <c r="E1012" s="57" t="n">
        <v>14054</v>
      </c>
      <c r="F1012" s="323" t="s">
        <v>175</v>
      </c>
      <c r="G1012" s="323" t="s">
        <v>11</v>
      </c>
      <c r="H1012" s="98" t="n">
        <v>3000</v>
      </c>
      <c r="I1012" s="457" t="n">
        <v>14</v>
      </c>
      <c r="J1012" s="313" t="s">
        <v>1651</v>
      </c>
      <c r="K1012" s="98" t="n">
        <f aca="false">I1012*H1012</f>
        <v>42000</v>
      </c>
      <c r="L1012" s="411" t="n">
        <v>157500</v>
      </c>
      <c r="M1012" s="392" t="n">
        <f aca="false">L1012/K1012</f>
        <v>3.75</v>
      </c>
      <c r="N1012" s="466" t="n">
        <f aca="false">I1012*M1012</f>
        <v>52.5</v>
      </c>
      <c r="O1012" s="461" t="n">
        <v>3000</v>
      </c>
      <c r="P1012" s="462" t="n">
        <f aca="false">H1012-O1012</f>
        <v>0</v>
      </c>
      <c r="Q1012" s="463" t="n">
        <f aca="false">O1012*I1012</f>
        <v>42000</v>
      </c>
      <c r="R1012" s="48" t="n">
        <f aca="false">K1012-Q1012</f>
        <v>0</v>
      </c>
      <c r="S1012" s="467"/>
      <c r="T1012" s="2" t="s">
        <v>1711</v>
      </c>
      <c r="V1012" s="464"/>
      <c r="W1012" s="464"/>
      <c r="X1012" s="464"/>
      <c r="Y1012" s="464"/>
      <c r="Z1012" s="464"/>
      <c r="AA1012" s="464"/>
      <c r="AB1012" s="464"/>
      <c r="AC1012" s="464"/>
      <c r="AD1012" s="464"/>
      <c r="AE1012" s="464"/>
      <c r="AF1012" s="464"/>
      <c r="AG1012" s="464"/>
      <c r="AH1012" s="465"/>
      <c r="AI1012" s="464"/>
    </row>
    <row r="1013" customFormat="false" ht="15" hidden="false" customHeight="true" outlineLevel="0" collapsed="false">
      <c r="A1013" s="455" t="s">
        <v>1753</v>
      </c>
      <c r="C1013" s="456" t="n">
        <v>45589</v>
      </c>
      <c r="D1013" s="456"/>
      <c r="E1013" s="57" t="n">
        <v>14055</v>
      </c>
      <c r="F1013" s="323" t="s">
        <v>175</v>
      </c>
      <c r="G1013" s="323" t="s">
        <v>7</v>
      </c>
      <c r="H1013" s="98" t="n">
        <v>3000</v>
      </c>
      <c r="I1013" s="457" t="n">
        <v>25.71</v>
      </c>
      <c r="J1013" s="313" t="s">
        <v>1651</v>
      </c>
      <c r="K1013" s="98" t="n">
        <f aca="false">I1013*H1013</f>
        <v>77130</v>
      </c>
      <c r="L1013" s="411" t="n">
        <v>35400</v>
      </c>
      <c r="M1013" s="392" t="n">
        <f aca="false">L1013/K1013</f>
        <v>0.458965383119409</v>
      </c>
      <c r="N1013" s="466" t="n">
        <f aca="false">I1013*M1013</f>
        <v>11.8</v>
      </c>
      <c r="O1013" s="461" t="n">
        <v>3000</v>
      </c>
      <c r="P1013" s="462" t="n">
        <f aca="false">H1013-O1013</f>
        <v>0</v>
      </c>
      <c r="Q1013" s="463" t="n">
        <f aca="false">O1013*I1013</f>
        <v>77130</v>
      </c>
      <c r="R1013" s="48" t="n">
        <f aca="false">K1013-Q1013</f>
        <v>0</v>
      </c>
      <c r="S1013" s="467"/>
      <c r="T1013" s="2" t="s">
        <v>1711</v>
      </c>
      <c r="V1013" s="464"/>
      <c r="W1013" s="464"/>
      <c r="X1013" s="464"/>
      <c r="Y1013" s="464"/>
      <c r="Z1013" s="464"/>
      <c r="AA1013" s="464"/>
      <c r="AB1013" s="464"/>
      <c r="AC1013" s="464"/>
      <c r="AD1013" s="464"/>
      <c r="AE1013" s="464"/>
      <c r="AF1013" s="464"/>
      <c r="AG1013" s="464"/>
      <c r="AH1013" s="465"/>
      <c r="AI1013" s="464"/>
    </row>
    <row r="1014" customFormat="false" ht="15" hidden="false" customHeight="true" outlineLevel="0" collapsed="false">
      <c r="A1014" s="455" t="s">
        <v>1753</v>
      </c>
      <c r="C1014" s="456" t="n">
        <v>45589</v>
      </c>
      <c r="D1014" s="456"/>
      <c r="E1014" s="57" t="n">
        <v>14055</v>
      </c>
      <c r="F1014" s="323" t="s">
        <v>175</v>
      </c>
      <c r="G1014" s="323" t="s">
        <v>11</v>
      </c>
      <c r="H1014" s="98" t="n">
        <v>1005</v>
      </c>
      <c r="I1014" s="457" t="n">
        <v>14</v>
      </c>
      <c r="J1014" s="313" t="s">
        <v>1651</v>
      </c>
      <c r="K1014" s="98" t="n">
        <f aca="false">I1014*H1014</f>
        <v>14070</v>
      </c>
      <c r="L1014" s="411" t="n">
        <v>52762.5</v>
      </c>
      <c r="M1014" s="392" t="n">
        <f aca="false">L1014/K1014</f>
        <v>3.75</v>
      </c>
      <c r="N1014" s="466" t="n">
        <f aca="false">I1014*M1014</f>
        <v>52.5</v>
      </c>
      <c r="O1014" s="461" t="n">
        <v>1005</v>
      </c>
      <c r="P1014" s="462" t="n">
        <f aca="false">H1014-O1014</f>
        <v>0</v>
      </c>
      <c r="Q1014" s="463" t="n">
        <f aca="false">O1014*I1014</f>
        <v>14070</v>
      </c>
      <c r="R1014" s="48" t="n">
        <f aca="false">K1014-Q1014</f>
        <v>0</v>
      </c>
      <c r="S1014" s="467"/>
      <c r="T1014" s="2" t="s">
        <v>1711</v>
      </c>
      <c r="V1014" s="464"/>
      <c r="W1014" s="464"/>
      <c r="X1014" s="464"/>
      <c r="Y1014" s="464"/>
      <c r="Z1014" s="464"/>
      <c r="AA1014" s="464"/>
      <c r="AB1014" s="464"/>
      <c r="AC1014" s="464"/>
      <c r="AD1014" s="464"/>
      <c r="AE1014" s="464"/>
      <c r="AF1014" s="464"/>
      <c r="AG1014" s="464"/>
      <c r="AH1014" s="465"/>
      <c r="AI1014" s="464"/>
    </row>
    <row r="1015" customFormat="false" ht="15" hidden="false" customHeight="true" outlineLevel="0" collapsed="false">
      <c r="A1015" s="455" t="s">
        <v>1819</v>
      </c>
      <c r="C1015" s="456" t="n">
        <v>45589</v>
      </c>
      <c r="D1015" s="456"/>
      <c r="E1015" s="57" t="n">
        <v>14056</v>
      </c>
      <c r="F1015" s="323" t="s">
        <v>175</v>
      </c>
      <c r="G1015" s="323" t="s">
        <v>19</v>
      </c>
      <c r="H1015" s="98" t="n">
        <v>20</v>
      </c>
      <c r="I1015" s="457" t="n">
        <v>22.5</v>
      </c>
      <c r="J1015" s="313" t="s">
        <v>1651</v>
      </c>
      <c r="K1015" s="98" t="n">
        <f aca="false">I1015*H1015</f>
        <v>450</v>
      </c>
      <c r="L1015" s="411" t="n">
        <v>410</v>
      </c>
      <c r="M1015" s="392" t="n">
        <f aca="false">L1015/K1015</f>
        <v>0.911111111111111</v>
      </c>
      <c r="N1015" s="466" t="n">
        <f aca="false">I1015*M1015</f>
        <v>20.5</v>
      </c>
      <c r="O1015" s="461" t="n">
        <v>20</v>
      </c>
      <c r="P1015" s="462" t="n">
        <f aca="false">H1015-O1015</f>
        <v>0</v>
      </c>
      <c r="Q1015" s="463" t="n">
        <f aca="false">O1015*I1015</f>
        <v>450</v>
      </c>
      <c r="R1015" s="48" t="n">
        <f aca="false">K1015-Q1015</f>
        <v>0</v>
      </c>
      <c r="S1015" s="467"/>
      <c r="T1015" s="2" t="s">
        <v>1711</v>
      </c>
      <c r="V1015" s="464"/>
      <c r="W1015" s="464"/>
      <c r="X1015" s="464"/>
      <c r="Y1015" s="464"/>
      <c r="Z1015" s="464"/>
      <c r="AA1015" s="464"/>
      <c r="AB1015" s="464"/>
      <c r="AC1015" s="464"/>
      <c r="AD1015" s="464"/>
      <c r="AE1015" s="464"/>
      <c r="AF1015" s="464"/>
      <c r="AG1015" s="464"/>
      <c r="AH1015" s="465"/>
      <c r="AI1015" s="464"/>
    </row>
    <row r="1016" customFormat="false" ht="15" hidden="false" customHeight="true" outlineLevel="0" collapsed="false">
      <c r="A1016" s="455" t="s">
        <v>1894</v>
      </c>
      <c r="C1016" s="456" t="n">
        <v>45589</v>
      </c>
      <c r="D1016" s="456"/>
      <c r="E1016" s="57" t="n">
        <v>14057</v>
      </c>
      <c r="F1016" s="323" t="s">
        <v>175</v>
      </c>
      <c r="G1016" s="323" t="s">
        <v>42</v>
      </c>
      <c r="H1016" s="98" t="n">
        <v>300</v>
      </c>
      <c r="I1016" s="457" t="n">
        <v>30</v>
      </c>
      <c r="J1016" s="313" t="s">
        <v>1651</v>
      </c>
      <c r="K1016" s="98" t="n">
        <f aca="false">I1016*H1016</f>
        <v>9000</v>
      </c>
      <c r="L1016" s="411" t="n">
        <v>5070</v>
      </c>
      <c r="M1016" s="392" t="n">
        <f aca="false">L1016/K1016</f>
        <v>0.563333333333333</v>
      </c>
      <c r="N1016" s="466" t="n">
        <f aca="false">I1016*M1016</f>
        <v>16.9</v>
      </c>
      <c r="O1016" s="461" t="n">
        <v>300</v>
      </c>
      <c r="P1016" s="462" t="n">
        <f aca="false">H1016-O1016</f>
        <v>0</v>
      </c>
      <c r="Q1016" s="463" t="n">
        <f aca="false">O1016*I1016</f>
        <v>9000</v>
      </c>
      <c r="R1016" s="48" t="n">
        <f aca="false">K1016-Q1016</f>
        <v>0</v>
      </c>
      <c r="S1016" s="467"/>
      <c r="T1016" s="2" t="s">
        <v>1711</v>
      </c>
      <c r="V1016" s="464"/>
      <c r="W1016" s="464"/>
      <c r="X1016" s="464"/>
      <c r="Y1016" s="464"/>
      <c r="Z1016" s="464"/>
      <c r="AA1016" s="464"/>
      <c r="AB1016" s="464"/>
      <c r="AC1016" s="464"/>
      <c r="AD1016" s="464"/>
      <c r="AE1016" s="464"/>
      <c r="AF1016" s="464"/>
      <c r="AG1016" s="464"/>
      <c r="AH1016" s="465"/>
      <c r="AI1016" s="464"/>
    </row>
    <row r="1017" customFormat="false" ht="15" hidden="false" customHeight="true" outlineLevel="0" collapsed="false">
      <c r="A1017" s="455" t="s">
        <v>1894</v>
      </c>
      <c r="C1017" s="456" t="n">
        <v>45589</v>
      </c>
      <c r="D1017" s="456"/>
      <c r="E1017" s="57" t="n">
        <v>14057</v>
      </c>
      <c r="F1017" s="323" t="s">
        <v>175</v>
      </c>
      <c r="G1017" s="323" t="s">
        <v>11</v>
      </c>
      <c r="H1017" s="98" t="n">
        <v>45</v>
      </c>
      <c r="I1017" s="457" t="n">
        <v>14</v>
      </c>
      <c r="J1017" s="313" t="s">
        <v>1651</v>
      </c>
      <c r="K1017" s="98" t="n">
        <f aca="false">I1017*H1017</f>
        <v>630</v>
      </c>
      <c r="L1017" s="411" t="n">
        <v>2880</v>
      </c>
      <c r="M1017" s="392" t="n">
        <f aca="false">L1017/K1017</f>
        <v>4.57142857142857</v>
      </c>
      <c r="N1017" s="466" t="n">
        <f aca="false">I1017*M1017</f>
        <v>64</v>
      </c>
      <c r="O1017" s="461" t="n">
        <v>45</v>
      </c>
      <c r="P1017" s="462" t="n">
        <f aca="false">H1017-O1017</f>
        <v>0</v>
      </c>
      <c r="Q1017" s="463" t="n">
        <f aca="false">O1017*I1017</f>
        <v>630</v>
      </c>
      <c r="R1017" s="48" t="n">
        <f aca="false">K1017-Q1017</f>
        <v>0</v>
      </c>
      <c r="S1017" s="108"/>
      <c r="T1017" s="2" t="s">
        <v>1711</v>
      </c>
      <c r="V1017" s="464"/>
      <c r="W1017" s="464"/>
      <c r="X1017" s="464"/>
      <c r="Y1017" s="464"/>
      <c r="Z1017" s="464"/>
      <c r="AA1017" s="464"/>
      <c r="AB1017" s="464"/>
      <c r="AC1017" s="464"/>
      <c r="AD1017" s="464"/>
      <c r="AE1017" s="464"/>
      <c r="AF1017" s="464"/>
      <c r="AG1017" s="464"/>
      <c r="AH1017" s="465"/>
      <c r="AI1017" s="464"/>
    </row>
    <row r="1018" customFormat="false" ht="15" hidden="false" customHeight="true" outlineLevel="0" collapsed="false">
      <c r="A1018" s="455" t="s">
        <v>1915</v>
      </c>
      <c r="C1018" s="456" t="n">
        <v>45589</v>
      </c>
      <c r="D1018" s="456"/>
      <c r="E1018" s="57" t="n">
        <v>14058</v>
      </c>
      <c r="F1018" s="323" t="s">
        <v>175</v>
      </c>
      <c r="G1018" s="323" t="s">
        <v>17</v>
      </c>
      <c r="H1018" s="98" t="n">
        <v>30</v>
      </c>
      <c r="I1018" s="457" t="n">
        <v>22.5</v>
      </c>
      <c r="J1018" s="313" t="s">
        <v>1651</v>
      </c>
      <c r="K1018" s="98" t="n">
        <f aca="false">I1018*H1018</f>
        <v>675</v>
      </c>
      <c r="L1018" s="411" t="n">
        <v>420</v>
      </c>
      <c r="M1018" s="392" t="n">
        <f aca="false">L1018/K1018</f>
        <v>0.622222222222222</v>
      </c>
      <c r="N1018" s="466" t="n">
        <f aca="false">I1018*M1018</f>
        <v>14</v>
      </c>
      <c r="O1018" s="461" t="n">
        <v>30</v>
      </c>
      <c r="P1018" s="462" t="n">
        <f aca="false">H1018-O1018</f>
        <v>0</v>
      </c>
      <c r="Q1018" s="463" t="n">
        <f aca="false">O1018*I1018</f>
        <v>675</v>
      </c>
      <c r="R1018" s="48" t="n">
        <f aca="false">K1018-Q1018</f>
        <v>0</v>
      </c>
      <c r="S1018" s="467"/>
      <c r="T1018" s="2" t="s">
        <v>1711</v>
      </c>
      <c r="V1018" s="464"/>
      <c r="W1018" s="464"/>
      <c r="X1018" s="464"/>
      <c r="Y1018" s="464"/>
      <c r="Z1018" s="464"/>
      <c r="AA1018" s="464"/>
      <c r="AB1018" s="464"/>
      <c r="AC1018" s="464"/>
      <c r="AD1018" s="464"/>
      <c r="AE1018" s="464"/>
      <c r="AF1018" s="464"/>
      <c r="AG1018" s="464"/>
      <c r="AH1018" s="465"/>
      <c r="AI1018" s="464"/>
    </row>
    <row r="1019" customFormat="false" ht="15" hidden="false" customHeight="true" outlineLevel="0" collapsed="false">
      <c r="A1019" s="455" t="s">
        <v>1749</v>
      </c>
      <c r="C1019" s="456" t="n">
        <v>45589</v>
      </c>
      <c r="D1019" s="456"/>
      <c r="E1019" s="57" t="n">
        <v>14059</v>
      </c>
      <c r="F1019" s="323" t="s">
        <v>175</v>
      </c>
      <c r="G1019" s="323" t="s">
        <v>42</v>
      </c>
      <c r="H1019" s="98" t="n">
        <v>5010</v>
      </c>
      <c r="I1019" s="457" t="n">
        <v>30</v>
      </c>
      <c r="J1019" s="313" t="s">
        <v>1651</v>
      </c>
      <c r="K1019" s="98" t="n">
        <f aca="false">I1019*H1019</f>
        <v>150300</v>
      </c>
      <c r="L1019" s="411" t="n">
        <v>64278.3</v>
      </c>
      <c r="M1019" s="392" t="n">
        <f aca="false">L1019/K1019</f>
        <v>0.427666666666667</v>
      </c>
      <c r="N1019" s="466" t="n">
        <f aca="false">I1019*M1019</f>
        <v>12.83</v>
      </c>
      <c r="O1019" s="461" t="n">
        <v>5010</v>
      </c>
      <c r="P1019" s="462" t="n">
        <f aca="false">H1019-O1019</f>
        <v>0</v>
      </c>
      <c r="Q1019" s="463" t="n">
        <f aca="false">O1019*I1019</f>
        <v>150300</v>
      </c>
      <c r="R1019" s="48" t="n">
        <f aca="false">K1019-Q1019</f>
        <v>0</v>
      </c>
      <c r="S1019" s="467"/>
      <c r="T1019" s="2" t="s">
        <v>1711</v>
      </c>
      <c r="V1019" s="464"/>
      <c r="W1019" s="464"/>
      <c r="X1019" s="464"/>
      <c r="Y1019" s="464"/>
      <c r="Z1019" s="464"/>
      <c r="AA1019" s="464"/>
      <c r="AB1019" s="464"/>
      <c r="AC1019" s="464"/>
      <c r="AD1019" s="464"/>
      <c r="AE1019" s="464"/>
      <c r="AF1019" s="464"/>
      <c r="AG1019" s="464"/>
      <c r="AH1019" s="465"/>
      <c r="AI1019" s="464"/>
    </row>
    <row r="1020" customFormat="false" ht="15" hidden="false" customHeight="true" outlineLevel="0" collapsed="false">
      <c r="A1020" s="455" t="s">
        <v>1749</v>
      </c>
      <c r="C1020" s="456" t="n">
        <v>45589</v>
      </c>
      <c r="D1020" s="456"/>
      <c r="E1020" s="57" t="n">
        <v>14059</v>
      </c>
      <c r="F1020" s="323" t="s">
        <v>175</v>
      </c>
      <c r="G1020" s="323" t="s">
        <v>11</v>
      </c>
      <c r="H1020" s="98" t="n">
        <v>2010</v>
      </c>
      <c r="I1020" s="457" t="n">
        <v>14</v>
      </c>
      <c r="J1020" s="313" t="s">
        <v>1651</v>
      </c>
      <c r="K1020" s="98" t="n">
        <f aca="false">I1020*H1020</f>
        <v>28140</v>
      </c>
      <c r="L1020" s="411" t="n">
        <v>118590</v>
      </c>
      <c r="M1020" s="392" t="n">
        <f aca="false">L1020/K1020</f>
        <v>4.21428571428571</v>
      </c>
      <c r="N1020" s="466" t="n">
        <f aca="false">I1020*M1020</f>
        <v>59</v>
      </c>
      <c r="O1020" s="461" t="n">
        <v>2010</v>
      </c>
      <c r="P1020" s="462" t="n">
        <f aca="false">H1020-O1020</f>
        <v>0</v>
      </c>
      <c r="Q1020" s="463" t="n">
        <f aca="false">O1020*I1020</f>
        <v>28140</v>
      </c>
      <c r="R1020" s="48" t="n">
        <f aca="false">K1020-Q1020</f>
        <v>0</v>
      </c>
      <c r="S1020" s="467"/>
      <c r="T1020" s="2" t="s">
        <v>1711</v>
      </c>
      <c r="V1020" s="464"/>
      <c r="W1020" s="464"/>
      <c r="X1020" s="464"/>
      <c r="Y1020" s="464"/>
      <c r="Z1020" s="464"/>
      <c r="AA1020" s="464"/>
      <c r="AB1020" s="464"/>
      <c r="AC1020" s="464"/>
      <c r="AD1020" s="464"/>
      <c r="AE1020" s="464"/>
      <c r="AF1020" s="464"/>
      <c r="AG1020" s="464"/>
      <c r="AH1020" s="465"/>
      <c r="AI1020" s="464"/>
    </row>
    <row r="1021" customFormat="false" ht="15" hidden="false" customHeight="true" outlineLevel="0" collapsed="false">
      <c r="A1021" s="455" t="s">
        <v>1916</v>
      </c>
      <c r="C1021" s="456" t="n">
        <v>45589</v>
      </c>
      <c r="D1021" s="456"/>
      <c r="E1021" s="57" t="n">
        <v>14060</v>
      </c>
      <c r="F1021" s="323" t="s">
        <v>175</v>
      </c>
      <c r="G1021" s="323" t="s">
        <v>42</v>
      </c>
      <c r="H1021" s="98" t="n">
        <v>2000</v>
      </c>
      <c r="I1021" s="457" t="n">
        <v>60</v>
      </c>
      <c r="J1021" s="313" t="s">
        <v>1653</v>
      </c>
      <c r="K1021" s="98" t="n">
        <f aca="false">I1021*H1021</f>
        <v>120000</v>
      </c>
      <c r="L1021" s="411" t="n">
        <v>40000</v>
      </c>
      <c r="M1021" s="392" t="n">
        <f aca="false">L1021/K1021</f>
        <v>0.333333333333333</v>
      </c>
      <c r="N1021" s="466" t="n">
        <f aca="false">I1021*M1021</f>
        <v>20</v>
      </c>
      <c r="O1021" s="461" t="n">
        <v>2000</v>
      </c>
      <c r="P1021" s="462" t="n">
        <f aca="false">H1021-O1021</f>
        <v>0</v>
      </c>
      <c r="Q1021" s="463" t="n">
        <f aca="false">O1021*I1021</f>
        <v>120000</v>
      </c>
      <c r="R1021" s="48" t="n">
        <f aca="false">K1021-Q1021</f>
        <v>0</v>
      </c>
      <c r="S1021" s="467"/>
      <c r="T1021" s="2" t="s">
        <v>1711</v>
      </c>
      <c r="V1021" s="464"/>
      <c r="W1021" s="464"/>
      <c r="X1021" s="464"/>
      <c r="Y1021" s="464"/>
      <c r="Z1021" s="464"/>
      <c r="AA1021" s="464"/>
      <c r="AB1021" s="464"/>
      <c r="AC1021" s="464"/>
      <c r="AD1021" s="464"/>
      <c r="AE1021" s="464"/>
      <c r="AF1021" s="464"/>
      <c r="AG1021" s="464"/>
      <c r="AH1021" s="465"/>
      <c r="AI1021" s="464"/>
    </row>
    <row r="1022" customFormat="false" ht="15" hidden="false" customHeight="true" outlineLevel="0" collapsed="false">
      <c r="A1022" s="455" t="s">
        <v>1916</v>
      </c>
      <c r="C1022" s="456" t="n">
        <v>45589</v>
      </c>
      <c r="D1022" s="456"/>
      <c r="E1022" s="57" t="n">
        <v>14060</v>
      </c>
      <c r="F1022" s="323" t="s">
        <v>175</v>
      </c>
      <c r="G1022" s="323" t="s">
        <v>17</v>
      </c>
      <c r="H1022" s="98" t="n">
        <v>2000</v>
      </c>
      <c r="I1022" s="457" t="n">
        <v>40</v>
      </c>
      <c r="J1022" s="313" t="s">
        <v>1653</v>
      </c>
      <c r="K1022" s="98" t="n">
        <f aca="false">I1022*H1022</f>
        <v>80000</v>
      </c>
      <c r="L1022" s="411" t="n">
        <v>34000</v>
      </c>
      <c r="M1022" s="392" t="n">
        <f aca="false">L1022/K1022</f>
        <v>0.425</v>
      </c>
      <c r="N1022" s="466" t="n">
        <f aca="false">I1022*M1022</f>
        <v>17</v>
      </c>
      <c r="O1022" s="461" t="n">
        <v>2000</v>
      </c>
      <c r="P1022" s="462" t="n">
        <f aca="false">H1022-O1022</f>
        <v>0</v>
      </c>
      <c r="Q1022" s="463" t="n">
        <f aca="false">O1022*I1022</f>
        <v>80000</v>
      </c>
      <c r="R1022" s="48" t="n">
        <f aca="false">K1022-Q1022</f>
        <v>0</v>
      </c>
      <c r="S1022" s="467"/>
      <c r="T1022" s="2" t="s">
        <v>1711</v>
      </c>
      <c r="V1022" s="464"/>
      <c r="W1022" s="464"/>
      <c r="X1022" s="464"/>
      <c r="Y1022" s="464"/>
      <c r="Z1022" s="464"/>
      <c r="AA1022" s="464"/>
      <c r="AB1022" s="464"/>
      <c r="AC1022" s="464"/>
      <c r="AD1022" s="464"/>
      <c r="AE1022" s="464"/>
      <c r="AF1022" s="464"/>
      <c r="AG1022" s="464"/>
      <c r="AH1022" s="465"/>
      <c r="AI1022" s="464"/>
    </row>
    <row r="1023" customFormat="false" ht="15" hidden="false" customHeight="true" outlineLevel="0" collapsed="false">
      <c r="A1023" s="455" t="s">
        <v>1917</v>
      </c>
      <c r="C1023" s="456" t="n">
        <v>45589</v>
      </c>
      <c r="D1023" s="456"/>
      <c r="E1023" s="57" t="n">
        <v>14061</v>
      </c>
      <c r="F1023" s="57" t="s">
        <v>175</v>
      </c>
      <c r="G1023" s="323" t="s">
        <v>11</v>
      </c>
      <c r="H1023" s="98" t="n">
        <v>150</v>
      </c>
      <c r="I1023" s="457" t="n">
        <v>14</v>
      </c>
      <c r="J1023" s="313" t="s">
        <v>1651</v>
      </c>
      <c r="K1023" s="98" t="n">
        <f aca="false">I1023*H1023</f>
        <v>2100</v>
      </c>
      <c r="L1023" s="411" t="n">
        <v>9600</v>
      </c>
      <c r="M1023" s="392" t="n">
        <f aca="false">L1023/K1023</f>
        <v>4.57142857142857</v>
      </c>
      <c r="N1023" s="466" t="n">
        <f aca="false">I1023*M1023</f>
        <v>64</v>
      </c>
      <c r="O1023" s="461" t="n">
        <v>150</v>
      </c>
      <c r="P1023" s="462" t="n">
        <f aca="false">H1023-O1023</f>
        <v>0</v>
      </c>
      <c r="Q1023" s="463" t="n">
        <f aca="false">O1023*I1023</f>
        <v>2100</v>
      </c>
      <c r="R1023" s="48" t="n">
        <f aca="false">K1023-Q1023</f>
        <v>0</v>
      </c>
      <c r="S1023" s="467"/>
      <c r="T1023" s="2" t="s">
        <v>1711</v>
      </c>
      <c r="V1023" s="464"/>
      <c r="W1023" s="464"/>
      <c r="X1023" s="464"/>
      <c r="Y1023" s="464"/>
      <c r="Z1023" s="464"/>
      <c r="AA1023" s="464"/>
      <c r="AB1023" s="464"/>
      <c r="AC1023" s="464"/>
      <c r="AD1023" s="464"/>
      <c r="AE1023" s="464"/>
      <c r="AF1023" s="464"/>
      <c r="AG1023" s="464"/>
      <c r="AH1023" s="465"/>
      <c r="AI1023" s="464"/>
    </row>
    <row r="1024" customFormat="false" ht="15" hidden="false" customHeight="true" outlineLevel="0" collapsed="false">
      <c r="A1024" s="455" t="s">
        <v>1875</v>
      </c>
      <c r="C1024" s="456" t="n">
        <v>45589</v>
      </c>
      <c r="D1024" s="456"/>
      <c r="E1024" s="57" t="n">
        <v>14062</v>
      </c>
      <c r="F1024" s="57" t="s">
        <v>175</v>
      </c>
      <c r="G1024" s="323" t="s">
        <v>11</v>
      </c>
      <c r="H1024" s="98" t="n">
        <v>75</v>
      </c>
      <c r="I1024" s="457" t="n">
        <v>14</v>
      </c>
      <c r="J1024" s="313" t="s">
        <v>1651</v>
      </c>
      <c r="K1024" s="98" t="n">
        <f aca="false">I1024*H1024</f>
        <v>1050</v>
      </c>
      <c r="L1024" s="411" t="n">
        <v>8887.5</v>
      </c>
      <c r="M1024" s="392" t="n">
        <f aca="false">L1024/K1024</f>
        <v>8.46428571428571</v>
      </c>
      <c r="N1024" s="466" t="n">
        <f aca="false">I1024*M1024</f>
        <v>118.5</v>
      </c>
      <c r="O1024" s="461" t="n">
        <v>75</v>
      </c>
      <c r="P1024" s="462" t="n">
        <f aca="false">H1024-O1024</f>
        <v>0</v>
      </c>
      <c r="Q1024" s="463" t="n">
        <f aca="false">O1024*I1024</f>
        <v>1050</v>
      </c>
      <c r="R1024" s="48" t="n">
        <f aca="false">K1024-Q1024</f>
        <v>0</v>
      </c>
      <c r="S1024" s="467"/>
      <c r="T1024" s="2" t="s">
        <v>1711</v>
      </c>
      <c r="V1024" s="464"/>
      <c r="W1024" s="464"/>
      <c r="X1024" s="464"/>
      <c r="Y1024" s="464"/>
      <c r="Z1024" s="464"/>
      <c r="AA1024" s="464"/>
      <c r="AB1024" s="464"/>
      <c r="AC1024" s="464"/>
      <c r="AD1024" s="464"/>
      <c r="AE1024" s="464"/>
      <c r="AF1024" s="464"/>
      <c r="AG1024" s="464"/>
      <c r="AH1024" s="465"/>
      <c r="AI1024" s="464"/>
    </row>
    <row r="1025" customFormat="false" ht="15" hidden="false" customHeight="true" outlineLevel="0" collapsed="false">
      <c r="A1025" s="455" t="s">
        <v>1847</v>
      </c>
      <c r="C1025" s="456" t="n">
        <v>45589</v>
      </c>
      <c r="D1025" s="456"/>
      <c r="E1025" s="57" t="n">
        <v>14063</v>
      </c>
      <c r="F1025" s="57" t="s">
        <v>175</v>
      </c>
      <c r="G1025" s="323" t="s">
        <v>5</v>
      </c>
      <c r="H1025" s="98" t="n">
        <v>500</v>
      </c>
      <c r="I1025" s="457" t="n">
        <v>60</v>
      </c>
      <c r="J1025" s="313" t="s">
        <v>1653</v>
      </c>
      <c r="K1025" s="98" t="n">
        <f aca="false">I1025*H1025</f>
        <v>30000</v>
      </c>
      <c r="L1025" s="411" t="n">
        <v>8500</v>
      </c>
      <c r="M1025" s="392" t="n">
        <f aca="false">L1025/K1025</f>
        <v>0.283333333333333</v>
      </c>
      <c r="N1025" s="466" t="n">
        <f aca="false">I1025*M1025</f>
        <v>17</v>
      </c>
      <c r="O1025" s="461" t="n">
        <v>500</v>
      </c>
      <c r="P1025" s="462" t="n">
        <f aca="false">H1025-O1025</f>
        <v>0</v>
      </c>
      <c r="Q1025" s="463" t="n">
        <f aca="false">O1025*I1025</f>
        <v>30000</v>
      </c>
      <c r="R1025" s="48" t="n">
        <f aca="false">K1025-Q1025</f>
        <v>0</v>
      </c>
      <c r="S1025" s="467"/>
      <c r="T1025" s="2" t="s">
        <v>1711</v>
      </c>
      <c r="V1025" s="464"/>
      <c r="W1025" s="464"/>
      <c r="X1025" s="464"/>
      <c r="Y1025" s="464"/>
      <c r="Z1025" s="464"/>
      <c r="AA1025" s="464"/>
      <c r="AB1025" s="464"/>
      <c r="AC1025" s="464"/>
      <c r="AD1025" s="464"/>
      <c r="AE1025" s="464"/>
      <c r="AF1025" s="464"/>
      <c r="AG1025" s="464"/>
      <c r="AH1025" s="465"/>
      <c r="AI1025" s="464"/>
    </row>
    <row r="1026" customFormat="false" ht="15" hidden="false" customHeight="true" outlineLevel="0" collapsed="false">
      <c r="A1026" s="455" t="s">
        <v>1847</v>
      </c>
      <c r="C1026" s="456" t="n">
        <v>45589</v>
      </c>
      <c r="D1026" s="456"/>
      <c r="E1026" s="57" t="n">
        <v>14063</v>
      </c>
      <c r="F1026" s="57" t="s">
        <v>175</v>
      </c>
      <c r="G1026" s="323" t="s">
        <v>17</v>
      </c>
      <c r="H1026" s="98" t="n">
        <v>210</v>
      </c>
      <c r="I1026" s="457" t="n">
        <v>90</v>
      </c>
      <c r="J1026" s="313" t="s">
        <v>1653</v>
      </c>
      <c r="K1026" s="98" t="n">
        <f aca="false">I1026*H1026</f>
        <v>18900</v>
      </c>
      <c r="L1026" s="411" t="n">
        <v>5250</v>
      </c>
      <c r="M1026" s="392" t="n">
        <f aca="false">L1026/K1026</f>
        <v>0.277777777777778</v>
      </c>
      <c r="N1026" s="466" t="n">
        <f aca="false">I1026*M1026</f>
        <v>25</v>
      </c>
      <c r="O1026" s="461" t="n">
        <v>210</v>
      </c>
      <c r="P1026" s="462" t="n">
        <f aca="false">H1026-O1026</f>
        <v>0</v>
      </c>
      <c r="Q1026" s="463" t="n">
        <f aca="false">O1026*I1026</f>
        <v>18900</v>
      </c>
      <c r="R1026" s="48" t="n">
        <f aca="false">K1026-Q1026</f>
        <v>0</v>
      </c>
      <c r="S1026" s="467"/>
      <c r="T1026" s="2" t="s">
        <v>1711</v>
      </c>
      <c r="V1026" s="464"/>
      <c r="W1026" s="464"/>
      <c r="X1026" s="464"/>
      <c r="Y1026" s="464"/>
      <c r="Z1026" s="464"/>
      <c r="AA1026" s="464"/>
      <c r="AB1026" s="464"/>
      <c r="AC1026" s="464"/>
      <c r="AD1026" s="464"/>
      <c r="AE1026" s="464"/>
      <c r="AF1026" s="464"/>
      <c r="AG1026" s="464"/>
      <c r="AH1026" s="465"/>
      <c r="AI1026" s="464"/>
    </row>
    <row r="1027" customFormat="false" ht="15" hidden="false" customHeight="true" outlineLevel="0" collapsed="false">
      <c r="A1027" s="455" t="s">
        <v>1847</v>
      </c>
      <c r="C1027" s="456" t="n">
        <v>45590</v>
      </c>
      <c r="D1027" s="456"/>
      <c r="E1027" s="57" t="n">
        <v>14066</v>
      </c>
      <c r="F1027" s="323" t="s">
        <v>175</v>
      </c>
      <c r="G1027" s="323" t="s">
        <v>19</v>
      </c>
      <c r="H1027" s="98" t="n">
        <v>45</v>
      </c>
      <c r="I1027" s="457" t="n">
        <v>22.5</v>
      </c>
      <c r="J1027" s="313" t="s">
        <v>1651</v>
      </c>
      <c r="K1027" s="98" t="n">
        <f aca="false">I1027*H1027</f>
        <v>1012.5</v>
      </c>
      <c r="L1027" s="411" t="n">
        <v>545.85</v>
      </c>
      <c r="M1027" s="392" t="n">
        <f aca="false">L1027/K1027</f>
        <v>0.539111111111111</v>
      </c>
      <c r="N1027" s="466" t="n">
        <f aca="false">I1027*M1027</f>
        <v>12.13</v>
      </c>
      <c r="O1027" s="461" t="n">
        <v>45</v>
      </c>
      <c r="P1027" s="462" t="n">
        <f aca="false">H1027-O1027</f>
        <v>0</v>
      </c>
      <c r="Q1027" s="463" t="n">
        <f aca="false">O1027*I1027</f>
        <v>1012.5</v>
      </c>
      <c r="R1027" s="48" t="n">
        <f aca="false">K1027-Q1027</f>
        <v>0</v>
      </c>
      <c r="S1027" s="467"/>
      <c r="T1027" s="2" t="s">
        <v>1711</v>
      </c>
      <c r="V1027" s="464"/>
      <c r="W1027" s="464"/>
      <c r="X1027" s="464"/>
      <c r="Y1027" s="464"/>
      <c r="Z1027" s="464"/>
      <c r="AA1027" s="464"/>
      <c r="AB1027" s="464"/>
      <c r="AC1027" s="464"/>
      <c r="AD1027" s="464"/>
      <c r="AE1027" s="464"/>
      <c r="AF1027" s="464"/>
      <c r="AG1027" s="464"/>
      <c r="AH1027" s="465"/>
      <c r="AI1027" s="464"/>
    </row>
    <row r="1028" customFormat="false" ht="15" hidden="false" customHeight="true" outlineLevel="0" collapsed="false">
      <c r="A1028" s="455" t="s">
        <v>1918</v>
      </c>
      <c r="C1028" s="456" t="n">
        <v>45590</v>
      </c>
      <c r="D1028" s="456"/>
      <c r="E1028" s="57" t="n">
        <v>14067</v>
      </c>
      <c r="F1028" s="323" t="s">
        <v>175</v>
      </c>
      <c r="G1028" s="323" t="s">
        <v>5</v>
      </c>
      <c r="H1028" s="98" t="n">
        <v>390</v>
      </c>
      <c r="I1028" s="457" t="n">
        <v>25.71</v>
      </c>
      <c r="J1028" s="313" t="s">
        <v>1651</v>
      </c>
      <c r="K1028" s="98" t="n">
        <f aca="false">I1028*H1028</f>
        <v>10026.9</v>
      </c>
      <c r="L1028" s="411" t="n">
        <v>8919.3</v>
      </c>
      <c r="M1028" s="392" t="n">
        <f aca="false">L1028/K1028</f>
        <v>0.889537145079736</v>
      </c>
      <c r="N1028" s="466" t="n">
        <f aca="false">I1028*M1028</f>
        <v>22.87</v>
      </c>
      <c r="O1028" s="461" t="n">
        <v>390</v>
      </c>
      <c r="P1028" s="462" t="n">
        <f aca="false">H1028-O1028</f>
        <v>0</v>
      </c>
      <c r="Q1028" s="463" t="n">
        <f aca="false">O1028*I1028</f>
        <v>10026.9</v>
      </c>
      <c r="R1028" s="48" t="n">
        <f aca="false">K1028-Q1028</f>
        <v>0</v>
      </c>
      <c r="S1028" s="467"/>
      <c r="T1028" s="2" t="s">
        <v>1711</v>
      </c>
      <c r="V1028" s="464"/>
      <c r="W1028" s="464"/>
      <c r="X1028" s="464"/>
      <c r="Y1028" s="464"/>
      <c r="Z1028" s="464"/>
      <c r="AA1028" s="464"/>
      <c r="AB1028" s="464"/>
      <c r="AC1028" s="464"/>
      <c r="AD1028" s="464"/>
      <c r="AE1028" s="464"/>
      <c r="AF1028" s="464"/>
      <c r="AG1028" s="464"/>
      <c r="AH1028" s="465"/>
      <c r="AI1028" s="464"/>
    </row>
    <row r="1029" customFormat="false" ht="15" hidden="false" customHeight="true" outlineLevel="0" collapsed="false">
      <c r="A1029" s="455" t="s">
        <v>1918</v>
      </c>
      <c r="C1029" s="456" t="n">
        <v>45590</v>
      </c>
      <c r="D1029" s="456"/>
      <c r="E1029" s="57" t="n">
        <v>14067</v>
      </c>
      <c r="F1029" s="323" t="s">
        <v>175</v>
      </c>
      <c r="G1029" s="323" t="s">
        <v>11</v>
      </c>
      <c r="H1029" s="98" t="n">
        <v>30</v>
      </c>
      <c r="I1029" s="457" t="n">
        <v>14</v>
      </c>
      <c r="J1029" s="313" t="s">
        <v>1651</v>
      </c>
      <c r="K1029" s="98" t="n">
        <f aca="false">I1029*H1029</f>
        <v>420</v>
      </c>
      <c r="L1029" s="411" t="n">
        <v>2580</v>
      </c>
      <c r="M1029" s="392" t="n">
        <f aca="false">L1029/K1029</f>
        <v>6.14285714285714</v>
      </c>
      <c r="N1029" s="466" t="n">
        <f aca="false">I1029*M1029</f>
        <v>86</v>
      </c>
      <c r="O1029" s="461" t="n">
        <v>30</v>
      </c>
      <c r="P1029" s="462" t="n">
        <f aca="false">H1029-O1029</f>
        <v>0</v>
      </c>
      <c r="Q1029" s="463" t="n">
        <f aca="false">O1029*I1029</f>
        <v>420</v>
      </c>
      <c r="R1029" s="48" t="n">
        <f aca="false">K1029-Q1029</f>
        <v>0</v>
      </c>
      <c r="S1029" s="467"/>
      <c r="T1029" s="2" t="s">
        <v>1711</v>
      </c>
      <c r="V1029" s="464"/>
      <c r="W1029" s="464"/>
      <c r="X1029" s="464"/>
      <c r="Y1029" s="464"/>
      <c r="Z1029" s="464"/>
      <c r="AA1029" s="464"/>
      <c r="AB1029" s="464"/>
      <c r="AC1029" s="464"/>
      <c r="AD1029" s="464"/>
      <c r="AE1029" s="464"/>
      <c r="AF1029" s="464"/>
      <c r="AG1029" s="464"/>
      <c r="AH1029" s="465"/>
      <c r="AI1029" s="464"/>
    </row>
    <row r="1030" customFormat="false" ht="15" hidden="false" customHeight="true" outlineLevel="0" collapsed="false">
      <c r="A1030" s="455" t="s">
        <v>1796</v>
      </c>
      <c r="C1030" s="456" t="n">
        <v>45590</v>
      </c>
      <c r="D1030" s="456"/>
      <c r="E1030" s="57" t="n">
        <v>14068</v>
      </c>
      <c r="F1030" s="323" t="s">
        <v>175</v>
      </c>
      <c r="G1030" s="323" t="s">
        <v>17</v>
      </c>
      <c r="H1030" s="98" t="n">
        <v>600</v>
      </c>
      <c r="I1030" s="457" t="n">
        <v>22.5</v>
      </c>
      <c r="J1030" s="313" t="s">
        <v>1651</v>
      </c>
      <c r="K1030" s="98" t="n">
        <f aca="false">I1030*H1030</f>
        <v>13500</v>
      </c>
      <c r="L1030" s="411" t="n">
        <v>6600</v>
      </c>
      <c r="M1030" s="392" t="n">
        <f aca="false">L1030/K1030</f>
        <v>0.488888888888889</v>
      </c>
      <c r="N1030" s="466" t="n">
        <f aca="false">I1030*M1030</f>
        <v>11</v>
      </c>
      <c r="O1030" s="461" t="n">
        <v>600</v>
      </c>
      <c r="P1030" s="462" t="n">
        <f aca="false">H1030-O1030</f>
        <v>0</v>
      </c>
      <c r="Q1030" s="463" t="n">
        <f aca="false">O1030*I1030</f>
        <v>13500</v>
      </c>
      <c r="R1030" s="48" t="n">
        <f aca="false">K1030-Q1030</f>
        <v>0</v>
      </c>
      <c r="S1030" s="467"/>
      <c r="T1030" s="2" t="s">
        <v>1797</v>
      </c>
      <c r="V1030" s="464"/>
      <c r="W1030" s="464"/>
      <c r="X1030" s="464"/>
      <c r="Y1030" s="464"/>
      <c r="Z1030" s="464"/>
      <c r="AA1030" s="464"/>
      <c r="AB1030" s="464"/>
      <c r="AC1030" s="464"/>
      <c r="AD1030" s="464"/>
      <c r="AE1030" s="464"/>
      <c r="AF1030" s="464"/>
      <c r="AG1030" s="464"/>
      <c r="AH1030" s="465"/>
      <c r="AI1030" s="464"/>
    </row>
    <row r="1031" customFormat="false" ht="15" hidden="false" customHeight="true" outlineLevel="0" collapsed="false">
      <c r="A1031" s="455" t="s">
        <v>1798</v>
      </c>
      <c r="C1031" s="456" t="n">
        <v>45590</v>
      </c>
      <c r="D1031" s="456"/>
      <c r="E1031" s="57" t="n">
        <v>14069</v>
      </c>
      <c r="F1031" s="323" t="s">
        <v>175</v>
      </c>
      <c r="G1031" s="323" t="s">
        <v>42</v>
      </c>
      <c r="H1031" s="98" t="n">
        <v>900</v>
      </c>
      <c r="I1031" s="457" t="n">
        <v>30</v>
      </c>
      <c r="J1031" s="313" t="s">
        <v>1651</v>
      </c>
      <c r="K1031" s="98" t="n">
        <f aca="false">I1031*H1031</f>
        <v>27000</v>
      </c>
      <c r="L1031" s="411" t="n">
        <v>13608</v>
      </c>
      <c r="M1031" s="392" t="n">
        <f aca="false">L1031/K1031</f>
        <v>0.504</v>
      </c>
      <c r="N1031" s="466" t="n">
        <f aca="false">I1031*M1031</f>
        <v>15.12</v>
      </c>
      <c r="O1031" s="461" t="n">
        <v>900</v>
      </c>
      <c r="P1031" s="462" t="n">
        <f aca="false">H1031-O1031</f>
        <v>0</v>
      </c>
      <c r="Q1031" s="463" t="n">
        <f aca="false">O1031*I1031</f>
        <v>27000</v>
      </c>
      <c r="R1031" s="48" t="n">
        <f aca="false">K1031-Q1031</f>
        <v>0</v>
      </c>
      <c r="S1031" s="467"/>
      <c r="T1031" s="2" t="s">
        <v>1711</v>
      </c>
      <c r="V1031" s="464"/>
      <c r="W1031" s="464"/>
      <c r="X1031" s="464"/>
      <c r="Y1031" s="464"/>
      <c r="Z1031" s="464"/>
      <c r="AA1031" s="464"/>
      <c r="AB1031" s="464"/>
      <c r="AC1031" s="464"/>
      <c r="AD1031" s="464"/>
      <c r="AE1031" s="464"/>
      <c r="AF1031" s="464"/>
      <c r="AG1031" s="464"/>
      <c r="AH1031" s="465"/>
      <c r="AI1031" s="464"/>
    </row>
    <row r="1032" customFormat="false" ht="15" hidden="false" customHeight="true" outlineLevel="0" collapsed="false">
      <c r="A1032" s="455" t="s">
        <v>1798</v>
      </c>
      <c r="C1032" s="456" t="n">
        <v>45590</v>
      </c>
      <c r="D1032" s="456"/>
      <c r="E1032" s="57" t="n">
        <v>14069</v>
      </c>
      <c r="F1032" s="323" t="s">
        <v>175</v>
      </c>
      <c r="G1032" s="323" t="s">
        <v>6</v>
      </c>
      <c r="H1032" s="98" t="n">
        <v>600</v>
      </c>
      <c r="I1032" s="457" t="n">
        <v>30</v>
      </c>
      <c r="J1032" s="313" t="s">
        <v>1651</v>
      </c>
      <c r="K1032" s="98" t="n">
        <f aca="false">I1032*H1032</f>
        <v>18000</v>
      </c>
      <c r="L1032" s="411" t="n">
        <v>9420</v>
      </c>
      <c r="M1032" s="392" t="n">
        <f aca="false">L1032/K1032</f>
        <v>0.523333333333333</v>
      </c>
      <c r="N1032" s="466" t="n">
        <f aca="false">I1032*M1032</f>
        <v>15.7</v>
      </c>
      <c r="O1032" s="461" t="n">
        <v>600</v>
      </c>
      <c r="P1032" s="462" t="n">
        <f aca="false">H1032-O1032</f>
        <v>0</v>
      </c>
      <c r="Q1032" s="463" t="n">
        <f aca="false">O1032*I1032</f>
        <v>18000</v>
      </c>
      <c r="R1032" s="48" t="n">
        <f aca="false">K1032-Q1032</f>
        <v>0</v>
      </c>
      <c r="S1032" s="467"/>
      <c r="T1032" s="2" t="s">
        <v>1711</v>
      </c>
      <c r="V1032" s="464"/>
      <c r="W1032" s="464"/>
      <c r="X1032" s="464"/>
      <c r="Y1032" s="464"/>
      <c r="Z1032" s="464"/>
      <c r="AA1032" s="464"/>
      <c r="AB1032" s="464"/>
      <c r="AC1032" s="464"/>
      <c r="AD1032" s="464"/>
      <c r="AE1032" s="464"/>
      <c r="AF1032" s="464"/>
      <c r="AG1032" s="464"/>
      <c r="AH1032" s="465"/>
      <c r="AI1032" s="464"/>
    </row>
    <row r="1033" customFormat="false" ht="15" hidden="false" customHeight="true" outlineLevel="0" collapsed="false">
      <c r="A1033" s="455" t="s">
        <v>1859</v>
      </c>
      <c r="C1033" s="456" t="n">
        <v>45590</v>
      </c>
      <c r="D1033" s="456"/>
      <c r="E1033" s="323" t="n">
        <v>14071</v>
      </c>
      <c r="F1033" s="323" t="s">
        <v>175</v>
      </c>
      <c r="G1033" s="323" t="s">
        <v>5</v>
      </c>
      <c r="H1033" s="98" t="n">
        <v>105</v>
      </c>
      <c r="I1033" s="457" t="n">
        <v>25.71</v>
      </c>
      <c r="J1033" s="313" t="s">
        <v>1651</v>
      </c>
      <c r="K1033" s="98" t="n">
        <f aca="false">I1033*H1033</f>
        <v>2699.55</v>
      </c>
      <c r="L1033" s="411" t="n">
        <v>1197</v>
      </c>
      <c r="M1033" s="392" t="n">
        <f aca="false">L1033/K1033</f>
        <v>0.44340723453909</v>
      </c>
      <c r="N1033" s="466" t="n">
        <f aca="false">I1033*M1033</f>
        <v>11.4</v>
      </c>
      <c r="O1033" s="461" t="n">
        <v>105</v>
      </c>
      <c r="P1033" s="462" t="n">
        <f aca="false">H1033-O1033</f>
        <v>0</v>
      </c>
      <c r="Q1033" s="463" t="n">
        <f aca="false">O1033*I1033</f>
        <v>2699.55</v>
      </c>
      <c r="R1033" s="48" t="n">
        <f aca="false">K1033-Q1033</f>
        <v>0</v>
      </c>
      <c r="S1033" s="467"/>
      <c r="T1033" s="2" t="s">
        <v>1711</v>
      </c>
      <c r="V1033" s="464"/>
      <c r="W1033" s="464"/>
      <c r="X1033" s="464"/>
      <c r="Y1033" s="464"/>
      <c r="Z1033" s="464"/>
      <c r="AA1033" s="464"/>
      <c r="AB1033" s="464"/>
      <c r="AC1033" s="464"/>
      <c r="AD1033" s="464"/>
      <c r="AE1033" s="464"/>
      <c r="AF1033" s="464"/>
      <c r="AG1033" s="464"/>
      <c r="AH1033" s="465"/>
      <c r="AI1033" s="464"/>
    </row>
    <row r="1034" customFormat="false" ht="15" hidden="false" customHeight="true" outlineLevel="0" collapsed="false">
      <c r="A1034" s="455" t="s">
        <v>1919</v>
      </c>
      <c r="C1034" s="456" t="n">
        <v>45590</v>
      </c>
      <c r="D1034" s="456"/>
      <c r="E1034" s="323" t="n">
        <v>14072</v>
      </c>
      <c r="F1034" s="323" t="s">
        <v>175</v>
      </c>
      <c r="G1034" s="323" t="s">
        <v>5</v>
      </c>
      <c r="H1034" s="98" t="n">
        <v>2010</v>
      </c>
      <c r="I1034" s="457" t="n">
        <v>25.71</v>
      </c>
      <c r="J1034" s="313" t="s">
        <v>1651</v>
      </c>
      <c r="K1034" s="98" t="n">
        <f aca="false">I1034*H1034</f>
        <v>51677.1</v>
      </c>
      <c r="L1034" s="411" t="n">
        <v>31155</v>
      </c>
      <c r="M1034" s="392" t="n">
        <f aca="false">L1034/K1034</f>
        <v>0.602878257487359</v>
      </c>
      <c r="N1034" s="466" t="n">
        <f aca="false">I1034*M1034</f>
        <v>15.5</v>
      </c>
      <c r="O1034" s="461" t="n">
        <v>2010</v>
      </c>
      <c r="P1034" s="462" t="n">
        <f aca="false">H1034-O1034</f>
        <v>0</v>
      </c>
      <c r="Q1034" s="463" t="n">
        <f aca="false">O1034*I1034</f>
        <v>51677.1</v>
      </c>
      <c r="R1034" s="48" t="n">
        <f aca="false">K1034-Q1034</f>
        <v>0</v>
      </c>
      <c r="S1034" s="467"/>
      <c r="T1034" s="2" t="s">
        <v>1711</v>
      </c>
      <c r="V1034" s="464"/>
      <c r="W1034" s="464"/>
      <c r="X1034" s="464"/>
      <c r="Y1034" s="464"/>
      <c r="Z1034" s="464"/>
      <c r="AA1034" s="464"/>
      <c r="AB1034" s="464"/>
      <c r="AC1034" s="464"/>
      <c r="AD1034" s="464"/>
      <c r="AE1034" s="464"/>
      <c r="AF1034" s="464"/>
      <c r="AG1034" s="464"/>
      <c r="AH1034" s="465"/>
      <c r="AI1034" s="464"/>
    </row>
    <row r="1035" customFormat="false" ht="15" hidden="false" customHeight="true" outlineLevel="0" collapsed="false">
      <c r="A1035" s="455" t="s">
        <v>1919</v>
      </c>
      <c r="C1035" s="456" t="n">
        <v>45590</v>
      </c>
      <c r="D1035" s="456"/>
      <c r="E1035" s="323" t="n">
        <v>14073</v>
      </c>
      <c r="F1035" s="323" t="s">
        <v>175</v>
      </c>
      <c r="G1035" s="323" t="s">
        <v>5</v>
      </c>
      <c r="H1035" s="98" t="n">
        <v>2010</v>
      </c>
      <c r="I1035" s="457" t="n">
        <v>25.71</v>
      </c>
      <c r="J1035" s="313" t="s">
        <v>1651</v>
      </c>
      <c r="K1035" s="98" t="n">
        <f aca="false">I1035*H1035</f>
        <v>51677.1</v>
      </c>
      <c r="L1035" s="411" t="n">
        <v>31155</v>
      </c>
      <c r="M1035" s="392" t="n">
        <f aca="false">L1035/K1035</f>
        <v>0.602878257487359</v>
      </c>
      <c r="N1035" s="466" t="n">
        <f aca="false">I1035*M1035</f>
        <v>15.5</v>
      </c>
      <c r="O1035" s="461" t="n">
        <v>2010</v>
      </c>
      <c r="P1035" s="462" t="n">
        <f aca="false">H1035-O1035</f>
        <v>0</v>
      </c>
      <c r="Q1035" s="463" t="n">
        <f aca="false">O1035*I1035</f>
        <v>51677.1</v>
      </c>
      <c r="R1035" s="48" t="n">
        <f aca="false">K1035-Q1035</f>
        <v>0</v>
      </c>
      <c r="S1035" s="467"/>
      <c r="T1035" s="2" t="s">
        <v>1711</v>
      </c>
      <c r="V1035" s="464"/>
      <c r="W1035" s="464"/>
      <c r="X1035" s="464"/>
      <c r="Y1035" s="464"/>
      <c r="Z1035" s="464"/>
      <c r="AA1035" s="464"/>
      <c r="AB1035" s="464"/>
      <c r="AC1035" s="464"/>
      <c r="AD1035" s="464"/>
      <c r="AE1035" s="464"/>
      <c r="AF1035" s="464"/>
      <c r="AG1035" s="464"/>
      <c r="AH1035" s="465"/>
      <c r="AI1035" s="464"/>
    </row>
    <row r="1036" customFormat="false" ht="15" hidden="false" customHeight="true" outlineLevel="0" collapsed="false">
      <c r="A1036" s="455" t="s">
        <v>1919</v>
      </c>
      <c r="C1036" s="456" t="n">
        <v>45590</v>
      </c>
      <c r="D1036" s="456"/>
      <c r="E1036" s="323" t="n">
        <v>14073</v>
      </c>
      <c r="F1036" s="323" t="s">
        <v>175</v>
      </c>
      <c r="G1036" s="323" t="s">
        <v>12</v>
      </c>
      <c r="H1036" s="98" t="n">
        <v>405</v>
      </c>
      <c r="I1036" s="457" t="n">
        <v>18</v>
      </c>
      <c r="J1036" s="313" t="s">
        <v>1651</v>
      </c>
      <c r="K1036" s="98" t="n">
        <f aca="false">I1036*H1036</f>
        <v>7290</v>
      </c>
      <c r="L1036" s="411" t="n">
        <v>25110</v>
      </c>
      <c r="M1036" s="392" t="n">
        <f aca="false">L1036/K1036</f>
        <v>3.44444444444444</v>
      </c>
      <c r="N1036" s="466" t="n">
        <f aca="false">I1036*M1036</f>
        <v>62</v>
      </c>
      <c r="O1036" s="461" t="n">
        <v>405</v>
      </c>
      <c r="P1036" s="462" t="n">
        <f aca="false">H1036-O1036</f>
        <v>0</v>
      </c>
      <c r="Q1036" s="463" t="n">
        <f aca="false">O1036*I1036</f>
        <v>7290</v>
      </c>
      <c r="R1036" s="48" t="n">
        <f aca="false">K1036-Q1036</f>
        <v>0</v>
      </c>
      <c r="S1036" s="467"/>
      <c r="T1036" s="2" t="s">
        <v>1711</v>
      </c>
      <c r="V1036" s="464"/>
      <c r="W1036" s="464"/>
      <c r="X1036" s="464"/>
      <c r="Y1036" s="464"/>
      <c r="Z1036" s="464"/>
      <c r="AA1036" s="464"/>
      <c r="AB1036" s="464"/>
      <c r="AC1036" s="464"/>
      <c r="AD1036" s="464"/>
      <c r="AE1036" s="464"/>
      <c r="AF1036" s="464"/>
      <c r="AG1036" s="464"/>
      <c r="AH1036" s="465"/>
      <c r="AI1036" s="464"/>
    </row>
    <row r="1037" customFormat="false" ht="15" hidden="false" customHeight="true" outlineLevel="0" collapsed="false">
      <c r="A1037" s="455" t="s">
        <v>1919</v>
      </c>
      <c r="C1037" s="456" t="n">
        <v>45590</v>
      </c>
      <c r="D1037" s="456"/>
      <c r="E1037" s="323" t="n">
        <v>14074</v>
      </c>
      <c r="F1037" s="323" t="s">
        <v>175</v>
      </c>
      <c r="G1037" s="323" t="s">
        <v>5</v>
      </c>
      <c r="H1037" s="98" t="n">
        <v>450</v>
      </c>
      <c r="I1037" s="457" t="n">
        <v>25.71</v>
      </c>
      <c r="J1037" s="313" t="s">
        <v>1651</v>
      </c>
      <c r="K1037" s="98" t="n">
        <f aca="false">I1037*H1037</f>
        <v>11569.5</v>
      </c>
      <c r="L1037" s="411" t="n">
        <v>6975</v>
      </c>
      <c r="M1037" s="392" t="n">
        <f aca="false">L1037/K1037</f>
        <v>0.602878257487359</v>
      </c>
      <c r="N1037" s="466" t="n">
        <f aca="false">I1037*M1037</f>
        <v>15.5</v>
      </c>
      <c r="O1037" s="461" t="n">
        <v>450</v>
      </c>
      <c r="P1037" s="462" t="n">
        <f aca="false">H1037-O1037</f>
        <v>0</v>
      </c>
      <c r="Q1037" s="463" t="n">
        <f aca="false">O1037*I1037</f>
        <v>11569.5</v>
      </c>
      <c r="R1037" s="48" t="n">
        <f aca="false">K1037-Q1037</f>
        <v>0</v>
      </c>
      <c r="S1037" s="467"/>
      <c r="T1037" s="2" t="s">
        <v>1711</v>
      </c>
      <c r="V1037" s="464"/>
      <c r="W1037" s="464"/>
      <c r="X1037" s="464"/>
      <c r="Y1037" s="464"/>
      <c r="Z1037" s="464"/>
      <c r="AA1037" s="464"/>
      <c r="AB1037" s="464"/>
      <c r="AC1037" s="464"/>
      <c r="AD1037" s="464"/>
      <c r="AE1037" s="464"/>
      <c r="AF1037" s="464"/>
      <c r="AG1037" s="464"/>
      <c r="AH1037" s="465"/>
      <c r="AI1037" s="464"/>
    </row>
    <row r="1038" customFormat="false" ht="15" hidden="false" customHeight="true" outlineLevel="0" collapsed="false">
      <c r="A1038" s="455" t="s">
        <v>1919</v>
      </c>
      <c r="C1038" s="456" t="n">
        <v>45590</v>
      </c>
      <c r="D1038" s="456"/>
      <c r="E1038" s="323" t="n">
        <v>14074</v>
      </c>
      <c r="F1038" s="323" t="s">
        <v>175</v>
      </c>
      <c r="G1038" s="323" t="s">
        <v>12</v>
      </c>
      <c r="H1038" s="98" t="n">
        <v>60</v>
      </c>
      <c r="I1038" s="457" t="n">
        <v>18</v>
      </c>
      <c r="J1038" s="313" t="s">
        <v>1651</v>
      </c>
      <c r="K1038" s="98" t="n">
        <f aca="false">I1038*H1038</f>
        <v>1080</v>
      </c>
      <c r="L1038" s="411" t="n">
        <v>3720</v>
      </c>
      <c r="M1038" s="392" t="n">
        <f aca="false">L1038/K1038</f>
        <v>3.44444444444444</v>
      </c>
      <c r="N1038" s="466" t="n">
        <f aca="false">I1038*M1038</f>
        <v>62</v>
      </c>
      <c r="O1038" s="461" t="n">
        <v>60</v>
      </c>
      <c r="P1038" s="462" t="n">
        <f aca="false">H1038-O1038</f>
        <v>0</v>
      </c>
      <c r="Q1038" s="463" t="n">
        <f aca="false">O1038*I1038</f>
        <v>1080</v>
      </c>
      <c r="R1038" s="48" t="n">
        <f aca="false">K1038-Q1038</f>
        <v>0</v>
      </c>
      <c r="S1038" s="467"/>
      <c r="T1038" s="2" t="s">
        <v>1711</v>
      </c>
      <c r="V1038" s="464"/>
      <c r="W1038" s="464"/>
      <c r="X1038" s="464"/>
      <c r="Y1038" s="464"/>
      <c r="Z1038" s="464"/>
      <c r="AA1038" s="464"/>
      <c r="AB1038" s="464"/>
      <c r="AC1038" s="464"/>
      <c r="AD1038" s="464"/>
      <c r="AE1038" s="464"/>
      <c r="AF1038" s="464"/>
      <c r="AG1038" s="464"/>
      <c r="AH1038" s="465"/>
      <c r="AI1038" s="464"/>
    </row>
    <row r="1039" customFormat="false" ht="15" hidden="false" customHeight="true" outlineLevel="0" collapsed="false">
      <c r="A1039" s="455" t="s">
        <v>1920</v>
      </c>
      <c r="C1039" s="456" t="n">
        <v>45593</v>
      </c>
      <c r="D1039" s="456"/>
      <c r="E1039" s="323" t="n">
        <v>14075</v>
      </c>
      <c r="F1039" s="323" t="s">
        <v>175</v>
      </c>
      <c r="G1039" s="323" t="s">
        <v>19</v>
      </c>
      <c r="H1039" s="98" t="n">
        <v>120</v>
      </c>
      <c r="I1039" s="457" t="n">
        <v>22.5</v>
      </c>
      <c r="J1039" s="313" t="s">
        <v>1651</v>
      </c>
      <c r="K1039" s="98" t="n">
        <f aca="false">I1039*H1039</f>
        <v>2700</v>
      </c>
      <c r="L1039" s="411" t="n">
        <v>2952</v>
      </c>
      <c r="M1039" s="392" t="n">
        <f aca="false">L1039/K1039</f>
        <v>1.09333333333333</v>
      </c>
      <c r="N1039" s="466" t="n">
        <f aca="false">I1039*M1039</f>
        <v>24.6</v>
      </c>
      <c r="O1039" s="461" t="n">
        <v>120</v>
      </c>
      <c r="P1039" s="462" t="n">
        <f aca="false">H1039-O1039</f>
        <v>0</v>
      </c>
      <c r="Q1039" s="463" t="n">
        <f aca="false">O1039*I1039</f>
        <v>2700</v>
      </c>
      <c r="R1039" s="48" t="n">
        <f aca="false">K1039-Q1039</f>
        <v>0</v>
      </c>
      <c r="S1039" s="467"/>
      <c r="T1039" s="2" t="s">
        <v>1711</v>
      </c>
      <c r="V1039" s="464"/>
      <c r="W1039" s="464"/>
      <c r="X1039" s="464"/>
      <c r="Y1039" s="464"/>
      <c r="Z1039" s="464"/>
      <c r="AA1039" s="464"/>
      <c r="AB1039" s="464"/>
      <c r="AC1039" s="464"/>
      <c r="AD1039" s="464"/>
      <c r="AE1039" s="464"/>
      <c r="AF1039" s="464"/>
      <c r="AG1039" s="464"/>
      <c r="AH1039" s="465"/>
      <c r="AI1039" s="464"/>
    </row>
    <row r="1040" customFormat="false" ht="15" hidden="false" customHeight="true" outlineLevel="0" collapsed="false">
      <c r="A1040" s="455" t="s">
        <v>1856</v>
      </c>
      <c r="C1040" s="456" t="n">
        <v>45593</v>
      </c>
      <c r="D1040" s="456"/>
      <c r="E1040" s="323" t="n">
        <v>14076</v>
      </c>
      <c r="F1040" s="323" t="s">
        <v>175</v>
      </c>
      <c r="G1040" s="323" t="s">
        <v>22</v>
      </c>
      <c r="H1040" s="98" t="n">
        <v>75</v>
      </c>
      <c r="I1040" s="457" t="n">
        <v>22.5</v>
      </c>
      <c r="J1040" s="313" t="s">
        <v>1651</v>
      </c>
      <c r="K1040" s="98" t="n">
        <f aca="false">I1040*H1040</f>
        <v>1687.5</v>
      </c>
      <c r="L1040" s="411" t="n">
        <v>2625</v>
      </c>
      <c r="M1040" s="392" t="n">
        <f aca="false">L1040/K1040</f>
        <v>1.55555555555556</v>
      </c>
      <c r="N1040" s="466" t="n">
        <f aca="false">I1040*M1040</f>
        <v>35</v>
      </c>
      <c r="O1040" s="461" t="n">
        <v>75</v>
      </c>
      <c r="P1040" s="462" t="n">
        <f aca="false">H1040-O1040</f>
        <v>0</v>
      </c>
      <c r="Q1040" s="463" t="n">
        <f aca="false">O1040*I1040</f>
        <v>1687.5</v>
      </c>
      <c r="R1040" s="48" t="n">
        <f aca="false">K1040-Q1040</f>
        <v>0</v>
      </c>
      <c r="S1040" s="467"/>
      <c r="T1040" s="2" t="s">
        <v>1711</v>
      </c>
      <c r="V1040" s="464"/>
      <c r="W1040" s="464"/>
      <c r="X1040" s="464"/>
      <c r="Y1040" s="464"/>
      <c r="Z1040" s="464"/>
      <c r="AA1040" s="464"/>
      <c r="AB1040" s="464"/>
      <c r="AC1040" s="464"/>
      <c r="AD1040" s="464"/>
      <c r="AE1040" s="464"/>
      <c r="AF1040" s="464"/>
      <c r="AG1040" s="464"/>
      <c r="AH1040" s="465"/>
      <c r="AI1040" s="464"/>
    </row>
    <row r="1041" customFormat="false" ht="15" hidden="false" customHeight="true" outlineLevel="0" collapsed="false">
      <c r="A1041" s="455" t="s">
        <v>1921</v>
      </c>
      <c r="C1041" s="456" t="n">
        <v>45593</v>
      </c>
      <c r="D1041" s="456"/>
      <c r="E1041" s="323" t="n">
        <v>14077</v>
      </c>
      <c r="F1041" s="323" t="s">
        <v>175</v>
      </c>
      <c r="G1041" s="323" t="s">
        <v>75</v>
      </c>
      <c r="H1041" s="98" t="n">
        <v>3000</v>
      </c>
      <c r="I1041" s="457" t="n">
        <v>1</v>
      </c>
      <c r="J1041" s="313" t="s">
        <v>1653</v>
      </c>
      <c r="K1041" s="98" t="n">
        <f aca="false">I1041*H1041</f>
        <v>3000</v>
      </c>
      <c r="L1041" s="411" t="n">
        <v>210990</v>
      </c>
      <c r="M1041" s="392" t="n">
        <f aca="false">L1041/K1041</f>
        <v>70.33</v>
      </c>
      <c r="N1041" s="466" t="n">
        <f aca="false">I1041*M1041</f>
        <v>70.33</v>
      </c>
      <c r="O1041" s="461" t="n">
        <v>3000</v>
      </c>
      <c r="P1041" s="462" t="n">
        <f aca="false">H1041-O1041</f>
        <v>0</v>
      </c>
      <c r="Q1041" s="463" t="n">
        <f aca="false">O1041*I1041</f>
        <v>3000</v>
      </c>
      <c r="R1041" s="48" t="n">
        <f aca="false">K1041-Q1041</f>
        <v>0</v>
      </c>
      <c r="S1041" s="467"/>
      <c r="T1041" s="2" t="s">
        <v>1711</v>
      </c>
      <c r="V1041" s="464"/>
      <c r="W1041" s="464"/>
      <c r="X1041" s="464"/>
      <c r="Y1041" s="464"/>
      <c r="Z1041" s="464"/>
      <c r="AA1041" s="464"/>
      <c r="AB1041" s="464"/>
      <c r="AC1041" s="464"/>
      <c r="AD1041" s="464"/>
      <c r="AE1041" s="464"/>
      <c r="AF1041" s="464"/>
      <c r="AG1041" s="464"/>
      <c r="AH1041" s="465"/>
      <c r="AI1041" s="464"/>
    </row>
    <row r="1042" customFormat="false" ht="15" hidden="false" customHeight="true" outlineLevel="0" collapsed="false">
      <c r="A1042" s="455" t="s">
        <v>1921</v>
      </c>
      <c r="C1042" s="456" t="n">
        <v>45593</v>
      </c>
      <c r="D1042" s="456"/>
      <c r="E1042" s="323" t="n">
        <v>14078</v>
      </c>
      <c r="F1042" s="323" t="s">
        <v>175</v>
      </c>
      <c r="G1042" s="323" t="s">
        <v>7</v>
      </c>
      <c r="H1042" s="98" t="n">
        <v>1305</v>
      </c>
      <c r="I1042" s="457" t="n">
        <v>25.71</v>
      </c>
      <c r="J1042" s="313" t="s">
        <v>1651</v>
      </c>
      <c r="K1042" s="98" t="n">
        <f aca="false">I1042*H1042</f>
        <v>33551.55</v>
      </c>
      <c r="L1042" s="411" t="n">
        <v>29506.25</v>
      </c>
      <c r="M1042" s="392" t="n">
        <f aca="false">L1042/K1042</f>
        <v>0.879430309478996</v>
      </c>
      <c r="N1042" s="466" t="n">
        <f aca="false">I1042*M1042</f>
        <v>22.610153256705</v>
      </c>
      <c r="O1042" s="461" t="n">
        <v>1305</v>
      </c>
      <c r="P1042" s="462" t="n">
        <f aca="false">H1042-O1042</f>
        <v>0</v>
      </c>
      <c r="Q1042" s="463" t="n">
        <f aca="false">O1042*I1042</f>
        <v>33551.55</v>
      </c>
      <c r="R1042" s="48" t="n">
        <f aca="false">K1042-Q1042</f>
        <v>0</v>
      </c>
      <c r="S1042" s="467"/>
      <c r="T1042" s="2" t="s">
        <v>1711</v>
      </c>
      <c r="V1042" s="464"/>
      <c r="W1042" s="464"/>
      <c r="X1042" s="464"/>
      <c r="Y1042" s="464"/>
      <c r="Z1042" s="464"/>
      <c r="AA1042" s="464"/>
      <c r="AB1042" s="464"/>
      <c r="AC1042" s="464"/>
      <c r="AD1042" s="464"/>
      <c r="AE1042" s="464"/>
      <c r="AF1042" s="464"/>
      <c r="AG1042" s="464"/>
      <c r="AH1042" s="465"/>
      <c r="AI1042" s="464"/>
    </row>
    <row r="1043" customFormat="false" ht="15" hidden="false" customHeight="true" outlineLevel="0" collapsed="false">
      <c r="A1043" s="455" t="s">
        <v>1921</v>
      </c>
      <c r="C1043" s="456" t="n">
        <v>45593</v>
      </c>
      <c r="D1043" s="456"/>
      <c r="E1043" s="323" t="n">
        <v>14078</v>
      </c>
      <c r="F1043" s="323" t="s">
        <v>175</v>
      </c>
      <c r="G1043" s="323" t="s">
        <v>15</v>
      </c>
      <c r="H1043" s="98" t="n">
        <v>390</v>
      </c>
      <c r="I1043" s="457" t="n">
        <v>37.5</v>
      </c>
      <c r="J1043" s="313" t="s">
        <v>1652</v>
      </c>
      <c r="K1043" s="98" t="n">
        <f aca="false">I1043*H1043</f>
        <v>14625</v>
      </c>
      <c r="L1043" s="411" t="n">
        <v>9144.5</v>
      </c>
      <c r="M1043" s="392" t="n">
        <f aca="false">L1043/K1043</f>
        <v>0.625264957264957</v>
      </c>
      <c r="N1043" s="466" t="n">
        <f aca="false">I1043*M1043</f>
        <v>23.4474358974359</v>
      </c>
      <c r="O1043" s="461" t="n">
        <v>390</v>
      </c>
      <c r="P1043" s="462" t="n">
        <f aca="false">H1043-O1043</f>
        <v>0</v>
      </c>
      <c r="Q1043" s="463" t="n">
        <f aca="false">O1043*I1043</f>
        <v>14625</v>
      </c>
      <c r="R1043" s="48" t="n">
        <f aca="false">K1043-Q1043</f>
        <v>0</v>
      </c>
      <c r="S1043" s="467"/>
      <c r="T1043" s="2" t="s">
        <v>1711</v>
      </c>
      <c r="V1043" s="464"/>
      <c r="W1043" s="464"/>
      <c r="X1043" s="464"/>
      <c r="Y1043" s="464"/>
      <c r="Z1043" s="464"/>
      <c r="AA1043" s="464"/>
      <c r="AB1043" s="464"/>
      <c r="AC1043" s="464"/>
      <c r="AD1043" s="464"/>
      <c r="AE1043" s="464"/>
      <c r="AF1043" s="464"/>
      <c r="AG1043" s="464"/>
      <c r="AH1043" s="465"/>
      <c r="AI1043" s="464"/>
    </row>
    <row r="1044" customFormat="false" ht="15" hidden="false" customHeight="true" outlineLevel="0" collapsed="false">
      <c r="A1044" s="455" t="s">
        <v>1921</v>
      </c>
      <c r="C1044" s="456" t="n">
        <v>45593</v>
      </c>
      <c r="D1044" s="456"/>
      <c r="E1044" s="323" t="n">
        <v>14078</v>
      </c>
      <c r="F1044" s="323" t="s">
        <v>175</v>
      </c>
      <c r="G1044" s="323" t="s">
        <v>19</v>
      </c>
      <c r="H1044" s="98" t="n">
        <v>210</v>
      </c>
      <c r="I1044" s="457" t="n">
        <v>37.5</v>
      </c>
      <c r="J1044" s="313" t="s">
        <v>1652</v>
      </c>
      <c r="K1044" s="98" t="n">
        <f aca="false">I1044*H1044</f>
        <v>7875</v>
      </c>
      <c r="L1044" s="411" t="n">
        <v>5211.5</v>
      </c>
      <c r="M1044" s="392" t="n">
        <f aca="false">L1044/K1044</f>
        <v>0.661777777777778</v>
      </c>
      <c r="N1044" s="466" t="n">
        <f aca="false">I1044*M1044</f>
        <v>24.8166666666667</v>
      </c>
      <c r="O1044" s="461" t="n">
        <v>210</v>
      </c>
      <c r="P1044" s="462" t="n">
        <f aca="false">H1044-O1044</f>
        <v>0</v>
      </c>
      <c r="Q1044" s="463" t="n">
        <f aca="false">O1044*I1044</f>
        <v>7875</v>
      </c>
      <c r="R1044" s="48" t="n">
        <f aca="false">K1044-Q1044</f>
        <v>0</v>
      </c>
      <c r="S1044" s="467"/>
      <c r="T1044" s="2" t="s">
        <v>1711</v>
      </c>
      <c r="V1044" s="464"/>
      <c r="W1044" s="464"/>
      <c r="X1044" s="464"/>
      <c r="Y1044" s="464"/>
      <c r="Z1044" s="464"/>
      <c r="AA1044" s="464"/>
      <c r="AB1044" s="464"/>
      <c r="AC1044" s="464"/>
      <c r="AD1044" s="464"/>
      <c r="AE1044" s="464"/>
      <c r="AF1044" s="464"/>
      <c r="AG1044" s="464"/>
      <c r="AH1044" s="465"/>
      <c r="AI1044" s="464"/>
    </row>
    <row r="1045" customFormat="false" ht="15" hidden="false" customHeight="true" outlineLevel="0" collapsed="false">
      <c r="A1045" s="455" t="s">
        <v>1921</v>
      </c>
      <c r="C1045" s="456" t="n">
        <v>45593</v>
      </c>
      <c r="D1045" s="456"/>
      <c r="E1045" s="323" t="n">
        <v>14078</v>
      </c>
      <c r="F1045" s="323" t="s">
        <v>175</v>
      </c>
      <c r="G1045" s="323" t="s">
        <v>6</v>
      </c>
      <c r="H1045" s="98" t="n">
        <v>1305</v>
      </c>
      <c r="I1045" s="457" t="n">
        <v>45</v>
      </c>
      <c r="J1045" s="313" t="s">
        <v>1652</v>
      </c>
      <c r="K1045" s="98" t="n">
        <f aca="false">I1045*H1045</f>
        <v>58725</v>
      </c>
      <c r="L1045" s="411" t="n">
        <v>44169.9</v>
      </c>
      <c r="M1045" s="392" t="n">
        <f aca="false">L1045/K1045</f>
        <v>0.752148148148148</v>
      </c>
      <c r="N1045" s="466" t="n">
        <f aca="false">I1045*M1045</f>
        <v>33.8466666666667</v>
      </c>
      <c r="O1045" s="461" t="n">
        <v>1305</v>
      </c>
      <c r="P1045" s="462" t="n">
        <f aca="false">H1045-O1045</f>
        <v>0</v>
      </c>
      <c r="Q1045" s="463" t="n">
        <f aca="false">O1045*I1045</f>
        <v>58725</v>
      </c>
      <c r="R1045" s="48" t="n">
        <f aca="false">K1045-Q1045</f>
        <v>0</v>
      </c>
      <c r="S1045" s="467"/>
      <c r="T1045" s="2" t="s">
        <v>1711</v>
      </c>
      <c r="V1045" s="464"/>
      <c r="W1045" s="464"/>
      <c r="X1045" s="464"/>
      <c r="Y1045" s="464"/>
      <c r="Z1045" s="464"/>
      <c r="AA1045" s="464"/>
      <c r="AB1045" s="464"/>
      <c r="AC1045" s="464"/>
      <c r="AD1045" s="464"/>
      <c r="AE1045" s="464"/>
      <c r="AF1045" s="464"/>
      <c r="AG1045" s="464"/>
      <c r="AH1045" s="465"/>
      <c r="AI1045" s="464"/>
    </row>
    <row r="1046" customFormat="false" ht="15" hidden="false" customHeight="true" outlineLevel="0" collapsed="false">
      <c r="A1046" s="455" t="s">
        <v>1921</v>
      </c>
      <c r="C1046" s="456" t="n">
        <v>45593</v>
      </c>
      <c r="D1046" s="456"/>
      <c r="E1046" s="323" t="n">
        <v>14078</v>
      </c>
      <c r="F1046" s="57" t="s">
        <v>175</v>
      </c>
      <c r="G1046" s="323" t="s">
        <v>20</v>
      </c>
      <c r="H1046" s="98" t="n">
        <v>750</v>
      </c>
      <c r="I1046" s="457" t="n">
        <v>38.29</v>
      </c>
      <c r="J1046" s="313" t="s">
        <v>1652</v>
      </c>
      <c r="K1046" s="98" t="n">
        <f aca="false">I1046*H1046</f>
        <v>28717.5</v>
      </c>
      <c r="L1046" s="411" t="n">
        <v>12692.5</v>
      </c>
      <c r="M1046" s="392" t="n">
        <f aca="false">L1046/K1046</f>
        <v>0.441977888047358</v>
      </c>
      <c r="N1046" s="466" t="n">
        <f aca="false">I1046*M1046</f>
        <v>16.9233333333333</v>
      </c>
      <c r="O1046" s="461" t="n">
        <v>750</v>
      </c>
      <c r="P1046" s="462" t="n">
        <f aca="false">H1046-O1046</f>
        <v>0</v>
      </c>
      <c r="Q1046" s="463" t="n">
        <f aca="false">O1046*I1046</f>
        <v>28717.5</v>
      </c>
      <c r="R1046" s="48" t="n">
        <f aca="false">K1046-Q1046</f>
        <v>0</v>
      </c>
      <c r="S1046" s="467"/>
      <c r="T1046" s="2" t="s">
        <v>1711</v>
      </c>
      <c r="V1046" s="464"/>
      <c r="W1046" s="464"/>
      <c r="X1046" s="464"/>
      <c r="Y1046" s="464"/>
      <c r="Z1046" s="464"/>
      <c r="AA1046" s="464"/>
      <c r="AB1046" s="464"/>
      <c r="AC1046" s="464"/>
      <c r="AD1046" s="464"/>
      <c r="AE1046" s="464"/>
      <c r="AF1046" s="464"/>
      <c r="AG1046" s="464"/>
      <c r="AH1046" s="465"/>
      <c r="AI1046" s="464"/>
    </row>
    <row r="1047" customFormat="false" ht="15" hidden="false" customHeight="true" outlineLevel="0" collapsed="false">
      <c r="A1047" s="455" t="s">
        <v>1921</v>
      </c>
      <c r="C1047" s="456" t="n">
        <v>45593</v>
      </c>
      <c r="D1047" s="456"/>
      <c r="E1047" s="323" t="n">
        <v>14078</v>
      </c>
      <c r="F1047" s="323" t="s">
        <v>175</v>
      </c>
      <c r="G1047" s="323" t="s">
        <v>17</v>
      </c>
      <c r="H1047" s="98" t="n">
        <v>600</v>
      </c>
      <c r="I1047" s="457" t="n">
        <v>37.5</v>
      </c>
      <c r="J1047" s="313" t="s">
        <v>1652</v>
      </c>
      <c r="K1047" s="98" t="n">
        <f aca="false">I1047*H1047</f>
        <v>22500</v>
      </c>
      <c r="L1047" s="411" t="n">
        <v>15789.6</v>
      </c>
      <c r="M1047" s="392" t="n">
        <f aca="false">L1047/K1047</f>
        <v>0.70176</v>
      </c>
      <c r="N1047" s="466" t="n">
        <f aca="false">I1047*M1047</f>
        <v>26.316</v>
      </c>
      <c r="O1047" s="461" t="n">
        <v>600</v>
      </c>
      <c r="P1047" s="462" t="n">
        <f aca="false">H1047-O1047</f>
        <v>0</v>
      </c>
      <c r="Q1047" s="463" t="n">
        <f aca="false">O1047*I1047</f>
        <v>22500</v>
      </c>
      <c r="R1047" s="48" t="n">
        <f aca="false">K1047-Q1047</f>
        <v>0</v>
      </c>
      <c r="S1047" s="467"/>
      <c r="T1047" s="2" t="s">
        <v>1711</v>
      </c>
      <c r="V1047" s="464"/>
      <c r="W1047" s="464"/>
      <c r="X1047" s="464"/>
      <c r="Y1047" s="464"/>
      <c r="Z1047" s="464"/>
      <c r="AA1047" s="464"/>
      <c r="AB1047" s="464"/>
      <c r="AC1047" s="464"/>
      <c r="AD1047" s="464"/>
      <c r="AE1047" s="464"/>
      <c r="AF1047" s="464"/>
      <c r="AG1047" s="464"/>
      <c r="AH1047" s="465"/>
      <c r="AI1047" s="464"/>
    </row>
    <row r="1048" customFormat="false" ht="15" hidden="false" customHeight="true" outlineLevel="0" collapsed="false">
      <c r="A1048" s="455" t="s">
        <v>1921</v>
      </c>
      <c r="C1048" s="456" t="n">
        <v>45593</v>
      </c>
      <c r="D1048" s="456"/>
      <c r="E1048" s="323" t="n">
        <v>14078</v>
      </c>
      <c r="F1048" s="323" t="s">
        <v>175</v>
      </c>
      <c r="G1048" s="323" t="s">
        <v>22</v>
      </c>
      <c r="H1048" s="98" t="n">
        <v>120</v>
      </c>
      <c r="I1048" s="457" t="n">
        <v>90</v>
      </c>
      <c r="J1048" s="313" t="s">
        <v>1653</v>
      </c>
      <c r="K1048" s="98" t="n">
        <f aca="false">I1048*H1048</f>
        <v>10800</v>
      </c>
      <c r="L1048" s="411" t="n">
        <v>3438.92</v>
      </c>
      <c r="M1048" s="392" t="n">
        <f aca="false">L1048/K1048</f>
        <v>0.318418518518519</v>
      </c>
      <c r="N1048" s="466" t="n">
        <f aca="false">I1048*M1048</f>
        <v>28.6576666666667</v>
      </c>
      <c r="O1048" s="461" t="n">
        <v>120</v>
      </c>
      <c r="P1048" s="462" t="n">
        <f aca="false">H1048-O1048</f>
        <v>0</v>
      </c>
      <c r="Q1048" s="463" t="n">
        <f aca="false">O1048*I1048</f>
        <v>10800</v>
      </c>
      <c r="R1048" s="48" t="n">
        <f aca="false">K1048-Q1048</f>
        <v>0</v>
      </c>
      <c r="S1048" s="467"/>
      <c r="T1048" s="2" t="s">
        <v>1711</v>
      </c>
      <c r="V1048" s="464"/>
      <c r="W1048" s="464"/>
      <c r="X1048" s="464"/>
      <c r="Y1048" s="464"/>
      <c r="Z1048" s="464"/>
      <c r="AA1048" s="464"/>
      <c r="AB1048" s="464"/>
      <c r="AC1048" s="464"/>
      <c r="AD1048" s="464"/>
      <c r="AE1048" s="464"/>
      <c r="AF1048" s="464"/>
      <c r="AG1048" s="464"/>
      <c r="AH1048" s="465"/>
      <c r="AI1048" s="464"/>
    </row>
    <row r="1049" customFormat="false" ht="15" hidden="false" customHeight="true" outlineLevel="0" collapsed="false">
      <c r="A1049" s="455" t="s">
        <v>1922</v>
      </c>
      <c r="C1049" s="456" t="n">
        <v>45593</v>
      </c>
      <c r="D1049" s="456"/>
      <c r="E1049" s="323" t="n">
        <v>14079</v>
      </c>
      <c r="F1049" s="323" t="s">
        <v>175</v>
      </c>
      <c r="G1049" s="323" t="s">
        <v>5</v>
      </c>
      <c r="H1049" s="98" t="n">
        <v>2700</v>
      </c>
      <c r="I1049" s="457" t="n">
        <v>25.71</v>
      </c>
      <c r="J1049" s="313" t="s">
        <v>1651</v>
      </c>
      <c r="K1049" s="98" t="n">
        <f aca="false">I1049*H1049</f>
        <v>69417</v>
      </c>
      <c r="L1049" s="411" t="n">
        <v>44550</v>
      </c>
      <c r="M1049" s="392" t="n">
        <f aca="false">L1049/K1049</f>
        <v>0.641773628938156</v>
      </c>
      <c r="N1049" s="466" t="n">
        <f aca="false">I1049*M1049</f>
        <v>16.5</v>
      </c>
      <c r="O1049" s="461" t="n">
        <v>2700</v>
      </c>
      <c r="P1049" s="462" t="n">
        <f aca="false">H1049-O1049</f>
        <v>0</v>
      </c>
      <c r="Q1049" s="463" t="n">
        <f aca="false">O1049*I1049</f>
        <v>69417</v>
      </c>
      <c r="R1049" s="48" t="n">
        <f aca="false">K1049-Q1049</f>
        <v>0</v>
      </c>
      <c r="S1049" s="467"/>
      <c r="T1049" s="2" t="s">
        <v>1711</v>
      </c>
      <c r="V1049" s="464"/>
      <c r="W1049" s="464"/>
      <c r="X1049" s="464"/>
      <c r="Y1049" s="464"/>
      <c r="Z1049" s="464"/>
      <c r="AA1049" s="464"/>
      <c r="AB1049" s="464"/>
      <c r="AC1049" s="464"/>
      <c r="AD1049" s="464"/>
      <c r="AE1049" s="464"/>
      <c r="AF1049" s="464"/>
      <c r="AG1049" s="464"/>
      <c r="AH1049" s="465"/>
      <c r="AI1049" s="464"/>
    </row>
    <row r="1050" customFormat="false" ht="15" hidden="false" customHeight="true" outlineLevel="0" collapsed="false">
      <c r="A1050" s="455" t="s">
        <v>1922</v>
      </c>
      <c r="C1050" s="456" t="n">
        <v>45593</v>
      </c>
      <c r="D1050" s="456"/>
      <c r="E1050" s="323" t="n">
        <v>14079</v>
      </c>
      <c r="F1050" s="323" t="s">
        <v>175</v>
      </c>
      <c r="G1050" s="323" t="s">
        <v>13</v>
      </c>
      <c r="H1050" s="98" t="n">
        <v>450</v>
      </c>
      <c r="I1050" s="457" t="n">
        <v>22.5</v>
      </c>
      <c r="J1050" s="313" t="s">
        <v>1651</v>
      </c>
      <c r="K1050" s="98" t="n">
        <f aca="false">I1050*H1050</f>
        <v>10125</v>
      </c>
      <c r="L1050" s="411" t="n">
        <v>6165</v>
      </c>
      <c r="M1050" s="392" t="n">
        <f aca="false">L1050/K1050</f>
        <v>0.608888888888889</v>
      </c>
      <c r="N1050" s="466" t="n">
        <f aca="false">I1050*M1050</f>
        <v>13.7</v>
      </c>
      <c r="O1050" s="461" t="n">
        <v>450</v>
      </c>
      <c r="P1050" s="462" t="n">
        <f aca="false">H1050-O1050</f>
        <v>0</v>
      </c>
      <c r="Q1050" s="463" t="n">
        <f aca="false">O1050*I1050</f>
        <v>10125</v>
      </c>
      <c r="R1050" s="48" t="n">
        <f aca="false">K1050-Q1050</f>
        <v>0</v>
      </c>
      <c r="S1050" s="467"/>
      <c r="T1050" s="2" t="s">
        <v>1711</v>
      </c>
      <c r="V1050" s="464"/>
      <c r="W1050" s="464"/>
      <c r="X1050" s="464"/>
      <c r="Y1050" s="464"/>
      <c r="Z1050" s="464"/>
      <c r="AA1050" s="464"/>
      <c r="AB1050" s="464"/>
      <c r="AC1050" s="464"/>
      <c r="AD1050" s="464"/>
      <c r="AE1050" s="464"/>
      <c r="AF1050" s="464"/>
      <c r="AG1050" s="464"/>
      <c r="AH1050" s="465"/>
      <c r="AI1050" s="464"/>
    </row>
    <row r="1051" customFormat="false" ht="15" hidden="false" customHeight="true" outlineLevel="0" collapsed="false">
      <c r="A1051" s="455" t="s">
        <v>1923</v>
      </c>
      <c r="C1051" s="456" t="n">
        <v>45593</v>
      </c>
      <c r="D1051" s="456"/>
      <c r="E1051" s="323" t="n">
        <v>14080</v>
      </c>
      <c r="F1051" s="323" t="s">
        <v>175</v>
      </c>
      <c r="G1051" s="323" t="s">
        <v>15</v>
      </c>
      <c r="H1051" s="98" t="n">
        <v>15</v>
      </c>
      <c r="I1051" s="457" t="n">
        <v>22.5</v>
      </c>
      <c r="J1051" s="313" t="s">
        <v>1651</v>
      </c>
      <c r="K1051" s="98" t="n">
        <f aca="false">I1051*H1051</f>
        <v>337.5</v>
      </c>
      <c r="L1051" s="411" t="n">
        <v>348.9</v>
      </c>
      <c r="M1051" s="392" t="n">
        <f aca="false">L1051/K1051</f>
        <v>1.03377777777778</v>
      </c>
      <c r="N1051" s="466" t="n">
        <f aca="false">I1051*M1051</f>
        <v>23.26</v>
      </c>
      <c r="O1051" s="461" t="n">
        <v>15</v>
      </c>
      <c r="P1051" s="462" t="n">
        <f aca="false">H1051-O1051</f>
        <v>0</v>
      </c>
      <c r="Q1051" s="463" t="n">
        <f aca="false">O1051*I1051</f>
        <v>337.5</v>
      </c>
      <c r="R1051" s="48" t="n">
        <f aca="false">K1051-Q1051</f>
        <v>0</v>
      </c>
      <c r="S1051" s="467"/>
      <c r="T1051" s="2" t="s">
        <v>1711</v>
      </c>
      <c r="V1051" s="464"/>
      <c r="W1051" s="464"/>
      <c r="X1051" s="464"/>
      <c r="Y1051" s="464"/>
      <c r="Z1051" s="464"/>
      <c r="AA1051" s="464"/>
      <c r="AB1051" s="464"/>
      <c r="AC1051" s="464"/>
      <c r="AD1051" s="464"/>
      <c r="AE1051" s="464"/>
      <c r="AF1051" s="464"/>
      <c r="AG1051" s="464"/>
      <c r="AH1051" s="465"/>
      <c r="AI1051" s="464"/>
    </row>
    <row r="1052" customFormat="false" ht="15" hidden="false" customHeight="true" outlineLevel="0" collapsed="false">
      <c r="A1052" s="455" t="s">
        <v>1923</v>
      </c>
      <c r="C1052" s="456" t="n">
        <v>45593</v>
      </c>
      <c r="D1052" s="456"/>
      <c r="E1052" s="323" t="n">
        <v>14080</v>
      </c>
      <c r="F1052" s="323" t="s">
        <v>175</v>
      </c>
      <c r="G1052" s="323" t="s">
        <v>6</v>
      </c>
      <c r="H1052" s="98" t="n">
        <v>30</v>
      </c>
      <c r="I1052" s="457" t="n">
        <v>30</v>
      </c>
      <c r="J1052" s="313" t="s">
        <v>1651</v>
      </c>
      <c r="K1052" s="98" t="n">
        <f aca="false">I1052*H1052</f>
        <v>900</v>
      </c>
      <c r="L1052" s="411" t="n">
        <v>743.4</v>
      </c>
      <c r="M1052" s="392" t="n">
        <f aca="false">L1052/K1052</f>
        <v>0.826</v>
      </c>
      <c r="N1052" s="466" t="n">
        <f aca="false">I1052*M1052</f>
        <v>24.78</v>
      </c>
      <c r="O1052" s="461" t="n">
        <v>30</v>
      </c>
      <c r="P1052" s="462" t="n">
        <f aca="false">H1052-O1052</f>
        <v>0</v>
      </c>
      <c r="Q1052" s="463" t="n">
        <f aca="false">O1052*I1052</f>
        <v>900</v>
      </c>
      <c r="R1052" s="48" t="n">
        <f aca="false">K1052-Q1052</f>
        <v>0</v>
      </c>
      <c r="S1052" s="467"/>
      <c r="T1052" s="2" t="s">
        <v>1711</v>
      </c>
      <c r="V1052" s="464"/>
      <c r="W1052" s="464"/>
      <c r="X1052" s="464"/>
      <c r="Y1052" s="464"/>
      <c r="Z1052" s="464"/>
      <c r="AA1052" s="464"/>
      <c r="AB1052" s="464"/>
      <c r="AC1052" s="464"/>
      <c r="AD1052" s="464"/>
      <c r="AE1052" s="464"/>
      <c r="AF1052" s="464"/>
      <c r="AG1052" s="464"/>
      <c r="AH1052" s="465"/>
      <c r="AI1052" s="464"/>
    </row>
    <row r="1053" customFormat="false" ht="15" hidden="false" customHeight="true" outlineLevel="0" collapsed="false">
      <c r="A1053" s="455" t="s">
        <v>1715</v>
      </c>
      <c r="C1053" s="456" t="n">
        <v>45593</v>
      </c>
      <c r="D1053" s="456"/>
      <c r="E1053" s="323" t="n">
        <v>14081</v>
      </c>
      <c r="F1053" s="323" t="s">
        <v>175</v>
      </c>
      <c r="G1053" s="323" t="s">
        <v>7</v>
      </c>
      <c r="H1053" s="98" t="n">
        <v>60</v>
      </c>
      <c r="I1053" s="457" t="n">
        <v>25.71</v>
      </c>
      <c r="J1053" s="313" t="s">
        <v>1651</v>
      </c>
      <c r="K1053" s="98" t="n">
        <f aca="false">I1053*H1053</f>
        <v>1542.6</v>
      </c>
      <c r="L1053" s="411" t="n">
        <v>1356.6</v>
      </c>
      <c r="M1053" s="392" t="n">
        <f aca="false">L1053/K1053</f>
        <v>0.879424348502528</v>
      </c>
      <c r="N1053" s="466" t="n">
        <f aca="false">I1053*M1053</f>
        <v>22.61</v>
      </c>
      <c r="O1053" s="461" t="n">
        <v>60</v>
      </c>
      <c r="P1053" s="462" t="n">
        <f aca="false">H1053-O1053</f>
        <v>0</v>
      </c>
      <c r="Q1053" s="463" t="n">
        <f aca="false">O1053*I1053</f>
        <v>1542.6</v>
      </c>
      <c r="R1053" s="48" t="n">
        <f aca="false">K1053-Q1053</f>
        <v>0</v>
      </c>
      <c r="S1053" s="467"/>
      <c r="T1053" s="2" t="s">
        <v>1711</v>
      </c>
      <c r="V1053" s="464"/>
      <c r="W1053" s="464"/>
      <c r="X1053" s="464"/>
      <c r="Y1053" s="464"/>
      <c r="Z1053" s="464"/>
      <c r="AA1053" s="464"/>
      <c r="AB1053" s="464"/>
      <c r="AC1053" s="464"/>
      <c r="AD1053" s="464"/>
      <c r="AE1053" s="464"/>
      <c r="AF1053" s="464"/>
      <c r="AG1053" s="464"/>
      <c r="AH1053" s="465"/>
      <c r="AI1053" s="464"/>
    </row>
    <row r="1054" customFormat="false" ht="15" hidden="false" customHeight="true" outlineLevel="0" collapsed="false">
      <c r="A1054" s="455" t="s">
        <v>1924</v>
      </c>
      <c r="C1054" s="456" t="n">
        <v>45593</v>
      </c>
      <c r="D1054" s="456"/>
      <c r="E1054" s="323" t="n">
        <v>14082</v>
      </c>
      <c r="F1054" s="323" t="s">
        <v>175</v>
      </c>
      <c r="G1054" s="323" t="s">
        <v>10</v>
      </c>
      <c r="H1054" s="98" t="n">
        <v>15000</v>
      </c>
      <c r="I1054" s="457" t="n">
        <v>38.3</v>
      </c>
      <c r="J1054" s="313" t="s">
        <v>1652</v>
      </c>
      <c r="K1054" s="98" t="n">
        <f aca="false">I1054*H1054</f>
        <v>574500</v>
      </c>
      <c r="L1054" s="411" t="n">
        <v>180000</v>
      </c>
      <c r="M1054" s="392" t="n">
        <f aca="false">L1054/K1054</f>
        <v>0.31331592689295</v>
      </c>
      <c r="N1054" s="466" t="n">
        <f aca="false">I1054*M1054</f>
        <v>12</v>
      </c>
      <c r="O1054" s="461" t="n">
        <v>15000</v>
      </c>
      <c r="P1054" s="462" t="n">
        <f aca="false">H1054-O1054</f>
        <v>0</v>
      </c>
      <c r="Q1054" s="463" t="n">
        <f aca="false">O1054*I1054</f>
        <v>574500</v>
      </c>
      <c r="R1054" s="48" t="n">
        <f aca="false">K1054-Q1054</f>
        <v>0</v>
      </c>
      <c r="S1054" s="467"/>
      <c r="T1054" s="2" t="s">
        <v>1711</v>
      </c>
      <c r="V1054" s="464"/>
      <c r="W1054" s="464"/>
      <c r="X1054" s="464"/>
      <c r="Y1054" s="464"/>
      <c r="Z1054" s="464"/>
      <c r="AA1054" s="464"/>
      <c r="AB1054" s="464"/>
      <c r="AC1054" s="464"/>
      <c r="AD1054" s="464"/>
      <c r="AE1054" s="464"/>
      <c r="AF1054" s="464"/>
      <c r="AG1054" s="464"/>
      <c r="AH1054" s="465"/>
      <c r="AI1054" s="464"/>
    </row>
    <row r="1055" customFormat="false" ht="15" hidden="false" customHeight="true" outlineLevel="0" collapsed="false">
      <c r="A1055" s="455" t="s">
        <v>1925</v>
      </c>
      <c r="C1055" s="456" t="n">
        <v>45594</v>
      </c>
      <c r="D1055" s="456"/>
      <c r="E1055" s="57" t="n">
        <v>14084</v>
      </c>
      <c r="F1055" s="57" t="s">
        <v>175</v>
      </c>
      <c r="G1055" s="323" t="s">
        <v>42</v>
      </c>
      <c r="H1055" s="98" t="n">
        <v>255</v>
      </c>
      <c r="I1055" s="457" t="n">
        <v>30</v>
      </c>
      <c r="J1055" s="313" t="s">
        <v>1651</v>
      </c>
      <c r="K1055" s="98" t="n">
        <f aca="false">I1055*H1055</f>
        <v>7650</v>
      </c>
      <c r="L1055" s="411" t="n">
        <v>5227.5</v>
      </c>
      <c r="M1055" s="392" t="n">
        <f aca="false">L1055/K1055</f>
        <v>0.683333333333333</v>
      </c>
      <c r="N1055" s="466" t="n">
        <f aca="false">I1055*M1055</f>
        <v>20.5</v>
      </c>
      <c r="O1055" s="461" t="n">
        <v>255</v>
      </c>
      <c r="P1055" s="462" t="n">
        <f aca="false">H1055-O1055</f>
        <v>0</v>
      </c>
      <c r="Q1055" s="463" t="n">
        <f aca="false">O1055*I1055</f>
        <v>7650</v>
      </c>
      <c r="R1055" s="48" t="n">
        <f aca="false">K1055-Q1055</f>
        <v>0</v>
      </c>
      <c r="S1055" s="467"/>
      <c r="T1055" s="2" t="s">
        <v>1711</v>
      </c>
      <c r="V1055" s="464"/>
      <c r="W1055" s="464"/>
      <c r="X1055" s="464"/>
      <c r="Y1055" s="464"/>
      <c r="Z1055" s="464"/>
      <c r="AA1055" s="464"/>
      <c r="AB1055" s="464"/>
      <c r="AC1055" s="464"/>
      <c r="AD1055" s="464"/>
      <c r="AE1055" s="464"/>
      <c r="AF1055" s="464"/>
      <c r="AG1055" s="464"/>
      <c r="AH1055" s="465"/>
      <c r="AI1055" s="464"/>
    </row>
    <row r="1056" customFormat="false" ht="15" hidden="false" customHeight="true" outlineLevel="0" collapsed="false">
      <c r="A1056" s="455" t="s">
        <v>1925</v>
      </c>
      <c r="C1056" s="456" t="n">
        <v>45594</v>
      </c>
      <c r="D1056" s="456"/>
      <c r="E1056" s="57" t="n">
        <v>14085</v>
      </c>
      <c r="F1056" s="57" t="s">
        <v>175</v>
      </c>
      <c r="G1056" s="323" t="s">
        <v>10</v>
      </c>
      <c r="H1056" s="98" t="n">
        <v>600</v>
      </c>
      <c r="I1056" s="457" t="n">
        <v>38.3</v>
      </c>
      <c r="J1056" s="313" t="s">
        <v>1652</v>
      </c>
      <c r="K1056" s="98" t="n">
        <f aca="false">I1056*H1056</f>
        <v>22980</v>
      </c>
      <c r="L1056" s="411" t="n">
        <v>8100</v>
      </c>
      <c r="M1056" s="392" t="n">
        <f aca="false">L1056/K1056</f>
        <v>0.352480417754569</v>
      </c>
      <c r="N1056" s="466" t="n">
        <f aca="false">I1056*M1056</f>
        <v>13.5</v>
      </c>
      <c r="O1056" s="461" t="n">
        <v>600</v>
      </c>
      <c r="P1056" s="462" t="n">
        <f aca="false">H1056-O1056</f>
        <v>0</v>
      </c>
      <c r="Q1056" s="463" t="n">
        <f aca="false">O1056*I1056</f>
        <v>22980</v>
      </c>
      <c r="R1056" s="48" t="n">
        <f aca="false">K1056-Q1056</f>
        <v>0</v>
      </c>
      <c r="S1056" s="467"/>
      <c r="T1056" s="2" t="s">
        <v>1711</v>
      </c>
      <c r="V1056" s="464"/>
      <c r="W1056" s="464"/>
      <c r="X1056" s="464"/>
      <c r="Y1056" s="464"/>
      <c r="Z1056" s="464"/>
      <c r="AA1056" s="464"/>
      <c r="AB1056" s="464"/>
      <c r="AC1056" s="464"/>
      <c r="AD1056" s="464"/>
      <c r="AE1056" s="464"/>
      <c r="AF1056" s="464"/>
      <c r="AG1056" s="464"/>
      <c r="AH1056" s="465"/>
      <c r="AI1056" s="464"/>
    </row>
    <row r="1057" customFormat="false" ht="15" hidden="false" customHeight="true" outlineLevel="0" collapsed="false">
      <c r="A1057" s="455" t="s">
        <v>1900</v>
      </c>
      <c r="C1057" s="456" t="n">
        <v>45594</v>
      </c>
      <c r="D1057" s="456"/>
      <c r="E1057" s="57" t="n">
        <v>14086</v>
      </c>
      <c r="F1057" s="323" t="s">
        <v>175</v>
      </c>
      <c r="G1057" s="323" t="s">
        <v>10</v>
      </c>
      <c r="H1057" s="98" t="n">
        <v>3000</v>
      </c>
      <c r="I1057" s="457" t="n">
        <v>38.3</v>
      </c>
      <c r="J1057" s="313" t="s">
        <v>1652</v>
      </c>
      <c r="K1057" s="98" t="n">
        <f aca="false">I1057*H1057</f>
        <v>114900</v>
      </c>
      <c r="L1057" s="411" t="n">
        <v>33000</v>
      </c>
      <c r="M1057" s="392" t="n">
        <f aca="false">L1057/K1057</f>
        <v>0.287206266318538</v>
      </c>
      <c r="N1057" s="466" t="n">
        <f aca="false">I1057*M1057</f>
        <v>11</v>
      </c>
      <c r="O1057" s="461" t="n">
        <v>3000</v>
      </c>
      <c r="P1057" s="462" t="n">
        <f aca="false">H1057-O1057</f>
        <v>0</v>
      </c>
      <c r="Q1057" s="463" t="n">
        <f aca="false">O1057*I1057</f>
        <v>114900</v>
      </c>
      <c r="R1057" s="48" t="n">
        <f aca="false">K1057-Q1057</f>
        <v>0</v>
      </c>
      <c r="S1057" s="467"/>
      <c r="T1057" s="2" t="s">
        <v>1711</v>
      </c>
      <c r="V1057" s="464"/>
      <c r="W1057" s="464"/>
      <c r="X1057" s="464"/>
      <c r="Y1057" s="464"/>
      <c r="Z1057" s="464"/>
      <c r="AA1057" s="464"/>
      <c r="AB1057" s="464"/>
      <c r="AC1057" s="464"/>
      <c r="AD1057" s="464"/>
      <c r="AE1057" s="464"/>
      <c r="AF1057" s="464"/>
      <c r="AG1057" s="464"/>
      <c r="AH1057" s="465"/>
      <c r="AI1057" s="464"/>
    </row>
    <row r="1058" customFormat="false" ht="15" hidden="false" customHeight="true" outlineLevel="0" collapsed="false">
      <c r="A1058" s="455" t="s">
        <v>1926</v>
      </c>
      <c r="C1058" s="456" t="n">
        <v>45594</v>
      </c>
      <c r="D1058" s="456"/>
      <c r="E1058" s="57" t="n">
        <v>14087</v>
      </c>
      <c r="F1058" s="323" t="s">
        <v>175</v>
      </c>
      <c r="G1058" s="323" t="s">
        <v>17</v>
      </c>
      <c r="H1058" s="98" t="n">
        <v>3335</v>
      </c>
      <c r="I1058" s="457" t="n">
        <v>22.5</v>
      </c>
      <c r="J1058" s="313" t="s">
        <v>1651</v>
      </c>
      <c r="K1058" s="98" t="n">
        <f aca="false">I1058*H1058</f>
        <v>75037.5</v>
      </c>
      <c r="L1058" s="411" t="n">
        <v>58800</v>
      </c>
      <c r="M1058" s="392" t="n">
        <f aca="false">L1058/K1058</f>
        <v>0.783608195902049</v>
      </c>
      <c r="N1058" s="466" t="n">
        <f aca="false">I1058*M1058</f>
        <v>17.6311844077961</v>
      </c>
      <c r="O1058" s="461" t="n">
        <v>3335</v>
      </c>
      <c r="P1058" s="462" t="n">
        <f aca="false">H1058-O1058</f>
        <v>0</v>
      </c>
      <c r="Q1058" s="463" t="n">
        <f aca="false">O1058*I1058</f>
        <v>75037.5</v>
      </c>
      <c r="R1058" s="48" t="n">
        <f aca="false">K1058-Q1058</f>
        <v>0</v>
      </c>
      <c r="S1058" s="467"/>
      <c r="T1058" s="2" t="s">
        <v>1711</v>
      </c>
      <c r="V1058" s="464"/>
      <c r="W1058" s="464"/>
      <c r="X1058" s="464"/>
      <c r="Y1058" s="464"/>
      <c r="Z1058" s="464"/>
      <c r="AA1058" s="464"/>
      <c r="AB1058" s="464"/>
      <c r="AC1058" s="464"/>
      <c r="AD1058" s="464"/>
      <c r="AE1058" s="464"/>
      <c r="AF1058" s="464"/>
      <c r="AG1058" s="464"/>
      <c r="AH1058" s="465"/>
      <c r="AI1058" s="464"/>
    </row>
    <row r="1059" customFormat="false" ht="15" hidden="false" customHeight="true" outlineLevel="0" collapsed="false">
      <c r="A1059" s="455" t="s">
        <v>1927</v>
      </c>
      <c r="C1059" s="456" t="n">
        <v>45594</v>
      </c>
      <c r="D1059" s="456"/>
      <c r="E1059" s="57" t="n">
        <v>14088</v>
      </c>
      <c r="F1059" s="323" t="s">
        <v>175</v>
      </c>
      <c r="G1059" s="323" t="s">
        <v>75</v>
      </c>
      <c r="H1059" s="98" t="n">
        <v>600</v>
      </c>
      <c r="I1059" s="457" t="n">
        <v>1</v>
      </c>
      <c r="J1059" s="313" t="s">
        <v>1653</v>
      </c>
      <c r="K1059" s="98" t="n">
        <f aca="false">I1059*H1059</f>
        <v>600</v>
      </c>
      <c r="L1059" s="411" t="n">
        <v>34200</v>
      </c>
      <c r="M1059" s="392" t="n">
        <f aca="false">L1059/K1059</f>
        <v>57</v>
      </c>
      <c r="N1059" s="466" t="n">
        <f aca="false">I1059*M1059</f>
        <v>57</v>
      </c>
      <c r="O1059" s="461" t="n">
        <v>600</v>
      </c>
      <c r="P1059" s="462" t="n">
        <f aca="false">H1059-O1059</f>
        <v>0</v>
      </c>
      <c r="Q1059" s="463" t="n">
        <f aca="false">O1059*I1059</f>
        <v>600</v>
      </c>
      <c r="R1059" s="48" t="n">
        <f aca="false">K1059-Q1059</f>
        <v>0</v>
      </c>
      <c r="S1059" s="467"/>
      <c r="T1059" s="2" t="s">
        <v>1711</v>
      </c>
      <c r="V1059" s="464"/>
      <c r="W1059" s="464"/>
      <c r="X1059" s="464"/>
      <c r="Y1059" s="464"/>
      <c r="Z1059" s="464"/>
      <c r="AA1059" s="464"/>
      <c r="AB1059" s="464"/>
      <c r="AC1059" s="464"/>
      <c r="AD1059" s="464"/>
      <c r="AE1059" s="464"/>
      <c r="AF1059" s="464"/>
      <c r="AG1059" s="464"/>
      <c r="AH1059" s="465"/>
      <c r="AI1059" s="464"/>
    </row>
    <row r="1060" customFormat="false" ht="15" hidden="false" customHeight="true" outlineLevel="0" collapsed="false">
      <c r="A1060" s="455" t="s">
        <v>1928</v>
      </c>
      <c r="C1060" s="456" t="n">
        <v>45594</v>
      </c>
      <c r="D1060" s="456"/>
      <c r="E1060" s="57" t="n">
        <v>14090</v>
      </c>
      <c r="F1060" s="323" t="s">
        <v>175</v>
      </c>
      <c r="G1060" s="323" t="s">
        <v>5</v>
      </c>
      <c r="H1060" s="98" t="n">
        <v>1010</v>
      </c>
      <c r="I1060" s="457" t="n">
        <v>25.71</v>
      </c>
      <c r="J1060" s="313" t="s">
        <v>1651</v>
      </c>
      <c r="K1060" s="98" t="n">
        <f aca="false">I1060*H1060</f>
        <v>25967.1</v>
      </c>
      <c r="L1060" s="411" t="n">
        <v>14039</v>
      </c>
      <c r="M1060" s="392" t="n">
        <f aca="false">L1060/K1060</f>
        <v>0.540645663166083</v>
      </c>
      <c r="N1060" s="466" t="n">
        <f aca="false">I1060*M1060</f>
        <v>13.9</v>
      </c>
      <c r="O1060" s="461" t="n">
        <v>1010</v>
      </c>
      <c r="P1060" s="462" t="n">
        <f aca="false">H1060-O1060</f>
        <v>0</v>
      </c>
      <c r="Q1060" s="463" t="n">
        <f aca="false">O1060*I1060</f>
        <v>25967.1</v>
      </c>
      <c r="R1060" s="48" t="n">
        <f aca="false">K1060-Q1060</f>
        <v>0</v>
      </c>
      <c r="S1060" s="467"/>
      <c r="T1060" s="2" t="s">
        <v>1711</v>
      </c>
      <c r="V1060" s="464"/>
      <c r="W1060" s="464"/>
      <c r="X1060" s="464"/>
      <c r="Y1060" s="464"/>
      <c r="Z1060" s="464"/>
      <c r="AA1060" s="464"/>
      <c r="AB1060" s="464"/>
      <c r="AC1060" s="464"/>
      <c r="AD1060" s="464"/>
      <c r="AE1060" s="464"/>
      <c r="AF1060" s="464"/>
      <c r="AG1060" s="464"/>
      <c r="AH1060" s="465"/>
      <c r="AI1060" s="464"/>
    </row>
    <row r="1061" customFormat="false" ht="15" hidden="false" customHeight="true" outlineLevel="0" collapsed="false">
      <c r="A1061" s="455" t="s">
        <v>1928</v>
      </c>
      <c r="C1061" s="456" t="n">
        <v>45594</v>
      </c>
      <c r="D1061" s="456"/>
      <c r="E1061" s="57" t="n">
        <v>14090</v>
      </c>
      <c r="F1061" s="323" t="s">
        <v>175</v>
      </c>
      <c r="G1061" s="323" t="s">
        <v>42</v>
      </c>
      <c r="H1061" s="98" t="n">
        <v>1500</v>
      </c>
      <c r="I1061" s="457" t="n">
        <v>30</v>
      </c>
      <c r="J1061" s="313" t="s">
        <v>1651</v>
      </c>
      <c r="K1061" s="98" t="n">
        <f aca="false">I1061*H1061</f>
        <v>45000</v>
      </c>
      <c r="L1061" s="411" t="n">
        <v>22200</v>
      </c>
      <c r="M1061" s="392" t="n">
        <f aca="false">L1061/K1061</f>
        <v>0.493333333333333</v>
      </c>
      <c r="N1061" s="466" t="n">
        <f aca="false">I1061*M1061</f>
        <v>14.8</v>
      </c>
      <c r="O1061" s="461" t="n">
        <v>1500</v>
      </c>
      <c r="P1061" s="462" t="n">
        <f aca="false">H1061-O1061</f>
        <v>0</v>
      </c>
      <c r="Q1061" s="463" t="n">
        <f aca="false">O1061*I1061</f>
        <v>45000</v>
      </c>
      <c r="R1061" s="48" t="n">
        <f aca="false">K1061-Q1061</f>
        <v>0</v>
      </c>
      <c r="S1061" s="467"/>
      <c r="T1061" s="2" t="s">
        <v>1711</v>
      </c>
      <c r="V1061" s="464"/>
      <c r="W1061" s="464"/>
      <c r="X1061" s="464"/>
      <c r="Y1061" s="464"/>
      <c r="Z1061" s="464"/>
      <c r="AA1061" s="464"/>
      <c r="AB1061" s="464"/>
      <c r="AC1061" s="464"/>
      <c r="AD1061" s="464"/>
      <c r="AE1061" s="464"/>
      <c r="AF1061" s="464"/>
      <c r="AG1061" s="464"/>
      <c r="AH1061" s="465"/>
      <c r="AI1061" s="464"/>
    </row>
    <row r="1062" customFormat="false" ht="15" hidden="false" customHeight="true" outlineLevel="0" collapsed="false">
      <c r="A1062" s="455" t="s">
        <v>1928</v>
      </c>
      <c r="C1062" s="456" t="n">
        <v>45594</v>
      </c>
      <c r="D1062" s="456"/>
      <c r="E1062" s="57" t="n">
        <v>14090</v>
      </c>
      <c r="F1062" s="323" t="s">
        <v>175</v>
      </c>
      <c r="G1062" s="323" t="s">
        <v>11</v>
      </c>
      <c r="H1062" s="98" t="n">
        <v>300</v>
      </c>
      <c r="I1062" s="457" t="n">
        <v>14</v>
      </c>
      <c r="J1062" s="313" t="s">
        <v>1651</v>
      </c>
      <c r="K1062" s="98" t="n">
        <f aca="false">I1062*H1062</f>
        <v>4200</v>
      </c>
      <c r="L1062" s="411" t="n">
        <v>17970</v>
      </c>
      <c r="M1062" s="392" t="n">
        <f aca="false">L1062/K1062</f>
        <v>4.27857142857143</v>
      </c>
      <c r="N1062" s="466" t="n">
        <f aca="false">I1062*M1062</f>
        <v>59.9</v>
      </c>
      <c r="O1062" s="461" t="n">
        <v>300</v>
      </c>
      <c r="P1062" s="462" t="n">
        <f aca="false">H1062-O1062</f>
        <v>0</v>
      </c>
      <c r="Q1062" s="463" t="n">
        <f aca="false">O1062*I1062</f>
        <v>4200</v>
      </c>
      <c r="R1062" s="48" t="n">
        <f aca="false">K1062-Q1062</f>
        <v>0</v>
      </c>
      <c r="S1062" s="467"/>
      <c r="T1062" s="2" t="s">
        <v>1711</v>
      </c>
      <c r="V1062" s="464"/>
      <c r="W1062" s="464"/>
      <c r="X1062" s="464"/>
      <c r="Y1062" s="464"/>
      <c r="Z1062" s="464"/>
      <c r="AA1062" s="464"/>
      <c r="AB1062" s="464"/>
      <c r="AC1062" s="464"/>
      <c r="AD1062" s="464"/>
      <c r="AE1062" s="464"/>
      <c r="AF1062" s="464"/>
      <c r="AG1062" s="464"/>
      <c r="AH1062" s="465"/>
      <c r="AI1062" s="464"/>
    </row>
    <row r="1063" customFormat="false" ht="15" hidden="false" customHeight="true" outlineLevel="0" collapsed="false">
      <c r="A1063" s="455" t="s">
        <v>1929</v>
      </c>
      <c r="C1063" s="456" t="n">
        <v>45594</v>
      </c>
      <c r="D1063" s="456"/>
      <c r="E1063" s="57" t="n">
        <v>14091</v>
      </c>
      <c r="F1063" s="323" t="s">
        <v>175</v>
      </c>
      <c r="G1063" s="323" t="s">
        <v>19</v>
      </c>
      <c r="H1063" s="98" t="n">
        <v>60</v>
      </c>
      <c r="I1063" s="457" t="n">
        <v>22.5</v>
      </c>
      <c r="J1063" s="313" t="s">
        <v>1651</v>
      </c>
      <c r="K1063" s="98" t="n">
        <f aca="false">I1063*H1063</f>
        <v>1350</v>
      </c>
      <c r="L1063" s="411" t="n">
        <v>1410</v>
      </c>
      <c r="M1063" s="392" t="n">
        <f aca="false">L1063/K1063</f>
        <v>1.04444444444444</v>
      </c>
      <c r="N1063" s="466" t="n">
        <f aca="false">I1063*M1063</f>
        <v>23.5</v>
      </c>
      <c r="O1063" s="461" t="n">
        <v>60</v>
      </c>
      <c r="P1063" s="462" t="n">
        <f aca="false">H1063-O1063</f>
        <v>0</v>
      </c>
      <c r="Q1063" s="463" t="n">
        <f aca="false">O1063*I1063</f>
        <v>1350</v>
      </c>
      <c r="R1063" s="48" t="n">
        <f aca="false">K1063-Q1063</f>
        <v>0</v>
      </c>
      <c r="S1063" s="467"/>
      <c r="T1063" s="2" t="s">
        <v>1711</v>
      </c>
      <c r="V1063" s="464"/>
      <c r="W1063" s="464"/>
      <c r="X1063" s="464"/>
      <c r="Y1063" s="464"/>
      <c r="Z1063" s="464"/>
      <c r="AA1063" s="464"/>
      <c r="AB1063" s="464"/>
      <c r="AC1063" s="464"/>
      <c r="AD1063" s="464"/>
      <c r="AE1063" s="464"/>
      <c r="AF1063" s="464"/>
      <c r="AG1063" s="464"/>
      <c r="AH1063" s="465"/>
      <c r="AI1063" s="464"/>
    </row>
    <row r="1064" customFormat="false" ht="15" hidden="false" customHeight="true" outlineLevel="0" collapsed="false">
      <c r="A1064" s="455" t="s">
        <v>1913</v>
      </c>
      <c r="C1064" s="456" t="n">
        <v>45594</v>
      </c>
      <c r="D1064" s="456"/>
      <c r="E1064" s="57" t="n">
        <v>14092</v>
      </c>
      <c r="F1064" s="323" t="s">
        <v>175</v>
      </c>
      <c r="G1064" s="323" t="s">
        <v>5</v>
      </c>
      <c r="H1064" s="98" t="n">
        <v>1500</v>
      </c>
      <c r="I1064" s="457" t="n">
        <v>25.71</v>
      </c>
      <c r="J1064" s="313" t="s">
        <v>1651</v>
      </c>
      <c r="K1064" s="98" t="n">
        <f aca="false">I1064*H1064</f>
        <v>38565</v>
      </c>
      <c r="L1064" s="411" t="n">
        <v>17115</v>
      </c>
      <c r="M1064" s="392" t="n">
        <f aca="false">L1064/K1064</f>
        <v>0.443796188253598</v>
      </c>
      <c r="N1064" s="466" t="n">
        <f aca="false">I1064*M1064</f>
        <v>11.41</v>
      </c>
      <c r="O1064" s="461" t="n">
        <v>1500</v>
      </c>
      <c r="P1064" s="462" t="n">
        <f aca="false">H1064-O1064</f>
        <v>0</v>
      </c>
      <c r="Q1064" s="463" t="n">
        <f aca="false">O1064*I1064</f>
        <v>38565</v>
      </c>
      <c r="R1064" s="48" t="n">
        <f aca="false">K1064-Q1064</f>
        <v>0</v>
      </c>
      <c r="S1064" s="467"/>
      <c r="T1064" s="2" t="s">
        <v>1711</v>
      </c>
      <c r="V1064" s="464"/>
      <c r="W1064" s="464"/>
      <c r="X1064" s="464"/>
      <c r="Y1064" s="464"/>
      <c r="Z1064" s="464"/>
      <c r="AA1064" s="464"/>
      <c r="AB1064" s="464"/>
      <c r="AC1064" s="464"/>
      <c r="AD1064" s="464"/>
      <c r="AE1064" s="464"/>
      <c r="AF1064" s="464"/>
      <c r="AG1064" s="464"/>
      <c r="AH1064" s="465"/>
      <c r="AI1064" s="464"/>
    </row>
    <row r="1065" customFormat="false" ht="15" hidden="false" customHeight="true" outlineLevel="0" collapsed="false">
      <c r="A1065" s="455" t="s">
        <v>1913</v>
      </c>
      <c r="C1065" s="456" t="n">
        <v>45594</v>
      </c>
      <c r="D1065" s="456"/>
      <c r="E1065" s="57" t="n">
        <v>14092</v>
      </c>
      <c r="F1065" s="323" t="s">
        <v>175</v>
      </c>
      <c r="G1065" s="323" t="s">
        <v>17</v>
      </c>
      <c r="H1065" s="98" t="n">
        <v>300</v>
      </c>
      <c r="I1065" s="457" t="n">
        <v>22.5</v>
      </c>
      <c r="J1065" s="313" t="s">
        <v>1651</v>
      </c>
      <c r="K1065" s="98" t="n">
        <f aca="false">I1065*H1065</f>
        <v>6750</v>
      </c>
      <c r="L1065" s="411" t="n">
        <v>3909</v>
      </c>
      <c r="M1065" s="392" t="n">
        <f aca="false">L1065/K1065</f>
        <v>0.579111111111111</v>
      </c>
      <c r="N1065" s="466" t="n">
        <f aca="false">I1065*M1065</f>
        <v>13.03</v>
      </c>
      <c r="O1065" s="461" t="n">
        <v>300</v>
      </c>
      <c r="P1065" s="462" t="n">
        <f aca="false">H1065-O1065</f>
        <v>0</v>
      </c>
      <c r="Q1065" s="463" t="n">
        <f aca="false">O1065*I1065</f>
        <v>6750</v>
      </c>
      <c r="R1065" s="48" t="n">
        <f aca="false">K1065-Q1065</f>
        <v>0</v>
      </c>
      <c r="S1065" s="467"/>
      <c r="T1065" s="2" t="s">
        <v>1711</v>
      </c>
      <c r="V1065" s="464"/>
      <c r="W1065" s="464"/>
      <c r="X1065" s="464"/>
      <c r="Y1065" s="464"/>
      <c r="Z1065" s="464"/>
      <c r="AA1065" s="464"/>
      <c r="AB1065" s="464"/>
      <c r="AC1065" s="464"/>
      <c r="AD1065" s="464"/>
      <c r="AE1065" s="464"/>
      <c r="AF1065" s="464"/>
      <c r="AG1065" s="464"/>
      <c r="AH1065" s="465"/>
      <c r="AI1065" s="464"/>
    </row>
    <row r="1066" customFormat="false" ht="15" hidden="false" customHeight="true" outlineLevel="0" collapsed="false">
      <c r="A1066" s="455" t="s">
        <v>1796</v>
      </c>
      <c r="C1066" s="456" t="n">
        <v>45594</v>
      </c>
      <c r="D1066" s="456"/>
      <c r="E1066" s="57" t="n">
        <v>14093</v>
      </c>
      <c r="F1066" s="323" t="s">
        <v>175</v>
      </c>
      <c r="G1066" s="323" t="s">
        <v>17</v>
      </c>
      <c r="H1066" s="98" t="n">
        <v>990</v>
      </c>
      <c r="I1066" s="457" t="n">
        <v>22.5</v>
      </c>
      <c r="J1066" s="313" t="s">
        <v>1651</v>
      </c>
      <c r="K1066" s="98" t="n">
        <f aca="false">I1066*H1066</f>
        <v>22275</v>
      </c>
      <c r="L1066" s="411" t="n">
        <v>10890</v>
      </c>
      <c r="M1066" s="392" t="n">
        <f aca="false">L1066/K1066</f>
        <v>0.488888888888889</v>
      </c>
      <c r="N1066" s="466" t="n">
        <f aca="false">I1066*M1066</f>
        <v>11</v>
      </c>
      <c r="O1066" s="461" t="n">
        <v>990</v>
      </c>
      <c r="P1066" s="462" t="n">
        <f aca="false">H1066-O1066</f>
        <v>0</v>
      </c>
      <c r="Q1066" s="463" t="n">
        <f aca="false">O1066*I1066</f>
        <v>22275</v>
      </c>
      <c r="R1066" s="48" t="n">
        <f aca="false">K1066-Q1066</f>
        <v>0</v>
      </c>
      <c r="S1066" s="467"/>
      <c r="T1066" s="2" t="s">
        <v>1797</v>
      </c>
      <c r="V1066" s="464"/>
      <c r="W1066" s="464"/>
      <c r="X1066" s="464"/>
      <c r="Y1066" s="464"/>
      <c r="Z1066" s="464"/>
      <c r="AA1066" s="464"/>
      <c r="AB1066" s="464"/>
      <c r="AC1066" s="464"/>
      <c r="AD1066" s="464"/>
      <c r="AE1066" s="464"/>
      <c r="AF1066" s="464"/>
      <c r="AG1066" s="464"/>
      <c r="AH1066" s="465"/>
      <c r="AI1066" s="464"/>
    </row>
    <row r="1067" customFormat="false" ht="15" hidden="false" customHeight="true" outlineLevel="0" collapsed="false">
      <c r="A1067" s="455" t="s">
        <v>1930</v>
      </c>
      <c r="C1067" s="456" t="n">
        <v>45594</v>
      </c>
      <c r="D1067" s="456"/>
      <c r="E1067" s="57" t="n">
        <v>14094</v>
      </c>
      <c r="F1067" s="323" t="s">
        <v>175</v>
      </c>
      <c r="G1067" s="323" t="s">
        <v>15</v>
      </c>
      <c r="H1067" s="98" t="n">
        <v>15</v>
      </c>
      <c r="I1067" s="457" t="n">
        <v>22.5</v>
      </c>
      <c r="J1067" s="313" t="s">
        <v>1651</v>
      </c>
      <c r="K1067" s="98" t="n">
        <f aca="false">I1067*H1067</f>
        <v>337.5</v>
      </c>
      <c r="L1067" s="411" t="n">
        <v>350</v>
      </c>
      <c r="M1067" s="392" t="n">
        <f aca="false">L1067/K1067</f>
        <v>1.03703703703704</v>
      </c>
      <c r="N1067" s="466" t="n">
        <f aca="false">I1067*M1067</f>
        <v>23.3333333333333</v>
      </c>
      <c r="O1067" s="461" t="n">
        <v>15</v>
      </c>
      <c r="P1067" s="462" t="n">
        <f aca="false">H1067-O1067</f>
        <v>0</v>
      </c>
      <c r="Q1067" s="463" t="n">
        <f aca="false">O1067*I1067</f>
        <v>337.5</v>
      </c>
      <c r="R1067" s="48" t="n">
        <f aca="false">K1067-Q1067</f>
        <v>0</v>
      </c>
      <c r="S1067" s="467"/>
      <c r="T1067" s="2" t="s">
        <v>1711</v>
      </c>
      <c r="V1067" s="464"/>
      <c r="W1067" s="464"/>
      <c r="X1067" s="464"/>
      <c r="Y1067" s="464"/>
      <c r="Z1067" s="464"/>
      <c r="AA1067" s="464"/>
      <c r="AB1067" s="464"/>
      <c r="AC1067" s="464"/>
      <c r="AD1067" s="464"/>
      <c r="AE1067" s="464"/>
      <c r="AF1067" s="464"/>
      <c r="AG1067" s="464"/>
      <c r="AH1067" s="465"/>
      <c r="AI1067" s="464"/>
    </row>
    <row r="1068" customFormat="false" ht="15" hidden="false" customHeight="true" outlineLevel="0" collapsed="false">
      <c r="A1068" s="455" t="s">
        <v>1763</v>
      </c>
      <c r="C1068" s="456" t="n">
        <v>45595</v>
      </c>
      <c r="D1068" s="456"/>
      <c r="E1068" s="57" t="n">
        <v>14095</v>
      </c>
      <c r="F1068" s="323" t="s">
        <v>175</v>
      </c>
      <c r="G1068" s="323" t="s">
        <v>5</v>
      </c>
      <c r="H1068" s="98" t="n">
        <v>720</v>
      </c>
      <c r="I1068" s="457" t="n">
        <v>37.5</v>
      </c>
      <c r="J1068" s="313" t="s">
        <v>1652</v>
      </c>
      <c r="K1068" s="98" t="n">
        <f aca="false">I1068*H1068</f>
        <v>27000</v>
      </c>
      <c r="L1068" s="411" t="n">
        <v>9936</v>
      </c>
      <c r="M1068" s="392" t="n">
        <f aca="false">L1068/K1068</f>
        <v>0.368</v>
      </c>
      <c r="N1068" s="466" t="n">
        <f aca="false">I1068*M1068</f>
        <v>13.8</v>
      </c>
      <c r="O1068" s="461" t="n">
        <v>720</v>
      </c>
      <c r="P1068" s="462" t="n">
        <f aca="false">H1068-O1068</f>
        <v>0</v>
      </c>
      <c r="Q1068" s="463" t="n">
        <f aca="false">O1068*I1068</f>
        <v>27000</v>
      </c>
      <c r="R1068" s="48" t="n">
        <f aca="false">K1068-Q1068</f>
        <v>0</v>
      </c>
      <c r="S1068" s="467"/>
      <c r="T1068" s="2" t="s">
        <v>1711</v>
      </c>
      <c r="V1068" s="464"/>
      <c r="W1068" s="464"/>
      <c r="X1068" s="464"/>
      <c r="Y1068" s="464"/>
      <c r="Z1068" s="464"/>
      <c r="AA1068" s="464"/>
      <c r="AB1068" s="464"/>
      <c r="AC1068" s="464"/>
      <c r="AD1068" s="464"/>
      <c r="AE1068" s="464"/>
      <c r="AF1068" s="464"/>
      <c r="AG1068" s="464"/>
      <c r="AH1068" s="465"/>
      <c r="AI1068" s="464"/>
    </row>
    <row r="1069" customFormat="false" ht="15" hidden="false" customHeight="true" outlineLevel="0" collapsed="false">
      <c r="A1069" s="455" t="s">
        <v>1931</v>
      </c>
      <c r="C1069" s="456" t="n">
        <v>45595</v>
      </c>
      <c r="D1069" s="456"/>
      <c r="E1069" s="57" t="n">
        <v>14096</v>
      </c>
      <c r="F1069" s="323" t="s">
        <v>175</v>
      </c>
      <c r="G1069" s="323" t="s">
        <v>12</v>
      </c>
      <c r="H1069" s="98" t="n">
        <v>360</v>
      </c>
      <c r="I1069" s="457" t="n">
        <v>18</v>
      </c>
      <c r="J1069" s="313" t="s">
        <v>1651</v>
      </c>
      <c r="K1069" s="98" t="n">
        <f aca="false">I1069*H1069</f>
        <v>6480</v>
      </c>
      <c r="L1069" s="411" t="n">
        <v>21600</v>
      </c>
      <c r="M1069" s="392" t="n">
        <f aca="false">L1069/K1069</f>
        <v>3.33333333333333</v>
      </c>
      <c r="N1069" s="466" t="n">
        <f aca="false">I1069*M1069</f>
        <v>60</v>
      </c>
      <c r="O1069" s="461" t="n">
        <v>360</v>
      </c>
      <c r="P1069" s="462" t="n">
        <f aca="false">H1069-O1069</f>
        <v>0</v>
      </c>
      <c r="Q1069" s="463" t="n">
        <f aca="false">O1069*I1069</f>
        <v>6480</v>
      </c>
      <c r="R1069" s="48" t="n">
        <f aca="false">K1069-Q1069</f>
        <v>0</v>
      </c>
      <c r="S1069" s="467"/>
      <c r="T1069" s="2" t="s">
        <v>1711</v>
      </c>
      <c r="V1069" s="464"/>
      <c r="W1069" s="464"/>
      <c r="X1069" s="464"/>
      <c r="Y1069" s="464"/>
      <c r="Z1069" s="464"/>
      <c r="AA1069" s="464"/>
      <c r="AB1069" s="464"/>
      <c r="AC1069" s="464"/>
      <c r="AD1069" s="464"/>
      <c r="AE1069" s="464"/>
      <c r="AF1069" s="464"/>
      <c r="AG1069" s="464"/>
      <c r="AH1069" s="465"/>
      <c r="AI1069" s="464"/>
    </row>
    <row r="1070" customFormat="false" ht="15" hidden="false" customHeight="true" outlineLevel="0" collapsed="false">
      <c r="A1070" s="455" t="s">
        <v>1857</v>
      </c>
      <c r="C1070" s="456" t="n">
        <v>45595</v>
      </c>
      <c r="D1070" s="456"/>
      <c r="E1070" s="57" t="n">
        <v>14097</v>
      </c>
      <c r="F1070" s="323" t="s">
        <v>175</v>
      </c>
      <c r="G1070" s="323" t="s">
        <v>15</v>
      </c>
      <c r="H1070" s="98" t="n">
        <v>15</v>
      </c>
      <c r="I1070" s="457" t="n">
        <v>22.5</v>
      </c>
      <c r="J1070" s="313" t="s">
        <v>1651</v>
      </c>
      <c r="K1070" s="98" t="n">
        <f aca="false">I1070*H1070</f>
        <v>337.5</v>
      </c>
      <c r="L1070" s="411" t="n">
        <v>367</v>
      </c>
      <c r="M1070" s="392" t="n">
        <f aca="false">L1070/K1070</f>
        <v>1.08740740740741</v>
      </c>
      <c r="N1070" s="466" t="n">
        <f aca="false">I1070*M1070</f>
        <v>24.4666666666667</v>
      </c>
      <c r="O1070" s="461" t="n">
        <v>15</v>
      </c>
      <c r="P1070" s="462" t="n">
        <f aca="false">H1070-O1070</f>
        <v>0</v>
      </c>
      <c r="Q1070" s="463" t="n">
        <f aca="false">O1070*I1070</f>
        <v>337.5</v>
      </c>
      <c r="R1070" s="48" t="n">
        <f aca="false">K1070-Q1070</f>
        <v>0</v>
      </c>
      <c r="S1070" s="467"/>
      <c r="T1070" s="2" t="s">
        <v>1711</v>
      </c>
      <c r="V1070" s="464"/>
      <c r="W1070" s="464"/>
      <c r="X1070" s="464"/>
      <c r="Y1070" s="464"/>
      <c r="Z1070" s="464"/>
      <c r="AA1070" s="464"/>
      <c r="AB1070" s="464"/>
      <c r="AC1070" s="464"/>
      <c r="AD1070" s="464"/>
      <c r="AE1070" s="464"/>
      <c r="AF1070" s="464"/>
      <c r="AG1070" s="464"/>
      <c r="AH1070" s="465"/>
      <c r="AI1070" s="464"/>
    </row>
    <row r="1071" customFormat="false" ht="15" hidden="false" customHeight="true" outlineLevel="0" collapsed="false">
      <c r="A1071" s="455" t="s">
        <v>1857</v>
      </c>
      <c r="C1071" s="456" t="n">
        <v>45595</v>
      </c>
      <c r="D1071" s="456"/>
      <c r="E1071" s="57" t="n">
        <v>14097</v>
      </c>
      <c r="F1071" s="323" t="s">
        <v>175</v>
      </c>
      <c r="G1071" s="323" t="s">
        <v>6</v>
      </c>
      <c r="H1071" s="98" t="n">
        <v>15</v>
      </c>
      <c r="I1071" s="457" t="n">
        <v>45</v>
      </c>
      <c r="J1071" s="313" t="s">
        <v>1652</v>
      </c>
      <c r="K1071" s="98" t="n">
        <f aca="false">I1071*H1071</f>
        <v>675</v>
      </c>
      <c r="L1071" s="411" t="n">
        <v>595</v>
      </c>
      <c r="M1071" s="392" t="n">
        <f aca="false">L1071/K1071</f>
        <v>0.881481481481482</v>
      </c>
      <c r="N1071" s="466" t="n">
        <f aca="false">I1071*M1071</f>
        <v>39.6666666666667</v>
      </c>
      <c r="O1071" s="461" t="n">
        <v>15</v>
      </c>
      <c r="P1071" s="462" t="n">
        <f aca="false">H1071-O1071</f>
        <v>0</v>
      </c>
      <c r="Q1071" s="463" t="n">
        <f aca="false">O1071*I1071</f>
        <v>675</v>
      </c>
      <c r="R1071" s="48" t="n">
        <f aca="false">K1071-Q1071</f>
        <v>0</v>
      </c>
      <c r="S1071" s="467"/>
      <c r="T1071" s="2" t="s">
        <v>1711</v>
      </c>
      <c r="V1071" s="464"/>
      <c r="W1071" s="464"/>
      <c r="X1071" s="464"/>
      <c r="Y1071" s="464"/>
      <c r="Z1071" s="464"/>
      <c r="AA1071" s="464"/>
      <c r="AB1071" s="464"/>
      <c r="AC1071" s="464"/>
      <c r="AD1071" s="464"/>
      <c r="AE1071" s="464"/>
      <c r="AF1071" s="464"/>
      <c r="AG1071" s="464"/>
      <c r="AH1071" s="465"/>
      <c r="AI1071" s="464"/>
    </row>
    <row r="1072" customFormat="false" ht="15" hidden="false" customHeight="true" outlineLevel="0" collapsed="false">
      <c r="A1072" s="455" t="s">
        <v>1932</v>
      </c>
      <c r="C1072" s="456" t="n">
        <v>45595</v>
      </c>
      <c r="D1072" s="456"/>
      <c r="E1072" s="57" t="n">
        <v>14098</v>
      </c>
      <c r="F1072" s="323" t="s">
        <v>175</v>
      </c>
      <c r="G1072" s="323" t="s">
        <v>5</v>
      </c>
      <c r="H1072" s="98" t="n">
        <v>45</v>
      </c>
      <c r="I1072" s="457" t="n">
        <v>37.5</v>
      </c>
      <c r="J1072" s="313" t="s">
        <v>1652</v>
      </c>
      <c r="K1072" s="98" t="n">
        <f aca="false">I1072*H1072</f>
        <v>1687.5</v>
      </c>
      <c r="L1072" s="411" t="n">
        <v>675</v>
      </c>
      <c r="M1072" s="392" t="n">
        <f aca="false">L1072/K1072</f>
        <v>0.4</v>
      </c>
      <c r="N1072" s="466" t="n">
        <f aca="false">I1072*M1072</f>
        <v>15</v>
      </c>
      <c r="O1072" s="461" t="n">
        <v>45</v>
      </c>
      <c r="P1072" s="462" t="n">
        <f aca="false">H1072-O1072</f>
        <v>0</v>
      </c>
      <c r="Q1072" s="463" t="n">
        <f aca="false">O1072*I1072</f>
        <v>1687.5</v>
      </c>
      <c r="R1072" s="48" t="n">
        <f aca="false">K1072-Q1072</f>
        <v>0</v>
      </c>
      <c r="S1072" s="467"/>
      <c r="T1072" s="2" t="s">
        <v>1711</v>
      </c>
      <c r="V1072" s="464"/>
      <c r="W1072" s="464"/>
      <c r="X1072" s="464"/>
      <c r="Y1072" s="464"/>
      <c r="Z1072" s="464"/>
      <c r="AA1072" s="464"/>
      <c r="AB1072" s="464"/>
      <c r="AC1072" s="464"/>
      <c r="AD1072" s="464"/>
      <c r="AE1072" s="464"/>
      <c r="AF1072" s="464"/>
      <c r="AG1072" s="464"/>
      <c r="AH1072" s="465"/>
      <c r="AI1072" s="464"/>
    </row>
    <row r="1073" customFormat="false" ht="15" hidden="false" customHeight="true" outlineLevel="0" collapsed="false">
      <c r="A1073" s="455" t="s">
        <v>1932</v>
      </c>
      <c r="C1073" s="456" t="n">
        <v>45595</v>
      </c>
      <c r="D1073" s="456"/>
      <c r="E1073" s="57" t="n">
        <v>14098</v>
      </c>
      <c r="F1073" s="323" t="s">
        <v>175</v>
      </c>
      <c r="G1073" s="323" t="s">
        <v>17</v>
      </c>
      <c r="H1073" s="98" t="n">
        <v>135</v>
      </c>
      <c r="I1073" s="457" t="n">
        <v>22.5</v>
      </c>
      <c r="J1073" s="313" t="s">
        <v>1651</v>
      </c>
      <c r="K1073" s="98" t="n">
        <f aca="false">I1073*H1073</f>
        <v>3037.5</v>
      </c>
      <c r="L1073" s="411" t="n">
        <v>1552.5</v>
      </c>
      <c r="M1073" s="392" t="n">
        <f aca="false">L1073/K1073</f>
        <v>0.511111111111111</v>
      </c>
      <c r="N1073" s="466" t="n">
        <f aca="false">I1073*M1073</f>
        <v>11.5</v>
      </c>
      <c r="O1073" s="461" t="n">
        <v>135</v>
      </c>
      <c r="P1073" s="462" t="n">
        <f aca="false">H1073-O1073</f>
        <v>0</v>
      </c>
      <c r="Q1073" s="463" t="n">
        <f aca="false">O1073*I1073</f>
        <v>3037.5</v>
      </c>
      <c r="R1073" s="48" t="n">
        <f aca="false">K1073-Q1073</f>
        <v>0</v>
      </c>
      <c r="S1073" s="467"/>
      <c r="T1073" s="2" t="s">
        <v>1711</v>
      </c>
      <c r="V1073" s="464"/>
      <c r="W1073" s="464"/>
      <c r="X1073" s="464"/>
      <c r="Y1073" s="464"/>
      <c r="Z1073" s="464"/>
      <c r="AA1073" s="464"/>
      <c r="AB1073" s="464"/>
      <c r="AC1073" s="464"/>
      <c r="AD1073" s="464"/>
      <c r="AE1073" s="464"/>
      <c r="AF1073" s="464"/>
      <c r="AG1073" s="464"/>
      <c r="AH1073" s="465"/>
      <c r="AI1073" s="464"/>
    </row>
    <row r="1074" customFormat="false" ht="15" hidden="false" customHeight="true" outlineLevel="0" collapsed="false">
      <c r="A1074" s="455" t="s">
        <v>1933</v>
      </c>
      <c r="C1074" s="456" t="n">
        <v>45595</v>
      </c>
      <c r="D1074" s="456"/>
      <c r="E1074" s="323" t="n">
        <v>14099</v>
      </c>
      <c r="F1074" s="57" t="s">
        <v>175</v>
      </c>
      <c r="G1074" s="323" t="s">
        <v>5</v>
      </c>
      <c r="H1074" s="98" t="n">
        <v>3000</v>
      </c>
      <c r="I1074" s="457" t="n">
        <v>25.71</v>
      </c>
      <c r="J1074" s="313" t="s">
        <v>1651</v>
      </c>
      <c r="K1074" s="98" t="n">
        <f aca="false">I1074*H1074</f>
        <v>77130</v>
      </c>
      <c r="L1074" s="411" t="n">
        <v>39000</v>
      </c>
      <c r="M1074" s="392" t="n">
        <f aca="false">L1074/K1074</f>
        <v>0.505639828860366</v>
      </c>
      <c r="N1074" s="466" t="n">
        <f aca="false">I1074*M1074</f>
        <v>13</v>
      </c>
      <c r="O1074" s="461" t="n">
        <v>3000</v>
      </c>
      <c r="P1074" s="462" t="n">
        <f aca="false">H1074-O1074</f>
        <v>0</v>
      </c>
      <c r="Q1074" s="463" t="n">
        <f aca="false">O1074*I1074</f>
        <v>77130</v>
      </c>
      <c r="R1074" s="48" t="n">
        <f aca="false">K1074-Q1074</f>
        <v>0</v>
      </c>
      <c r="S1074" s="467"/>
      <c r="T1074" s="2" t="s">
        <v>1711</v>
      </c>
      <c r="V1074" s="464"/>
      <c r="W1074" s="464"/>
      <c r="X1074" s="464"/>
      <c r="Y1074" s="464"/>
      <c r="Z1074" s="464"/>
      <c r="AA1074" s="464"/>
      <c r="AB1074" s="464"/>
      <c r="AC1074" s="464"/>
      <c r="AD1074" s="464"/>
      <c r="AE1074" s="464"/>
      <c r="AF1074" s="464"/>
      <c r="AG1074" s="464"/>
      <c r="AH1074" s="465"/>
      <c r="AI1074" s="464"/>
    </row>
    <row r="1075" customFormat="false" ht="15" hidden="false" customHeight="true" outlineLevel="0" collapsed="false">
      <c r="A1075" s="455" t="s">
        <v>1933</v>
      </c>
      <c r="C1075" s="456" t="n">
        <v>45595</v>
      </c>
      <c r="D1075" s="456"/>
      <c r="E1075" s="323" t="n">
        <v>14100</v>
      </c>
      <c r="F1075" s="57" t="s">
        <v>175</v>
      </c>
      <c r="G1075" s="323" t="s">
        <v>17</v>
      </c>
      <c r="H1075" s="98" t="n">
        <v>510</v>
      </c>
      <c r="I1075" s="457" t="n">
        <v>22.5</v>
      </c>
      <c r="J1075" s="313" t="s">
        <v>1651</v>
      </c>
      <c r="K1075" s="98" t="n">
        <f aca="false">I1075*H1075</f>
        <v>11475</v>
      </c>
      <c r="L1075" s="411" t="n">
        <v>6120</v>
      </c>
      <c r="M1075" s="392" t="n">
        <f aca="false">L1075/K1075</f>
        <v>0.533333333333333</v>
      </c>
      <c r="N1075" s="466" t="n">
        <f aca="false">I1075*M1075</f>
        <v>12</v>
      </c>
      <c r="O1075" s="461" t="n">
        <v>510</v>
      </c>
      <c r="P1075" s="462" t="n">
        <f aca="false">H1075-O1075</f>
        <v>0</v>
      </c>
      <c r="Q1075" s="463" t="n">
        <f aca="false">O1075*I1075</f>
        <v>11475</v>
      </c>
      <c r="R1075" s="48" t="n">
        <f aca="false">K1075-Q1075</f>
        <v>0</v>
      </c>
      <c r="S1075" s="467"/>
      <c r="T1075" s="2" t="s">
        <v>1711</v>
      </c>
      <c r="V1075" s="464"/>
      <c r="W1075" s="464"/>
      <c r="X1075" s="464"/>
      <c r="Y1075" s="464"/>
      <c r="Z1075" s="464"/>
      <c r="AA1075" s="464"/>
      <c r="AB1075" s="464"/>
      <c r="AC1075" s="464"/>
      <c r="AD1075" s="464"/>
      <c r="AE1075" s="464"/>
      <c r="AF1075" s="464"/>
      <c r="AG1075" s="464"/>
      <c r="AH1075" s="465"/>
      <c r="AI1075" s="464"/>
    </row>
    <row r="1076" customFormat="false" ht="15" hidden="false" customHeight="true" outlineLevel="0" collapsed="false">
      <c r="A1076" s="455" t="s">
        <v>1758</v>
      </c>
      <c r="C1076" s="456" t="n">
        <v>45595</v>
      </c>
      <c r="D1076" s="456"/>
      <c r="E1076" s="323" t="n">
        <v>14101</v>
      </c>
      <c r="F1076" s="57" t="s">
        <v>175</v>
      </c>
      <c r="G1076" s="323" t="s">
        <v>13</v>
      </c>
      <c r="H1076" s="98" t="n">
        <v>20</v>
      </c>
      <c r="I1076" s="457" t="n">
        <v>22.5</v>
      </c>
      <c r="J1076" s="313" t="s">
        <v>1651</v>
      </c>
      <c r="K1076" s="98" t="n">
        <f aca="false">I1076*H1076</f>
        <v>450</v>
      </c>
      <c r="L1076" s="411" t="n">
        <v>153.4</v>
      </c>
      <c r="M1076" s="392" t="n">
        <f aca="false">L1076/K1076</f>
        <v>0.340888888888889</v>
      </c>
      <c r="N1076" s="466" t="n">
        <f aca="false">I1076*M1076</f>
        <v>7.67</v>
      </c>
      <c r="O1076" s="461" t="n">
        <v>20</v>
      </c>
      <c r="P1076" s="462" t="n">
        <f aca="false">H1076-O1076</f>
        <v>0</v>
      </c>
      <c r="Q1076" s="463" t="n">
        <f aca="false">O1076*I1076</f>
        <v>450</v>
      </c>
      <c r="R1076" s="48" t="n">
        <f aca="false">K1076-Q1076</f>
        <v>0</v>
      </c>
      <c r="S1076" s="467"/>
      <c r="T1076" s="2" t="s">
        <v>1711</v>
      </c>
      <c r="V1076" s="464"/>
      <c r="W1076" s="464"/>
      <c r="X1076" s="464"/>
      <c r="Y1076" s="464"/>
      <c r="Z1076" s="464"/>
      <c r="AA1076" s="464"/>
      <c r="AB1076" s="464"/>
      <c r="AC1076" s="464"/>
      <c r="AD1076" s="464"/>
      <c r="AE1076" s="464"/>
      <c r="AF1076" s="464"/>
      <c r="AG1076" s="464"/>
      <c r="AH1076" s="465"/>
      <c r="AI1076" s="464"/>
    </row>
    <row r="1077" customFormat="false" ht="15" hidden="false" customHeight="true" outlineLevel="0" collapsed="false">
      <c r="A1077" s="455" t="s">
        <v>1758</v>
      </c>
      <c r="C1077" s="456" t="n">
        <v>45595</v>
      </c>
      <c r="D1077" s="456"/>
      <c r="E1077" s="323" t="n">
        <v>14101</v>
      </c>
      <c r="F1077" s="57" t="s">
        <v>175</v>
      </c>
      <c r="G1077" s="323" t="s">
        <v>17</v>
      </c>
      <c r="H1077" s="98" t="n">
        <v>170</v>
      </c>
      <c r="I1077" s="457" t="n">
        <v>22.5</v>
      </c>
      <c r="J1077" s="313" t="s">
        <v>1651</v>
      </c>
      <c r="K1077" s="98" t="n">
        <f aca="false">I1077*H1077</f>
        <v>3825</v>
      </c>
      <c r="L1077" s="411" t="n">
        <v>1303.9</v>
      </c>
      <c r="M1077" s="392" t="n">
        <f aca="false">L1077/K1077</f>
        <v>0.340888888888889</v>
      </c>
      <c r="N1077" s="466" t="n">
        <f aca="false">I1077*M1077</f>
        <v>7.67</v>
      </c>
      <c r="O1077" s="461" t="n">
        <v>170</v>
      </c>
      <c r="P1077" s="462" t="n">
        <f aca="false">H1077-O1077</f>
        <v>0</v>
      </c>
      <c r="Q1077" s="463" t="n">
        <f aca="false">O1077*I1077</f>
        <v>3825</v>
      </c>
      <c r="R1077" s="48" t="n">
        <f aca="false">K1077-Q1077</f>
        <v>0</v>
      </c>
      <c r="S1077" s="467"/>
      <c r="T1077" s="2" t="s">
        <v>1711</v>
      </c>
      <c r="V1077" s="464"/>
      <c r="W1077" s="464"/>
      <c r="X1077" s="464"/>
      <c r="Y1077" s="464"/>
      <c r="Z1077" s="464"/>
      <c r="AA1077" s="464"/>
      <c r="AB1077" s="464"/>
      <c r="AC1077" s="464"/>
      <c r="AD1077" s="464"/>
      <c r="AE1077" s="464"/>
      <c r="AF1077" s="464"/>
      <c r="AG1077" s="464"/>
      <c r="AH1077" s="465"/>
      <c r="AI1077" s="464"/>
    </row>
    <row r="1078" customFormat="false" ht="15" hidden="false" customHeight="true" outlineLevel="0" collapsed="false">
      <c r="A1078" s="455" t="s">
        <v>1847</v>
      </c>
      <c r="C1078" s="456" t="n">
        <v>45595</v>
      </c>
      <c r="D1078" s="456"/>
      <c r="E1078" s="57" t="n">
        <v>14102</v>
      </c>
      <c r="F1078" s="323" t="s">
        <v>175</v>
      </c>
      <c r="G1078" s="323" t="s">
        <v>19</v>
      </c>
      <c r="H1078" s="98" t="n">
        <v>30</v>
      </c>
      <c r="I1078" s="457" t="n">
        <v>22.5</v>
      </c>
      <c r="J1078" s="313" t="s">
        <v>1651</v>
      </c>
      <c r="K1078" s="98" t="n">
        <f aca="false">I1078*H1078</f>
        <v>675</v>
      </c>
      <c r="L1078" s="411" t="n">
        <v>540</v>
      </c>
      <c r="M1078" s="392" t="n">
        <f aca="false">L1078/K1078</f>
        <v>0.8</v>
      </c>
      <c r="N1078" s="466" t="n">
        <f aca="false">I1078*M1078</f>
        <v>18</v>
      </c>
      <c r="O1078" s="461" t="n">
        <v>30</v>
      </c>
      <c r="P1078" s="462" t="n">
        <f aca="false">H1078-O1078</f>
        <v>0</v>
      </c>
      <c r="Q1078" s="463" t="n">
        <f aca="false">O1078*I1078</f>
        <v>675</v>
      </c>
      <c r="R1078" s="48" t="n">
        <f aca="false">K1078-Q1078</f>
        <v>0</v>
      </c>
      <c r="S1078" s="467"/>
      <c r="T1078" s="2" t="s">
        <v>1711</v>
      </c>
      <c r="V1078" s="464"/>
      <c r="W1078" s="464"/>
      <c r="X1078" s="464"/>
      <c r="Y1078" s="464"/>
      <c r="Z1078" s="464"/>
      <c r="AA1078" s="464"/>
      <c r="AB1078" s="464"/>
      <c r="AC1078" s="464"/>
      <c r="AD1078" s="464"/>
      <c r="AE1078" s="464"/>
      <c r="AF1078" s="464"/>
      <c r="AG1078" s="464"/>
      <c r="AH1078" s="465"/>
      <c r="AI1078" s="464"/>
    </row>
    <row r="1079" customFormat="false" ht="15" hidden="false" customHeight="true" outlineLevel="0" collapsed="false">
      <c r="A1079" s="455" t="s">
        <v>1934</v>
      </c>
      <c r="C1079" s="456" t="n">
        <v>45595</v>
      </c>
      <c r="D1079" s="456"/>
      <c r="E1079" s="57" t="n">
        <v>14103</v>
      </c>
      <c r="F1079" s="323" t="s">
        <v>175</v>
      </c>
      <c r="G1079" s="323" t="s">
        <v>19</v>
      </c>
      <c r="H1079" s="98" t="n">
        <v>210</v>
      </c>
      <c r="I1079" s="457" t="n">
        <v>22.5</v>
      </c>
      <c r="J1079" s="313" t="s">
        <v>1651</v>
      </c>
      <c r="K1079" s="98" t="n">
        <f aca="false">I1079*H1079</f>
        <v>4725</v>
      </c>
      <c r="L1079" s="411" t="n">
        <v>5250</v>
      </c>
      <c r="M1079" s="392" t="n">
        <f aca="false">L1079/K1079</f>
        <v>1.11111111111111</v>
      </c>
      <c r="N1079" s="466" t="n">
        <f aca="false">I1079*M1079</f>
        <v>25</v>
      </c>
      <c r="O1079" s="461" t="n">
        <v>210</v>
      </c>
      <c r="P1079" s="462" t="n">
        <f aca="false">H1079-O1079</f>
        <v>0</v>
      </c>
      <c r="Q1079" s="463" t="n">
        <f aca="false">O1079*I1079</f>
        <v>4725</v>
      </c>
      <c r="R1079" s="48" t="n">
        <f aca="false">K1079-Q1079</f>
        <v>0</v>
      </c>
      <c r="S1079" s="467"/>
      <c r="T1079" s="2" t="s">
        <v>1711</v>
      </c>
      <c r="V1079" s="464"/>
      <c r="W1079" s="464"/>
      <c r="X1079" s="464"/>
      <c r="Y1079" s="464"/>
      <c r="Z1079" s="464"/>
      <c r="AA1079" s="464"/>
      <c r="AB1079" s="464"/>
      <c r="AC1079" s="464"/>
      <c r="AD1079" s="464"/>
      <c r="AE1079" s="464"/>
      <c r="AF1079" s="464"/>
      <c r="AG1079" s="464"/>
      <c r="AH1079" s="465"/>
      <c r="AI1079" s="464"/>
    </row>
    <row r="1080" customFormat="false" ht="15" hidden="false" customHeight="true" outlineLevel="0" collapsed="false">
      <c r="A1080" s="455" t="s">
        <v>1871</v>
      </c>
      <c r="C1080" s="456" t="n">
        <v>45596</v>
      </c>
      <c r="D1080" s="456"/>
      <c r="E1080" s="57" t="n">
        <v>14104</v>
      </c>
      <c r="F1080" s="323" t="s">
        <v>175</v>
      </c>
      <c r="G1080" s="323" t="s">
        <v>21</v>
      </c>
      <c r="H1080" s="98" t="n">
        <v>10</v>
      </c>
      <c r="I1080" s="457" t="n">
        <v>1</v>
      </c>
      <c r="J1080" s="313" t="s">
        <v>1653</v>
      </c>
      <c r="K1080" s="98" t="n">
        <f aca="false">I1080*H1080</f>
        <v>10</v>
      </c>
      <c r="L1080" s="411" t="n">
        <v>47.5</v>
      </c>
      <c r="M1080" s="392" t="n">
        <f aca="false">L1080/K1080</f>
        <v>4.75</v>
      </c>
      <c r="N1080" s="466" t="n">
        <f aca="false">I1080*M1080</f>
        <v>4.75</v>
      </c>
      <c r="O1080" s="461" t="n">
        <v>10</v>
      </c>
      <c r="P1080" s="462" t="n">
        <f aca="false">H1080-O1080</f>
        <v>0</v>
      </c>
      <c r="Q1080" s="463" t="n">
        <f aca="false">O1080*I1080</f>
        <v>10</v>
      </c>
      <c r="R1080" s="48" t="n">
        <f aca="false">K1080-Q1080</f>
        <v>0</v>
      </c>
      <c r="S1080" s="467"/>
      <c r="T1080" s="2" t="s">
        <v>1711</v>
      </c>
      <c r="V1080" s="464"/>
      <c r="W1080" s="464"/>
      <c r="X1080" s="464"/>
      <c r="Y1080" s="464"/>
      <c r="Z1080" s="464"/>
      <c r="AA1080" s="464"/>
      <c r="AB1080" s="464"/>
      <c r="AC1080" s="464"/>
      <c r="AD1080" s="464"/>
      <c r="AE1080" s="464"/>
      <c r="AF1080" s="464"/>
      <c r="AG1080" s="464"/>
      <c r="AH1080" s="465"/>
      <c r="AI1080" s="464"/>
    </row>
    <row r="1081" customFormat="false" ht="15" hidden="false" customHeight="true" outlineLevel="0" collapsed="false">
      <c r="A1081" s="455" t="s">
        <v>1935</v>
      </c>
      <c r="C1081" s="456" t="n">
        <v>45596</v>
      </c>
      <c r="D1081" s="456"/>
      <c r="E1081" s="57" t="n">
        <v>14105</v>
      </c>
      <c r="F1081" s="323" t="s">
        <v>175</v>
      </c>
      <c r="G1081" s="323" t="s">
        <v>19</v>
      </c>
      <c r="H1081" s="98" t="n">
        <v>240</v>
      </c>
      <c r="I1081" s="457" t="n">
        <v>37.5</v>
      </c>
      <c r="J1081" s="313" t="s">
        <v>1652</v>
      </c>
      <c r="K1081" s="98" t="n">
        <f aca="false">I1081*H1081</f>
        <v>9000</v>
      </c>
      <c r="L1081" s="411" t="n">
        <v>5956</v>
      </c>
      <c r="M1081" s="392" t="n">
        <f aca="false">L1081/K1081</f>
        <v>0.661777777777778</v>
      </c>
      <c r="N1081" s="466" t="n">
        <f aca="false">I1081*M1081</f>
        <v>24.8166666666667</v>
      </c>
      <c r="O1081" s="461" t="n">
        <v>240</v>
      </c>
      <c r="P1081" s="462" t="n">
        <f aca="false">H1081-O1081</f>
        <v>0</v>
      </c>
      <c r="Q1081" s="463" t="n">
        <f aca="false">O1081*I1081</f>
        <v>9000</v>
      </c>
      <c r="R1081" s="48" t="n">
        <f aca="false">K1081-Q1081</f>
        <v>0</v>
      </c>
      <c r="S1081" s="467"/>
      <c r="T1081" s="2" t="s">
        <v>1711</v>
      </c>
      <c r="V1081" s="464"/>
      <c r="W1081" s="464"/>
      <c r="X1081" s="464"/>
      <c r="Y1081" s="464"/>
      <c r="Z1081" s="464"/>
      <c r="AA1081" s="464"/>
      <c r="AB1081" s="464"/>
      <c r="AC1081" s="464"/>
      <c r="AD1081" s="464"/>
      <c r="AE1081" s="464"/>
      <c r="AF1081" s="464"/>
      <c r="AG1081" s="464"/>
      <c r="AH1081" s="465"/>
      <c r="AI1081" s="464"/>
    </row>
    <row r="1082" customFormat="false" ht="15" hidden="false" customHeight="true" outlineLevel="0" collapsed="false">
      <c r="A1082" s="455" t="s">
        <v>1935</v>
      </c>
      <c r="C1082" s="456" t="n">
        <v>45596</v>
      </c>
      <c r="D1082" s="456"/>
      <c r="E1082" s="57" t="n">
        <v>14105</v>
      </c>
      <c r="F1082" s="323" t="s">
        <v>175</v>
      </c>
      <c r="G1082" s="323" t="s">
        <v>6</v>
      </c>
      <c r="H1082" s="98" t="n">
        <v>1845</v>
      </c>
      <c r="I1082" s="457" t="n">
        <v>45</v>
      </c>
      <c r="J1082" s="313" t="s">
        <v>1652</v>
      </c>
      <c r="K1082" s="98" t="n">
        <f aca="false">I1082*H1082</f>
        <v>83025</v>
      </c>
      <c r="L1082" s="411" t="n">
        <v>62447.1</v>
      </c>
      <c r="M1082" s="392" t="n">
        <f aca="false">L1082/K1082</f>
        <v>0.752148148148148</v>
      </c>
      <c r="N1082" s="466" t="n">
        <f aca="false">I1082*M1082</f>
        <v>33.8466666666667</v>
      </c>
      <c r="O1082" s="461" t="n">
        <v>1845</v>
      </c>
      <c r="P1082" s="462" t="n">
        <f aca="false">H1082-O1082</f>
        <v>0</v>
      </c>
      <c r="Q1082" s="463" t="n">
        <f aca="false">O1082*I1082</f>
        <v>83025</v>
      </c>
      <c r="R1082" s="48" t="n">
        <f aca="false">K1082-Q1082</f>
        <v>0</v>
      </c>
      <c r="S1082" s="467"/>
      <c r="T1082" s="2" t="s">
        <v>1711</v>
      </c>
      <c r="V1082" s="464"/>
      <c r="W1082" s="464"/>
      <c r="X1082" s="464"/>
      <c r="Y1082" s="464"/>
      <c r="Z1082" s="464"/>
      <c r="AA1082" s="464"/>
      <c r="AB1082" s="464"/>
      <c r="AC1082" s="464"/>
      <c r="AD1082" s="464"/>
      <c r="AE1082" s="464"/>
      <c r="AF1082" s="464"/>
      <c r="AG1082" s="464"/>
      <c r="AH1082" s="465"/>
      <c r="AI1082" s="464"/>
    </row>
    <row r="1083" customFormat="false" ht="15" hidden="false" customHeight="true" outlineLevel="0" collapsed="false">
      <c r="A1083" s="455" t="s">
        <v>1935</v>
      </c>
      <c r="C1083" s="456" t="n">
        <v>45596</v>
      </c>
      <c r="D1083" s="456"/>
      <c r="E1083" s="57" t="n">
        <v>14105</v>
      </c>
      <c r="F1083" s="323" t="s">
        <v>175</v>
      </c>
      <c r="G1083" s="323" t="s">
        <v>10</v>
      </c>
      <c r="H1083" s="98" t="n">
        <v>1920</v>
      </c>
      <c r="I1083" s="457" t="n">
        <v>38.3</v>
      </c>
      <c r="J1083" s="313" t="s">
        <v>1652</v>
      </c>
      <c r="K1083" s="98" t="n">
        <f aca="false">I1083*H1083</f>
        <v>73536</v>
      </c>
      <c r="L1083" s="411" t="n">
        <v>29521.92</v>
      </c>
      <c r="M1083" s="392" t="n">
        <f aca="false">L1083/K1083</f>
        <v>0.401462140992167</v>
      </c>
      <c r="N1083" s="466" t="n">
        <f aca="false">I1083*M1083</f>
        <v>15.376</v>
      </c>
      <c r="O1083" s="461" t="n">
        <v>1920</v>
      </c>
      <c r="P1083" s="462" t="n">
        <f aca="false">H1083-O1083</f>
        <v>0</v>
      </c>
      <c r="Q1083" s="463" t="n">
        <f aca="false">O1083*I1083</f>
        <v>73536</v>
      </c>
      <c r="R1083" s="48" t="n">
        <f aca="false">K1083-Q1083</f>
        <v>0</v>
      </c>
      <c r="S1083" s="467"/>
      <c r="T1083" s="2" t="s">
        <v>1711</v>
      </c>
      <c r="V1083" s="464"/>
      <c r="W1083" s="464"/>
      <c r="X1083" s="464"/>
      <c r="Y1083" s="464"/>
      <c r="Z1083" s="464"/>
      <c r="AA1083" s="464"/>
      <c r="AB1083" s="464"/>
      <c r="AC1083" s="464"/>
      <c r="AD1083" s="464"/>
      <c r="AE1083" s="464"/>
      <c r="AF1083" s="464"/>
      <c r="AG1083" s="464"/>
      <c r="AH1083" s="465"/>
      <c r="AI1083" s="464"/>
    </row>
    <row r="1084" customFormat="false" ht="15" hidden="false" customHeight="true" outlineLevel="0" collapsed="false">
      <c r="A1084" s="455" t="s">
        <v>1935</v>
      </c>
      <c r="C1084" s="456" t="n">
        <v>45596</v>
      </c>
      <c r="D1084" s="456"/>
      <c r="E1084" s="57" t="n">
        <v>14105</v>
      </c>
      <c r="F1084" s="323" t="s">
        <v>175</v>
      </c>
      <c r="G1084" s="323" t="s">
        <v>17</v>
      </c>
      <c r="H1084" s="98" t="n">
        <v>240</v>
      </c>
      <c r="I1084" s="457" t="n">
        <v>37.5</v>
      </c>
      <c r="J1084" s="313" t="s">
        <v>1652</v>
      </c>
      <c r="K1084" s="98" t="n">
        <f aca="false">I1084*H1084</f>
        <v>9000</v>
      </c>
      <c r="L1084" s="411" t="n">
        <v>6315.84</v>
      </c>
      <c r="M1084" s="392" t="n">
        <f aca="false">L1084/K1084</f>
        <v>0.70176</v>
      </c>
      <c r="N1084" s="466" t="n">
        <f aca="false">I1084*M1084</f>
        <v>26.316</v>
      </c>
      <c r="O1084" s="461" t="n">
        <v>240</v>
      </c>
      <c r="P1084" s="462" t="n">
        <f aca="false">H1084-O1084</f>
        <v>0</v>
      </c>
      <c r="Q1084" s="463" t="n">
        <f aca="false">O1084*I1084</f>
        <v>9000</v>
      </c>
      <c r="R1084" s="48" t="n">
        <f aca="false">K1084-Q1084</f>
        <v>0</v>
      </c>
      <c r="S1084" s="467"/>
      <c r="T1084" s="2" t="s">
        <v>1711</v>
      </c>
      <c r="V1084" s="464"/>
      <c r="W1084" s="464"/>
      <c r="X1084" s="464"/>
      <c r="Y1084" s="464"/>
      <c r="Z1084" s="464"/>
      <c r="AA1084" s="464"/>
      <c r="AB1084" s="464"/>
      <c r="AC1084" s="464"/>
      <c r="AD1084" s="464"/>
      <c r="AE1084" s="464"/>
      <c r="AF1084" s="464"/>
      <c r="AG1084" s="464"/>
      <c r="AH1084" s="465"/>
      <c r="AI1084" s="464"/>
    </row>
    <row r="1085" customFormat="false" ht="15" hidden="false" customHeight="true" outlineLevel="0" collapsed="false">
      <c r="A1085" s="455" t="s">
        <v>1935</v>
      </c>
      <c r="C1085" s="456" t="n">
        <v>45596</v>
      </c>
      <c r="D1085" s="456"/>
      <c r="E1085" s="57" t="n">
        <v>14105</v>
      </c>
      <c r="F1085" s="323" t="s">
        <v>175</v>
      </c>
      <c r="G1085" s="323" t="s">
        <v>15</v>
      </c>
      <c r="H1085" s="98" t="n">
        <v>1335</v>
      </c>
      <c r="I1085" s="457" t="n">
        <v>37.5</v>
      </c>
      <c r="J1085" s="313" t="s">
        <v>1652</v>
      </c>
      <c r="K1085" s="98" t="n">
        <f aca="false">I1085*H1085</f>
        <v>50062.5</v>
      </c>
      <c r="L1085" s="411" t="n">
        <v>27879.25</v>
      </c>
      <c r="M1085" s="392" t="n">
        <f aca="false">L1085/K1085</f>
        <v>0.556888888888889</v>
      </c>
      <c r="N1085" s="466" t="n">
        <f aca="false">I1085*M1085</f>
        <v>20.8833333333333</v>
      </c>
      <c r="O1085" s="461" t="n">
        <v>1335</v>
      </c>
      <c r="P1085" s="462" t="n">
        <f aca="false">H1085-O1085</f>
        <v>0</v>
      </c>
      <c r="Q1085" s="463" t="n">
        <f aca="false">O1085*I1085</f>
        <v>50062.5</v>
      </c>
      <c r="R1085" s="48" t="n">
        <f aca="false">K1085-Q1085</f>
        <v>0</v>
      </c>
      <c r="S1085" s="467"/>
      <c r="T1085" s="2" t="s">
        <v>1711</v>
      </c>
      <c r="V1085" s="464"/>
      <c r="W1085" s="464"/>
      <c r="X1085" s="464"/>
      <c r="Y1085" s="464"/>
      <c r="Z1085" s="464"/>
      <c r="AA1085" s="464"/>
      <c r="AB1085" s="464"/>
      <c r="AC1085" s="464"/>
      <c r="AD1085" s="464"/>
      <c r="AE1085" s="464"/>
      <c r="AF1085" s="464"/>
      <c r="AG1085" s="464"/>
      <c r="AH1085" s="465"/>
      <c r="AI1085" s="464"/>
    </row>
    <row r="1086" customFormat="false" ht="15" hidden="false" customHeight="true" outlineLevel="0" collapsed="false">
      <c r="A1086" s="455" t="s">
        <v>1935</v>
      </c>
      <c r="C1086" s="456" t="n">
        <v>45596</v>
      </c>
      <c r="D1086" s="456"/>
      <c r="E1086" s="57" t="n">
        <v>14105</v>
      </c>
      <c r="F1086" s="323" t="s">
        <v>175</v>
      </c>
      <c r="G1086" s="323" t="s">
        <v>20</v>
      </c>
      <c r="H1086" s="98" t="n">
        <v>3105</v>
      </c>
      <c r="I1086" s="457" t="n">
        <v>38.29</v>
      </c>
      <c r="J1086" s="313" t="s">
        <v>1652</v>
      </c>
      <c r="K1086" s="98" t="n">
        <f aca="false">I1086*H1086</f>
        <v>118890.45</v>
      </c>
      <c r="L1086" s="411" t="n">
        <v>52546.95</v>
      </c>
      <c r="M1086" s="392" t="n">
        <f aca="false">L1086/K1086</f>
        <v>0.441977888047358</v>
      </c>
      <c r="N1086" s="466" t="n">
        <f aca="false">I1086*M1086</f>
        <v>16.9233333333333</v>
      </c>
      <c r="O1086" s="461" t="n">
        <v>3105</v>
      </c>
      <c r="P1086" s="462" t="n">
        <f aca="false">H1086-O1086</f>
        <v>0</v>
      </c>
      <c r="Q1086" s="463" t="n">
        <f aca="false">O1086*I1086</f>
        <v>118890.45</v>
      </c>
      <c r="R1086" s="48" t="n">
        <f aca="false">K1086-Q1086</f>
        <v>0</v>
      </c>
      <c r="S1086" s="467"/>
      <c r="T1086" s="2" t="s">
        <v>1711</v>
      </c>
      <c r="V1086" s="464"/>
      <c r="W1086" s="464"/>
      <c r="X1086" s="464"/>
      <c r="Y1086" s="464"/>
      <c r="Z1086" s="464"/>
      <c r="AA1086" s="464"/>
      <c r="AB1086" s="464"/>
      <c r="AC1086" s="464"/>
      <c r="AD1086" s="464"/>
      <c r="AE1086" s="464"/>
      <c r="AF1086" s="464"/>
      <c r="AG1086" s="464"/>
      <c r="AH1086" s="465"/>
      <c r="AI1086" s="464"/>
    </row>
    <row r="1087" customFormat="false" ht="15" hidden="false" customHeight="true" outlineLevel="0" collapsed="false">
      <c r="A1087" s="455" t="s">
        <v>1871</v>
      </c>
      <c r="C1087" s="456" t="n">
        <v>45596</v>
      </c>
      <c r="D1087" s="456"/>
      <c r="E1087" s="57" t="n">
        <v>14106</v>
      </c>
      <c r="F1087" s="323" t="s">
        <v>175</v>
      </c>
      <c r="G1087" s="323" t="s">
        <v>10</v>
      </c>
      <c r="H1087" s="98" t="n">
        <v>15</v>
      </c>
      <c r="I1087" s="457" t="n">
        <v>38.3</v>
      </c>
      <c r="J1087" s="313" t="s">
        <v>1652</v>
      </c>
      <c r="K1087" s="98" t="n">
        <f aca="false">I1087*H1087</f>
        <v>574.5</v>
      </c>
      <c r="L1087" s="411" t="n">
        <v>186.4</v>
      </c>
      <c r="M1087" s="392" t="n">
        <f aca="false">L1087/K1087</f>
        <v>0.324456048738033</v>
      </c>
      <c r="N1087" s="466" t="n">
        <f aca="false">I1087*M1087</f>
        <v>12.4266666666667</v>
      </c>
      <c r="O1087" s="461" t="n">
        <v>15</v>
      </c>
      <c r="P1087" s="462" t="n">
        <f aca="false">H1087-O1087</f>
        <v>0</v>
      </c>
      <c r="Q1087" s="463" t="n">
        <f aca="false">O1087*I1087</f>
        <v>574.5</v>
      </c>
      <c r="R1087" s="48" t="n">
        <f aca="false">K1087-Q1087</f>
        <v>0</v>
      </c>
      <c r="S1087" s="467"/>
      <c r="T1087" s="2" t="s">
        <v>1711</v>
      </c>
      <c r="V1087" s="464"/>
      <c r="W1087" s="464"/>
      <c r="X1087" s="464"/>
      <c r="Y1087" s="464"/>
      <c r="Z1087" s="464"/>
      <c r="AA1087" s="464"/>
      <c r="AB1087" s="464"/>
      <c r="AC1087" s="464"/>
      <c r="AD1087" s="464"/>
      <c r="AE1087" s="464"/>
      <c r="AF1087" s="464"/>
      <c r="AG1087" s="464"/>
      <c r="AH1087" s="465"/>
      <c r="AI1087" s="464"/>
    </row>
    <row r="1088" customFormat="false" ht="15" hidden="false" customHeight="true" outlineLevel="0" collapsed="false">
      <c r="A1088" s="455" t="s">
        <v>1936</v>
      </c>
      <c r="C1088" s="456" t="n">
        <v>45596</v>
      </c>
      <c r="D1088" s="456"/>
      <c r="E1088" s="57" t="n">
        <v>14107</v>
      </c>
      <c r="F1088" s="323" t="s">
        <v>175</v>
      </c>
      <c r="G1088" s="323" t="s">
        <v>5</v>
      </c>
      <c r="H1088" s="98" t="n">
        <v>4320</v>
      </c>
      <c r="I1088" s="457" t="n">
        <v>25.71</v>
      </c>
      <c r="J1088" s="313" t="s">
        <v>1651</v>
      </c>
      <c r="K1088" s="98" t="n">
        <f aca="false">I1088*H1088</f>
        <v>111067.2</v>
      </c>
      <c r="L1088" s="411" t="n">
        <v>71280</v>
      </c>
      <c r="M1088" s="392" t="n">
        <f aca="false">L1088/K1088</f>
        <v>0.641773628938156</v>
      </c>
      <c r="N1088" s="466" t="n">
        <f aca="false">I1088*M1088</f>
        <v>16.5</v>
      </c>
      <c r="O1088" s="461" t="n">
        <v>4320</v>
      </c>
      <c r="P1088" s="462" t="n">
        <f aca="false">H1088-O1088</f>
        <v>0</v>
      </c>
      <c r="Q1088" s="463" t="n">
        <f aca="false">O1088*I1088</f>
        <v>111067.2</v>
      </c>
      <c r="R1088" s="48" t="n">
        <f aca="false">K1088-Q1088</f>
        <v>0</v>
      </c>
      <c r="S1088" s="467"/>
      <c r="T1088" s="2" t="s">
        <v>1711</v>
      </c>
      <c r="V1088" s="464"/>
      <c r="W1088" s="464"/>
      <c r="X1088" s="464"/>
      <c r="Y1088" s="464"/>
      <c r="Z1088" s="464"/>
      <c r="AA1088" s="464"/>
      <c r="AB1088" s="464"/>
      <c r="AC1088" s="464"/>
      <c r="AD1088" s="464"/>
      <c r="AE1088" s="464"/>
      <c r="AF1088" s="464"/>
      <c r="AG1088" s="464"/>
      <c r="AH1088" s="465"/>
      <c r="AI1088" s="464"/>
    </row>
    <row r="1089" customFormat="false" ht="15" hidden="false" customHeight="true" outlineLevel="0" collapsed="false">
      <c r="A1089" s="455" t="s">
        <v>1936</v>
      </c>
      <c r="C1089" s="456" t="n">
        <v>45596</v>
      </c>
      <c r="D1089" s="456"/>
      <c r="E1089" s="57" t="n">
        <v>14107</v>
      </c>
      <c r="F1089" s="323" t="s">
        <v>175</v>
      </c>
      <c r="G1089" s="323" t="s">
        <v>13</v>
      </c>
      <c r="H1089" s="98" t="n">
        <v>480</v>
      </c>
      <c r="I1089" s="457" t="n">
        <v>22.5</v>
      </c>
      <c r="J1089" s="313" t="s">
        <v>1651</v>
      </c>
      <c r="K1089" s="98" t="n">
        <f aca="false">I1089*H1089</f>
        <v>10800</v>
      </c>
      <c r="L1089" s="411" t="n">
        <v>6624</v>
      </c>
      <c r="M1089" s="392" t="n">
        <f aca="false">L1089/K1089</f>
        <v>0.613333333333333</v>
      </c>
      <c r="N1089" s="466" t="n">
        <f aca="false">I1089*M1089</f>
        <v>13.8</v>
      </c>
      <c r="O1089" s="461" t="n">
        <v>480</v>
      </c>
      <c r="P1089" s="462" t="n">
        <f aca="false">H1089-O1089</f>
        <v>0</v>
      </c>
      <c r="Q1089" s="463" t="n">
        <f aca="false">O1089*I1089</f>
        <v>10800</v>
      </c>
      <c r="R1089" s="48" t="n">
        <f aca="false">K1089-Q1089</f>
        <v>0</v>
      </c>
      <c r="S1089" s="467"/>
      <c r="T1089" s="2" t="s">
        <v>1711</v>
      </c>
      <c r="V1089" s="464"/>
      <c r="W1089" s="464"/>
      <c r="X1089" s="464"/>
      <c r="Y1089" s="464"/>
      <c r="Z1089" s="464"/>
      <c r="AA1089" s="464"/>
      <c r="AB1089" s="464"/>
      <c r="AC1089" s="464"/>
      <c r="AD1089" s="464"/>
      <c r="AE1089" s="464"/>
      <c r="AF1089" s="464"/>
      <c r="AG1089" s="464"/>
      <c r="AH1089" s="465"/>
      <c r="AI1089" s="464"/>
    </row>
    <row r="1090" customFormat="false" ht="15" hidden="false" customHeight="true" outlineLevel="0" collapsed="false">
      <c r="A1090" s="455" t="s">
        <v>1921</v>
      </c>
      <c r="C1090" s="456" t="n">
        <v>45596</v>
      </c>
      <c r="D1090" s="456"/>
      <c r="E1090" s="57" t="n">
        <v>14108</v>
      </c>
      <c r="F1090" s="323" t="s">
        <v>175</v>
      </c>
      <c r="G1090" s="323" t="s">
        <v>18</v>
      </c>
      <c r="H1090" s="98" t="n">
        <v>4200</v>
      </c>
      <c r="I1090" s="457" t="n">
        <v>25.71</v>
      </c>
      <c r="J1090" s="313" t="s">
        <v>1651</v>
      </c>
      <c r="K1090" s="98" t="n">
        <f aca="false">I1090*H1090</f>
        <v>107982</v>
      </c>
      <c r="L1090" s="411" t="n">
        <v>114240</v>
      </c>
      <c r="M1090" s="392" t="n">
        <f aca="false">L1090/K1090</f>
        <v>1.05795410346169</v>
      </c>
      <c r="N1090" s="466" t="n">
        <f aca="false">I1090*M1090</f>
        <v>27.2</v>
      </c>
      <c r="O1090" s="461" t="n">
        <v>4200</v>
      </c>
      <c r="P1090" s="462" t="n">
        <f aca="false">H1090-O1090</f>
        <v>0</v>
      </c>
      <c r="Q1090" s="463" t="n">
        <f aca="false">O1090*I1090</f>
        <v>107982</v>
      </c>
      <c r="R1090" s="48" t="n">
        <f aca="false">K1090-Q1090</f>
        <v>0</v>
      </c>
      <c r="S1090" s="467"/>
      <c r="T1090" s="2" t="s">
        <v>1711</v>
      </c>
      <c r="V1090" s="464"/>
      <c r="W1090" s="464"/>
      <c r="X1090" s="464"/>
      <c r="Y1090" s="464"/>
      <c r="Z1090" s="464"/>
      <c r="AA1090" s="464"/>
      <c r="AB1090" s="464"/>
      <c r="AC1090" s="464"/>
      <c r="AD1090" s="464"/>
      <c r="AE1090" s="464"/>
      <c r="AF1090" s="464"/>
      <c r="AG1090" s="464"/>
      <c r="AH1090" s="465"/>
      <c r="AI1090" s="464"/>
    </row>
    <row r="1091" customFormat="false" ht="15" hidden="false" customHeight="true" outlineLevel="0" collapsed="false">
      <c r="A1091" s="455" t="s">
        <v>1824</v>
      </c>
      <c r="C1091" s="456" t="n">
        <v>45596</v>
      </c>
      <c r="D1091" s="456"/>
      <c r="E1091" s="57" t="n">
        <v>14109</v>
      </c>
      <c r="F1091" s="323" t="s">
        <v>175</v>
      </c>
      <c r="G1091" s="323" t="s">
        <v>20</v>
      </c>
      <c r="H1091" s="98" t="n">
        <v>600</v>
      </c>
      <c r="I1091" s="457" t="n">
        <v>90</v>
      </c>
      <c r="J1091" s="313" t="s">
        <v>1653</v>
      </c>
      <c r="K1091" s="98" t="n">
        <f aca="false">I1091*H1091</f>
        <v>54000</v>
      </c>
      <c r="L1091" s="411" t="n">
        <v>8700</v>
      </c>
      <c r="M1091" s="392" t="n">
        <f aca="false">L1091/K1091</f>
        <v>0.161111111111111</v>
      </c>
      <c r="N1091" s="466" t="n">
        <f aca="false">I1091*M1091</f>
        <v>14.5</v>
      </c>
      <c r="O1091" s="461" t="n">
        <v>600</v>
      </c>
      <c r="P1091" s="462" t="n">
        <f aca="false">H1091-O1091</f>
        <v>0</v>
      </c>
      <c r="Q1091" s="463" t="n">
        <f aca="false">O1091*I1091</f>
        <v>54000</v>
      </c>
      <c r="R1091" s="48" t="n">
        <f aca="false">K1091-Q1091</f>
        <v>0</v>
      </c>
      <c r="S1091" s="467"/>
      <c r="T1091" s="2" t="s">
        <v>1711</v>
      </c>
      <c r="V1091" s="464"/>
      <c r="W1091" s="464"/>
      <c r="X1091" s="464"/>
      <c r="Y1091" s="464"/>
      <c r="Z1091" s="464"/>
      <c r="AA1091" s="464"/>
      <c r="AB1091" s="464"/>
      <c r="AC1091" s="464"/>
      <c r="AD1091" s="464"/>
      <c r="AE1091" s="464"/>
      <c r="AF1091" s="464"/>
      <c r="AG1091" s="464"/>
      <c r="AH1091" s="465"/>
      <c r="AI1091" s="464"/>
    </row>
    <row r="1092" customFormat="false" ht="15" hidden="false" customHeight="true" outlineLevel="0" collapsed="false">
      <c r="A1092" s="455" t="s">
        <v>1824</v>
      </c>
      <c r="C1092" s="456" t="n">
        <v>45596</v>
      </c>
      <c r="D1092" s="456"/>
      <c r="E1092" s="57" t="n">
        <v>14109</v>
      </c>
      <c r="F1092" s="323" t="s">
        <v>175</v>
      </c>
      <c r="G1092" s="323" t="s">
        <v>20</v>
      </c>
      <c r="H1092" s="98" t="n">
        <v>1620</v>
      </c>
      <c r="I1092" s="457" t="n">
        <v>90</v>
      </c>
      <c r="J1092" s="313" t="s">
        <v>1653</v>
      </c>
      <c r="K1092" s="98" t="n">
        <f aca="false">I1092*H1092</f>
        <v>145800</v>
      </c>
      <c r="L1092" s="411" t="n">
        <v>23490</v>
      </c>
      <c r="M1092" s="392" t="n">
        <f aca="false">L1092/K1092</f>
        <v>0.161111111111111</v>
      </c>
      <c r="N1092" s="466" t="n">
        <f aca="false">I1092*M1092</f>
        <v>14.5</v>
      </c>
      <c r="O1092" s="461" t="n">
        <v>1620</v>
      </c>
      <c r="P1092" s="462" t="n">
        <f aca="false">H1092-O1092</f>
        <v>0</v>
      </c>
      <c r="Q1092" s="463" t="n">
        <f aca="false">O1092*I1092</f>
        <v>145800</v>
      </c>
      <c r="R1092" s="48" t="n">
        <f aca="false">K1092-Q1092</f>
        <v>0</v>
      </c>
      <c r="S1092" s="467"/>
      <c r="T1092" s="2" t="s">
        <v>1711</v>
      </c>
      <c r="V1092" s="464"/>
      <c r="W1092" s="464"/>
      <c r="X1092" s="464"/>
      <c r="Y1092" s="464"/>
      <c r="Z1092" s="464"/>
      <c r="AA1092" s="464"/>
      <c r="AB1092" s="464"/>
      <c r="AC1092" s="464"/>
      <c r="AD1092" s="464"/>
      <c r="AE1092" s="464"/>
      <c r="AF1092" s="464"/>
      <c r="AG1092" s="464"/>
      <c r="AH1092" s="465"/>
      <c r="AI1092" s="464"/>
    </row>
    <row r="1093" customFormat="false" ht="15" hidden="false" customHeight="true" outlineLevel="0" collapsed="false">
      <c r="A1093" s="455" t="s">
        <v>1769</v>
      </c>
      <c r="C1093" s="456" t="n">
        <v>45596</v>
      </c>
      <c r="D1093" s="456"/>
      <c r="E1093" s="57" t="n">
        <v>14111</v>
      </c>
      <c r="F1093" s="323" t="s">
        <v>175</v>
      </c>
      <c r="G1093" s="323" t="s">
        <v>5</v>
      </c>
      <c r="H1093" s="98" t="n">
        <v>2010</v>
      </c>
      <c r="I1093" s="457" t="n">
        <v>25.71</v>
      </c>
      <c r="J1093" s="313" t="s">
        <v>1651</v>
      </c>
      <c r="K1093" s="98" t="n">
        <f aca="false">I1093*H1093</f>
        <v>51677.1</v>
      </c>
      <c r="L1093" s="411" t="n">
        <v>22074.91</v>
      </c>
      <c r="M1093" s="392" t="n">
        <f aca="false">L1093/K1093</f>
        <v>0.427170061787523</v>
      </c>
      <c r="N1093" s="466" t="n">
        <f aca="false">I1093*M1093</f>
        <v>10.9825422885572</v>
      </c>
      <c r="O1093" s="461" t="n">
        <v>2010</v>
      </c>
      <c r="P1093" s="462" t="n">
        <f aca="false">H1093-O1093</f>
        <v>0</v>
      </c>
      <c r="Q1093" s="463" t="n">
        <f aca="false">O1093*I1093</f>
        <v>51677.1</v>
      </c>
      <c r="R1093" s="48" t="n">
        <f aca="false">K1093-Q1093</f>
        <v>0</v>
      </c>
      <c r="S1093" s="467"/>
      <c r="T1093" s="2" t="s">
        <v>1711</v>
      </c>
      <c r="V1093" s="464"/>
      <c r="W1093" s="464"/>
      <c r="X1093" s="464"/>
      <c r="Y1093" s="464"/>
      <c r="Z1093" s="464"/>
      <c r="AA1093" s="464"/>
      <c r="AB1093" s="464"/>
      <c r="AC1093" s="464"/>
      <c r="AD1093" s="464"/>
      <c r="AE1093" s="464"/>
      <c r="AF1093" s="464"/>
      <c r="AG1093" s="464"/>
      <c r="AH1093" s="465"/>
      <c r="AI1093" s="464"/>
    </row>
    <row r="1094" customFormat="false" ht="15" hidden="false" customHeight="true" outlineLevel="0" collapsed="false">
      <c r="A1094" s="455" t="s">
        <v>1769</v>
      </c>
      <c r="C1094" s="456" t="n">
        <v>45596</v>
      </c>
      <c r="D1094" s="456"/>
      <c r="E1094" s="57" t="n">
        <v>14111</v>
      </c>
      <c r="F1094" s="323" t="s">
        <v>175</v>
      </c>
      <c r="G1094" s="323" t="s">
        <v>16</v>
      </c>
      <c r="H1094" s="98" t="n">
        <v>3000</v>
      </c>
      <c r="I1094" s="457" t="n">
        <v>22.5</v>
      </c>
      <c r="J1094" s="313" t="s">
        <v>1651</v>
      </c>
      <c r="K1094" s="98" t="n">
        <f aca="false">I1094*H1094</f>
        <v>67500</v>
      </c>
      <c r="L1094" s="411" t="n">
        <v>56509.02</v>
      </c>
      <c r="M1094" s="392" t="n">
        <f aca="false">L1094/K1094</f>
        <v>0.837170666666667</v>
      </c>
      <c r="N1094" s="466" t="n">
        <f aca="false">I1094*M1094</f>
        <v>18.83634</v>
      </c>
      <c r="O1094" s="461" t="n">
        <v>3000</v>
      </c>
      <c r="P1094" s="462" t="n">
        <f aca="false">H1094-O1094</f>
        <v>0</v>
      </c>
      <c r="Q1094" s="463" t="n">
        <f aca="false">O1094*I1094</f>
        <v>67500</v>
      </c>
      <c r="R1094" s="48" t="n">
        <f aca="false">K1094-Q1094</f>
        <v>0</v>
      </c>
      <c r="S1094" s="467"/>
      <c r="T1094" s="2" t="s">
        <v>1711</v>
      </c>
      <c r="V1094" s="464"/>
      <c r="W1094" s="464"/>
      <c r="X1094" s="464"/>
      <c r="Y1094" s="464"/>
      <c r="Z1094" s="464"/>
      <c r="AA1094" s="464"/>
      <c r="AB1094" s="464"/>
      <c r="AC1094" s="464"/>
      <c r="AD1094" s="464"/>
      <c r="AE1094" s="464"/>
      <c r="AF1094" s="464"/>
      <c r="AG1094" s="464"/>
      <c r="AH1094" s="465"/>
      <c r="AI1094" s="464"/>
    </row>
    <row r="1095" customFormat="false" ht="15" hidden="false" customHeight="true" outlineLevel="0" collapsed="false">
      <c r="A1095" s="455" t="s">
        <v>1769</v>
      </c>
      <c r="C1095" s="456" t="n">
        <v>45596</v>
      </c>
      <c r="D1095" s="456"/>
      <c r="E1095" s="57" t="n">
        <v>14111</v>
      </c>
      <c r="F1095" s="323" t="s">
        <v>175</v>
      </c>
      <c r="G1095" s="323" t="s">
        <v>13</v>
      </c>
      <c r="H1095" s="98" t="n">
        <v>16005</v>
      </c>
      <c r="I1095" s="457" t="n">
        <v>22.5</v>
      </c>
      <c r="J1095" s="313" t="s">
        <v>1651</v>
      </c>
      <c r="K1095" s="98" t="n">
        <f aca="false">I1095*H1095</f>
        <v>360112.5</v>
      </c>
      <c r="L1095" s="411" t="n">
        <v>175775.62</v>
      </c>
      <c r="M1095" s="392" t="n">
        <f aca="false">L1095/K1095</f>
        <v>0.488113075774931</v>
      </c>
      <c r="N1095" s="466" t="n">
        <f aca="false">I1095*M1095</f>
        <v>10.982544204936</v>
      </c>
      <c r="O1095" s="461" t="n">
        <v>16005</v>
      </c>
      <c r="P1095" s="462" t="n">
        <f aca="false">H1095-O1095</f>
        <v>0</v>
      </c>
      <c r="Q1095" s="463" t="n">
        <f aca="false">O1095*I1095</f>
        <v>360112.5</v>
      </c>
      <c r="R1095" s="48" t="n">
        <f aca="false">K1095-Q1095</f>
        <v>0</v>
      </c>
      <c r="S1095" s="467"/>
      <c r="T1095" s="2" t="s">
        <v>1711</v>
      </c>
      <c r="V1095" s="464"/>
      <c r="W1095" s="464"/>
      <c r="X1095" s="464"/>
      <c r="Y1095" s="464"/>
      <c r="Z1095" s="464"/>
      <c r="AA1095" s="464"/>
      <c r="AB1095" s="464"/>
      <c r="AC1095" s="464"/>
      <c r="AD1095" s="464"/>
      <c r="AE1095" s="464"/>
      <c r="AF1095" s="464"/>
      <c r="AG1095" s="464"/>
      <c r="AH1095" s="465"/>
      <c r="AI1095" s="464"/>
    </row>
    <row r="1096" customFormat="false" ht="15" hidden="false" customHeight="true" outlineLevel="0" collapsed="false">
      <c r="A1096" s="455" t="s">
        <v>1769</v>
      </c>
      <c r="C1096" s="456" t="n">
        <v>45596</v>
      </c>
      <c r="D1096" s="456"/>
      <c r="E1096" s="57" t="n">
        <v>14111</v>
      </c>
      <c r="F1096" s="323" t="s">
        <v>175</v>
      </c>
      <c r="G1096" s="323" t="s">
        <v>6</v>
      </c>
      <c r="H1096" s="98" t="n">
        <v>1800</v>
      </c>
      <c r="I1096" s="457" t="n">
        <v>30</v>
      </c>
      <c r="J1096" s="313" t="s">
        <v>1651</v>
      </c>
      <c r="K1096" s="98" t="n">
        <f aca="false">I1096*H1096</f>
        <v>54000</v>
      </c>
      <c r="L1096" s="411" t="n">
        <v>27584.06</v>
      </c>
      <c r="M1096" s="392" t="n">
        <f aca="false">L1096/K1096</f>
        <v>0.510815925925926</v>
      </c>
      <c r="N1096" s="466" t="n">
        <f aca="false">I1096*M1096</f>
        <v>15.3244777777778</v>
      </c>
      <c r="O1096" s="461" t="n">
        <v>1800</v>
      </c>
      <c r="P1096" s="462" t="n">
        <f aca="false">H1096-O1096</f>
        <v>0</v>
      </c>
      <c r="Q1096" s="463" t="n">
        <f aca="false">O1096*I1096</f>
        <v>54000</v>
      </c>
      <c r="R1096" s="48" t="n">
        <f aca="false">K1096-Q1096</f>
        <v>0</v>
      </c>
      <c r="S1096" s="467"/>
      <c r="T1096" s="2" t="s">
        <v>1711</v>
      </c>
      <c r="V1096" s="464"/>
      <c r="W1096" s="464"/>
      <c r="X1096" s="464"/>
      <c r="Y1096" s="464"/>
      <c r="Z1096" s="464"/>
      <c r="AA1096" s="464"/>
      <c r="AB1096" s="464"/>
      <c r="AC1096" s="464"/>
      <c r="AD1096" s="464"/>
      <c r="AE1096" s="464"/>
      <c r="AF1096" s="464"/>
      <c r="AG1096" s="464"/>
      <c r="AH1096" s="465"/>
      <c r="AI1096" s="464"/>
    </row>
    <row r="1097" customFormat="false" ht="15" hidden="false" customHeight="true" outlineLevel="0" collapsed="false">
      <c r="A1097" s="455" t="s">
        <v>1769</v>
      </c>
      <c r="C1097" s="456" t="n">
        <v>45596</v>
      </c>
      <c r="D1097" s="456"/>
      <c r="E1097" s="57" t="n">
        <v>14111</v>
      </c>
      <c r="F1097" s="323" t="s">
        <v>175</v>
      </c>
      <c r="G1097" s="323" t="s">
        <v>10</v>
      </c>
      <c r="H1097" s="98" t="n">
        <v>1005</v>
      </c>
      <c r="I1097" s="457" t="n">
        <v>25.71</v>
      </c>
      <c r="J1097" s="313" t="s">
        <v>1651</v>
      </c>
      <c r="K1097" s="98" t="n">
        <f aca="false">I1097*H1097</f>
        <v>25838.55</v>
      </c>
      <c r="L1097" s="411" t="n">
        <v>10139.06</v>
      </c>
      <c r="M1097" s="392" t="n">
        <f aca="false">L1097/K1097</f>
        <v>0.392400502350171</v>
      </c>
      <c r="N1097" s="466" t="n">
        <f aca="false">I1097*M1097</f>
        <v>10.0886169154229</v>
      </c>
      <c r="O1097" s="461" t="n">
        <v>1005</v>
      </c>
      <c r="P1097" s="462" t="n">
        <f aca="false">H1097-O1097</f>
        <v>0</v>
      </c>
      <c r="Q1097" s="463" t="n">
        <f aca="false">O1097*I1097</f>
        <v>25838.55</v>
      </c>
      <c r="R1097" s="48" t="n">
        <f aca="false">K1097-Q1097</f>
        <v>0</v>
      </c>
      <c r="S1097" s="467"/>
      <c r="T1097" s="2" t="s">
        <v>1711</v>
      </c>
      <c r="V1097" s="464"/>
      <c r="W1097" s="464"/>
      <c r="X1097" s="464"/>
      <c r="Y1097" s="464"/>
      <c r="Z1097" s="464"/>
      <c r="AA1097" s="464"/>
      <c r="AB1097" s="464"/>
      <c r="AC1097" s="464"/>
      <c r="AD1097" s="464"/>
      <c r="AE1097" s="464"/>
      <c r="AF1097" s="464"/>
      <c r="AG1097" s="464"/>
      <c r="AH1097" s="465"/>
      <c r="AI1097" s="464"/>
    </row>
    <row r="1098" customFormat="false" ht="15" hidden="false" customHeight="true" outlineLevel="0" collapsed="false">
      <c r="A1098" s="455" t="s">
        <v>1769</v>
      </c>
      <c r="C1098" s="456" t="n">
        <v>45596</v>
      </c>
      <c r="D1098" s="456"/>
      <c r="E1098" s="57" t="n">
        <v>14111</v>
      </c>
      <c r="F1098" s="323" t="s">
        <v>175</v>
      </c>
      <c r="G1098" s="323" t="s">
        <v>42</v>
      </c>
      <c r="H1098" s="98" t="n">
        <v>3000</v>
      </c>
      <c r="I1098" s="457" t="n">
        <v>30</v>
      </c>
      <c r="J1098" s="313" t="s">
        <v>1651</v>
      </c>
      <c r="K1098" s="98" t="n">
        <f aca="false">I1098*H1098</f>
        <v>90000</v>
      </c>
      <c r="L1098" s="411" t="n">
        <v>38311.2</v>
      </c>
      <c r="M1098" s="392" t="n">
        <f aca="false">L1098/K1098</f>
        <v>0.42568</v>
      </c>
      <c r="N1098" s="466" t="n">
        <f aca="false">I1098*M1098</f>
        <v>12.7704</v>
      </c>
      <c r="O1098" s="461" t="n">
        <v>3000</v>
      </c>
      <c r="P1098" s="462" t="n">
        <f aca="false">H1098-O1098</f>
        <v>0</v>
      </c>
      <c r="Q1098" s="463" t="n">
        <f aca="false">O1098*I1098</f>
        <v>90000</v>
      </c>
      <c r="R1098" s="48" t="n">
        <f aca="false">K1098-Q1098</f>
        <v>0</v>
      </c>
      <c r="S1098" s="467"/>
      <c r="T1098" s="2" t="s">
        <v>1711</v>
      </c>
      <c r="V1098" s="464"/>
      <c r="W1098" s="464"/>
      <c r="X1098" s="464"/>
      <c r="Y1098" s="464"/>
      <c r="Z1098" s="464"/>
      <c r="AA1098" s="464"/>
      <c r="AB1098" s="464"/>
      <c r="AC1098" s="464"/>
      <c r="AD1098" s="464"/>
      <c r="AE1098" s="464"/>
      <c r="AF1098" s="464"/>
      <c r="AG1098" s="464"/>
      <c r="AH1098" s="465"/>
      <c r="AI1098" s="464"/>
    </row>
    <row r="1099" customFormat="false" ht="15" hidden="false" customHeight="true" outlineLevel="0" collapsed="false">
      <c r="A1099" s="455" t="s">
        <v>1921</v>
      </c>
      <c r="C1099" s="456" t="n">
        <v>45596</v>
      </c>
      <c r="D1099" s="456"/>
      <c r="E1099" s="57" t="n">
        <v>14112</v>
      </c>
      <c r="F1099" s="323" t="s">
        <v>175</v>
      </c>
      <c r="G1099" s="323" t="s">
        <v>75</v>
      </c>
      <c r="H1099" s="98" t="n">
        <v>810</v>
      </c>
      <c r="I1099" s="457" t="n">
        <v>1</v>
      </c>
      <c r="J1099" s="313" t="s">
        <v>1653</v>
      </c>
      <c r="K1099" s="98" t="n">
        <f aca="false">I1099*H1099</f>
        <v>810</v>
      </c>
      <c r="L1099" s="411" t="n">
        <v>56967.3</v>
      </c>
      <c r="M1099" s="392" t="n">
        <f aca="false">L1099/K1099</f>
        <v>70.33</v>
      </c>
      <c r="N1099" s="466" t="n">
        <f aca="false">I1099*M1099</f>
        <v>70.33</v>
      </c>
      <c r="O1099" s="461" t="n">
        <v>810</v>
      </c>
      <c r="P1099" s="462" t="n">
        <f aca="false">H1099-O1099</f>
        <v>0</v>
      </c>
      <c r="Q1099" s="463" t="n">
        <f aca="false">O1099*I1099</f>
        <v>810</v>
      </c>
      <c r="R1099" s="48" t="n">
        <f aca="false">K1099-Q1099</f>
        <v>0</v>
      </c>
      <c r="S1099" s="467"/>
      <c r="T1099" s="2" t="s">
        <v>1711</v>
      </c>
      <c r="V1099" s="464"/>
      <c r="W1099" s="464"/>
      <c r="X1099" s="464"/>
      <c r="Y1099" s="464"/>
      <c r="Z1099" s="464"/>
      <c r="AA1099" s="464"/>
      <c r="AB1099" s="464"/>
      <c r="AC1099" s="464"/>
      <c r="AD1099" s="464"/>
      <c r="AE1099" s="464"/>
      <c r="AF1099" s="464"/>
      <c r="AG1099" s="464"/>
      <c r="AH1099" s="465"/>
      <c r="AI1099" s="464"/>
    </row>
    <row r="1100" customFormat="false" ht="15" hidden="false" customHeight="true" outlineLevel="0" collapsed="false">
      <c r="A1100" s="455" t="s">
        <v>1921</v>
      </c>
      <c r="C1100" s="456" t="n">
        <v>45596</v>
      </c>
      <c r="D1100" s="456"/>
      <c r="E1100" s="57" t="n">
        <v>14113</v>
      </c>
      <c r="F1100" s="323" t="s">
        <v>175</v>
      </c>
      <c r="G1100" s="323" t="s">
        <v>42</v>
      </c>
      <c r="H1100" s="98" t="n">
        <v>2400</v>
      </c>
      <c r="I1100" s="457" t="n">
        <v>90</v>
      </c>
      <c r="J1100" s="313" t="s">
        <v>1653</v>
      </c>
      <c r="K1100" s="98" t="n">
        <f aca="false">I1100*H1100</f>
        <v>216000</v>
      </c>
      <c r="L1100" s="411" t="n">
        <v>65280</v>
      </c>
      <c r="M1100" s="392" t="n">
        <f aca="false">L1100/K1100</f>
        <v>0.302222222222222</v>
      </c>
      <c r="N1100" s="466" t="n">
        <f aca="false">I1100*M1100</f>
        <v>27.2</v>
      </c>
      <c r="O1100" s="461" t="n">
        <v>2400</v>
      </c>
      <c r="P1100" s="462" t="n">
        <f aca="false">H1100-O1100</f>
        <v>0</v>
      </c>
      <c r="Q1100" s="463" t="n">
        <f aca="false">O1100*I1100</f>
        <v>216000</v>
      </c>
      <c r="R1100" s="48" t="n">
        <f aca="false">K1100-Q1100</f>
        <v>0</v>
      </c>
      <c r="S1100" s="467"/>
      <c r="T1100" s="2" t="s">
        <v>1711</v>
      </c>
      <c r="V1100" s="464"/>
      <c r="W1100" s="464"/>
      <c r="X1100" s="464"/>
      <c r="Y1100" s="464"/>
      <c r="Z1100" s="464"/>
      <c r="AA1100" s="464"/>
      <c r="AB1100" s="464"/>
      <c r="AC1100" s="464"/>
      <c r="AD1100" s="464"/>
      <c r="AE1100" s="464"/>
      <c r="AF1100" s="464"/>
      <c r="AG1100" s="464"/>
      <c r="AH1100" s="465"/>
      <c r="AI1100" s="464"/>
    </row>
    <row r="1101" customFormat="false" ht="15" hidden="false" customHeight="true" outlineLevel="0" collapsed="false">
      <c r="A1101" s="455" t="s">
        <v>1937</v>
      </c>
      <c r="C1101" s="456" t="n">
        <v>45596</v>
      </c>
      <c r="D1101" s="456"/>
      <c r="E1101" s="57" t="n">
        <v>14114</v>
      </c>
      <c r="F1101" s="323" t="s">
        <v>175</v>
      </c>
      <c r="G1101" s="323" t="s">
        <v>15</v>
      </c>
      <c r="H1101" s="98" t="n">
        <v>30</v>
      </c>
      <c r="I1101" s="457" t="n">
        <v>22.5</v>
      </c>
      <c r="J1101" s="313" t="s">
        <v>1651</v>
      </c>
      <c r="K1101" s="98" t="n">
        <f aca="false">I1101*H1101</f>
        <v>675</v>
      </c>
      <c r="L1101" s="411" t="n">
        <v>600</v>
      </c>
      <c r="M1101" s="392" t="n">
        <f aca="false">L1101/K1101</f>
        <v>0.888888888888889</v>
      </c>
      <c r="N1101" s="466" t="n">
        <f aca="false">I1101*M1101</f>
        <v>20</v>
      </c>
      <c r="O1101" s="461" t="n">
        <v>30</v>
      </c>
      <c r="P1101" s="462" t="n">
        <f aca="false">H1101-O1101</f>
        <v>0</v>
      </c>
      <c r="Q1101" s="463" t="n">
        <f aca="false">O1101*I1101</f>
        <v>675</v>
      </c>
      <c r="R1101" s="48" t="n">
        <f aca="false">K1101-Q1101</f>
        <v>0</v>
      </c>
      <c r="S1101" s="467"/>
      <c r="T1101" s="2" t="s">
        <v>1711</v>
      </c>
      <c r="V1101" s="464"/>
      <c r="W1101" s="464"/>
      <c r="X1101" s="464"/>
      <c r="Y1101" s="464"/>
      <c r="Z1101" s="464"/>
      <c r="AA1101" s="464"/>
      <c r="AB1101" s="464"/>
      <c r="AC1101" s="464"/>
      <c r="AD1101" s="464"/>
      <c r="AE1101" s="464"/>
      <c r="AF1101" s="464"/>
      <c r="AG1101" s="464"/>
      <c r="AH1101" s="465"/>
      <c r="AI1101" s="464"/>
    </row>
    <row r="1102" customFormat="false" ht="15" hidden="false" customHeight="true" outlineLevel="0" collapsed="false">
      <c r="A1102" s="455" t="s">
        <v>1937</v>
      </c>
      <c r="C1102" s="456" t="n">
        <v>45596</v>
      </c>
      <c r="D1102" s="456"/>
      <c r="E1102" s="57" t="n">
        <v>14114</v>
      </c>
      <c r="F1102" s="323" t="s">
        <v>175</v>
      </c>
      <c r="G1102" s="323" t="s">
        <v>12</v>
      </c>
      <c r="H1102" s="98" t="n">
        <v>60</v>
      </c>
      <c r="I1102" s="457" t="n">
        <v>25.71</v>
      </c>
      <c r="J1102" s="313" t="s">
        <v>1652</v>
      </c>
      <c r="K1102" s="98" t="n">
        <f aca="false">I1102*H1102</f>
        <v>1542.6</v>
      </c>
      <c r="L1102" s="411" t="n">
        <v>4440</v>
      </c>
      <c r="M1102" s="392" t="n">
        <f aca="false">L1102/K1102</f>
        <v>2.878257487359</v>
      </c>
      <c r="N1102" s="466" t="n">
        <f aca="false">I1102*M1102</f>
        <v>74</v>
      </c>
      <c r="O1102" s="461" t="n">
        <v>60</v>
      </c>
      <c r="P1102" s="462" t="n">
        <f aca="false">H1102-O1102</f>
        <v>0</v>
      </c>
      <c r="Q1102" s="463" t="n">
        <f aca="false">O1102*I1102</f>
        <v>1542.6</v>
      </c>
      <c r="R1102" s="48" t="n">
        <f aca="false">K1102-Q1102</f>
        <v>0</v>
      </c>
      <c r="S1102" s="467"/>
      <c r="T1102" s="2" t="s">
        <v>1711</v>
      </c>
      <c r="V1102" s="464"/>
      <c r="W1102" s="464"/>
      <c r="X1102" s="464"/>
      <c r="Y1102" s="464"/>
      <c r="Z1102" s="464"/>
      <c r="AA1102" s="464"/>
      <c r="AB1102" s="464"/>
      <c r="AC1102" s="464"/>
      <c r="AD1102" s="464"/>
      <c r="AE1102" s="464"/>
      <c r="AF1102" s="464"/>
      <c r="AG1102" s="464"/>
      <c r="AH1102" s="465"/>
      <c r="AI1102" s="464"/>
    </row>
    <row r="1103" customFormat="false" ht="15" hidden="false" customHeight="true" outlineLevel="0" collapsed="false">
      <c r="A1103" s="455" t="s">
        <v>1753</v>
      </c>
      <c r="C1103" s="456" t="n">
        <v>45596</v>
      </c>
      <c r="D1103" s="456"/>
      <c r="E1103" s="57" t="n">
        <v>14115</v>
      </c>
      <c r="F1103" s="323" t="s">
        <v>175</v>
      </c>
      <c r="G1103" s="323" t="s">
        <v>15</v>
      </c>
      <c r="H1103" s="98" t="n">
        <v>3000</v>
      </c>
      <c r="I1103" s="457" t="n">
        <v>37.5</v>
      </c>
      <c r="J1103" s="313" t="s">
        <v>1652</v>
      </c>
      <c r="K1103" s="98" t="n">
        <f aca="false">I1103*H1103</f>
        <v>112500</v>
      </c>
      <c r="L1103" s="411" t="n">
        <v>56700</v>
      </c>
      <c r="M1103" s="392" t="n">
        <f aca="false">L1103/K1103</f>
        <v>0.504</v>
      </c>
      <c r="N1103" s="466" t="n">
        <f aca="false">I1103*M1103</f>
        <v>18.9</v>
      </c>
      <c r="O1103" s="461" t="n">
        <v>3000</v>
      </c>
      <c r="P1103" s="462" t="n">
        <f aca="false">H1103-O1103</f>
        <v>0</v>
      </c>
      <c r="Q1103" s="463" t="n">
        <f aca="false">O1103*I1103</f>
        <v>112500</v>
      </c>
      <c r="R1103" s="48" t="n">
        <f aca="false">K1103-Q1103</f>
        <v>0</v>
      </c>
      <c r="S1103" s="467"/>
      <c r="T1103" s="2" t="s">
        <v>1711</v>
      </c>
      <c r="V1103" s="464"/>
      <c r="W1103" s="464"/>
      <c r="X1103" s="464"/>
      <c r="Y1103" s="464"/>
      <c r="Z1103" s="464"/>
      <c r="AA1103" s="464"/>
      <c r="AB1103" s="464"/>
      <c r="AC1103" s="464"/>
      <c r="AD1103" s="464"/>
      <c r="AE1103" s="464"/>
      <c r="AF1103" s="464"/>
      <c r="AG1103" s="464"/>
      <c r="AH1103" s="465"/>
      <c r="AI1103" s="464"/>
    </row>
    <row r="1104" customFormat="false" ht="15" hidden="false" customHeight="true" outlineLevel="0" collapsed="false">
      <c r="A1104" s="455" t="s">
        <v>1753</v>
      </c>
      <c r="C1104" s="456" t="n">
        <v>45596</v>
      </c>
      <c r="D1104" s="456"/>
      <c r="E1104" s="57" t="n">
        <v>14115</v>
      </c>
      <c r="F1104" s="323" t="s">
        <v>175</v>
      </c>
      <c r="G1104" s="323" t="s">
        <v>15</v>
      </c>
      <c r="H1104" s="98" t="n">
        <v>10005</v>
      </c>
      <c r="I1104" s="457" t="n">
        <v>22.5</v>
      </c>
      <c r="J1104" s="313" t="s">
        <v>1651</v>
      </c>
      <c r="K1104" s="98" t="n">
        <f aca="false">I1104*H1104</f>
        <v>225112.5</v>
      </c>
      <c r="L1104" s="411" t="n">
        <v>158279.1</v>
      </c>
      <c r="M1104" s="392" t="n">
        <f aca="false">L1104/K1104</f>
        <v>0.703111111111111</v>
      </c>
      <c r="N1104" s="466" t="n">
        <f aca="false">I1104*M1104</f>
        <v>15.82</v>
      </c>
      <c r="O1104" s="461" t="n">
        <v>10005</v>
      </c>
      <c r="P1104" s="462" t="n">
        <f aca="false">H1104-O1104</f>
        <v>0</v>
      </c>
      <c r="Q1104" s="463" t="n">
        <f aca="false">O1104*I1104</f>
        <v>225112.5</v>
      </c>
      <c r="R1104" s="48" t="n">
        <f aca="false">K1104-Q1104</f>
        <v>0</v>
      </c>
      <c r="S1104" s="467"/>
      <c r="T1104" s="2" t="s">
        <v>1711</v>
      </c>
      <c r="V1104" s="464"/>
      <c r="W1104" s="464"/>
      <c r="X1104" s="464"/>
      <c r="Y1104" s="464"/>
      <c r="Z1104" s="464"/>
      <c r="AA1104" s="464"/>
      <c r="AB1104" s="464"/>
      <c r="AC1104" s="464"/>
      <c r="AD1104" s="464"/>
      <c r="AE1104" s="464"/>
      <c r="AF1104" s="464"/>
      <c r="AG1104" s="464"/>
      <c r="AH1104" s="465"/>
      <c r="AI1104" s="464"/>
    </row>
    <row r="1105" customFormat="false" ht="15" hidden="false" customHeight="true" outlineLevel="0" collapsed="false">
      <c r="A1105" s="455" t="s">
        <v>1753</v>
      </c>
      <c r="C1105" s="456" t="n">
        <v>45596</v>
      </c>
      <c r="D1105" s="456"/>
      <c r="E1105" s="57" t="n">
        <v>14115</v>
      </c>
      <c r="F1105" s="323" t="s">
        <v>175</v>
      </c>
      <c r="G1105" s="323" t="s">
        <v>42</v>
      </c>
      <c r="H1105" s="98" t="n">
        <v>1005</v>
      </c>
      <c r="I1105" s="457" t="n">
        <v>45</v>
      </c>
      <c r="J1105" s="313" t="s">
        <v>1652</v>
      </c>
      <c r="K1105" s="98" t="n">
        <f aca="false">I1105*H1105</f>
        <v>45225</v>
      </c>
      <c r="L1105" s="411" t="n">
        <v>20883.9</v>
      </c>
      <c r="M1105" s="392" t="n">
        <f aca="false">L1105/K1105</f>
        <v>0.461777777777778</v>
      </c>
      <c r="N1105" s="466" t="n">
        <f aca="false">I1105*M1105</f>
        <v>20.78</v>
      </c>
      <c r="O1105" s="461" t="n">
        <v>1005</v>
      </c>
      <c r="P1105" s="462" t="n">
        <f aca="false">H1105-O1105</f>
        <v>0</v>
      </c>
      <c r="Q1105" s="463" t="n">
        <f aca="false">O1105*I1105</f>
        <v>45225</v>
      </c>
      <c r="R1105" s="48" t="n">
        <f aca="false">K1105-Q1105</f>
        <v>0</v>
      </c>
      <c r="S1105" s="467"/>
      <c r="T1105" s="2" t="s">
        <v>1711</v>
      </c>
      <c r="V1105" s="464"/>
      <c r="W1105" s="464"/>
      <c r="X1105" s="464"/>
      <c r="Y1105" s="464"/>
      <c r="Z1105" s="464"/>
      <c r="AA1105" s="464"/>
      <c r="AB1105" s="464"/>
      <c r="AC1105" s="464"/>
      <c r="AD1105" s="464"/>
      <c r="AE1105" s="464"/>
      <c r="AF1105" s="464"/>
      <c r="AG1105" s="464"/>
      <c r="AH1105" s="465"/>
      <c r="AI1105" s="464"/>
    </row>
    <row r="1106" customFormat="false" ht="15" hidden="false" customHeight="true" outlineLevel="0" collapsed="false">
      <c r="A1106" s="455" t="s">
        <v>1753</v>
      </c>
      <c r="C1106" s="456" t="n">
        <v>45596</v>
      </c>
      <c r="D1106" s="456"/>
      <c r="E1106" s="57" t="n">
        <v>14115</v>
      </c>
      <c r="F1106" s="323" t="s">
        <v>175</v>
      </c>
      <c r="G1106" s="323" t="s">
        <v>6</v>
      </c>
      <c r="H1106" s="98" t="n">
        <v>3000</v>
      </c>
      <c r="I1106" s="457" t="n">
        <v>30</v>
      </c>
      <c r="J1106" s="313" t="s">
        <v>1651</v>
      </c>
      <c r="K1106" s="98" t="n">
        <f aca="false">I1106*H1106</f>
        <v>90000</v>
      </c>
      <c r="L1106" s="411" t="n">
        <v>34200</v>
      </c>
      <c r="M1106" s="392" t="n">
        <f aca="false">L1106/K1106</f>
        <v>0.38</v>
      </c>
      <c r="N1106" s="466" t="n">
        <f aca="false">I1106*M1106</f>
        <v>11.4</v>
      </c>
      <c r="O1106" s="461" t="n">
        <v>3000</v>
      </c>
      <c r="P1106" s="462" t="n">
        <f aca="false">H1106-O1106</f>
        <v>0</v>
      </c>
      <c r="Q1106" s="463" t="n">
        <f aca="false">O1106*I1106</f>
        <v>90000</v>
      </c>
      <c r="R1106" s="48" t="n">
        <f aca="false">K1106-Q1106</f>
        <v>0</v>
      </c>
      <c r="S1106" s="467"/>
      <c r="T1106" s="2" t="s">
        <v>1711</v>
      </c>
      <c r="V1106" s="464"/>
      <c r="W1106" s="464"/>
      <c r="X1106" s="464"/>
      <c r="Y1106" s="464"/>
      <c r="Z1106" s="464"/>
      <c r="AA1106" s="464"/>
      <c r="AB1106" s="464"/>
      <c r="AC1106" s="464"/>
      <c r="AD1106" s="464"/>
      <c r="AE1106" s="464"/>
      <c r="AF1106" s="464"/>
      <c r="AG1106" s="464"/>
      <c r="AH1106" s="465"/>
      <c r="AI1106" s="464"/>
    </row>
    <row r="1107" customFormat="false" ht="15" hidden="false" customHeight="true" outlineLevel="0" collapsed="false">
      <c r="A1107" s="455" t="s">
        <v>1753</v>
      </c>
      <c r="C1107" s="456" t="n">
        <v>45596</v>
      </c>
      <c r="D1107" s="456"/>
      <c r="E1107" s="57" t="n">
        <v>14115</v>
      </c>
      <c r="F1107" s="323" t="s">
        <v>175</v>
      </c>
      <c r="G1107" s="323" t="s">
        <v>12</v>
      </c>
      <c r="H1107" s="98" t="n">
        <v>3000</v>
      </c>
      <c r="I1107" s="457" t="n">
        <v>18</v>
      </c>
      <c r="J1107" s="313" t="s">
        <v>1651</v>
      </c>
      <c r="K1107" s="98" t="n">
        <f aca="false">I1107*H1107</f>
        <v>54000</v>
      </c>
      <c r="L1107" s="411" t="n">
        <v>149130</v>
      </c>
      <c r="M1107" s="392" t="n">
        <f aca="false">L1107/K1107</f>
        <v>2.76166666666667</v>
      </c>
      <c r="N1107" s="466" t="n">
        <f aca="false">I1107*M1107</f>
        <v>49.71</v>
      </c>
      <c r="O1107" s="461" t="n">
        <v>3000</v>
      </c>
      <c r="P1107" s="462" t="n">
        <f aca="false">H1107-O1107</f>
        <v>0</v>
      </c>
      <c r="Q1107" s="463" t="n">
        <f aca="false">O1107*I1107</f>
        <v>54000</v>
      </c>
      <c r="R1107" s="48" t="n">
        <f aca="false">K1107-Q1107</f>
        <v>0</v>
      </c>
      <c r="S1107" s="467"/>
      <c r="T1107" s="2" t="s">
        <v>1711</v>
      </c>
      <c r="V1107" s="464"/>
      <c r="W1107" s="464"/>
      <c r="X1107" s="464"/>
      <c r="Y1107" s="464"/>
      <c r="Z1107" s="464"/>
      <c r="AA1107" s="464"/>
      <c r="AB1107" s="464"/>
      <c r="AC1107" s="464"/>
      <c r="AD1107" s="464"/>
      <c r="AE1107" s="464"/>
      <c r="AF1107" s="464"/>
      <c r="AG1107" s="464"/>
      <c r="AH1107" s="465"/>
      <c r="AI1107" s="464"/>
    </row>
    <row r="1108" customFormat="false" ht="15" hidden="false" customHeight="true" outlineLevel="0" collapsed="false">
      <c r="A1108" s="455" t="s">
        <v>1753</v>
      </c>
      <c r="C1108" s="456" t="n">
        <v>45596</v>
      </c>
      <c r="D1108" s="456"/>
      <c r="E1108" s="57" t="n">
        <v>14115</v>
      </c>
      <c r="F1108" s="323" t="s">
        <v>175</v>
      </c>
      <c r="G1108" s="323" t="s">
        <v>13</v>
      </c>
      <c r="H1108" s="98" t="n">
        <v>5010</v>
      </c>
      <c r="I1108" s="457" t="n">
        <v>22.5</v>
      </c>
      <c r="J1108" s="313" t="s">
        <v>1651</v>
      </c>
      <c r="K1108" s="98" t="n">
        <f aca="false">I1108*H1108</f>
        <v>112725</v>
      </c>
      <c r="L1108" s="411" t="n">
        <v>56112</v>
      </c>
      <c r="M1108" s="392" t="n">
        <f aca="false">L1108/K1108</f>
        <v>0.497777777777778</v>
      </c>
      <c r="N1108" s="466" t="n">
        <f aca="false">I1108*M1108</f>
        <v>11.2</v>
      </c>
      <c r="O1108" s="461" t="n">
        <v>5010</v>
      </c>
      <c r="P1108" s="462" t="n">
        <f aca="false">H1108-O1108</f>
        <v>0</v>
      </c>
      <c r="Q1108" s="463" t="n">
        <f aca="false">O1108*I1108</f>
        <v>112725</v>
      </c>
      <c r="R1108" s="48" t="n">
        <f aca="false">K1108-Q1108</f>
        <v>0</v>
      </c>
      <c r="S1108" s="467"/>
      <c r="T1108" s="2" t="s">
        <v>1711</v>
      </c>
      <c r="V1108" s="464"/>
      <c r="W1108" s="464"/>
      <c r="X1108" s="464"/>
      <c r="Y1108" s="464"/>
      <c r="Z1108" s="464"/>
      <c r="AA1108" s="464"/>
      <c r="AB1108" s="464"/>
      <c r="AC1108" s="464"/>
      <c r="AD1108" s="464"/>
      <c r="AE1108" s="464"/>
      <c r="AF1108" s="464"/>
      <c r="AG1108" s="464"/>
      <c r="AH1108" s="465"/>
      <c r="AI1108" s="464"/>
    </row>
    <row r="1109" customFormat="false" ht="15" hidden="false" customHeight="true" outlineLevel="0" collapsed="false">
      <c r="A1109" s="455" t="s">
        <v>1753</v>
      </c>
      <c r="C1109" s="456" t="n">
        <v>45596</v>
      </c>
      <c r="D1109" s="456"/>
      <c r="E1109" s="57" t="n">
        <v>14115</v>
      </c>
      <c r="F1109" s="323" t="s">
        <v>175</v>
      </c>
      <c r="G1109" s="323" t="s">
        <v>13</v>
      </c>
      <c r="H1109" s="98" t="n">
        <v>3000</v>
      </c>
      <c r="I1109" s="457" t="n">
        <v>37.5</v>
      </c>
      <c r="J1109" s="313" t="s">
        <v>1652</v>
      </c>
      <c r="K1109" s="98" t="n">
        <f aca="false">I1109*H1109</f>
        <v>112500</v>
      </c>
      <c r="L1109" s="411" t="n">
        <v>56700</v>
      </c>
      <c r="M1109" s="392" t="n">
        <f aca="false">L1109/K1109</f>
        <v>0.504</v>
      </c>
      <c r="N1109" s="466" t="n">
        <f aca="false">I1109*M1109</f>
        <v>18.9</v>
      </c>
      <c r="O1109" s="461" t="n">
        <v>3000</v>
      </c>
      <c r="P1109" s="462" t="n">
        <f aca="false">H1109-O1109</f>
        <v>0</v>
      </c>
      <c r="Q1109" s="463" t="n">
        <f aca="false">O1109*I1109</f>
        <v>112500</v>
      </c>
      <c r="R1109" s="48" t="n">
        <f aca="false">K1109-Q1109</f>
        <v>0</v>
      </c>
      <c r="S1109" s="467"/>
      <c r="T1109" s="2" t="s">
        <v>1711</v>
      </c>
      <c r="V1109" s="464"/>
      <c r="W1109" s="464"/>
      <c r="X1109" s="464"/>
      <c r="Y1109" s="464"/>
      <c r="Z1109" s="464"/>
      <c r="AA1109" s="464"/>
      <c r="AB1109" s="464"/>
      <c r="AC1109" s="464"/>
      <c r="AD1109" s="464"/>
      <c r="AE1109" s="464"/>
      <c r="AF1109" s="464"/>
      <c r="AG1109" s="464"/>
      <c r="AH1109" s="465"/>
      <c r="AI1109" s="464"/>
    </row>
    <row r="1110" customFormat="false" ht="15" hidden="false" customHeight="true" outlineLevel="0" collapsed="false">
      <c r="A1110" s="455" t="s">
        <v>1753</v>
      </c>
      <c r="C1110" s="456" t="n">
        <v>45596</v>
      </c>
      <c r="D1110" s="456"/>
      <c r="E1110" s="57" t="n">
        <v>14115</v>
      </c>
      <c r="F1110" s="323" t="s">
        <v>175</v>
      </c>
      <c r="G1110" s="323" t="s">
        <v>11</v>
      </c>
      <c r="H1110" s="98" t="n">
        <v>1500</v>
      </c>
      <c r="I1110" s="457" t="n">
        <v>14</v>
      </c>
      <c r="J1110" s="313" t="s">
        <v>1651</v>
      </c>
      <c r="K1110" s="98" t="n">
        <f aca="false">I1110*H1110</f>
        <v>21000</v>
      </c>
      <c r="L1110" s="411" t="n">
        <v>78960</v>
      </c>
      <c r="M1110" s="392" t="n">
        <f aca="false">L1110/K1110</f>
        <v>3.76</v>
      </c>
      <c r="N1110" s="466" t="n">
        <f aca="false">I1110*M1110</f>
        <v>52.64</v>
      </c>
      <c r="O1110" s="461" t="n">
        <v>1500</v>
      </c>
      <c r="P1110" s="462" t="n">
        <f aca="false">H1110-O1110</f>
        <v>0</v>
      </c>
      <c r="Q1110" s="463" t="n">
        <f aca="false">O1110*I1110</f>
        <v>21000</v>
      </c>
      <c r="R1110" s="48" t="n">
        <f aca="false">K1110-Q1110</f>
        <v>0</v>
      </c>
      <c r="S1110" s="467"/>
      <c r="T1110" s="2" t="s">
        <v>1711</v>
      </c>
      <c r="V1110" s="464"/>
      <c r="W1110" s="464"/>
      <c r="X1110" s="464"/>
      <c r="Y1110" s="464"/>
      <c r="Z1110" s="464"/>
      <c r="AA1110" s="464"/>
      <c r="AB1110" s="464"/>
      <c r="AC1110" s="464"/>
      <c r="AD1110" s="464"/>
      <c r="AE1110" s="464"/>
      <c r="AF1110" s="464"/>
      <c r="AG1110" s="464"/>
      <c r="AH1110" s="465"/>
      <c r="AI1110" s="464"/>
    </row>
    <row r="1111" customFormat="false" ht="15" hidden="false" customHeight="true" outlineLevel="0" collapsed="false">
      <c r="A1111" s="455" t="s">
        <v>1753</v>
      </c>
      <c r="C1111" s="456" t="n">
        <v>45596</v>
      </c>
      <c r="D1111" s="456"/>
      <c r="E1111" s="57" t="n">
        <v>14116</v>
      </c>
      <c r="F1111" s="323" t="s">
        <v>175</v>
      </c>
      <c r="G1111" s="323" t="s">
        <v>15</v>
      </c>
      <c r="H1111" s="98" t="n">
        <v>4500</v>
      </c>
      <c r="I1111" s="457" t="n">
        <v>22.5</v>
      </c>
      <c r="J1111" s="313" t="s">
        <v>1651</v>
      </c>
      <c r="K1111" s="98" t="n">
        <f aca="false">I1111*H1111</f>
        <v>101250</v>
      </c>
      <c r="L1111" s="411" t="n">
        <v>71190</v>
      </c>
      <c r="M1111" s="392" t="n">
        <f aca="false">L1111/K1111</f>
        <v>0.703111111111111</v>
      </c>
      <c r="N1111" s="466" t="n">
        <f aca="false">I1111*M1111</f>
        <v>15.82</v>
      </c>
      <c r="O1111" s="461" t="n">
        <v>4500</v>
      </c>
      <c r="P1111" s="462" t="n">
        <f aca="false">H1111-O1111</f>
        <v>0</v>
      </c>
      <c r="Q1111" s="463" t="n">
        <f aca="false">O1111*I1111</f>
        <v>101250</v>
      </c>
      <c r="R1111" s="48" t="n">
        <f aca="false">K1111-Q1111</f>
        <v>0</v>
      </c>
      <c r="S1111" s="467"/>
      <c r="T1111" s="2" t="s">
        <v>1711</v>
      </c>
      <c r="V1111" s="464"/>
      <c r="W1111" s="464"/>
      <c r="X1111" s="464"/>
      <c r="Y1111" s="464"/>
      <c r="Z1111" s="464"/>
      <c r="AA1111" s="464"/>
      <c r="AB1111" s="464"/>
      <c r="AC1111" s="464"/>
      <c r="AD1111" s="464"/>
      <c r="AE1111" s="464"/>
      <c r="AF1111" s="464"/>
      <c r="AG1111" s="464"/>
      <c r="AH1111" s="465"/>
      <c r="AI1111" s="464"/>
    </row>
    <row r="1112" customFormat="false" ht="15" hidden="false" customHeight="true" outlineLevel="0" collapsed="false">
      <c r="A1112" s="455" t="s">
        <v>1753</v>
      </c>
      <c r="C1112" s="456" t="n">
        <v>45596</v>
      </c>
      <c r="D1112" s="456"/>
      <c r="E1112" s="57" t="n">
        <v>14116</v>
      </c>
      <c r="F1112" s="323" t="s">
        <v>175</v>
      </c>
      <c r="G1112" s="323" t="s">
        <v>6</v>
      </c>
      <c r="H1112" s="98" t="n">
        <v>1500</v>
      </c>
      <c r="I1112" s="457" t="n">
        <v>30</v>
      </c>
      <c r="J1112" s="313" t="s">
        <v>1651</v>
      </c>
      <c r="K1112" s="98" t="n">
        <f aca="false">I1112*H1112</f>
        <v>45000</v>
      </c>
      <c r="L1112" s="411" t="n">
        <v>17100</v>
      </c>
      <c r="M1112" s="392" t="n">
        <f aca="false">L1112/K1112</f>
        <v>0.38</v>
      </c>
      <c r="N1112" s="466" t="n">
        <f aca="false">I1112*M1112</f>
        <v>11.4</v>
      </c>
      <c r="O1112" s="461" t="n">
        <v>1500</v>
      </c>
      <c r="P1112" s="462" t="n">
        <f aca="false">H1112-O1112</f>
        <v>0</v>
      </c>
      <c r="Q1112" s="463" t="n">
        <f aca="false">O1112*I1112</f>
        <v>45000</v>
      </c>
      <c r="R1112" s="48" t="n">
        <f aca="false">K1112-Q1112</f>
        <v>0</v>
      </c>
      <c r="S1112" s="467"/>
      <c r="T1112" s="2" t="s">
        <v>1711</v>
      </c>
      <c r="V1112" s="464"/>
      <c r="W1112" s="464"/>
      <c r="X1112" s="464"/>
      <c r="Y1112" s="464"/>
      <c r="Z1112" s="464"/>
      <c r="AA1112" s="464"/>
      <c r="AB1112" s="464"/>
      <c r="AC1112" s="464"/>
      <c r="AD1112" s="464"/>
      <c r="AE1112" s="464"/>
      <c r="AF1112" s="464"/>
      <c r="AG1112" s="464"/>
      <c r="AH1112" s="465"/>
      <c r="AI1112" s="464"/>
    </row>
    <row r="1113" customFormat="false" ht="15" hidden="false" customHeight="true" outlineLevel="0" collapsed="false">
      <c r="A1113" s="455" t="s">
        <v>1753</v>
      </c>
      <c r="C1113" s="456" t="n">
        <v>45596</v>
      </c>
      <c r="D1113" s="456"/>
      <c r="E1113" s="57" t="n">
        <v>14116</v>
      </c>
      <c r="F1113" s="323" t="s">
        <v>175</v>
      </c>
      <c r="G1113" s="323" t="s">
        <v>13</v>
      </c>
      <c r="H1113" s="98" t="n">
        <v>4005</v>
      </c>
      <c r="I1113" s="457" t="n">
        <v>22.5</v>
      </c>
      <c r="J1113" s="313" t="s">
        <v>1651</v>
      </c>
      <c r="K1113" s="98" t="n">
        <f aca="false">I1113*H1113</f>
        <v>90112.5</v>
      </c>
      <c r="L1113" s="411" t="n">
        <v>44856</v>
      </c>
      <c r="M1113" s="392" t="n">
        <f aca="false">L1113/K1113</f>
        <v>0.497777777777778</v>
      </c>
      <c r="N1113" s="466" t="n">
        <f aca="false">I1113*M1113</f>
        <v>11.2</v>
      </c>
      <c r="O1113" s="461" t="n">
        <v>4005</v>
      </c>
      <c r="P1113" s="462" t="n">
        <f aca="false">H1113-O1113</f>
        <v>0</v>
      </c>
      <c r="Q1113" s="463" t="n">
        <f aca="false">O1113*I1113</f>
        <v>90112.5</v>
      </c>
      <c r="R1113" s="48" t="n">
        <f aca="false">K1113-Q1113</f>
        <v>0</v>
      </c>
      <c r="S1113" s="467"/>
      <c r="T1113" s="2" t="s">
        <v>1711</v>
      </c>
      <c r="V1113" s="464"/>
      <c r="W1113" s="464"/>
      <c r="X1113" s="464"/>
      <c r="Y1113" s="464"/>
      <c r="Z1113" s="464"/>
      <c r="AA1113" s="464"/>
      <c r="AB1113" s="464"/>
      <c r="AC1113" s="464"/>
      <c r="AD1113" s="464"/>
      <c r="AE1113" s="464"/>
      <c r="AF1113" s="464"/>
      <c r="AG1113" s="464"/>
      <c r="AH1113" s="465"/>
      <c r="AI1113" s="464"/>
    </row>
    <row r="1114" customFormat="false" ht="15" hidden="false" customHeight="true" outlineLevel="0" collapsed="false">
      <c r="A1114" s="455" t="s">
        <v>1753</v>
      </c>
      <c r="C1114" s="456" t="n">
        <v>45596</v>
      </c>
      <c r="D1114" s="456"/>
      <c r="E1114" s="57" t="n">
        <v>14116</v>
      </c>
      <c r="F1114" s="323" t="s">
        <v>175</v>
      </c>
      <c r="G1114" s="323" t="s">
        <v>11</v>
      </c>
      <c r="H1114" s="98" t="n">
        <v>1500</v>
      </c>
      <c r="I1114" s="457" t="n">
        <v>14</v>
      </c>
      <c r="J1114" s="313" t="s">
        <v>1651</v>
      </c>
      <c r="K1114" s="98" t="n">
        <f aca="false">I1114*H1114</f>
        <v>21000</v>
      </c>
      <c r="L1114" s="411" t="n">
        <v>78960</v>
      </c>
      <c r="M1114" s="392" t="n">
        <f aca="false">L1114/K1114</f>
        <v>3.76</v>
      </c>
      <c r="N1114" s="466" t="n">
        <f aca="false">I1114*M1114</f>
        <v>52.64</v>
      </c>
      <c r="O1114" s="461" t="n">
        <v>1500</v>
      </c>
      <c r="P1114" s="462" t="n">
        <f aca="false">H1114-O1114</f>
        <v>0</v>
      </c>
      <c r="Q1114" s="463" t="n">
        <f aca="false">O1114*I1114</f>
        <v>21000</v>
      </c>
      <c r="R1114" s="48" t="n">
        <f aca="false">K1114-Q1114</f>
        <v>0</v>
      </c>
      <c r="S1114" s="467"/>
      <c r="T1114" s="2" t="s">
        <v>1711</v>
      </c>
      <c r="V1114" s="464"/>
      <c r="W1114" s="464"/>
      <c r="X1114" s="464"/>
      <c r="Y1114" s="464"/>
      <c r="Z1114" s="464"/>
      <c r="AA1114" s="464"/>
      <c r="AB1114" s="464"/>
      <c r="AC1114" s="464"/>
      <c r="AD1114" s="464"/>
      <c r="AE1114" s="464"/>
      <c r="AF1114" s="464"/>
      <c r="AG1114" s="464"/>
      <c r="AH1114" s="465"/>
      <c r="AI1114" s="464"/>
    </row>
    <row r="1115" customFormat="false" ht="15" hidden="false" customHeight="true" outlineLevel="0" collapsed="false">
      <c r="A1115" s="455" t="s">
        <v>1753</v>
      </c>
      <c r="C1115" s="456" t="n">
        <v>45596</v>
      </c>
      <c r="D1115" s="456"/>
      <c r="E1115" s="57" t="n">
        <v>14117</v>
      </c>
      <c r="F1115" s="323" t="s">
        <v>175</v>
      </c>
      <c r="G1115" s="323" t="s">
        <v>13</v>
      </c>
      <c r="H1115" s="98" t="n">
        <v>2010</v>
      </c>
      <c r="I1115" s="457" t="n">
        <v>22.5</v>
      </c>
      <c r="J1115" s="313" t="s">
        <v>1651</v>
      </c>
      <c r="K1115" s="98" t="n">
        <f aca="false">I1115*H1115</f>
        <v>45225</v>
      </c>
      <c r="L1115" s="411" t="n">
        <v>22512</v>
      </c>
      <c r="M1115" s="392" t="n">
        <f aca="false">L1115/K1115</f>
        <v>0.497777777777778</v>
      </c>
      <c r="N1115" s="466" t="n">
        <f aca="false">I1115*M1115</f>
        <v>11.2</v>
      </c>
      <c r="O1115" s="461" t="n">
        <v>2010</v>
      </c>
      <c r="P1115" s="462" t="n">
        <f aca="false">H1115-O1115</f>
        <v>0</v>
      </c>
      <c r="Q1115" s="463" t="n">
        <f aca="false">O1115*I1115</f>
        <v>45225</v>
      </c>
      <c r="R1115" s="48" t="n">
        <f aca="false">K1115-Q1115</f>
        <v>0</v>
      </c>
      <c r="S1115" s="467"/>
      <c r="T1115" s="2" t="s">
        <v>1711</v>
      </c>
      <c r="V1115" s="464"/>
      <c r="W1115" s="464"/>
      <c r="X1115" s="464"/>
      <c r="Y1115" s="464"/>
      <c r="Z1115" s="464"/>
      <c r="AA1115" s="464"/>
      <c r="AB1115" s="464"/>
      <c r="AC1115" s="464"/>
      <c r="AD1115" s="464"/>
      <c r="AE1115" s="464"/>
      <c r="AF1115" s="464"/>
      <c r="AG1115" s="464"/>
      <c r="AH1115" s="465"/>
      <c r="AI1115" s="464"/>
    </row>
    <row r="1116" customFormat="false" ht="15" hidden="false" customHeight="true" outlineLevel="0" collapsed="false">
      <c r="A1116" s="455" t="s">
        <v>1753</v>
      </c>
      <c r="C1116" s="456" t="n">
        <v>45596</v>
      </c>
      <c r="D1116" s="456"/>
      <c r="E1116" s="57" t="n">
        <v>14117</v>
      </c>
      <c r="F1116" s="323" t="s">
        <v>175</v>
      </c>
      <c r="G1116" s="323" t="s">
        <v>11</v>
      </c>
      <c r="H1116" s="98" t="n">
        <v>1500</v>
      </c>
      <c r="I1116" s="457" t="n">
        <v>14</v>
      </c>
      <c r="J1116" s="313" t="s">
        <v>1651</v>
      </c>
      <c r="K1116" s="98" t="n">
        <f aca="false">I1116*H1116</f>
        <v>21000</v>
      </c>
      <c r="L1116" s="411" t="n">
        <v>78960</v>
      </c>
      <c r="M1116" s="392" t="n">
        <f aca="false">L1116/K1116</f>
        <v>3.76</v>
      </c>
      <c r="N1116" s="466" t="n">
        <f aca="false">I1116*M1116</f>
        <v>52.64</v>
      </c>
      <c r="O1116" s="461" t="n">
        <v>1500</v>
      </c>
      <c r="P1116" s="462" t="n">
        <f aca="false">H1116-O1116</f>
        <v>0</v>
      </c>
      <c r="Q1116" s="463" t="n">
        <f aca="false">O1116*I1116</f>
        <v>21000</v>
      </c>
      <c r="R1116" s="48" t="n">
        <f aca="false">K1116-Q1116</f>
        <v>0</v>
      </c>
      <c r="S1116" s="467"/>
      <c r="T1116" s="2" t="s">
        <v>1711</v>
      </c>
      <c r="V1116" s="464"/>
      <c r="W1116" s="464"/>
      <c r="X1116" s="464"/>
      <c r="Y1116" s="464"/>
      <c r="Z1116" s="464"/>
      <c r="AA1116" s="464"/>
      <c r="AB1116" s="464"/>
      <c r="AC1116" s="464"/>
      <c r="AD1116" s="464"/>
      <c r="AE1116" s="464"/>
      <c r="AF1116" s="464"/>
      <c r="AG1116" s="464"/>
      <c r="AH1116" s="465"/>
      <c r="AI1116" s="464"/>
    </row>
    <row r="1117" customFormat="false" ht="15" hidden="false" customHeight="true" outlineLevel="0" collapsed="false">
      <c r="A1117" s="455" t="s">
        <v>1753</v>
      </c>
      <c r="C1117" s="456" t="n">
        <v>45596</v>
      </c>
      <c r="D1117" s="456"/>
      <c r="E1117" s="57" t="n">
        <v>14118</v>
      </c>
      <c r="F1117" s="323" t="s">
        <v>175</v>
      </c>
      <c r="G1117" s="323" t="s">
        <v>13</v>
      </c>
      <c r="H1117" s="98" t="n">
        <v>6000</v>
      </c>
      <c r="I1117" s="457" t="n">
        <v>22.5</v>
      </c>
      <c r="J1117" s="313" t="s">
        <v>1651</v>
      </c>
      <c r="K1117" s="98" t="n">
        <f aca="false">I1117*H1117</f>
        <v>135000</v>
      </c>
      <c r="L1117" s="411" t="n">
        <v>67200</v>
      </c>
      <c r="M1117" s="392" t="n">
        <f aca="false">L1117/K1117</f>
        <v>0.497777777777778</v>
      </c>
      <c r="N1117" s="466" t="n">
        <f aca="false">I1117*M1117</f>
        <v>11.2</v>
      </c>
      <c r="O1117" s="461" t="n">
        <v>6000</v>
      </c>
      <c r="P1117" s="462" t="n">
        <f aca="false">H1117-O1117</f>
        <v>0</v>
      </c>
      <c r="Q1117" s="463" t="n">
        <f aca="false">O1117*I1117</f>
        <v>135000</v>
      </c>
      <c r="R1117" s="48" t="n">
        <f aca="false">K1117-Q1117</f>
        <v>0</v>
      </c>
      <c r="S1117" s="467"/>
      <c r="T1117" s="2" t="s">
        <v>1711</v>
      </c>
      <c r="V1117" s="464"/>
      <c r="W1117" s="464"/>
      <c r="X1117" s="464"/>
      <c r="Y1117" s="464"/>
      <c r="Z1117" s="464"/>
      <c r="AA1117" s="464"/>
      <c r="AB1117" s="464"/>
      <c r="AC1117" s="464"/>
      <c r="AD1117" s="464"/>
      <c r="AE1117" s="464"/>
      <c r="AF1117" s="464"/>
      <c r="AG1117" s="464"/>
      <c r="AH1117" s="465"/>
      <c r="AI1117" s="464"/>
    </row>
    <row r="1118" customFormat="false" ht="15" hidden="false" customHeight="true" outlineLevel="0" collapsed="false">
      <c r="A1118" s="455" t="s">
        <v>1753</v>
      </c>
      <c r="C1118" s="456" t="n">
        <v>45596</v>
      </c>
      <c r="D1118" s="456"/>
      <c r="E1118" s="57" t="n">
        <v>14118</v>
      </c>
      <c r="F1118" s="323" t="s">
        <v>175</v>
      </c>
      <c r="G1118" s="323" t="s">
        <v>11</v>
      </c>
      <c r="H1118" s="98" t="n">
        <v>1500</v>
      </c>
      <c r="I1118" s="457" t="n">
        <v>14</v>
      </c>
      <c r="J1118" s="313" t="s">
        <v>1651</v>
      </c>
      <c r="K1118" s="98" t="n">
        <f aca="false">I1118*H1118</f>
        <v>21000</v>
      </c>
      <c r="L1118" s="411" t="n">
        <v>78960</v>
      </c>
      <c r="M1118" s="392" t="n">
        <f aca="false">L1118/K1118</f>
        <v>3.76</v>
      </c>
      <c r="N1118" s="466" t="n">
        <f aca="false">I1118*M1118</f>
        <v>52.64</v>
      </c>
      <c r="O1118" s="461" t="n">
        <v>1500</v>
      </c>
      <c r="P1118" s="462" t="n">
        <f aca="false">H1118-O1118</f>
        <v>0</v>
      </c>
      <c r="Q1118" s="463" t="n">
        <f aca="false">O1118*I1118</f>
        <v>21000</v>
      </c>
      <c r="R1118" s="48" t="n">
        <f aca="false">K1118-Q1118</f>
        <v>0</v>
      </c>
      <c r="S1118" s="467"/>
      <c r="T1118" s="2" t="s">
        <v>1711</v>
      </c>
      <c r="V1118" s="464"/>
      <c r="W1118" s="464"/>
      <c r="X1118" s="464"/>
      <c r="Y1118" s="464"/>
      <c r="Z1118" s="464"/>
      <c r="AA1118" s="464"/>
      <c r="AB1118" s="464"/>
      <c r="AC1118" s="464"/>
      <c r="AD1118" s="464"/>
      <c r="AE1118" s="464"/>
      <c r="AF1118" s="464"/>
      <c r="AG1118" s="464"/>
      <c r="AH1118" s="465"/>
      <c r="AI1118" s="464"/>
    </row>
    <row r="1119" customFormat="false" ht="15" hidden="false" customHeight="true" outlineLevel="0" collapsed="false">
      <c r="A1119" s="455" t="s">
        <v>1892</v>
      </c>
      <c r="C1119" s="456" t="n">
        <v>45597</v>
      </c>
      <c r="D1119" s="456"/>
      <c r="E1119" s="57" t="n">
        <v>14119</v>
      </c>
      <c r="F1119" s="323" t="s">
        <v>175</v>
      </c>
      <c r="G1119" s="323" t="s">
        <v>15</v>
      </c>
      <c r="H1119" s="98" t="n">
        <v>60</v>
      </c>
      <c r="I1119" s="457" t="n">
        <v>22.5</v>
      </c>
      <c r="J1119" s="313" t="s">
        <v>1651</v>
      </c>
      <c r="K1119" s="98" t="n">
        <f aca="false">I1119*H1119</f>
        <v>1350</v>
      </c>
      <c r="L1119" s="411" t="n">
        <v>1662.6</v>
      </c>
      <c r="M1119" s="392" t="n">
        <f aca="false">L1119/K1119</f>
        <v>1.23155555555556</v>
      </c>
      <c r="N1119" s="466" t="n">
        <f aca="false">I1119*M1119</f>
        <v>27.71</v>
      </c>
      <c r="O1119" s="461" t="n">
        <v>60</v>
      </c>
      <c r="P1119" s="462" t="n">
        <f aca="false">H1119-O1119</f>
        <v>0</v>
      </c>
      <c r="Q1119" s="463" t="n">
        <f aca="false">O1119*I1119</f>
        <v>1350</v>
      </c>
      <c r="R1119" s="48" t="n">
        <f aca="false">K1119-Q1119</f>
        <v>0</v>
      </c>
      <c r="S1119" s="467"/>
      <c r="T1119" s="2" t="s">
        <v>1711</v>
      </c>
      <c r="V1119" s="464"/>
      <c r="W1119" s="464"/>
      <c r="X1119" s="464"/>
      <c r="Y1119" s="464"/>
      <c r="Z1119" s="464"/>
      <c r="AA1119" s="464"/>
      <c r="AB1119" s="464"/>
      <c r="AC1119" s="464"/>
      <c r="AD1119" s="464"/>
      <c r="AE1119" s="464"/>
      <c r="AF1119" s="464"/>
      <c r="AG1119" s="464"/>
      <c r="AH1119" s="465"/>
      <c r="AI1119" s="464"/>
    </row>
    <row r="1120" customFormat="false" ht="15" hidden="false" customHeight="true" outlineLevel="0" collapsed="false">
      <c r="A1120" s="455" t="s">
        <v>1892</v>
      </c>
      <c r="C1120" s="456" t="n">
        <v>45597</v>
      </c>
      <c r="D1120" s="456"/>
      <c r="E1120" s="57" t="n">
        <v>14119</v>
      </c>
      <c r="F1120" s="323" t="s">
        <v>175</v>
      </c>
      <c r="G1120" s="323" t="s">
        <v>19</v>
      </c>
      <c r="H1120" s="98" t="n">
        <v>60</v>
      </c>
      <c r="I1120" s="457" t="n">
        <v>22.5</v>
      </c>
      <c r="J1120" s="313" t="s">
        <v>1651</v>
      </c>
      <c r="K1120" s="98" t="n">
        <f aca="false">I1120*H1120</f>
        <v>1350</v>
      </c>
      <c r="L1120" s="411" t="n">
        <v>1662.6</v>
      </c>
      <c r="M1120" s="392" t="n">
        <f aca="false">L1120/K1120</f>
        <v>1.23155555555556</v>
      </c>
      <c r="N1120" s="466" t="n">
        <f aca="false">I1120*M1120</f>
        <v>27.71</v>
      </c>
      <c r="O1120" s="461" t="n">
        <v>60</v>
      </c>
      <c r="P1120" s="462" t="n">
        <f aca="false">H1120-O1120</f>
        <v>0</v>
      </c>
      <c r="Q1120" s="463" t="n">
        <f aca="false">O1120*I1120</f>
        <v>1350</v>
      </c>
      <c r="R1120" s="48" t="n">
        <f aca="false">K1120-Q1120</f>
        <v>0</v>
      </c>
      <c r="S1120" s="467"/>
      <c r="T1120" s="2" t="s">
        <v>1711</v>
      </c>
      <c r="V1120" s="464"/>
      <c r="W1120" s="464"/>
      <c r="X1120" s="464"/>
      <c r="Y1120" s="464"/>
      <c r="Z1120" s="464"/>
      <c r="AA1120" s="464"/>
      <c r="AB1120" s="464"/>
      <c r="AC1120" s="464"/>
      <c r="AD1120" s="464"/>
      <c r="AE1120" s="464"/>
      <c r="AF1120" s="464"/>
      <c r="AG1120" s="464"/>
      <c r="AH1120" s="465"/>
      <c r="AI1120" s="464"/>
    </row>
    <row r="1121" customFormat="false" ht="15" hidden="false" customHeight="true" outlineLevel="0" collapsed="false">
      <c r="A1121" s="455" t="s">
        <v>1892</v>
      </c>
      <c r="C1121" s="456" t="n">
        <v>45597</v>
      </c>
      <c r="D1121" s="456"/>
      <c r="E1121" s="57" t="n">
        <v>14119</v>
      </c>
      <c r="F1121" s="323" t="s">
        <v>175</v>
      </c>
      <c r="G1121" s="323" t="s">
        <v>13</v>
      </c>
      <c r="H1121" s="98" t="n">
        <v>120</v>
      </c>
      <c r="I1121" s="457" t="n">
        <v>37.5</v>
      </c>
      <c r="J1121" s="313" t="s">
        <v>1652</v>
      </c>
      <c r="K1121" s="98" t="n">
        <f aca="false">I1121*H1121</f>
        <v>4500</v>
      </c>
      <c r="L1121" s="411" t="n">
        <v>3493.2</v>
      </c>
      <c r="M1121" s="392" t="n">
        <f aca="false">L1121/K1121</f>
        <v>0.776266666666667</v>
      </c>
      <c r="N1121" s="466" t="n">
        <f aca="false">I1121*M1121</f>
        <v>29.11</v>
      </c>
      <c r="O1121" s="461" t="n">
        <v>120</v>
      </c>
      <c r="P1121" s="462" t="n">
        <f aca="false">H1121-O1121</f>
        <v>0</v>
      </c>
      <c r="Q1121" s="463" t="n">
        <f aca="false">O1121*I1121</f>
        <v>4500</v>
      </c>
      <c r="R1121" s="48" t="n">
        <f aca="false">K1121-Q1121</f>
        <v>0</v>
      </c>
      <c r="S1121" s="467"/>
      <c r="T1121" s="2" t="s">
        <v>1711</v>
      </c>
      <c r="V1121" s="464"/>
      <c r="W1121" s="464"/>
      <c r="X1121" s="464"/>
      <c r="Y1121" s="464"/>
      <c r="Z1121" s="464"/>
      <c r="AA1121" s="464"/>
      <c r="AB1121" s="464"/>
      <c r="AC1121" s="464"/>
      <c r="AD1121" s="464"/>
      <c r="AE1121" s="464"/>
      <c r="AF1121" s="464"/>
      <c r="AG1121" s="464"/>
      <c r="AH1121" s="465"/>
      <c r="AI1121" s="464"/>
    </row>
    <row r="1122" customFormat="false" ht="15" hidden="false" customHeight="true" outlineLevel="0" collapsed="false">
      <c r="A1122" s="455" t="s">
        <v>1938</v>
      </c>
      <c r="C1122" s="456" t="n">
        <v>45597</v>
      </c>
      <c r="D1122" s="456"/>
      <c r="E1122" s="57" t="n">
        <v>14120</v>
      </c>
      <c r="F1122" s="323" t="s">
        <v>175</v>
      </c>
      <c r="G1122" s="323" t="s">
        <v>42</v>
      </c>
      <c r="H1122" s="98" t="n">
        <v>495</v>
      </c>
      <c r="I1122" s="457" t="n">
        <v>30</v>
      </c>
      <c r="J1122" s="313" t="s">
        <v>1651</v>
      </c>
      <c r="K1122" s="98" t="n">
        <f aca="false">I1122*H1122</f>
        <v>14850</v>
      </c>
      <c r="L1122" s="411" t="n">
        <v>9850.5</v>
      </c>
      <c r="M1122" s="392" t="n">
        <f aca="false">L1122/K1122</f>
        <v>0.663333333333333</v>
      </c>
      <c r="N1122" s="466" t="n">
        <f aca="false">I1122*M1122</f>
        <v>19.9</v>
      </c>
      <c r="O1122" s="461" t="n">
        <v>495</v>
      </c>
      <c r="P1122" s="462" t="n">
        <f aca="false">H1122-O1122</f>
        <v>0</v>
      </c>
      <c r="Q1122" s="463" t="n">
        <f aca="false">O1122*I1122</f>
        <v>14850</v>
      </c>
      <c r="R1122" s="48" t="n">
        <f aca="false">K1122-Q1122</f>
        <v>0</v>
      </c>
      <c r="S1122" s="467"/>
      <c r="T1122" s="2" t="s">
        <v>1711</v>
      </c>
      <c r="V1122" s="464"/>
      <c r="W1122" s="464"/>
      <c r="X1122" s="464"/>
      <c r="Y1122" s="464"/>
      <c r="Z1122" s="464"/>
      <c r="AA1122" s="464"/>
      <c r="AB1122" s="464"/>
      <c r="AC1122" s="464"/>
      <c r="AD1122" s="464"/>
      <c r="AE1122" s="464"/>
      <c r="AF1122" s="464"/>
      <c r="AG1122" s="464"/>
      <c r="AH1122" s="465"/>
      <c r="AI1122" s="464"/>
    </row>
    <row r="1123" customFormat="false" ht="15" hidden="false" customHeight="true" outlineLevel="0" collapsed="false">
      <c r="A1123" s="455" t="s">
        <v>1938</v>
      </c>
      <c r="C1123" s="456" t="n">
        <v>45597</v>
      </c>
      <c r="D1123" s="456"/>
      <c r="E1123" s="57" t="n">
        <v>14120</v>
      </c>
      <c r="F1123" s="323" t="s">
        <v>175</v>
      </c>
      <c r="G1123" s="323" t="s">
        <v>11</v>
      </c>
      <c r="H1123" s="98" t="n">
        <v>210</v>
      </c>
      <c r="I1123" s="457" t="n">
        <v>14</v>
      </c>
      <c r="J1123" s="313" t="s">
        <v>1651</v>
      </c>
      <c r="K1123" s="98" t="n">
        <f aca="false">I1123*H1123</f>
        <v>2940</v>
      </c>
      <c r="L1123" s="411" t="n">
        <v>14490</v>
      </c>
      <c r="M1123" s="392" t="n">
        <f aca="false">L1123/K1123</f>
        <v>4.92857142857143</v>
      </c>
      <c r="N1123" s="466" t="n">
        <f aca="false">I1123*M1123</f>
        <v>69</v>
      </c>
      <c r="O1123" s="461" t="n">
        <v>210</v>
      </c>
      <c r="P1123" s="462" t="n">
        <f aca="false">H1123-O1123</f>
        <v>0</v>
      </c>
      <c r="Q1123" s="463" t="n">
        <f aca="false">O1123*I1123</f>
        <v>2940</v>
      </c>
      <c r="R1123" s="48" t="n">
        <f aca="false">K1123-Q1123</f>
        <v>0</v>
      </c>
      <c r="S1123" s="467"/>
      <c r="T1123" s="2" t="s">
        <v>1711</v>
      </c>
      <c r="V1123" s="464"/>
      <c r="W1123" s="464"/>
      <c r="X1123" s="464"/>
      <c r="Y1123" s="464"/>
      <c r="Z1123" s="464"/>
      <c r="AA1123" s="464"/>
      <c r="AB1123" s="464"/>
      <c r="AC1123" s="464"/>
      <c r="AD1123" s="464"/>
      <c r="AE1123" s="464"/>
      <c r="AF1123" s="464"/>
      <c r="AG1123" s="464"/>
      <c r="AH1123" s="465"/>
      <c r="AI1123" s="464"/>
    </row>
    <row r="1124" customFormat="false" ht="15" hidden="false" customHeight="true" outlineLevel="0" collapsed="false">
      <c r="A1124" s="455" t="s">
        <v>1789</v>
      </c>
      <c r="C1124" s="456" t="n">
        <v>45597</v>
      </c>
      <c r="D1124" s="456"/>
      <c r="E1124" s="57" t="n">
        <v>14121</v>
      </c>
      <c r="F1124" s="323" t="s">
        <v>175</v>
      </c>
      <c r="G1124" s="323" t="s">
        <v>6</v>
      </c>
      <c r="H1124" s="98" t="n">
        <v>1005</v>
      </c>
      <c r="I1124" s="457" t="n">
        <v>45</v>
      </c>
      <c r="J1124" s="313" t="s">
        <v>1652</v>
      </c>
      <c r="K1124" s="98" t="n">
        <f aca="false">I1124*H1124</f>
        <v>45225</v>
      </c>
      <c r="L1124" s="411" t="n">
        <v>15075</v>
      </c>
      <c r="M1124" s="392" t="n">
        <f aca="false">L1124/K1124</f>
        <v>0.333333333333333</v>
      </c>
      <c r="N1124" s="466" t="n">
        <f aca="false">I1124*M1124</f>
        <v>15</v>
      </c>
      <c r="O1124" s="461" t="n">
        <v>1005</v>
      </c>
      <c r="P1124" s="462" t="n">
        <f aca="false">H1124-O1124</f>
        <v>0</v>
      </c>
      <c r="Q1124" s="463" t="n">
        <f aca="false">O1124*I1124</f>
        <v>45225</v>
      </c>
      <c r="R1124" s="48" t="n">
        <f aca="false">K1124-Q1124</f>
        <v>0</v>
      </c>
      <c r="S1124" s="467"/>
      <c r="T1124" s="2" t="s">
        <v>1711</v>
      </c>
      <c r="V1124" s="464"/>
      <c r="W1124" s="464"/>
      <c r="X1124" s="464"/>
      <c r="Y1124" s="464"/>
      <c r="Z1124" s="464"/>
      <c r="AA1124" s="464"/>
      <c r="AB1124" s="464"/>
      <c r="AC1124" s="464"/>
      <c r="AD1124" s="464"/>
      <c r="AE1124" s="464"/>
      <c r="AF1124" s="464"/>
      <c r="AG1124" s="464"/>
      <c r="AH1124" s="465"/>
      <c r="AI1124" s="464"/>
    </row>
    <row r="1125" customFormat="false" ht="15" hidden="false" customHeight="true" outlineLevel="0" collapsed="false">
      <c r="A1125" s="455" t="s">
        <v>1939</v>
      </c>
      <c r="C1125" s="456" t="n">
        <v>45597</v>
      </c>
      <c r="D1125" s="456"/>
      <c r="E1125" s="57" t="n">
        <v>14122</v>
      </c>
      <c r="F1125" s="323" t="s">
        <v>175</v>
      </c>
      <c r="G1125" s="323" t="s">
        <v>15</v>
      </c>
      <c r="H1125" s="98" t="n">
        <v>1455</v>
      </c>
      <c r="I1125" s="457" t="n">
        <v>22.5</v>
      </c>
      <c r="J1125" s="313" t="s">
        <v>1651</v>
      </c>
      <c r="K1125" s="98" t="n">
        <f aca="false">I1125*H1125</f>
        <v>32737.5</v>
      </c>
      <c r="L1125" s="411" t="n">
        <v>24735</v>
      </c>
      <c r="M1125" s="392" t="n">
        <f aca="false">L1125/K1125</f>
        <v>0.755555555555556</v>
      </c>
      <c r="N1125" s="466" t="n">
        <f aca="false">I1125*M1125</f>
        <v>17</v>
      </c>
      <c r="O1125" s="461" t="n">
        <v>1455</v>
      </c>
      <c r="P1125" s="462" t="n">
        <f aca="false">H1125-O1125</f>
        <v>0</v>
      </c>
      <c r="Q1125" s="463" t="n">
        <f aca="false">O1125*I1125</f>
        <v>32737.5</v>
      </c>
      <c r="R1125" s="48" t="n">
        <f aca="false">K1125-Q1125</f>
        <v>0</v>
      </c>
      <c r="S1125" s="467"/>
      <c r="T1125" s="2" t="s">
        <v>1711</v>
      </c>
      <c r="V1125" s="464"/>
      <c r="W1125" s="464"/>
      <c r="X1125" s="464"/>
      <c r="Y1125" s="464"/>
      <c r="Z1125" s="464"/>
      <c r="AA1125" s="464"/>
      <c r="AB1125" s="464"/>
      <c r="AC1125" s="464"/>
      <c r="AD1125" s="464"/>
      <c r="AE1125" s="464"/>
      <c r="AF1125" s="464"/>
      <c r="AG1125" s="464"/>
      <c r="AH1125" s="465"/>
      <c r="AI1125" s="464"/>
    </row>
    <row r="1126" customFormat="false" ht="15" hidden="false" customHeight="true" outlineLevel="0" collapsed="false">
      <c r="A1126" s="455" t="s">
        <v>1939</v>
      </c>
      <c r="C1126" s="456" t="n">
        <v>45597</v>
      </c>
      <c r="D1126" s="456"/>
      <c r="E1126" s="57" t="n">
        <v>14122</v>
      </c>
      <c r="F1126" s="323" t="s">
        <v>175</v>
      </c>
      <c r="G1126" s="323" t="s">
        <v>12</v>
      </c>
      <c r="H1126" s="98" t="n">
        <v>450</v>
      </c>
      <c r="I1126" s="457" t="n">
        <v>18</v>
      </c>
      <c r="J1126" s="313" t="s">
        <v>1651</v>
      </c>
      <c r="K1126" s="98" t="n">
        <f aca="false">I1126*H1126</f>
        <v>8100</v>
      </c>
      <c r="L1126" s="411" t="n">
        <v>25200</v>
      </c>
      <c r="M1126" s="392" t="n">
        <f aca="false">L1126/K1126</f>
        <v>3.11111111111111</v>
      </c>
      <c r="N1126" s="466" t="n">
        <f aca="false">I1126*M1126</f>
        <v>56</v>
      </c>
      <c r="O1126" s="461" t="n">
        <v>450</v>
      </c>
      <c r="P1126" s="462" t="n">
        <f aca="false">H1126-O1126</f>
        <v>0</v>
      </c>
      <c r="Q1126" s="463" t="n">
        <f aca="false">O1126*I1126</f>
        <v>8100</v>
      </c>
      <c r="R1126" s="48" t="n">
        <f aca="false">K1126-Q1126</f>
        <v>0</v>
      </c>
      <c r="S1126" s="467"/>
      <c r="T1126" s="2" t="s">
        <v>1711</v>
      </c>
      <c r="V1126" s="464"/>
      <c r="W1126" s="464"/>
      <c r="X1126" s="464"/>
      <c r="Y1126" s="464"/>
      <c r="Z1126" s="464"/>
      <c r="AA1126" s="464"/>
      <c r="AB1126" s="464"/>
      <c r="AC1126" s="464"/>
      <c r="AD1126" s="464"/>
      <c r="AE1126" s="464"/>
      <c r="AF1126" s="464"/>
      <c r="AG1126" s="464"/>
      <c r="AH1126" s="465"/>
      <c r="AI1126" s="464"/>
    </row>
    <row r="1127" customFormat="false" ht="15" hidden="false" customHeight="true" outlineLevel="0" collapsed="false">
      <c r="A1127" s="455" t="s">
        <v>1940</v>
      </c>
      <c r="C1127" s="456" t="n">
        <v>45600</v>
      </c>
      <c r="D1127" s="456"/>
      <c r="E1127" s="57" t="n">
        <v>14123</v>
      </c>
      <c r="F1127" s="323" t="s">
        <v>175</v>
      </c>
      <c r="G1127" s="323" t="s">
        <v>15</v>
      </c>
      <c r="H1127" s="98" t="n">
        <v>60</v>
      </c>
      <c r="I1127" s="457" t="n">
        <v>22.5</v>
      </c>
      <c r="J1127" s="313" t="s">
        <v>1651</v>
      </c>
      <c r="K1127" s="98" t="n">
        <f aca="false">I1127*H1127</f>
        <v>1350</v>
      </c>
      <c r="L1127" s="411" t="n">
        <v>1440</v>
      </c>
      <c r="M1127" s="392" t="n">
        <f aca="false">L1127/K1127</f>
        <v>1.06666666666667</v>
      </c>
      <c r="N1127" s="466" t="n">
        <f aca="false">I1127*M1127</f>
        <v>24</v>
      </c>
      <c r="O1127" s="461" t="n">
        <v>60</v>
      </c>
      <c r="P1127" s="462" t="n">
        <f aca="false">H1127-O1127</f>
        <v>0</v>
      </c>
      <c r="Q1127" s="463" t="n">
        <f aca="false">O1127*I1127</f>
        <v>1350</v>
      </c>
      <c r="R1127" s="48" t="n">
        <f aca="false">K1127-Q1127</f>
        <v>0</v>
      </c>
      <c r="S1127" s="467"/>
      <c r="T1127" s="2" t="s">
        <v>1711</v>
      </c>
      <c r="V1127" s="464"/>
      <c r="W1127" s="464"/>
      <c r="X1127" s="464"/>
      <c r="Y1127" s="464"/>
      <c r="Z1127" s="464"/>
      <c r="AA1127" s="464"/>
      <c r="AB1127" s="464"/>
      <c r="AC1127" s="464"/>
      <c r="AD1127" s="464"/>
      <c r="AE1127" s="464"/>
      <c r="AF1127" s="464"/>
      <c r="AG1127" s="464"/>
      <c r="AH1127" s="465"/>
      <c r="AI1127" s="464"/>
    </row>
    <row r="1128" customFormat="false" ht="15" hidden="false" customHeight="true" outlineLevel="0" collapsed="false">
      <c r="A1128" s="455" t="s">
        <v>1940</v>
      </c>
      <c r="C1128" s="456" t="n">
        <v>45597</v>
      </c>
      <c r="D1128" s="456"/>
      <c r="E1128" s="57" t="n">
        <v>14123</v>
      </c>
      <c r="F1128" s="323" t="s">
        <v>175</v>
      </c>
      <c r="G1128" s="323" t="s">
        <v>5</v>
      </c>
      <c r="H1128" s="98" t="n">
        <v>60</v>
      </c>
      <c r="I1128" s="457" t="n">
        <v>25.71</v>
      </c>
      <c r="J1128" s="313" t="s">
        <v>1651</v>
      </c>
      <c r="K1128" s="98" t="n">
        <f aca="false">I1128*H1128</f>
        <v>1542.6</v>
      </c>
      <c r="L1128" s="411" t="n">
        <v>1440</v>
      </c>
      <c r="M1128" s="392" t="n">
        <f aca="false">L1128/K1128</f>
        <v>0.933488914819136</v>
      </c>
      <c r="N1128" s="466" t="n">
        <f aca="false">I1128*M1128</f>
        <v>24</v>
      </c>
      <c r="O1128" s="461" t="n">
        <v>60</v>
      </c>
      <c r="P1128" s="462" t="n">
        <f aca="false">H1128-O1128</f>
        <v>0</v>
      </c>
      <c r="Q1128" s="463" t="n">
        <f aca="false">O1128*I1128</f>
        <v>1542.6</v>
      </c>
      <c r="R1128" s="48" t="n">
        <f aca="false">K1128-Q1128</f>
        <v>0</v>
      </c>
      <c r="S1128" s="467"/>
      <c r="T1128" s="2" t="s">
        <v>1711</v>
      </c>
      <c r="V1128" s="464"/>
      <c r="W1128" s="464"/>
      <c r="X1128" s="464"/>
      <c r="Y1128" s="464"/>
      <c r="Z1128" s="464"/>
      <c r="AA1128" s="464"/>
      <c r="AB1128" s="464"/>
      <c r="AC1128" s="464"/>
      <c r="AD1128" s="464"/>
      <c r="AE1128" s="464"/>
      <c r="AF1128" s="464"/>
      <c r="AG1128" s="464"/>
      <c r="AH1128" s="465"/>
      <c r="AI1128" s="464"/>
    </row>
    <row r="1129" customFormat="false" ht="15" hidden="false" customHeight="true" outlineLevel="0" collapsed="false">
      <c r="A1129" s="455" t="s">
        <v>1940</v>
      </c>
      <c r="C1129" s="456" t="n">
        <v>45597</v>
      </c>
      <c r="D1129" s="456"/>
      <c r="E1129" s="57" t="n">
        <v>14123</v>
      </c>
      <c r="F1129" s="323" t="s">
        <v>175</v>
      </c>
      <c r="G1129" s="323" t="s">
        <v>12</v>
      </c>
      <c r="H1129" s="98" t="n">
        <v>15</v>
      </c>
      <c r="I1129" s="457" t="n">
        <v>18</v>
      </c>
      <c r="J1129" s="313" t="s">
        <v>1651</v>
      </c>
      <c r="K1129" s="98" t="n">
        <f aca="false">I1129*H1129</f>
        <v>270</v>
      </c>
      <c r="L1129" s="411" t="n">
        <v>1275</v>
      </c>
      <c r="M1129" s="392" t="n">
        <f aca="false">L1129/K1129</f>
        <v>4.72222222222222</v>
      </c>
      <c r="N1129" s="466" t="n">
        <f aca="false">I1129*M1129</f>
        <v>85</v>
      </c>
      <c r="O1129" s="461" t="n">
        <v>15</v>
      </c>
      <c r="P1129" s="462" t="n">
        <f aca="false">H1129-O1129</f>
        <v>0</v>
      </c>
      <c r="Q1129" s="463" t="n">
        <f aca="false">O1129*I1129</f>
        <v>270</v>
      </c>
      <c r="R1129" s="48" t="n">
        <f aca="false">K1129-Q1129</f>
        <v>0</v>
      </c>
      <c r="S1129" s="467"/>
      <c r="T1129" s="2" t="s">
        <v>1711</v>
      </c>
      <c r="V1129" s="464"/>
      <c r="W1129" s="464"/>
      <c r="X1129" s="464"/>
      <c r="Y1129" s="464"/>
      <c r="Z1129" s="464"/>
      <c r="AA1129" s="464"/>
      <c r="AB1129" s="464"/>
      <c r="AC1129" s="464"/>
      <c r="AD1129" s="464"/>
      <c r="AE1129" s="464"/>
      <c r="AF1129" s="464"/>
      <c r="AG1129" s="464"/>
      <c r="AH1129" s="465"/>
      <c r="AI1129" s="464"/>
    </row>
    <row r="1130" customFormat="false" ht="15" hidden="false" customHeight="true" outlineLevel="0" collapsed="false">
      <c r="A1130" s="455" t="s">
        <v>1923</v>
      </c>
      <c r="C1130" s="456" t="n">
        <v>45597</v>
      </c>
      <c r="D1130" s="456"/>
      <c r="E1130" s="57" t="n">
        <v>14125</v>
      </c>
      <c r="F1130" s="323" t="s">
        <v>175</v>
      </c>
      <c r="G1130" s="323" t="s">
        <v>19</v>
      </c>
      <c r="H1130" s="98" t="n">
        <v>30</v>
      </c>
      <c r="I1130" s="457" t="n">
        <v>22.5</v>
      </c>
      <c r="J1130" s="313" t="s">
        <v>1651</v>
      </c>
      <c r="K1130" s="98" t="n">
        <f aca="false">I1130*H1130</f>
        <v>675</v>
      </c>
      <c r="L1130" s="411" t="n">
        <v>700</v>
      </c>
      <c r="M1130" s="392" t="n">
        <f aca="false">L1130/K1130</f>
        <v>1.03703703703704</v>
      </c>
      <c r="N1130" s="466" t="n">
        <f aca="false">I1130*M1130</f>
        <v>23.3333333333333</v>
      </c>
      <c r="O1130" s="461" t="n">
        <v>30</v>
      </c>
      <c r="P1130" s="462" t="n">
        <f aca="false">H1130-O1130</f>
        <v>0</v>
      </c>
      <c r="Q1130" s="463" t="n">
        <f aca="false">O1130*I1130</f>
        <v>675</v>
      </c>
      <c r="R1130" s="48" t="n">
        <f aca="false">K1130-Q1130</f>
        <v>0</v>
      </c>
      <c r="S1130" s="467"/>
      <c r="T1130" s="2" t="s">
        <v>1711</v>
      </c>
      <c r="V1130" s="464"/>
      <c r="W1130" s="464"/>
      <c r="X1130" s="464"/>
      <c r="Y1130" s="464"/>
      <c r="Z1130" s="464"/>
      <c r="AA1130" s="464"/>
      <c r="AB1130" s="464"/>
      <c r="AC1130" s="464"/>
      <c r="AD1130" s="464"/>
      <c r="AE1130" s="464"/>
      <c r="AF1130" s="464"/>
      <c r="AG1130" s="464"/>
      <c r="AH1130" s="465"/>
      <c r="AI1130" s="464"/>
    </row>
    <row r="1131" customFormat="false" ht="15" hidden="false" customHeight="true" outlineLevel="0" collapsed="false">
      <c r="A1131" s="455" t="s">
        <v>1808</v>
      </c>
      <c r="C1131" s="456" t="n">
        <v>45600</v>
      </c>
      <c r="D1131" s="456"/>
      <c r="E1131" s="57" t="n">
        <v>14127</v>
      </c>
      <c r="F1131" s="323" t="s">
        <v>175</v>
      </c>
      <c r="G1131" s="323" t="s">
        <v>5</v>
      </c>
      <c r="H1131" s="98" t="n">
        <v>15</v>
      </c>
      <c r="I1131" s="457" t="n">
        <v>37.5</v>
      </c>
      <c r="J1131" s="313" t="s">
        <v>1652</v>
      </c>
      <c r="K1131" s="98" t="n">
        <f aca="false">I1131*H1131</f>
        <v>562.5</v>
      </c>
      <c r="L1131" s="411" t="n">
        <v>187.5</v>
      </c>
      <c r="M1131" s="392" t="n">
        <f aca="false">L1131/K1131</f>
        <v>0.333333333333333</v>
      </c>
      <c r="N1131" s="466" t="n">
        <f aca="false">I1131*M1131</f>
        <v>12.5</v>
      </c>
      <c r="O1131" s="461" t="n">
        <v>15</v>
      </c>
      <c r="P1131" s="462" t="n">
        <f aca="false">H1131-O1131</f>
        <v>0</v>
      </c>
      <c r="Q1131" s="463" t="n">
        <f aca="false">O1131*I1131</f>
        <v>562.5</v>
      </c>
      <c r="R1131" s="48" t="n">
        <f aca="false">K1131-Q1131</f>
        <v>0</v>
      </c>
      <c r="S1131" s="467"/>
      <c r="T1131" s="2" t="s">
        <v>1711</v>
      </c>
      <c r="V1131" s="464"/>
      <c r="W1131" s="464"/>
      <c r="X1131" s="464"/>
      <c r="Y1131" s="464"/>
      <c r="Z1131" s="464"/>
      <c r="AA1131" s="464"/>
      <c r="AB1131" s="464"/>
      <c r="AC1131" s="464"/>
      <c r="AD1131" s="464"/>
      <c r="AE1131" s="464"/>
      <c r="AF1131" s="464"/>
      <c r="AG1131" s="464"/>
      <c r="AH1131" s="465"/>
      <c r="AI1131" s="464"/>
    </row>
    <row r="1132" customFormat="false" ht="15" hidden="false" customHeight="true" outlineLevel="0" collapsed="false">
      <c r="A1132" s="455" t="s">
        <v>1941</v>
      </c>
      <c r="C1132" s="456" t="n">
        <v>45600</v>
      </c>
      <c r="D1132" s="456"/>
      <c r="E1132" s="57" t="n">
        <v>14130</v>
      </c>
      <c r="F1132" s="323" t="s">
        <v>175</v>
      </c>
      <c r="G1132" s="323" t="s">
        <v>5</v>
      </c>
      <c r="H1132" s="98" t="n">
        <v>150</v>
      </c>
      <c r="I1132" s="457" t="n">
        <v>25.71</v>
      </c>
      <c r="J1132" s="313" t="s">
        <v>1651</v>
      </c>
      <c r="K1132" s="98" t="n">
        <f aca="false">I1132*H1132</f>
        <v>3856.5</v>
      </c>
      <c r="L1132" s="411" t="n">
        <v>2700</v>
      </c>
      <c r="M1132" s="392" t="n">
        <f aca="false">L1132/K1132</f>
        <v>0.700116686114352</v>
      </c>
      <c r="N1132" s="466" t="n">
        <f aca="false">I1132*M1132</f>
        <v>18</v>
      </c>
      <c r="O1132" s="461" t="n">
        <v>150</v>
      </c>
      <c r="P1132" s="462" t="n">
        <f aca="false">H1132-O1132</f>
        <v>0</v>
      </c>
      <c r="Q1132" s="463" t="n">
        <f aca="false">O1132*I1132</f>
        <v>3856.5</v>
      </c>
      <c r="R1132" s="48" t="n">
        <f aca="false">K1132-Q1132</f>
        <v>0</v>
      </c>
      <c r="S1132" s="467"/>
      <c r="T1132" s="2" t="s">
        <v>1711</v>
      </c>
      <c r="V1132" s="464"/>
      <c r="W1132" s="464"/>
      <c r="X1132" s="464"/>
      <c r="Y1132" s="464"/>
      <c r="Z1132" s="464"/>
      <c r="AA1132" s="464"/>
      <c r="AB1132" s="464"/>
      <c r="AC1132" s="464"/>
      <c r="AD1132" s="464"/>
      <c r="AE1132" s="464"/>
      <c r="AF1132" s="464"/>
      <c r="AG1132" s="464"/>
      <c r="AH1132" s="465"/>
      <c r="AI1132" s="464"/>
    </row>
    <row r="1133" customFormat="false" ht="15" hidden="false" customHeight="true" outlineLevel="0" collapsed="false">
      <c r="A1133" s="455" t="s">
        <v>1942</v>
      </c>
      <c r="C1133" s="456" t="n">
        <v>45600</v>
      </c>
      <c r="D1133" s="456"/>
      <c r="E1133" s="57" t="n">
        <v>14132</v>
      </c>
      <c r="F1133" s="323" t="s">
        <v>175</v>
      </c>
      <c r="G1133" s="323" t="s">
        <v>10</v>
      </c>
      <c r="H1133" s="98" t="n">
        <v>20000</v>
      </c>
      <c r="I1133" s="457" t="n">
        <v>90</v>
      </c>
      <c r="J1133" s="313" t="s">
        <v>1653</v>
      </c>
      <c r="K1133" s="98" t="n">
        <f aca="false">I1133*H1133</f>
        <v>1800000</v>
      </c>
      <c r="L1133" s="411" t="n">
        <v>280000</v>
      </c>
      <c r="M1133" s="392" t="n">
        <f aca="false">L1133/K1133</f>
        <v>0.155555555555556</v>
      </c>
      <c r="N1133" s="466" t="n">
        <f aca="false">I1133*M1133</f>
        <v>14</v>
      </c>
      <c r="O1133" s="461" t="n">
        <v>20000</v>
      </c>
      <c r="P1133" s="462" t="n">
        <f aca="false">H1133-O1133</f>
        <v>0</v>
      </c>
      <c r="Q1133" s="463" t="n">
        <f aca="false">O1133*I1133</f>
        <v>1800000</v>
      </c>
      <c r="R1133" s="48" t="n">
        <f aca="false">K1133-Q1133</f>
        <v>0</v>
      </c>
      <c r="S1133" s="467"/>
      <c r="T1133" s="2" t="s">
        <v>1711</v>
      </c>
      <c r="V1133" s="464"/>
      <c r="W1133" s="464"/>
      <c r="X1133" s="464"/>
      <c r="Y1133" s="464"/>
      <c r="Z1133" s="464"/>
      <c r="AA1133" s="464"/>
      <c r="AB1133" s="464"/>
      <c r="AC1133" s="464"/>
      <c r="AD1133" s="464"/>
      <c r="AE1133" s="464"/>
      <c r="AF1133" s="464"/>
      <c r="AG1133" s="464"/>
      <c r="AH1133" s="465"/>
      <c r="AI1133" s="464"/>
    </row>
    <row r="1134" customFormat="false" ht="15" hidden="false" customHeight="true" outlineLevel="0" collapsed="false">
      <c r="A1134" s="455" t="s">
        <v>1942</v>
      </c>
      <c r="C1134" s="456" t="n">
        <v>45600</v>
      </c>
      <c r="D1134" s="456"/>
      <c r="E1134" s="57" t="n">
        <v>14133</v>
      </c>
      <c r="F1134" s="323" t="s">
        <v>175</v>
      </c>
      <c r="G1134" s="323" t="s">
        <v>10</v>
      </c>
      <c r="H1134" s="98" t="n">
        <v>60000</v>
      </c>
      <c r="I1134" s="457" t="n">
        <v>90</v>
      </c>
      <c r="J1134" s="313" t="s">
        <v>1653</v>
      </c>
      <c r="K1134" s="98" t="n">
        <f aca="false">I1134*H1134</f>
        <v>5400000</v>
      </c>
      <c r="L1134" s="411" t="n">
        <v>840000</v>
      </c>
      <c r="M1134" s="392" t="n">
        <f aca="false">L1134/K1134</f>
        <v>0.155555555555556</v>
      </c>
      <c r="N1134" s="466" t="n">
        <f aca="false">I1134*M1134</f>
        <v>14</v>
      </c>
      <c r="O1134" s="461" t="n">
        <v>60000</v>
      </c>
      <c r="P1134" s="462" t="n">
        <f aca="false">H1134-O1134</f>
        <v>0</v>
      </c>
      <c r="Q1134" s="463" t="n">
        <f aca="false">O1134*I1134</f>
        <v>5400000</v>
      </c>
      <c r="R1134" s="48" t="n">
        <f aca="false">K1134-Q1134</f>
        <v>0</v>
      </c>
      <c r="S1134" s="467"/>
      <c r="T1134" s="2" t="s">
        <v>1711</v>
      </c>
      <c r="V1134" s="464"/>
      <c r="W1134" s="464"/>
      <c r="X1134" s="464"/>
      <c r="Y1134" s="464"/>
      <c r="Z1134" s="464"/>
      <c r="AA1134" s="464"/>
      <c r="AB1134" s="464"/>
      <c r="AC1134" s="464"/>
      <c r="AD1134" s="464"/>
      <c r="AE1134" s="464"/>
      <c r="AF1134" s="464"/>
      <c r="AG1134" s="464"/>
      <c r="AH1134" s="465"/>
      <c r="AI1134" s="464"/>
    </row>
    <row r="1135" customFormat="false" ht="15" hidden="false" customHeight="true" outlineLevel="0" collapsed="false">
      <c r="A1135" s="455" t="s">
        <v>1776</v>
      </c>
      <c r="C1135" s="456" t="n">
        <v>45601</v>
      </c>
      <c r="D1135" s="456"/>
      <c r="E1135" s="57" t="n">
        <v>14135</v>
      </c>
      <c r="F1135" s="323" t="s">
        <v>175</v>
      </c>
      <c r="G1135" s="323" t="s">
        <v>19</v>
      </c>
      <c r="H1135" s="98" t="n">
        <v>60</v>
      </c>
      <c r="I1135" s="457" t="n">
        <v>37.5</v>
      </c>
      <c r="J1135" s="313" t="s">
        <v>1652</v>
      </c>
      <c r="K1135" s="98" t="n">
        <f aca="false">I1135*H1135</f>
        <v>2250</v>
      </c>
      <c r="L1135" s="411" t="n">
        <v>1200</v>
      </c>
      <c r="M1135" s="392" t="n">
        <f aca="false">L1135/K1135</f>
        <v>0.533333333333333</v>
      </c>
      <c r="N1135" s="466" t="n">
        <f aca="false">I1135*M1135</f>
        <v>20</v>
      </c>
      <c r="O1135" s="461" t="n">
        <v>60</v>
      </c>
      <c r="P1135" s="462" t="n">
        <f aca="false">H1135-O1135</f>
        <v>0</v>
      </c>
      <c r="Q1135" s="463" t="n">
        <f aca="false">O1135*I1135</f>
        <v>2250</v>
      </c>
      <c r="R1135" s="48" t="n">
        <f aca="false">K1135-Q1135</f>
        <v>0</v>
      </c>
      <c r="S1135" s="467"/>
      <c r="T1135" s="2" t="s">
        <v>1711</v>
      </c>
      <c r="V1135" s="464"/>
      <c r="W1135" s="464"/>
      <c r="X1135" s="464"/>
      <c r="Y1135" s="464"/>
      <c r="Z1135" s="464"/>
      <c r="AA1135" s="464"/>
      <c r="AB1135" s="464"/>
      <c r="AC1135" s="464"/>
      <c r="AD1135" s="464"/>
      <c r="AE1135" s="464"/>
      <c r="AF1135" s="464"/>
      <c r="AG1135" s="464"/>
      <c r="AH1135" s="465"/>
      <c r="AI1135" s="464"/>
    </row>
    <row r="1136" customFormat="false" ht="15" hidden="false" customHeight="true" outlineLevel="0" collapsed="false">
      <c r="A1136" s="455" t="s">
        <v>1943</v>
      </c>
      <c r="C1136" s="456" t="n">
        <v>45601</v>
      </c>
      <c r="D1136" s="456"/>
      <c r="E1136" s="57" t="n">
        <v>14137</v>
      </c>
      <c r="F1136" s="323" t="s">
        <v>175</v>
      </c>
      <c r="G1136" s="323" t="s">
        <v>5</v>
      </c>
      <c r="H1136" s="98" t="n">
        <v>7500</v>
      </c>
      <c r="I1136" s="457" t="n">
        <v>25.71</v>
      </c>
      <c r="J1136" s="313" t="s">
        <v>1651</v>
      </c>
      <c r="K1136" s="98" t="n">
        <f aca="false">I1136*H1136</f>
        <v>192825</v>
      </c>
      <c r="L1136" s="411" t="n">
        <v>108750</v>
      </c>
      <c r="M1136" s="392" t="n">
        <f aca="false">L1136/K1136</f>
        <v>0.563982886036562</v>
      </c>
      <c r="N1136" s="466" t="n">
        <f aca="false">I1136*M1136</f>
        <v>14.5</v>
      </c>
      <c r="O1136" s="461" t="n">
        <v>7500</v>
      </c>
      <c r="P1136" s="462" t="n">
        <f aca="false">H1136-O1136</f>
        <v>0</v>
      </c>
      <c r="Q1136" s="463" t="n">
        <f aca="false">O1136*I1136</f>
        <v>192825</v>
      </c>
      <c r="R1136" s="48" t="n">
        <f aca="false">K1136-Q1136</f>
        <v>0</v>
      </c>
      <c r="S1136" s="467"/>
      <c r="T1136" s="2" t="s">
        <v>1711</v>
      </c>
      <c r="V1136" s="464"/>
      <c r="W1136" s="464"/>
      <c r="X1136" s="464"/>
      <c r="Y1136" s="464"/>
      <c r="Z1136" s="464"/>
      <c r="AA1136" s="464"/>
      <c r="AB1136" s="464"/>
      <c r="AC1136" s="464"/>
      <c r="AD1136" s="464"/>
      <c r="AE1136" s="464"/>
      <c r="AF1136" s="464"/>
      <c r="AG1136" s="464"/>
      <c r="AH1136" s="465"/>
      <c r="AI1136" s="464"/>
    </row>
    <row r="1137" customFormat="false" ht="15" hidden="false" customHeight="true" outlineLevel="0" collapsed="false">
      <c r="A1137" s="455" t="s">
        <v>1944</v>
      </c>
      <c r="C1137" s="456" t="n">
        <v>45601</v>
      </c>
      <c r="D1137" s="456"/>
      <c r="E1137" s="57" t="n">
        <v>14138</v>
      </c>
      <c r="F1137" s="323" t="s">
        <v>175</v>
      </c>
      <c r="G1137" s="323" t="s">
        <v>5</v>
      </c>
      <c r="H1137" s="98" t="n">
        <v>150</v>
      </c>
      <c r="I1137" s="457" t="n">
        <v>37.5</v>
      </c>
      <c r="J1137" s="313" t="s">
        <v>1652</v>
      </c>
      <c r="K1137" s="98" t="n">
        <f aca="false">I1137*H1137</f>
        <v>5625</v>
      </c>
      <c r="L1137" s="411" t="n">
        <v>2400</v>
      </c>
      <c r="M1137" s="392" t="n">
        <f aca="false">L1137/K1137</f>
        <v>0.426666666666667</v>
      </c>
      <c r="N1137" s="466" t="n">
        <f aca="false">I1137*M1137</f>
        <v>16</v>
      </c>
      <c r="O1137" s="461" t="n">
        <v>150</v>
      </c>
      <c r="P1137" s="462" t="n">
        <f aca="false">H1137-O1137</f>
        <v>0</v>
      </c>
      <c r="Q1137" s="463" t="n">
        <f aca="false">O1137*I1137</f>
        <v>5625</v>
      </c>
      <c r="R1137" s="48" t="n">
        <f aca="false">K1137-Q1137</f>
        <v>0</v>
      </c>
      <c r="S1137" s="467"/>
      <c r="T1137" s="2" t="s">
        <v>1711</v>
      </c>
      <c r="V1137" s="464"/>
      <c r="W1137" s="464"/>
      <c r="X1137" s="464"/>
      <c r="Y1137" s="464"/>
      <c r="Z1137" s="464"/>
      <c r="AA1137" s="464"/>
      <c r="AB1137" s="464"/>
      <c r="AC1137" s="464"/>
      <c r="AD1137" s="464"/>
      <c r="AE1137" s="464"/>
      <c r="AF1137" s="464"/>
      <c r="AG1137" s="464"/>
      <c r="AH1137" s="465"/>
      <c r="AI1137" s="464"/>
    </row>
    <row r="1138" customFormat="false" ht="15" hidden="false" customHeight="true" outlineLevel="0" collapsed="false">
      <c r="A1138" s="455" t="s">
        <v>1944</v>
      </c>
      <c r="C1138" s="456" t="n">
        <v>45601</v>
      </c>
      <c r="D1138" s="456"/>
      <c r="E1138" s="57" t="n">
        <v>14138</v>
      </c>
      <c r="F1138" s="323" t="s">
        <v>175</v>
      </c>
      <c r="G1138" s="323" t="s">
        <v>42</v>
      </c>
      <c r="H1138" s="98" t="n">
        <v>300</v>
      </c>
      <c r="I1138" s="457" t="n">
        <v>45</v>
      </c>
      <c r="J1138" s="313" t="s">
        <v>1652</v>
      </c>
      <c r="K1138" s="98" t="n">
        <f aca="false">I1138*H1138</f>
        <v>13500</v>
      </c>
      <c r="L1138" s="411" t="n">
        <v>6000</v>
      </c>
      <c r="M1138" s="392" t="n">
        <f aca="false">L1138/K1138</f>
        <v>0.444444444444444</v>
      </c>
      <c r="N1138" s="466" t="n">
        <f aca="false">I1138*M1138</f>
        <v>20</v>
      </c>
      <c r="O1138" s="461" t="n">
        <v>300</v>
      </c>
      <c r="P1138" s="462" t="n">
        <f aca="false">H1138-O1138</f>
        <v>0</v>
      </c>
      <c r="Q1138" s="463" t="n">
        <f aca="false">O1138*I1138</f>
        <v>13500</v>
      </c>
      <c r="R1138" s="48" t="n">
        <f aca="false">K1138-Q1138</f>
        <v>0</v>
      </c>
      <c r="S1138" s="467"/>
      <c r="T1138" s="2" t="s">
        <v>1711</v>
      </c>
      <c r="V1138" s="464"/>
      <c r="W1138" s="464"/>
      <c r="X1138" s="464"/>
      <c r="Y1138" s="464"/>
      <c r="Z1138" s="464"/>
      <c r="AA1138" s="464"/>
      <c r="AB1138" s="464"/>
      <c r="AC1138" s="464"/>
      <c r="AD1138" s="464"/>
      <c r="AE1138" s="464"/>
      <c r="AF1138" s="464"/>
      <c r="AG1138" s="464"/>
      <c r="AH1138" s="465"/>
      <c r="AI1138" s="464"/>
    </row>
    <row r="1139" customFormat="false" ht="15" hidden="false" customHeight="true" outlineLevel="0" collapsed="false">
      <c r="A1139" s="455" t="s">
        <v>1944</v>
      </c>
      <c r="C1139" s="456" t="n">
        <v>45601</v>
      </c>
      <c r="D1139" s="456"/>
      <c r="E1139" s="57" t="n">
        <v>14138</v>
      </c>
      <c r="F1139" s="323" t="s">
        <v>175</v>
      </c>
      <c r="G1139" s="323" t="s">
        <v>6</v>
      </c>
      <c r="H1139" s="98" t="n">
        <v>120</v>
      </c>
      <c r="I1139" s="457" t="n">
        <v>45</v>
      </c>
      <c r="J1139" s="313" t="s">
        <v>1652</v>
      </c>
      <c r="K1139" s="98" t="n">
        <f aca="false">I1139*H1139</f>
        <v>5400</v>
      </c>
      <c r="L1139" s="411" t="n">
        <v>2760</v>
      </c>
      <c r="M1139" s="392" t="n">
        <f aca="false">L1139/K1139</f>
        <v>0.511111111111111</v>
      </c>
      <c r="N1139" s="466" t="n">
        <f aca="false">I1139*M1139</f>
        <v>23</v>
      </c>
      <c r="O1139" s="461" t="n">
        <v>120</v>
      </c>
      <c r="P1139" s="462" t="n">
        <f aca="false">H1139-O1139</f>
        <v>0</v>
      </c>
      <c r="Q1139" s="463" t="n">
        <f aca="false">O1139*I1139</f>
        <v>5400</v>
      </c>
      <c r="R1139" s="48" t="n">
        <f aca="false">K1139-Q1139</f>
        <v>0</v>
      </c>
      <c r="S1139" s="467"/>
      <c r="T1139" s="2" t="s">
        <v>1711</v>
      </c>
      <c r="V1139" s="464"/>
      <c r="W1139" s="464"/>
      <c r="X1139" s="464"/>
      <c r="Y1139" s="464"/>
      <c r="Z1139" s="464"/>
      <c r="AA1139" s="464"/>
      <c r="AB1139" s="464"/>
      <c r="AC1139" s="464"/>
      <c r="AD1139" s="464"/>
      <c r="AE1139" s="464"/>
      <c r="AF1139" s="464"/>
      <c r="AG1139" s="464"/>
      <c r="AH1139" s="465"/>
      <c r="AI1139" s="464"/>
    </row>
    <row r="1140" customFormat="false" ht="15" hidden="false" customHeight="true" outlineLevel="0" collapsed="false">
      <c r="A1140" s="455" t="s">
        <v>1944</v>
      </c>
      <c r="C1140" s="456" t="n">
        <v>45601</v>
      </c>
      <c r="D1140" s="456"/>
      <c r="E1140" s="57" t="n">
        <v>14138</v>
      </c>
      <c r="F1140" s="323" t="s">
        <v>175</v>
      </c>
      <c r="G1140" s="323" t="s">
        <v>17</v>
      </c>
      <c r="H1140" s="98" t="n">
        <v>1035</v>
      </c>
      <c r="I1140" s="457" t="n">
        <v>37.5</v>
      </c>
      <c r="J1140" s="313" t="s">
        <v>1652</v>
      </c>
      <c r="K1140" s="98" t="n">
        <f aca="false">I1140*H1140</f>
        <v>38812.5</v>
      </c>
      <c r="L1140" s="411" t="n">
        <v>17491.5</v>
      </c>
      <c r="M1140" s="392" t="n">
        <f aca="false">L1140/K1140</f>
        <v>0.450666666666667</v>
      </c>
      <c r="N1140" s="466" t="n">
        <f aca="false">I1140*M1140</f>
        <v>16.9</v>
      </c>
      <c r="O1140" s="461" t="n">
        <v>1035</v>
      </c>
      <c r="P1140" s="462" t="n">
        <f aca="false">H1140-O1140</f>
        <v>0</v>
      </c>
      <c r="Q1140" s="463" t="n">
        <f aca="false">O1140*I1140</f>
        <v>38812.5</v>
      </c>
      <c r="R1140" s="48" t="n">
        <f aca="false">K1140-Q1140</f>
        <v>0</v>
      </c>
      <c r="S1140" s="467"/>
      <c r="T1140" s="2" t="s">
        <v>1711</v>
      </c>
      <c r="V1140" s="464"/>
      <c r="W1140" s="464"/>
      <c r="X1140" s="464"/>
      <c r="Y1140" s="464"/>
      <c r="Z1140" s="464"/>
      <c r="AA1140" s="464"/>
      <c r="AB1140" s="464"/>
      <c r="AC1140" s="464"/>
      <c r="AD1140" s="464"/>
      <c r="AE1140" s="464"/>
      <c r="AF1140" s="464"/>
      <c r="AG1140" s="464"/>
      <c r="AH1140" s="465"/>
      <c r="AI1140" s="464"/>
    </row>
    <row r="1141" customFormat="false" ht="15" hidden="false" customHeight="true" outlineLevel="0" collapsed="false">
      <c r="A1141" s="455" t="s">
        <v>1933</v>
      </c>
      <c r="C1141" s="456" t="n">
        <v>45601</v>
      </c>
      <c r="D1141" s="456"/>
      <c r="E1141" s="57" t="n">
        <v>14139</v>
      </c>
      <c r="F1141" s="323" t="s">
        <v>175</v>
      </c>
      <c r="G1141" s="323" t="s">
        <v>15</v>
      </c>
      <c r="H1141" s="98" t="n">
        <v>300</v>
      </c>
      <c r="I1141" s="457" t="n">
        <v>22.5</v>
      </c>
      <c r="J1141" s="313" t="s">
        <v>1651</v>
      </c>
      <c r="K1141" s="98" t="n">
        <f aca="false">I1141*H1141</f>
        <v>6750</v>
      </c>
      <c r="L1141" s="411" t="n">
        <v>5400</v>
      </c>
      <c r="M1141" s="392" t="n">
        <f aca="false">L1141/K1141</f>
        <v>0.8</v>
      </c>
      <c r="N1141" s="466" t="n">
        <f aca="false">I1141*M1141</f>
        <v>18</v>
      </c>
      <c r="O1141" s="461" t="n">
        <v>300</v>
      </c>
      <c r="P1141" s="462" t="n">
        <f aca="false">H1141-O1141</f>
        <v>0</v>
      </c>
      <c r="Q1141" s="463" t="n">
        <f aca="false">O1141*I1141</f>
        <v>6750</v>
      </c>
      <c r="R1141" s="48" t="n">
        <f aca="false">K1141-Q1141</f>
        <v>0</v>
      </c>
      <c r="S1141" s="467"/>
      <c r="T1141" s="2" t="s">
        <v>1711</v>
      </c>
      <c r="V1141" s="464"/>
      <c r="W1141" s="464"/>
      <c r="X1141" s="464"/>
      <c r="Y1141" s="464"/>
      <c r="Z1141" s="464"/>
      <c r="AA1141" s="464"/>
      <c r="AB1141" s="464"/>
      <c r="AC1141" s="464"/>
      <c r="AD1141" s="464"/>
      <c r="AE1141" s="464"/>
      <c r="AF1141" s="464"/>
      <c r="AG1141" s="464"/>
      <c r="AH1141" s="465"/>
      <c r="AI1141" s="464"/>
    </row>
    <row r="1142" customFormat="false" ht="15" hidden="false" customHeight="true" outlineLevel="0" collapsed="false">
      <c r="A1142" s="455" t="s">
        <v>1945</v>
      </c>
      <c r="C1142" s="456" t="n">
        <v>45601</v>
      </c>
      <c r="D1142" s="456"/>
      <c r="E1142" s="57" t="n">
        <v>14140</v>
      </c>
      <c r="F1142" s="323" t="s">
        <v>175</v>
      </c>
      <c r="G1142" s="323" t="s">
        <v>10</v>
      </c>
      <c r="H1142" s="98" t="n">
        <v>720</v>
      </c>
      <c r="I1142" s="457" t="n">
        <v>90</v>
      </c>
      <c r="J1142" s="313" t="s">
        <v>1653</v>
      </c>
      <c r="K1142" s="98" t="n">
        <f aca="false">I1142*H1142</f>
        <v>64800</v>
      </c>
      <c r="L1142" s="411" t="n">
        <v>38880</v>
      </c>
      <c r="M1142" s="392" t="n">
        <f aca="false">L1142/K1142</f>
        <v>0.6</v>
      </c>
      <c r="N1142" s="466" t="n">
        <f aca="false">I1142*M1142</f>
        <v>54</v>
      </c>
      <c r="O1142" s="461" t="n">
        <v>720</v>
      </c>
      <c r="P1142" s="462" t="n">
        <f aca="false">H1142-O1142</f>
        <v>0</v>
      </c>
      <c r="Q1142" s="463" t="n">
        <f aca="false">O1142*I1142</f>
        <v>64800</v>
      </c>
      <c r="R1142" s="48" t="n">
        <f aca="false">K1142-Q1142</f>
        <v>0</v>
      </c>
      <c r="S1142" s="467"/>
      <c r="T1142" s="2" t="s">
        <v>1711</v>
      </c>
      <c r="V1142" s="464"/>
      <c r="W1142" s="464"/>
      <c r="X1142" s="464"/>
      <c r="Y1142" s="464"/>
      <c r="Z1142" s="464"/>
      <c r="AA1142" s="464"/>
      <c r="AB1142" s="464"/>
      <c r="AC1142" s="464"/>
      <c r="AD1142" s="464"/>
      <c r="AE1142" s="464"/>
      <c r="AF1142" s="464"/>
      <c r="AG1142" s="464"/>
      <c r="AH1142" s="465"/>
      <c r="AI1142" s="464"/>
    </row>
    <row r="1143" customFormat="false" ht="15" hidden="false" customHeight="true" outlineLevel="0" collapsed="false">
      <c r="A1143" s="455" t="s">
        <v>1945</v>
      </c>
      <c r="C1143" s="456" t="n">
        <v>45601</v>
      </c>
      <c r="D1143" s="456"/>
      <c r="E1143" s="323" t="n">
        <v>14140</v>
      </c>
      <c r="F1143" s="323" t="s">
        <v>175</v>
      </c>
      <c r="G1143" s="323" t="s">
        <v>10</v>
      </c>
      <c r="H1143" s="98" t="n">
        <v>4005</v>
      </c>
      <c r="I1143" s="457" t="n">
        <v>38.3</v>
      </c>
      <c r="J1143" s="313" t="s">
        <v>1652</v>
      </c>
      <c r="K1143" s="98" t="n">
        <f aca="false">I1143*H1143</f>
        <v>153391.5</v>
      </c>
      <c r="L1143" s="411" t="n">
        <v>42052.5</v>
      </c>
      <c r="M1143" s="392" t="n">
        <f aca="false">L1143/K1143</f>
        <v>0.274151436031332</v>
      </c>
      <c r="N1143" s="466" t="n">
        <f aca="false">I1143*M1143</f>
        <v>10.5</v>
      </c>
      <c r="O1143" s="461" t="n">
        <v>4005</v>
      </c>
      <c r="P1143" s="462" t="n">
        <f aca="false">H1143-O1143</f>
        <v>0</v>
      </c>
      <c r="Q1143" s="463" t="n">
        <f aca="false">O1143*I1143</f>
        <v>153391.5</v>
      </c>
      <c r="R1143" s="48" t="n">
        <f aca="false">K1143-Q1143</f>
        <v>0</v>
      </c>
      <c r="S1143" s="467"/>
      <c r="T1143" s="2" t="s">
        <v>1711</v>
      </c>
      <c r="V1143" s="464"/>
      <c r="W1143" s="464"/>
      <c r="X1143" s="464"/>
      <c r="Y1143" s="464"/>
      <c r="Z1143" s="464"/>
      <c r="AA1143" s="464"/>
      <c r="AB1143" s="464"/>
      <c r="AC1143" s="464"/>
      <c r="AD1143" s="464"/>
      <c r="AE1143" s="464"/>
      <c r="AF1143" s="464"/>
      <c r="AG1143" s="464"/>
      <c r="AH1143" s="465"/>
      <c r="AI1143" s="464"/>
    </row>
    <row r="1144" customFormat="false" ht="15" hidden="false" customHeight="true" outlineLevel="0" collapsed="false">
      <c r="A1144" s="455" t="s">
        <v>1945</v>
      </c>
      <c r="C1144" s="456" t="n">
        <v>45601</v>
      </c>
      <c r="D1144" s="456"/>
      <c r="E1144" s="323" t="n">
        <v>14140</v>
      </c>
      <c r="F1144" s="323" t="s">
        <v>175</v>
      </c>
      <c r="G1144" s="323" t="s">
        <v>20</v>
      </c>
      <c r="H1144" s="98" t="n">
        <v>300</v>
      </c>
      <c r="I1144" s="457" t="n">
        <v>90</v>
      </c>
      <c r="J1144" s="313" t="s">
        <v>1653</v>
      </c>
      <c r="K1144" s="98" t="n">
        <f aca="false">I1144*H1144</f>
        <v>27000</v>
      </c>
      <c r="L1144" s="411" t="n">
        <v>4950</v>
      </c>
      <c r="M1144" s="392" t="n">
        <f aca="false">L1144/K1144</f>
        <v>0.183333333333333</v>
      </c>
      <c r="N1144" s="466" t="n">
        <f aca="false">I1144*M1144</f>
        <v>16.5</v>
      </c>
      <c r="O1144" s="461" t="n">
        <v>300</v>
      </c>
      <c r="P1144" s="462" t="n">
        <f aca="false">H1144-O1144</f>
        <v>0</v>
      </c>
      <c r="Q1144" s="463" t="n">
        <f aca="false">O1144*I1144</f>
        <v>27000</v>
      </c>
      <c r="R1144" s="48" t="n">
        <f aca="false">K1144-Q1144</f>
        <v>0</v>
      </c>
      <c r="S1144" s="467"/>
      <c r="T1144" s="2" t="s">
        <v>1711</v>
      </c>
      <c r="V1144" s="464"/>
      <c r="W1144" s="464"/>
      <c r="X1144" s="464"/>
      <c r="Y1144" s="464"/>
      <c r="Z1144" s="464"/>
      <c r="AA1144" s="464"/>
      <c r="AB1144" s="464"/>
      <c r="AC1144" s="464"/>
      <c r="AD1144" s="464"/>
      <c r="AE1144" s="464"/>
      <c r="AF1144" s="464"/>
      <c r="AG1144" s="464"/>
      <c r="AH1144" s="465"/>
      <c r="AI1144" s="464"/>
    </row>
    <row r="1145" customFormat="false" ht="15" hidden="false" customHeight="true" outlineLevel="0" collapsed="false">
      <c r="A1145" s="455" t="s">
        <v>1723</v>
      </c>
      <c r="C1145" s="456" t="n">
        <v>45602</v>
      </c>
      <c r="D1145" s="456"/>
      <c r="E1145" s="323" t="n">
        <v>14141</v>
      </c>
      <c r="F1145" s="323" t="s">
        <v>175</v>
      </c>
      <c r="G1145" s="323" t="s">
        <v>5</v>
      </c>
      <c r="H1145" s="98" t="n">
        <v>3000</v>
      </c>
      <c r="I1145" s="457" t="n">
        <v>37.5</v>
      </c>
      <c r="J1145" s="313" t="s">
        <v>1652</v>
      </c>
      <c r="K1145" s="98" t="n">
        <f aca="false">I1145*H1145</f>
        <v>112500</v>
      </c>
      <c r="L1145" s="411" t="n">
        <v>51000</v>
      </c>
      <c r="M1145" s="392" t="n">
        <f aca="false">L1145/K1145</f>
        <v>0.453333333333333</v>
      </c>
      <c r="N1145" s="466" t="n">
        <f aca="false">I1145*M1145</f>
        <v>17</v>
      </c>
      <c r="O1145" s="461" t="n">
        <v>3000</v>
      </c>
      <c r="P1145" s="462" t="n">
        <f aca="false">H1145-O1145</f>
        <v>0</v>
      </c>
      <c r="Q1145" s="463" t="n">
        <f aca="false">O1145*I1145</f>
        <v>112500</v>
      </c>
      <c r="R1145" s="48" t="n">
        <f aca="false">K1145-Q1145</f>
        <v>0</v>
      </c>
      <c r="S1145" s="467"/>
      <c r="T1145" s="2" t="s">
        <v>1711</v>
      </c>
      <c r="V1145" s="464"/>
      <c r="W1145" s="464"/>
      <c r="X1145" s="464"/>
      <c r="Y1145" s="464"/>
      <c r="Z1145" s="464"/>
      <c r="AA1145" s="464"/>
      <c r="AB1145" s="464"/>
      <c r="AC1145" s="464"/>
      <c r="AD1145" s="464"/>
      <c r="AE1145" s="464"/>
      <c r="AF1145" s="464"/>
      <c r="AG1145" s="464"/>
      <c r="AH1145" s="465"/>
      <c r="AI1145" s="464"/>
    </row>
    <row r="1146" customFormat="false" ht="15" hidden="false" customHeight="true" outlineLevel="0" collapsed="false">
      <c r="A1146" s="455" t="s">
        <v>1946</v>
      </c>
      <c r="C1146" s="456" t="n">
        <v>45602</v>
      </c>
      <c r="D1146" s="456"/>
      <c r="E1146" s="57" t="n">
        <v>14143</v>
      </c>
      <c r="F1146" s="323" t="s">
        <v>175</v>
      </c>
      <c r="G1146" s="323" t="s">
        <v>20</v>
      </c>
      <c r="H1146" s="98" t="n">
        <v>30</v>
      </c>
      <c r="I1146" s="457" t="n">
        <v>90</v>
      </c>
      <c r="J1146" s="313" t="s">
        <v>1653</v>
      </c>
      <c r="K1146" s="98" t="n">
        <f aca="false">I1146*H1146</f>
        <v>2700</v>
      </c>
      <c r="L1146" s="411" t="n">
        <v>750</v>
      </c>
      <c r="M1146" s="392" t="n">
        <f aca="false">L1146/K1146</f>
        <v>0.277777777777778</v>
      </c>
      <c r="N1146" s="466" t="n">
        <f aca="false">I1146*M1146</f>
        <v>25</v>
      </c>
      <c r="O1146" s="461" t="n">
        <v>30</v>
      </c>
      <c r="P1146" s="462" t="n">
        <f aca="false">H1146-O1146</f>
        <v>0</v>
      </c>
      <c r="Q1146" s="463" t="n">
        <f aca="false">O1146*I1146</f>
        <v>2700</v>
      </c>
      <c r="R1146" s="48" t="n">
        <f aca="false">K1146-Q1146</f>
        <v>0</v>
      </c>
      <c r="S1146" s="467"/>
      <c r="T1146" s="2" t="s">
        <v>1711</v>
      </c>
      <c r="V1146" s="464"/>
      <c r="W1146" s="464"/>
      <c r="X1146" s="464"/>
      <c r="Y1146" s="464"/>
      <c r="Z1146" s="464"/>
      <c r="AA1146" s="464"/>
      <c r="AB1146" s="464"/>
      <c r="AC1146" s="464"/>
      <c r="AD1146" s="464"/>
      <c r="AE1146" s="464"/>
      <c r="AF1146" s="464"/>
      <c r="AG1146" s="464"/>
      <c r="AH1146" s="465"/>
      <c r="AI1146" s="464"/>
    </row>
    <row r="1147" customFormat="false" ht="15" hidden="false" customHeight="true" outlineLevel="0" collapsed="false">
      <c r="A1147" s="455" t="s">
        <v>1741</v>
      </c>
      <c r="C1147" s="456" t="n">
        <v>45602</v>
      </c>
      <c r="D1147" s="456"/>
      <c r="E1147" s="57" t="n">
        <v>14144</v>
      </c>
      <c r="F1147" s="323" t="s">
        <v>175</v>
      </c>
      <c r="G1147" s="323" t="s">
        <v>20</v>
      </c>
      <c r="H1147" s="98" t="n">
        <v>30</v>
      </c>
      <c r="I1147" s="457" t="n">
        <v>90</v>
      </c>
      <c r="J1147" s="313" t="s">
        <v>1653</v>
      </c>
      <c r="K1147" s="98" t="n">
        <f aca="false">I1147*H1147</f>
        <v>2700</v>
      </c>
      <c r="L1147" s="411" t="n">
        <v>750</v>
      </c>
      <c r="M1147" s="392" t="n">
        <f aca="false">L1147/K1147</f>
        <v>0.277777777777778</v>
      </c>
      <c r="N1147" s="466" t="n">
        <f aca="false">I1147*M1147</f>
        <v>25</v>
      </c>
      <c r="O1147" s="461" t="n">
        <v>30</v>
      </c>
      <c r="P1147" s="462" t="n">
        <f aca="false">H1147-O1147</f>
        <v>0</v>
      </c>
      <c r="Q1147" s="463" t="n">
        <f aca="false">O1147*I1147</f>
        <v>2700</v>
      </c>
      <c r="R1147" s="48" t="n">
        <f aca="false">K1147-Q1147</f>
        <v>0</v>
      </c>
      <c r="S1147" s="467"/>
      <c r="T1147" s="2" t="s">
        <v>1711</v>
      </c>
      <c r="V1147" s="464"/>
      <c r="W1147" s="464"/>
      <c r="X1147" s="464"/>
      <c r="Y1147" s="464"/>
      <c r="Z1147" s="464"/>
      <c r="AA1147" s="464"/>
      <c r="AB1147" s="464"/>
      <c r="AC1147" s="464"/>
      <c r="AD1147" s="464"/>
      <c r="AE1147" s="464"/>
      <c r="AF1147" s="464"/>
      <c r="AG1147" s="464"/>
      <c r="AH1147" s="465"/>
      <c r="AI1147" s="464"/>
    </row>
    <row r="1148" customFormat="false" ht="15" hidden="false" customHeight="true" outlineLevel="0" collapsed="false">
      <c r="A1148" s="455" t="s">
        <v>1723</v>
      </c>
      <c r="C1148" s="456" t="n">
        <v>45602</v>
      </c>
      <c r="D1148" s="456"/>
      <c r="E1148" s="57" t="n">
        <v>14145</v>
      </c>
      <c r="F1148" s="323" t="s">
        <v>175</v>
      </c>
      <c r="G1148" s="323" t="s">
        <v>6</v>
      </c>
      <c r="H1148" s="98" t="n">
        <v>1005</v>
      </c>
      <c r="I1148" s="457" t="n">
        <v>30</v>
      </c>
      <c r="J1148" s="313" t="s">
        <v>1651</v>
      </c>
      <c r="K1148" s="98" t="n">
        <f aca="false">I1148*H1148</f>
        <v>30150</v>
      </c>
      <c r="L1148" s="411" t="n">
        <v>13567.5</v>
      </c>
      <c r="M1148" s="392" t="n">
        <f aca="false">L1148/K1148</f>
        <v>0.45</v>
      </c>
      <c r="N1148" s="466" t="n">
        <f aca="false">I1148*M1148</f>
        <v>13.5</v>
      </c>
      <c r="O1148" s="461" t="n">
        <v>1005</v>
      </c>
      <c r="P1148" s="462" t="n">
        <f aca="false">H1148-O1148</f>
        <v>0</v>
      </c>
      <c r="Q1148" s="463" t="n">
        <f aca="false">O1148*I1148</f>
        <v>30150</v>
      </c>
      <c r="R1148" s="48" t="n">
        <f aca="false">K1148-Q1148</f>
        <v>0</v>
      </c>
      <c r="S1148" s="467"/>
      <c r="T1148" s="2" t="s">
        <v>1711</v>
      </c>
      <c r="V1148" s="464"/>
      <c r="W1148" s="464"/>
      <c r="X1148" s="464"/>
      <c r="Y1148" s="464"/>
      <c r="Z1148" s="464"/>
      <c r="AA1148" s="464"/>
      <c r="AB1148" s="464"/>
      <c r="AC1148" s="464"/>
      <c r="AD1148" s="464"/>
      <c r="AE1148" s="464"/>
      <c r="AF1148" s="464"/>
      <c r="AG1148" s="464"/>
      <c r="AH1148" s="465"/>
      <c r="AI1148" s="464"/>
    </row>
    <row r="1149" customFormat="false" ht="15" hidden="false" customHeight="true" outlineLevel="0" collapsed="false">
      <c r="A1149" s="455" t="s">
        <v>58</v>
      </c>
      <c r="C1149" s="456" t="n">
        <v>45602</v>
      </c>
      <c r="D1149" s="456"/>
      <c r="E1149" s="57" t="n">
        <v>14146</v>
      </c>
      <c r="F1149" s="323" t="s">
        <v>175</v>
      </c>
      <c r="G1149" s="323" t="s">
        <v>5</v>
      </c>
      <c r="H1149" s="98" t="n">
        <v>1005</v>
      </c>
      <c r="I1149" s="457" t="n">
        <v>25.71</v>
      </c>
      <c r="J1149" s="313" t="s">
        <v>1651</v>
      </c>
      <c r="K1149" s="98" t="n">
        <f aca="false">I1149*H1149</f>
        <v>25838.55</v>
      </c>
      <c r="L1149" s="411" t="n">
        <v>14974.5</v>
      </c>
      <c r="M1149" s="392" t="n">
        <f aca="false">L1149/K1149</f>
        <v>0.579541034616881</v>
      </c>
      <c r="N1149" s="466" t="n">
        <f aca="false">I1149*M1149</f>
        <v>14.9</v>
      </c>
      <c r="O1149" s="461" t="n">
        <v>1005</v>
      </c>
      <c r="P1149" s="462" t="n">
        <f aca="false">H1149-O1149</f>
        <v>0</v>
      </c>
      <c r="Q1149" s="463" t="n">
        <f aca="false">O1149*I1149</f>
        <v>25838.55</v>
      </c>
      <c r="R1149" s="48" t="n">
        <f aca="false">K1149-Q1149</f>
        <v>0</v>
      </c>
      <c r="S1149" s="467"/>
      <c r="T1149" s="2" t="s">
        <v>1711</v>
      </c>
      <c r="V1149" s="464"/>
      <c r="W1149" s="464"/>
      <c r="X1149" s="464"/>
      <c r="Y1149" s="464"/>
      <c r="Z1149" s="464"/>
      <c r="AA1149" s="464"/>
      <c r="AB1149" s="464"/>
      <c r="AC1149" s="464"/>
      <c r="AD1149" s="464"/>
      <c r="AE1149" s="464"/>
      <c r="AF1149" s="464"/>
      <c r="AG1149" s="464"/>
      <c r="AH1149" s="465"/>
      <c r="AI1149" s="464"/>
    </row>
    <row r="1150" customFormat="false" ht="15" hidden="false" customHeight="true" outlineLevel="0" collapsed="false">
      <c r="A1150" s="455" t="s">
        <v>1844</v>
      </c>
      <c r="C1150" s="456" t="n">
        <v>45602</v>
      </c>
      <c r="D1150" s="456"/>
      <c r="E1150" s="57" t="n">
        <v>14147</v>
      </c>
      <c r="F1150" s="323" t="s">
        <v>175</v>
      </c>
      <c r="G1150" s="323" t="s">
        <v>5</v>
      </c>
      <c r="H1150" s="98" t="n">
        <v>150</v>
      </c>
      <c r="I1150" s="457" t="n">
        <v>25.71</v>
      </c>
      <c r="J1150" s="313" t="s">
        <v>1651</v>
      </c>
      <c r="K1150" s="98" t="n">
        <f aca="false">I1150*H1150</f>
        <v>3856.5</v>
      </c>
      <c r="L1150" s="411" t="n">
        <v>1440</v>
      </c>
      <c r="M1150" s="392" t="n">
        <f aca="false">L1150/K1150</f>
        <v>0.373395565927655</v>
      </c>
      <c r="N1150" s="466" t="n">
        <f aca="false">I1150*M1150</f>
        <v>9.6</v>
      </c>
      <c r="O1150" s="461" t="n">
        <v>150</v>
      </c>
      <c r="P1150" s="462" t="n">
        <f aca="false">H1150-O1150</f>
        <v>0</v>
      </c>
      <c r="Q1150" s="463" t="n">
        <f aca="false">O1150*I1150</f>
        <v>3856.5</v>
      </c>
      <c r="R1150" s="48" t="n">
        <f aca="false">K1150-Q1150</f>
        <v>0</v>
      </c>
      <c r="S1150" s="467"/>
      <c r="T1150" s="2" t="s">
        <v>1711</v>
      </c>
      <c r="V1150" s="464"/>
      <c r="W1150" s="464"/>
      <c r="X1150" s="464"/>
      <c r="Y1150" s="464"/>
      <c r="Z1150" s="464"/>
      <c r="AA1150" s="464"/>
      <c r="AB1150" s="464"/>
      <c r="AC1150" s="464"/>
      <c r="AD1150" s="464"/>
      <c r="AE1150" s="464"/>
      <c r="AF1150" s="464"/>
      <c r="AG1150" s="464"/>
      <c r="AH1150" s="465"/>
      <c r="AI1150" s="464"/>
    </row>
    <row r="1151" customFormat="false" ht="15" hidden="false" customHeight="true" outlineLevel="0" collapsed="false">
      <c r="A1151" s="455" t="s">
        <v>1844</v>
      </c>
      <c r="C1151" s="456" t="n">
        <v>45602</v>
      </c>
      <c r="D1151" s="456"/>
      <c r="E1151" s="57" t="n">
        <v>14147</v>
      </c>
      <c r="F1151" s="323" t="s">
        <v>175</v>
      </c>
      <c r="G1151" s="323" t="s">
        <v>42</v>
      </c>
      <c r="H1151" s="98" t="n">
        <v>300</v>
      </c>
      <c r="I1151" s="457" t="n">
        <v>30</v>
      </c>
      <c r="J1151" s="313" t="s">
        <v>1651</v>
      </c>
      <c r="K1151" s="98" t="n">
        <f aca="false">I1151*H1151</f>
        <v>9000</v>
      </c>
      <c r="L1151" s="411" t="n">
        <v>4170</v>
      </c>
      <c r="M1151" s="392" t="n">
        <f aca="false">L1151/K1151</f>
        <v>0.463333333333333</v>
      </c>
      <c r="N1151" s="466" t="n">
        <f aca="false">I1151*M1151</f>
        <v>13.9</v>
      </c>
      <c r="O1151" s="461" t="n">
        <v>300</v>
      </c>
      <c r="P1151" s="462" t="n">
        <f aca="false">H1151-O1151</f>
        <v>0</v>
      </c>
      <c r="Q1151" s="463" t="n">
        <f aca="false">O1151*I1151</f>
        <v>9000</v>
      </c>
      <c r="R1151" s="48" t="n">
        <f aca="false">K1151-Q1151</f>
        <v>0</v>
      </c>
      <c r="S1151" s="467"/>
      <c r="T1151" s="2" t="s">
        <v>1711</v>
      </c>
      <c r="V1151" s="464"/>
      <c r="W1151" s="464"/>
      <c r="X1151" s="464"/>
      <c r="Y1151" s="464"/>
      <c r="Z1151" s="464"/>
      <c r="AA1151" s="464"/>
      <c r="AB1151" s="464"/>
      <c r="AC1151" s="464"/>
      <c r="AD1151" s="464"/>
      <c r="AE1151" s="464"/>
      <c r="AF1151" s="464"/>
      <c r="AG1151" s="464"/>
      <c r="AH1151" s="465"/>
      <c r="AI1151" s="464"/>
    </row>
    <row r="1152" customFormat="false" ht="15" hidden="false" customHeight="true" outlineLevel="0" collapsed="false">
      <c r="A1152" s="455" t="s">
        <v>1947</v>
      </c>
      <c r="C1152" s="456" t="n">
        <v>45602</v>
      </c>
      <c r="D1152" s="456"/>
      <c r="E1152" s="57" t="n">
        <v>14148</v>
      </c>
      <c r="F1152" s="323" t="s">
        <v>175</v>
      </c>
      <c r="G1152" s="323" t="s">
        <v>10</v>
      </c>
      <c r="H1152" s="98" t="n">
        <v>10005</v>
      </c>
      <c r="I1152" s="457" t="n">
        <v>25.71</v>
      </c>
      <c r="J1152" s="313" t="s">
        <v>1651</v>
      </c>
      <c r="K1152" s="98" t="n">
        <f aca="false">I1152*H1152</f>
        <v>257228.55</v>
      </c>
      <c r="L1152" s="411" t="n">
        <v>95047.5</v>
      </c>
      <c r="M1152" s="392" t="n">
        <f aca="false">L1152/K1152</f>
        <v>0.369506028782575</v>
      </c>
      <c r="N1152" s="466" t="n">
        <f aca="false">I1152*M1152</f>
        <v>9.5</v>
      </c>
      <c r="O1152" s="461" t="n">
        <v>10005</v>
      </c>
      <c r="P1152" s="462" t="n">
        <f aca="false">H1152-O1152</f>
        <v>0</v>
      </c>
      <c r="Q1152" s="463" t="n">
        <f aca="false">O1152*I1152</f>
        <v>257228.55</v>
      </c>
      <c r="R1152" s="48" t="n">
        <f aca="false">K1152-Q1152</f>
        <v>0</v>
      </c>
      <c r="S1152" s="467"/>
      <c r="T1152" s="2" t="s">
        <v>1711</v>
      </c>
      <c r="V1152" s="464"/>
      <c r="W1152" s="464"/>
      <c r="X1152" s="464"/>
      <c r="Y1152" s="464"/>
      <c r="Z1152" s="464"/>
      <c r="AA1152" s="464"/>
      <c r="AB1152" s="464"/>
      <c r="AC1152" s="464"/>
      <c r="AD1152" s="464"/>
      <c r="AE1152" s="464"/>
      <c r="AF1152" s="464"/>
      <c r="AG1152" s="464"/>
      <c r="AH1152" s="465"/>
      <c r="AI1152" s="464"/>
    </row>
    <row r="1153" customFormat="false" ht="15" hidden="false" customHeight="true" outlineLevel="0" collapsed="false">
      <c r="A1153" s="455" t="s">
        <v>63</v>
      </c>
      <c r="C1153" s="456" t="n">
        <v>45602</v>
      </c>
      <c r="D1153" s="456"/>
      <c r="E1153" s="323" t="n">
        <v>14150</v>
      </c>
      <c r="F1153" s="323" t="s">
        <v>175</v>
      </c>
      <c r="G1153" s="323" t="s">
        <v>19</v>
      </c>
      <c r="H1153" s="98" t="n">
        <v>1005</v>
      </c>
      <c r="I1153" s="457" t="n">
        <v>22.5</v>
      </c>
      <c r="J1153" s="313" t="s">
        <v>1651</v>
      </c>
      <c r="K1153" s="98" t="n">
        <f aca="false">I1153*H1153</f>
        <v>22612.5</v>
      </c>
      <c r="L1153" s="411" t="n">
        <v>20100</v>
      </c>
      <c r="M1153" s="392" t="n">
        <f aca="false">L1153/K1153</f>
        <v>0.888888888888889</v>
      </c>
      <c r="N1153" s="466" t="n">
        <f aca="false">I1153*M1153</f>
        <v>20</v>
      </c>
      <c r="O1153" s="461" t="n">
        <v>1005</v>
      </c>
      <c r="P1153" s="462" t="n">
        <f aca="false">H1153-O1153</f>
        <v>0</v>
      </c>
      <c r="Q1153" s="463" t="n">
        <f aca="false">O1153*I1153</f>
        <v>22612.5</v>
      </c>
      <c r="R1153" s="48" t="n">
        <f aca="false">K1153-Q1153</f>
        <v>0</v>
      </c>
      <c r="S1153" s="467"/>
      <c r="T1153" s="2" t="s">
        <v>1711</v>
      </c>
      <c r="V1153" s="464"/>
      <c r="W1153" s="464"/>
      <c r="X1153" s="464"/>
      <c r="Y1153" s="464"/>
      <c r="Z1153" s="464"/>
      <c r="AA1153" s="464"/>
      <c r="AB1153" s="464"/>
      <c r="AC1153" s="464"/>
      <c r="AD1153" s="464"/>
      <c r="AE1153" s="464"/>
      <c r="AF1153" s="464"/>
      <c r="AG1153" s="464"/>
      <c r="AH1153" s="465"/>
      <c r="AI1153" s="464"/>
    </row>
    <row r="1154" customFormat="false" ht="15" hidden="false" customHeight="true" outlineLevel="0" collapsed="false">
      <c r="A1154" s="455" t="s">
        <v>1948</v>
      </c>
      <c r="C1154" s="456" t="n">
        <v>45602</v>
      </c>
      <c r="D1154" s="456"/>
      <c r="E1154" s="323" t="n">
        <v>14151</v>
      </c>
      <c r="F1154" s="323" t="s">
        <v>175</v>
      </c>
      <c r="G1154" s="323" t="s">
        <v>15</v>
      </c>
      <c r="H1154" s="98" t="n">
        <v>165</v>
      </c>
      <c r="I1154" s="457" t="n">
        <v>22.5</v>
      </c>
      <c r="J1154" s="313" t="s">
        <v>1651</v>
      </c>
      <c r="K1154" s="98" t="n">
        <f aca="false">I1154*H1154</f>
        <v>3712.5</v>
      </c>
      <c r="L1154" s="411" t="n">
        <v>2838</v>
      </c>
      <c r="M1154" s="392" t="n">
        <f aca="false">L1154/K1154</f>
        <v>0.764444444444445</v>
      </c>
      <c r="N1154" s="466" t="n">
        <f aca="false">I1154*M1154</f>
        <v>17.2</v>
      </c>
      <c r="O1154" s="461" t="n">
        <v>165</v>
      </c>
      <c r="P1154" s="462" t="n">
        <f aca="false">H1154-O1154</f>
        <v>0</v>
      </c>
      <c r="Q1154" s="463" t="n">
        <f aca="false">O1154*I1154</f>
        <v>3712.5</v>
      </c>
      <c r="R1154" s="48" t="n">
        <f aca="false">K1154-Q1154</f>
        <v>0</v>
      </c>
      <c r="S1154" s="467"/>
      <c r="T1154" s="2" t="s">
        <v>1711</v>
      </c>
      <c r="V1154" s="464"/>
      <c r="W1154" s="464"/>
      <c r="X1154" s="464"/>
      <c r="Y1154" s="464"/>
      <c r="Z1154" s="464"/>
      <c r="AA1154" s="464"/>
      <c r="AB1154" s="464"/>
      <c r="AC1154" s="464"/>
      <c r="AD1154" s="464"/>
      <c r="AE1154" s="464"/>
      <c r="AF1154" s="464"/>
      <c r="AG1154" s="464"/>
      <c r="AH1154" s="465"/>
      <c r="AI1154" s="464"/>
    </row>
    <row r="1155" customFormat="false" ht="15" hidden="false" customHeight="true" outlineLevel="0" collapsed="false">
      <c r="A1155" s="455" t="s">
        <v>1948</v>
      </c>
      <c r="C1155" s="456" t="n">
        <v>45602</v>
      </c>
      <c r="D1155" s="456"/>
      <c r="E1155" s="323" t="n">
        <v>14151</v>
      </c>
      <c r="F1155" s="323" t="s">
        <v>175</v>
      </c>
      <c r="G1155" s="323" t="s">
        <v>5</v>
      </c>
      <c r="H1155" s="98" t="n">
        <v>45</v>
      </c>
      <c r="I1155" s="457" t="n">
        <v>25.71</v>
      </c>
      <c r="J1155" s="313" t="s">
        <v>1651</v>
      </c>
      <c r="K1155" s="98" t="n">
        <f aca="false">I1155*H1155</f>
        <v>1156.95</v>
      </c>
      <c r="L1155" s="411" t="n">
        <v>774</v>
      </c>
      <c r="M1155" s="392" t="n">
        <f aca="false">L1155/K1155</f>
        <v>0.669000388953715</v>
      </c>
      <c r="N1155" s="466" t="n">
        <f aca="false">I1155*M1155</f>
        <v>17.2</v>
      </c>
      <c r="O1155" s="461" t="n">
        <v>45</v>
      </c>
      <c r="P1155" s="462" t="n">
        <f aca="false">H1155-O1155</f>
        <v>0</v>
      </c>
      <c r="Q1155" s="463" t="n">
        <f aca="false">O1155*I1155</f>
        <v>1156.95</v>
      </c>
      <c r="R1155" s="48" t="n">
        <f aca="false">K1155-Q1155</f>
        <v>0</v>
      </c>
      <c r="S1155" s="467"/>
      <c r="T1155" s="2" t="s">
        <v>1711</v>
      </c>
      <c r="V1155" s="464"/>
      <c r="W1155" s="464"/>
      <c r="X1155" s="464"/>
      <c r="Y1155" s="464"/>
      <c r="Z1155" s="464"/>
      <c r="AA1155" s="464"/>
      <c r="AB1155" s="464"/>
      <c r="AC1155" s="464"/>
      <c r="AD1155" s="464"/>
      <c r="AE1155" s="464"/>
      <c r="AF1155" s="464"/>
      <c r="AG1155" s="464"/>
      <c r="AH1155" s="465"/>
      <c r="AI1155" s="464"/>
    </row>
    <row r="1156" customFormat="false" ht="15" hidden="false" customHeight="true" outlineLevel="0" collapsed="false">
      <c r="A1156" s="455" t="s">
        <v>1948</v>
      </c>
      <c r="C1156" s="456" t="n">
        <v>45602</v>
      </c>
      <c r="D1156" s="456"/>
      <c r="E1156" s="57" t="n">
        <v>14151</v>
      </c>
      <c r="F1156" s="323" t="s">
        <v>175</v>
      </c>
      <c r="G1156" s="323" t="s">
        <v>42</v>
      </c>
      <c r="H1156" s="98" t="n">
        <v>135</v>
      </c>
      <c r="I1156" s="457" t="n">
        <v>30</v>
      </c>
      <c r="J1156" s="313" t="s">
        <v>1651</v>
      </c>
      <c r="K1156" s="98" t="n">
        <f aca="false">I1156*H1156</f>
        <v>4050</v>
      </c>
      <c r="L1156" s="411" t="n">
        <v>2322</v>
      </c>
      <c r="M1156" s="392" t="n">
        <f aca="false">L1156/K1156</f>
        <v>0.573333333333333</v>
      </c>
      <c r="N1156" s="466" t="n">
        <f aca="false">I1156*M1156</f>
        <v>17.2</v>
      </c>
      <c r="O1156" s="461" t="n">
        <v>135</v>
      </c>
      <c r="P1156" s="462" t="n">
        <f aca="false">H1156-O1156</f>
        <v>0</v>
      </c>
      <c r="Q1156" s="463" t="n">
        <f aca="false">O1156*I1156</f>
        <v>4050</v>
      </c>
      <c r="R1156" s="48" t="n">
        <f aca="false">K1156-Q1156</f>
        <v>0</v>
      </c>
      <c r="S1156" s="467"/>
      <c r="T1156" s="2" t="s">
        <v>1711</v>
      </c>
      <c r="V1156" s="464"/>
      <c r="W1156" s="464"/>
      <c r="X1156" s="464"/>
      <c r="Y1156" s="464"/>
      <c r="Z1156" s="464"/>
      <c r="AA1156" s="464"/>
      <c r="AB1156" s="464"/>
      <c r="AC1156" s="464"/>
      <c r="AD1156" s="464"/>
      <c r="AE1156" s="464"/>
      <c r="AF1156" s="464"/>
      <c r="AG1156" s="464"/>
      <c r="AH1156" s="465"/>
      <c r="AI1156" s="464"/>
    </row>
    <row r="1157" customFormat="false" ht="15" hidden="false" customHeight="true" outlineLevel="0" collapsed="false">
      <c r="A1157" s="455" t="s">
        <v>1949</v>
      </c>
      <c r="C1157" s="456" t="n">
        <v>45603</v>
      </c>
      <c r="D1157" s="456"/>
      <c r="E1157" s="323" t="n">
        <v>14153</v>
      </c>
      <c r="F1157" s="323" t="s">
        <v>175</v>
      </c>
      <c r="G1157" s="323" t="s">
        <v>15</v>
      </c>
      <c r="H1157" s="98" t="n">
        <v>30</v>
      </c>
      <c r="I1157" s="457" t="n">
        <v>22.5</v>
      </c>
      <c r="J1157" s="313" t="s">
        <v>1651</v>
      </c>
      <c r="K1157" s="98" t="n">
        <f aca="false">I1157*H1157</f>
        <v>675</v>
      </c>
      <c r="L1157" s="411" t="n">
        <v>600</v>
      </c>
      <c r="M1157" s="392" t="n">
        <f aca="false">L1157/K1157</f>
        <v>0.888888888888889</v>
      </c>
      <c r="N1157" s="466" t="n">
        <f aca="false">I1157*M1157</f>
        <v>20</v>
      </c>
      <c r="O1157" s="461" t="n">
        <v>30</v>
      </c>
      <c r="P1157" s="462" t="n">
        <f aca="false">H1157-O1157</f>
        <v>0</v>
      </c>
      <c r="Q1157" s="463" t="n">
        <f aca="false">O1157*I1157</f>
        <v>675</v>
      </c>
      <c r="R1157" s="48" t="n">
        <f aca="false">K1157-Q1157</f>
        <v>0</v>
      </c>
      <c r="S1157" s="467"/>
      <c r="T1157" s="2" t="s">
        <v>1711</v>
      </c>
      <c r="V1157" s="464"/>
      <c r="W1157" s="464"/>
      <c r="X1157" s="464"/>
      <c r="Y1157" s="464"/>
      <c r="Z1157" s="464"/>
      <c r="AA1157" s="464"/>
      <c r="AB1157" s="464"/>
      <c r="AC1157" s="464"/>
      <c r="AD1157" s="464"/>
      <c r="AE1157" s="464"/>
      <c r="AF1157" s="464"/>
      <c r="AG1157" s="464"/>
      <c r="AH1157" s="465"/>
      <c r="AI1157" s="464"/>
    </row>
    <row r="1158" customFormat="false" ht="15" hidden="false" customHeight="true" outlineLevel="0" collapsed="false">
      <c r="A1158" s="455" t="s">
        <v>1949</v>
      </c>
      <c r="C1158" s="456" t="n">
        <v>45603</v>
      </c>
      <c r="D1158" s="456"/>
      <c r="E1158" s="323" t="n">
        <v>14153</v>
      </c>
      <c r="F1158" s="323" t="s">
        <v>175</v>
      </c>
      <c r="G1158" s="323" t="s">
        <v>19</v>
      </c>
      <c r="H1158" s="98" t="n">
        <v>30</v>
      </c>
      <c r="I1158" s="457" t="n">
        <v>22.5</v>
      </c>
      <c r="J1158" s="313" t="s">
        <v>1651</v>
      </c>
      <c r="K1158" s="98" t="n">
        <f aca="false">I1158*H1158</f>
        <v>675</v>
      </c>
      <c r="L1158" s="411" t="n">
        <v>600</v>
      </c>
      <c r="M1158" s="392" t="n">
        <f aca="false">L1158/K1158</f>
        <v>0.888888888888889</v>
      </c>
      <c r="N1158" s="466" t="n">
        <f aca="false">I1158*M1158</f>
        <v>20</v>
      </c>
      <c r="O1158" s="461" t="n">
        <v>30</v>
      </c>
      <c r="P1158" s="462" t="n">
        <f aca="false">H1158-O1158</f>
        <v>0</v>
      </c>
      <c r="Q1158" s="463" t="n">
        <f aca="false">O1158*I1158</f>
        <v>675</v>
      </c>
      <c r="R1158" s="48" t="n">
        <f aca="false">K1158-Q1158</f>
        <v>0</v>
      </c>
      <c r="S1158" s="467"/>
      <c r="T1158" s="2" t="s">
        <v>1711</v>
      </c>
      <c r="V1158" s="464"/>
      <c r="W1158" s="464"/>
      <c r="X1158" s="464"/>
      <c r="Y1158" s="464"/>
      <c r="Z1158" s="464"/>
      <c r="AA1158" s="464"/>
      <c r="AB1158" s="464"/>
      <c r="AC1158" s="464"/>
      <c r="AD1158" s="464"/>
      <c r="AE1158" s="464"/>
      <c r="AF1158" s="464"/>
      <c r="AG1158" s="464"/>
      <c r="AH1158" s="465"/>
      <c r="AI1158" s="464"/>
    </row>
    <row r="1159" customFormat="false" ht="15" hidden="false" customHeight="true" outlineLevel="0" collapsed="false">
      <c r="A1159" s="455" t="s">
        <v>1949</v>
      </c>
      <c r="C1159" s="456" t="n">
        <v>45603</v>
      </c>
      <c r="D1159" s="456"/>
      <c r="E1159" s="323" t="n">
        <v>14153</v>
      </c>
      <c r="F1159" s="323" t="s">
        <v>175</v>
      </c>
      <c r="G1159" s="323" t="s">
        <v>16</v>
      </c>
      <c r="H1159" s="98" t="n">
        <v>30</v>
      </c>
      <c r="I1159" s="457" t="n">
        <v>22.5</v>
      </c>
      <c r="J1159" s="313" t="s">
        <v>1651</v>
      </c>
      <c r="K1159" s="98" t="n">
        <f aca="false">I1159*H1159</f>
        <v>675</v>
      </c>
      <c r="L1159" s="411" t="n">
        <v>600</v>
      </c>
      <c r="M1159" s="392" t="n">
        <f aca="false">L1159/K1159</f>
        <v>0.888888888888889</v>
      </c>
      <c r="N1159" s="466" t="n">
        <f aca="false">I1159*M1159</f>
        <v>20</v>
      </c>
      <c r="O1159" s="461" t="n">
        <v>30</v>
      </c>
      <c r="P1159" s="462" t="n">
        <f aca="false">H1159-O1159</f>
        <v>0</v>
      </c>
      <c r="Q1159" s="463" t="n">
        <f aca="false">O1159*I1159</f>
        <v>675</v>
      </c>
      <c r="R1159" s="48" t="n">
        <f aca="false">K1159-Q1159</f>
        <v>0</v>
      </c>
      <c r="S1159" s="467"/>
      <c r="T1159" s="2" t="s">
        <v>1711</v>
      </c>
      <c r="V1159" s="464"/>
      <c r="W1159" s="464"/>
      <c r="X1159" s="464"/>
      <c r="Y1159" s="464"/>
      <c r="Z1159" s="464"/>
      <c r="AA1159" s="464"/>
      <c r="AB1159" s="464"/>
      <c r="AC1159" s="464"/>
      <c r="AD1159" s="464"/>
      <c r="AE1159" s="464"/>
      <c r="AF1159" s="464"/>
      <c r="AG1159" s="464"/>
      <c r="AH1159" s="465"/>
      <c r="AI1159" s="464"/>
    </row>
    <row r="1160" customFormat="false" ht="15" hidden="false" customHeight="true" outlineLevel="0" collapsed="false">
      <c r="A1160" s="455" t="s">
        <v>1921</v>
      </c>
      <c r="C1160" s="456" t="n">
        <v>45603</v>
      </c>
      <c r="D1160" s="456"/>
      <c r="E1160" s="323" t="n">
        <v>14154</v>
      </c>
      <c r="F1160" s="323" t="s">
        <v>175</v>
      </c>
      <c r="G1160" s="323" t="s">
        <v>6</v>
      </c>
      <c r="H1160" s="98" t="n">
        <v>1800</v>
      </c>
      <c r="I1160" s="457" t="n">
        <v>45</v>
      </c>
      <c r="J1160" s="313" t="s">
        <v>1652</v>
      </c>
      <c r="K1160" s="98" t="n">
        <f aca="false">I1160*H1160</f>
        <v>81000</v>
      </c>
      <c r="L1160" s="411" t="n">
        <v>39420</v>
      </c>
      <c r="M1160" s="392" t="n">
        <f aca="false">L1160/K1160</f>
        <v>0.486666666666667</v>
      </c>
      <c r="N1160" s="466" t="n">
        <f aca="false">I1160*M1160</f>
        <v>21.9</v>
      </c>
      <c r="O1160" s="461" t="n">
        <v>1800</v>
      </c>
      <c r="P1160" s="462" t="n">
        <f aca="false">H1160-O1160</f>
        <v>0</v>
      </c>
      <c r="Q1160" s="463" t="n">
        <f aca="false">O1160*I1160</f>
        <v>81000</v>
      </c>
      <c r="R1160" s="48" t="n">
        <f aca="false">K1160-Q1160</f>
        <v>0</v>
      </c>
      <c r="S1160" s="467"/>
      <c r="T1160" s="2" t="s">
        <v>1711</v>
      </c>
      <c r="V1160" s="464"/>
      <c r="W1160" s="464"/>
      <c r="X1160" s="464"/>
      <c r="Y1160" s="464"/>
      <c r="Z1160" s="464"/>
      <c r="AA1160" s="464"/>
      <c r="AB1160" s="464"/>
      <c r="AC1160" s="464"/>
      <c r="AD1160" s="464"/>
      <c r="AE1160" s="464"/>
      <c r="AF1160" s="464"/>
      <c r="AG1160" s="464"/>
      <c r="AH1160" s="465"/>
      <c r="AI1160" s="464"/>
    </row>
    <row r="1161" customFormat="false" ht="15" hidden="false" customHeight="true" outlineLevel="0" collapsed="false">
      <c r="A1161" s="455" t="s">
        <v>1921</v>
      </c>
      <c r="C1161" s="456" t="n">
        <v>45603</v>
      </c>
      <c r="D1161" s="456"/>
      <c r="E1161" s="323" t="n">
        <v>14154</v>
      </c>
      <c r="F1161" s="323" t="s">
        <v>175</v>
      </c>
      <c r="G1161" s="323" t="s">
        <v>12</v>
      </c>
      <c r="H1161" s="98" t="n">
        <v>225</v>
      </c>
      <c r="I1161" s="457" t="n">
        <v>18</v>
      </c>
      <c r="J1161" s="313" t="s">
        <v>1651</v>
      </c>
      <c r="K1161" s="98" t="n">
        <f aca="false">I1161*H1161</f>
        <v>4050</v>
      </c>
      <c r="L1161" s="411" t="n">
        <v>12712.5</v>
      </c>
      <c r="M1161" s="392" t="n">
        <f aca="false">L1161/K1161</f>
        <v>3.13888888888889</v>
      </c>
      <c r="N1161" s="466" t="n">
        <f aca="false">I1161*M1161</f>
        <v>56.5</v>
      </c>
      <c r="O1161" s="461" t="n">
        <v>225</v>
      </c>
      <c r="P1161" s="462" t="n">
        <f aca="false">H1161-O1161</f>
        <v>0</v>
      </c>
      <c r="Q1161" s="463" t="n">
        <f aca="false">O1161*I1161</f>
        <v>4050</v>
      </c>
      <c r="R1161" s="48" t="n">
        <f aca="false">K1161-Q1161</f>
        <v>0</v>
      </c>
      <c r="S1161" s="467"/>
      <c r="T1161" s="2" t="s">
        <v>1711</v>
      </c>
      <c r="V1161" s="464"/>
      <c r="W1161" s="464"/>
      <c r="X1161" s="464"/>
      <c r="Y1161" s="464"/>
      <c r="Z1161" s="464"/>
      <c r="AA1161" s="464"/>
      <c r="AB1161" s="464"/>
      <c r="AC1161" s="464"/>
      <c r="AD1161" s="464"/>
      <c r="AE1161" s="464"/>
      <c r="AF1161" s="464"/>
      <c r="AG1161" s="464"/>
      <c r="AH1161" s="465"/>
      <c r="AI1161" s="464"/>
    </row>
    <row r="1162" customFormat="false" ht="15" hidden="false" customHeight="true" outlineLevel="0" collapsed="false">
      <c r="A1162" s="455" t="s">
        <v>1921</v>
      </c>
      <c r="C1162" s="456" t="n">
        <v>45603</v>
      </c>
      <c r="D1162" s="456"/>
      <c r="E1162" s="57" t="n">
        <v>14154</v>
      </c>
      <c r="F1162" s="323" t="s">
        <v>175</v>
      </c>
      <c r="G1162" s="323" t="s">
        <v>17</v>
      </c>
      <c r="H1162" s="98" t="n">
        <v>1050</v>
      </c>
      <c r="I1162" s="457" t="n">
        <v>37.5</v>
      </c>
      <c r="J1162" s="313" t="s">
        <v>1652</v>
      </c>
      <c r="K1162" s="98" t="n">
        <f aca="false">I1162*H1162</f>
        <v>39375</v>
      </c>
      <c r="L1162" s="411" t="n">
        <v>19687.5</v>
      </c>
      <c r="M1162" s="392" t="n">
        <f aca="false">L1162/K1162</f>
        <v>0.5</v>
      </c>
      <c r="N1162" s="466" t="n">
        <f aca="false">I1162*M1162</f>
        <v>18.75</v>
      </c>
      <c r="O1162" s="461" t="n">
        <v>1050</v>
      </c>
      <c r="P1162" s="462" t="n">
        <f aca="false">H1162-O1162</f>
        <v>0</v>
      </c>
      <c r="Q1162" s="463" t="n">
        <f aca="false">O1162*I1162</f>
        <v>39375</v>
      </c>
      <c r="R1162" s="48" t="n">
        <f aca="false">K1162-Q1162</f>
        <v>0</v>
      </c>
      <c r="S1162" s="467"/>
      <c r="T1162" s="2" t="s">
        <v>1711</v>
      </c>
      <c r="V1162" s="464"/>
      <c r="W1162" s="464"/>
      <c r="X1162" s="464"/>
      <c r="Y1162" s="464"/>
      <c r="Z1162" s="464"/>
      <c r="AA1162" s="464"/>
      <c r="AB1162" s="464"/>
      <c r="AC1162" s="464"/>
      <c r="AD1162" s="464"/>
      <c r="AE1162" s="464"/>
      <c r="AF1162" s="464"/>
      <c r="AG1162" s="464"/>
      <c r="AH1162" s="465"/>
      <c r="AI1162" s="464"/>
    </row>
    <row r="1163" customFormat="false" ht="15" hidden="false" customHeight="true" outlineLevel="0" collapsed="false">
      <c r="A1163" s="455" t="s">
        <v>1950</v>
      </c>
      <c r="C1163" s="456" t="n">
        <v>45603</v>
      </c>
      <c r="D1163" s="456"/>
      <c r="E1163" s="57" t="n">
        <v>14155</v>
      </c>
      <c r="F1163" s="323" t="s">
        <v>175</v>
      </c>
      <c r="G1163" s="323" t="s">
        <v>5</v>
      </c>
      <c r="H1163" s="98" t="n">
        <v>750</v>
      </c>
      <c r="I1163" s="457" t="n">
        <v>25.71</v>
      </c>
      <c r="J1163" s="313" t="s">
        <v>1651</v>
      </c>
      <c r="K1163" s="98" t="n">
        <f aca="false">I1163*H1163</f>
        <v>19282.5</v>
      </c>
      <c r="L1163" s="411" t="n">
        <v>8565</v>
      </c>
      <c r="M1163" s="392" t="n">
        <f aca="false">L1163/K1163</f>
        <v>0.444185141968106</v>
      </c>
      <c r="N1163" s="466" t="n">
        <f aca="false">I1163*M1163</f>
        <v>11.42</v>
      </c>
      <c r="O1163" s="461" t="n">
        <v>750</v>
      </c>
      <c r="P1163" s="462" t="n">
        <f aca="false">H1163-O1163</f>
        <v>0</v>
      </c>
      <c r="Q1163" s="463" t="n">
        <f aca="false">O1163*I1163</f>
        <v>19282.5</v>
      </c>
      <c r="R1163" s="48" t="n">
        <f aca="false">K1163-Q1163</f>
        <v>0</v>
      </c>
      <c r="S1163" s="467"/>
      <c r="T1163" s="2" t="s">
        <v>1711</v>
      </c>
      <c r="V1163" s="464"/>
      <c r="W1163" s="464"/>
      <c r="X1163" s="464"/>
      <c r="Y1163" s="464"/>
      <c r="Z1163" s="464"/>
      <c r="AA1163" s="464"/>
      <c r="AB1163" s="464"/>
      <c r="AC1163" s="464"/>
      <c r="AD1163" s="464"/>
      <c r="AE1163" s="464"/>
      <c r="AF1163" s="464"/>
      <c r="AG1163" s="464"/>
      <c r="AH1163" s="465"/>
      <c r="AI1163" s="464"/>
    </row>
    <row r="1164" customFormat="false" ht="15" hidden="false" customHeight="true" outlineLevel="0" collapsed="false">
      <c r="A1164" s="455" t="s">
        <v>1950</v>
      </c>
      <c r="C1164" s="456" t="n">
        <v>45603</v>
      </c>
      <c r="D1164" s="456"/>
      <c r="E1164" s="57" t="n">
        <v>14155</v>
      </c>
      <c r="F1164" s="323" t="s">
        <v>175</v>
      </c>
      <c r="G1164" s="323" t="s">
        <v>19</v>
      </c>
      <c r="H1164" s="98" t="n">
        <v>150</v>
      </c>
      <c r="I1164" s="457" t="n">
        <v>22.5</v>
      </c>
      <c r="J1164" s="313" t="s">
        <v>1651</v>
      </c>
      <c r="K1164" s="98" t="n">
        <f aca="false">I1164*H1164</f>
        <v>3375</v>
      </c>
      <c r="L1164" s="411" t="n">
        <v>2880</v>
      </c>
      <c r="M1164" s="392" t="n">
        <f aca="false">L1164/K1164</f>
        <v>0.853333333333333</v>
      </c>
      <c r="N1164" s="466" t="n">
        <f aca="false">I1164*M1164</f>
        <v>19.2</v>
      </c>
      <c r="O1164" s="461" t="n">
        <v>150</v>
      </c>
      <c r="P1164" s="462" t="n">
        <f aca="false">H1164-O1164</f>
        <v>0</v>
      </c>
      <c r="Q1164" s="463" t="n">
        <f aca="false">O1164*I1164</f>
        <v>3375</v>
      </c>
      <c r="R1164" s="48" t="n">
        <f aca="false">K1164-Q1164</f>
        <v>0</v>
      </c>
      <c r="S1164" s="467"/>
      <c r="T1164" s="2" t="s">
        <v>1711</v>
      </c>
      <c r="V1164" s="464"/>
      <c r="W1164" s="464"/>
      <c r="X1164" s="464"/>
      <c r="Y1164" s="464"/>
      <c r="Z1164" s="464"/>
      <c r="AA1164" s="464"/>
      <c r="AB1164" s="464"/>
      <c r="AC1164" s="464"/>
      <c r="AD1164" s="464"/>
      <c r="AE1164" s="464"/>
      <c r="AF1164" s="464"/>
      <c r="AG1164" s="464"/>
      <c r="AH1164" s="465"/>
      <c r="AI1164" s="464"/>
    </row>
    <row r="1165" customFormat="false" ht="15" hidden="false" customHeight="true" outlineLevel="0" collapsed="false">
      <c r="A1165" s="455" t="s">
        <v>1950</v>
      </c>
      <c r="C1165" s="456" t="n">
        <v>45603</v>
      </c>
      <c r="D1165" s="456"/>
      <c r="E1165" s="57" t="n">
        <v>14155</v>
      </c>
      <c r="F1165" s="323" t="s">
        <v>175</v>
      </c>
      <c r="G1165" s="323" t="s">
        <v>12</v>
      </c>
      <c r="H1165" s="98" t="n">
        <v>150</v>
      </c>
      <c r="I1165" s="457" t="n">
        <v>18</v>
      </c>
      <c r="J1165" s="313" t="s">
        <v>1651</v>
      </c>
      <c r="K1165" s="98" t="n">
        <f aca="false">I1165*H1165</f>
        <v>2700</v>
      </c>
      <c r="L1165" s="411" t="n">
        <v>7556.5</v>
      </c>
      <c r="M1165" s="392" t="n">
        <f aca="false">L1165/K1165</f>
        <v>2.7987037037037</v>
      </c>
      <c r="N1165" s="466" t="n">
        <f aca="false">I1165*M1165</f>
        <v>50.3766666666667</v>
      </c>
      <c r="O1165" s="461" t="n">
        <v>150</v>
      </c>
      <c r="P1165" s="462" t="n">
        <f aca="false">H1165-O1165</f>
        <v>0</v>
      </c>
      <c r="Q1165" s="463" t="n">
        <f aca="false">O1165*I1165</f>
        <v>2700</v>
      </c>
      <c r="R1165" s="48" t="n">
        <f aca="false">K1165-Q1165</f>
        <v>0</v>
      </c>
      <c r="S1165" s="467"/>
      <c r="T1165" s="2" t="s">
        <v>1711</v>
      </c>
      <c r="V1165" s="464"/>
      <c r="W1165" s="464"/>
      <c r="X1165" s="464"/>
      <c r="Y1165" s="464"/>
      <c r="Z1165" s="464"/>
      <c r="AA1165" s="464"/>
      <c r="AB1165" s="464"/>
      <c r="AC1165" s="464"/>
      <c r="AD1165" s="464"/>
      <c r="AE1165" s="464"/>
      <c r="AF1165" s="464"/>
      <c r="AG1165" s="464"/>
      <c r="AH1165" s="465"/>
      <c r="AI1165" s="464"/>
    </row>
    <row r="1166" customFormat="false" ht="15" hidden="false" customHeight="true" outlineLevel="0" collapsed="false">
      <c r="A1166" s="455" t="s">
        <v>1950</v>
      </c>
      <c r="C1166" s="456" t="n">
        <v>45603</v>
      </c>
      <c r="D1166" s="456"/>
      <c r="E1166" s="57" t="n">
        <v>14155</v>
      </c>
      <c r="F1166" s="323" t="s">
        <v>175</v>
      </c>
      <c r="G1166" s="323" t="s">
        <v>13</v>
      </c>
      <c r="H1166" s="98" t="n">
        <v>750</v>
      </c>
      <c r="I1166" s="457" t="n">
        <v>22.5</v>
      </c>
      <c r="J1166" s="313" t="s">
        <v>1651</v>
      </c>
      <c r="K1166" s="98" t="n">
        <f aca="false">I1166*H1166</f>
        <v>16875</v>
      </c>
      <c r="L1166" s="411" t="n">
        <v>8400</v>
      </c>
      <c r="M1166" s="392" t="n">
        <f aca="false">L1166/K1166</f>
        <v>0.497777777777778</v>
      </c>
      <c r="N1166" s="466" t="n">
        <f aca="false">I1166*M1166</f>
        <v>11.2</v>
      </c>
      <c r="O1166" s="461" t="n">
        <v>750</v>
      </c>
      <c r="P1166" s="462" t="n">
        <f aca="false">H1166-O1166</f>
        <v>0</v>
      </c>
      <c r="Q1166" s="463" t="n">
        <f aca="false">O1166*I1166</f>
        <v>16875</v>
      </c>
      <c r="R1166" s="48" t="n">
        <f aca="false">K1166-Q1166</f>
        <v>0</v>
      </c>
      <c r="S1166" s="467"/>
      <c r="T1166" s="2" t="s">
        <v>1711</v>
      </c>
      <c r="V1166" s="464"/>
      <c r="W1166" s="464"/>
      <c r="X1166" s="464"/>
      <c r="Y1166" s="464"/>
      <c r="Z1166" s="464"/>
      <c r="AA1166" s="464"/>
      <c r="AB1166" s="464"/>
      <c r="AC1166" s="464"/>
      <c r="AD1166" s="464"/>
      <c r="AE1166" s="464"/>
      <c r="AF1166" s="464"/>
      <c r="AG1166" s="464"/>
      <c r="AH1166" s="465"/>
      <c r="AI1166" s="464"/>
    </row>
    <row r="1167" customFormat="false" ht="15" hidden="false" customHeight="true" outlineLevel="0" collapsed="false">
      <c r="A1167" s="455" t="s">
        <v>1950</v>
      </c>
      <c r="C1167" s="456" t="n">
        <v>45603</v>
      </c>
      <c r="D1167" s="456"/>
      <c r="E1167" s="57" t="n">
        <v>14155</v>
      </c>
      <c r="F1167" s="323" t="s">
        <v>175</v>
      </c>
      <c r="G1167" s="323" t="s">
        <v>5</v>
      </c>
      <c r="H1167" s="98" t="n">
        <v>1250</v>
      </c>
      <c r="I1167" s="457" t="n">
        <v>60</v>
      </c>
      <c r="J1167" s="313" t="s">
        <v>1653</v>
      </c>
      <c r="K1167" s="98" t="n">
        <f aca="false">I1167*H1167</f>
        <v>75000</v>
      </c>
      <c r="L1167" s="411" t="n">
        <v>22875</v>
      </c>
      <c r="M1167" s="392" t="n">
        <f aca="false">L1167/K1167</f>
        <v>0.305</v>
      </c>
      <c r="N1167" s="466" t="n">
        <f aca="false">I1167*M1167</f>
        <v>18.3</v>
      </c>
      <c r="O1167" s="461" t="n">
        <v>1250</v>
      </c>
      <c r="P1167" s="462" t="n">
        <f aca="false">H1167-O1167</f>
        <v>0</v>
      </c>
      <c r="Q1167" s="463" t="n">
        <f aca="false">O1167*I1167</f>
        <v>75000</v>
      </c>
      <c r="R1167" s="48" t="n">
        <f aca="false">K1167-Q1167</f>
        <v>0</v>
      </c>
      <c r="S1167" s="467"/>
      <c r="T1167" s="2" t="s">
        <v>1711</v>
      </c>
      <c r="V1167" s="464"/>
      <c r="W1167" s="464"/>
      <c r="X1167" s="464"/>
      <c r="Y1167" s="464"/>
      <c r="Z1167" s="464"/>
      <c r="AA1167" s="464"/>
      <c r="AB1167" s="464"/>
      <c r="AC1167" s="464"/>
      <c r="AD1167" s="464"/>
      <c r="AE1167" s="464"/>
      <c r="AF1167" s="464"/>
      <c r="AG1167" s="464"/>
      <c r="AH1167" s="465"/>
      <c r="AI1167" s="464"/>
    </row>
    <row r="1168" customFormat="false" ht="15" hidden="false" customHeight="true" outlineLevel="0" collapsed="false">
      <c r="A1168" s="455" t="s">
        <v>1950</v>
      </c>
      <c r="C1168" s="456" t="n">
        <v>45603</v>
      </c>
      <c r="D1168" s="456"/>
      <c r="E1168" s="57" t="n">
        <v>14155</v>
      </c>
      <c r="F1168" s="323" t="s">
        <v>175</v>
      </c>
      <c r="G1168" s="323" t="s">
        <v>13</v>
      </c>
      <c r="H1168" s="98" t="n">
        <v>1250</v>
      </c>
      <c r="I1168" s="457" t="n">
        <v>40</v>
      </c>
      <c r="J1168" s="313" t="s">
        <v>1653</v>
      </c>
      <c r="K1168" s="98" t="n">
        <f aca="false">I1168*H1168</f>
        <v>50000</v>
      </c>
      <c r="L1168" s="411" t="n">
        <v>16000</v>
      </c>
      <c r="M1168" s="392" t="n">
        <f aca="false">L1168/K1168</f>
        <v>0.32</v>
      </c>
      <c r="N1168" s="466" t="n">
        <f aca="false">I1168*M1168</f>
        <v>12.8</v>
      </c>
      <c r="O1168" s="461" t="n">
        <v>1075</v>
      </c>
      <c r="P1168" s="468" t="n">
        <f aca="false">H1168-O1168</f>
        <v>175</v>
      </c>
      <c r="Q1168" s="463" t="n">
        <f aca="false">O1168*I1168</f>
        <v>43000</v>
      </c>
      <c r="R1168" s="48" t="n">
        <f aca="false">K1168-Q1168</f>
        <v>7000</v>
      </c>
      <c r="S1168" s="467" t="n">
        <v>45604</v>
      </c>
      <c r="T1168" s="2" t="s">
        <v>1711</v>
      </c>
      <c r="V1168" s="464"/>
      <c r="W1168" s="464"/>
      <c r="X1168" s="464"/>
      <c r="Y1168" s="464"/>
      <c r="Z1168" s="464"/>
      <c r="AA1168" s="464"/>
      <c r="AB1168" s="464"/>
      <c r="AC1168" s="464"/>
      <c r="AD1168" s="464"/>
      <c r="AE1168" s="464"/>
      <c r="AF1168" s="464"/>
      <c r="AG1168" s="464"/>
      <c r="AH1168" s="465"/>
      <c r="AI1168" s="464"/>
    </row>
    <row r="1169" customFormat="false" ht="15" hidden="false" customHeight="true" outlineLevel="0" collapsed="false">
      <c r="A1169" s="455" t="s">
        <v>1951</v>
      </c>
      <c r="C1169" s="456" t="n">
        <v>45603</v>
      </c>
      <c r="D1169" s="456"/>
      <c r="E1169" s="57" t="n">
        <v>14156</v>
      </c>
      <c r="F1169" s="323" t="s">
        <v>175</v>
      </c>
      <c r="G1169" s="323" t="s">
        <v>20</v>
      </c>
      <c r="H1169" s="98" t="n">
        <v>4020</v>
      </c>
      <c r="I1169" s="457" t="n">
        <v>90</v>
      </c>
      <c r="J1169" s="313" t="s">
        <v>1653</v>
      </c>
      <c r="K1169" s="98" t="n">
        <f aca="false">I1169*H1169</f>
        <v>361800</v>
      </c>
      <c r="L1169" s="411" t="n">
        <v>47838</v>
      </c>
      <c r="M1169" s="392" t="n">
        <f aca="false">L1169/K1169</f>
        <v>0.132222222222222</v>
      </c>
      <c r="N1169" s="466" t="n">
        <f aca="false">I1169*M1169</f>
        <v>11.9</v>
      </c>
      <c r="O1169" s="461" t="n">
        <v>4020</v>
      </c>
      <c r="P1169" s="462" t="n">
        <f aca="false">H1169-O1169</f>
        <v>0</v>
      </c>
      <c r="Q1169" s="463" t="n">
        <f aca="false">O1169*I1169</f>
        <v>361800</v>
      </c>
      <c r="R1169" s="48" t="n">
        <f aca="false">K1169-Q1169</f>
        <v>0</v>
      </c>
      <c r="S1169" s="467"/>
      <c r="T1169" s="2" t="s">
        <v>1711</v>
      </c>
      <c r="V1169" s="464"/>
      <c r="W1169" s="464"/>
      <c r="X1169" s="464"/>
      <c r="Y1169" s="464"/>
      <c r="Z1169" s="464"/>
      <c r="AA1169" s="464"/>
      <c r="AB1169" s="464"/>
      <c r="AC1169" s="464"/>
      <c r="AD1169" s="464"/>
      <c r="AE1169" s="464"/>
      <c r="AF1169" s="464"/>
      <c r="AG1169" s="464"/>
      <c r="AH1169" s="465"/>
      <c r="AI1169" s="464"/>
    </row>
    <row r="1170" customFormat="false" ht="15" hidden="false" customHeight="true" outlineLevel="0" collapsed="false">
      <c r="A1170" s="455" t="s">
        <v>1952</v>
      </c>
      <c r="C1170" s="456" t="n">
        <v>45603</v>
      </c>
      <c r="D1170" s="456"/>
      <c r="E1170" s="57" t="n">
        <v>14157</v>
      </c>
      <c r="F1170" s="323" t="s">
        <v>175</v>
      </c>
      <c r="G1170" s="323" t="s">
        <v>5</v>
      </c>
      <c r="H1170" s="98" t="n">
        <v>20</v>
      </c>
      <c r="I1170" s="457" t="n">
        <v>25.71</v>
      </c>
      <c r="J1170" s="313" t="s">
        <v>1651</v>
      </c>
      <c r="K1170" s="98" t="n">
        <f aca="false">I1170*H1170</f>
        <v>514.2</v>
      </c>
      <c r="L1170" s="411" t="n">
        <v>429.3</v>
      </c>
      <c r="M1170" s="392" t="n">
        <f aca="false">L1170/K1170</f>
        <v>0.834889148191365</v>
      </c>
      <c r="N1170" s="466" t="n">
        <f aca="false">I1170*M1170</f>
        <v>21.465</v>
      </c>
      <c r="O1170" s="461" t="n">
        <v>20</v>
      </c>
      <c r="P1170" s="462" t="n">
        <f aca="false">H1170-O1170</f>
        <v>0</v>
      </c>
      <c r="Q1170" s="463" t="n">
        <f aca="false">O1170*I1170</f>
        <v>514.2</v>
      </c>
      <c r="R1170" s="48" t="n">
        <f aca="false">K1170-Q1170</f>
        <v>0</v>
      </c>
      <c r="S1170" s="467"/>
      <c r="T1170" s="2" t="s">
        <v>1711</v>
      </c>
      <c r="V1170" s="464"/>
      <c r="W1170" s="464"/>
      <c r="X1170" s="464"/>
      <c r="Y1170" s="464"/>
      <c r="Z1170" s="464"/>
      <c r="AA1170" s="464"/>
      <c r="AB1170" s="464"/>
      <c r="AC1170" s="464"/>
      <c r="AD1170" s="464"/>
      <c r="AE1170" s="464"/>
      <c r="AF1170" s="464"/>
      <c r="AG1170" s="464"/>
      <c r="AH1170" s="465"/>
      <c r="AI1170" s="464"/>
    </row>
    <row r="1171" customFormat="false" ht="15" hidden="false" customHeight="true" outlineLevel="0" collapsed="false">
      <c r="A1171" s="455" t="s">
        <v>1952</v>
      </c>
      <c r="C1171" s="456" t="n">
        <v>45603</v>
      </c>
      <c r="D1171" s="456"/>
      <c r="E1171" s="323" t="n">
        <v>14157</v>
      </c>
      <c r="F1171" s="323" t="s">
        <v>175</v>
      </c>
      <c r="G1171" s="323" t="s">
        <v>7</v>
      </c>
      <c r="H1171" s="98" t="n">
        <v>15</v>
      </c>
      <c r="I1171" s="457" t="n">
        <v>36</v>
      </c>
      <c r="J1171" s="313" t="s">
        <v>1652</v>
      </c>
      <c r="K1171" s="98" t="n">
        <f aca="false">I1171*H1171</f>
        <v>540</v>
      </c>
      <c r="L1171" s="411" t="n">
        <v>530.7</v>
      </c>
      <c r="M1171" s="392" t="n">
        <f aca="false">L1171/K1171</f>
        <v>0.982777777777778</v>
      </c>
      <c r="N1171" s="466" t="n">
        <f aca="false">I1171*M1171</f>
        <v>35.38</v>
      </c>
      <c r="O1171" s="461" t="n">
        <v>15</v>
      </c>
      <c r="P1171" s="462" t="n">
        <f aca="false">H1171-O1171</f>
        <v>0</v>
      </c>
      <c r="Q1171" s="463" t="n">
        <f aca="false">O1171*I1171</f>
        <v>540</v>
      </c>
      <c r="R1171" s="48" t="n">
        <f aca="false">K1171-Q1171</f>
        <v>0</v>
      </c>
      <c r="S1171" s="467"/>
      <c r="T1171" s="2" t="s">
        <v>1711</v>
      </c>
      <c r="V1171" s="464"/>
      <c r="W1171" s="464"/>
      <c r="X1171" s="464"/>
      <c r="Y1171" s="464"/>
      <c r="Z1171" s="464"/>
      <c r="AA1171" s="464"/>
      <c r="AB1171" s="464"/>
      <c r="AC1171" s="464"/>
      <c r="AD1171" s="464"/>
      <c r="AE1171" s="464"/>
      <c r="AF1171" s="464"/>
      <c r="AG1171" s="464"/>
      <c r="AH1171" s="465"/>
      <c r="AI1171" s="464"/>
    </row>
    <row r="1172" customFormat="false" ht="15" hidden="false" customHeight="true" outlineLevel="0" collapsed="false">
      <c r="A1172" s="455" t="s">
        <v>1952</v>
      </c>
      <c r="C1172" s="456" t="n">
        <v>45603</v>
      </c>
      <c r="D1172" s="456"/>
      <c r="E1172" s="57" t="n">
        <v>14157</v>
      </c>
      <c r="F1172" s="323" t="s">
        <v>175</v>
      </c>
      <c r="G1172" s="323" t="s">
        <v>12</v>
      </c>
      <c r="H1172" s="98" t="n">
        <v>15</v>
      </c>
      <c r="I1172" s="457" t="n">
        <v>18</v>
      </c>
      <c r="J1172" s="313" t="s">
        <v>1651</v>
      </c>
      <c r="K1172" s="98" t="n">
        <f aca="false">I1172*H1172</f>
        <v>270</v>
      </c>
      <c r="L1172" s="411" t="n">
        <v>1160.7</v>
      </c>
      <c r="M1172" s="392" t="n">
        <f aca="false">L1172/K1172</f>
        <v>4.29888888888889</v>
      </c>
      <c r="N1172" s="466" t="n">
        <f aca="false">I1172*M1172</f>
        <v>77.38</v>
      </c>
      <c r="O1172" s="461" t="n">
        <v>15</v>
      </c>
      <c r="P1172" s="462" t="n">
        <f aca="false">H1172-O1172</f>
        <v>0</v>
      </c>
      <c r="Q1172" s="463" t="n">
        <f aca="false">O1172*I1172</f>
        <v>270</v>
      </c>
      <c r="R1172" s="48" t="n">
        <f aca="false">K1172-Q1172</f>
        <v>0</v>
      </c>
      <c r="S1172" s="467"/>
      <c r="T1172" s="2" t="s">
        <v>1711</v>
      </c>
      <c r="V1172" s="464"/>
      <c r="W1172" s="464"/>
      <c r="X1172" s="464"/>
      <c r="Y1172" s="464"/>
      <c r="Z1172" s="464"/>
      <c r="AA1172" s="464"/>
      <c r="AB1172" s="464"/>
      <c r="AC1172" s="464"/>
      <c r="AD1172" s="464"/>
      <c r="AE1172" s="464"/>
      <c r="AF1172" s="464"/>
      <c r="AG1172" s="464"/>
      <c r="AH1172" s="465"/>
      <c r="AI1172" s="464"/>
    </row>
    <row r="1173" customFormat="false" ht="15" hidden="false" customHeight="true" outlineLevel="0" collapsed="false">
      <c r="A1173" s="455" t="s">
        <v>1952</v>
      </c>
      <c r="C1173" s="456" t="n">
        <v>45603</v>
      </c>
      <c r="D1173" s="456"/>
      <c r="E1173" s="57" t="n">
        <v>14157</v>
      </c>
      <c r="F1173" s="323" t="s">
        <v>175</v>
      </c>
      <c r="G1173" s="323" t="s">
        <v>13</v>
      </c>
      <c r="H1173" s="98" t="n">
        <v>15</v>
      </c>
      <c r="I1173" s="457" t="n">
        <v>37.5</v>
      </c>
      <c r="J1173" s="313" t="s">
        <v>1652</v>
      </c>
      <c r="K1173" s="98" t="n">
        <f aca="false">I1173*H1173</f>
        <v>562.5</v>
      </c>
      <c r="L1173" s="411" t="n">
        <v>406.95</v>
      </c>
      <c r="M1173" s="392" t="n">
        <f aca="false">L1173/K1173</f>
        <v>0.723466666666667</v>
      </c>
      <c r="N1173" s="466" t="n">
        <f aca="false">I1173*M1173</f>
        <v>27.13</v>
      </c>
      <c r="O1173" s="461" t="n">
        <v>15</v>
      </c>
      <c r="P1173" s="462" t="n">
        <f aca="false">H1173-O1173</f>
        <v>0</v>
      </c>
      <c r="Q1173" s="463" t="n">
        <f aca="false">O1173*I1173</f>
        <v>562.5</v>
      </c>
      <c r="R1173" s="48" t="n">
        <f aca="false">K1173-Q1173</f>
        <v>0</v>
      </c>
      <c r="S1173" s="467"/>
      <c r="T1173" s="2" t="s">
        <v>1711</v>
      </c>
      <c r="V1173" s="464"/>
      <c r="W1173" s="464"/>
      <c r="X1173" s="464"/>
      <c r="Y1173" s="464"/>
      <c r="Z1173" s="464"/>
      <c r="AA1173" s="464"/>
      <c r="AB1173" s="464"/>
      <c r="AC1173" s="464"/>
      <c r="AD1173" s="464"/>
      <c r="AE1173" s="464"/>
      <c r="AF1173" s="464"/>
      <c r="AG1173" s="464"/>
      <c r="AH1173" s="465"/>
      <c r="AI1173" s="464"/>
    </row>
    <row r="1174" customFormat="false" ht="15" hidden="false" customHeight="true" outlineLevel="0" collapsed="false">
      <c r="A1174" s="455" t="s">
        <v>1952</v>
      </c>
      <c r="C1174" s="456" t="n">
        <v>45603</v>
      </c>
      <c r="D1174" s="456"/>
      <c r="E1174" s="57" t="n">
        <v>14157</v>
      </c>
      <c r="F1174" s="323" t="s">
        <v>175</v>
      </c>
      <c r="G1174" s="323" t="s">
        <v>10</v>
      </c>
      <c r="H1174" s="98" t="n">
        <v>15</v>
      </c>
      <c r="I1174" s="457" t="n">
        <v>38.3</v>
      </c>
      <c r="J1174" s="313" t="s">
        <v>1652</v>
      </c>
      <c r="K1174" s="98" t="n">
        <f aca="false">I1174*H1174</f>
        <v>574.5</v>
      </c>
      <c r="L1174" s="411" t="n">
        <v>238.5</v>
      </c>
      <c r="M1174" s="392" t="n">
        <f aca="false">L1174/K1174</f>
        <v>0.415143603133159</v>
      </c>
      <c r="N1174" s="466" t="n">
        <f aca="false">I1174*M1174</f>
        <v>15.9</v>
      </c>
      <c r="O1174" s="461" t="n">
        <v>15</v>
      </c>
      <c r="P1174" s="462" t="n">
        <f aca="false">H1174-O1174</f>
        <v>0</v>
      </c>
      <c r="Q1174" s="463" t="n">
        <f aca="false">O1174*I1174</f>
        <v>574.5</v>
      </c>
      <c r="R1174" s="48" t="n">
        <f aca="false">K1174-Q1174</f>
        <v>0</v>
      </c>
      <c r="S1174" s="467"/>
      <c r="T1174" s="2" t="s">
        <v>1711</v>
      </c>
      <c r="V1174" s="464"/>
      <c r="W1174" s="464"/>
      <c r="X1174" s="464"/>
      <c r="Y1174" s="464"/>
      <c r="Z1174" s="464"/>
      <c r="AA1174" s="464"/>
      <c r="AB1174" s="464"/>
      <c r="AC1174" s="464"/>
      <c r="AD1174" s="464"/>
      <c r="AE1174" s="464"/>
      <c r="AF1174" s="464"/>
      <c r="AG1174" s="464"/>
      <c r="AH1174" s="465"/>
      <c r="AI1174" s="464"/>
    </row>
    <row r="1175" customFormat="false" ht="15" hidden="false" customHeight="true" outlineLevel="0" collapsed="false">
      <c r="A1175" s="455" t="s">
        <v>1953</v>
      </c>
      <c r="C1175" s="456" t="n">
        <v>45603</v>
      </c>
      <c r="D1175" s="456"/>
      <c r="E1175" s="57" t="n">
        <v>14160</v>
      </c>
      <c r="F1175" s="323" t="s">
        <v>175</v>
      </c>
      <c r="G1175" s="323" t="s">
        <v>10</v>
      </c>
      <c r="H1175" s="98" t="n">
        <v>3000</v>
      </c>
      <c r="I1175" s="457" t="n">
        <v>90</v>
      </c>
      <c r="J1175" s="313" t="s">
        <v>1653</v>
      </c>
      <c r="K1175" s="98" t="n">
        <f aca="false">I1175*H1175</f>
        <v>270000</v>
      </c>
      <c r="L1175" s="411" t="n">
        <v>42000</v>
      </c>
      <c r="M1175" s="392" t="n">
        <f aca="false">L1175/K1175</f>
        <v>0.155555555555556</v>
      </c>
      <c r="N1175" s="466" t="n">
        <f aca="false">I1175*M1175</f>
        <v>14</v>
      </c>
      <c r="O1175" s="461" t="n">
        <v>3000</v>
      </c>
      <c r="P1175" s="462" t="n">
        <f aca="false">H1175-O1175</f>
        <v>0</v>
      </c>
      <c r="Q1175" s="463" t="n">
        <f aca="false">O1175*I1175</f>
        <v>270000</v>
      </c>
      <c r="R1175" s="48" t="n">
        <f aca="false">K1175-Q1175</f>
        <v>0</v>
      </c>
      <c r="S1175" s="467"/>
      <c r="T1175" s="2" t="s">
        <v>1711</v>
      </c>
      <c r="V1175" s="464"/>
      <c r="W1175" s="464"/>
      <c r="X1175" s="464"/>
      <c r="Y1175" s="464"/>
      <c r="Z1175" s="464"/>
      <c r="AA1175" s="464"/>
      <c r="AB1175" s="464"/>
      <c r="AC1175" s="464"/>
      <c r="AD1175" s="464"/>
      <c r="AE1175" s="464"/>
      <c r="AF1175" s="464"/>
      <c r="AG1175" s="464"/>
      <c r="AH1175" s="465"/>
      <c r="AI1175" s="464"/>
    </row>
    <row r="1176" customFormat="false" ht="15" hidden="false" customHeight="true" outlineLevel="0" collapsed="false">
      <c r="A1176" s="455" t="s">
        <v>58</v>
      </c>
      <c r="C1176" s="456" t="n">
        <v>45604</v>
      </c>
      <c r="D1176" s="456"/>
      <c r="E1176" s="323" t="n">
        <v>14162</v>
      </c>
      <c r="F1176" s="323" t="s">
        <v>175</v>
      </c>
      <c r="G1176" s="323" t="s">
        <v>5</v>
      </c>
      <c r="H1176" s="98" t="n">
        <v>300</v>
      </c>
      <c r="I1176" s="457" t="n">
        <v>25.71</v>
      </c>
      <c r="J1176" s="313" t="s">
        <v>1651</v>
      </c>
      <c r="K1176" s="98" t="n">
        <f aca="false">I1176*H1176</f>
        <v>7713</v>
      </c>
      <c r="L1176" s="411" t="n">
        <v>4470</v>
      </c>
      <c r="M1176" s="392" t="n">
        <f aca="false">L1176/K1176</f>
        <v>0.579541034616881</v>
      </c>
      <c r="N1176" s="466" t="n">
        <f aca="false">I1176*M1176</f>
        <v>14.9</v>
      </c>
      <c r="O1176" s="461" t="n">
        <v>300</v>
      </c>
      <c r="P1176" s="462" t="n">
        <f aca="false">H1176-O1176</f>
        <v>0</v>
      </c>
      <c r="Q1176" s="463" t="n">
        <f aca="false">O1176*I1176</f>
        <v>7713</v>
      </c>
      <c r="R1176" s="48" t="n">
        <f aca="false">K1176-Q1176</f>
        <v>0</v>
      </c>
      <c r="S1176" s="467"/>
      <c r="T1176" s="2" t="s">
        <v>1711</v>
      </c>
      <c r="V1176" s="464"/>
      <c r="W1176" s="464"/>
      <c r="X1176" s="464"/>
      <c r="Y1176" s="464"/>
      <c r="Z1176" s="464"/>
      <c r="AA1176" s="464"/>
      <c r="AB1176" s="464"/>
      <c r="AC1176" s="464"/>
      <c r="AD1176" s="464"/>
      <c r="AE1176" s="464"/>
      <c r="AF1176" s="464"/>
      <c r="AG1176" s="464"/>
      <c r="AH1176" s="465"/>
      <c r="AI1176" s="464"/>
    </row>
    <row r="1177" customFormat="false" ht="15" hidden="false" customHeight="true" outlineLevel="0" collapsed="false">
      <c r="A1177" s="455" t="s">
        <v>1954</v>
      </c>
      <c r="C1177" s="456" t="n">
        <v>45607</v>
      </c>
      <c r="D1177" s="456"/>
      <c r="E1177" s="323" t="n">
        <v>14164</v>
      </c>
      <c r="F1177" s="323" t="s">
        <v>175</v>
      </c>
      <c r="G1177" s="323" t="s">
        <v>5</v>
      </c>
      <c r="H1177" s="98" t="n">
        <v>70</v>
      </c>
      <c r="I1177" s="457" t="n">
        <v>25.71</v>
      </c>
      <c r="J1177" s="313" t="s">
        <v>1651</v>
      </c>
      <c r="K1177" s="98" t="n">
        <f aca="false">I1177*H1177</f>
        <v>1799.7</v>
      </c>
      <c r="L1177" s="411" t="n">
        <v>1918</v>
      </c>
      <c r="M1177" s="392" t="n">
        <f aca="false">L1177/K1177</f>
        <v>1.06573317775185</v>
      </c>
      <c r="N1177" s="466" t="n">
        <f aca="false">I1177*M1177</f>
        <v>27.4</v>
      </c>
      <c r="O1177" s="461" t="n">
        <v>70</v>
      </c>
      <c r="P1177" s="462" t="n">
        <f aca="false">H1177-O1177</f>
        <v>0</v>
      </c>
      <c r="Q1177" s="463" t="n">
        <f aca="false">O1177*I1177</f>
        <v>1799.7</v>
      </c>
      <c r="R1177" s="48" t="n">
        <f aca="false">K1177-Q1177</f>
        <v>0</v>
      </c>
      <c r="S1177" s="467"/>
      <c r="T1177" s="2" t="s">
        <v>1711</v>
      </c>
      <c r="V1177" s="464"/>
      <c r="W1177" s="464"/>
      <c r="X1177" s="464"/>
      <c r="Y1177" s="464"/>
      <c r="Z1177" s="464"/>
      <c r="AA1177" s="464"/>
      <c r="AB1177" s="464"/>
      <c r="AC1177" s="464"/>
      <c r="AD1177" s="464"/>
      <c r="AE1177" s="464"/>
      <c r="AF1177" s="464"/>
      <c r="AG1177" s="464"/>
      <c r="AH1177" s="465"/>
      <c r="AI1177" s="464"/>
    </row>
    <row r="1178" customFormat="false" ht="15" hidden="false" customHeight="true" outlineLevel="0" collapsed="false">
      <c r="A1178" s="455" t="s">
        <v>1954</v>
      </c>
      <c r="C1178" s="456" t="n">
        <v>45607</v>
      </c>
      <c r="D1178" s="456"/>
      <c r="E1178" s="323" t="n">
        <v>14164</v>
      </c>
      <c r="F1178" s="323" t="s">
        <v>175</v>
      </c>
      <c r="G1178" s="323" t="s">
        <v>15</v>
      </c>
      <c r="H1178" s="98" t="n">
        <v>75</v>
      </c>
      <c r="I1178" s="457" t="n">
        <v>22.5</v>
      </c>
      <c r="J1178" s="313" t="s">
        <v>1651</v>
      </c>
      <c r="K1178" s="98" t="n">
        <f aca="false">I1178*H1178</f>
        <v>1687.5</v>
      </c>
      <c r="L1178" s="411" t="n">
        <v>1992</v>
      </c>
      <c r="M1178" s="392" t="n">
        <f aca="false">L1178/K1178</f>
        <v>1.18044444444444</v>
      </c>
      <c r="N1178" s="466" t="n">
        <f aca="false">I1178*M1178</f>
        <v>26.56</v>
      </c>
      <c r="O1178" s="461" t="n">
        <v>75</v>
      </c>
      <c r="P1178" s="462" t="n">
        <f aca="false">H1178-O1178</f>
        <v>0</v>
      </c>
      <c r="Q1178" s="463" t="n">
        <f aca="false">O1178*I1178</f>
        <v>1687.5</v>
      </c>
      <c r="R1178" s="48" t="n">
        <f aca="false">K1178-Q1178</f>
        <v>0</v>
      </c>
      <c r="S1178" s="467"/>
      <c r="T1178" s="2" t="s">
        <v>1711</v>
      </c>
      <c r="V1178" s="464"/>
      <c r="W1178" s="464"/>
      <c r="X1178" s="464"/>
      <c r="Y1178" s="464"/>
      <c r="Z1178" s="464"/>
      <c r="AA1178" s="464"/>
      <c r="AB1178" s="464"/>
      <c r="AC1178" s="464"/>
      <c r="AD1178" s="464"/>
      <c r="AE1178" s="464"/>
      <c r="AF1178" s="464"/>
      <c r="AG1178" s="464"/>
      <c r="AH1178" s="465"/>
      <c r="AI1178" s="464"/>
    </row>
    <row r="1179" customFormat="false" ht="15" hidden="false" customHeight="true" outlineLevel="0" collapsed="false">
      <c r="A1179" s="455" t="s">
        <v>1955</v>
      </c>
      <c r="C1179" s="456" t="n">
        <v>45607</v>
      </c>
      <c r="D1179" s="456"/>
      <c r="E1179" s="323" t="n">
        <v>14165</v>
      </c>
      <c r="F1179" s="323" t="s">
        <v>175</v>
      </c>
      <c r="G1179" s="323" t="s">
        <v>15</v>
      </c>
      <c r="H1179" s="98" t="n">
        <v>750</v>
      </c>
      <c r="I1179" s="457" t="n">
        <v>22.5</v>
      </c>
      <c r="J1179" s="313" t="s">
        <v>1651</v>
      </c>
      <c r="K1179" s="98" t="n">
        <f aca="false">I1179*H1179</f>
        <v>16875</v>
      </c>
      <c r="L1179" s="411" t="n">
        <v>11865</v>
      </c>
      <c r="M1179" s="392" t="n">
        <f aca="false">L1179/K1179</f>
        <v>0.703111111111111</v>
      </c>
      <c r="N1179" s="466" t="n">
        <f aca="false">I1179*M1179</f>
        <v>15.82</v>
      </c>
      <c r="O1179" s="461" t="n">
        <v>750</v>
      </c>
      <c r="P1179" s="462" t="n">
        <f aca="false">H1179-O1179</f>
        <v>0</v>
      </c>
      <c r="Q1179" s="463" t="n">
        <f aca="false">O1179*I1179</f>
        <v>16875</v>
      </c>
      <c r="R1179" s="48" t="n">
        <f aca="false">K1179-Q1179</f>
        <v>0</v>
      </c>
      <c r="S1179" s="467"/>
      <c r="T1179" s="2" t="s">
        <v>1711</v>
      </c>
      <c r="V1179" s="464"/>
      <c r="W1179" s="464"/>
      <c r="X1179" s="464"/>
      <c r="Y1179" s="464"/>
      <c r="Z1179" s="464"/>
      <c r="AA1179" s="464"/>
      <c r="AB1179" s="464"/>
      <c r="AC1179" s="464"/>
      <c r="AD1179" s="464"/>
      <c r="AE1179" s="464"/>
      <c r="AF1179" s="464"/>
      <c r="AG1179" s="464"/>
      <c r="AH1179" s="465"/>
      <c r="AI1179" s="464"/>
    </row>
    <row r="1180" customFormat="false" ht="15" hidden="false" customHeight="true" outlineLevel="0" collapsed="false">
      <c r="A1180" s="455" t="s">
        <v>1955</v>
      </c>
      <c r="C1180" s="456" t="n">
        <v>45607</v>
      </c>
      <c r="D1180" s="456"/>
      <c r="E1180" s="323" t="n">
        <v>14165</v>
      </c>
      <c r="F1180" s="323" t="s">
        <v>175</v>
      </c>
      <c r="G1180" s="323" t="s">
        <v>5</v>
      </c>
      <c r="H1180" s="98" t="n">
        <v>750</v>
      </c>
      <c r="I1180" s="457" t="n">
        <v>25.71</v>
      </c>
      <c r="J1180" s="313" t="s">
        <v>1651</v>
      </c>
      <c r="K1180" s="98" t="n">
        <f aca="false">I1180*H1180</f>
        <v>19282.5</v>
      </c>
      <c r="L1180" s="411" t="n">
        <v>8565</v>
      </c>
      <c r="M1180" s="392" t="n">
        <f aca="false">L1180/K1180</f>
        <v>0.444185141968106</v>
      </c>
      <c r="N1180" s="466" t="n">
        <f aca="false">I1180*M1180</f>
        <v>11.42</v>
      </c>
      <c r="O1180" s="461" t="n">
        <v>750</v>
      </c>
      <c r="P1180" s="462" t="n">
        <f aca="false">H1180-O1180</f>
        <v>0</v>
      </c>
      <c r="Q1180" s="463" t="n">
        <f aca="false">O1180*I1180</f>
        <v>19282.5</v>
      </c>
      <c r="R1180" s="48" t="n">
        <f aca="false">K1180-Q1180</f>
        <v>0</v>
      </c>
      <c r="S1180" s="108"/>
      <c r="T1180" s="2" t="s">
        <v>1711</v>
      </c>
      <c r="V1180" s="464"/>
      <c r="W1180" s="464"/>
      <c r="X1180" s="464"/>
      <c r="Y1180" s="464"/>
      <c r="Z1180" s="464"/>
      <c r="AA1180" s="464"/>
      <c r="AB1180" s="464"/>
      <c r="AC1180" s="464"/>
      <c r="AD1180" s="464"/>
      <c r="AE1180" s="464"/>
      <c r="AF1180" s="464"/>
      <c r="AG1180" s="464"/>
      <c r="AH1180" s="465"/>
      <c r="AI1180" s="464"/>
    </row>
    <row r="1181" customFormat="false" ht="15" hidden="false" customHeight="true" outlineLevel="0" collapsed="false">
      <c r="A1181" s="455" t="s">
        <v>1956</v>
      </c>
      <c r="C1181" s="456" t="n">
        <v>45607</v>
      </c>
      <c r="D1181" s="456"/>
      <c r="E1181" s="323" t="n">
        <v>14166</v>
      </c>
      <c r="F1181" s="323" t="s">
        <v>175</v>
      </c>
      <c r="G1181" s="323" t="s">
        <v>7</v>
      </c>
      <c r="H1181" s="98" t="n">
        <v>2490</v>
      </c>
      <c r="I1181" s="457" t="n">
        <v>25.71</v>
      </c>
      <c r="J1181" s="313" t="s">
        <v>1651</v>
      </c>
      <c r="K1181" s="98" t="n">
        <f aca="false">I1181*H1181</f>
        <v>64017.9</v>
      </c>
      <c r="L1181" s="411" t="n">
        <v>41309.1</v>
      </c>
      <c r="M1181" s="392" t="n">
        <f aca="false">L1181/K1181</f>
        <v>0.645274212368728</v>
      </c>
      <c r="N1181" s="466" t="n">
        <f aca="false">I1181*M1181</f>
        <v>16.59</v>
      </c>
      <c r="O1181" s="461" t="n">
        <v>2490</v>
      </c>
      <c r="P1181" s="462" t="n">
        <f aca="false">H1181-O1181</f>
        <v>0</v>
      </c>
      <c r="Q1181" s="463" t="n">
        <f aca="false">O1181*I1181</f>
        <v>64017.9</v>
      </c>
      <c r="R1181" s="48" t="n">
        <f aca="false">K1181-Q1181</f>
        <v>0</v>
      </c>
      <c r="S1181" s="467"/>
      <c r="T1181" s="2" t="s">
        <v>1711</v>
      </c>
      <c r="V1181" s="464"/>
      <c r="W1181" s="464"/>
      <c r="X1181" s="464"/>
      <c r="Y1181" s="464"/>
      <c r="Z1181" s="464"/>
      <c r="AA1181" s="464"/>
      <c r="AB1181" s="464"/>
      <c r="AC1181" s="464"/>
      <c r="AD1181" s="464"/>
      <c r="AE1181" s="464"/>
      <c r="AF1181" s="464"/>
      <c r="AG1181" s="464"/>
      <c r="AH1181" s="465"/>
      <c r="AI1181" s="464"/>
    </row>
    <row r="1182" customFormat="false" ht="15" hidden="false" customHeight="true" outlineLevel="0" collapsed="false">
      <c r="A1182" s="455" t="s">
        <v>1956</v>
      </c>
      <c r="C1182" s="456" t="n">
        <v>45607</v>
      </c>
      <c r="D1182" s="456"/>
      <c r="E1182" s="323" t="n">
        <v>14166</v>
      </c>
      <c r="F1182" s="323" t="s">
        <v>175</v>
      </c>
      <c r="G1182" s="323" t="s">
        <v>15</v>
      </c>
      <c r="H1182" s="98" t="n">
        <v>915</v>
      </c>
      <c r="I1182" s="457" t="n">
        <v>22.5</v>
      </c>
      <c r="J1182" s="313" t="s">
        <v>1651</v>
      </c>
      <c r="K1182" s="98" t="n">
        <f aca="false">I1182*H1182</f>
        <v>20587.5</v>
      </c>
      <c r="L1182" s="411" t="n">
        <v>14960.25</v>
      </c>
      <c r="M1182" s="392" t="n">
        <f aca="false">L1182/K1182</f>
        <v>0.726666666666667</v>
      </c>
      <c r="N1182" s="466" t="n">
        <f aca="false">I1182*M1182</f>
        <v>16.35</v>
      </c>
      <c r="O1182" s="461" t="n">
        <v>915</v>
      </c>
      <c r="P1182" s="462" t="n">
        <f aca="false">H1182-O1182</f>
        <v>0</v>
      </c>
      <c r="Q1182" s="463" t="n">
        <f aca="false">O1182*I1182</f>
        <v>20587.5</v>
      </c>
      <c r="R1182" s="48" t="n">
        <f aca="false">K1182-Q1182</f>
        <v>0</v>
      </c>
      <c r="S1182" s="467"/>
      <c r="T1182" s="2" t="s">
        <v>1711</v>
      </c>
      <c r="V1182" s="464"/>
      <c r="W1182" s="464"/>
      <c r="X1182" s="464"/>
      <c r="Y1182" s="464"/>
      <c r="Z1182" s="464"/>
      <c r="AA1182" s="464"/>
      <c r="AB1182" s="464"/>
      <c r="AC1182" s="464"/>
      <c r="AD1182" s="464"/>
      <c r="AE1182" s="464"/>
      <c r="AF1182" s="464"/>
      <c r="AG1182" s="464"/>
      <c r="AH1182" s="465"/>
      <c r="AI1182" s="464"/>
    </row>
    <row r="1183" customFormat="false" ht="15" hidden="false" customHeight="true" outlineLevel="0" collapsed="false">
      <c r="A1183" s="455" t="s">
        <v>1956</v>
      </c>
      <c r="C1183" s="456" t="n">
        <v>45607</v>
      </c>
      <c r="D1183" s="456"/>
      <c r="E1183" s="323" t="n">
        <v>14166</v>
      </c>
      <c r="F1183" s="323" t="s">
        <v>175</v>
      </c>
      <c r="G1183" s="323" t="s">
        <v>5</v>
      </c>
      <c r="H1183" s="98" t="n">
        <v>22005</v>
      </c>
      <c r="I1183" s="457" t="n">
        <v>25.71</v>
      </c>
      <c r="J1183" s="313" t="s">
        <v>1651</v>
      </c>
      <c r="K1183" s="98" t="n">
        <f aca="false">I1183*H1183</f>
        <v>565748.55</v>
      </c>
      <c r="L1183" s="411" t="n">
        <v>307849.95</v>
      </c>
      <c r="M1183" s="392" t="n">
        <f aca="false">L1183/K1183</f>
        <v>0.544146246596655</v>
      </c>
      <c r="N1183" s="466" t="n">
        <f aca="false">I1183*M1183</f>
        <v>13.99</v>
      </c>
      <c r="O1183" s="461" t="n">
        <v>22005</v>
      </c>
      <c r="P1183" s="462" t="n">
        <f aca="false">H1183-O1183</f>
        <v>0</v>
      </c>
      <c r="Q1183" s="463" t="n">
        <f aca="false">O1183*I1183</f>
        <v>565748.55</v>
      </c>
      <c r="R1183" s="48" t="n">
        <f aca="false">K1183-Q1183</f>
        <v>0</v>
      </c>
      <c r="S1183" s="467"/>
      <c r="T1183" s="2" t="s">
        <v>1711</v>
      </c>
      <c r="V1183" s="464"/>
      <c r="W1183" s="464"/>
      <c r="X1183" s="464"/>
      <c r="Y1183" s="464"/>
      <c r="Z1183" s="464"/>
      <c r="AA1183" s="464"/>
      <c r="AB1183" s="464"/>
      <c r="AC1183" s="464"/>
      <c r="AD1183" s="464"/>
      <c r="AE1183" s="464"/>
      <c r="AF1183" s="464"/>
      <c r="AG1183" s="464"/>
      <c r="AH1183" s="465"/>
      <c r="AI1183" s="464"/>
    </row>
    <row r="1184" customFormat="false" ht="15" hidden="false" customHeight="true" outlineLevel="0" collapsed="false">
      <c r="A1184" s="455" t="s">
        <v>1956</v>
      </c>
      <c r="C1184" s="456" t="n">
        <v>45607</v>
      </c>
      <c r="D1184" s="456"/>
      <c r="E1184" s="323" t="n">
        <v>14166</v>
      </c>
      <c r="F1184" s="323" t="s">
        <v>175</v>
      </c>
      <c r="G1184" s="323" t="s">
        <v>42</v>
      </c>
      <c r="H1184" s="98" t="n">
        <v>2505</v>
      </c>
      <c r="I1184" s="457" t="n">
        <v>30</v>
      </c>
      <c r="J1184" s="313" t="s">
        <v>1651</v>
      </c>
      <c r="K1184" s="98" t="n">
        <f aca="false">I1184*H1184</f>
        <v>75150</v>
      </c>
      <c r="L1184" s="411" t="n">
        <v>37825.5</v>
      </c>
      <c r="M1184" s="392" t="n">
        <f aca="false">L1184/K1184</f>
        <v>0.503333333333333</v>
      </c>
      <c r="N1184" s="466" t="n">
        <f aca="false">I1184*M1184</f>
        <v>15.1</v>
      </c>
      <c r="O1184" s="461" t="n">
        <v>2505</v>
      </c>
      <c r="P1184" s="462" t="n">
        <f aca="false">H1184-O1184</f>
        <v>0</v>
      </c>
      <c r="Q1184" s="463" t="n">
        <f aca="false">O1184*I1184</f>
        <v>75150</v>
      </c>
      <c r="R1184" s="48" t="n">
        <f aca="false">K1184-Q1184</f>
        <v>0</v>
      </c>
      <c r="S1184" s="467"/>
      <c r="T1184" s="2" t="s">
        <v>1711</v>
      </c>
      <c r="V1184" s="464"/>
      <c r="W1184" s="464"/>
      <c r="X1184" s="464"/>
      <c r="Y1184" s="464"/>
      <c r="Z1184" s="464"/>
      <c r="AA1184" s="464"/>
      <c r="AB1184" s="464"/>
      <c r="AC1184" s="464"/>
      <c r="AD1184" s="464"/>
      <c r="AE1184" s="464"/>
      <c r="AF1184" s="464"/>
      <c r="AG1184" s="464"/>
      <c r="AH1184" s="465"/>
      <c r="AI1184" s="464"/>
    </row>
    <row r="1185" customFormat="false" ht="15" hidden="false" customHeight="true" outlineLevel="0" collapsed="false">
      <c r="A1185" s="455" t="s">
        <v>1956</v>
      </c>
      <c r="C1185" s="456" t="n">
        <v>45607</v>
      </c>
      <c r="D1185" s="456"/>
      <c r="E1185" s="323" t="n">
        <v>14166</v>
      </c>
      <c r="F1185" s="323" t="s">
        <v>175</v>
      </c>
      <c r="G1185" s="323" t="s">
        <v>6</v>
      </c>
      <c r="H1185" s="98" t="n">
        <v>3000</v>
      </c>
      <c r="I1185" s="457" t="n">
        <v>30</v>
      </c>
      <c r="J1185" s="313" t="s">
        <v>1651</v>
      </c>
      <c r="K1185" s="98" t="n">
        <f aca="false">I1185*H1185</f>
        <v>90000</v>
      </c>
      <c r="L1185" s="411" t="n">
        <v>44970</v>
      </c>
      <c r="M1185" s="392" t="n">
        <f aca="false">L1185/K1185</f>
        <v>0.499666666666667</v>
      </c>
      <c r="N1185" s="466" t="n">
        <f aca="false">I1185*M1185</f>
        <v>14.99</v>
      </c>
      <c r="O1185" s="461" t="n">
        <v>3000</v>
      </c>
      <c r="P1185" s="462" t="n">
        <f aca="false">H1185-O1185</f>
        <v>0</v>
      </c>
      <c r="Q1185" s="463" t="n">
        <f aca="false">O1185*I1185</f>
        <v>90000</v>
      </c>
      <c r="R1185" s="48" t="n">
        <f aca="false">K1185-Q1185</f>
        <v>0</v>
      </c>
      <c r="S1185" s="467"/>
      <c r="T1185" s="2" t="s">
        <v>1711</v>
      </c>
      <c r="V1185" s="464"/>
      <c r="W1185" s="464"/>
      <c r="X1185" s="464"/>
      <c r="Y1185" s="464"/>
      <c r="Z1185" s="464"/>
      <c r="AA1185" s="464"/>
      <c r="AB1185" s="464"/>
      <c r="AC1185" s="464"/>
      <c r="AD1185" s="464"/>
      <c r="AE1185" s="464"/>
      <c r="AF1185" s="464"/>
      <c r="AG1185" s="464"/>
      <c r="AH1185" s="465"/>
      <c r="AI1185" s="464"/>
    </row>
    <row r="1186" customFormat="false" ht="15" hidden="false" customHeight="true" outlineLevel="0" collapsed="false">
      <c r="A1186" s="455" t="s">
        <v>1956</v>
      </c>
      <c r="C1186" s="456" t="n">
        <v>45607</v>
      </c>
      <c r="D1186" s="456"/>
      <c r="E1186" s="323" t="n">
        <v>14166</v>
      </c>
      <c r="F1186" s="323" t="s">
        <v>175</v>
      </c>
      <c r="G1186" s="323" t="s">
        <v>12</v>
      </c>
      <c r="H1186" s="98" t="n">
        <v>495</v>
      </c>
      <c r="I1186" s="457" t="n">
        <v>18</v>
      </c>
      <c r="J1186" s="313" t="s">
        <v>1651</v>
      </c>
      <c r="K1186" s="98" t="n">
        <f aca="false">I1186*H1186</f>
        <v>8910</v>
      </c>
      <c r="L1186" s="411" t="n">
        <v>28007.1</v>
      </c>
      <c r="M1186" s="392" t="n">
        <f aca="false">L1186/K1186</f>
        <v>3.14333333333333</v>
      </c>
      <c r="N1186" s="466" t="n">
        <f aca="false">I1186*M1186</f>
        <v>56.58</v>
      </c>
      <c r="O1186" s="461" t="n">
        <v>495</v>
      </c>
      <c r="P1186" s="462" t="n">
        <f aca="false">H1186-O1186</f>
        <v>0</v>
      </c>
      <c r="Q1186" s="463" t="n">
        <f aca="false">O1186*I1186</f>
        <v>8910</v>
      </c>
      <c r="R1186" s="48" t="n">
        <f aca="false">K1186-Q1186</f>
        <v>0</v>
      </c>
      <c r="S1186" s="467"/>
      <c r="T1186" s="2" t="s">
        <v>1711</v>
      </c>
      <c r="V1186" s="464"/>
      <c r="W1186" s="464"/>
      <c r="X1186" s="464"/>
      <c r="Y1186" s="464"/>
      <c r="Z1186" s="464"/>
      <c r="AA1186" s="464"/>
      <c r="AB1186" s="464"/>
      <c r="AC1186" s="464"/>
      <c r="AD1186" s="464"/>
      <c r="AE1186" s="464"/>
      <c r="AF1186" s="464"/>
      <c r="AG1186" s="464"/>
      <c r="AH1186" s="465"/>
      <c r="AI1186" s="464"/>
    </row>
    <row r="1187" customFormat="false" ht="15" hidden="false" customHeight="true" outlineLevel="0" collapsed="false">
      <c r="A1187" s="455" t="s">
        <v>1956</v>
      </c>
      <c r="C1187" s="456" t="n">
        <v>45607</v>
      </c>
      <c r="D1187" s="456"/>
      <c r="E1187" s="323" t="n">
        <v>14166</v>
      </c>
      <c r="F1187" s="323" t="s">
        <v>175</v>
      </c>
      <c r="G1187" s="323" t="s">
        <v>17</v>
      </c>
      <c r="H1187" s="98" t="n">
        <v>915</v>
      </c>
      <c r="I1187" s="457" t="n">
        <v>22.5</v>
      </c>
      <c r="J1187" s="313" t="s">
        <v>1651</v>
      </c>
      <c r="K1187" s="98" t="n">
        <f aca="false">I1187*H1187</f>
        <v>20587.5</v>
      </c>
      <c r="L1187" s="411" t="n">
        <v>10266.3</v>
      </c>
      <c r="M1187" s="392" t="n">
        <f aca="false">L1187/K1187</f>
        <v>0.498666666666667</v>
      </c>
      <c r="N1187" s="466" t="n">
        <f aca="false">I1187*M1187</f>
        <v>11.22</v>
      </c>
      <c r="O1187" s="461" t="n">
        <v>915</v>
      </c>
      <c r="P1187" s="462" t="n">
        <f aca="false">H1187-O1187</f>
        <v>0</v>
      </c>
      <c r="Q1187" s="463" t="n">
        <f aca="false">O1187*I1187</f>
        <v>20587.5</v>
      </c>
      <c r="R1187" s="48" t="n">
        <f aca="false">K1187-Q1187</f>
        <v>0</v>
      </c>
      <c r="S1187" s="467"/>
      <c r="T1187" s="2" t="s">
        <v>1711</v>
      </c>
      <c r="V1187" s="464"/>
      <c r="W1187" s="464"/>
      <c r="X1187" s="464"/>
      <c r="Y1187" s="464"/>
      <c r="Z1187" s="464"/>
      <c r="AA1187" s="464"/>
      <c r="AB1187" s="464"/>
      <c r="AC1187" s="464"/>
      <c r="AD1187" s="464"/>
      <c r="AE1187" s="464"/>
      <c r="AF1187" s="464"/>
      <c r="AG1187" s="464"/>
      <c r="AH1187" s="465"/>
      <c r="AI1187" s="464"/>
    </row>
    <row r="1188" customFormat="false" ht="15" hidden="false" customHeight="true" outlineLevel="0" collapsed="false">
      <c r="A1188" s="455" t="s">
        <v>1957</v>
      </c>
      <c r="C1188" s="456" t="n">
        <v>45607</v>
      </c>
      <c r="D1188" s="456"/>
      <c r="E1188" s="323" t="n">
        <v>14168</v>
      </c>
      <c r="F1188" s="323" t="s">
        <v>175</v>
      </c>
      <c r="G1188" s="323" t="s">
        <v>15</v>
      </c>
      <c r="H1188" s="98" t="n">
        <v>105</v>
      </c>
      <c r="I1188" s="457" t="n">
        <v>22.5</v>
      </c>
      <c r="J1188" s="313" t="s">
        <v>1651</v>
      </c>
      <c r="K1188" s="98" t="n">
        <f aca="false">I1188*H1188</f>
        <v>2362.5</v>
      </c>
      <c r="L1188" s="411" t="n">
        <v>2541</v>
      </c>
      <c r="M1188" s="392" t="n">
        <f aca="false">L1188/K1188</f>
        <v>1.07555555555556</v>
      </c>
      <c r="N1188" s="466" t="n">
        <f aca="false">I1188*M1188</f>
        <v>24.2</v>
      </c>
      <c r="O1188" s="461" t="n">
        <v>105</v>
      </c>
      <c r="P1188" s="462" t="n">
        <f aca="false">H1188-O1188</f>
        <v>0</v>
      </c>
      <c r="Q1188" s="463" t="n">
        <f aca="false">O1188*I1188</f>
        <v>2362.5</v>
      </c>
      <c r="R1188" s="48" t="n">
        <f aca="false">K1188-Q1188</f>
        <v>0</v>
      </c>
      <c r="S1188" s="467"/>
      <c r="T1188" s="2" t="s">
        <v>1711</v>
      </c>
      <c r="V1188" s="464"/>
      <c r="W1188" s="464"/>
      <c r="X1188" s="464"/>
      <c r="Y1188" s="464"/>
      <c r="Z1188" s="464"/>
      <c r="AA1188" s="464"/>
      <c r="AB1188" s="464"/>
      <c r="AC1188" s="464"/>
      <c r="AD1188" s="464"/>
      <c r="AE1188" s="464"/>
      <c r="AF1188" s="464"/>
      <c r="AG1188" s="464"/>
      <c r="AH1188" s="465"/>
      <c r="AI1188" s="464"/>
    </row>
    <row r="1189" customFormat="false" ht="15" hidden="false" customHeight="true" outlineLevel="0" collapsed="false">
      <c r="A1189" s="455" t="s">
        <v>1958</v>
      </c>
      <c r="C1189" s="456" t="n">
        <v>45607</v>
      </c>
      <c r="D1189" s="456"/>
      <c r="E1189" s="323" t="n">
        <v>14169</v>
      </c>
      <c r="F1189" s="323" t="s">
        <v>175</v>
      </c>
      <c r="G1189" s="323" t="s">
        <v>10</v>
      </c>
      <c r="H1189" s="98" t="n">
        <v>12000</v>
      </c>
      <c r="I1189" s="457" t="n">
        <v>90</v>
      </c>
      <c r="J1189" s="313" t="s">
        <v>1653</v>
      </c>
      <c r="K1189" s="98" t="n">
        <f aca="false">I1189*H1189</f>
        <v>1080000</v>
      </c>
      <c r="L1189" s="411" t="n">
        <v>150000</v>
      </c>
      <c r="M1189" s="392" t="n">
        <f aca="false">L1189/K1189</f>
        <v>0.138888888888889</v>
      </c>
      <c r="N1189" s="466" t="n">
        <f aca="false">I1189*M1189</f>
        <v>12.5</v>
      </c>
      <c r="O1189" s="461" t="n">
        <v>12000</v>
      </c>
      <c r="P1189" s="462" t="n">
        <f aca="false">H1189-O1189</f>
        <v>0</v>
      </c>
      <c r="Q1189" s="463" t="n">
        <f aca="false">O1189*I1189</f>
        <v>1080000</v>
      </c>
      <c r="R1189" s="48" t="n">
        <f aca="false">K1189-Q1189</f>
        <v>0</v>
      </c>
      <c r="S1189" s="467"/>
      <c r="T1189" s="2" t="s">
        <v>1711</v>
      </c>
      <c r="V1189" s="464"/>
      <c r="W1189" s="464"/>
      <c r="X1189" s="464"/>
      <c r="Y1189" s="464"/>
      <c r="Z1189" s="464"/>
      <c r="AA1189" s="464"/>
      <c r="AB1189" s="464"/>
      <c r="AC1189" s="464"/>
      <c r="AD1189" s="464"/>
      <c r="AE1189" s="464"/>
      <c r="AF1189" s="464"/>
      <c r="AG1189" s="464"/>
      <c r="AH1189" s="465"/>
      <c r="AI1189" s="464"/>
    </row>
    <row r="1190" customFormat="false" ht="15" hidden="false" customHeight="true" outlineLevel="0" collapsed="false">
      <c r="A1190" s="455" t="s">
        <v>1824</v>
      </c>
      <c r="C1190" s="456" t="n">
        <v>45607</v>
      </c>
      <c r="D1190" s="456"/>
      <c r="E1190" s="57" t="n">
        <v>14170</v>
      </c>
      <c r="F1190" s="323" t="s">
        <v>175</v>
      </c>
      <c r="G1190" s="323" t="s">
        <v>18</v>
      </c>
      <c r="H1190" s="98" t="n">
        <v>1920</v>
      </c>
      <c r="I1190" s="457" t="n">
        <v>25.71</v>
      </c>
      <c r="J1190" s="313" t="s">
        <v>1651</v>
      </c>
      <c r="K1190" s="98" t="n">
        <f aca="false">I1190*H1190</f>
        <v>49363.2</v>
      </c>
      <c r="L1190" s="411" t="n">
        <v>35520</v>
      </c>
      <c r="M1190" s="392" t="n">
        <f aca="false">L1190/K1190</f>
        <v>0.719564371839751</v>
      </c>
      <c r="N1190" s="466" t="n">
        <f aca="false">I1190*M1190</f>
        <v>18.5</v>
      </c>
      <c r="O1190" s="461" t="n">
        <v>1920</v>
      </c>
      <c r="P1190" s="462" t="n">
        <f aca="false">H1190-O1190</f>
        <v>0</v>
      </c>
      <c r="Q1190" s="463" t="n">
        <f aca="false">O1190*I1190</f>
        <v>49363.2</v>
      </c>
      <c r="R1190" s="48" t="n">
        <f aca="false">K1190-Q1190</f>
        <v>0</v>
      </c>
      <c r="S1190" s="467"/>
      <c r="T1190" s="2" t="s">
        <v>1711</v>
      </c>
      <c r="V1190" s="464"/>
      <c r="W1190" s="464"/>
      <c r="X1190" s="464"/>
      <c r="Y1190" s="464"/>
      <c r="Z1190" s="464"/>
      <c r="AA1190" s="464"/>
      <c r="AB1190" s="464"/>
      <c r="AC1190" s="464"/>
      <c r="AD1190" s="464"/>
      <c r="AE1190" s="464"/>
      <c r="AF1190" s="464"/>
      <c r="AG1190" s="464"/>
      <c r="AH1190" s="465"/>
      <c r="AI1190" s="464"/>
    </row>
    <row r="1191" customFormat="false" ht="15" hidden="false" customHeight="true" outlineLevel="0" collapsed="false">
      <c r="A1191" s="455" t="s">
        <v>1824</v>
      </c>
      <c r="C1191" s="456" t="n">
        <v>45607</v>
      </c>
      <c r="D1191" s="456"/>
      <c r="E1191" s="57" t="n">
        <v>14170</v>
      </c>
      <c r="F1191" s="323" t="s">
        <v>175</v>
      </c>
      <c r="G1191" s="323" t="s">
        <v>17</v>
      </c>
      <c r="H1191" s="98" t="n">
        <v>1200</v>
      </c>
      <c r="I1191" s="457" t="n">
        <v>22.5</v>
      </c>
      <c r="J1191" s="313" t="s">
        <v>1651</v>
      </c>
      <c r="K1191" s="98" t="n">
        <f aca="false">I1191*H1191</f>
        <v>27000</v>
      </c>
      <c r="L1191" s="411" t="n">
        <v>13840</v>
      </c>
      <c r="M1191" s="392" t="n">
        <f aca="false">L1191/K1191</f>
        <v>0.512592592592593</v>
      </c>
      <c r="N1191" s="466" t="n">
        <f aca="false">I1191*M1191</f>
        <v>11.5333333333333</v>
      </c>
      <c r="O1191" s="461" t="n">
        <v>1200</v>
      </c>
      <c r="P1191" s="462" t="n">
        <f aca="false">H1191-O1191</f>
        <v>0</v>
      </c>
      <c r="Q1191" s="463" t="n">
        <f aca="false">O1191*I1191</f>
        <v>27000</v>
      </c>
      <c r="R1191" s="48" t="n">
        <f aca="false">K1191-Q1191</f>
        <v>0</v>
      </c>
      <c r="S1191" s="467"/>
      <c r="T1191" s="2" t="s">
        <v>1711</v>
      </c>
      <c r="V1191" s="464"/>
      <c r="W1191" s="464"/>
      <c r="X1191" s="464"/>
      <c r="Y1191" s="464"/>
      <c r="Z1191" s="464"/>
      <c r="AA1191" s="464"/>
      <c r="AB1191" s="464"/>
      <c r="AC1191" s="464"/>
      <c r="AD1191" s="464"/>
      <c r="AE1191" s="464"/>
      <c r="AF1191" s="464"/>
      <c r="AG1191" s="464"/>
      <c r="AH1191" s="465"/>
      <c r="AI1191" s="464"/>
    </row>
    <row r="1192" customFormat="false" ht="15" hidden="false" customHeight="true" outlineLevel="0" collapsed="false">
      <c r="A1192" s="455" t="s">
        <v>1753</v>
      </c>
      <c r="C1192" s="456" t="n">
        <v>45607</v>
      </c>
      <c r="D1192" s="456"/>
      <c r="E1192" s="57" t="n">
        <v>14171</v>
      </c>
      <c r="F1192" s="323" t="s">
        <v>175</v>
      </c>
      <c r="G1192" s="323" t="s">
        <v>5</v>
      </c>
      <c r="H1192" s="98" t="n">
        <v>3000</v>
      </c>
      <c r="I1192" s="457" t="n">
        <v>25.71</v>
      </c>
      <c r="J1192" s="313" t="s">
        <v>1651</v>
      </c>
      <c r="K1192" s="98" t="n">
        <f aca="false">I1192*H1192</f>
        <v>77130</v>
      </c>
      <c r="L1192" s="411" t="n">
        <v>34260</v>
      </c>
      <c r="M1192" s="392" t="n">
        <f aca="false">L1192/K1192</f>
        <v>0.444185141968106</v>
      </c>
      <c r="N1192" s="466" t="n">
        <f aca="false">I1192*M1192</f>
        <v>11.42</v>
      </c>
      <c r="O1192" s="461" t="n">
        <v>3000</v>
      </c>
      <c r="P1192" s="462" t="n">
        <f aca="false">H1192-O1192</f>
        <v>0</v>
      </c>
      <c r="Q1192" s="463" t="n">
        <f aca="false">O1192*I1192</f>
        <v>77130</v>
      </c>
      <c r="R1192" s="48" t="n">
        <f aca="false">K1192-Q1192</f>
        <v>0</v>
      </c>
      <c r="S1192" s="467"/>
      <c r="T1192" s="2" t="s">
        <v>1711</v>
      </c>
      <c r="V1192" s="464"/>
      <c r="W1192" s="464"/>
      <c r="X1192" s="464"/>
      <c r="Y1192" s="464"/>
      <c r="Z1192" s="464"/>
      <c r="AA1192" s="464"/>
      <c r="AB1192" s="464"/>
      <c r="AC1192" s="464"/>
      <c r="AD1192" s="464"/>
      <c r="AE1192" s="464"/>
      <c r="AF1192" s="464"/>
      <c r="AG1192" s="464"/>
      <c r="AH1192" s="465"/>
      <c r="AI1192" s="464"/>
    </row>
    <row r="1193" customFormat="false" ht="15" hidden="false" customHeight="true" outlineLevel="0" collapsed="false">
      <c r="A1193" s="455" t="s">
        <v>1753</v>
      </c>
      <c r="C1193" s="456" t="n">
        <v>45607</v>
      </c>
      <c r="D1193" s="456"/>
      <c r="E1193" s="57" t="n">
        <v>14171</v>
      </c>
      <c r="F1193" s="323" t="s">
        <v>175</v>
      </c>
      <c r="G1193" s="323" t="s">
        <v>17</v>
      </c>
      <c r="H1193" s="98" t="n">
        <v>2010</v>
      </c>
      <c r="I1193" s="457" t="n">
        <v>22.5</v>
      </c>
      <c r="J1193" s="313" t="s">
        <v>1651</v>
      </c>
      <c r="K1193" s="98" t="n">
        <f aca="false">I1193*H1193</f>
        <v>45225</v>
      </c>
      <c r="L1193" s="411" t="n">
        <v>26130</v>
      </c>
      <c r="M1193" s="392" t="n">
        <f aca="false">L1193/K1193</f>
        <v>0.577777777777778</v>
      </c>
      <c r="N1193" s="466" t="n">
        <f aca="false">I1193*M1193</f>
        <v>13</v>
      </c>
      <c r="O1193" s="461" t="n">
        <v>2010</v>
      </c>
      <c r="P1193" s="462" t="n">
        <f aca="false">H1193-O1193</f>
        <v>0</v>
      </c>
      <c r="Q1193" s="463" t="n">
        <f aca="false">O1193*I1193</f>
        <v>45225</v>
      </c>
      <c r="R1193" s="48" t="n">
        <f aca="false">K1193-Q1193</f>
        <v>0</v>
      </c>
      <c r="S1193" s="467"/>
      <c r="T1193" s="2" t="s">
        <v>1711</v>
      </c>
      <c r="V1193" s="464"/>
      <c r="W1193" s="464"/>
      <c r="X1193" s="464"/>
      <c r="Y1193" s="464"/>
      <c r="Z1193" s="464"/>
      <c r="AA1193" s="464"/>
      <c r="AB1193" s="464"/>
      <c r="AC1193" s="464"/>
      <c r="AD1193" s="464"/>
      <c r="AE1193" s="464"/>
      <c r="AF1193" s="464"/>
      <c r="AG1193" s="464"/>
      <c r="AH1193" s="465"/>
      <c r="AI1193" s="464"/>
    </row>
    <row r="1194" customFormat="false" ht="15" hidden="false" customHeight="true" outlineLevel="0" collapsed="false">
      <c r="A1194" s="455" t="s">
        <v>1753</v>
      </c>
      <c r="C1194" s="456" t="n">
        <v>45607</v>
      </c>
      <c r="D1194" s="456"/>
      <c r="E1194" s="57" t="n">
        <v>14172</v>
      </c>
      <c r="F1194" s="323" t="s">
        <v>175</v>
      </c>
      <c r="G1194" s="323" t="s">
        <v>5</v>
      </c>
      <c r="H1194" s="98" t="n">
        <v>2010</v>
      </c>
      <c r="I1194" s="457" t="n">
        <v>25.71</v>
      </c>
      <c r="J1194" s="313" t="s">
        <v>1651</v>
      </c>
      <c r="K1194" s="98" t="n">
        <f aca="false">I1194*H1194</f>
        <v>51677.1</v>
      </c>
      <c r="L1194" s="411" t="n">
        <v>22954.2</v>
      </c>
      <c r="M1194" s="392" t="n">
        <f aca="false">L1194/K1194</f>
        <v>0.444185141968106</v>
      </c>
      <c r="N1194" s="466" t="n">
        <f aca="false">I1194*M1194</f>
        <v>11.42</v>
      </c>
      <c r="O1194" s="461" t="n">
        <v>2010</v>
      </c>
      <c r="P1194" s="462" t="n">
        <f aca="false">H1194-O1194</f>
        <v>0</v>
      </c>
      <c r="Q1194" s="463" t="n">
        <f aca="false">O1194*I1194</f>
        <v>51677.1</v>
      </c>
      <c r="R1194" s="48" t="n">
        <f aca="false">K1194-Q1194</f>
        <v>0</v>
      </c>
      <c r="S1194" s="467"/>
      <c r="T1194" s="2" t="s">
        <v>1711</v>
      </c>
      <c r="V1194" s="464"/>
      <c r="W1194" s="464"/>
      <c r="X1194" s="464"/>
      <c r="Y1194" s="464"/>
      <c r="Z1194" s="464"/>
      <c r="AA1194" s="464"/>
      <c r="AB1194" s="464"/>
      <c r="AC1194" s="464"/>
      <c r="AD1194" s="464"/>
      <c r="AE1194" s="464"/>
      <c r="AF1194" s="464"/>
      <c r="AG1194" s="464"/>
      <c r="AH1194" s="465"/>
      <c r="AI1194" s="464"/>
    </row>
    <row r="1195" customFormat="false" ht="15" hidden="false" customHeight="true" outlineLevel="0" collapsed="false">
      <c r="A1195" s="455" t="s">
        <v>1753</v>
      </c>
      <c r="C1195" s="456" t="n">
        <v>45607</v>
      </c>
      <c r="D1195" s="456"/>
      <c r="E1195" s="57" t="n">
        <v>14172</v>
      </c>
      <c r="F1195" s="323" t="s">
        <v>175</v>
      </c>
      <c r="G1195" s="323" t="s">
        <v>17</v>
      </c>
      <c r="H1195" s="98" t="n">
        <v>2010</v>
      </c>
      <c r="I1195" s="457" t="n">
        <v>22.5</v>
      </c>
      <c r="J1195" s="313" t="s">
        <v>1651</v>
      </c>
      <c r="K1195" s="98" t="n">
        <f aca="false">I1195*H1195</f>
        <v>45225</v>
      </c>
      <c r="L1195" s="411" t="n">
        <v>26130</v>
      </c>
      <c r="M1195" s="392" t="n">
        <f aca="false">L1195/K1195</f>
        <v>0.577777777777778</v>
      </c>
      <c r="N1195" s="466" t="n">
        <f aca="false">I1195*M1195</f>
        <v>13</v>
      </c>
      <c r="O1195" s="461" t="n">
        <v>2010</v>
      </c>
      <c r="P1195" s="462" t="n">
        <f aca="false">H1195-O1195</f>
        <v>0</v>
      </c>
      <c r="Q1195" s="463" t="n">
        <f aca="false">O1195*I1195</f>
        <v>45225</v>
      </c>
      <c r="R1195" s="48" t="n">
        <f aca="false">K1195-Q1195</f>
        <v>0</v>
      </c>
      <c r="S1195" s="467"/>
      <c r="T1195" s="2" t="s">
        <v>1711</v>
      </c>
      <c r="V1195" s="464"/>
      <c r="W1195" s="464"/>
      <c r="X1195" s="464"/>
      <c r="Y1195" s="464"/>
      <c r="Z1195" s="464"/>
      <c r="AA1195" s="464"/>
      <c r="AB1195" s="464"/>
      <c r="AC1195" s="464"/>
      <c r="AD1195" s="464"/>
      <c r="AE1195" s="464"/>
      <c r="AF1195" s="464"/>
      <c r="AG1195" s="464"/>
      <c r="AH1195" s="465"/>
      <c r="AI1195" s="464"/>
    </row>
    <row r="1196" customFormat="false" ht="15" hidden="false" customHeight="true" outlineLevel="0" collapsed="false">
      <c r="A1196" s="455" t="s">
        <v>1753</v>
      </c>
      <c r="C1196" s="456" t="n">
        <v>45607</v>
      </c>
      <c r="D1196" s="456"/>
      <c r="E1196" s="57" t="n">
        <v>14173</v>
      </c>
      <c r="F1196" s="323" t="s">
        <v>175</v>
      </c>
      <c r="G1196" s="323" t="s">
        <v>5</v>
      </c>
      <c r="H1196" s="98" t="n">
        <v>3000</v>
      </c>
      <c r="I1196" s="457" t="n">
        <v>25.71</v>
      </c>
      <c r="J1196" s="313" t="s">
        <v>1651</v>
      </c>
      <c r="K1196" s="98" t="n">
        <f aca="false">I1196*H1196</f>
        <v>77130</v>
      </c>
      <c r="L1196" s="411" t="n">
        <v>34260</v>
      </c>
      <c r="M1196" s="392" t="n">
        <f aca="false">L1196/K1196</f>
        <v>0.444185141968106</v>
      </c>
      <c r="N1196" s="466" t="n">
        <f aca="false">I1196*M1196</f>
        <v>11.42</v>
      </c>
      <c r="O1196" s="461" t="n">
        <v>3000</v>
      </c>
      <c r="P1196" s="462" t="n">
        <f aca="false">H1196-O1196</f>
        <v>0</v>
      </c>
      <c r="Q1196" s="463" t="n">
        <f aca="false">O1196*I1196</f>
        <v>77130</v>
      </c>
      <c r="R1196" s="48" t="n">
        <f aca="false">K1196-Q1196</f>
        <v>0</v>
      </c>
      <c r="S1196" s="467"/>
      <c r="T1196" s="2" t="s">
        <v>1711</v>
      </c>
      <c r="V1196" s="464"/>
      <c r="W1196" s="464"/>
      <c r="X1196" s="464"/>
      <c r="Y1196" s="464"/>
      <c r="Z1196" s="464"/>
      <c r="AA1196" s="464"/>
      <c r="AB1196" s="464"/>
      <c r="AC1196" s="464"/>
      <c r="AD1196" s="464"/>
      <c r="AE1196" s="464"/>
      <c r="AF1196" s="464"/>
      <c r="AG1196" s="464"/>
      <c r="AH1196" s="465"/>
      <c r="AI1196" s="464"/>
    </row>
    <row r="1197" customFormat="false" ht="15" hidden="false" customHeight="true" outlineLevel="0" collapsed="false">
      <c r="A1197" s="455" t="s">
        <v>1753</v>
      </c>
      <c r="C1197" s="456" t="n">
        <v>45607</v>
      </c>
      <c r="D1197" s="456"/>
      <c r="E1197" s="57" t="n">
        <v>14173</v>
      </c>
      <c r="F1197" s="323" t="s">
        <v>175</v>
      </c>
      <c r="G1197" s="323" t="s">
        <v>17</v>
      </c>
      <c r="H1197" s="98" t="n">
        <v>2010</v>
      </c>
      <c r="I1197" s="457" t="n">
        <v>22.5</v>
      </c>
      <c r="J1197" s="313" t="s">
        <v>1651</v>
      </c>
      <c r="K1197" s="98" t="n">
        <f aca="false">I1197*H1197</f>
        <v>45225</v>
      </c>
      <c r="L1197" s="411" t="n">
        <v>26130</v>
      </c>
      <c r="M1197" s="392" t="n">
        <f aca="false">L1197/K1197</f>
        <v>0.577777777777778</v>
      </c>
      <c r="N1197" s="466" t="n">
        <f aca="false">I1197*M1197</f>
        <v>13</v>
      </c>
      <c r="O1197" s="461" t="n">
        <v>2010</v>
      </c>
      <c r="P1197" s="462" t="n">
        <f aca="false">H1197-O1197</f>
        <v>0</v>
      </c>
      <c r="Q1197" s="463" t="n">
        <f aca="false">O1197*I1197</f>
        <v>45225</v>
      </c>
      <c r="R1197" s="48" t="n">
        <f aca="false">K1197-Q1197</f>
        <v>0</v>
      </c>
      <c r="S1197" s="467"/>
      <c r="T1197" s="2" t="s">
        <v>1711</v>
      </c>
      <c r="V1197" s="464"/>
      <c r="W1197" s="464"/>
      <c r="X1197" s="464"/>
      <c r="Y1197" s="464"/>
      <c r="Z1197" s="464"/>
      <c r="AA1197" s="464"/>
      <c r="AB1197" s="464"/>
      <c r="AC1197" s="464"/>
      <c r="AD1197" s="464"/>
      <c r="AE1197" s="464"/>
      <c r="AF1197" s="464"/>
      <c r="AG1197" s="464"/>
      <c r="AH1197" s="465"/>
      <c r="AI1197" s="464"/>
    </row>
    <row r="1198" customFormat="false" ht="15" hidden="false" customHeight="true" outlineLevel="0" collapsed="false">
      <c r="A1198" s="455" t="s">
        <v>1753</v>
      </c>
      <c r="C1198" s="456" t="n">
        <v>45607</v>
      </c>
      <c r="D1198" s="456"/>
      <c r="E1198" s="57" t="n">
        <v>14174</v>
      </c>
      <c r="F1198" s="323" t="s">
        <v>175</v>
      </c>
      <c r="G1198" s="323" t="s">
        <v>5</v>
      </c>
      <c r="H1198" s="98" t="n">
        <v>5010</v>
      </c>
      <c r="I1198" s="457" t="n">
        <v>25.71</v>
      </c>
      <c r="J1198" s="313" t="s">
        <v>1651</v>
      </c>
      <c r="K1198" s="98" t="n">
        <f aca="false">I1198*H1198</f>
        <v>128807.1</v>
      </c>
      <c r="L1198" s="411" t="n">
        <v>57214.2</v>
      </c>
      <c r="M1198" s="392" t="n">
        <f aca="false">L1198/K1198</f>
        <v>0.444185141968106</v>
      </c>
      <c r="N1198" s="466" t="n">
        <f aca="false">I1198*M1198</f>
        <v>11.42</v>
      </c>
      <c r="O1198" s="461" t="n">
        <v>5010</v>
      </c>
      <c r="P1198" s="462" t="n">
        <f aca="false">H1198-O1198</f>
        <v>0</v>
      </c>
      <c r="Q1198" s="463" t="n">
        <f aca="false">O1198*I1198</f>
        <v>128807.1</v>
      </c>
      <c r="R1198" s="48" t="n">
        <f aca="false">K1198-Q1198</f>
        <v>0</v>
      </c>
      <c r="S1198" s="467"/>
      <c r="T1198" s="2" t="s">
        <v>1711</v>
      </c>
      <c r="V1198" s="464"/>
      <c r="W1198" s="464"/>
      <c r="X1198" s="464"/>
      <c r="Y1198" s="464"/>
      <c r="Z1198" s="464"/>
      <c r="AA1198" s="464"/>
      <c r="AB1198" s="464"/>
      <c r="AC1198" s="464"/>
      <c r="AD1198" s="464"/>
      <c r="AE1198" s="464"/>
      <c r="AF1198" s="464"/>
      <c r="AG1198" s="464"/>
      <c r="AH1198" s="465"/>
      <c r="AI1198" s="464"/>
    </row>
    <row r="1199" customFormat="false" ht="15" hidden="false" customHeight="true" outlineLevel="0" collapsed="false">
      <c r="A1199" s="455" t="s">
        <v>1753</v>
      </c>
      <c r="C1199" s="456" t="n">
        <v>45607</v>
      </c>
      <c r="D1199" s="456"/>
      <c r="E1199" s="57" t="n">
        <v>14174</v>
      </c>
      <c r="F1199" s="323" t="s">
        <v>175</v>
      </c>
      <c r="G1199" s="323" t="s">
        <v>17</v>
      </c>
      <c r="H1199" s="98" t="n">
        <v>3000</v>
      </c>
      <c r="I1199" s="457" t="n">
        <v>22.5</v>
      </c>
      <c r="J1199" s="313" t="s">
        <v>1651</v>
      </c>
      <c r="K1199" s="98" t="n">
        <f aca="false">I1199*H1199</f>
        <v>67500</v>
      </c>
      <c r="L1199" s="411" t="n">
        <v>39000</v>
      </c>
      <c r="M1199" s="392" t="n">
        <f aca="false">L1199/K1199</f>
        <v>0.577777777777778</v>
      </c>
      <c r="N1199" s="466" t="n">
        <f aca="false">I1199*M1199</f>
        <v>13</v>
      </c>
      <c r="O1199" s="461" t="n">
        <v>3000</v>
      </c>
      <c r="P1199" s="462" t="n">
        <f aca="false">H1199-O1199</f>
        <v>0</v>
      </c>
      <c r="Q1199" s="463" t="n">
        <f aca="false">O1199*I1199</f>
        <v>67500</v>
      </c>
      <c r="R1199" s="48" t="n">
        <f aca="false">K1199-Q1199</f>
        <v>0</v>
      </c>
      <c r="S1199" s="467"/>
      <c r="T1199" s="2" t="s">
        <v>1711</v>
      </c>
      <c r="V1199" s="464"/>
      <c r="W1199" s="464"/>
      <c r="X1199" s="464"/>
      <c r="Y1199" s="464"/>
      <c r="Z1199" s="464"/>
      <c r="AA1199" s="464"/>
      <c r="AB1199" s="464"/>
      <c r="AC1199" s="464"/>
      <c r="AD1199" s="464"/>
      <c r="AE1199" s="464"/>
      <c r="AF1199" s="464"/>
      <c r="AG1199" s="464"/>
      <c r="AH1199" s="465"/>
      <c r="AI1199" s="464"/>
    </row>
    <row r="1200" customFormat="false" ht="15" hidden="false" customHeight="true" outlineLevel="0" collapsed="false">
      <c r="A1200" s="455" t="s">
        <v>1859</v>
      </c>
      <c r="C1200" s="456" t="n">
        <v>45608</v>
      </c>
      <c r="D1200" s="456"/>
      <c r="E1200" s="57" t="n">
        <v>14176</v>
      </c>
      <c r="F1200" s="323" t="s">
        <v>175</v>
      </c>
      <c r="G1200" s="323" t="s">
        <v>5</v>
      </c>
      <c r="H1200" s="98" t="n">
        <v>275</v>
      </c>
      <c r="I1200" s="457" t="n">
        <v>60</v>
      </c>
      <c r="J1200" s="313" t="s">
        <v>1653</v>
      </c>
      <c r="K1200" s="98" t="n">
        <f aca="false">I1200*H1200</f>
        <v>16500</v>
      </c>
      <c r="L1200" s="411" t="n">
        <v>6325</v>
      </c>
      <c r="M1200" s="392" t="n">
        <f aca="false">L1200/K1200</f>
        <v>0.383333333333333</v>
      </c>
      <c r="N1200" s="466" t="n">
        <f aca="false">I1200*M1200</f>
        <v>23</v>
      </c>
      <c r="O1200" s="461" t="n">
        <v>275</v>
      </c>
      <c r="P1200" s="462" t="n">
        <f aca="false">H1200-O1200</f>
        <v>0</v>
      </c>
      <c r="Q1200" s="463" t="n">
        <f aca="false">O1200*I1200</f>
        <v>16500</v>
      </c>
      <c r="R1200" s="48" t="n">
        <f aca="false">K1200-Q1200</f>
        <v>0</v>
      </c>
      <c r="S1200" s="467"/>
      <c r="T1200" s="2" t="s">
        <v>1711</v>
      </c>
      <c r="V1200" s="464"/>
      <c r="W1200" s="464"/>
      <c r="X1200" s="464"/>
      <c r="Y1200" s="464"/>
      <c r="Z1200" s="464"/>
      <c r="AA1200" s="464"/>
      <c r="AB1200" s="464"/>
      <c r="AC1200" s="464"/>
      <c r="AD1200" s="464"/>
      <c r="AE1200" s="464"/>
      <c r="AF1200" s="464"/>
      <c r="AG1200" s="464"/>
      <c r="AH1200" s="465"/>
      <c r="AI1200" s="464"/>
    </row>
    <row r="1201" customFormat="false" ht="15" hidden="false" customHeight="true" outlineLevel="0" collapsed="false">
      <c r="A1201" s="455" t="s">
        <v>1859</v>
      </c>
      <c r="C1201" s="456" t="n">
        <v>45608</v>
      </c>
      <c r="D1201" s="456"/>
      <c r="E1201" s="57" t="n">
        <v>14177</v>
      </c>
      <c r="F1201" s="323" t="s">
        <v>175</v>
      </c>
      <c r="G1201" s="323" t="s">
        <v>5</v>
      </c>
      <c r="H1201" s="98" t="n">
        <v>325</v>
      </c>
      <c r="I1201" s="457" t="n">
        <v>60</v>
      </c>
      <c r="J1201" s="313" t="s">
        <v>1653</v>
      </c>
      <c r="K1201" s="98" t="n">
        <f aca="false">I1201*H1201</f>
        <v>19500</v>
      </c>
      <c r="L1201" s="411" t="n">
        <v>7475</v>
      </c>
      <c r="M1201" s="392" t="n">
        <f aca="false">L1201/K1201</f>
        <v>0.383333333333333</v>
      </c>
      <c r="N1201" s="466" t="n">
        <f aca="false">I1201*M1201</f>
        <v>23</v>
      </c>
      <c r="O1201" s="461" t="n">
        <v>325</v>
      </c>
      <c r="P1201" s="462" t="n">
        <f aca="false">H1201-O1201</f>
        <v>0</v>
      </c>
      <c r="Q1201" s="463" t="n">
        <f aca="false">O1201*I1201</f>
        <v>19500</v>
      </c>
      <c r="R1201" s="48" t="n">
        <f aca="false">K1201-Q1201</f>
        <v>0</v>
      </c>
      <c r="S1201" s="467"/>
      <c r="T1201" s="2" t="s">
        <v>1711</v>
      </c>
      <c r="V1201" s="464"/>
      <c r="W1201" s="464"/>
      <c r="X1201" s="464"/>
      <c r="Y1201" s="464"/>
      <c r="Z1201" s="464"/>
      <c r="AA1201" s="464"/>
      <c r="AB1201" s="464"/>
      <c r="AC1201" s="464"/>
      <c r="AD1201" s="464"/>
      <c r="AE1201" s="464"/>
      <c r="AF1201" s="464"/>
      <c r="AG1201" s="464"/>
      <c r="AH1201" s="465"/>
      <c r="AI1201" s="464"/>
    </row>
    <row r="1202" customFormat="false" ht="15" hidden="false" customHeight="true" outlineLevel="0" collapsed="false">
      <c r="A1202" s="455" t="s">
        <v>1859</v>
      </c>
      <c r="C1202" s="456" t="n">
        <v>45608</v>
      </c>
      <c r="D1202" s="456"/>
      <c r="E1202" s="57" t="n">
        <v>14178</v>
      </c>
      <c r="F1202" s="323" t="s">
        <v>175</v>
      </c>
      <c r="G1202" s="323" t="s">
        <v>42</v>
      </c>
      <c r="H1202" s="98" t="n">
        <v>3000</v>
      </c>
      <c r="I1202" s="457" t="n">
        <v>45</v>
      </c>
      <c r="J1202" s="313" t="s">
        <v>1652</v>
      </c>
      <c r="K1202" s="98" t="n">
        <f aca="false">I1202*H1202</f>
        <v>135000</v>
      </c>
      <c r="L1202" s="411" t="n">
        <v>43500</v>
      </c>
      <c r="M1202" s="392" t="n">
        <f aca="false">L1202/K1202</f>
        <v>0.322222222222222</v>
      </c>
      <c r="N1202" s="466" t="n">
        <f aca="false">I1202*M1202</f>
        <v>14.5</v>
      </c>
      <c r="O1202" s="461" t="n">
        <v>3000</v>
      </c>
      <c r="P1202" s="462" t="n">
        <f aca="false">H1202-O1202</f>
        <v>0</v>
      </c>
      <c r="Q1202" s="463" t="n">
        <f aca="false">O1202*I1202</f>
        <v>135000</v>
      </c>
      <c r="R1202" s="48" t="n">
        <f aca="false">K1202-Q1202</f>
        <v>0</v>
      </c>
      <c r="S1202" s="467"/>
      <c r="T1202" s="2" t="s">
        <v>1711</v>
      </c>
      <c r="V1202" s="464"/>
      <c r="W1202" s="464"/>
      <c r="X1202" s="464"/>
      <c r="Y1202" s="464"/>
      <c r="Z1202" s="464"/>
      <c r="AA1202" s="464"/>
      <c r="AB1202" s="464"/>
      <c r="AC1202" s="464"/>
      <c r="AD1202" s="464"/>
      <c r="AE1202" s="464"/>
      <c r="AF1202" s="464"/>
      <c r="AG1202" s="464"/>
      <c r="AH1202" s="465"/>
      <c r="AI1202" s="464"/>
    </row>
    <row r="1203" customFormat="false" ht="15" hidden="false" customHeight="true" outlineLevel="0" collapsed="false">
      <c r="A1203" s="455" t="s">
        <v>1859</v>
      </c>
      <c r="C1203" s="456" t="n">
        <v>45608</v>
      </c>
      <c r="D1203" s="456"/>
      <c r="E1203" s="57" t="n">
        <v>14179</v>
      </c>
      <c r="F1203" s="323" t="s">
        <v>175</v>
      </c>
      <c r="G1203" s="323" t="s">
        <v>42</v>
      </c>
      <c r="H1203" s="98" t="n">
        <v>1155</v>
      </c>
      <c r="I1203" s="457" t="n">
        <v>30</v>
      </c>
      <c r="J1203" s="313" t="s">
        <v>1651</v>
      </c>
      <c r="K1203" s="98" t="n">
        <f aca="false">I1203*H1203</f>
        <v>34650</v>
      </c>
      <c r="L1203" s="411" t="n">
        <v>16747.5</v>
      </c>
      <c r="M1203" s="392" t="n">
        <f aca="false">L1203/K1203</f>
        <v>0.483333333333333</v>
      </c>
      <c r="N1203" s="466" t="n">
        <f aca="false">I1203*M1203</f>
        <v>14.5</v>
      </c>
      <c r="O1203" s="461" t="n">
        <v>1155</v>
      </c>
      <c r="P1203" s="462" t="n">
        <f aca="false">H1203-O1203</f>
        <v>0</v>
      </c>
      <c r="Q1203" s="463" t="n">
        <f aca="false">O1203*I1203</f>
        <v>34650</v>
      </c>
      <c r="R1203" s="48" t="n">
        <f aca="false">K1203-Q1203</f>
        <v>0</v>
      </c>
      <c r="S1203" s="467"/>
      <c r="T1203" s="2" t="s">
        <v>1711</v>
      </c>
      <c r="V1203" s="464"/>
      <c r="W1203" s="464"/>
      <c r="X1203" s="464"/>
      <c r="Y1203" s="464"/>
      <c r="Z1203" s="464"/>
      <c r="AA1203" s="464"/>
      <c r="AB1203" s="464"/>
      <c r="AC1203" s="464"/>
      <c r="AD1203" s="464"/>
      <c r="AE1203" s="464"/>
      <c r="AF1203" s="464"/>
      <c r="AG1203" s="464"/>
      <c r="AH1203" s="465"/>
      <c r="AI1203" s="464"/>
    </row>
    <row r="1204" customFormat="false" ht="15" hidden="false" customHeight="true" outlineLevel="0" collapsed="false">
      <c r="A1204" s="455" t="s">
        <v>1859</v>
      </c>
      <c r="C1204" s="456" t="n">
        <v>45608</v>
      </c>
      <c r="D1204" s="456"/>
      <c r="E1204" s="57" t="n">
        <v>14179</v>
      </c>
      <c r="F1204" s="323" t="s">
        <v>175</v>
      </c>
      <c r="G1204" s="323" t="s">
        <v>13</v>
      </c>
      <c r="H1204" s="98" t="n">
        <v>840</v>
      </c>
      <c r="I1204" s="457" t="n">
        <v>22.5</v>
      </c>
      <c r="J1204" s="313" t="s">
        <v>1651</v>
      </c>
      <c r="K1204" s="98" t="n">
        <f aca="false">I1204*H1204</f>
        <v>18900</v>
      </c>
      <c r="L1204" s="411" t="n">
        <v>9520</v>
      </c>
      <c r="M1204" s="392" t="n">
        <f aca="false">L1204/K1204</f>
        <v>0.503703703703704</v>
      </c>
      <c r="N1204" s="466" t="n">
        <f aca="false">I1204*M1204</f>
        <v>11.3333333333333</v>
      </c>
      <c r="O1204" s="461" t="n">
        <v>840</v>
      </c>
      <c r="P1204" s="462" t="n">
        <f aca="false">H1204-O1204</f>
        <v>0</v>
      </c>
      <c r="Q1204" s="463" t="n">
        <f aca="false">O1204*I1204</f>
        <v>18900</v>
      </c>
      <c r="R1204" s="48" t="n">
        <f aca="false">K1204-Q1204</f>
        <v>0</v>
      </c>
      <c r="S1204" s="467"/>
      <c r="T1204" s="2" t="s">
        <v>1711</v>
      </c>
      <c r="V1204" s="464"/>
      <c r="W1204" s="464"/>
      <c r="X1204" s="464"/>
      <c r="Y1204" s="464"/>
      <c r="Z1204" s="464"/>
      <c r="AA1204" s="464"/>
      <c r="AB1204" s="464"/>
      <c r="AC1204" s="464"/>
      <c r="AD1204" s="464"/>
      <c r="AE1204" s="464"/>
      <c r="AF1204" s="464"/>
      <c r="AG1204" s="464"/>
      <c r="AH1204" s="465"/>
      <c r="AI1204" s="464"/>
    </row>
    <row r="1205" customFormat="false" ht="15" hidden="false" customHeight="true" outlineLevel="0" collapsed="false">
      <c r="A1205" s="455" t="s">
        <v>58</v>
      </c>
      <c r="C1205" s="456" t="n">
        <v>45608</v>
      </c>
      <c r="D1205" s="456"/>
      <c r="E1205" s="57" t="n">
        <v>14180</v>
      </c>
      <c r="F1205" s="323" t="s">
        <v>175</v>
      </c>
      <c r="G1205" s="323" t="s">
        <v>13</v>
      </c>
      <c r="H1205" s="98" t="n">
        <v>30</v>
      </c>
      <c r="I1205" s="457" t="n">
        <v>22.5</v>
      </c>
      <c r="J1205" s="313" t="s">
        <v>1651</v>
      </c>
      <c r="K1205" s="98" t="n">
        <f aca="false">I1205*H1205</f>
        <v>675</v>
      </c>
      <c r="L1205" s="411" t="n">
        <v>370.2</v>
      </c>
      <c r="M1205" s="392" t="n">
        <f aca="false">L1205/K1205</f>
        <v>0.548444444444444</v>
      </c>
      <c r="N1205" s="466" t="n">
        <f aca="false">I1205*M1205</f>
        <v>12.34</v>
      </c>
      <c r="O1205" s="461" t="n">
        <v>30</v>
      </c>
      <c r="P1205" s="462" t="n">
        <f aca="false">H1205-O1205</f>
        <v>0</v>
      </c>
      <c r="Q1205" s="463" t="n">
        <f aca="false">O1205*I1205</f>
        <v>675</v>
      </c>
      <c r="R1205" s="48" t="n">
        <f aca="false">K1205-Q1205</f>
        <v>0</v>
      </c>
      <c r="S1205" s="467"/>
      <c r="T1205" s="2" t="s">
        <v>1711</v>
      </c>
      <c r="V1205" s="464"/>
      <c r="W1205" s="464"/>
      <c r="X1205" s="464"/>
      <c r="Y1205" s="464"/>
      <c r="Z1205" s="464"/>
      <c r="AA1205" s="464"/>
      <c r="AB1205" s="464"/>
      <c r="AC1205" s="464"/>
      <c r="AD1205" s="464"/>
      <c r="AE1205" s="464"/>
      <c r="AF1205" s="464"/>
      <c r="AG1205" s="464"/>
      <c r="AH1205" s="465"/>
      <c r="AI1205" s="464"/>
    </row>
    <row r="1206" customFormat="false" ht="15" hidden="false" customHeight="true" outlineLevel="0" collapsed="false">
      <c r="A1206" s="455" t="s">
        <v>1824</v>
      </c>
      <c r="C1206" s="456" t="n">
        <v>45608</v>
      </c>
      <c r="D1206" s="456"/>
      <c r="E1206" s="57" t="n">
        <v>14181</v>
      </c>
      <c r="F1206" s="323" t="s">
        <v>175</v>
      </c>
      <c r="G1206" s="323" t="s">
        <v>17</v>
      </c>
      <c r="H1206" s="98" t="n">
        <v>1200</v>
      </c>
      <c r="I1206" s="457" t="n">
        <v>22.5</v>
      </c>
      <c r="J1206" s="313" t="s">
        <v>1651</v>
      </c>
      <c r="K1206" s="98" t="n">
        <f aca="false">I1206*H1206</f>
        <v>27000</v>
      </c>
      <c r="L1206" s="411" t="n">
        <v>13840</v>
      </c>
      <c r="M1206" s="392" t="n">
        <f aca="false">L1206/K1206</f>
        <v>0.512592592592593</v>
      </c>
      <c r="N1206" s="466" t="n">
        <f aca="false">I1206*M1206</f>
        <v>11.5333333333333</v>
      </c>
      <c r="O1206" s="461" t="n">
        <v>1200</v>
      </c>
      <c r="P1206" s="462" t="n">
        <f aca="false">H1206-O1206</f>
        <v>0</v>
      </c>
      <c r="Q1206" s="463" t="n">
        <f aca="false">O1206*I1206</f>
        <v>27000</v>
      </c>
      <c r="R1206" s="48" t="n">
        <f aca="false">K1206-Q1206</f>
        <v>0</v>
      </c>
      <c r="S1206" s="467"/>
      <c r="T1206" s="2" t="s">
        <v>1711</v>
      </c>
      <c r="V1206" s="464"/>
      <c r="W1206" s="464"/>
      <c r="X1206" s="464"/>
      <c r="Y1206" s="464"/>
      <c r="Z1206" s="464"/>
      <c r="AA1206" s="464"/>
      <c r="AB1206" s="464"/>
      <c r="AC1206" s="464"/>
      <c r="AD1206" s="464"/>
      <c r="AE1206" s="464"/>
      <c r="AF1206" s="464"/>
      <c r="AG1206" s="464"/>
      <c r="AH1206" s="465"/>
      <c r="AI1206" s="464"/>
    </row>
    <row r="1207" customFormat="false" ht="15" hidden="false" customHeight="true" outlineLevel="0" collapsed="false">
      <c r="A1207" s="455" t="s">
        <v>1959</v>
      </c>
      <c r="C1207" s="456" t="n">
        <v>45608</v>
      </c>
      <c r="D1207" s="456"/>
      <c r="E1207" s="57" t="n">
        <v>14182</v>
      </c>
      <c r="F1207" s="323" t="s">
        <v>175</v>
      </c>
      <c r="G1207" s="323" t="s">
        <v>7</v>
      </c>
      <c r="H1207" s="98" t="n">
        <v>360</v>
      </c>
      <c r="I1207" s="457" t="n">
        <v>36</v>
      </c>
      <c r="J1207" s="313" t="s">
        <v>1652</v>
      </c>
      <c r="K1207" s="98" t="n">
        <f aca="false">I1207*H1207</f>
        <v>12960</v>
      </c>
      <c r="L1207" s="411" t="n">
        <v>10800</v>
      </c>
      <c r="M1207" s="392" t="n">
        <f aca="false">L1207/K1207</f>
        <v>0.833333333333333</v>
      </c>
      <c r="N1207" s="466" t="n">
        <f aca="false">I1207*M1207</f>
        <v>30</v>
      </c>
      <c r="O1207" s="461" t="n">
        <v>360</v>
      </c>
      <c r="P1207" s="462" t="n">
        <f aca="false">H1207-O1207</f>
        <v>0</v>
      </c>
      <c r="Q1207" s="463" t="n">
        <f aca="false">O1207*I1207</f>
        <v>12960</v>
      </c>
      <c r="R1207" s="48" t="n">
        <f aca="false">K1207-Q1207</f>
        <v>0</v>
      </c>
      <c r="S1207" s="467"/>
      <c r="T1207" s="2" t="s">
        <v>1711</v>
      </c>
      <c r="V1207" s="464"/>
      <c r="W1207" s="464"/>
      <c r="X1207" s="464"/>
      <c r="Y1207" s="464"/>
      <c r="Z1207" s="464"/>
      <c r="AA1207" s="464"/>
      <c r="AB1207" s="464"/>
      <c r="AC1207" s="464"/>
      <c r="AD1207" s="464"/>
      <c r="AE1207" s="464"/>
      <c r="AF1207" s="464"/>
      <c r="AG1207" s="464"/>
      <c r="AH1207" s="465"/>
      <c r="AI1207" s="464"/>
    </row>
    <row r="1208" customFormat="false" ht="15" hidden="false" customHeight="true" outlineLevel="0" collapsed="false">
      <c r="A1208" s="455" t="s">
        <v>1959</v>
      </c>
      <c r="C1208" s="456" t="n">
        <v>45608</v>
      </c>
      <c r="D1208" s="456"/>
      <c r="E1208" s="57" t="n">
        <v>14182</v>
      </c>
      <c r="F1208" s="323" t="s">
        <v>175</v>
      </c>
      <c r="G1208" s="323" t="s">
        <v>12</v>
      </c>
      <c r="H1208" s="98" t="n">
        <v>120</v>
      </c>
      <c r="I1208" s="457" t="n">
        <v>25.71</v>
      </c>
      <c r="J1208" s="313" t="s">
        <v>1652</v>
      </c>
      <c r="K1208" s="98" t="n">
        <f aca="false">I1208*H1208</f>
        <v>3085.2</v>
      </c>
      <c r="L1208" s="411" t="n">
        <v>9600</v>
      </c>
      <c r="M1208" s="392" t="n">
        <f aca="false">L1208/K1208</f>
        <v>3.11162971606379</v>
      </c>
      <c r="N1208" s="466" t="n">
        <f aca="false">I1208*M1208</f>
        <v>80</v>
      </c>
      <c r="O1208" s="461" t="n">
        <v>120</v>
      </c>
      <c r="P1208" s="462" t="n">
        <f aca="false">H1208-O1208</f>
        <v>0</v>
      </c>
      <c r="Q1208" s="463" t="n">
        <f aca="false">O1208*I1208</f>
        <v>3085.2</v>
      </c>
      <c r="R1208" s="48" t="n">
        <f aca="false">K1208-Q1208</f>
        <v>0</v>
      </c>
      <c r="S1208" s="467"/>
      <c r="T1208" s="2" t="s">
        <v>1711</v>
      </c>
      <c r="V1208" s="464"/>
      <c r="W1208" s="464"/>
      <c r="X1208" s="464"/>
      <c r="Y1208" s="464"/>
      <c r="Z1208" s="464"/>
      <c r="AA1208" s="464"/>
      <c r="AB1208" s="464"/>
      <c r="AC1208" s="464"/>
      <c r="AD1208" s="464"/>
      <c r="AE1208" s="464"/>
      <c r="AF1208" s="464"/>
      <c r="AG1208" s="464"/>
      <c r="AH1208" s="465"/>
      <c r="AI1208" s="464"/>
    </row>
    <row r="1209" customFormat="false" ht="15" hidden="false" customHeight="true" outlineLevel="0" collapsed="false">
      <c r="A1209" s="455" t="s">
        <v>1723</v>
      </c>
      <c r="C1209" s="456" t="n">
        <v>45608</v>
      </c>
      <c r="D1209" s="456"/>
      <c r="E1209" s="57" t="n">
        <v>14183</v>
      </c>
      <c r="F1209" s="57" t="s">
        <v>175</v>
      </c>
      <c r="G1209" s="323" t="s">
        <v>17</v>
      </c>
      <c r="H1209" s="98" t="n">
        <v>405</v>
      </c>
      <c r="I1209" s="457" t="n">
        <v>22.5</v>
      </c>
      <c r="J1209" s="313" t="s">
        <v>1651</v>
      </c>
      <c r="K1209" s="98" t="n">
        <f aca="false">I1209*H1209</f>
        <v>9112.5</v>
      </c>
      <c r="L1209" s="411" t="n">
        <v>3831.3</v>
      </c>
      <c r="M1209" s="392" t="n">
        <f aca="false">L1209/K1209</f>
        <v>0.420444444444444</v>
      </c>
      <c r="N1209" s="466" t="n">
        <f aca="false">I1209*M1209</f>
        <v>9.46</v>
      </c>
      <c r="O1209" s="461" t="n">
        <v>405</v>
      </c>
      <c r="P1209" s="462" t="n">
        <f aca="false">H1209-O1209</f>
        <v>0</v>
      </c>
      <c r="Q1209" s="463" t="n">
        <f aca="false">O1209*I1209</f>
        <v>9112.5</v>
      </c>
      <c r="R1209" s="48" t="n">
        <f aca="false">K1209-Q1209</f>
        <v>0</v>
      </c>
      <c r="S1209" s="467"/>
      <c r="T1209" s="2" t="s">
        <v>1711</v>
      </c>
      <c r="V1209" s="464"/>
      <c r="W1209" s="464"/>
      <c r="X1209" s="464"/>
      <c r="Y1209" s="464"/>
      <c r="Z1209" s="464"/>
      <c r="AA1209" s="464"/>
      <c r="AB1209" s="464"/>
      <c r="AC1209" s="464"/>
      <c r="AD1209" s="464"/>
      <c r="AE1209" s="464"/>
      <c r="AF1209" s="464"/>
      <c r="AG1209" s="464"/>
      <c r="AH1209" s="465"/>
      <c r="AI1209" s="464"/>
    </row>
    <row r="1210" customFormat="false" ht="15" hidden="false" customHeight="true" outlineLevel="0" collapsed="false">
      <c r="A1210" s="455" t="s">
        <v>1723</v>
      </c>
      <c r="C1210" s="456" t="n">
        <v>45608</v>
      </c>
      <c r="D1210" s="456"/>
      <c r="E1210" s="57" t="n">
        <v>14184</v>
      </c>
      <c r="F1210" s="57" t="s">
        <v>175</v>
      </c>
      <c r="G1210" s="323" t="s">
        <v>17</v>
      </c>
      <c r="H1210" s="98" t="n">
        <v>105</v>
      </c>
      <c r="I1210" s="457" t="n">
        <v>22.5</v>
      </c>
      <c r="J1210" s="313" t="s">
        <v>1651</v>
      </c>
      <c r="K1210" s="98" t="n">
        <f aca="false">I1210*H1210</f>
        <v>2362.5</v>
      </c>
      <c r="L1210" s="411" t="n">
        <v>993.3</v>
      </c>
      <c r="M1210" s="392" t="n">
        <f aca="false">L1210/K1210</f>
        <v>0.420444444444444</v>
      </c>
      <c r="N1210" s="466" t="n">
        <f aca="false">I1210*M1210</f>
        <v>9.46</v>
      </c>
      <c r="O1210" s="461" t="n">
        <v>105</v>
      </c>
      <c r="P1210" s="462" t="n">
        <f aca="false">H1210-O1210</f>
        <v>0</v>
      </c>
      <c r="Q1210" s="463" t="n">
        <f aca="false">O1210*I1210</f>
        <v>2362.5</v>
      </c>
      <c r="R1210" s="48" t="n">
        <f aca="false">K1210-Q1210</f>
        <v>0</v>
      </c>
      <c r="S1210" s="467"/>
      <c r="T1210" s="2" t="s">
        <v>1711</v>
      </c>
      <c r="V1210" s="464"/>
      <c r="W1210" s="464"/>
      <c r="X1210" s="464"/>
      <c r="Y1210" s="464"/>
      <c r="Z1210" s="464"/>
      <c r="AA1210" s="464"/>
      <c r="AB1210" s="464"/>
      <c r="AC1210" s="464"/>
      <c r="AD1210" s="464"/>
      <c r="AE1210" s="464"/>
      <c r="AF1210" s="464"/>
      <c r="AG1210" s="464"/>
      <c r="AH1210" s="465"/>
      <c r="AI1210" s="464"/>
    </row>
    <row r="1211" customFormat="false" ht="15" hidden="false" customHeight="true" outlineLevel="0" collapsed="false">
      <c r="A1211" s="455" t="s">
        <v>1948</v>
      </c>
      <c r="C1211" s="456" t="n">
        <v>45608</v>
      </c>
      <c r="D1211" s="456"/>
      <c r="E1211" s="57" t="n">
        <v>14185</v>
      </c>
      <c r="F1211" s="57" t="s">
        <v>175</v>
      </c>
      <c r="G1211" s="323" t="s">
        <v>7</v>
      </c>
      <c r="H1211" s="98" t="n">
        <v>45</v>
      </c>
      <c r="I1211" s="457" t="n">
        <v>25.71</v>
      </c>
      <c r="J1211" s="313" t="s">
        <v>1651</v>
      </c>
      <c r="K1211" s="98" t="n">
        <f aca="false">I1211*H1211</f>
        <v>1156.95</v>
      </c>
      <c r="L1211" s="411" t="n">
        <v>774</v>
      </c>
      <c r="M1211" s="392" t="n">
        <f aca="false">L1211/K1211</f>
        <v>0.669000388953715</v>
      </c>
      <c r="N1211" s="466" t="n">
        <f aca="false">I1211*M1211</f>
        <v>17.2</v>
      </c>
      <c r="O1211" s="461" t="n">
        <v>45</v>
      </c>
      <c r="P1211" s="462" t="n">
        <f aca="false">H1211-O1211</f>
        <v>0</v>
      </c>
      <c r="Q1211" s="463" t="n">
        <f aca="false">O1211*I1211</f>
        <v>1156.95</v>
      </c>
      <c r="R1211" s="48" t="n">
        <f aca="false">K1211-Q1211</f>
        <v>0</v>
      </c>
      <c r="S1211" s="467"/>
      <c r="T1211" s="2" t="s">
        <v>1711</v>
      </c>
      <c r="V1211" s="464"/>
      <c r="W1211" s="464"/>
      <c r="X1211" s="464"/>
      <c r="Y1211" s="464"/>
      <c r="Z1211" s="464"/>
      <c r="AA1211" s="464"/>
      <c r="AB1211" s="464"/>
      <c r="AC1211" s="464"/>
      <c r="AD1211" s="464"/>
      <c r="AE1211" s="464"/>
      <c r="AF1211" s="464"/>
      <c r="AG1211" s="464"/>
      <c r="AH1211" s="465"/>
      <c r="AI1211" s="464"/>
    </row>
    <row r="1212" customFormat="false" ht="15" hidden="false" customHeight="true" outlineLevel="0" collapsed="false">
      <c r="A1212" s="455" t="s">
        <v>1948</v>
      </c>
      <c r="C1212" s="456" t="n">
        <v>45608</v>
      </c>
      <c r="D1212" s="456"/>
      <c r="E1212" s="57" t="n">
        <v>14185</v>
      </c>
      <c r="F1212" s="57" t="s">
        <v>175</v>
      </c>
      <c r="G1212" s="323" t="s">
        <v>15</v>
      </c>
      <c r="H1212" s="98" t="n">
        <v>60</v>
      </c>
      <c r="I1212" s="457" t="n">
        <v>22.5</v>
      </c>
      <c r="J1212" s="313" t="s">
        <v>1651</v>
      </c>
      <c r="K1212" s="98" t="n">
        <f aca="false">I1212*H1212</f>
        <v>1350</v>
      </c>
      <c r="L1212" s="411" t="n">
        <v>1032</v>
      </c>
      <c r="M1212" s="392" t="n">
        <f aca="false">L1212/K1212</f>
        <v>0.764444444444445</v>
      </c>
      <c r="N1212" s="466" t="n">
        <f aca="false">I1212*M1212</f>
        <v>17.2</v>
      </c>
      <c r="O1212" s="461" t="n">
        <v>60</v>
      </c>
      <c r="P1212" s="462" t="n">
        <f aca="false">H1212-O1212</f>
        <v>0</v>
      </c>
      <c r="Q1212" s="463" t="n">
        <f aca="false">O1212*I1212</f>
        <v>1350</v>
      </c>
      <c r="R1212" s="48" t="n">
        <f aca="false">K1212-Q1212</f>
        <v>0</v>
      </c>
      <c r="S1212" s="467"/>
      <c r="T1212" s="2" t="s">
        <v>1711</v>
      </c>
      <c r="V1212" s="464"/>
      <c r="W1212" s="464"/>
      <c r="X1212" s="464"/>
      <c r="Y1212" s="464"/>
      <c r="Z1212" s="464"/>
      <c r="AA1212" s="464"/>
      <c r="AB1212" s="464"/>
      <c r="AC1212" s="464"/>
      <c r="AD1212" s="464"/>
      <c r="AE1212" s="464"/>
      <c r="AF1212" s="464"/>
      <c r="AG1212" s="464"/>
      <c r="AH1212" s="465"/>
      <c r="AI1212" s="464"/>
    </row>
    <row r="1213" customFormat="false" ht="15" hidden="false" customHeight="true" outlineLevel="0" collapsed="false">
      <c r="A1213" s="455" t="s">
        <v>1921</v>
      </c>
      <c r="C1213" s="456" t="n">
        <v>45608</v>
      </c>
      <c r="D1213" s="456"/>
      <c r="E1213" s="57" t="n">
        <v>14186</v>
      </c>
      <c r="F1213" s="57" t="s">
        <v>175</v>
      </c>
      <c r="G1213" s="323" t="s">
        <v>42</v>
      </c>
      <c r="H1213" s="98" t="n">
        <v>418</v>
      </c>
      <c r="I1213" s="457" t="n">
        <v>90</v>
      </c>
      <c r="J1213" s="313" t="s">
        <v>1653</v>
      </c>
      <c r="K1213" s="98" t="n">
        <f aca="false">I1213*H1213</f>
        <v>37620</v>
      </c>
      <c r="L1213" s="411" t="n">
        <v>16080.46</v>
      </c>
      <c r="M1213" s="392" t="n">
        <f aca="false">L1213/K1213</f>
        <v>0.427444444444444</v>
      </c>
      <c r="N1213" s="466" t="n">
        <f aca="false">I1213*M1213</f>
        <v>38.47</v>
      </c>
      <c r="O1213" s="461" t="n">
        <v>418</v>
      </c>
      <c r="P1213" s="462" t="n">
        <f aca="false">H1213-O1213</f>
        <v>0</v>
      </c>
      <c r="Q1213" s="463" t="n">
        <f aca="false">O1213*I1213</f>
        <v>37620</v>
      </c>
      <c r="R1213" s="48" t="n">
        <f aca="false">K1213-Q1213</f>
        <v>0</v>
      </c>
      <c r="S1213" s="467"/>
      <c r="T1213" s="2" t="s">
        <v>1711</v>
      </c>
      <c r="V1213" s="464"/>
      <c r="W1213" s="464"/>
      <c r="X1213" s="464"/>
      <c r="Y1213" s="464"/>
      <c r="Z1213" s="464"/>
      <c r="AA1213" s="464"/>
      <c r="AB1213" s="464"/>
      <c r="AC1213" s="464"/>
      <c r="AD1213" s="464"/>
      <c r="AE1213" s="464"/>
      <c r="AF1213" s="464"/>
      <c r="AG1213" s="464"/>
      <c r="AH1213" s="465"/>
      <c r="AI1213" s="464"/>
    </row>
    <row r="1214" customFormat="false" ht="15" hidden="false" customHeight="true" outlineLevel="0" collapsed="false">
      <c r="A1214" s="455" t="s">
        <v>1921</v>
      </c>
      <c r="C1214" s="456" t="n">
        <v>45608</v>
      </c>
      <c r="D1214" s="456"/>
      <c r="E1214" s="57" t="n">
        <v>14186</v>
      </c>
      <c r="F1214" s="57" t="s">
        <v>175</v>
      </c>
      <c r="G1214" s="323" t="s">
        <v>7</v>
      </c>
      <c r="H1214" s="98" t="n">
        <v>300</v>
      </c>
      <c r="I1214" s="457" t="n">
        <v>25.71</v>
      </c>
      <c r="J1214" s="313" t="s">
        <v>1651</v>
      </c>
      <c r="K1214" s="98" t="n">
        <f aca="false">I1214*H1214</f>
        <v>7713</v>
      </c>
      <c r="L1214" s="411" t="n">
        <v>6783</v>
      </c>
      <c r="M1214" s="392" t="n">
        <f aca="false">L1214/K1214</f>
        <v>0.879424348502528</v>
      </c>
      <c r="N1214" s="466" t="n">
        <f aca="false">I1214*M1214</f>
        <v>22.61</v>
      </c>
      <c r="O1214" s="461" t="n">
        <v>300</v>
      </c>
      <c r="P1214" s="462" t="n">
        <f aca="false">H1214-O1214</f>
        <v>0</v>
      </c>
      <c r="Q1214" s="463" t="n">
        <f aca="false">O1214*I1214</f>
        <v>7713</v>
      </c>
      <c r="R1214" s="48" t="n">
        <f aca="false">K1214-Q1214</f>
        <v>0</v>
      </c>
      <c r="S1214" s="467"/>
      <c r="T1214" s="2" t="s">
        <v>1711</v>
      </c>
      <c r="V1214" s="464"/>
      <c r="W1214" s="464"/>
      <c r="X1214" s="464"/>
      <c r="Y1214" s="464"/>
      <c r="Z1214" s="464"/>
      <c r="AA1214" s="464"/>
      <c r="AB1214" s="464"/>
      <c r="AC1214" s="464"/>
      <c r="AD1214" s="464"/>
      <c r="AE1214" s="464"/>
      <c r="AF1214" s="464"/>
      <c r="AG1214" s="464"/>
      <c r="AH1214" s="465"/>
      <c r="AI1214" s="464"/>
    </row>
    <row r="1215" customFormat="false" ht="15" hidden="false" customHeight="true" outlineLevel="0" collapsed="false">
      <c r="A1215" s="455" t="s">
        <v>1796</v>
      </c>
      <c r="C1215" s="456" t="n">
        <v>45608</v>
      </c>
      <c r="D1215" s="456"/>
      <c r="E1215" s="57" t="n">
        <v>14187</v>
      </c>
      <c r="F1215" s="57" t="s">
        <v>175</v>
      </c>
      <c r="G1215" s="323" t="s">
        <v>7</v>
      </c>
      <c r="H1215" s="98" t="n">
        <v>25005</v>
      </c>
      <c r="I1215" s="457" t="n">
        <v>25.71</v>
      </c>
      <c r="J1215" s="313" t="s">
        <v>1651</v>
      </c>
      <c r="K1215" s="98" t="n">
        <f aca="false">I1215*H1215</f>
        <v>642878.55</v>
      </c>
      <c r="L1215" s="411" t="n">
        <v>337567.5</v>
      </c>
      <c r="M1215" s="392" t="n">
        <f aca="false">L1215/K1215</f>
        <v>0.525087514585764</v>
      </c>
      <c r="N1215" s="466" t="n">
        <f aca="false">I1215*M1215</f>
        <v>13.5</v>
      </c>
      <c r="O1215" s="461" t="n">
        <v>13125</v>
      </c>
      <c r="P1215" s="468" t="n">
        <f aca="false">H1215-O1215</f>
        <v>11880</v>
      </c>
      <c r="Q1215" s="463" t="n">
        <f aca="false">O1215*I1215</f>
        <v>337443.75</v>
      </c>
      <c r="R1215" s="48" t="n">
        <f aca="false">K1215-Q1215</f>
        <v>305434.8</v>
      </c>
      <c r="S1215" s="467" t="n">
        <v>45626</v>
      </c>
      <c r="T1215" s="2" t="s">
        <v>1797</v>
      </c>
      <c r="V1215" s="464"/>
      <c r="W1215" s="464"/>
      <c r="X1215" s="464"/>
      <c r="Y1215" s="464"/>
      <c r="Z1215" s="464"/>
      <c r="AA1215" s="464"/>
      <c r="AB1215" s="464"/>
      <c r="AC1215" s="464"/>
      <c r="AD1215" s="464"/>
      <c r="AE1215" s="464"/>
      <c r="AF1215" s="464"/>
      <c r="AG1215" s="464"/>
      <c r="AH1215" s="465"/>
      <c r="AI1215" s="464"/>
    </row>
    <row r="1216" customFormat="false" ht="15" hidden="false" customHeight="true" outlineLevel="0" collapsed="false">
      <c r="A1216" s="455" t="s">
        <v>1796</v>
      </c>
      <c r="C1216" s="456" t="n">
        <v>45608</v>
      </c>
      <c r="D1216" s="456"/>
      <c r="E1216" s="57" t="n">
        <v>14187</v>
      </c>
      <c r="F1216" s="57" t="s">
        <v>175</v>
      </c>
      <c r="G1216" s="323" t="s">
        <v>15</v>
      </c>
      <c r="H1216" s="98" t="n">
        <v>15000</v>
      </c>
      <c r="I1216" s="457" t="n">
        <v>22.5</v>
      </c>
      <c r="J1216" s="313" t="s">
        <v>1651</v>
      </c>
      <c r="K1216" s="98" t="n">
        <f aca="false">I1216*H1216</f>
        <v>337500</v>
      </c>
      <c r="L1216" s="411" t="n">
        <v>204000</v>
      </c>
      <c r="M1216" s="392" t="n">
        <f aca="false">L1216/K1216</f>
        <v>0.604444444444445</v>
      </c>
      <c r="N1216" s="466" t="n">
        <f aca="false">I1216*M1216</f>
        <v>13.6</v>
      </c>
      <c r="O1216" s="461" t="n">
        <v>13260</v>
      </c>
      <c r="P1216" s="468" t="n">
        <f aca="false">H1216-O1216</f>
        <v>1740</v>
      </c>
      <c r="Q1216" s="463" t="n">
        <f aca="false">O1216*I1216</f>
        <v>298350</v>
      </c>
      <c r="R1216" s="48" t="n">
        <f aca="false">K1216-Q1216</f>
        <v>39150</v>
      </c>
      <c r="S1216" s="467" t="n">
        <v>45626</v>
      </c>
      <c r="T1216" s="2" t="s">
        <v>1797</v>
      </c>
      <c r="V1216" s="464"/>
      <c r="W1216" s="464"/>
      <c r="X1216" s="464"/>
      <c r="Y1216" s="464"/>
      <c r="Z1216" s="464"/>
      <c r="AA1216" s="464"/>
      <c r="AB1216" s="464"/>
      <c r="AC1216" s="464"/>
      <c r="AD1216" s="464"/>
      <c r="AE1216" s="464"/>
      <c r="AF1216" s="464"/>
      <c r="AG1216" s="464"/>
      <c r="AH1216" s="465"/>
      <c r="AI1216" s="464"/>
    </row>
    <row r="1217" customFormat="false" ht="15" hidden="false" customHeight="true" outlineLevel="0" collapsed="false">
      <c r="A1217" s="455" t="s">
        <v>1796</v>
      </c>
      <c r="C1217" s="456" t="n">
        <v>45608</v>
      </c>
      <c r="D1217" s="456"/>
      <c r="E1217" s="57" t="n">
        <v>14187</v>
      </c>
      <c r="F1217" s="57" t="s">
        <v>175</v>
      </c>
      <c r="G1217" s="323" t="s">
        <v>19</v>
      </c>
      <c r="H1217" s="98" t="n">
        <v>5010</v>
      </c>
      <c r="I1217" s="457" t="n">
        <v>22.5</v>
      </c>
      <c r="J1217" s="313" t="s">
        <v>1651</v>
      </c>
      <c r="K1217" s="98" t="n">
        <f aca="false">I1217*H1217</f>
        <v>112725</v>
      </c>
      <c r="L1217" s="411" t="n">
        <v>77404.5</v>
      </c>
      <c r="M1217" s="392" t="n">
        <f aca="false">L1217/K1217</f>
        <v>0.686666666666667</v>
      </c>
      <c r="N1217" s="466" t="n">
        <f aca="false">I1217*M1217</f>
        <v>15.45</v>
      </c>
      <c r="O1217" s="461" t="n">
        <v>4230</v>
      </c>
      <c r="P1217" s="468" t="n">
        <f aca="false">H1217-O1217</f>
        <v>780</v>
      </c>
      <c r="Q1217" s="463" t="n">
        <f aca="false">O1217*I1217</f>
        <v>95175</v>
      </c>
      <c r="R1217" s="48" t="n">
        <f aca="false">K1217-Q1217</f>
        <v>17550</v>
      </c>
      <c r="S1217" s="467" t="n">
        <v>45626</v>
      </c>
      <c r="T1217" s="2" t="s">
        <v>1797</v>
      </c>
      <c r="V1217" s="464"/>
      <c r="W1217" s="464"/>
      <c r="X1217" s="464"/>
      <c r="Y1217" s="464"/>
      <c r="Z1217" s="464"/>
      <c r="AA1217" s="464"/>
      <c r="AB1217" s="464"/>
      <c r="AC1217" s="464"/>
      <c r="AD1217" s="464"/>
      <c r="AE1217" s="464"/>
      <c r="AF1217" s="464"/>
      <c r="AG1217" s="464"/>
      <c r="AH1217" s="465"/>
      <c r="AI1217" s="464"/>
    </row>
    <row r="1218" customFormat="false" ht="15" hidden="false" customHeight="true" outlineLevel="0" collapsed="false">
      <c r="A1218" s="455" t="s">
        <v>1796</v>
      </c>
      <c r="C1218" s="456" t="n">
        <v>45608</v>
      </c>
      <c r="D1218" s="456"/>
      <c r="E1218" s="57" t="n">
        <v>14187</v>
      </c>
      <c r="F1218" s="57" t="s">
        <v>175</v>
      </c>
      <c r="G1218" s="323" t="s">
        <v>13</v>
      </c>
      <c r="H1218" s="98" t="n">
        <v>12600</v>
      </c>
      <c r="I1218" s="457" t="n">
        <v>22.5</v>
      </c>
      <c r="J1218" s="313" t="s">
        <v>1651</v>
      </c>
      <c r="K1218" s="98" t="n">
        <f aca="false">I1218*H1218</f>
        <v>283500</v>
      </c>
      <c r="L1218" s="411" t="n">
        <v>115920</v>
      </c>
      <c r="M1218" s="392" t="n">
        <f aca="false">L1218/K1218</f>
        <v>0.408888888888889</v>
      </c>
      <c r="N1218" s="466" t="n">
        <f aca="false">I1218*M1218</f>
        <v>9.2</v>
      </c>
      <c r="O1218" s="461" t="n">
        <v>2205</v>
      </c>
      <c r="P1218" s="468" t="n">
        <f aca="false">H1218-O1218</f>
        <v>10395</v>
      </c>
      <c r="Q1218" s="463" t="n">
        <f aca="false">O1218*I1218</f>
        <v>49612.5</v>
      </c>
      <c r="R1218" s="48" t="n">
        <f aca="false">K1218-Q1218</f>
        <v>233887.5</v>
      </c>
      <c r="S1218" s="467" t="n">
        <v>45626</v>
      </c>
      <c r="T1218" s="2" t="s">
        <v>1797</v>
      </c>
      <c r="V1218" s="464"/>
      <c r="W1218" s="464"/>
      <c r="X1218" s="464"/>
      <c r="Y1218" s="464"/>
      <c r="Z1218" s="464"/>
      <c r="AA1218" s="464"/>
      <c r="AB1218" s="464"/>
      <c r="AC1218" s="464"/>
      <c r="AD1218" s="464"/>
      <c r="AE1218" s="464"/>
      <c r="AF1218" s="464"/>
      <c r="AG1218" s="464"/>
      <c r="AH1218" s="465"/>
      <c r="AI1218" s="464"/>
    </row>
    <row r="1219" customFormat="false" ht="15" hidden="false" customHeight="true" outlineLevel="0" collapsed="false">
      <c r="A1219" s="455" t="s">
        <v>1796</v>
      </c>
      <c r="C1219" s="456" t="n">
        <v>45608</v>
      </c>
      <c r="D1219" s="456"/>
      <c r="E1219" s="57" t="n">
        <v>14187</v>
      </c>
      <c r="F1219" s="57" t="s">
        <v>175</v>
      </c>
      <c r="G1219" s="323" t="s">
        <v>17</v>
      </c>
      <c r="H1219" s="98" t="n">
        <v>6000</v>
      </c>
      <c r="I1219" s="457" t="n">
        <v>22.5</v>
      </c>
      <c r="J1219" s="313" t="s">
        <v>1651</v>
      </c>
      <c r="K1219" s="98" t="n">
        <f aca="false">I1219*H1219</f>
        <v>135000</v>
      </c>
      <c r="L1219" s="411" t="n">
        <v>66000</v>
      </c>
      <c r="M1219" s="392" t="n">
        <f aca="false">L1219/K1219</f>
        <v>0.488888888888889</v>
      </c>
      <c r="N1219" s="466" t="n">
        <f aca="false">I1219*M1219</f>
        <v>11</v>
      </c>
      <c r="O1219" s="461" t="n">
        <v>6000</v>
      </c>
      <c r="P1219" s="462" t="n">
        <f aca="false">H1219-O1219</f>
        <v>0</v>
      </c>
      <c r="Q1219" s="463" t="n">
        <f aca="false">O1219*I1219</f>
        <v>135000</v>
      </c>
      <c r="R1219" s="48" t="n">
        <f aca="false">K1219-Q1219</f>
        <v>0</v>
      </c>
      <c r="S1219" s="467"/>
      <c r="T1219" s="2" t="s">
        <v>1797</v>
      </c>
      <c r="V1219" s="464"/>
      <c r="W1219" s="464"/>
      <c r="X1219" s="464"/>
      <c r="Y1219" s="464"/>
      <c r="Z1219" s="464"/>
      <c r="AA1219" s="464"/>
      <c r="AB1219" s="464"/>
      <c r="AC1219" s="464"/>
      <c r="AD1219" s="464"/>
      <c r="AE1219" s="464"/>
      <c r="AF1219" s="464"/>
      <c r="AG1219" s="464"/>
      <c r="AH1219" s="465"/>
      <c r="AI1219" s="464"/>
    </row>
    <row r="1220" customFormat="false" ht="15" hidden="false" customHeight="true" outlineLevel="0" collapsed="false">
      <c r="A1220" s="455" t="s">
        <v>1810</v>
      </c>
      <c r="C1220" s="456" t="n">
        <v>45608</v>
      </c>
      <c r="D1220" s="456"/>
      <c r="E1220" s="57" t="n">
        <v>14188</v>
      </c>
      <c r="F1220" s="323" t="s">
        <v>175</v>
      </c>
      <c r="G1220" s="323" t="s">
        <v>5</v>
      </c>
      <c r="H1220" s="98" t="n">
        <v>300</v>
      </c>
      <c r="I1220" s="457" t="n">
        <v>25.71</v>
      </c>
      <c r="J1220" s="313" t="s">
        <v>1651</v>
      </c>
      <c r="K1220" s="98" t="n">
        <f aca="false">I1220*H1220</f>
        <v>7713</v>
      </c>
      <c r="L1220" s="411" t="n">
        <v>6093</v>
      </c>
      <c r="M1220" s="392" t="n">
        <f aca="false">L1220/K1220</f>
        <v>0.789964994165694</v>
      </c>
      <c r="N1220" s="466" t="n">
        <f aca="false">I1220*M1220</f>
        <v>20.31</v>
      </c>
      <c r="O1220" s="461" t="n">
        <v>300</v>
      </c>
      <c r="P1220" s="462" t="n">
        <f aca="false">H1220-O1220</f>
        <v>0</v>
      </c>
      <c r="Q1220" s="463" t="n">
        <f aca="false">O1220*I1220</f>
        <v>7713</v>
      </c>
      <c r="R1220" s="48" t="n">
        <f aca="false">K1220-Q1220</f>
        <v>0</v>
      </c>
      <c r="S1220" s="467"/>
      <c r="T1220" s="2" t="s">
        <v>1711</v>
      </c>
      <c r="V1220" s="464"/>
      <c r="W1220" s="464"/>
      <c r="X1220" s="464"/>
      <c r="Y1220" s="464"/>
      <c r="Z1220" s="464"/>
      <c r="AA1220" s="464"/>
      <c r="AB1220" s="464"/>
      <c r="AC1220" s="464"/>
      <c r="AD1220" s="464"/>
      <c r="AE1220" s="464"/>
      <c r="AF1220" s="464"/>
      <c r="AG1220" s="464"/>
      <c r="AH1220" s="465"/>
      <c r="AI1220" s="464"/>
    </row>
    <row r="1221" customFormat="false" ht="15" hidden="false" customHeight="true" outlineLevel="0" collapsed="false">
      <c r="A1221" s="455" t="s">
        <v>1810</v>
      </c>
      <c r="C1221" s="456" t="n">
        <v>45608</v>
      </c>
      <c r="D1221" s="456"/>
      <c r="E1221" s="57" t="n">
        <v>14188</v>
      </c>
      <c r="F1221" s="323" t="s">
        <v>175</v>
      </c>
      <c r="G1221" s="323" t="s">
        <v>10</v>
      </c>
      <c r="H1221" s="98" t="n">
        <v>15</v>
      </c>
      <c r="I1221" s="457" t="n">
        <v>25.71</v>
      </c>
      <c r="J1221" s="313" t="s">
        <v>1651</v>
      </c>
      <c r="K1221" s="98" t="n">
        <f aca="false">I1221*H1221</f>
        <v>385.65</v>
      </c>
      <c r="L1221" s="411" t="n">
        <v>167.85</v>
      </c>
      <c r="M1221" s="392" t="n">
        <f aca="false">L1221/K1221</f>
        <v>0.435239206534422</v>
      </c>
      <c r="N1221" s="466" t="n">
        <f aca="false">I1221*M1221</f>
        <v>11.19</v>
      </c>
      <c r="O1221" s="461" t="n">
        <v>15</v>
      </c>
      <c r="P1221" s="462" t="n">
        <f aca="false">H1221-O1221</f>
        <v>0</v>
      </c>
      <c r="Q1221" s="463" t="n">
        <f aca="false">O1221*I1221</f>
        <v>385.65</v>
      </c>
      <c r="R1221" s="48" t="n">
        <f aca="false">K1221-Q1221</f>
        <v>0</v>
      </c>
      <c r="S1221" s="467"/>
      <c r="T1221" s="2" t="s">
        <v>1711</v>
      </c>
      <c r="V1221" s="464"/>
      <c r="W1221" s="464"/>
      <c r="X1221" s="464"/>
      <c r="Y1221" s="464"/>
      <c r="Z1221" s="464"/>
      <c r="AA1221" s="464"/>
      <c r="AB1221" s="464"/>
      <c r="AC1221" s="464"/>
      <c r="AD1221" s="464"/>
      <c r="AE1221" s="464"/>
      <c r="AF1221" s="464"/>
      <c r="AG1221" s="464"/>
      <c r="AH1221" s="465"/>
      <c r="AI1221" s="464"/>
    </row>
    <row r="1222" customFormat="false" ht="15" hidden="false" customHeight="true" outlineLevel="0" collapsed="false">
      <c r="A1222" s="455" t="s">
        <v>1960</v>
      </c>
      <c r="C1222" s="456" t="n">
        <v>45609</v>
      </c>
      <c r="D1222" s="456"/>
      <c r="E1222" s="57" t="n">
        <v>14189</v>
      </c>
      <c r="F1222" s="323" t="s">
        <v>175</v>
      </c>
      <c r="G1222" s="323" t="s">
        <v>10</v>
      </c>
      <c r="H1222" s="98" t="n">
        <v>5100</v>
      </c>
      <c r="I1222" s="457" t="n">
        <v>38.3</v>
      </c>
      <c r="J1222" s="313" t="s">
        <v>1652</v>
      </c>
      <c r="K1222" s="98" t="n">
        <f aca="false">I1222*H1222</f>
        <v>195330</v>
      </c>
      <c r="L1222" s="411" t="n">
        <v>61200</v>
      </c>
      <c r="M1222" s="392" t="n">
        <f aca="false">L1222/K1222</f>
        <v>0.31331592689295</v>
      </c>
      <c r="N1222" s="466" t="n">
        <f aca="false">I1222*M1222</f>
        <v>12</v>
      </c>
      <c r="O1222" s="461" t="n">
        <v>5100</v>
      </c>
      <c r="P1222" s="462" t="n">
        <f aca="false">H1222-O1222</f>
        <v>0</v>
      </c>
      <c r="Q1222" s="463" t="n">
        <f aca="false">O1222*I1222</f>
        <v>195330</v>
      </c>
      <c r="R1222" s="48" t="n">
        <f aca="false">K1222-Q1222</f>
        <v>0</v>
      </c>
      <c r="S1222" s="467"/>
      <c r="T1222" s="2" t="s">
        <v>1711</v>
      </c>
      <c r="V1222" s="464"/>
      <c r="W1222" s="464"/>
      <c r="X1222" s="464"/>
      <c r="Y1222" s="464"/>
      <c r="Z1222" s="464"/>
      <c r="AA1222" s="464"/>
      <c r="AB1222" s="464"/>
      <c r="AC1222" s="464"/>
      <c r="AD1222" s="464"/>
      <c r="AE1222" s="464"/>
      <c r="AF1222" s="464"/>
      <c r="AG1222" s="464"/>
      <c r="AH1222" s="465"/>
      <c r="AI1222" s="464"/>
    </row>
    <row r="1223" customFormat="false" ht="15" hidden="false" customHeight="true" outlineLevel="0" collapsed="false">
      <c r="A1223" s="455" t="s">
        <v>1961</v>
      </c>
      <c r="C1223" s="456" t="n">
        <v>45609</v>
      </c>
      <c r="D1223" s="456"/>
      <c r="E1223" s="57" t="n">
        <v>14190</v>
      </c>
      <c r="F1223" s="323" t="s">
        <v>175</v>
      </c>
      <c r="G1223" s="323" t="s">
        <v>13</v>
      </c>
      <c r="H1223" s="98" t="n">
        <v>150</v>
      </c>
      <c r="I1223" s="457" t="n">
        <v>22.5</v>
      </c>
      <c r="J1223" s="313" t="s">
        <v>1651</v>
      </c>
      <c r="K1223" s="98" t="n">
        <f aca="false">I1223*H1223</f>
        <v>3375</v>
      </c>
      <c r="L1223" s="411" t="n">
        <v>1680</v>
      </c>
      <c r="M1223" s="392" t="n">
        <f aca="false">L1223/K1223</f>
        <v>0.497777777777778</v>
      </c>
      <c r="N1223" s="466" t="n">
        <f aca="false">I1223*M1223</f>
        <v>11.2</v>
      </c>
      <c r="O1223" s="461" t="n">
        <v>150</v>
      </c>
      <c r="P1223" s="462" t="n">
        <f aca="false">H1223-O1223</f>
        <v>0</v>
      </c>
      <c r="Q1223" s="463" t="n">
        <f aca="false">O1223*I1223</f>
        <v>3375</v>
      </c>
      <c r="R1223" s="48" t="n">
        <f aca="false">K1223-Q1223</f>
        <v>0</v>
      </c>
      <c r="S1223" s="467"/>
      <c r="T1223" s="2" t="s">
        <v>1711</v>
      </c>
      <c r="V1223" s="464"/>
      <c r="W1223" s="464"/>
      <c r="X1223" s="464"/>
      <c r="Y1223" s="464"/>
      <c r="Z1223" s="464"/>
      <c r="AA1223" s="464"/>
      <c r="AB1223" s="464"/>
      <c r="AC1223" s="464"/>
      <c r="AD1223" s="464"/>
      <c r="AE1223" s="464"/>
      <c r="AF1223" s="464"/>
      <c r="AG1223" s="464"/>
      <c r="AH1223" s="465"/>
      <c r="AI1223" s="464"/>
    </row>
    <row r="1224" customFormat="false" ht="15" hidden="false" customHeight="true" outlineLevel="0" collapsed="false">
      <c r="A1224" s="455" t="s">
        <v>1961</v>
      </c>
      <c r="C1224" s="456" t="n">
        <v>45609</v>
      </c>
      <c r="D1224" s="456"/>
      <c r="E1224" s="57" t="n">
        <v>14190</v>
      </c>
      <c r="F1224" s="323" t="s">
        <v>175</v>
      </c>
      <c r="G1224" s="323" t="s">
        <v>5</v>
      </c>
      <c r="H1224" s="98" t="n">
        <v>600</v>
      </c>
      <c r="I1224" s="457" t="n">
        <v>25.71</v>
      </c>
      <c r="J1224" s="313" t="s">
        <v>1651</v>
      </c>
      <c r="K1224" s="98" t="n">
        <f aca="false">I1224*H1224</f>
        <v>15426</v>
      </c>
      <c r="L1224" s="411" t="n">
        <v>6852</v>
      </c>
      <c r="M1224" s="392" t="n">
        <f aca="false">L1224/K1224</f>
        <v>0.444185141968106</v>
      </c>
      <c r="N1224" s="466" t="n">
        <f aca="false">I1224*M1224</f>
        <v>11.42</v>
      </c>
      <c r="O1224" s="461" t="n">
        <v>600</v>
      </c>
      <c r="P1224" s="462" t="n">
        <f aca="false">H1224-O1224</f>
        <v>0</v>
      </c>
      <c r="Q1224" s="463" t="n">
        <f aca="false">O1224*I1224</f>
        <v>15426</v>
      </c>
      <c r="R1224" s="48" t="n">
        <f aca="false">K1224-Q1224</f>
        <v>0</v>
      </c>
      <c r="S1224" s="467"/>
      <c r="T1224" s="2" t="s">
        <v>1711</v>
      </c>
      <c r="V1224" s="464"/>
      <c r="W1224" s="464"/>
      <c r="X1224" s="464"/>
      <c r="Y1224" s="464"/>
      <c r="Z1224" s="464"/>
      <c r="AA1224" s="464"/>
      <c r="AB1224" s="464"/>
      <c r="AC1224" s="464"/>
      <c r="AD1224" s="464"/>
      <c r="AE1224" s="464"/>
      <c r="AF1224" s="464"/>
      <c r="AG1224" s="464"/>
      <c r="AH1224" s="465"/>
      <c r="AI1224" s="464"/>
    </row>
    <row r="1225" customFormat="false" ht="15" hidden="false" customHeight="true" outlineLevel="0" collapsed="false">
      <c r="A1225" s="455" t="s">
        <v>1758</v>
      </c>
      <c r="C1225" s="456" t="n">
        <v>45609</v>
      </c>
      <c r="D1225" s="456"/>
      <c r="E1225" s="57" t="n">
        <v>14191</v>
      </c>
      <c r="F1225" s="323" t="s">
        <v>175</v>
      </c>
      <c r="G1225" s="323" t="s">
        <v>6</v>
      </c>
      <c r="H1225" s="98" t="n">
        <v>500</v>
      </c>
      <c r="I1225" s="457" t="n">
        <v>30</v>
      </c>
      <c r="J1225" s="313" t="s">
        <v>1651</v>
      </c>
      <c r="K1225" s="98" t="n">
        <f aca="false">I1225*H1225</f>
        <v>15000</v>
      </c>
      <c r="L1225" s="411" t="n">
        <v>5750</v>
      </c>
      <c r="M1225" s="392" t="n">
        <f aca="false">L1225/K1225</f>
        <v>0.383333333333333</v>
      </c>
      <c r="N1225" s="466" t="n">
        <f aca="false">I1225*M1225</f>
        <v>11.5</v>
      </c>
      <c r="O1225" s="461" t="n">
        <v>500</v>
      </c>
      <c r="P1225" s="462" t="n">
        <f aca="false">H1225-O1225</f>
        <v>0</v>
      </c>
      <c r="Q1225" s="463" t="n">
        <f aca="false">O1225*I1225</f>
        <v>15000</v>
      </c>
      <c r="R1225" s="48" t="n">
        <f aca="false">K1225-Q1225</f>
        <v>0</v>
      </c>
      <c r="S1225" s="467"/>
      <c r="T1225" s="2" t="s">
        <v>1711</v>
      </c>
      <c r="V1225" s="464"/>
      <c r="W1225" s="464"/>
      <c r="X1225" s="464"/>
      <c r="Y1225" s="464"/>
      <c r="Z1225" s="464"/>
      <c r="AA1225" s="464"/>
      <c r="AB1225" s="464"/>
      <c r="AC1225" s="464"/>
      <c r="AD1225" s="464"/>
      <c r="AE1225" s="464"/>
      <c r="AF1225" s="464"/>
      <c r="AG1225" s="464"/>
      <c r="AH1225" s="465"/>
      <c r="AI1225" s="464"/>
    </row>
    <row r="1226" customFormat="false" ht="15" hidden="false" customHeight="true" outlineLevel="0" collapsed="false">
      <c r="A1226" s="455" t="s">
        <v>1962</v>
      </c>
      <c r="C1226" s="456" t="n">
        <v>45609</v>
      </c>
      <c r="D1226" s="456"/>
      <c r="E1226" s="57" t="n">
        <v>14193</v>
      </c>
      <c r="F1226" s="323" t="s">
        <v>175</v>
      </c>
      <c r="G1226" s="323" t="s">
        <v>10</v>
      </c>
      <c r="H1226" s="98" t="n">
        <v>600</v>
      </c>
      <c r="I1226" s="457" t="n">
        <v>90</v>
      </c>
      <c r="J1226" s="313" t="s">
        <v>1653</v>
      </c>
      <c r="K1226" s="98" t="n">
        <f aca="false">I1226*H1226</f>
        <v>54000</v>
      </c>
      <c r="L1226" s="411" t="n">
        <v>8400</v>
      </c>
      <c r="M1226" s="392" t="n">
        <f aca="false">L1226/K1226</f>
        <v>0.155555555555556</v>
      </c>
      <c r="N1226" s="466" t="n">
        <f aca="false">I1226*M1226</f>
        <v>14</v>
      </c>
      <c r="O1226" s="461" t="n">
        <v>600</v>
      </c>
      <c r="P1226" s="462" t="n">
        <f aca="false">H1226-O1226</f>
        <v>0</v>
      </c>
      <c r="Q1226" s="463" t="n">
        <f aca="false">O1226*I1226</f>
        <v>54000</v>
      </c>
      <c r="R1226" s="48" t="n">
        <f aca="false">K1226-Q1226</f>
        <v>0</v>
      </c>
      <c r="S1226" s="467"/>
      <c r="T1226" s="2" t="s">
        <v>1711</v>
      </c>
      <c r="V1226" s="464"/>
      <c r="W1226" s="464"/>
      <c r="X1226" s="464"/>
      <c r="Y1226" s="464"/>
      <c r="Z1226" s="464"/>
      <c r="AA1226" s="464"/>
      <c r="AB1226" s="464"/>
      <c r="AC1226" s="464"/>
      <c r="AD1226" s="464"/>
      <c r="AE1226" s="464"/>
      <c r="AF1226" s="464"/>
      <c r="AG1226" s="464"/>
      <c r="AH1226" s="465"/>
      <c r="AI1226" s="464"/>
    </row>
    <row r="1227" customFormat="false" ht="15" hidden="false" customHeight="true" outlineLevel="0" collapsed="false">
      <c r="A1227" s="455" t="s">
        <v>1812</v>
      </c>
      <c r="C1227" s="456" t="n">
        <v>45610</v>
      </c>
      <c r="D1227" s="456"/>
      <c r="E1227" s="57" t="n">
        <v>14194</v>
      </c>
      <c r="F1227" s="323" t="s">
        <v>175</v>
      </c>
      <c r="G1227" s="323" t="s">
        <v>42</v>
      </c>
      <c r="H1227" s="98" t="n">
        <v>300</v>
      </c>
      <c r="I1227" s="457" t="n">
        <v>30</v>
      </c>
      <c r="J1227" s="313" t="s">
        <v>1651</v>
      </c>
      <c r="K1227" s="98" t="n">
        <f aca="false">I1227*H1227</f>
        <v>9000</v>
      </c>
      <c r="L1227" s="411" t="n">
        <v>4143</v>
      </c>
      <c r="M1227" s="392" t="n">
        <f aca="false">L1227/K1227</f>
        <v>0.460333333333333</v>
      </c>
      <c r="N1227" s="466" t="n">
        <f aca="false">I1227*M1227</f>
        <v>13.81</v>
      </c>
      <c r="O1227" s="461" t="n">
        <v>300</v>
      </c>
      <c r="P1227" s="462" t="n">
        <f aca="false">H1227-O1227</f>
        <v>0</v>
      </c>
      <c r="Q1227" s="463" t="n">
        <f aca="false">O1227*I1227</f>
        <v>9000</v>
      </c>
      <c r="R1227" s="48" t="n">
        <f aca="false">K1227-Q1227</f>
        <v>0</v>
      </c>
      <c r="S1227" s="467"/>
      <c r="T1227" s="2" t="s">
        <v>1711</v>
      </c>
      <c r="V1227" s="464"/>
      <c r="W1227" s="464"/>
      <c r="X1227" s="464"/>
      <c r="Y1227" s="464"/>
      <c r="Z1227" s="464"/>
      <c r="AA1227" s="464"/>
      <c r="AB1227" s="464"/>
      <c r="AC1227" s="464"/>
      <c r="AD1227" s="464"/>
      <c r="AE1227" s="464"/>
      <c r="AF1227" s="464"/>
      <c r="AG1227" s="464"/>
      <c r="AH1227" s="465"/>
      <c r="AI1227" s="464"/>
    </row>
    <row r="1228" customFormat="false" ht="15" hidden="false" customHeight="true" outlineLevel="0" collapsed="false">
      <c r="A1228" s="455" t="s">
        <v>1963</v>
      </c>
      <c r="C1228" s="456" t="n">
        <v>45610</v>
      </c>
      <c r="D1228" s="456"/>
      <c r="E1228" s="57" t="n">
        <v>14196</v>
      </c>
      <c r="F1228" s="57" t="s">
        <v>175</v>
      </c>
      <c r="G1228" s="323" t="s">
        <v>6</v>
      </c>
      <c r="H1228" s="98" t="n">
        <v>900</v>
      </c>
      <c r="I1228" s="457" t="n">
        <v>30</v>
      </c>
      <c r="J1228" s="313" t="s">
        <v>1651</v>
      </c>
      <c r="K1228" s="98" t="n">
        <f aca="false">I1228*H1228</f>
        <v>27000</v>
      </c>
      <c r="L1228" s="411" t="n">
        <v>20250</v>
      </c>
      <c r="M1228" s="392" t="n">
        <f aca="false">L1228/K1228</f>
        <v>0.75</v>
      </c>
      <c r="N1228" s="466" t="n">
        <f aca="false">I1228*M1228</f>
        <v>22.5</v>
      </c>
      <c r="O1228" s="461" t="n">
        <v>900</v>
      </c>
      <c r="P1228" s="462" t="n">
        <f aca="false">H1228-O1228</f>
        <v>0</v>
      </c>
      <c r="Q1228" s="463" t="n">
        <f aca="false">O1228*I1228</f>
        <v>27000</v>
      </c>
      <c r="R1228" s="48" t="n">
        <f aca="false">K1228-Q1228</f>
        <v>0</v>
      </c>
      <c r="S1228" s="467"/>
      <c r="T1228" s="2" t="s">
        <v>1711</v>
      </c>
      <c r="V1228" s="464"/>
      <c r="W1228" s="464"/>
      <c r="X1228" s="464"/>
      <c r="Y1228" s="464"/>
      <c r="Z1228" s="464"/>
      <c r="AA1228" s="464"/>
      <c r="AB1228" s="464"/>
      <c r="AC1228" s="464"/>
      <c r="AD1228" s="464"/>
      <c r="AE1228" s="464"/>
      <c r="AF1228" s="464"/>
      <c r="AG1228" s="464"/>
      <c r="AH1228" s="465"/>
      <c r="AI1228" s="464"/>
    </row>
    <row r="1229" customFormat="false" ht="15" hidden="false" customHeight="true" outlineLevel="0" collapsed="false">
      <c r="A1229" s="455" t="s">
        <v>1963</v>
      </c>
      <c r="C1229" s="456" t="n">
        <v>45610</v>
      </c>
      <c r="D1229" s="456"/>
      <c r="E1229" s="57" t="n">
        <v>14196</v>
      </c>
      <c r="F1229" s="57" t="s">
        <v>175</v>
      </c>
      <c r="G1229" s="323" t="s">
        <v>12</v>
      </c>
      <c r="H1229" s="98" t="n">
        <v>60</v>
      </c>
      <c r="I1229" s="457" t="n">
        <v>18</v>
      </c>
      <c r="J1229" s="313" t="s">
        <v>1651</v>
      </c>
      <c r="K1229" s="98" t="n">
        <f aca="false">I1229*H1229</f>
        <v>1080</v>
      </c>
      <c r="L1229" s="411" t="n">
        <v>3900</v>
      </c>
      <c r="M1229" s="392" t="n">
        <f aca="false">L1229/K1229</f>
        <v>3.61111111111111</v>
      </c>
      <c r="N1229" s="466" t="n">
        <f aca="false">I1229*M1229</f>
        <v>65</v>
      </c>
      <c r="O1229" s="461" t="n">
        <v>60</v>
      </c>
      <c r="P1229" s="462" t="n">
        <f aca="false">H1229-O1229</f>
        <v>0</v>
      </c>
      <c r="Q1229" s="463" t="n">
        <f aca="false">O1229*I1229</f>
        <v>1080</v>
      </c>
      <c r="R1229" s="48" t="n">
        <f aca="false">K1229-Q1229</f>
        <v>0</v>
      </c>
      <c r="S1229" s="467"/>
      <c r="T1229" s="2" t="s">
        <v>1711</v>
      </c>
      <c r="V1229" s="464"/>
      <c r="W1229" s="464"/>
      <c r="X1229" s="464"/>
      <c r="Y1229" s="464"/>
      <c r="Z1229" s="464"/>
      <c r="AA1229" s="464"/>
      <c r="AB1229" s="464"/>
      <c r="AC1229" s="464"/>
      <c r="AD1229" s="464"/>
      <c r="AE1229" s="464"/>
      <c r="AF1229" s="464"/>
      <c r="AG1229" s="464"/>
      <c r="AH1229" s="465"/>
      <c r="AI1229" s="464"/>
    </row>
    <row r="1230" customFormat="false" ht="15" hidden="false" customHeight="true" outlineLevel="0" collapsed="false">
      <c r="A1230" s="455" t="s">
        <v>1964</v>
      </c>
      <c r="C1230" s="456" t="n">
        <v>45610</v>
      </c>
      <c r="D1230" s="456"/>
      <c r="E1230" s="57" t="n">
        <v>14197</v>
      </c>
      <c r="F1230" s="57" t="s">
        <v>175</v>
      </c>
      <c r="G1230" s="323" t="s">
        <v>6</v>
      </c>
      <c r="H1230" s="98" t="n">
        <v>705</v>
      </c>
      <c r="I1230" s="457" t="n">
        <v>30</v>
      </c>
      <c r="J1230" s="313" t="s">
        <v>1651</v>
      </c>
      <c r="K1230" s="98" t="n">
        <f aca="false">I1230*H1230</f>
        <v>21150</v>
      </c>
      <c r="L1230" s="411" t="n">
        <v>11985</v>
      </c>
      <c r="M1230" s="392" t="n">
        <f aca="false">L1230/K1230</f>
        <v>0.566666666666667</v>
      </c>
      <c r="N1230" s="466" t="n">
        <f aca="false">I1230*M1230</f>
        <v>17</v>
      </c>
      <c r="O1230" s="461" t="n">
        <v>705</v>
      </c>
      <c r="P1230" s="462" t="n">
        <f aca="false">H1230-O1230</f>
        <v>0</v>
      </c>
      <c r="Q1230" s="463" t="n">
        <f aca="false">O1230*I1230</f>
        <v>21150</v>
      </c>
      <c r="R1230" s="48" t="n">
        <f aca="false">K1230-Q1230</f>
        <v>0</v>
      </c>
      <c r="S1230" s="467"/>
      <c r="T1230" s="2" t="s">
        <v>1711</v>
      </c>
      <c r="V1230" s="464"/>
      <c r="W1230" s="464"/>
      <c r="X1230" s="464"/>
      <c r="Y1230" s="464"/>
      <c r="Z1230" s="464"/>
      <c r="AA1230" s="464"/>
      <c r="AB1230" s="464"/>
      <c r="AC1230" s="464"/>
      <c r="AD1230" s="464"/>
      <c r="AE1230" s="464"/>
      <c r="AF1230" s="464"/>
      <c r="AG1230" s="464"/>
      <c r="AH1230" s="465"/>
      <c r="AI1230" s="464"/>
    </row>
    <row r="1231" customFormat="false" ht="15" hidden="false" customHeight="true" outlineLevel="0" collapsed="false">
      <c r="A1231" s="455" t="s">
        <v>1798</v>
      </c>
      <c r="C1231" s="456" t="n">
        <v>45610</v>
      </c>
      <c r="D1231" s="456"/>
      <c r="E1231" s="57" t="n">
        <v>14198</v>
      </c>
      <c r="F1231" s="323" t="s">
        <v>175</v>
      </c>
      <c r="G1231" s="323" t="s">
        <v>42</v>
      </c>
      <c r="H1231" s="98" t="n">
        <v>600</v>
      </c>
      <c r="I1231" s="457" t="n">
        <v>30</v>
      </c>
      <c r="J1231" s="313" t="s">
        <v>1651</v>
      </c>
      <c r="K1231" s="98" t="n">
        <f aca="false">I1231*H1231</f>
        <v>18000</v>
      </c>
      <c r="L1231" s="411" t="n">
        <v>7920</v>
      </c>
      <c r="M1231" s="392" t="n">
        <f aca="false">L1231/K1231</f>
        <v>0.44</v>
      </c>
      <c r="N1231" s="466" t="n">
        <f aca="false">I1231*M1231</f>
        <v>13.2</v>
      </c>
      <c r="O1231" s="461" t="n">
        <v>600</v>
      </c>
      <c r="P1231" s="462" t="n">
        <f aca="false">H1231-O1231</f>
        <v>0</v>
      </c>
      <c r="Q1231" s="463" t="n">
        <f aca="false">O1231*I1231</f>
        <v>18000</v>
      </c>
      <c r="R1231" s="48" t="n">
        <f aca="false">K1231-Q1231</f>
        <v>0</v>
      </c>
      <c r="S1231" s="467"/>
      <c r="T1231" s="2" t="s">
        <v>1711</v>
      </c>
      <c r="V1231" s="464"/>
      <c r="W1231" s="464"/>
      <c r="X1231" s="464"/>
      <c r="Y1231" s="464"/>
      <c r="Z1231" s="464"/>
      <c r="AA1231" s="464"/>
      <c r="AB1231" s="464"/>
      <c r="AC1231" s="464"/>
      <c r="AD1231" s="464"/>
      <c r="AE1231" s="464"/>
      <c r="AF1231" s="464"/>
      <c r="AG1231" s="464"/>
      <c r="AH1231" s="465"/>
      <c r="AI1231" s="464"/>
    </row>
    <row r="1232" customFormat="false" ht="15" hidden="false" customHeight="true" outlineLevel="0" collapsed="false">
      <c r="A1232" s="455" t="s">
        <v>1798</v>
      </c>
      <c r="C1232" s="456" t="n">
        <v>45610</v>
      </c>
      <c r="D1232" s="456"/>
      <c r="E1232" s="57" t="n">
        <v>14198</v>
      </c>
      <c r="F1232" s="323" t="s">
        <v>175</v>
      </c>
      <c r="G1232" s="323" t="s">
        <v>11</v>
      </c>
      <c r="H1232" s="98" t="n">
        <v>600</v>
      </c>
      <c r="I1232" s="457" t="n">
        <v>14</v>
      </c>
      <c r="J1232" s="313" t="s">
        <v>1651</v>
      </c>
      <c r="K1232" s="98" t="n">
        <f aca="false">I1232*H1232</f>
        <v>8400</v>
      </c>
      <c r="L1232" s="411" t="n">
        <v>27000</v>
      </c>
      <c r="M1232" s="392" t="n">
        <f aca="false">L1232/K1232</f>
        <v>3.21428571428571</v>
      </c>
      <c r="N1232" s="466" t="n">
        <f aca="false">I1232*M1232</f>
        <v>45</v>
      </c>
      <c r="O1232" s="461" t="n">
        <v>600</v>
      </c>
      <c r="P1232" s="462" t="n">
        <f aca="false">H1232-O1232</f>
        <v>0</v>
      </c>
      <c r="Q1232" s="463" t="n">
        <f aca="false">O1232*I1232</f>
        <v>8400</v>
      </c>
      <c r="R1232" s="48" t="n">
        <f aca="false">K1232-Q1232</f>
        <v>0</v>
      </c>
      <c r="S1232" s="467"/>
      <c r="T1232" s="2" t="s">
        <v>1711</v>
      </c>
      <c r="V1232" s="464"/>
      <c r="W1232" s="464"/>
      <c r="X1232" s="464"/>
      <c r="Y1232" s="464"/>
      <c r="Z1232" s="464"/>
      <c r="AA1232" s="464"/>
      <c r="AB1232" s="464"/>
      <c r="AC1232" s="464"/>
      <c r="AD1232" s="464"/>
      <c r="AE1232" s="464"/>
      <c r="AF1232" s="464"/>
      <c r="AG1232" s="464"/>
      <c r="AH1232" s="465"/>
      <c r="AI1232" s="464"/>
    </row>
    <row r="1233" customFormat="false" ht="15" hidden="false" customHeight="true" outlineLevel="0" collapsed="false">
      <c r="A1233" s="455" t="s">
        <v>1965</v>
      </c>
      <c r="C1233" s="456" t="n">
        <v>45610</v>
      </c>
      <c r="D1233" s="456"/>
      <c r="E1233" s="57" t="n">
        <v>14200</v>
      </c>
      <c r="F1233" s="323" t="s">
        <v>175</v>
      </c>
      <c r="G1233" s="323" t="s">
        <v>13</v>
      </c>
      <c r="H1233" s="98" t="n">
        <v>10</v>
      </c>
      <c r="I1233" s="457" t="n">
        <v>22.5</v>
      </c>
      <c r="J1233" s="313" t="s">
        <v>1651</v>
      </c>
      <c r="K1233" s="98" t="n">
        <f aca="false">I1233*H1233</f>
        <v>225</v>
      </c>
      <c r="L1233" s="411" t="n">
        <v>115</v>
      </c>
      <c r="M1233" s="392" t="n">
        <f aca="false">L1233/K1233</f>
        <v>0.511111111111111</v>
      </c>
      <c r="N1233" s="466" t="n">
        <f aca="false">I1233*M1233</f>
        <v>11.5</v>
      </c>
      <c r="O1233" s="461" t="n">
        <v>10</v>
      </c>
      <c r="P1233" s="462" t="n">
        <f aca="false">H1233-O1233</f>
        <v>0</v>
      </c>
      <c r="Q1233" s="463" t="n">
        <f aca="false">O1233*I1233</f>
        <v>225</v>
      </c>
      <c r="R1233" s="48" t="n">
        <f aca="false">K1233-Q1233</f>
        <v>0</v>
      </c>
      <c r="S1233" s="467"/>
      <c r="T1233" s="2" t="s">
        <v>1711</v>
      </c>
      <c r="V1233" s="464"/>
      <c r="W1233" s="464"/>
      <c r="X1233" s="464"/>
      <c r="Y1233" s="464"/>
      <c r="Z1233" s="464"/>
      <c r="AA1233" s="464"/>
      <c r="AB1233" s="464"/>
      <c r="AC1233" s="464"/>
      <c r="AD1233" s="464"/>
      <c r="AE1233" s="464"/>
      <c r="AF1233" s="464"/>
      <c r="AG1233" s="464"/>
      <c r="AH1233" s="465"/>
      <c r="AI1233" s="464"/>
    </row>
    <row r="1234" customFormat="false" ht="15" hidden="false" customHeight="true" outlineLevel="0" collapsed="false">
      <c r="A1234" s="455" t="s">
        <v>1965</v>
      </c>
      <c r="C1234" s="456" t="n">
        <v>45610</v>
      </c>
      <c r="D1234" s="456"/>
      <c r="E1234" s="57" t="n">
        <v>14200</v>
      </c>
      <c r="F1234" s="323" t="s">
        <v>175</v>
      </c>
      <c r="G1234" s="323" t="s">
        <v>13</v>
      </c>
      <c r="H1234" s="98" t="n">
        <v>15</v>
      </c>
      <c r="I1234" s="457" t="n">
        <v>22.5</v>
      </c>
      <c r="J1234" s="313" t="s">
        <v>1651</v>
      </c>
      <c r="K1234" s="98" t="n">
        <f aca="false">I1234*H1234</f>
        <v>337.5</v>
      </c>
      <c r="L1234" s="411" t="n">
        <v>125</v>
      </c>
      <c r="M1234" s="392" t="n">
        <f aca="false">L1234/K1234</f>
        <v>0.37037037037037</v>
      </c>
      <c r="N1234" s="466" t="n">
        <f aca="false">I1234*M1234</f>
        <v>8.33333333333333</v>
      </c>
      <c r="O1234" s="461" t="n">
        <v>15</v>
      </c>
      <c r="P1234" s="462" t="n">
        <f aca="false">H1234-O1234</f>
        <v>0</v>
      </c>
      <c r="Q1234" s="463" t="n">
        <f aca="false">O1234*I1234</f>
        <v>337.5</v>
      </c>
      <c r="R1234" s="48" t="n">
        <f aca="false">K1234-Q1234</f>
        <v>0</v>
      </c>
      <c r="S1234" s="467"/>
      <c r="T1234" s="2" t="s">
        <v>1711</v>
      </c>
      <c r="V1234" s="464"/>
      <c r="W1234" s="464"/>
      <c r="X1234" s="464"/>
      <c r="Y1234" s="464"/>
      <c r="Z1234" s="464"/>
      <c r="AA1234" s="464"/>
      <c r="AB1234" s="464"/>
      <c r="AC1234" s="464"/>
      <c r="AD1234" s="464"/>
      <c r="AE1234" s="464"/>
      <c r="AF1234" s="464"/>
      <c r="AG1234" s="464"/>
      <c r="AH1234" s="465"/>
      <c r="AI1234" s="464"/>
    </row>
    <row r="1235" customFormat="false" ht="15" hidden="false" customHeight="true" outlineLevel="0" collapsed="false">
      <c r="A1235" s="455" t="s">
        <v>1966</v>
      </c>
      <c r="C1235" s="456" t="n">
        <v>45610</v>
      </c>
      <c r="D1235" s="456"/>
      <c r="E1235" s="57" t="n">
        <v>14201</v>
      </c>
      <c r="F1235" s="323" t="s">
        <v>175</v>
      </c>
      <c r="G1235" s="323" t="s">
        <v>12</v>
      </c>
      <c r="H1235" s="98" t="n">
        <v>930</v>
      </c>
      <c r="I1235" s="457" t="n">
        <v>18</v>
      </c>
      <c r="J1235" s="313" t="s">
        <v>1651</v>
      </c>
      <c r="K1235" s="98" t="n">
        <f aca="false">I1235*H1235</f>
        <v>16740</v>
      </c>
      <c r="L1235" s="411" t="n">
        <v>60450</v>
      </c>
      <c r="M1235" s="392" t="n">
        <f aca="false">L1235/K1235</f>
        <v>3.61111111111111</v>
      </c>
      <c r="N1235" s="466" t="n">
        <f aca="false">I1235*M1235</f>
        <v>65</v>
      </c>
      <c r="O1235" s="461" t="n">
        <v>930</v>
      </c>
      <c r="P1235" s="462" t="n">
        <f aca="false">H1235-O1235</f>
        <v>0</v>
      </c>
      <c r="Q1235" s="463" t="n">
        <f aca="false">O1235*I1235</f>
        <v>16740</v>
      </c>
      <c r="R1235" s="48" t="n">
        <f aca="false">K1235-Q1235</f>
        <v>0</v>
      </c>
      <c r="S1235" s="467"/>
      <c r="T1235" s="2" t="s">
        <v>1711</v>
      </c>
      <c r="V1235" s="464"/>
      <c r="W1235" s="464"/>
      <c r="X1235" s="464"/>
      <c r="Y1235" s="464"/>
      <c r="Z1235" s="464"/>
      <c r="AA1235" s="464"/>
      <c r="AB1235" s="464"/>
      <c r="AC1235" s="464"/>
      <c r="AD1235" s="464"/>
      <c r="AE1235" s="464"/>
      <c r="AF1235" s="464"/>
      <c r="AG1235" s="464"/>
      <c r="AH1235" s="465"/>
      <c r="AI1235" s="464"/>
    </row>
    <row r="1236" customFormat="false" ht="15" hidden="false" customHeight="true" outlineLevel="0" collapsed="false">
      <c r="A1236" s="455" t="s">
        <v>1724</v>
      </c>
      <c r="C1236" s="456" t="n">
        <v>45610</v>
      </c>
      <c r="D1236" s="456"/>
      <c r="E1236" s="57" t="n">
        <v>14202</v>
      </c>
      <c r="F1236" s="323" t="s">
        <v>175</v>
      </c>
      <c r="G1236" s="323" t="s">
        <v>17</v>
      </c>
      <c r="H1236" s="98" t="n">
        <v>3000</v>
      </c>
      <c r="I1236" s="457" t="n">
        <v>22.5</v>
      </c>
      <c r="J1236" s="313" t="s">
        <v>1651</v>
      </c>
      <c r="K1236" s="98" t="n">
        <f aca="false">I1236*H1236</f>
        <v>67500</v>
      </c>
      <c r="L1236" s="411" t="n">
        <v>50700</v>
      </c>
      <c r="M1236" s="392" t="n">
        <f aca="false">L1236/K1236</f>
        <v>0.751111111111111</v>
      </c>
      <c r="N1236" s="466" t="n">
        <f aca="false">I1236*M1236</f>
        <v>16.9</v>
      </c>
      <c r="O1236" s="461" t="n">
        <v>3000</v>
      </c>
      <c r="P1236" s="462" t="n">
        <f aca="false">H1236-O1236</f>
        <v>0</v>
      </c>
      <c r="Q1236" s="463" t="n">
        <f aca="false">O1236*I1236</f>
        <v>67500</v>
      </c>
      <c r="R1236" s="48" t="n">
        <f aca="false">K1236-Q1236</f>
        <v>0</v>
      </c>
      <c r="S1236" s="467"/>
      <c r="T1236" s="2" t="s">
        <v>1711</v>
      </c>
      <c r="V1236" s="464"/>
      <c r="W1236" s="464"/>
      <c r="X1236" s="464"/>
      <c r="Y1236" s="464"/>
      <c r="Z1236" s="464"/>
      <c r="AA1236" s="464"/>
      <c r="AB1236" s="464"/>
      <c r="AC1236" s="464"/>
      <c r="AD1236" s="464"/>
      <c r="AE1236" s="464"/>
      <c r="AF1236" s="464"/>
      <c r="AG1236" s="464"/>
      <c r="AH1236" s="465"/>
      <c r="AI1236" s="464"/>
    </row>
    <row r="1237" customFormat="false" ht="15" hidden="false" customHeight="true" outlineLevel="0" collapsed="false">
      <c r="A1237" s="455" t="s">
        <v>1967</v>
      </c>
      <c r="C1237" s="456" t="n">
        <v>45610</v>
      </c>
      <c r="D1237" s="456"/>
      <c r="E1237" s="57" t="n">
        <v>14203</v>
      </c>
      <c r="F1237" s="323" t="s">
        <v>175</v>
      </c>
      <c r="G1237" s="323" t="s">
        <v>19</v>
      </c>
      <c r="H1237" s="98" t="n">
        <v>210</v>
      </c>
      <c r="I1237" s="457" t="n">
        <v>22.5</v>
      </c>
      <c r="J1237" s="313" t="s">
        <v>1651</v>
      </c>
      <c r="K1237" s="98" t="n">
        <f aca="false">I1237*H1237</f>
        <v>4725</v>
      </c>
      <c r="L1237" s="411" t="n">
        <v>4773.3</v>
      </c>
      <c r="M1237" s="392" t="n">
        <f aca="false">L1237/K1237</f>
        <v>1.01022222222222</v>
      </c>
      <c r="N1237" s="466" t="n">
        <f aca="false">I1237*M1237</f>
        <v>22.73</v>
      </c>
      <c r="O1237" s="461" t="n">
        <v>210</v>
      </c>
      <c r="P1237" s="462" t="n">
        <f aca="false">H1237-O1237</f>
        <v>0</v>
      </c>
      <c r="Q1237" s="463" t="n">
        <f aca="false">O1237*I1237</f>
        <v>4725</v>
      </c>
      <c r="R1237" s="48" t="n">
        <f aca="false">K1237-Q1237</f>
        <v>0</v>
      </c>
      <c r="S1237" s="467"/>
      <c r="T1237" s="2" t="s">
        <v>1711</v>
      </c>
      <c r="V1237" s="464"/>
      <c r="W1237" s="464"/>
      <c r="X1237" s="464"/>
      <c r="Y1237" s="464"/>
      <c r="Z1237" s="464"/>
      <c r="AA1237" s="464"/>
      <c r="AB1237" s="464"/>
      <c r="AC1237" s="464"/>
      <c r="AD1237" s="464"/>
      <c r="AE1237" s="464"/>
      <c r="AF1237" s="464"/>
      <c r="AG1237" s="464"/>
      <c r="AH1237" s="465"/>
      <c r="AI1237" s="464"/>
    </row>
    <row r="1238" customFormat="false" ht="15" hidden="false" customHeight="true" outlineLevel="0" collapsed="false">
      <c r="A1238" s="455" t="s">
        <v>1967</v>
      </c>
      <c r="C1238" s="456" t="n">
        <v>45610</v>
      </c>
      <c r="D1238" s="456"/>
      <c r="E1238" s="57" t="n">
        <v>14203</v>
      </c>
      <c r="F1238" s="323" t="s">
        <v>175</v>
      </c>
      <c r="G1238" s="323" t="s">
        <v>16</v>
      </c>
      <c r="H1238" s="98" t="n">
        <v>60</v>
      </c>
      <c r="I1238" s="457" t="n">
        <v>22.5</v>
      </c>
      <c r="J1238" s="313" t="s">
        <v>1651</v>
      </c>
      <c r="K1238" s="98" t="n">
        <f aca="false">I1238*H1238</f>
        <v>1350</v>
      </c>
      <c r="L1238" s="411" t="n">
        <v>1329.6</v>
      </c>
      <c r="M1238" s="392" t="n">
        <f aca="false">L1238/K1238</f>
        <v>0.984888888888889</v>
      </c>
      <c r="N1238" s="466" t="n">
        <f aca="false">I1238*M1238</f>
        <v>22.16</v>
      </c>
      <c r="O1238" s="461" t="n">
        <v>60</v>
      </c>
      <c r="P1238" s="462" t="n">
        <f aca="false">H1238-O1238</f>
        <v>0</v>
      </c>
      <c r="Q1238" s="463" t="n">
        <f aca="false">O1238*I1238</f>
        <v>1350</v>
      </c>
      <c r="R1238" s="48" t="n">
        <f aca="false">K1238-Q1238</f>
        <v>0</v>
      </c>
      <c r="S1238" s="467"/>
      <c r="T1238" s="2" t="s">
        <v>1711</v>
      </c>
      <c r="V1238" s="464"/>
      <c r="W1238" s="464"/>
      <c r="X1238" s="464"/>
      <c r="Y1238" s="464"/>
      <c r="Z1238" s="464"/>
      <c r="AA1238" s="464"/>
      <c r="AB1238" s="464"/>
      <c r="AC1238" s="464"/>
      <c r="AD1238" s="464"/>
      <c r="AE1238" s="464"/>
      <c r="AF1238" s="464"/>
      <c r="AG1238" s="464"/>
      <c r="AH1238" s="465"/>
      <c r="AI1238" s="464"/>
    </row>
    <row r="1239" customFormat="false" ht="15" hidden="false" customHeight="true" outlineLevel="0" collapsed="false">
      <c r="A1239" s="455" t="s">
        <v>1921</v>
      </c>
      <c r="C1239" s="456" t="n">
        <v>45610</v>
      </c>
      <c r="D1239" s="456"/>
      <c r="E1239" s="57" t="n">
        <v>14204</v>
      </c>
      <c r="F1239" s="323" t="s">
        <v>175</v>
      </c>
      <c r="G1239" s="323" t="s">
        <v>20</v>
      </c>
      <c r="H1239" s="98" t="n">
        <v>165</v>
      </c>
      <c r="I1239" s="457" t="n">
        <v>38.29</v>
      </c>
      <c r="J1239" s="313" t="s">
        <v>1652</v>
      </c>
      <c r="K1239" s="98" t="n">
        <f aca="false">I1239*H1239</f>
        <v>6317.85</v>
      </c>
      <c r="L1239" s="411" t="n">
        <v>4094.75</v>
      </c>
      <c r="M1239" s="392" t="n">
        <f aca="false">L1239/K1239</f>
        <v>0.648123966222687</v>
      </c>
      <c r="N1239" s="466" t="n">
        <f aca="false">I1239*M1239</f>
        <v>24.8166666666667</v>
      </c>
      <c r="O1239" s="461" t="n">
        <v>165</v>
      </c>
      <c r="P1239" s="462" t="n">
        <f aca="false">H1239-O1239</f>
        <v>0</v>
      </c>
      <c r="Q1239" s="463" t="n">
        <f aca="false">O1239*I1239</f>
        <v>6317.85</v>
      </c>
      <c r="R1239" s="48" t="n">
        <f aca="false">K1239-Q1239</f>
        <v>0</v>
      </c>
      <c r="S1239" s="467"/>
      <c r="T1239" s="2" t="s">
        <v>1711</v>
      </c>
      <c r="V1239" s="464"/>
      <c r="W1239" s="464"/>
      <c r="X1239" s="464"/>
      <c r="Y1239" s="464"/>
      <c r="Z1239" s="464"/>
      <c r="AA1239" s="464"/>
      <c r="AB1239" s="464"/>
      <c r="AC1239" s="464"/>
      <c r="AD1239" s="464"/>
      <c r="AE1239" s="464"/>
      <c r="AF1239" s="464"/>
      <c r="AG1239" s="464"/>
      <c r="AH1239" s="465"/>
      <c r="AI1239" s="464"/>
    </row>
    <row r="1240" customFormat="false" ht="15" hidden="false" customHeight="true" outlineLevel="0" collapsed="false">
      <c r="A1240" s="455" t="s">
        <v>1921</v>
      </c>
      <c r="C1240" s="456" t="n">
        <v>45610</v>
      </c>
      <c r="D1240" s="456"/>
      <c r="E1240" s="57" t="n">
        <v>14204</v>
      </c>
      <c r="F1240" s="323" t="s">
        <v>175</v>
      </c>
      <c r="G1240" s="323" t="s">
        <v>17</v>
      </c>
      <c r="H1240" s="98" t="n">
        <v>240</v>
      </c>
      <c r="I1240" s="457" t="n">
        <v>90</v>
      </c>
      <c r="J1240" s="313" t="s">
        <v>1653</v>
      </c>
      <c r="K1240" s="98" t="n">
        <f aca="false">I1240*H1240</f>
        <v>21600</v>
      </c>
      <c r="L1240" s="411" t="n">
        <v>4061.6</v>
      </c>
      <c r="M1240" s="392" t="n">
        <f aca="false">L1240/K1240</f>
        <v>0.188037037037037</v>
      </c>
      <c r="N1240" s="466" t="n">
        <f aca="false">I1240*M1240</f>
        <v>16.9233333333333</v>
      </c>
      <c r="O1240" s="461" t="n">
        <v>240</v>
      </c>
      <c r="P1240" s="462" t="n">
        <f aca="false">H1240-O1240</f>
        <v>0</v>
      </c>
      <c r="Q1240" s="463" t="n">
        <f aca="false">O1240*I1240</f>
        <v>21600</v>
      </c>
      <c r="R1240" s="48" t="n">
        <f aca="false">K1240-Q1240</f>
        <v>0</v>
      </c>
      <c r="S1240" s="467"/>
      <c r="T1240" s="2" t="s">
        <v>1711</v>
      </c>
      <c r="V1240" s="464"/>
      <c r="W1240" s="464"/>
      <c r="X1240" s="464"/>
      <c r="Y1240" s="464"/>
      <c r="Z1240" s="464"/>
      <c r="AA1240" s="464"/>
      <c r="AB1240" s="464"/>
      <c r="AC1240" s="464"/>
      <c r="AD1240" s="464"/>
      <c r="AE1240" s="464"/>
      <c r="AF1240" s="464"/>
      <c r="AG1240" s="464"/>
      <c r="AH1240" s="465"/>
      <c r="AI1240" s="464"/>
    </row>
    <row r="1241" customFormat="false" ht="15" hidden="false" customHeight="true" outlineLevel="0" collapsed="false">
      <c r="A1241" s="455" t="s">
        <v>1741</v>
      </c>
      <c r="C1241" s="456" t="n">
        <v>45614</v>
      </c>
      <c r="D1241" s="456"/>
      <c r="E1241" s="57" t="n">
        <v>14206</v>
      </c>
      <c r="F1241" s="323" t="s">
        <v>175</v>
      </c>
      <c r="G1241" s="323" t="s">
        <v>19</v>
      </c>
      <c r="H1241" s="98" t="n">
        <v>30</v>
      </c>
      <c r="I1241" s="457" t="n">
        <v>22.5</v>
      </c>
      <c r="J1241" s="313" t="s">
        <v>1651</v>
      </c>
      <c r="K1241" s="98" t="n">
        <f aca="false">I1241*H1241</f>
        <v>675</v>
      </c>
      <c r="L1241" s="411" t="n">
        <v>40</v>
      </c>
      <c r="M1241" s="392" t="n">
        <f aca="false">L1241/K1241</f>
        <v>0.0592592592592593</v>
      </c>
      <c r="N1241" s="466" t="n">
        <f aca="false">I1241*M1241</f>
        <v>1.33333333333333</v>
      </c>
      <c r="O1241" s="461" t="n">
        <v>30</v>
      </c>
      <c r="P1241" s="462" t="n">
        <f aca="false">H1241-O1241</f>
        <v>0</v>
      </c>
      <c r="Q1241" s="463" t="n">
        <f aca="false">O1241*I1241</f>
        <v>675</v>
      </c>
      <c r="R1241" s="48" t="n">
        <f aca="false">K1241-Q1241</f>
        <v>0</v>
      </c>
      <c r="S1241" s="467"/>
      <c r="T1241" s="2" t="s">
        <v>1711</v>
      </c>
      <c r="V1241" s="464"/>
      <c r="W1241" s="464"/>
      <c r="X1241" s="464"/>
      <c r="Y1241" s="464"/>
      <c r="Z1241" s="464"/>
      <c r="AA1241" s="464"/>
      <c r="AB1241" s="464"/>
      <c r="AC1241" s="464"/>
      <c r="AD1241" s="464"/>
      <c r="AE1241" s="464"/>
      <c r="AF1241" s="464"/>
      <c r="AG1241" s="464"/>
      <c r="AH1241" s="465"/>
      <c r="AI1241" s="464"/>
    </row>
    <row r="1242" customFormat="false" ht="15" hidden="false" customHeight="true" outlineLevel="0" collapsed="false">
      <c r="A1242" s="455" t="s">
        <v>1855</v>
      </c>
      <c r="C1242" s="456" t="n">
        <v>45614</v>
      </c>
      <c r="D1242" s="456"/>
      <c r="E1242" s="57" t="n">
        <v>14207</v>
      </c>
      <c r="F1242" s="323" t="s">
        <v>175</v>
      </c>
      <c r="G1242" s="323" t="s">
        <v>5</v>
      </c>
      <c r="H1242" s="98" t="n">
        <v>4500</v>
      </c>
      <c r="I1242" s="457" t="n">
        <v>25.71</v>
      </c>
      <c r="J1242" s="313" t="s">
        <v>1651</v>
      </c>
      <c r="K1242" s="98" t="n">
        <f aca="false">I1242*H1242</f>
        <v>115695</v>
      </c>
      <c r="L1242" s="411" t="n">
        <v>62550</v>
      </c>
      <c r="M1242" s="392" t="n">
        <f aca="false">L1242/K1242</f>
        <v>0.540645663166083</v>
      </c>
      <c r="N1242" s="466" t="n">
        <f aca="false">I1242*M1242</f>
        <v>13.9</v>
      </c>
      <c r="O1242" s="461" t="n">
        <v>4500</v>
      </c>
      <c r="P1242" s="462" t="n">
        <f aca="false">H1242-O1242</f>
        <v>0</v>
      </c>
      <c r="Q1242" s="463" t="n">
        <f aca="false">O1242*I1242</f>
        <v>115695</v>
      </c>
      <c r="R1242" s="48" t="n">
        <f aca="false">K1242-Q1242</f>
        <v>0</v>
      </c>
      <c r="S1242" s="467"/>
      <c r="T1242" s="2" t="s">
        <v>1711</v>
      </c>
      <c r="V1242" s="464"/>
      <c r="W1242" s="464"/>
      <c r="X1242" s="464"/>
      <c r="Y1242" s="464"/>
      <c r="Z1242" s="464"/>
      <c r="AA1242" s="464"/>
      <c r="AB1242" s="464"/>
      <c r="AC1242" s="464"/>
      <c r="AD1242" s="464"/>
      <c r="AE1242" s="464"/>
      <c r="AF1242" s="464"/>
      <c r="AG1242" s="464"/>
      <c r="AH1242" s="465"/>
      <c r="AI1242" s="464"/>
    </row>
    <row r="1243" customFormat="false" ht="15" hidden="false" customHeight="true" outlineLevel="0" collapsed="false">
      <c r="A1243" s="455" t="s">
        <v>1968</v>
      </c>
      <c r="C1243" s="456" t="n">
        <v>45614</v>
      </c>
      <c r="D1243" s="456"/>
      <c r="E1243" s="57" t="n">
        <v>14208</v>
      </c>
      <c r="F1243" s="323" t="s">
        <v>175</v>
      </c>
      <c r="G1243" s="323" t="s">
        <v>42</v>
      </c>
      <c r="H1243" s="98" t="n">
        <v>10</v>
      </c>
      <c r="I1243" s="457" t="n">
        <v>30</v>
      </c>
      <c r="J1243" s="313" t="s">
        <v>1651</v>
      </c>
      <c r="K1243" s="98" t="n">
        <f aca="false">I1243*H1243</f>
        <v>300</v>
      </c>
      <c r="L1243" s="411" t="n">
        <v>200</v>
      </c>
      <c r="M1243" s="392" t="n">
        <f aca="false">L1243/K1243</f>
        <v>0.666666666666667</v>
      </c>
      <c r="N1243" s="466" t="n">
        <f aca="false">I1243*M1243</f>
        <v>20</v>
      </c>
      <c r="O1243" s="461" t="n">
        <v>10</v>
      </c>
      <c r="P1243" s="462" t="n">
        <f aca="false">H1243-O1243</f>
        <v>0</v>
      </c>
      <c r="Q1243" s="463" t="n">
        <f aca="false">O1243*I1243</f>
        <v>300</v>
      </c>
      <c r="R1243" s="48" t="n">
        <f aca="false">K1243-Q1243</f>
        <v>0</v>
      </c>
      <c r="S1243" s="467"/>
      <c r="T1243" s="2" t="s">
        <v>1711</v>
      </c>
      <c r="V1243" s="464"/>
      <c r="W1243" s="464"/>
      <c r="X1243" s="464"/>
      <c r="Y1243" s="464"/>
      <c r="Z1243" s="464"/>
      <c r="AA1243" s="464"/>
      <c r="AB1243" s="464"/>
      <c r="AC1243" s="464"/>
      <c r="AD1243" s="464"/>
      <c r="AE1243" s="464"/>
      <c r="AF1243" s="464"/>
      <c r="AG1243" s="464"/>
      <c r="AH1243" s="465"/>
      <c r="AI1243" s="464"/>
    </row>
    <row r="1244" customFormat="false" ht="15" hidden="false" customHeight="true" outlineLevel="0" collapsed="false">
      <c r="A1244" s="455" t="s">
        <v>1968</v>
      </c>
      <c r="C1244" s="456" t="n">
        <v>45614</v>
      </c>
      <c r="D1244" s="456"/>
      <c r="E1244" s="57" t="n">
        <v>14208</v>
      </c>
      <c r="F1244" s="323" t="s">
        <v>175</v>
      </c>
      <c r="G1244" s="323" t="s">
        <v>5</v>
      </c>
      <c r="H1244" s="98" t="n">
        <v>15</v>
      </c>
      <c r="I1244" s="457" t="n">
        <v>25.71</v>
      </c>
      <c r="J1244" s="313" t="s">
        <v>1651</v>
      </c>
      <c r="K1244" s="98" t="n">
        <f aca="false">I1244*H1244</f>
        <v>385.65</v>
      </c>
      <c r="L1244" s="411" t="n">
        <v>300</v>
      </c>
      <c r="M1244" s="392" t="n">
        <f aca="false">L1244/K1244</f>
        <v>0.777907429015947</v>
      </c>
      <c r="N1244" s="466" t="n">
        <f aca="false">I1244*M1244</f>
        <v>20</v>
      </c>
      <c r="O1244" s="461" t="n">
        <v>15</v>
      </c>
      <c r="P1244" s="462" t="n">
        <f aca="false">H1244-O1244</f>
        <v>0</v>
      </c>
      <c r="Q1244" s="463" t="n">
        <f aca="false">O1244*I1244</f>
        <v>385.65</v>
      </c>
      <c r="R1244" s="48" t="n">
        <f aca="false">K1244-Q1244</f>
        <v>0</v>
      </c>
      <c r="S1244" s="467"/>
      <c r="T1244" s="2" t="s">
        <v>1711</v>
      </c>
      <c r="V1244" s="464"/>
      <c r="W1244" s="464"/>
      <c r="X1244" s="464"/>
      <c r="Y1244" s="464"/>
      <c r="Z1244" s="464"/>
      <c r="AA1244" s="464"/>
      <c r="AB1244" s="464"/>
      <c r="AC1244" s="464"/>
      <c r="AD1244" s="464"/>
      <c r="AE1244" s="464"/>
      <c r="AF1244" s="464"/>
      <c r="AG1244" s="464"/>
      <c r="AH1244" s="465"/>
      <c r="AI1244" s="464"/>
    </row>
    <row r="1245" customFormat="false" ht="15" hidden="false" customHeight="true" outlineLevel="0" collapsed="false">
      <c r="A1245" s="455" t="s">
        <v>1968</v>
      </c>
      <c r="C1245" s="456" t="n">
        <v>45614</v>
      </c>
      <c r="D1245" s="456"/>
      <c r="E1245" s="57" t="n">
        <v>14208</v>
      </c>
      <c r="F1245" s="323" t="s">
        <v>175</v>
      </c>
      <c r="G1245" s="323" t="s">
        <v>18</v>
      </c>
      <c r="H1245" s="98" t="n">
        <v>15</v>
      </c>
      <c r="I1245" s="457" t="n">
        <v>34.62</v>
      </c>
      <c r="J1245" s="313" t="s">
        <v>1652</v>
      </c>
      <c r="K1245" s="98" t="n">
        <f aca="false">I1245*H1245</f>
        <v>519.3</v>
      </c>
      <c r="L1245" s="411" t="n">
        <v>300</v>
      </c>
      <c r="M1245" s="392" t="n">
        <f aca="false">L1245/K1245</f>
        <v>0.577700751010976</v>
      </c>
      <c r="N1245" s="466" t="n">
        <f aca="false">I1245*M1245</f>
        <v>20</v>
      </c>
      <c r="O1245" s="461" t="n">
        <v>15</v>
      </c>
      <c r="P1245" s="462" t="n">
        <f aca="false">H1245-O1245</f>
        <v>0</v>
      </c>
      <c r="Q1245" s="463" t="n">
        <f aca="false">O1245*I1245</f>
        <v>519.3</v>
      </c>
      <c r="R1245" s="48" t="n">
        <f aca="false">K1245-Q1245</f>
        <v>0</v>
      </c>
      <c r="S1245" s="467"/>
      <c r="T1245" s="2" t="s">
        <v>1711</v>
      </c>
      <c r="V1245" s="464"/>
      <c r="W1245" s="464"/>
      <c r="X1245" s="464"/>
      <c r="Y1245" s="464"/>
      <c r="Z1245" s="464"/>
      <c r="AA1245" s="464"/>
      <c r="AB1245" s="464"/>
      <c r="AC1245" s="464"/>
      <c r="AD1245" s="464"/>
      <c r="AE1245" s="464"/>
      <c r="AF1245" s="464"/>
      <c r="AG1245" s="464"/>
      <c r="AH1245" s="465"/>
      <c r="AI1245" s="464"/>
    </row>
    <row r="1246" customFormat="false" ht="15" hidden="false" customHeight="true" outlineLevel="0" collapsed="false">
      <c r="A1246" s="455" t="s">
        <v>1968</v>
      </c>
      <c r="C1246" s="456" t="n">
        <v>45614</v>
      </c>
      <c r="D1246" s="456"/>
      <c r="E1246" s="57" t="n">
        <v>14208</v>
      </c>
      <c r="F1246" s="323" t="s">
        <v>175</v>
      </c>
      <c r="G1246" s="323" t="s">
        <v>19</v>
      </c>
      <c r="H1246" s="98" t="n">
        <v>15</v>
      </c>
      <c r="I1246" s="457" t="n">
        <v>22.5</v>
      </c>
      <c r="J1246" s="313" t="s">
        <v>1651</v>
      </c>
      <c r="K1246" s="98" t="n">
        <f aca="false">I1246*H1246</f>
        <v>337.5</v>
      </c>
      <c r="L1246" s="411" t="n">
        <v>225</v>
      </c>
      <c r="M1246" s="392" t="n">
        <f aca="false">L1246/K1246</f>
        <v>0.666666666666667</v>
      </c>
      <c r="N1246" s="466" t="n">
        <f aca="false">I1246*M1246</f>
        <v>15</v>
      </c>
      <c r="O1246" s="461" t="n">
        <v>15</v>
      </c>
      <c r="P1246" s="462" t="n">
        <f aca="false">H1246-O1246</f>
        <v>0</v>
      </c>
      <c r="Q1246" s="463" t="n">
        <f aca="false">O1246*I1246</f>
        <v>337.5</v>
      </c>
      <c r="R1246" s="48" t="n">
        <f aca="false">K1246-Q1246</f>
        <v>0</v>
      </c>
      <c r="S1246" s="467"/>
      <c r="T1246" s="2" t="s">
        <v>1711</v>
      </c>
      <c r="V1246" s="464"/>
      <c r="W1246" s="464"/>
      <c r="X1246" s="464"/>
      <c r="Y1246" s="464"/>
      <c r="Z1246" s="464"/>
      <c r="AA1246" s="464"/>
      <c r="AB1246" s="464"/>
      <c r="AC1246" s="464"/>
      <c r="AD1246" s="464"/>
      <c r="AE1246" s="464"/>
      <c r="AF1246" s="464"/>
      <c r="AG1246" s="464"/>
      <c r="AH1246" s="465"/>
      <c r="AI1246" s="464"/>
    </row>
    <row r="1247" customFormat="false" ht="15" hidden="false" customHeight="true" outlineLevel="0" collapsed="false">
      <c r="A1247" s="455" t="s">
        <v>1968</v>
      </c>
      <c r="C1247" s="456" t="n">
        <v>45614</v>
      </c>
      <c r="D1247" s="456"/>
      <c r="E1247" s="57" t="n">
        <v>14208</v>
      </c>
      <c r="F1247" s="323" t="s">
        <v>175</v>
      </c>
      <c r="G1247" s="323" t="s">
        <v>6</v>
      </c>
      <c r="H1247" s="98" t="n">
        <v>15</v>
      </c>
      <c r="I1247" s="457" t="n">
        <v>30</v>
      </c>
      <c r="J1247" s="313" t="s">
        <v>1651</v>
      </c>
      <c r="K1247" s="98" t="n">
        <f aca="false">I1247*H1247</f>
        <v>450</v>
      </c>
      <c r="L1247" s="411" t="n">
        <v>300</v>
      </c>
      <c r="M1247" s="392" t="n">
        <f aca="false">L1247/K1247</f>
        <v>0.666666666666667</v>
      </c>
      <c r="N1247" s="466" t="n">
        <f aca="false">I1247*M1247</f>
        <v>20</v>
      </c>
      <c r="O1247" s="461" t="n">
        <v>15</v>
      </c>
      <c r="P1247" s="462" t="n">
        <f aca="false">H1247-O1247</f>
        <v>0</v>
      </c>
      <c r="Q1247" s="463" t="n">
        <f aca="false">O1247*I1247</f>
        <v>450</v>
      </c>
      <c r="R1247" s="48" t="n">
        <f aca="false">K1247-Q1247</f>
        <v>0</v>
      </c>
      <c r="S1247" s="467"/>
      <c r="T1247" s="2" t="s">
        <v>1711</v>
      </c>
      <c r="V1247" s="464"/>
      <c r="W1247" s="464"/>
      <c r="X1247" s="464"/>
      <c r="Y1247" s="464"/>
      <c r="Z1247" s="464"/>
      <c r="AA1247" s="464"/>
      <c r="AB1247" s="464"/>
      <c r="AC1247" s="464"/>
      <c r="AD1247" s="464"/>
      <c r="AE1247" s="464"/>
      <c r="AF1247" s="464"/>
      <c r="AG1247" s="464"/>
      <c r="AH1247" s="465"/>
      <c r="AI1247" s="464"/>
    </row>
    <row r="1248" customFormat="false" ht="15" hidden="false" customHeight="true" outlineLevel="0" collapsed="false">
      <c r="A1248" s="455" t="s">
        <v>1968</v>
      </c>
      <c r="C1248" s="456" t="n">
        <v>45614</v>
      </c>
      <c r="D1248" s="456"/>
      <c r="E1248" s="57" t="n">
        <v>14208</v>
      </c>
      <c r="F1248" s="323" t="s">
        <v>175</v>
      </c>
      <c r="G1248" s="323" t="s">
        <v>22</v>
      </c>
      <c r="H1248" s="98" t="n">
        <v>15</v>
      </c>
      <c r="I1248" s="457" t="n">
        <v>22.5</v>
      </c>
      <c r="J1248" s="313" t="s">
        <v>1651</v>
      </c>
      <c r="K1248" s="98" t="n">
        <f aca="false">I1248*H1248</f>
        <v>337.5</v>
      </c>
      <c r="L1248" s="411" t="n">
        <v>225</v>
      </c>
      <c r="M1248" s="392" t="n">
        <f aca="false">L1248/K1248</f>
        <v>0.666666666666667</v>
      </c>
      <c r="N1248" s="466" t="n">
        <f aca="false">I1248*M1248</f>
        <v>15</v>
      </c>
      <c r="O1248" s="461" t="n">
        <v>15</v>
      </c>
      <c r="P1248" s="462" t="n">
        <f aca="false">H1248-O1248</f>
        <v>0</v>
      </c>
      <c r="Q1248" s="463" t="n">
        <f aca="false">O1248*I1248</f>
        <v>337.5</v>
      </c>
      <c r="R1248" s="48" t="n">
        <f aca="false">K1248-Q1248</f>
        <v>0</v>
      </c>
      <c r="S1248" s="467"/>
      <c r="T1248" s="2" t="s">
        <v>1711</v>
      </c>
      <c r="V1248" s="464"/>
      <c r="W1248" s="464"/>
      <c r="X1248" s="464"/>
      <c r="Y1248" s="464"/>
      <c r="Z1248" s="464"/>
      <c r="AA1248" s="464"/>
      <c r="AB1248" s="464"/>
      <c r="AC1248" s="464"/>
      <c r="AD1248" s="464"/>
      <c r="AE1248" s="464"/>
      <c r="AF1248" s="464"/>
      <c r="AG1248" s="464"/>
      <c r="AH1248" s="465"/>
      <c r="AI1248" s="464"/>
    </row>
    <row r="1249" customFormat="false" ht="15" hidden="false" customHeight="true" outlineLevel="0" collapsed="false">
      <c r="A1249" s="455" t="s">
        <v>1968</v>
      </c>
      <c r="C1249" s="456" t="n">
        <v>45614</v>
      </c>
      <c r="D1249" s="456"/>
      <c r="E1249" s="57" t="n">
        <v>14208</v>
      </c>
      <c r="F1249" s="323" t="s">
        <v>175</v>
      </c>
      <c r="G1249" s="323" t="s">
        <v>10</v>
      </c>
      <c r="H1249" s="98" t="n">
        <v>15</v>
      </c>
      <c r="I1249" s="457" t="n">
        <v>38.3</v>
      </c>
      <c r="J1249" s="313" t="s">
        <v>1652</v>
      </c>
      <c r="K1249" s="98" t="n">
        <f aca="false">I1249*H1249</f>
        <v>574.5</v>
      </c>
      <c r="L1249" s="411" t="n">
        <v>225</v>
      </c>
      <c r="M1249" s="392" t="n">
        <f aca="false">L1249/K1249</f>
        <v>0.391644908616188</v>
      </c>
      <c r="N1249" s="466" t="n">
        <f aca="false">I1249*M1249</f>
        <v>15</v>
      </c>
      <c r="O1249" s="461" t="n">
        <v>15</v>
      </c>
      <c r="P1249" s="462" t="n">
        <f aca="false">H1249-O1249</f>
        <v>0</v>
      </c>
      <c r="Q1249" s="463" t="n">
        <f aca="false">O1249*I1249</f>
        <v>574.5</v>
      </c>
      <c r="R1249" s="48" t="n">
        <f aca="false">K1249-Q1249</f>
        <v>0</v>
      </c>
      <c r="S1249" s="467"/>
      <c r="T1249" s="2" t="s">
        <v>1711</v>
      </c>
      <c r="V1249" s="464"/>
      <c r="W1249" s="464"/>
      <c r="X1249" s="464"/>
      <c r="Y1249" s="464"/>
      <c r="Z1249" s="464"/>
      <c r="AA1249" s="464"/>
      <c r="AB1249" s="464"/>
      <c r="AC1249" s="464"/>
      <c r="AD1249" s="464"/>
      <c r="AE1249" s="464"/>
      <c r="AF1249" s="464"/>
      <c r="AG1249" s="464"/>
      <c r="AH1249" s="465"/>
      <c r="AI1249" s="464"/>
    </row>
    <row r="1250" customFormat="false" ht="15" hidden="false" customHeight="true" outlineLevel="0" collapsed="false">
      <c r="A1250" s="455" t="s">
        <v>1968</v>
      </c>
      <c r="C1250" s="456" t="n">
        <v>45614</v>
      </c>
      <c r="D1250" s="456"/>
      <c r="E1250" s="57" t="n">
        <v>14208</v>
      </c>
      <c r="F1250" s="323" t="s">
        <v>175</v>
      </c>
      <c r="G1250" s="323" t="s">
        <v>17</v>
      </c>
      <c r="H1250" s="98" t="n">
        <v>15</v>
      </c>
      <c r="I1250" s="457" t="n">
        <v>22.5</v>
      </c>
      <c r="J1250" s="313" t="s">
        <v>1651</v>
      </c>
      <c r="K1250" s="98" t="n">
        <f aca="false">I1250*H1250</f>
        <v>337.5</v>
      </c>
      <c r="L1250" s="411" t="n">
        <v>225</v>
      </c>
      <c r="M1250" s="392" t="n">
        <f aca="false">L1250/K1250</f>
        <v>0.666666666666667</v>
      </c>
      <c r="N1250" s="466" t="n">
        <f aca="false">I1250*M1250</f>
        <v>15</v>
      </c>
      <c r="O1250" s="461" t="n">
        <v>15</v>
      </c>
      <c r="P1250" s="462" t="n">
        <f aca="false">H1250-O1250</f>
        <v>0</v>
      </c>
      <c r="Q1250" s="463" t="n">
        <f aca="false">O1250*I1250</f>
        <v>337.5</v>
      </c>
      <c r="R1250" s="48" t="n">
        <f aca="false">K1250-Q1250</f>
        <v>0</v>
      </c>
      <c r="S1250" s="467"/>
      <c r="T1250" s="2" t="s">
        <v>1711</v>
      </c>
      <c r="V1250" s="464"/>
      <c r="W1250" s="464"/>
      <c r="X1250" s="464"/>
      <c r="Y1250" s="464"/>
      <c r="Z1250" s="464"/>
      <c r="AA1250" s="464"/>
      <c r="AB1250" s="464"/>
      <c r="AC1250" s="464"/>
      <c r="AD1250" s="464"/>
      <c r="AE1250" s="464"/>
      <c r="AF1250" s="464"/>
      <c r="AG1250" s="464"/>
      <c r="AH1250" s="465"/>
      <c r="AI1250" s="464"/>
    </row>
    <row r="1251" customFormat="false" ht="15" hidden="false" customHeight="true" outlineLevel="0" collapsed="false">
      <c r="A1251" s="455" t="s">
        <v>1968</v>
      </c>
      <c r="C1251" s="456" t="n">
        <v>45614</v>
      </c>
      <c r="D1251" s="456"/>
      <c r="E1251" s="57" t="n">
        <v>14208</v>
      </c>
      <c r="F1251" s="323" t="s">
        <v>175</v>
      </c>
      <c r="G1251" s="323" t="s">
        <v>20</v>
      </c>
      <c r="H1251" s="98" t="n">
        <v>30</v>
      </c>
      <c r="I1251" s="457" t="n">
        <v>90</v>
      </c>
      <c r="J1251" s="313" t="s">
        <v>1653</v>
      </c>
      <c r="K1251" s="98" t="n">
        <f aca="false">I1251*H1251</f>
        <v>2700</v>
      </c>
      <c r="L1251" s="411" t="n">
        <v>300</v>
      </c>
      <c r="M1251" s="392" t="n">
        <f aca="false">L1251/K1251</f>
        <v>0.111111111111111</v>
      </c>
      <c r="N1251" s="466" t="n">
        <f aca="false">I1251*M1251</f>
        <v>10</v>
      </c>
      <c r="O1251" s="461" t="n">
        <v>30</v>
      </c>
      <c r="P1251" s="462" t="n">
        <f aca="false">H1251-O1251</f>
        <v>0</v>
      </c>
      <c r="Q1251" s="463" t="n">
        <f aca="false">O1251*I1251</f>
        <v>2700</v>
      </c>
      <c r="R1251" s="48" t="n">
        <f aca="false">K1251-Q1251</f>
        <v>0</v>
      </c>
      <c r="S1251" s="467"/>
      <c r="T1251" s="2" t="s">
        <v>1711</v>
      </c>
      <c r="V1251" s="464"/>
      <c r="W1251" s="464"/>
      <c r="X1251" s="464"/>
      <c r="Y1251" s="464"/>
      <c r="Z1251" s="464"/>
      <c r="AA1251" s="464"/>
      <c r="AB1251" s="464"/>
      <c r="AC1251" s="464"/>
      <c r="AD1251" s="464"/>
      <c r="AE1251" s="464"/>
      <c r="AF1251" s="464"/>
      <c r="AG1251" s="464"/>
      <c r="AH1251" s="465"/>
      <c r="AI1251" s="464"/>
    </row>
    <row r="1252" customFormat="false" ht="15" hidden="false" customHeight="true" outlineLevel="0" collapsed="false">
      <c r="A1252" s="455" t="s">
        <v>1944</v>
      </c>
      <c r="C1252" s="456" t="n">
        <v>45614</v>
      </c>
      <c r="D1252" s="456"/>
      <c r="E1252" s="57" t="n">
        <v>14210</v>
      </c>
      <c r="F1252" s="323" t="s">
        <v>175</v>
      </c>
      <c r="G1252" s="323" t="s">
        <v>42</v>
      </c>
      <c r="H1252" s="98" t="n">
        <v>195</v>
      </c>
      <c r="I1252" s="457" t="n">
        <v>45</v>
      </c>
      <c r="J1252" s="313" t="s">
        <v>1652</v>
      </c>
      <c r="K1252" s="98" t="n">
        <f aca="false">I1252*H1252</f>
        <v>8775</v>
      </c>
      <c r="L1252" s="411" t="n">
        <v>3900</v>
      </c>
      <c r="M1252" s="392" t="n">
        <f aca="false">L1252/K1252</f>
        <v>0.444444444444444</v>
      </c>
      <c r="N1252" s="466" t="n">
        <f aca="false">I1252*M1252</f>
        <v>20</v>
      </c>
      <c r="O1252" s="461" t="n">
        <v>195</v>
      </c>
      <c r="P1252" s="462" t="n">
        <f aca="false">H1252-O1252</f>
        <v>0</v>
      </c>
      <c r="Q1252" s="463" t="n">
        <f aca="false">O1252*I1252</f>
        <v>8775</v>
      </c>
      <c r="R1252" s="48" t="n">
        <f aca="false">K1252-Q1252</f>
        <v>0</v>
      </c>
      <c r="S1252" s="467"/>
      <c r="T1252" s="2" t="s">
        <v>1711</v>
      </c>
      <c r="V1252" s="464"/>
      <c r="W1252" s="464"/>
      <c r="X1252" s="464"/>
      <c r="Y1252" s="464"/>
      <c r="Z1252" s="464"/>
      <c r="AA1252" s="464"/>
      <c r="AB1252" s="464"/>
      <c r="AC1252" s="464"/>
      <c r="AD1252" s="464"/>
      <c r="AE1252" s="464"/>
      <c r="AF1252" s="464"/>
      <c r="AG1252" s="464"/>
      <c r="AH1252" s="465"/>
      <c r="AI1252" s="464"/>
    </row>
    <row r="1253" customFormat="false" ht="15" hidden="false" customHeight="true" outlineLevel="0" collapsed="false">
      <c r="A1253" s="455" t="s">
        <v>1824</v>
      </c>
      <c r="C1253" s="456" t="n">
        <v>45614</v>
      </c>
      <c r="D1253" s="456"/>
      <c r="E1253" s="57" t="n">
        <v>14211</v>
      </c>
      <c r="F1253" s="323" t="s">
        <v>175</v>
      </c>
      <c r="G1253" s="323" t="s">
        <v>20</v>
      </c>
      <c r="H1253" s="98" t="n">
        <v>120</v>
      </c>
      <c r="I1253" s="457" t="n">
        <v>90</v>
      </c>
      <c r="J1253" s="313" t="s">
        <v>1653</v>
      </c>
      <c r="K1253" s="98" t="n">
        <f aca="false">I1253*H1253</f>
        <v>10800</v>
      </c>
      <c r="L1253" s="411" t="n">
        <v>1740</v>
      </c>
      <c r="M1253" s="392" t="n">
        <f aca="false">L1253/K1253</f>
        <v>0.161111111111111</v>
      </c>
      <c r="N1253" s="466" t="n">
        <f aca="false">I1253*M1253</f>
        <v>14.5</v>
      </c>
      <c r="O1253" s="461" t="n">
        <v>120</v>
      </c>
      <c r="P1253" s="462" t="n">
        <f aca="false">H1253-O1253</f>
        <v>0</v>
      </c>
      <c r="Q1253" s="463" t="n">
        <f aca="false">O1253*I1253</f>
        <v>10800</v>
      </c>
      <c r="R1253" s="48" t="n">
        <f aca="false">K1253-Q1253</f>
        <v>0</v>
      </c>
      <c r="S1253" s="467"/>
      <c r="T1253" s="2" t="s">
        <v>1711</v>
      </c>
      <c r="V1253" s="464"/>
      <c r="W1253" s="464"/>
      <c r="X1253" s="464"/>
      <c r="Y1253" s="464"/>
      <c r="Z1253" s="464"/>
      <c r="AA1253" s="464"/>
      <c r="AB1253" s="464"/>
      <c r="AC1253" s="464"/>
      <c r="AD1253" s="464"/>
      <c r="AE1253" s="464"/>
      <c r="AF1253" s="464"/>
      <c r="AG1253" s="464"/>
      <c r="AH1253" s="465"/>
      <c r="AI1253" s="464"/>
    </row>
    <row r="1254" customFormat="false" ht="15" hidden="false" customHeight="true" outlineLevel="0" collapsed="false">
      <c r="A1254" s="455" t="s">
        <v>1824</v>
      </c>
      <c r="C1254" s="456" t="n">
        <v>45614</v>
      </c>
      <c r="D1254" s="456"/>
      <c r="E1254" s="57" t="n">
        <v>14211</v>
      </c>
      <c r="F1254" s="323" t="s">
        <v>175</v>
      </c>
      <c r="G1254" s="323" t="s">
        <v>15</v>
      </c>
      <c r="H1254" s="98" t="n">
        <v>795</v>
      </c>
      <c r="I1254" s="457" t="n">
        <v>22.5</v>
      </c>
      <c r="J1254" s="313" t="s">
        <v>1651</v>
      </c>
      <c r="K1254" s="98" t="n">
        <f aca="false">I1254*H1254</f>
        <v>17887.5</v>
      </c>
      <c r="L1254" s="411" t="n">
        <v>13515</v>
      </c>
      <c r="M1254" s="392" t="n">
        <f aca="false">L1254/K1254</f>
        <v>0.755555555555556</v>
      </c>
      <c r="N1254" s="466" t="n">
        <f aca="false">I1254*M1254</f>
        <v>17</v>
      </c>
      <c r="O1254" s="461" t="n">
        <v>795</v>
      </c>
      <c r="P1254" s="462" t="n">
        <f aca="false">H1254-O1254</f>
        <v>0</v>
      </c>
      <c r="Q1254" s="463" t="n">
        <f aca="false">O1254*I1254</f>
        <v>17887.5</v>
      </c>
      <c r="R1254" s="48" t="n">
        <f aca="false">K1254-Q1254</f>
        <v>0</v>
      </c>
      <c r="S1254" s="467"/>
      <c r="T1254" s="2" t="s">
        <v>1711</v>
      </c>
      <c r="V1254" s="464"/>
      <c r="W1254" s="464"/>
      <c r="X1254" s="464"/>
      <c r="Y1254" s="464"/>
      <c r="Z1254" s="464"/>
      <c r="AA1254" s="464"/>
      <c r="AB1254" s="464"/>
      <c r="AC1254" s="464"/>
      <c r="AD1254" s="464"/>
      <c r="AE1254" s="464"/>
      <c r="AF1254" s="464"/>
      <c r="AG1254" s="464"/>
      <c r="AH1254" s="465"/>
      <c r="AI1254" s="464"/>
    </row>
    <row r="1255" customFormat="false" ht="15" hidden="false" customHeight="true" outlineLevel="0" collapsed="false">
      <c r="A1255" s="455" t="s">
        <v>1760</v>
      </c>
      <c r="C1255" s="456" t="n">
        <v>45614</v>
      </c>
      <c r="D1255" s="456"/>
      <c r="E1255" s="57" t="n">
        <v>14213</v>
      </c>
      <c r="F1255" s="323" t="s">
        <v>175</v>
      </c>
      <c r="G1255" s="323" t="s">
        <v>7</v>
      </c>
      <c r="H1255" s="98" t="n">
        <v>150</v>
      </c>
      <c r="I1255" s="457" t="n">
        <v>25.71</v>
      </c>
      <c r="J1255" s="313" t="s">
        <v>1651</v>
      </c>
      <c r="K1255" s="98" t="n">
        <f aca="false">I1255*H1255</f>
        <v>3856.5</v>
      </c>
      <c r="L1255" s="411" t="n">
        <v>2134.8</v>
      </c>
      <c r="M1255" s="392" t="n">
        <f aca="false">L1255/K1255</f>
        <v>0.553558926487748</v>
      </c>
      <c r="N1255" s="466" t="n">
        <f aca="false">I1255*M1255</f>
        <v>14.232</v>
      </c>
      <c r="O1255" s="461" t="n">
        <v>150</v>
      </c>
      <c r="P1255" s="462" t="n">
        <f aca="false">H1255-O1255</f>
        <v>0</v>
      </c>
      <c r="Q1255" s="463" t="n">
        <f aca="false">O1255*I1255</f>
        <v>3856.5</v>
      </c>
      <c r="R1255" s="48" t="n">
        <f aca="false">K1255-Q1255</f>
        <v>0</v>
      </c>
      <c r="S1255" s="467"/>
      <c r="T1255" s="2" t="s">
        <v>1711</v>
      </c>
      <c r="V1255" s="464"/>
      <c r="W1255" s="464"/>
      <c r="X1255" s="464"/>
      <c r="Y1255" s="464"/>
      <c r="Z1255" s="464"/>
      <c r="AA1255" s="464"/>
      <c r="AB1255" s="464"/>
      <c r="AC1255" s="464"/>
      <c r="AD1255" s="464"/>
      <c r="AE1255" s="464"/>
      <c r="AF1255" s="464"/>
      <c r="AG1255" s="464"/>
      <c r="AH1255" s="465"/>
      <c r="AI1255" s="464"/>
    </row>
    <row r="1256" customFormat="false" ht="15" hidden="false" customHeight="true" outlineLevel="0" collapsed="false">
      <c r="A1256" s="455" t="s">
        <v>1760</v>
      </c>
      <c r="C1256" s="456" t="n">
        <v>45614</v>
      </c>
      <c r="D1256" s="456"/>
      <c r="E1256" s="57" t="n">
        <v>14213</v>
      </c>
      <c r="F1256" s="323" t="s">
        <v>175</v>
      </c>
      <c r="G1256" s="323" t="s">
        <v>19</v>
      </c>
      <c r="H1256" s="98" t="n">
        <v>300</v>
      </c>
      <c r="I1256" s="457" t="n">
        <v>22.5</v>
      </c>
      <c r="J1256" s="313" t="s">
        <v>1651</v>
      </c>
      <c r="K1256" s="98" t="n">
        <f aca="false">I1256*H1256</f>
        <v>6750</v>
      </c>
      <c r="L1256" s="411" t="n">
        <v>6150</v>
      </c>
      <c r="M1256" s="392" t="n">
        <f aca="false">L1256/K1256</f>
        <v>0.911111111111111</v>
      </c>
      <c r="N1256" s="466" t="n">
        <f aca="false">I1256*M1256</f>
        <v>20.5</v>
      </c>
      <c r="O1256" s="461" t="n">
        <v>300</v>
      </c>
      <c r="P1256" s="462" t="n">
        <f aca="false">H1256-O1256</f>
        <v>0</v>
      </c>
      <c r="Q1256" s="463" t="n">
        <f aca="false">O1256*I1256</f>
        <v>6750</v>
      </c>
      <c r="R1256" s="48" t="n">
        <f aca="false">K1256-Q1256</f>
        <v>0</v>
      </c>
      <c r="S1256" s="467"/>
      <c r="T1256" s="2" t="s">
        <v>1711</v>
      </c>
      <c r="V1256" s="464"/>
      <c r="W1256" s="464"/>
      <c r="X1256" s="464"/>
      <c r="Y1256" s="464"/>
      <c r="Z1256" s="464"/>
      <c r="AA1256" s="464"/>
      <c r="AB1256" s="464"/>
      <c r="AC1256" s="464"/>
      <c r="AD1256" s="464"/>
      <c r="AE1256" s="464"/>
      <c r="AF1256" s="464"/>
      <c r="AG1256" s="464"/>
      <c r="AH1256" s="465"/>
      <c r="AI1256" s="464"/>
    </row>
    <row r="1257" customFormat="false" ht="15" hidden="false" customHeight="true" outlineLevel="0" collapsed="false">
      <c r="A1257" s="455" t="s">
        <v>1760</v>
      </c>
      <c r="C1257" s="456" t="n">
        <v>45614</v>
      </c>
      <c r="D1257" s="456"/>
      <c r="E1257" s="57" t="n">
        <v>14214</v>
      </c>
      <c r="F1257" s="323" t="s">
        <v>175</v>
      </c>
      <c r="G1257" s="323" t="s">
        <v>6</v>
      </c>
      <c r="H1257" s="98" t="n">
        <v>2000</v>
      </c>
      <c r="I1257" s="457" t="n">
        <v>30</v>
      </c>
      <c r="J1257" s="313" t="s">
        <v>1651</v>
      </c>
      <c r="K1257" s="98" t="n">
        <f aca="false">I1257*H1257</f>
        <v>60000</v>
      </c>
      <c r="L1257" s="411" t="n">
        <v>23000</v>
      </c>
      <c r="M1257" s="392" t="n">
        <f aca="false">L1257/K1257</f>
        <v>0.383333333333333</v>
      </c>
      <c r="N1257" s="466" t="n">
        <f aca="false">I1257*M1257</f>
        <v>11.5</v>
      </c>
      <c r="O1257" s="461" t="n">
        <v>2000</v>
      </c>
      <c r="P1257" s="462" t="n">
        <f aca="false">H1257-O1257</f>
        <v>0</v>
      </c>
      <c r="Q1257" s="463" t="n">
        <f aca="false">O1257*I1257</f>
        <v>60000</v>
      </c>
      <c r="R1257" s="48" t="n">
        <f aca="false">K1257-Q1257</f>
        <v>0</v>
      </c>
      <c r="S1257" s="467"/>
      <c r="T1257" s="2" t="s">
        <v>1711</v>
      </c>
      <c r="V1257" s="464"/>
      <c r="W1257" s="464"/>
      <c r="X1257" s="464"/>
      <c r="Y1257" s="464"/>
      <c r="Z1257" s="464"/>
      <c r="AA1257" s="464"/>
      <c r="AB1257" s="464"/>
      <c r="AC1257" s="464"/>
      <c r="AD1257" s="464"/>
      <c r="AE1257" s="464"/>
      <c r="AF1257" s="464"/>
      <c r="AG1257" s="464"/>
      <c r="AH1257" s="465"/>
      <c r="AI1257" s="464"/>
    </row>
    <row r="1258" customFormat="false" ht="15" hidden="false" customHeight="true" outlineLevel="0" collapsed="false">
      <c r="A1258" s="455" t="s">
        <v>1777</v>
      </c>
      <c r="C1258" s="456" t="n">
        <v>45614</v>
      </c>
      <c r="D1258" s="456"/>
      <c r="E1258" s="57" t="n">
        <v>14215</v>
      </c>
      <c r="F1258" s="323" t="s">
        <v>175</v>
      </c>
      <c r="G1258" s="323" t="s">
        <v>5</v>
      </c>
      <c r="H1258" s="98" t="n">
        <v>1020</v>
      </c>
      <c r="I1258" s="457" t="n">
        <v>25.71</v>
      </c>
      <c r="J1258" s="313" t="s">
        <v>1651</v>
      </c>
      <c r="K1258" s="98" t="n">
        <f aca="false">I1258*H1258</f>
        <v>26224.2</v>
      </c>
      <c r="L1258" s="411" t="n">
        <v>12750</v>
      </c>
      <c r="M1258" s="392" t="n">
        <f aca="false">L1258/K1258</f>
        <v>0.486192143134967</v>
      </c>
      <c r="N1258" s="466" t="n">
        <f aca="false">I1258*M1258</f>
        <v>12.5</v>
      </c>
      <c r="O1258" s="461" t="n">
        <v>1020</v>
      </c>
      <c r="P1258" s="462" t="n">
        <f aca="false">H1258-O1258</f>
        <v>0</v>
      </c>
      <c r="Q1258" s="463" t="n">
        <f aca="false">O1258*I1258</f>
        <v>26224.2</v>
      </c>
      <c r="R1258" s="48" t="n">
        <f aca="false">K1258-Q1258</f>
        <v>0</v>
      </c>
      <c r="S1258" s="467"/>
      <c r="T1258" s="2" t="s">
        <v>1711</v>
      </c>
      <c r="V1258" s="464"/>
      <c r="W1258" s="464"/>
      <c r="X1258" s="464"/>
      <c r="Y1258" s="464"/>
      <c r="Z1258" s="464"/>
      <c r="AA1258" s="464"/>
      <c r="AB1258" s="464"/>
      <c r="AC1258" s="464"/>
      <c r="AD1258" s="464"/>
      <c r="AE1258" s="464"/>
      <c r="AF1258" s="464"/>
      <c r="AG1258" s="464"/>
      <c r="AH1258" s="465"/>
      <c r="AI1258" s="464"/>
    </row>
    <row r="1259" customFormat="false" ht="15" hidden="false" customHeight="true" outlineLevel="0" collapsed="false">
      <c r="A1259" s="455" t="s">
        <v>1936</v>
      </c>
      <c r="C1259" s="456" t="n">
        <v>45615</v>
      </c>
      <c r="D1259" s="456"/>
      <c r="E1259" s="57" t="n">
        <v>14216</v>
      </c>
      <c r="F1259" s="323" t="s">
        <v>175</v>
      </c>
      <c r="G1259" s="323" t="s">
        <v>5</v>
      </c>
      <c r="H1259" s="98" t="n">
        <v>300</v>
      </c>
      <c r="I1259" s="457" t="n">
        <v>25.71</v>
      </c>
      <c r="J1259" s="313" t="s">
        <v>1651</v>
      </c>
      <c r="K1259" s="98" t="n">
        <f aca="false">I1259*H1259</f>
        <v>7713</v>
      </c>
      <c r="L1259" s="411" t="n">
        <v>4950</v>
      </c>
      <c r="M1259" s="392" t="n">
        <f aca="false">L1259/K1259</f>
        <v>0.641773628938156</v>
      </c>
      <c r="N1259" s="466" t="n">
        <f aca="false">I1259*M1259</f>
        <v>16.5</v>
      </c>
      <c r="O1259" s="461" t="n">
        <v>300</v>
      </c>
      <c r="P1259" s="462" t="n">
        <f aca="false">H1259-O1259</f>
        <v>0</v>
      </c>
      <c r="Q1259" s="463" t="n">
        <f aca="false">O1259*I1259</f>
        <v>7713</v>
      </c>
      <c r="R1259" s="48" t="n">
        <f aca="false">K1259-Q1259</f>
        <v>0</v>
      </c>
      <c r="S1259" s="467"/>
      <c r="T1259" s="2" t="s">
        <v>1711</v>
      </c>
      <c r="V1259" s="464"/>
      <c r="W1259" s="464"/>
      <c r="X1259" s="464"/>
      <c r="Y1259" s="464"/>
      <c r="Z1259" s="464"/>
      <c r="AA1259" s="464"/>
      <c r="AB1259" s="464"/>
      <c r="AC1259" s="464"/>
      <c r="AD1259" s="464"/>
      <c r="AE1259" s="464"/>
      <c r="AF1259" s="464"/>
      <c r="AG1259" s="464"/>
      <c r="AH1259" s="465"/>
      <c r="AI1259" s="464"/>
    </row>
    <row r="1260" customFormat="false" ht="15" hidden="false" customHeight="true" outlineLevel="0" collapsed="false">
      <c r="A1260" s="455" t="s">
        <v>58</v>
      </c>
      <c r="C1260" s="456" t="n">
        <v>45615</v>
      </c>
      <c r="D1260" s="456"/>
      <c r="E1260" s="57" t="n">
        <v>14217</v>
      </c>
      <c r="F1260" s="323" t="s">
        <v>175</v>
      </c>
      <c r="G1260" s="323" t="s">
        <v>13</v>
      </c>
      <c r="H1260" s="98" t="n">
        <v>150</v>
      </c>
      <c r="I1260" s="457" t="n">
        <v>22.5</v>
      </c>
      <c r="J1260" s="313" t="s">
        <v>1651</v>
      </c>
      <c r="K1260" s="98" t="n">
        <f aca="false">I1260*H1260</f>
        <v>3375</v>
      </c>
      <c r="L1260" s="411" t="n">
        <v>1878</v>
      </c>
      <c r="M1260" s="392" t="n">
        <f aca="false">L1260/K1260</f>
        <v>0.556444444444444</v>
      </c>
      <c r="N1260" s="466" t="n">
        <f aca="false">I1260*M1260</f>
        <v>12.52</v>
      </c>
      <c r="O1260" s="461" t="n">
        <v>150</v>
      </c>
      <c r="P1260" s="462" t="n">
        <f aca="false">H1260-O1260</f>
        <v>0</v>
      </c>
      <c r="Q1260" s="463" t="n">
        <f aca="false">O1260*I1260</f>
        <v>3375</v>
      </c>
      <c r="R1260" s="48" t="n">
        <f aca="false">K1260-Q1260</f>
        <v>0</v>
      </c>
      <c r="S1260" s="467"/>
      <c r="T1260" s="2" t="s">
        <v>1711</v>
      </c>
      <c r="V1260" s="464"/>
      <c r="W1260" s="464"/>
      <c r="X1260" s="464"/>
      <c r="Y1260" s="464"/>
      <c r="Z1260" s="464"/>
      <c r="AA1260" s="464"/>
      <c r="AB1260" s="464"/>
      <c r="AC1260" s="464"/>
      <c r="AD1260" s="464"/>
      <c r="AE1260" s="464"/>
      <c r="AF1260" s="464"/>
      <c r="AG1260" s="464"/>
      <c r="AH1260" s="465"/>
      <c r="AI1260" s="464"/>
    </row>
    <row r="1261" customFormat="false" ht="15" hidden="false" customHeight="true" outlineLevel="0" collapsed="false">
      <c r="A1261" s="455" t="s">
        <v>1777</v>
      </c>
      <c r="C1261" s="456" t="n">
        <v>45615</v>
      </c>
      <c r="D1261" s="456"/>
      <c r="E1261" s="57" t="n">
        <v>14218</v>
      </c>
      <c r="F1261" s="323" t="s">
        <v>175</v>
      </c>
      <c r="G1261" s="323" t="s">
        <v>5</v>
      </c>
      <c r="H1261" s="98" t="n">
        <v>4500</v>
      </c>
      <c r="I1261" s="457" t="n">
        <v>25.71</v>
      </c>
      <c r="J1261" s="313" t="s">
        <v>1651</v>
      </c>
      <c r="K1261" s="98" t="n">
        <f aca="false">I1261*H1261</f>
        <v>115695</v>
      </c>
      <c r="L1261" s="411" t="n">
        <v>56250</v>
      </c>
      <c r="M1261" s="392" t="n">
        <f aca="false">L1261/K1261</f>
        <v>0.486192143134967</v>
      </c>
      <c r="N1261" s="466" t="n">
        <f aca="false">I1261*M1261</f>
        <v>12.5</v>
      </c>
      <c r="O1261" s="461" t="n">
        <v>4500</v>
      </c>
      <c r="P1261" s="462" t="n">
        <f aca="false">H1261-O1261</f>
        <v>0</v>
      </c>
      <c r="Q1261" s="463" t="n">
        <f aca="false">O1261*I1261</f>
        <v>115695</v>
      </c>
      <c r="R1261" s="48" t="n">
        <f aca="false">K1261-Q1261</f>
        <v>0</v>
      </c>
      <c r="S1261" s="467"/>
      <c r="T1261" s="2" t="s">
        <v>1711</v>
      </c>
      <c r="V1261" s="464"/>
      <c r="W1261" s="464"/>
      <c r="X1261" s="464"/>
      <c r="Y1261" s="464"/>
      <c r="Z1261" s="464"/>
      <c r="AA1261" s="464"/>
      <c r="AB1261" s="464"/>
      <c r="AC1261" s="464"/>
      <c r="AD1261" s="464"/>
      <c r="AE1261" s="464"/>
      <c r="AF1261" s="464"/>
      <c r="AG1261" s="464"/>
      <c r="AH1261" s="465"/>
      <c r="AI1261" s="464"/>
    </row>
    <row r="1262" customFormat="false" ht="15" hidden="false" customHeight="true" outlineLevel="0" collapsed="false">
      <c r="A1262" s="455" t="s">
        <v>1864</v>
      </c>
      <c r="C1262" s="456" t="n">
        <v>45615</v>
      </c>
      <c r="D1262" s="456"/>
      <c r="E1262" s="57" t="n">
        <v>14219</v>
      </c>
      <c r="F1262" s="323" t="s">
        <v>175</v>
      </c>
      <c r="G1262" s="323" t="s">
        <v>5</v>
      </c>
      <c r="H1262" s="98" t="n">
        <v>25</v>
      </c>
      <c r="I1262" s="457" t="n">
        <v>60</v>
      </c>
      <c r="J1262" s="313" t="s">
        <v>1653</v>
      </c>
      <c r="K1262" s="98" t="n">
        <f aca="false">I1262*H1262</f>
        <v>1500</v>
      </c>
      <c r="L1262" s="411" t="n">
        <v>625</v>
      </c>
      <c r="M1262" s="392" t="n">
        <f aca="false">L1262/K1262</f>
        <v>0.416666666666667</v>
      </c>
      <c r="N1262" s="466" t="n">
        <f aca="false">I1262*M1262</f>
        <v>25</v>
      </c>
      <c r="O1262" s="461" t="n">
        <v>25</v>
      </c>
      <c r="P1262" s="462" t="n">
        <f aca="false">H1262-O1262</f>
        <v>0</v>
      </c>
      <c r="Q1262" s="463" t="n">
        <f aca="false">O1262*I1262</f>
        <v>1500</v>
      </c>
      <c r="R1262" s="48" t="n">
        <f aca="false">K1262-Q1262</f>
        <v>0</v>
      </c>
      <c r="S1262" s="467"/>
      <c r="T1262" s="2" t="s">
        <v>1711</v>
      </c>
      <c r="V1262" s="464"/>
      <c r="W1262" s="464"/>
      <c r="X1262" s="464"/>
      <c r="Y1262" s="464"/>
      <c r="Z1262" s="464"/>
      <c r="AA1262" s="464"/>
      <c r="AB1262" s="464"/>
      <c r="AC1262" s="464"/>
      <c r="AD1262" s="464"/>
      <c r="AE1262" s="464"/>
      <c r="AF1262" s="464"/>
      <c r="AG1262" s="464"/>
      <c r="AH1262" s="465"/>
      <c r="AI1262" s="464"/>
    </row>
    <row r="1263" customFormat="false" ht="15" hidden="false" customHeight="true" outlineLevel="0" collapsed="false">
      <c r="A1263" s="455" t="s">
        <v>1864</v>
      </c>
      <c r="C1263" s="456" t="n">
        <v>45615</v>
      </c>
      <c r="D1263" s="456"/>
      <c r="E1263" s="57" t="n">
        <v>14219</v>
      </c>
      <c r="F1263" s="323" t="s">
        <v>175</v>
      </c>
      <c r="G1263" s="323" t="s">
        <v>15</v>
      </c>
      <c r="H1263" s="98" t="n">
        <v>25</v>
      </c>
      <c r="I1263" s="457" t="n">
        <v>40</v>
      </c>
      <c r="J1263" s="313" t="s">
        <v>1653</v>
      </c>
      <c r="K1263" s="98" t="n">
        <f aca="false">I1263*H1263</f>
        <v>1000</v>
      </c>
      <c r="L1263" s="411" t="n">
        <v>537.5</v>
      </c>
      <c r="M1263" s="392" t="n">
        <f aca="false">L1263/K1263</f>
        <v>0.5375</v>
      </c>
      <c r="N1263" s="466" t="n">
        <f aca="false">I1263*M1263</f>
        <v>21.5</v>
      </c>
      <c r="O1263" s="461" t="n">
        <v>25</v>
      </c>
      <c r="P1263" s="462" t="n">
        <f aca="false">H1263-O1263</f>
        <v>0</v>
      </c>
      <c r="Q1263" s="463" t="n">
        <f aca="false">O1263*I1263</f>
        <v>1000</v>
      </c>
      <c r="R1263" s="48" t="n">
        <f aca="false">K1263-Q1263</f>
        <v>0</v>
      </c>
      <c r="S1263" s="467"/>
      <c r="T1263" s="2" t="s">
        <v>1711</v>
      </c>
      <c r="V1263" s="464"/>
      <c r="W1263" s="464"/>
      <c r="X1263" s="464"/>
      <c r="Y1263" s="464"/>
      <c r="Z1263" s="464"/>
      <c r="AA1263" s="464"/>
      <c r="AB1263" s="464"/>
      <c r="AC1263" s="464"/>
      <c r="AD1263" s="464"/>
      <c r="AE1263" s="464"/>
      <c r="AF1263" s="464"/>
      <c r="AG1263" s="464"/>
      <c r="AH1263" s="465"/>
      <c r="AI1263" s="464"/>
    </row>
    <row r="1264" customFormat="false" ht="15" hidden="false" customHeight="true" outlineLevel="0" collapsed="false">
      <c r="A1264" s="455" t="s">
        <v>1864</v>
      </c>
      <c r="C1264" s="456" t="n">
        <v>45615</v>
      </c>
      <c r="D1264" s="456"/>
      <c r="E1264" s="57" t="n">
        <v>14219</v>
      </c>
      <c r="F1264" s="323" t="s">
        <v>175</v>
      </c>
      <c r="G1264" s="323" t="s">
        <v>17</v>
      </c>
      <c r="H1264" s="98" t="n">
        <v>25</v>
      </c>
      <c r="I1264" s="457" t="n">
        <v>40</v>
      </c>
      <c r="J1264" s="313" t="s">
        <v>1653</v>
      </c>
      <c r="K1264" s="98" t="n">
        <f aca="false">I1264*H1264</f>
        <v>1000</v>
      </c>
      <c r="L1264" s="411" t="n">
        <v>450</v>
      </c>
      <c r="M1264" s="392" t="n">
        <f aca="false">L1264/K1264</f>
        <v>0.45</v>
      </c>
      <c r="N1264" s="466" t="n">
        <f aca="false">I1264*M1264</f>
        <v>18</v>
      </c>
      <c r="O1264" s="461" t="n">
        <v>25</v>
      </c>
      <c r="P1264" s="462" t="n">
        <f aca="false">H1264-O1264</f>
        <v>0</v>
      </c>
      <c r="Q1264" s="463" t="n">
        <f aca="false">O1264*I1264</f>
        <v>1000</v>
      </c>
      <c r="R1264" s="48" t="n">
        <f aca="false">K1264-Q1264</f>
        <v>0</v>
      </c>
      <c r="S1264" s="467"/>
      <c r="T1264" s="2" t="s">
        <v>1711</v>
      </c>
      <c r="V1264" s="464"/>
      <c r="W1264" s="464"/>
      <c r="X1264" s="464"/>
      <c r="Y1264" s="464"/>
      <c r="Z1264" s="464"/>
      <c r="AA1264" s="464"/>
      <c r="AB1264" s="464"/>
      <c r="AC1264" s="464"/>
      <c r="AD1264" s="464"/>
      <c r="AE1264" s="464"/>
      <c r="AF1264" s="464"/>
      <c r="AG1264" s="464"/>
      <c r="AH1264" s="465"/>
      <c r="AI1264" s="464"/>
    </row>
    <row r="1265" customFormat="false" ht="15" hidden="false" customHeight="true" outlineLevel="0" collapsed="false">
      <c r="A1265" s="455" t="s">
        <v>1969</v>
      </c>
      <c r="C1265" s="456" t="n">
        <v>45615</v>
      </c>
      <c r="D1265" s="456"/>
      <c r="E1265" s="57" t="n">
        <v>14220</v>
      </c>
      <c r="F1265" s="323" t="s">
        <v>175</v>
      </c>
      <c r="G1265" s="323" t="s">
        <v>6</v>
      </c>
      <c r="H1265" s="98" t="n">
        <v>475</v>
      </c>
      <c r="I1265" s="457" t="n">
        <v>60</v>
      </c>
      <c r="J1265" s="313" t="s">
        <v>1653</v>
      </c>
      <c r="K1265" s="98" t="n">
        <f aca="false">I1265*H1265</f>
        <v>28500</v>
      </c>
      <c r="L1265" s="411" t="n">
        <v>17342.25</v>
      </c>
      <c r="M1265" s="392" t="n">
        <f aca="false">L1265/K1265</f>
        <v>0.6085</v>
      </c>
      <c r="N1265" s="466" t="n">
        <f aca="false">I1265*M1265</f>
        <v>36.51</v>
      </c>
      <c r="O1265" s="461" t="n">
        <v>475</v>
      </c>
      <c r="P1265" s="462" t="n">
        <f aca="false">H1265-O1265</f>
        <v>0</v>
      </c>
      <c r="Q1265" s="463" t="n">
        <f aca="false">O1265*I1265</f>
        <v>28500</v>
      </c>
      <c r="R1265" s="48" t="n">
        <f aca="false">K1265-Q1265</f>
        <v>0</v>
      </c>
      <c r="S1265" s="467"/>
      <c r="T1265" s="2" t="s">
        <v>1711</v>
      </c>
      <c r="V1265" s="464"/>
      <c r="W1265" s="464"/>
      <c r="X1265" s="464"/>
      <c r="Y1265" s="464"/>
      <c r="Z1265" s="464"/>
      <c r="AA1265" s="464"/>
      <c r="AB1265" s="464"/>
      <c r="AC1265" s="464"/>
      <c r="AD1265" s="464"/>
      <c r="AE1265" s="464"/>
      <c r="AF1265" s="464"/>
      <c r="AG1265" s="464"/>
      <c r="AH1265" s="465"/>
      <c r="AI1265" s="464"/>
    </row>
    <row r="1266" customFormat="false" ht="15" hidden="false" customHeight="true" outlineLevel="0" collapsed="false">
      <c r="A1266" s="455" t="s">
        <v>1933</v>
      </c>
      <c r="C1266" s="456" t="n">
        <v>45615</v>
      </c>
      <c r="D1266" s="456"/>
      <c r="E1266" s="57" t="n">
        <v>14221</v>
      </c>
      <c r="F1266" s="323" t="s">
        <v>175</v>
      </c>
      <c r="G1266" s="323" t="s">
        <v>15</v>
      </c>
      <c r="H1266" s="98" t="n">
        <v>510</v>
      </c>
      <c r="I1266" s="457" t="n">
        <v>22.5</v>
      </c>
      <c r="J1266" s="313" t="s">
        <v>1651</v>
      </c>
      <c r="K1266" s="98" t="n">
        <f aca="false">I1266*H1266</f>
        <v>11475</v>
      </c>
      <c r="L1266" s="411" t="n">
        <v>9180</v>
      </c>
      <c r="M1266" s="392" t="n">
        <f aca="false">L1266/K1266</f>
        <v>0.8</v>
      </c>
      <c r="N1266" s="466" t="n">
        <f aca="false">I1266*M1266</f>
        <v>18</v>
      </c>
      <c r="O1266" s="461" t="n">
        <v>510</v>
      </c>
      <c r="P1266" s="462" t="n">
        <f aca="false">H1266-O1266</f>
        <v>0</v>
      </c>
      <c r="Q1266" s="463" t="n">
        <f aca="false">O1266*I1266</f>
        <v>11475</v>
      </c>
      <c r="R1266" s="48" t="n">
        <f aca="false">K1266-Q1266</f>
        <v>0</v>
      </c>
      <c r="S1266" s="467"/>
      <c r="T1266" s="2" t="s">
        <v>1711</v>
      </c>
      <c r="V1266" s="464"/>
      <c r="W1266" s="464"/>
      <c r="X1266" s="464"/>
      <c r="Y1266" s="464"/>
      <c r="Z1266" s="464"/>
      <c r="AA1266" s="464"/>
      <c r="AB1266" s="464"/>
      <c r="AC1266" s="464"/>
      <c r="AD1266" s="464"/>
      <c r="AE1266" s="464"/>
      <c r="AF1266" s="464"/>
      <c r="AG1266" s="464"/>
      <c r="AH1266" s="465"/>
      <c r="AI1266" s="464"/>
    </row>
    <row r="1267" customFormat="false" ht="15" hidden="false" customHeight="true" outlineLevel="0" collapsed="false">
      <c r="A1267" s="455" t="s">
        <v>1874</v>
      </c>
      <c r="C1267" s="456" t="n">
        <v>45615</v>
      </c>
      <c r="D1267" s="456"/>
      <c r="E1267" s="57" t="n">
        <v>14222</v>
      </c>
      <c r="F1267" s="323" t="s">
        <v>175</v>
      </c>
      <c r="G1267" s="323" t="s">
        <v>10</v>
      </c>
      <c r="H1267" s="98" t="n">
        <v>30</v>
      </c>
      <c r="I1267" s="457" t="n">
        <v>25.71</v>
      </c>
      <c r="J1267" s="313" t="s">
        <v>1651</v>
      </c>
      <c r="K1267" s="98" t="n">
        <f aca="false">I1267*H1267</f>
        <v>771.3</v>
      </c>
      <c r="L1267" s="411" t="n">
        <v>420</v>
      </c>
      <c r="M1267" s="392" t="n">
        <f aca="false">L1267/K1267</f>
        <v>0.544535200311163</v>
      </c>
      <c r="N1267" s="466" t="n">
        <f aca="false">I1267*M1267</f>
        <v>14</v>
      </c>
      <c r="O1267" s="461" t="n">
        <v>30</v>
      </c>
      <c r="P1267" s="462" t="n">
        <f aca="false">H1267-O1267</f>
        <v>0</v>
      </c>
      <c r="Q1267" s="463" t="n">
        <f aca="false">O1267*I1267</f>
        <v>771.3</v>
      </c>
      <c r="R1267" s="48" t="n">
        <f aca="false">K1267-Q1267</f>
        <v>0</v>
      </c>
      <c r="S1267" s="467"/>
      <c r="T1267" s="2" t="s">
        <v>1711</v>
      </c>
      <c r="V1267" s="464"/>
      <c r="W1267" s="464"/>
      <c r="X1267" s="464"/>
      <c r="Y1267" s="464"/>
      <c r="Z1267" s="464"/>
      <c r="AA1267" s="464"/>
      <c r="AB1267" s="464"/>
      <c r="AC1267" s="464"/>
      <c r="AD1267" s="464"/>
      <c r="AE1267" s="464"/>
      <c r="AF1267" s="464"/>
      <c r="AG1267" s="464"/>
      <c r="AH1267" s="465"/>
      <c r="AI1267" s="464"/>
    </row>
    <row r="1268" customFormat="false" ht="15" hidden="false" customHeight="true" outlineLevel="0" collapsed="false">
      <c r="A1268" s="455" t="s">
        <v>58</v>
      </c>
      <c r="C1268" s="456" t="n">
        <v>45615</v>
      </c>
      <c r="D1268" s="456"/>
      <c r="E1268" s="57" t="n">
        <v>14223</v>
      </c>
      <c r="F1268" s="323" t="s">
        <v>175</v>
      </c>
      <c r="G1268" s="323" t="s">
        <v>7</v>
      </c>
      <c r="H1268" s="98" t="n">
        <v>510</v>
      </c>
      <c r="I1268" s="457" t="n">
        <v>25.71</v>
      </c>
      <c r="J1268" s="313" t="s">
        <v>1651</v>
      </c>
      <c r="K1268" s="98" t="n">
        <f aca="false">I1268*H1268</f>
        <v>13112.1</v>
      </c>
      <c r="L1268" s="411" t="n">
        <v>9129</v>
      </c>
      <c r="M1268" s="392" t="n">
        <f aca="false">L1268/K1268</f>
        <v>0.696227148969273</v>
      </c>
      <c r="N1268" s="466" t="n">
        <f aca="false">I1268*M1268</f>
        <v>17.9</v>
      </c>
      <c r="O1268" s="461" t="n">
        <v>510</v>
      </c>
      <c r="P1268" s="462" t="n">
        <f aca="false">H1268-O1268</f>
        <v>0</v>
      </c>
      <c r="Q1268" s="463" t="n">
        <f aca="false">O1268*I1268</f>
        <v>13112.1</v>
      </c>
      <c r="R1268" s="48" t="n">
        <f aca="false">K1268-Q1268</f>
        <v>0</v>
      </c>
      <c r="S1268" s="467"/>
      <c r="T1268" s="2" t="s">
        <v>1711</v>
      </c>
      <c r="V1268" s="464"/>
      <c r="W1268" s="464"/>
      <c r="X1268" s="464"/>
      <c r="Y1268" s="464"/>
      <c r="Z1268" s="464"/>
      <c r="AA1268" s="464"/>
      <c r="AB1268" s="464"/>
      <c r="AC1268" s="464"/>
      <c r="AD1268" s="464"/>
      <c r="AE1268" s="464"/>
      <c r="AF1268" s="464"/>
      <c r="AG1268" s="464"/>
      <c r="AH1268" s="465"/>
      <c r="AI1268" s="464"/>
    </row>
    <row r="1269" customFormat="false" ht="15" hidden="false" customHeight="true" outlineLevel="0" collapsed="false">
      <c r="A1269" s="455" t="s">
        <v>58</v>
      </c>
      <c r="C1269" s="456" t="n">
        <v>45615</v>
      </c>
      <c r="D1269" s="456"/>
      <c r="E1269" s="57" t="n">
        <v>14224</v>
      </c>
      <c r="F1269" s="323" t="s">
        <v>175</v>
      </c>
      <c r="G1269" s="323" t="s">
        <v>5</v>
      </c>
      <c r="H1269" s="98" t="n">
        <v>1500</v>
      </c>
      <c r="I1269" s="457" t="n">
        <v>25.71</v>
      </c>
      <c r="J1269" s="313" t="s">
        <v>1651</v>
      </c>
      <c r="K1269" s="98" t="n">
        <f aca="false">I1269*H1269</f>
        <v>38565</v>
      </c>
      <c r="L1269" s="411" t="n">
        <v>25455</v>
      </c>
      <c r="M1269" s="392" t="n">
        <f aca="false">L1269/K1269</f>
        <v>0.660054453520031</v>
      </c>
      <c r="N1269" s="466" t="n">
        <f aca="false">I1269*M1269</f>
        <v>16.97</v>
      </c>
      <c r="O1269" s="461" t="n">
        <v>1500</v>
      </c>
      <c r="P1269" s="462" t="n">
        <f aca="false">H1269-O1269</f>
        <v>0</v>
      </c>
      <c r="Q1269" s="463" t="n">
        <f aca="false">O1269*I1269</f>
        <v>38565</v>
      </c>
      <c r="R1269" s="48" t="n">
        <f aca="false">K1269-Q1269</f>
        <v>0</v>
      </c>
      <c r="S1269" s="467"/>
      <c r="T1269" s="2" t="s">
        <v>1711</v>
      </c>
      <c r="V1269" s="464"/>
      <c r="W1269" s="464"/>
      <c r="X1269" s="464"/>
      <c r="Y1269" s="464"/>
      <c r="Z1269" s="464"/>
      <c r="AA1269" s="464"/>
      <c r="AB1269" s="464"/>
      <c r="AC1269" s="464"/>
      <c r="AD1269" s="464"/>
      <c r="AE1269" s="464"/>
      <c r="AF1269" s="464"/>
      <c r="AG1269" s="464"/>
      <c r="AH1269" s="465"/>
      <c r="AI1269" s="464"/>
    </row>
    <row r="1270" customFormat="false" ht="15" hidden="false" customHeight="true" outlineLevel="0" collapsed="false">
      <c r="A1270" s="455" t="s">
        <v>1722</v>
      </c>
      <c r="C1270" s="456" t="n">
        <v>45617</v>
      </c>
      <c r="D1270" s="456"/>
      <c r="E1270" s="57" t="n">
        <v>14225</v>
      </c>
      <c r="F1270" s="323" t="s">
        <v>175</v>
      </c>
      <c r="G1270" s="323" t="s">
        <v>13</v>
      </c>
      <c r="H1270" s="98" t="n">
        <v>100</v>
      </c>
      <c r="I1270" s="457" t="n">
        <v>22.5</v>
      </c>
      <c r="J1270" s="313" t="s">
        <v>1651</v>
      </c>
      <c r="K1270" s="98" t="n">
        <f aca="false">I1270*H1270</f>
        <v>2250</v>
      </c>
      <c r="L1270" s="411" t="n">
        <v>1452</v>
      </c>
      <c r="M1270" s="392" t="n">
        <f aca="false">L1270/K1270</f>
        <v>0.645333333333333</v>
      </c>
      <c r="N1270" s="466" t="n">
        <f aca="false">I1270*M1270</f>
        <v>14.52</v>
      </c>
      <c r="O1270" s="461" t="n">
        <v>100</v>
      </c>
      <c r="P1270" s="462" t="n">
        <f aca="false">H1270-O1270</f>
        <v>0</v>
      </c>
      <c r="Q1270" s="463" t="n">
        <f aca="false">O1270*I1270</f>
        <v>2250</v>
      </c>
      <c r="R1270" s="48" t="n">
        <f aca="false">K1270-Q1270</f>
        <v>0</v>
      </c>
      <c r="S1270" s="467"/>
      <c r="T1270" s="2" t="s">
        <v>1711</v>
      </c>
      <c r="V1270" s="464"/>
      <c r="W1270" s="464"/>
      <c r="X1270" s="464"/>
      <c r="Y1270" s="464"/>
      <c r="Z1270" s="464"/>
      <c r="AA1270" s="464"/>
      <c r="AB1270" s="464"/>
      <c r="AC1270" s="464"/>
      <c r="AD1270" s="464"/>
      <c r="AE1270" s="464"/>
      <c r="AF1270" s="464"/>
      <c r="AG1270" s="464"/>
      <c r="AH1270" s="465"/>
      <c r="AI1270" s="464"/>
    </row>
    <row r="1271" customFormat="false" ht="15" hidden="false" customHeight="true" outlineLevel="0" collapsed="false">
      <c r="A1271" s="455" t="s">
        <v>1970</v>
      </c>
      <c r="C1271" s="456" t="n">
        <v>45617</v>
      </c>
      <c r="D1271" s="456"/>
      <c r="E1271" s="57" t="n">
        <v>14227</v>
      </c>
      <c r="F1271" s="323" t="s">
        <v>175</v>
      </c>
      <c r="G1271" s="323" t="s">
        <v>75</v>
      </c>
      <c r="H1271" s="98" t="n">
        <v>570</v>
      </c>
      <c r="I1271" s="457" t="n">
        <v>1</v>
      </c>
      <c r="J1271" s="313" t="s">
        <v>1653</v>
      </c>
      <c r="K1271" s="98" t="n">
        <f aca="false">I1271*H1271</f>
        <v>570</v>
      </c>
      <c r="L1271" s="411" t="n">
        <v>18525</v>
      </c>
      <c r="M1271" s="392" t="n">
        <f aca="false">L1271/K1271</f>
        <v>32.5</v>
      </c>
      <c r="N1271" s="466" t="n">
        <f aca="false">I1271*M1271</f>
        <v>32.5</v>
      </c>
      <c r="O1271" s="461" t="n">
        <v>570</v>
      </c>
      <c r="P1271" s="462" t="n">
        <f aca="false">H1271-O1271</f>
        <v>0</v>
      </c>
      <c r="Q1271" s="463" t="n">
        <f aca="false">O1271*I1271</f>
        <v>570</v>
      </c>
      <c r="R1271" s="48" t="n">
        <f aca="false">K1271-Q1271</f>
        <v>0</v>
      </c>
      <c r="S1271" s="467"/>
      <c r="T1271" s="2" t="s">
        <v>1711</v>
      </c>
      <c r="V1271" s="464"/>
      <c r="W1271" s="464"/>
      <c r="X1271" s="464"/>
      <c r="Y1271" s="464"/>
      <c r="Z1271" s="464"/>
      <c r="AA1271" s="464"/>
      <c r="AB1271" s="464"/>
      <c r="AC1271" s="464"/>
      <c r="AD1271" s="464"/>
      <c r="AE1271" s="464"/>
      <c r="AF1271" s="464"/>
      <c r="AG1271" s="464"/>
      <c r="AH1271" s="465"/>
      <c r="AI1271" s="464"/>
    </row>
    <row r="1272" customFormat="false" ht="15" hidden="false" customHeight="true" outlineLevel="0" collapsed="false">
      <c r="A1272" s="455" t="s">
        <v>1970</v>
      </c>
      <c r="C1272" s="456" t="n">
        <v>45617</v>
      </c>
      <c r="D1272" s="456"/>
      <c r="E1272" s="57" t="n">
        <v>14227</v>
      </c>
      <c r="F1272" s="323" t="s">
        <v>175</v>
      </c>
      <c r="G1272" s="323" t="s">
        <v>75</v>
      </c>
      <c r="H1272" s="98" t="n">
        <v>285</v>
      </c>
      <c r="I1272" s="457" t="n">
        <v>1</v>
      </c>
      <c r="J1272" s="313" t="s">
        <v>1653</v>
      </c>
      <c r="K1272" s="98" t="n">
        <f aca="false">I1272*H1272</f>
        <v>285</v>
      </c>
      <c r="L1272" s="411" t="n">
        <v>18525</v>
      </c>
      <c r="M1272" s="392" t="n">
        <f aca="false">L1272/K1272</f>
        <v>65</v>
      </c>
      <c r="N1272" s="466" t="n">
        <f aca="false">I1272*M1272</f>
        <v>65</v>
      </c>
      <c r="O1272" s="461" t="n">
        <v>285</v>
      </c>
      <c r="P1272" s="462" t="n">
        <f aca="false">H1272-O1272</f>
        <v>0</v>
      </c>
      <c r="Q1272" s="463" t="n">
        <f aca="false">O1272*I1272</f>
        <v>285</v>
      </c>
      <c r="R1272" s="48" t="n">
        <f aca="false">K1272-Q1272</f>
        <v>0</v>
      </c>
      <c r="S1272" s="467"/>
      <c r="T1272" s="2" t="s">
        <v>1711</v>
      </c>
      <c r="V1272" s="464"/>
      <c r="W1272" s="464"/>
      <c r="X1272" s="464"/>
      <c r="Y1272" s="464"/>
      <c r="Z1272" s="464"/>
      <c r="AA1272" s="464"/>
      <c r="AB1272" s="464"/>
      <c r="AC1272" s="464"/>
      <c r="AD1272" s="464"/>
      <c r="AE1272" s="464"/>
      <c r="AF1272" s="464"/>
      <c r="AG1272" s="464"/>
      <c r="AH1272" s="465"/>
      <c r="AI1272" s="464"/>
    </row>
    <row r="1273" customFormat="false" ht="15" hidden="false" customHeight="true" outlineLevel="0" collapsed="false">
      <c r="A1273" s="455" t="s">
        <v>1847</v>
      </c>
      <c r="C1273" s="456" t="n">
        <v>45617</v>
      </c>
      <c r="D1273" s="456"/>
      <c r="E1273" s="57" t="n">
        <v>14228</v>
      </c>
      <c r="F1273" s="323" t="s">
        <v>175</v>
      </c>
      <c r="G1273" s="323" t="s">
        <v>22</v>
      </c>
      <c r="H1273" s="98" t="n">
        <v>90</v>
      </c>
      <c r="I1273" s="457" t="n">
        <v>22.5</v>
      </c>
      <c r="J1273" s="313" t="s">
        <v>1651</v>
      </c>
      <c r="K1273" s="98" t="n">
        <f aca="false">I1273*H1273</f>
        <v>2025</v>
      </c>
      <c r="L1273" s="411" t="n">
        <v>2700</v>
      </c>
      <c r="M1273" s="392" t="n">
        <f aca="false">L1273/K1273</f>
        <v>1.33333333333333</v>
      </c>
      <c r="N1273" s="466" t="n">
        <f aca="false">I1273*M1273</f>
        <v>30</v>
      </c>
      <c r="O1273" s="461" t="n">
        <v>90</v>
      </c>
      <c r="P1273" s="462" t="n">
        <f aca="false">H1273-O1273</f>
        <v>0</v>
      </c>
      <c r="Q1273" s="463" t="n">
        <f aca="false">O1273*I1273</f>
        <v>2025</v>
      </c>
      <c r="R1273" s="48" t="n">
        <f aca="false">K1273-Q1273</f>
        <v>0</v>
      </c>
      <c r="S1273" s="467"/>
      <c r="T1273" s="2" t="s">
        <v>1711</v>
      </c>
      <c r="V1273" s="464"/>
      <c r="W1273" s="464"/>
      <c r="X1273" s="464"/>
      <c r="Y1273" s="464"/>
      <c r="Z1273" s="464"/>
      <c r="AA1273" s="464"/>
      <c r="AB1273" s="464"/>
      <c r="AC1273" s="464"/>
      <c r="AD1273" s="464"/>
      <c r="AE1273" s="464"/>
      <c r="AF1273" s="464"/>
      <c r="AG1273" s="464"/>
      <c r="AH1273" s="465"/>
      <c r="AI1273" s="464"/>
    </row>
    <row r="1274" customFormat="false" ht="15" hidden="false" customHeight="true" outlineLevel="0" collapsed="false">
      <c r="A1274" s="455" t="s">
        <v>1921</v>
      </c>
      <c r="C1274" s="456" t="n">
        <v>45617</v>
      </c>
      <c r="D1274" s="456"/>
      <c r="E1274" s="57" t="n">
        <v>14229</v>
      </c>
      <c r="F1274" s="323" t="s">
        <v>175</v>
      </c>
      <c r="G1274" s="323" t="s">
        <v>75</v>
      </c>
      <c r="H1274" s="98" t="n">
        <v>105</v>
      </c>
      <c r="I1274" s="457" t="n">
        <v>1</v>
      </c>
      <c r="J1274" s="313" t="s">
        <v>1653</v>
      </c>
      <c r="K1274" s="98" t="n">
        <f aca="false">I1274*H1274</f>
        <v>105</v>
      </c>
      <c r="L1274" s="411" t="n">
        <v>355.39</v>
      </c>
      <c r="M1274" s="392" t="n">
        <f aca="false">L1274/K1274</f>
        <v>3.38466666666667</v>
      </c>
      <c r="N1274" s="466" t="n">
        <f aca="false">I1274*M1274</f>
        <v>3.38466666666667</v>
      </c>
      <c r="O1274" s="461" t="n">
        <v>105</v>
      </c>
      <c r="P1274" s="462" t="n">
        <f aca="false">H1274-O1274</f>
        <v>0</v>
      </c>
      <c r="Q1274" s="463" t="n">
        <f aca="false">O1274*I1274</f>
        <v>105</v>
      </c>
      <c r="R1274" s="48" t="n">
        <f aca="false">K1274-Q1274</f>
        <v>0</v>
      </c>
      <c r="S1274" s="467"/>
      <c r="T1274" s="2" t="s">
        <v>1711</v>
      </c>
      <c r="V1274" s="464"/>
      <c r="W1274" s="464"/>
      <c r="X1274" s="464"/>
      <c r="Y1274" s="464"/>
      <c r="Z1274" s="464"/>
      <c r="AA1274" s="464"/>
      <c r="AB1274" s="464"/>
      <c r="AC1274" s="464"/>
      <c r="AD1274" s="464"/>
      <c r="AE1274" s="464"/>
      <c r="AF1274" s="464"/>
      <c r="AG1274" s="464"/>
      <c r="AH1274" s="465"/>
      <c r="AI1274" s="464"/>
    </row>
    <row r="1275" customFormat="false" ht="15" hidden="false" customHeight="true" outlineLevel="0" collapsed="false">
      <c r="A1275" s="455" t="s">
        <v>1921</v>
      </c>
      <c r="C1275" s="456" t="n">
        <v>45617</v>
      </c>
      <c r="D1275" s="456"/>
      <c r="E1275" s="57" t="n">
        <v>14229</v>
      </c>
      <c r="F1275" s="323" t="s">
        <v>175</v>
      </c>
      <c r="G1275" s="323" t="s">
        <v>13</v>
      </c>
      <c r="H1275" s="98" t="n">
        <v>900</v>
      </c>
      <c r="I1275" s="457" t="n">
        <v>37.5</v>
      </c>
      <c r="J1275" s="313" t="s">
        <v>1652</v>
      </c>
      <c r="K1275" s="98" t="n">
        <f aca="false">I1275*H1275</f>
        <v>33750</v>
      </c>
      <c r="L1275" s="411" t="n">
        <v>30465</v>
      </c>
      <c r="M1275" s="392" t="n">
        <f aca="false">L1275/K1275</f>
        <v>0.902666666666667</v>
      </c>
      <c r="N1275" s="466" t="n">
        <f aca="false">I1275*M1275</f>
        <v>33.85</v>
      </c>
      <c r="O1275" s="461" t="n">
        <v>900</v>
      </c>
      <c r="P1275" s="462" t="n">
        <f aca="false">H1275-O1275</f>
        <v>0</v>
      </c>
      <c r="Q1275" s="463" t="n">
        <f aca="false">O1275*I1275</f>
        <v>33750</v>
      </c>
      <c r="R1275" s="48" t="n">
        <f aca="false">K1275-Q1275</f>
        <v>0</v>
      </c>
      <c r="S1275" s="467"/>
      <c r="T1275" s="2" t="s">
        <v>1711</v>
      </c>
      <c r="V1275" s="464"/>
      <c r="W1275" s="464"/>
      <c r="X1275" s="464"/>
      <c r="Y1275" s="464"/>
      <c r="Z1275" s="464"/>
      <c r="AA1275" s="464"/>
      <c r="AB1275" s="464"/>
      <c r="AC1275" s="464"/>
      <c r="AD1275" s="464"/>
      <c r="AE1275" s="464"/>
      <c r="AF1275" s="464"/>
      <c r="AG1275" s="464"/>
      <c r="AH1275" s="465"/>
      <c r="AI1275" s="464"/>
    </row>
    <row r="1276" customFormat="false" ht="15" hidden="false" customHeight="true" outlineLevel="0" collapsed="false">
      <c r="A1276" s="455" t="s">
        <v>1838</v>
      </c>
      <c r="C1276" s="456" t="n">
        <v>45617</v>
      </c>
      <c r="D1276" s="456"/>
      <c r="E1276" s="57" t="n">
        <v>14232</v>
      </c>
      <c r="F1276" s="323" t="s">
        <v>175</v>
      </c>
      <c r="G1276" s="323" t="s">
        <v>10</v>
      </c>
      <c r="H1276" s="98" t="n">
        <v>1020</v>
      </c>
      <c r="I1276" s="457" t="n">
        <v>90</v>
      </c>
      <c r="J1276" s="313" t="s">
        <v>1653</v>
      </c>
      <c r="K1276" s="98" t="n">
        <f aca="false">I1276*H1276</f>
        <v>91800</v>
      </c>
      <c r="L1276" s="411" t="n">
        <v>13056</v>
      </c>
      <c r="M1276" s="392" t="n">
        <f aca="false">L1276/K1276</f>
        <v>0.142222222222222</v>
      </c>
      <c r="N1276" s="466" t="n">
        <f aca="false">I1276*M1276</f>
        <v>12.8</v>
      </c>
      <c r="O1276" s="461" t="n">
        <v>1020</v>
      </c>
      <c r="P1276" s="462" t="n">
        <f aca="false">H1276-O1276</f>
        <v>0</v>
      </c>
      <c r="Q1276" s="463" t="n">
        <f aca="false">O1276*I1276</f>
        <v>91800</v>
      </c>
      <c r="R1276" s="48" t="n">
        <f aca="false">K1276-Q1276</f>
        <v>0</v>
      </c>
      <c r="S1276" s="467"/>
      <c r="T1276" s="2" t="s">
        <v>1711</v>
      </c>
      <c r="V1276" s="464"/>
      <c r="W1276" s="464"/>
      <c r="X1276" s="464"/>
      <c r="Y1276" s="464"/>
      <c r="Z1276" s="464"/>
      <c r="AA1276" s="464"/>
      <c r="AB1276" s="464"/>
      <c r="AC1276" s="464"/>
      <c r="AD1276" s="464"/>
      <c r="AE1276" s="464"/>
      <c r="AF1276" s="464"/>
      <c r="AG1276" s="464"/>
      <c r="AH1276" s="465"/>
      <c r="AI1276" s="464"/>
    </row>
    <row r="1277" customFormat="false" ht="15" hidden="false" customHeight="true" outlineLevel="0" collapsed="false">
      <c r="A1277" s="455" t="s">
        <v>1753</v>
      </c>
      <c r="C1277" s="456" t="n">
        <v>45617</v>
      </c>
      <c r="D1277" s="456"/>
      <c r="E1277" s="57" t="n">
        <v>14233</v>
      </c>
      <c r="F1277" s="323" t="s">
        <v>175</v>
      </c>
      <c r="G1277" s="323" t="s">
        <v>75</v>
      </c>
      <c r="H1277" s="98" t="n">
        <v>2625</v>
      </c>
      <c r="I1277" s="457" t="n">
        <v>1</v>
      </c>
      <c r="J1277" s="313" t="s">
        <v>1653</v>
      </c>
      <c r="K1277" s="98" t="n">
        <f aca="false">I1277*H1277</f>
        <v>2625</v>
      </c>
      <c r="L1277" s="411" t="n">
        <v>63892.5</v>
      </c>
      <c r="M1277" s="392" t="n">
        <f aca="false">L1277/K1277</f>
        <v>24.34</v>
      </c>
      <c r="N1277" s="466" t="n">
        <f aca="false">I1277*M1277</f>
        <v>24.34</v>
      </c>
      <c r="O1277" s="461" t="n">
        <v>2625</v>
      </c>
      <c r="P1277" s="462" t="n">
        <f aca="false">H1277-O1277</f>
        <v>0</v>
      </c>
      <c r="Q1277" s="463" t="n">
        <f aca="false">O1277*I1277</f>
        <v>2625</v>
      </c>
      <c r="R1277" s="48" t="n">
        <f aca="false">K1277-Q1277</f>
        <v>0</v>
      </c>
      <c r="S1277" s="467"/>
      <c r="T1277" s="2" t="s">
        <v>1711</v>
      </c>
      <c r="V1277" s="464"/>
      <c r="W1277" s="464"/>
      <c r="X1277" s="464"/>
      <c r="Y1277" s="464"/>
      <c r="Z1277" s="464"/>
      <c r="AA1277" s="464"/>
      <c r="AB1277" s="464"/>
      <c r="AC1277" s="464"/>
      <c r="AD1277" s="464"/>
      <c r="AE1277" s="464"/>
      <c r="AF1277" s="464"/>
      <c r="AG1277" s="464"/>
      <c r="AH1277" s="465"/>
      <c r="AI1277" s="464"/>
    </row>
    <row r="1278" customFormat="false" ht="15" hidden="false" customHeight="true" outlineLevel="0" collapsed="false">
      <c r="A1278" s="455" t="s">
        <v>1753</v>
      </c>
      <c r="C1278" s="456" t="n">
        <v>45617</v>
      </c>
      <c r="D1278" s="456"/>
      <c r="E1278" s="57" t="n">
        <v>14234</v>
      </c>
      <c r="F1278" s="323" t="s">
        <v>175</v>
      </c>
      <c r="G1278" s="323" t="s">
        <v>75</v>
      </c>
      <c r="H1278" s="98" t="n">
        <v>6000</v>
      </c>
      <c r="I1278" s="457" t="n">
        <v>1</v>
      </c>
      <c r="J1278" s="313" t="s">
        <v>1653</v>
      </c>
      <c r="K1278" s="98" t="n">
        <f aca="false">I1278*H1278</f>
        <v>6000</v>
      </c>
      <c r="L1278" s="411" t="n">
        <v>146040</v>
      </c>
      <c r="M1278" s="392" t="n">
        <f aca="false">L1278/K1278</f>
        <v>24.34</v>
      </c>
      <c r="N1278" s="466" t="n">
        <f aca="false">I1278*M1278</f>
        <v>24.34</v>
      </c>
      <c r="O1278" s="461" t="n">
        <v>6000</v>
      </c>
      <c r="P1278" s="462" t="n">
        <f aca="false">H1278-O1278</f>
        <v>0</v>
      </c>
      <c r="Q1278" s="463" t="n">
        <f aca="false">O1278*I1278</f>
        <v>6000</v>
      </c>
      <c r="R1278" s="48" t="n">
        <f aca="false">K1278-Q1278</f>
        <v>0</v>
      </c>
      <c r="S1278" s="467"/>
      <c r="T1278" s="2" t="s">
        <v>1711</v>
      </c>
      <c r="V1278" s="464"/>
      <c r="W1278" s="464"/>
      <c r="X1278" s="464"/>
      <c r="Y1278" s="464"/>
      <c r="Z1278" s="464"/>
      <c r="AA1278" s="464"/>
      <c r="AB1278" s="464"/>
      <c r="AC1278" s="464"/>
      <c r="AD1278" s="464"/>
      <c r="AE1278" s="464"/>
      <c r="AF1278" s="464"/>
      <c r="AG1278" s="464"/>
      <c r="AH1278" s="465"/>
      <c r="AI1278" s="464"/>
    </row>
    <row r="1279" customFormat="false" ht="15" hidden="false" customHeight="true" outlineLevel="0" collapsed="false">
      <c r="A1279" s="455" t="s">
        <v>1748</v>
      </c>
      <c r="C1279" s="456" t="n">
        <v>45617</v>
      </c>
      <c r="D1279" s="456"/>
      <c r="E1279" s="57" t="n">
        <v>14236</v>
      </c>
      <c r="F1279" s="323" t="s">
        <v>175</v>
      </c>
      <c r="G1279" s="323" t="s">
        <v>5</v>
      </c>
      <c r="H1279" s="98" t="n">
        <v>510</v>
      </c>
      <c r="I1279" s="457" t="n">
        <v>25.71</v>
      </c>
      <c r="J1279" s="313" t="s">
        <v>1651</v>
      </c>
      <c r="K1279" s="98" t="n">
        <f aca="false">I1279*H1279</f>
        <v>13112.1</v>
      </c>
      <c r="L1279" s="411" t="n">
        <v>7089</v>
      </c>
      <c r="M1279" s="392" t="n">
        <f aca="false">L1279/K1279</f>
        <v>0.540645663166083</v>
      </c>
      <c r="N1279" s="466" t="n">
        <f aca="false">I1279*M1279</f>
        <v>13.9</v>
      </c>
      <c r="O1279" s="461" t="n">
        <v>510</v>
      </c>
      <c r="P1279" s="462" t="n">
        <f aca="false">H1279-O1279</f>
        <v>0</v>
      </c>
      <c r="Q1279" s="463" t="n">
        <f aca="false">O1279*I1279</f>
        <v>13112.1</v>
      </c>
      <c r="R1279" s="48" t="n">
        <f aca="false">K1279-Q1279</f>
        <v>0</v>
      </c>
      <c r="S1279" s="467"/>
      <c r="T1279" s="2" t="s">
        <v>1711</v>
      </c>
      <c r="V1279" s="464"/>
      <c r="W1279" s="464"/>
      <c r="X1279" s="464"/>
      <c r="Y1279" s="464"/>
      <c r="Z1279" s="464"/>
      <c r="AA1279" s="464"/>
      <c r="AB1279" s="464"/>
      <c r="AC1279" s="464"/>
      <c r="AD1279" s="464"/>
      <c r="AE1279" s="464"/>
      <c r="AF1279" s="464"/>
      <c r="AG1279" s="464"/>
      <c r="AH1279" s="465"/>
      <c r="AI1279" s="464"/>
    </row>
    <row r="1280" customFormat="false" ht="15" hidden="false" customHeight="true" outlineLevel="0" collapsed="false">
      <c r="A1280" s="455" t="s">
        <v>1800</v>
      </c>
      <c r="C1280" s="456" t="n">
        <v>45618</v>
      </c>
      <c r="D1280" s="456"/>
      <c r="E1280" s="57" t="n">
        <v>14237</v>
      </c>
      <c r="F1280" s="323" t="s">
        <v>175</v>
      </c>
      <c r="G1280" s="323" t="s">
        <v>17</v>
      </c>
      <c r="H1280" s="98" t="n">
        <v>75</v>
      </c>
      <c r="I1280" s="457" t="n">
        <v>22.5</v>
      </c>
      <c r="J1280" s="313" t="s">
        <v>1651</v>
      </c>
      <c r="K1280" s="98" t="n">
        <f aca="false">I1280*H1280</f>
        <v>1687.5</v>
      </c>
      <c r="L1280" s="411" t="n">
        <v>1200</v>
      </c>
      <c r="M1280" s="392" t="n">
        <f aca="false">L1280/K1280</f>
        <v>0.711111111111111</v>
      </c>
      <c r="N1280" s="466" t="n">
        <f aca="false">I1280*M1280</f>
        <v>16</v>
      </c>
      <c r="O1280" s="461" t="n">
        <v>75</v>
      </c>
      <c r="P1280" s="462" t="n">
        <f aca="false">H1280-O1280</f>
        <v>0</v>
      </c>
      <c r="Q1280" s="463" t="n">
        <f aca="false">O1280*I1280</f>
        <v>1687.5</v>
      </c>
      <c r="R1280" s="48" t="n">
        <f aca="false">K1280-Q1280</f>
        <v>0</v>
      </c>
      <c r="S1280" s="467"/>
      <c r="T1280" s="2" t="s">
        <v>1711</v>
      </c>
      <c r="V1280" s="464"/>
      <c r="W1280" s="464"/>
      <c r="X1280" s="464"/>
      <c r="Y1280" s="464"/>
      <c r="Z1280" s="464"/>
      <c r="AA1280" s="464"/>
      <c r="AB1280" s="464"/>
      <c r="AC1280" s="464"/>
      <c r="AD1280" s="464"/>
      <c r="AE1280" s="464"/>
      <c r="AF1280" s="464"/>
      <c r="AG1280" s="464"/>
      <c r="AH1280" s="465"/>
      <c r="AI1280" s="464"/>
    </row>
    <row r="1281" customFormat="false" ht="15" hidden="false" customHeight="true" outlineLevel="0" collapsed="false">
      <c r="A1281" s="455" t="s">
        <v>1971</v>
      </c>
      <c r="C1281" s="456" t="n">
        <v>45618</v>
      </c>
      <c r="D1281" s="456"/>
      <c r="E1281" s="57" t="n">
        <v>14239</v>
      </c>
      <c r="F1281" s="323" t="s">
        <v>175</v>
      </c>
      <c r="G1281" s="323" t="s">
        <v>42</v>
      </c>
      <c r="H1281" s="98" t="n">
        <v>1950</v>
      </c>
      <c r="I1281" s="457" t="n">
        <v>30</v>
      </c>
      <c r="J1281" s="313" t="s">
        <v>1651</v>
      </c>
      <c r="K1281" s="98" t="n">
        <f aca="false">I1281*H1281</f>
        <v>58500</v>
      </c>
      <c r="L1281" s="411" t="n">
        <v>25993.5</v>
      </c>
      <c r="M1281" s="392" t="n">
        <f aca="false">L1281/K1281</f>
        <v>0.444333333333333</v>
      </c>
      <c r="N1281" s="466" t="n">
        <f aca="false">I1281*M1281</f>
        <v>13.33</v>
      </c>
      <c r="O1281" s="461" t="n">
        <v>1950</v>
      </c>
      <c r="P1281" s="462" t="n">
        <f aca="false">H1281-O1281</f>
        <v>0</v>
      </c>
      <c r="Q1281" s="463" t="n">
        <f aca="false">O1281*I1281</f>
        <v>58500</v>
      </c>
      <c r="R1281" s="48" t="n">
        <f aca="false">K1281-Q1281</f>
        <v>0</v>
      </c>
      <c r="S1281" s="467"/>
      <c r="T1281" s="2" t="s">
        <v>1711</v>
      </c>
      <c r="V1281" s="464"/>
      <c r="W1281" s="464"/>
      <c r="X1281" s="464"/>
      <c r="Y1281" s="464"/>
      <c r="Z1281" s="464"/>
      <c r="AA1281" s="464"/>
      <c r="AB1281" s="464"/>
      <c r="AC1281" s="464"/>
      <c r="AD1281" s="464"/>
      <c r="AE1281" s="464"/>
      <c r="AF1281" s="464"/>
      <c r="AG1281" s="464"/>
      <c r="AH1281" s="465"/>
      <c r="AI1281" s="464"/>
    </row>
    <row r="1282" customFormat="false" ht="15" hidden="false" customHeight="true" outlineLevel="0" collapsed="false">
      <c r="A1282" s="455" t="s">
        <v>1971</v>
      </c>
      <c r="C1282" s="456" t="n">
        <v>45618</v>
      </c>
      <c r="D1282" s="456"/>
      <c r="E1282" s="57" t="n">
        <v>14239</v>
      </c>
      <c r="F1282" s="323" t="s">
        <v>175</v>
      </c>
      <c r="G1282" s="323" t="s">
        <v>13</v>
      </c>
      <c r="H1282" s="98" t="n">
        <v>3885</v>
      </c>
      <c r="I1282" s="457" t="n">
        <v>22.5</v>
      </c>
      <c r="J1282" s="313" t="s">
        <v>1651</v>
      </c>
      <c r="K1282" s="98" t="n">
        <f aca="false">I1282*H1282</f>
        <v>87412.5</v>
      </c>
      <c r="L1282" s="411" t="n">
        <v>44017.05</v>
      </c>
      <c r="M1282" s="392" t="n">
        <f aca="false">L1282/K1282</f>
        <v>0.503555555555556</v>
      </c>
      <c r="N1282" s="466" t="n">
        <f aca="false">I1282*M1282</f>
        <v>11.33</v>
      </c>
      <c r="O1282" s="461" t="n">
        <v>3885</v>
      </c>
      <c r="P1282" s="462" t="n">
        <f aca="false">H1282-O1282</f>
        <v>0</v>
      </c>
      <c r="Q1282" s="463" t="n">
        <f aca="false">O1282*I1282</f>
        <v>87412.5</v>
      </c>
      <c r="R1282" s="48" t="n">
        <f aca="false">K1282-Q1282</f>
        <v>0</v>
      </c>
      <c r="S1282" s="467"/>
      <c r="T1282" s="2" t="s">
        <v>1711</v>
      </c>
      <c r="V1282" s="464"/>
      <c r="W1282" s="464"/>
      <c r="X1282" s="464"/>
      <c r="Y1282" s="464"/>
      <c r="Z1282" s="464"/>
      <c r="AA1282" s="464"/>
      <c r="AB1282" s="464"/>
      <c r="AC1282" s="464"/>
      <c r="AD1282" s="464"/>
      <c r="AE1282" s="464"/>
      <c r="AF1282" s="464"/>
      <c r="AG1282" s="464"/>
      <c r="AH1282" s="465"/>
      <c r="AI1282" s="464"/>
    </row>
    <row r="1283" customFormat="false" ht="15" hidden="false" customHeight="true" outlineLevel="0" collapsed="false">
      <c r="A1283" s="455" t="s">
        <v>1972</v>
      </c>
      <c r="C1283" s="456" t="n">
        <v>45618</v>
      </c>
      <c r="D1283" s="456"/>
      <c r="E1283" s="57" t="n">
        <v>14240</v>
      </c>
      <c r="F1283" s="323" t="s">
        <v>175</v>
      </c>
      <c r="G1283" s="323" t="s">
        <v>10</v>
      </c>
      <c r="H1283" s="98" t="n">
        <v>510</v>
      </c>
      <c r="I1283" s="457" t="n">
        <v>38.3</v>
      </c>
      <c r="J1283" s="313" t="s">
        <v>1652</v>
      </c>
      <c r="K1283" s="98" t="n">
        <f aca="false">I1283*H1283</f>
        <v>19533</v>
      </c>
      <c r="L1283" s="411" t="n">
        <v>7038</v>
      </c>
      <c r="M1283" s="392" t="n">
        <f aca="false">L1283/K1283</f>
        <v>0.360313315926893</v>
      </c>
      <c r="N1283" s="466" t="n">
        <f aca="false">I1283*M1283</f>
        <v>13.8</v>
      </c>
      <c r="O1283" s="461" t="n">
        <v>510</v>
      </c>
      <c r="P1283" s="462" t="n">
        <f aca="false">H1283-O1283</f>
        <v>0</v>
      </c>
      <c r="Q1283" s="463" t="n">
        <f aca="false">O1283*I1283</f>
        <v>19533</v>
      </c>
      <c r="R1283" s="48" t="n">
        <f aca="false">K1283-Q1283</f>
        <v>0</v>
      </c>
      <c r="S1283" s="467"/>
      <c r="T1283" s="2" t="s">
        <v>1711</v>
      </c>
      <c r="V1283" s="464"/>
      <c r="W1283" s="464"/>
      <c r="X1283" s="464"/>
      <c r="Y1283" s="464"/>
      <c r="Z1283" s="464"/>
      <c r="AA1283" s="464"/>
      <c r="AB1283" s="464"/>
      <c r="AC1283" s="464"/>
      <c r="AD1283" s="464"/>
      <c r="AE1283" s="464"/>
      <c r="AF1283" s="464"/>
      <c r="AG1283" s="464"/>
      <c r="AH1283" s="465"/>
      <c r="AI1283" s="464"/>
    </row>
    <row r="1284" customFormat="false" ht="15" hidden="false" customHeight="true" outlineLevel="0" collapsed="false">
      <c r="A1284" s="455" t="s">
        <v>1973</v>
      </c>
      <c r="C1284" s="456" t="n">
        <v>45618</v>
      </c>
      <c r="D1284" s="456"/>
      <c r="E1284" s="57" t="n">
        <v>14241</v>
      </c>
      <c r="F1284" s="323" t="s">
        <v>175</v>
      </c>
      <c r="G1284" s="323" t="s">
        <v>12</v>
      </c>
      <c r="H1284" s="98" t="n">
        <v>405</v>
      </c>
      <c r="I1284" s="457" t="n">
        <v>18</v>
      </c>
      <c r="J1284" s="313" t="s">
        <v>1651</v>
      </c>
      <c r="K1284" s="98" t="n">
        <f aca="false">I1284*H1284</f>
        <v>7290</v>
      </c>
      <c r="L1284" s="411" t="n">
        <v>22153.5</v>
      </c>
      <c r="M1284" s="392" t="n">
        <f aca="false">L1284/K1284</f>
        <v>3.03888888888889</v>
      </c>
      <c r="N1284" s="466" t="n">
        <f aca="false">I1284*M1284</f>
        <v>54.7</v>
      </c>
      <c r="O1284" s="461" t="n">
        <v>405</v>
      </c>
      <c r="P1284" s="462" t="n">
        <f aca="false">H1284-O1284</f>
        <v>0</v>
      </c>
      <c r="Q1284" s="463" t="n">
        <f aca="false">O1284*I1284</f>
        <v>7290</v>
      </c>
      <c r="R1284" s="48" t="n">
        <f aca="false">K1284-Q1284</f>
        <v>0</v>
      </c>
      <c r="S1284" s="467"/>
      <c r="T1284" s="2" t="s">
        <v>1711</v>
      </c>
      <c r="V1284" s="464"/>
      <c r="W1284" s="464"/>
      <c r="X1284" s="464"/>
      <c r="Y1284" s="464"/>
      <c r="Z1284" s="464"/>
      <c r="AA1284" s="464"/>
      <c r="AB1284" s="464"/>
      <c r="AC1284" s="464"/>
      <c r="AD1284" s="464"/>
      <c r="AE1284" s="464"/>
      <c r="AF1284" s="464"/>
      <c r="AG1284" s="464"/>
      <c r="AH1284" s="465"/>
      <c r="AI1284" s="464"/>
    </row>
    <row r="1285" customFormat="false" ht="15" hidden="false" customHeight="true" outlineLevel="0" collapsed="false">
      <c r="A1285" s="455" t="s">
        <v>1800</v>
      </c>
      <c r="C1285" s="456" t="n">
        <v>45618</v>
      </c>
      <c r="D1285" s="456"/>
      <c r="E1285" s="57" t="n">
        <v>14242</v>
      </c>
      <c r="F1285" s="323" t="s">
        <v>175</v>
      </c>
      <c r="G1285" s="323" t="s">
        <v>17</v>
      </c>
      <c r="H1285" s="98" t="n">
        <v>255</v>
      </c>
      <c r="I1285" s="457" t="n">
        <v>37.5</v>
      </c>
      <c r="J1285" s="313" t="s">
        <v>1652</v>
      </c>
      <c r="K1285" s="98" t="n">
        <f aca="false">I1285*H1285</f>
        <v>9562.5</v>
      </c>
      <c r="L1285" s="411" t="n">
        <v>6071.55</v>
      </c>
      <c r="M1285" s="392" t="n">
        <f aca="false">L1285/K1285</f>
        <v>0.634933333333333</v>
      </c>
      <c r="N1285" s="466" t="n">
        <f aca="false">I1285*M1285</f>
        <v>23.81</v>
      </c>
      <c r="O1285" s="461" t="n">
        <v>255</v>
      </c>
      <c r="P1285" s="462" t="n">
        <f aca="false">H1285-O1285</f>
        <v>0</v>
      </c>
      <c r="Q1285" s="463" t="n">
        <f aca="false">O1285*I1285</f>
        <v>9562.5</v>
      </c>
      <c r="R1285" s="48" t="n">
        <f aca="false">K1285-Q1285</f>
        <v>0</v>
      </c>
      <c r="S1285" s="467"/>
      <c r="T1285" s="2" t="s">
        <v>1711</v>
      </c>
      <c r="V1285" s="464"/>
      <c r="W1285" s="464"/>
      <c r="X1285" s="464"/>
      <c r="Y1285" s="464"/>
      <c r="Z1285" s="464"/>
      <c r="AA1285" s="464"/>
      <c r="AB1285" s="464"/>
      <c r="AC1285" s="464"/>
      <c r="AD1285" s="464"/>
      <c r="AE1285" s="464"/>
      <c r="AF1285" s="464"/>
      <c r="AG1285" s="464"/>
      <c r="AH1285" s="465"/>
      <c r="AI1285" s="464"/>
    </row>
    <row r="1286" customFormat="false" ht="15" hidden="false" customHeight="true" outlineLevel="0" collapsed="false">
      <c r="A1286" s="455" t="s">
        <v>1939</v>
      </c>
      <c r="C1286" s="456" t="n">
        <v>45618</v>
      </c>
      <c r="D1286" s="456"/>
      <c r="E1286" s="57" t="n">
        <v>14243</v>
      </c>
      <c r="F1286" s="323" t="s">
        <v>175</v>
      </c>
      <c r="G1286" s="323" t="s">
        <v>12</v>
      </c>
      <c r="H1286" s="98" t="n">
        <v>405</v>
      </c>
      <c r="I1286" s="457" t="n">
        <v>18</v>
      </c>
      <c r="J1286" s="313" t="s">
        <v>1651</v>
      </c>
      <c r="K1286" s="98" t="n">
        <f aca="false">I1286*H1286</f>
        <v>7290</v>
      </c>
      <c r="L1286" s="411" t="n">
        <v>22153.5</v>
      </c>
      <c r="M1286" s="392" t="n">
        <f aca="false">L1286/K1286</f>
        <v>3.03888888888889</v>
      </c>
      <c r="N1286" s="466" t="n">
        <f aca="false">I1286*M1286</f>
        <v>54.7</v>
      </c>
      <c r="O1286" s="461" t="n">
        <v>405</v>
      </c>
      <c r="P1286" s="462" t="n">
        <f aca="false">H1286-O1286</f>
        <v>0</v>
      </c>
      <c r="Q1286" s="463" t="n">
        <f aca="false">O1286*I1286</f>
        <v>7290</v>
      </c>
      <c r="R1286" s="48" t="n">
        <f aca="false">K1286-Q1286</f>
        <v>0</v>
      </c>
      <c r="S1286" s="467"/>
      <c r="T1286" s="2" t="s">
        <v>1711</v>
      </c>
      <c r="V1286" s="464"/>
      <c r="W1286" s="464"/>
      <c r="X1286" s="464"/>
      <c r="Y1286" s="464"/>
      <c r="Z1286" s="464"/>
      <c r="AA1286" s="464"/>
      <c r="AB1286" s="464"/>
      <c r="AC1286" s="464"/>
      <c r="AD1286" s="464"/>
      <c r="AE1286" s="464"/>
      <c r="AF1286" s="464"/>
      <c r="AG1286" s="464"/>
      <c r="AH1286" s="465"/>
      <c r="AI1286" s="464"/>
    </row>
    <row r="1287" customFormat="false" ht="15" hidden="false" customHeight="true" outlineLevel="0" collapsed="false">
      <c r="A1287" s="455" t="s">
        <v>1935</v>
      </c>
      <c r="C1287" s="456" t="n">
        <v>45618</v>
      </c>
      <c r="D1287" s="456"/>
      <c r="E1287" s="57" t="n">
        <v>14244</v>
      </c>
      <c r="F1287" s="323" t="s">
        <v>175</v>
      </c>
      <c r="G1287" s="323" t="s">
        <v>13</v>
      </c>
      <c r="H1287" s="98" t="n">
        <v>555</v>
      </c>
      <c r="I1287" s="457" t="n">
        <v>37.5</v>
      </c>
      <c r="J1287" s="313" t="s">
        <v>1652</v>
      </c>
      <c r="K1287" s="98" t="n">
        <f aca="false">I1287*H1287</f>
        <v>20812.5</v>
      </c>
      <c r="L1287" s="411" t="n">
        <v>14607.6</v>
      </c>
      <c r="M1287" s="392" t="n">
        <f aca="false">L1287/K1287</f>
        <v>0.701866666666667</v>
      </c>
      <c r="N1287" s="466" t="n">
        <f aca="false">I1287*M1287</f>
        <v>26.32</v>
      </c>
      <c r="O1287" s="461" t="n">
        <v>555</v>
      </c>
      <c r="P1287" s="462" t="n">
        <f aca="false">H1287-O1287</f>
        <v>0</v>
      </c>
      <c r="Q1287" s="463" t="n">
        <f aca="false">O1287*I1287</f>
        <v>20812.5</v>
      </c>
      <c r="R1287" s="48" t="n">
        <f aca="false">K1287-Q1287</f>
        <v>0</v>
      </c>
      <c r="S1287" s="467"/>
      <c r="T1287" s="2" t="s">
        <v>1711</v>
      </c>
      <c r="V1287" s="464"/>
      <c r="W1287" s="464"/>
      <c r="X1287" s="464"/>
      <c r="Y1287" s="464"/>
      <c r="Z1287" s="464"/>
      <c r="AA1287" s="464"/>
      <c r="AB1287" s="464"/>
      <c r="AC1287" s="464"/>
      <c r="AD1287" s="464"/>
      <c r="AE1287" s="464"/>
      <c r="AF1287" s="464"/>
      <c r="AG1287" s="464"/>
      <c r="AH1287" s="465"/>
      <c r="AI1287" s="464"/>
    </row>
    <row r="1288" customFormat="false" ht="15" hidden="false" customHeight="true" outlineLevel="0" collapsed="false">
      <c r="A1288" s="455" t="s">
        <v>1935</v>
      </c>
      <c r="C1288" s="456" t="n">
        <v>45618</v>
      </c>
      <c r="D1288" s="456"/>
      <c r="E1288" s="323" t="n">
        <v>14244</v>
      </c>
      <c r="F1288" s="323" t="s">
        <v>175</v>
      </c>
      <c r="G1288" s="323" t="s">
        <v>20</v>
      </c>
      <c r="H1288" s="98" t="n">
        <v>600</v>
      </c>
      <c r="I1288" s="457" t="n">
        <v>38.29</v>
      </c>
      <c r="J1288" s="313" t="s">
        <v>1652</v>
      </c>
      <c r="K1288" s="98" t="n">
        <f aca="false">I1288*H1288</f>
        <v>22974</v>
      </c>
      <c r="L1288" s="411" t="n">
        <v>14890</v>
      </c>
      <c r="M1288" s="392" t="n">
        <f aca="false">L1288/K1288</f>
        <v>0.648123966222687</v>
      </c>
      <c r="N1288" s="466" t="n">
        <f aca="false">I1288*M1288</f>
        <v>24.8166666666667</v>
      </c>
      <c r="O1288" s="461" t="n">
        <v>600</v>
      </c>
      <c r="P1288" s="462" t="n">
        <f aca="false">H1288-O1288</f>
        <v>0</v>
      </c>
      <c r="Q1288" s="463" t="n">
        <f aca="false">O1288*I1288</f>
        <v>22974</v>
      </c>
      <c r="R1288" s="48" t="n">
        <f aca="false">K1288-Q1288</f>
        <v>0</v>
      </c>
      <c r="S1288" s="467"/>
      <c r="T1288" s="2" t="s">
        <v>1711</v>
      </c>
      <c r="V1288" s="464"/>
      <c r="W1288" s="464"/>
      <c r="X1288" s="464"/>
      <c r="Y1288" s="464"/>
      <c r="Z1288" s="464"/>
      <c r="AA1288" s="464"/>
      <c r="AB1288" s="464"/>
      <c r="AC1288" s="464"/>
      <c r="AD1288" s="464"/>
      <c r="AE1288" s="464"/>
      <c r="AF1288" s="464"/>
      <c r="AG1288" s="464"/>
      <c r="AH1288" s="465"/>
      <c r="AI1288" s="464"/>
    </row>
    <row r="1289" customFormat="false" ht="15" hidden="false" customHeight="true" outlineLevel="0" collapsed="false">
      <c r="A1289" s="455" t="s">
        <v>1935</v>
      </c>
      <c r="C1289" s="456" t="n">
        <v>45618</v>
      </c>
      <c r="D1289" s="456"/>
      <c r="E1289" s="323" t="n">
        <v>14244</v>
      </c>
      <c r="F1289" s="323" t="s">
        <v>175</v>
      </c>
      <c r="G1289" s="323" t="s">
        <v>10</v>
      </c>
      <c r="H1289" s="98" t="n">
        <v>1800</v>
      </c>
      <c r="I1289" s="457" t="n">
        <v>38.3</v>
      </c>
      <c r="J1289" s="313" t="s">
        <v>1652</v>
      </c>
      <c r="K1289" s="98" t="n">
        <f aca="false">I1289*H1289</f>
        <v>68940</v>
      </c>
      <c r="L1289" s="411" t="n">
        <v>60924</v>
      </c>
      <c r="M1289" s="392" t="n">
        <f aca="false">L1289/K1289</f>
        <v>0.88372497824195</v>
      </c>
      <c r="N1289" s="466" t="n">
        <f aca="false">I1289*M1289</f>
        <v>33.8466666666667</v>
      </c>
      <c r="O1289" s="461" t="n">
        <v>1800</v>
      </c>
      <c r="P1289" s="462" t="n">
        <f aca="false">H1289-O1289</f>
        <v>0</v>
      </c>
      <c r="Q1289" s="463" t="n">
        <f aca="false">O1289*I1289</f>
        <v>68940</v>
      </c>
      <c r="R1289" s="48" t="n">
        <f aca="false">K1289-Q1289</f>
        <v>0</v>
      </c>
      <c r="S1289" s="467"/>
      <c r="T1289" s="2" t="s">
        <v>1711</v>
      </c>
      <c r="V1289" s="464"/>
      <c r="W1289" s="464"/>
      <c r="X1289" s="464"/>
      <c r="Y1289" s="464"/>
      <c r="Z1289" s="464"/>
      <c r="AA1289" s="464"/>
      <c r="AB1289" s="464"/>
      <c r="AC1289" s="464"/>
      <c r="AD1289" s="464"/>
      <c r="AE1289" s="464"/>
      <c r="AF1289" s="464"/>
      <c r="AG1289" s="464"/>
      <c r="AH1289" s="465"/>
      <c r="AI1289" s="464"/>
    </row>
    <row r="1290" customFormat="false" ht="15" hidden="false" customHeight="true" outlineLevel="0" collapsed="false">
      <c r="A1290" s="455" t="s">
        <v>1921</v>
      </c>
      <c r="C1290" s="456" t="n">
        <v>45618</v>
      </c>
      <c r="D1290" s="456"/>
      <c r="E1290" s="323" t="n">
        <v>14245</v>
      </c>
      <c r="F1290" s="323" t="s">
        <v>175</v>
      </c>
      <c r="G1290" s="323" t="s">
        <v>7</v>
      </c>
      <c r="H1290" s="98" t="n">
        <v>370</v>
      </c>
      <c r="I1290" s="457" t="n">
        <v>90</v>
      </c>
      <c r="J1290" s="313" t="s">
        <v>1653</v>
      </c>
      <c r="K1290" s="98" t="n">
        <f aca="false">I1290*H1290</f>
        <v>33300</v>
      </c>
      <c r="L1290" s="411" t="n">
        <v>5032</v>
      </c>
      <c r="M1290" s="392" t="n">
        <f aca="false">L1290/K1290</f>
        <v>0.151111111111111</v>
      </c>
      <c r="N1290" s="466" t="n">
        <f aca="false">I1290*M1290</f>
        <v>13.6</v>
      </c>
      <c r="O1290" s="461" t="n">
        <v>370</v>
      </c>
      <c r="P1290" s="462" t="n">
        <f aca="false">H1290-O1290</f>
        <v>0</v>
      </c>
      <c r="Q1290" s="463" t="n">
        <f aca="false">O1290*I1290</f>
        <v>33300</v>
      </c>
      <c r="R1290" s="48" t="n">
        <f aca="false">K1290-Q1290</f>
        <v>0</v>
      </c>
      <c r="S1290" s="467"/>
      <c r="T1290" s="2" t="s">
        <v>1711</v>
      </c>
      <c r="V1290" s="464"/>
      <c r="W1290" s="464"/>
      <c r="X1290" s="464"/>
      <c r="Y1290" s="464"/>
      <c r="Z1290" s="464"/>
      <c r="AA1290" s="464"/>
      <c r="AB1290" s="464"/>
      <c r="AC1290" s="464"/>
      <c r="AD1290" s="464"/>
      <c r="AE1290" s="464"/>
      <c r="AF1290" s="464"/>
      <c r="AG1290" s="464"/>
      <c r="AH1290" s="465"/>
      <c r="AI1290" s="464"/>
    </row>
    <row r="1291" customFormat="false" ht="15" hidden="false" customHeight="true" outlineLevel="0" collapsed="false">
      <c r="A1291" s="455" t="s">
        <v>1921</v>
      </c>
      <c r="C1291" s="456" t="n">
        <v>45618</v>
      </c>
      <c r="D1291" s="456"/>
      <c r="E1291" s="57" t="n">
        <v>14245</v>
      </c>
      <c r="F1291" s="323" t="s">
        <v>175</v>
      </c>
      <c r="G1291" s="323" t="s">
        <v>6</v>
      </c>
      <c r="H1291" s="98" t="n">
        <v>1500</v>
      </c>
      <c r="I1291" s="457" t="n">
        <v>90</v>
      </c>
      <c r="J1291" s="313" t="s">
        <v>1653</v>
      </c>
      <c r="K1291" s="98" t="n">
        <f aca="false">I1291*H1291</f>
        <v>135000</v>
      </c>
      <c r="L1291" s="411" t="n">
        <v>20400</v>
      </c>
      <c r="M1291" s="392" t="n">
        <f aca="false">L1291/K1291</f>
        <v>0.151111111111111</v>
      </c>
      <c r="N1291" s="466" t="n">
        <f aca="false">I1291*M1291</f>
        <v>13.6</v>
      </c>
      <c r="O1291" s="461" t="n">
        <v>1500</v>
      </c>
      <c r="P1291" s="462" t="n">
        <f aca="false">H1291-O1291</f>
        <v>0</v>
      </c>
      <c r="Q1291" s="463" t="n">
        <f aca="false">O1291*I1291</f>
        <v>135000</v>
      </c>
      <c r="R1291" s="48" t="n">
        <f aca="false">K1291-Q1291</f>
        <v>0</v>
      </c>
      <c r="S1291" s="467"/>
      <c r="T1291" s="2" t="s">
        <v>1711</v>
      </c>
      <c r="V1291" s="464"/>
      <c r="W1291" s="464"/>
      <c r="X1291" s="464"/>
      <c r="Y1291" s="464"/>
      <c r="Z1291" s="464"/>
      <c r="AA1291" s="464"/>
      <c r="AB1291" s="464"/>
      <c r="AC1291" s="464"/>
      <c r="AD1291" s="464"/>
      <c r="AE1291" s="464"/>
      <c r="AF1291" s="464"/>
      <c r="AG1291" s="464"/>
      <c r="AH1291" s="465"/>
      <c r="AI1291" s="464"/>
    </row>
    <row r="1292" customFormat="false" ht="15" hidden="false" customHeight="true" outlineLevel="0" collapsed="false">
      <c r="A1292" s="455" t="s">
        <v>1974</v>
      </c>
      <c r="C1292" s="456" t="n">
        <v>45618</v>
      </c>
      <c r="D1292" s="456"/>
      <c r="E1292" s="57" t="n">
        <v>14246</v>
      </c>
      <c r="F1292" s="323" t="s">
        <v>175</v>
      </c>
      <c r="G1292" s="323" t="s">
        <v>19</v>
      </c>
      <c r="H1292" s="98" t="n">
        <v>30</v>
      </c>
      <c r="I1292" s="457" t="n">
        <v>22.5</v>
      </c>
      <c r="J1292" s="313" t="s">
        <v>1651</v>
      </c>
      <c r="K1292" s="98" t="n">
        <f aca="false">I1292*H1292</f>
        <v>675</v>
      </c>
      <c r="L1292" s="411" t="n">
        <v>690</v>
      </c>
      <c r="M1292" s="392" t="n">
        <f aca="false">L1292/K1292</f>
        <v>1.02222222222222</v>
      </c>
      <c r="N1292" s="466" t="n">
        <f aca="false">I1292*M1292</f>
        <v>23</v>
      </c>
      <c r="O1292" s="461" t="n">
        <v>30</v>
      </c>
      <c r="P1292" s="462" t="n">
        <f aca="false">H1292-O1292</f>
        <v>0</v>
      </c>
      <c r="Q1292" s="463" t="n">
        <f aca="false">O1292*I1292</f>
        <v>675</v>
      </c>
      <c r="R1292" s="48" t="n">
        <f aca="false">K1292-Q1292</f>
        <v>0</v>
      </c>
      <c r="S1292" s="467"/>
      <c r="T1292" s="2" t="s">
        <v>1711</v>
      </c>
      <c r="V1292" s="464"/>
      <c r="W1292" s="464"/>
      <c r="X1292" s="464"/>
      <c r="Y1292" s="464"/>
      <c r="Z1292" s="464"/>
      <c r="AA1292" s="464"/>
      <c r="AB1292" s="464"/>
      <c r="AC1292" s="464"/>
      <c r="AD1292" s="464"/>
      <c r="AE1292" s="464"/>
      <c r="AF1292" s="464"/>
      <c r="AG1292" s="464"/>
      <c r="AH1292" s="465"/>
      <c r="AI1292" s="464"/>
    </row>
    <row r="1293" customFormat="false" ht="15" hidden="false" customHeight="true" outlineLevel="0" collapsed="false">
      <c r="A1293" s="455" t="s">
        <v>1955</v>
      </c>
      <c r="C1293" s="456" t="n">
        <v>45618</v>
      </c>
      <c r="D1293" s="456"/>
      <c r="E1293" s="57" t="n">
        <v>14247</v>
      </c>
      <c r="F1293" s="57" t="s">
        <v>175</v>
      </c>
      <c r="G1293" s="323" t="s">
        <v>5</v>
      </c>
      <c r="H1293" s="98" t="n">
        <v>750</v>
      </c>
      <c r="I1293" s="457" t="n">
        <v>25.71</v>
      </c>
      <c r="J1293" s="313" t="s">
        <v>1651</v>
      </c>
      <c r="K1293" s="98" t="n">
        <f aca="false">I1293*H1293</f>
        <v>19282.5</v>
      </c>
      <c r="L1293" s="411" t="n">
        <v>8565</v>
      </c>
      <c r="M1293" s="392" t="n">
        <f aca="false">L1293/K1293</f>
        <v>0.444185141968106</v>
      </c>
      <c r="N1293" s="466" t="n">
        <f aca="false">I1293*M1293</f>
        <v>11.42</v>
      </c>
      <c r="O1293" s="461" t="n">
        <v>750</v>
      </c>
      <c r="P1293" s="462" t="n">
        <f aca="false">H1293-O1293</f>
        <v>0</v>
      </c>
      <c r="Q1293" s="463" t="n">
        <f aca="false">O1293*I1293</f>
        <v>19282.5</v>
      </c>
      <c r="R1293" s="48" t="n">
        <f aca="false">K1293-Q1293</f>
        <v>0</v>
      </c>
      <c r="S1293" s="467"/>
      <c r="T1293" s="2" t="s">
        <v>1711</v>
      </c>
      <c r="V1293" s="464"/>
      <c r="W1293" s="464"/>
      <c r="X1293" s="464"/>
      <c r="Y1293" s="464"/>
      <c r="Z1293" s="464"/>
      <c r="AA1293" s="464"/>
      <c r="AB1293" s="464"/>
      <c r="AC1293" s="464"/>
      <c r="AD1293" s="464"/>
      <c r="AE1293" s="464"/>
      <c r="AF1293" s="464"/>
      <c r="AG1293" s="464"/>
      <c r="AH1293" s="465"/>
      <c r="AI1293" s="464"/>
    </row>
    <row r="1294" customFormat="false" ht="15" hidden="false" customHeight="true" outlineLevel="0" collapsed="false">
      <c r="A1294" s="455" t="s">
        <v>1796</v>
      </c>
      <c r="C1294" s="456" t="n">
        <v>45618</v>
      </c>
      <c r="D1294" s="456"/>
      <c r="E1294" s="57" t="n">
        <v>14248</v>
      </c>
      <c r="F1294" s="57" t="s">
        <v>175</v>
      </c>
      <c r="G1294" s="323" t="s">
        <v>15</v>
      </c>
      <c r="H1294" s="98" t="n">
        <v>75</v>
      </c>
      <c r="I1294" s="457" t="n">
        <v>22.5</v>
      </c>
      <c r="J1294" s="313" t="s">
        <v>1651</v>
      </c>
      <c r="K1294" s="98" t="n">
        <f aca="false">I1294*H1294</f>
        <v>1687.5</v>
      </c>
      <c r="L1294" s="411" t="n">
        <v>1020</v>
      </c>
      <c r="M1294" s="392" t="n">
        <f aca="false">L1294/K1294</f>
        <v>0.604444444444445</v>
      </c>
      <c r="N1294" s="466" t="n">
        <f aca="false">I1294*M1294</f>
        <v>13.6</v>
      </c>
      <c r="O1294" s="461" t="n">
        <v>75</v>
      </c>
      <c r="P1294" s="462" t="n">
        <f aca="false">H1294-O1294</f>
        <v>0</v>
      </c>
      <c r="Q1294" s="463" t="n">
        <f aca="false">O1294*I1294</f>
        <v>1687.5</v>
      </c>
      <c r="R1294" s="48" t="n">
        <f aca="false">K1294-Q1294</f>
        <v>0</v>
      </c>
      <c r="S1294" s="467"/>
      <c r="T1294" s="2" t="s">
        <v>1797</v>
      </c>
      <c r="V1294" s="464"/>
      <c r="W1294" s="464"/>
      <c r="X1294" s="464"/>
      <c r="Y1294" s="464"/>
      <c r="Z1294" s="464"/>
      <c r="AA1294" s="464"/>
      <c r="AB1294" s="464"/>
      <c r="AC1294" s="464"/>
      <c r="AD1294" s="464"/>
      <c r="AE1294" s="464"/>
      <c r="AF1294" s="464"/>
      <c r="AG1294" s="464"/>
      <c r="AH1294" s="465"/>
      <c r="AI1294" s="464"/>
    </row>
    <row r="1295" customFormat="false" ht="15" hidden="false" customHeight="true" outlineLevel="0" collapsed="false">
      <c r="A1295" s="455" t="s">
        <v>1753</v>
      </c>
      <c r="C1295" s="456" t="n">
        <v>45618</v>
      </c>
      <c r="D1295" s="456"/>
      <c r="E1295" s="57" t="n">
        <v>14249</v>
      </c>
      <c r="F1295" s="57" t="s">
        <v>175</v>
      </c>
      <c r="G1295" s="323" t="s">
        <v>5</v>
      </c>
      <c r="H1295" s="98" t="n">
        <v>600</v>
      </c>
      <c r="I1295" s="457" t="n">
        <v>60</v>
      </c>
      <c r="J1295" s="313" t="s">
        <v>1653</v>
      </c>
      <c r="K1295" s="98" t="n">
        <f aca="false">I1295*H1295</f>
        <v>36000</v>
      </c>
      <c r="L1295" s="411" t="n">
        <v>11160</v>
      </c>
      <c r="M1295" s="392" t="n">
        <f aca="false">L1295/K1295</f>
        <v>0.31</v>
      </c>
      <c r="N1295" s="466" t="n">
        <f aca="false">I1295*M1295</f>
        <v>18.6</v>
      </c>
      <c r="O1295" s="461" t="n">
        <v>600</v>
      </c>
      <c r="P1295" s="462" t="n">
        <f aca="false">H1295-O1295</f>
        <v>0</v>
      </c>
      <c r="Q1295" s="463" t="n">
        <f aca="false">O1295*I1295</f>
        <v>36000</v>
      </c>
      <c r="R1295" s="48" t="n">
        <f aca="false">K1295-Q1295</f>
        <v>0</v>
      </c>
      <c r="S1295" s="467"/>
      <c r="T1295" s="2" t="s">
        <v>1711</v>
      </c>
      <c r="V1295" s="464"/>
      <c r="W1295" s="464"/>
      <c r="X1295" s="464"/>
      <c r="Y1295" s="464"/>
      <c r="Z1295" s="464"/>
      <c r="AA1295" s="464"/>
      <c r="AB1295" s="464"/>
      <c r="AC1295" s="464"/>
      <c r="AD1295" s="464"/>
      <c r="AE1295" s="464"/>
      <c r="AF1295" s="464"/>
      <c r="AG1295" s="464"/>
      <c r="AH1295" s="465"/>
      <c r="AI1295" s="464"/>
    </row>
    <row r="1296" customFormat="false" ht="15" hidden="false" customHeight="true" outlineLevel="0" collapsed="false">
      <c r="A1296" s="455" t="s">
        <v>1810</v>
      </c>
      <c r="C1296" s="456" t="n">
        <v>45618</v>
      </c>
      <c r="D1296" s="456"/>
      <c r="E1296" s="57" t="n">
        <v>14250</v>
      </c>
      <c r="F1296" s="57" t="s">
        <v>175</v>
      </c>
      <c r="G1296" s="323" t="s">
        <v>19</v>
      </c>
      <c r="H1296" s="98" t="n">
        <v>60</v>
      </c>
      <c r="I1296" s="457" t="n">
        <v>22.5</v>
      </c>
      <c r="J1296" s="313" t="s">
        <v>1651</v>
      </c>
      <c r="K1296" s="98" t="n">
        <f aca="false">I1296*H1296</f>
        <v>1350</v>
      </c>
      <c r="L1296" s="411" t="n">
        <v>1444.2</v>
      </c>
      <c r="M1296" s="392" t="n">
        <f aca="false">L1296/K1296</f>
        <v>1.06977777777778</v>
      </c>
      <c r="N1296" s="466" t="n">
        <f aca="false">I1296*M1296</f>
        <v>24.07</v>
      </c>
      <c r="O1296" s="461" t="n">
        <v>60</v>
      </c>
      <c r="P1296" s="462" t="n">
        <f aca="false">H1296-O1296</f>
        <v>0</v>
      </c>
      <c r="Q1296" s="463" t="n">
        <f aca="false">O1296*I1296</f>
        <v>1350</v>
      </c>
      <c r="R1296" s="48" t="n">
        <f aca="false">K1296-Q1296</f>
        <v>0</v>
      </c>
      <c r="S1296" s="467"/>
      <c r="T1296" s="2" t="s">
        <v>1711</v>
      </c>
      <c r="V1296" s="464"/>
      <c r="W1296" s="464"/>
      <c r="X1296" s="464"/>
      <c r="Y1296" s="464"/>
      <c r="Z1296" s="464"/>
      <c r="AA1296" s="464"/>
      <c r="AB1296" s="464"/>
      <c r="AC1296" s="464"/>
      <c r="AD1296" s="464"/>
      <c r="AE1296" s="464"/>
      <c r="AF1296" s="464"/>
      <c r="AG1296" s="464"/>
      <c r="AH1296" s="465"/>
      <c r="AI1296" s="464"/>
    </row>
    <row r="1297" customFormat="false" ht="15" hidden="false" customHeight="true" outlineLevel="0" collapsed="false">
      <c r="A1297" s="455" t="s">
        <v>1932</v>
      </c>
      <c r="C1297" s="456" t="n">
        <v>45618</v>
      </c>
      <c r="D1297" s="456"/>
      <c r="E1297" s="323" t="n">
        <v>14251</v>
      </c>
      <c r="F1297" s="57" t="s">
        <v>175</v>
      </c>
      <c r="G1297" s="323" t="s">
        <v>5</v>
      </c>
      <c r="H1297" s="98" t="n">
        <v>15</v>
      </c>
      <c r="I1297" s="457" t="n">
        <v>25.71</v>
      </c>
      <c r="J1297" s="313" t="s">
        <v>1651</v>
      </c>
      <c r="K1297" s="98" t="n">
        <f aca="false">I1297*H1297</f>
        <v>385.65</v>
      </c>
      <c r="L1297" s="411" t="n">
        <v>225</v>
      </c>
      <c r="M1297" s="392" t="n">
        <f aca="false">L1297/K1297</f>
        <v>0.58343057176196</v>
      </c>
      <c r="N1297" s="466" t="n">
        <f aca="false">I1297*M1297</f>
        <v>15</v>
      </c>
      <c r="O1297" s="461" t="n">
        <v>15</v>
      </c>
      <c r="P1297" s="462" t="n">
        <f aca="false">H1297-O1297</f>
        <v>0</v>
      </c>
      <c r="Q1297" s="463" t="n">
        <f aca="false">O1297*I1297</f>
        <v>385.65</v>
      </c>
      <c r="R1297" s="48" t="n">
        <f aca="false">K1297-Q1297</f>
        <v>0</v>
      </c>
      <c r="S1297" s="467"/>
      <c r="T1297" s="2" t="s">
        <v>1711</v>
      </c>
      <c r="V1297" s="464"/>
      <c r="W1297" s="464"/>
      <c r="X1297" s="464"/>
      <c r="Y1297" s="464"/>
      <c r="Z1297" s="464"/>
      <c r="AA1297" s="464"/>
      <c r="AB1297" s="464"/>
      <c r="AC1297" s="464"/>
      <c r="AD1297" s="464"/>
      <c r="AE1297" s="464"/>
      <c r="AF1297" s="464"/>
      <c r="AG1297" s="464"/>
      <c r="AH1297" s="465"/>
      <c r="AI1297" s="464"/>
    </row>
    <row r="1298" customFormat="false" ht="15" hidden="false" customHeight="true" outlineLevel="0" collapsed="false">
      <c r="A1298" s="455" t="s">
        <v>1932</v>
      </c>
      <c r="C1298" s="456" t="n">
        <v>45618</v>
      </c>
      <c r="D1298" s="456"/>
      <c r="E1298" s="323" t="n">
        <v>14251</v>
      </c>
      <c r="F1298" s="57" t="s">
        <v>175</v>
      </c>
      <c r="G1298" s="323" t="s">
        <v>5</v>
      </c>
      <c r="H1298" s="98" t="n">
        <v>50</v>
      </c>
      <c r="I1298" s="457" t="n">
        <v>60</v>
      </c>
      <c r="J1298" s="313" t="s">
        <v>1653</v>
      </c>
      <c r="K1298" s="98" t="n">
        <f aca="false">I1298*H1298</f>
        <v>3000</v>
      </c>
      <c r="L1298" s="411" t="n">
        <v>750</v>
      </c>
      <c r="M1298" s="392" t="n">
        <f aca="false">L1298/K1298</f>
        <v>0.25</v>
      </c>
      <c r="N1298" s="466" t="n">
        <f aca="false">I1298*M1298</f>
        <v>15</v>
      </c>
      <c r="O1298" s="461" t="n">
        <v>50</v>
      </c>
      <c r="P1298" s="462" t="n">
        <f aca="false">H1298-O1298</f>
        <v>0</v>
      </c>
      <c r="Q1298" s="463" t="n">
        <f aca="false">O1298*I1298</f>
        <v>3000</v>
      </c>
      <c r="R1298" s="48" t="n">
        <f aca="false">K1298-Q1298</f>
        <v>0</v>
      </c>
      <c r="S1298" s="467"/>
      <c r="T1298" s="2" t="s">
        <v>1711</v>
      </c>
      <c r="V1298" s="464"/>
      <c r="W1298" s="464"/>
      <c r="X1298" s="464"/>
      <c r="Y1298" s="464"/>
      <c r="Z1298" s="464"/>
      <c r="AA1298" s="464"/>
      <c r="AB1298" s="464"/>
      <c r="AC1298" s="464"/>
      <c r="AD1298" s="464"/>
      <c r="AE1298" s="464"/>
      <c r="AF1298" s="464"/>
      <c r="AG1298" s="464"/>
      <c r="AH1298" s="465"/>
      <c r="AI1298" s="464"/>
    </row>
    <row r="1299" customFormat="false" ht="15" hidden="false" customHeight="true" outlineLevel="0" collapsed="false">
      <c r="A1299" s="455" t="s">
        <v>1759</v>
      </c>
      <c r="C1299" s="456" t="n">
        <v>45618</v>
      </c>
      <c r="D1299" s="456"/>
      <c r="E1299" s="323" t="n">
        <v>14252</v>
      </c>
      <c r="F1299" s="57" t="s">
        <v>175</v>
      </c>
      <c r="G1299" s="323" t="s">
        <v>5</v>
      </c>
      <c r="H1299" s="98" t="n">
        <v>1040</v>
      </c>
      <c r="I1299" s="457" t="n">
        <v>25.71</v>
      </c>
      <c r="J1299" s="313" t="s">
        <v>1651</v>
      </c>
      <c r="K1299" s="98" t="n">
        <f aca="false">I1299*H1299</f>
        <v>26738.4</v>
      </c>
      <c r="L1299" s="411" t="n">
        <v>10524.8</v>
      </c>
      <c r="M1299" s="392" t="n">
        <f aca="false">L1299/K1299</f>
        <v>0.393621159082069</v>
      </c>
      <c r="N1299" s="466" t="n">
        <f aca="false">I1299*M1299</f>
        <v>10.12</v>
      </c>
      <c r="O1299" s="461" t="n">
        <v>1040</v>
      </c>
      <c r="P1299" s="462" t="n">
        <f aca="false">H1299-O1299</f>
        <v>0</v>
      </c>
      <c r="Q1299" s="463" t="n">
        <f aca="false">O1299*I1299</f>
        <v>26738.4</v>
      </c>
      <c r="R1299" s="48" t="n">
        <f aca="false">K1299-Q1299</f>
        <v>0</v>
      </c>
      <c r="S1299" s="467"/>
      <c r="T1299" s="2" t="s">
        <v>1711</v>
      </c>
      <c r="V1299" s="464"/>
      <c r="W1299" s="464"/>
      <c r="X1299" s="464"/>
      <c r="Y1299" s="464"/>
      <c r="Z1299" s="464"/>
      <c r="AA1299" s="464"/>
      <c r="AB1299" s="464"/>
      <c r="AC1299" s="464"/>
      <c r="AD1299" s="464"/>
      <c r="AE1299" s="464"/>
      <c r="AF1299" s="464"/>
      <c r="AG1299" s="464"/>
      <c r="AH1299" s="465"/>
      <c r="AI1299" s="464"/>
    </row>
    <row r="1300" customFormat="false" ht="15" hidden="false" customHeight="true" outlineLevel="0" collapsed="false">
      <c r="A1300" s="455" t="s">
        <v>1869</v>
      </c>
      <c r="C1300" s="456" t="n">
        <v>45618</v>
      </c>
      <c r="D1300" s="456"/>
      <c r="E1300" s="323" t="n">
        <v>14253</v>
      </c>
      <c r="F1300" s="57" t="s">
        <v>175</v>
      </c>
      <c r="G1300" s="323" t="s">
        <v>18</v>
      </c>
      <c r="H1300" s="98" t="n">
        <v>135</v>
      </c>
      <c r="I1300" s="457" t="n">
        <v>34.62</v>
      </c>
      <c r="J1300" s="313" t="s">
        <v>1652</v>
      </c>
      <c r="K1300" s="98" t="n">
        <f aca="false">I1300*H1300</f>
        <v>4673.7</v>
      </c>
      <c r="L1300" s="411" t="n">
        <v>3105</v>
      </c>
      <c r="M1300" s="392" t="n">
        <f aca="false">L1300/K1300</f>
        <v>0.664355863662623</v>
      </c>
      <c r="N1300" s="466" t="n">
        <f aca="false">I1300*M1300</f>
        <v>23</v>
      </c>
      <c r="O1300" s="461" t="n">
        <v>135</v>
      </c>
      <c r="P1300" s="462" t="n">
        <f aca="false">H1300-O1300</f>
        <v>0</v>
      </c>
      <c r="Q1300" s="463" t="n">
        <f aca="false">O1300*I1300</f>
        <v>4673.7</v>
      </c>
      <c r="R1300" s="48" t="n">
        <f aca="false">K1300-Q1300</f>
        <v>0</v>
      </c>
      <c r="S1300" s="467"/>
      <c r="T1300" s="2" t="s">
        <v>1711</v>
      </c>
      <c r="V1300" s="464"/>
      <c r="W1300" s="464"/>
      <c r="X1300" s="464"/>
      <c r="Y1300" s="464"/>
      <c r="Z1300" s="464"/>
      <c r="AA1300" s="464"/>
      <c r="AB1300" s="464"/>
      <c r="AC1300" s="464"/>
      <c r="AD1300" s="464"/>
      <c r="AE1300" s="464"/>
      <c r="AF1300" s="464"/>
      <c r="AG1300" s="464"/>
      <c r="AH1300" s="465"/>
      <c r="AI1300" s="464"/>
    </row>
    <row r="1301" customFormat="false" ht="15" hidden="false" customHeight="true" outlineLevel="0" collapsed="false">
      <c r="A1301" s="455" t="s">
        <v>1759</v>
      </c>
      <c r="C1301" s="456" t="n">
        <v>45621</v>
      </c>
      <c r="D1301" s="456"/>
      <c r="E1301" s="323" t="n">
        <v>14254</v>
      </c>
      <c r="F1301" s="57" t="s">
        <v>175</v>
      </c>
      <c r="G1301" s="323" t="s">
        <v>5</v>
      </c>
      <c r="H1301" s="98" t="n">
        <v>4960</v>
      </c>
      <c r="I1301" s="457" t="n">
        <v>25.71</v>
      </c>
      <c r="J1301" s="313" t="s">
        <v>1651</v>
      </c>
      <c r="K1301" s="98" t="n">
        <f aca="false">I1301*H1301</f>
        <v>127521.6</v>
      </c>
      <c r="L1301" s="411" t="n">
        <v>50195.2</v>
      </c>
      <c r="M1301" s="392" t="n">
        <f aca="false">L1301/K1301</f>
        <v>0.393621159082069</v>
      </c>
      <c r="N1301" s="466" t="n">
        <f aca="false">I1301*M1301</f>
        <v>10.12</v>
      </c>
      <c r="O1301" s="461" t="n">
        <v>4960</v>
      </c>
      <c r="P1301" s="462" t="n">
        <f aca="false">H1301-O1301</f>
        <v>0</v>
      </c>
      <c r="Q1301" s="463" t="n">
        <f aca="false">O1301*I1301</f>
        <v>127521.6</v>
      </c>
      <c r="R1301" s="48" t="n">
        <f aca="false">K1301-Q1301</f>
        <v>0</v>
      </c>
      <c r="S1301" s="467"/>
      <c r="T1301" s="2" t="s">
        <v>1711</v>
      </c>
      <c r="V1301" s="464"/>
      <c r="W1301" s="464"/>
      <c r="X1301" s="464"/>
      <c r="Y1301" s="464"/>
      <c r="Z1301" s="464"/>
      <c r="AA1301" s="464"/>
      <c r="AB1301" s="464"/>
      <c r="AC1301" s="464"/>
      <c r="AD1301" s="464"/>
      <c r="AE1301" s="464"/>
      <c r="AF1301" s="464"/>
      <c r="AG1301" s="464"/>
      <c r="AH1301" s="465"/>
      <c r="AI1301" s="464"/>
    </row>
    <row r="1302" customFormat="false" ht="15" hidden="false" customHeight="true" outlineLevel="0" collapsed="false">
      <c r="A1302" s="455" t="s">
        <v>1847</v>
      </c>
      <c r="C1302" s="456" t="n">
        <v>45621</v>
      </c>
      <c r="D1302" s="456"/>
      <c r="E1302" s="323" t="n">
        <v>14255</v>
      </c>
      <c r="F1302" s="57" t="s">
        <v>175</v>
      </c>
      <c r="G1302" s="323" t="s">
        <v>5</v>
      </c>
      <c r="H1302" s="98" t="n">
        <v>210</v>
      </c>
      <c r="I1302" s="457" t="n">
        <v>25.71</v>
      </c>
      <c r="J1302" s="313" t="s">
        <v>1651</v>
      </c>
      <c r="K1302" s="98" t="n">
        <f aca="false">I1302*H1302</f>
        <v>5399.1</v>
      </c>
      <c r="L1302" s="411" t="n">
        <v>2499</v>
      </c>
      <c r="M1302" s="392" t="n">
        <f aca="false">L1302/K1302</f>
        <v>0.462854920264489</v>
      </c>
      <c r="N1302" s="466" t="n">
        <f aca="false">I1302*M1302</f>
        <v>11.9</v>
      </c>
      <c r="O1302" s="461" t="n">
        <v>210</v>
      </c>
      <c r="P1302" s="462" t="n">
        <f aca="false">H1302-O1302</f>
        <v>0</v>
      </c>
      <c r="Q1302" s="463" t="n">
        <f aca="false">O1302*I1302</f>
        <v>5399.1</v>
      </c>
      <c r="R1302" s="48" t="n">
        <f aca="false">K1302-Q1302</f>
        <v>0</v>
      </c>
      <c r="S1302" s="467"/>
      <c r="T1302" s="2" t="s">
        <v>1711</v>
      </c>
      <c r="V1302" s="464"/>
      <c r="W1302" s="464"/>
      <c r="X1302" s="464"/>
      <c r="Y1302" s="464"/>
      <c r="Z1302" s="464"/>
      <c r="AA1302" s="464"/>
      <c r="AB1302" s="464"/>
      <c r="AC1302" s="464"/>
      <c r="AD1302" s="464"/>
      <c r="AE1302" s="464"/>
      <c r="AF1302" s="464"/>
      <c r="AG1302" s="464"/>
      <c r="AH1302" s="465"/>
      <c r="AI1302" s="464"/>
    </row>
    <row r="1303" customFormat="false" ht="15" hidden="false" customHeight="true" outlineLevel="0" collapsed="false">
      <c r="A1303" s="455" t="s">
        <v>1847</v>
      </c>
      <c r="C1303" s="456" t="n">
        <v>45621</v>
      </c>
      <c r="D1303" s="456"/>
      <c r="E1303" s="57" t="n">
        <v>14255</v>
      </c>
      <c r="F1303" s="323" t="s">
        <v>175</v>
      </c>
      <c r="G1303" s="323" t="s">
        <v>19</v>
      </c>
      <c r="H1303" s="98" t="n">
        <v>180</v>
      </c>
      <c r="I1303" s="457" t="n">
        <v>22.5</v>
      </c>
      <c r="J1303" s="313" t="s">
        <v>1651</v>
      </c>
      <c r="K1303" s="98" t="n">
        <f aca="false">I1303*H1303</f>
        <v>4050</v>
      </c>
      <c r="L1303" s="411" t="n">
        <v>3240</v>
      </c>
      <c r="M1303" s="392" t="n">
        <f aca="false">L1303/K1303</f>
        <v>0.8</v>
      </c>
      <c r="N1303" s="466" t="n">
        <f aca="false">I1303*M1303</f>
        <v>18</v>
      </c>
      <c r="O1303" s="461" t="n">
        <v>180</v>
      </c>
      <c r="P1303" s="462" t="n">
        <f aca="false">H1303-O1303</f>
        <v>0</v>
      </c>
      <c r="Q1303" s="463" t="n">
        <f aca="false">O1303*I1303</f>
        <v>4050</v>
      </c>
      <c r="R1303" s="48" t="n">
        <f aca="false">K1303-Q1303</f>
        <v>0</v>
      </c>
      <c r="S1303" s="467"/>
      <c r="T1303" s="2" t="s">
        <v>1711</v>
      </c>
      <c r="V1303" s="464"/>
      <c r="W1303" s="464"/>
      <c r="X1303" s="464"/>
      <c r="Y1303" s="464"/>
      <c r="Z1303" s="464"/>
      <c r="AA1303" s="464"/>
      <c r="AB1303" s="464"/>
      <c r="AC1303" s="464"/>
      <c r="AD1303" s="464"/>
      <c r="AE1303" s="464"/>
      <c r="AF1303" s="464"/>
      <c r="AG1303" s="464"/>
      <c r="AH1303" s="465"/>
      <c r="AI1303" s="464"/>
    </row>
    <row r="1304" customFormat="false" ht="15" hidden="false" customHeight="true" outlineLevel="0" collapsed="false">
      <c r="A1304" s="455" t="s">
        <v>1975</v>
      </c>
      <c r="C1304" s="456" t="n">
        <v>45621</v>
      </c>
      <c r="D1304" s="456"/>
      <c r="E1304" s="57" t="n">
        <v>14256</v>
      </c>
      <c r="F1304" s="323" t="s">
        <v>175</v>
      </c>
      <c r="G1304" s="323" t="s">
        <v>15</v>
      </c>
      <c r="H1304" s="98" t="n">
        <v>60</v>
      </c>
      <c r="I1304" s="457" t="n">
        <v>22.5</v>
      </c>
      <c r="J1304" s="313" t="s">
        <v>1651</v>
      </c>
      <c r="K1304" s="98" t="n">
        <f aca="false">I1304*H1304</f>
        <v>1350</v>
      </c>
      <c r="L1304" s="411" t="n">
        <v>1140</v>
      </c>
      <c r="M1304" s="392" t="n">
        <f aca="false">L1304/K1304</f>
        <v>0.844444444444444</v>
      </c>
      <c r="N1304" s="466" t="n">
        <f aca="false">I1304*M1304</f>
        <v>19</v>
      </c>
      <c r="O1304" s="461" t="n">
        <v>60</v>
      </c>
      <c r="P1304" s="462" t="n">
        <f aca="false">H1304-O1304</f>
        <v>0</v>
      </c>
      <c r="Q1304" s="463" t="n">
        <f aca="false">O1304*I1304</f>
        <v>1350</v>
      </c>
      <c r="R1304" s="48" t="n">
        <f aca="false">K1304-Q1304</f>
        <v>0</v>
      </c>
      <c r="S1304" s="467"/>
      <c r="T1304" s="2" t="s">
        <v>1711</v>
      </c>
      <c r="V1304" s="464"/>
      <c r="W1304" s="464"/>
      <c r="X1304" s="464"/>
      <c r="Y1304" s="464"/>
      <c r="Z1304" s="464"/>
      <c r="AA1304" s="464"/>
      <c r="AB1304" s="464"/>
      <c r="AC1304" s="464"/>
      <c r="AD1304" s="464"/>
      <c r="AE1304" s="464"/>
      <c r="AF1304" s="464"/>
      <c r="AG1304" s="464"/>
      <c r="AH1304" s="465"/>
      <c r="AI1304" s="464"/>
    </row>
    <row r="1305" customFormat="false" ht="15" hidden="false" customHeight="true" outlineLevel="0" collapsed="false">
      <c r="A1305" s="455" t="s">
        <v>1975</v>
      </c>
      <c r="C1305" s="456" t="n">
        <v>45621</v>
      </c>
      <c r="D1305" s="456"/>
      <c r="E1305" s="57" t="n">
        <v>14256</v>
      </c>
      <c r="F1305" s="323" t="s">
        <v>175</v>
      </c>
      <c r="G1305" s="323" t="s">
        <v>19</v>
      </c>
      <c r="H1305" s="98" t="n">
        <v>120</v>
      </c>
      <c r="I1305" s="457" t="n">
        <v>22.5</v>
      </c>
      <c r="J1305" s="313" t="s">
        <v>1651</v>
      </c>
      <c r="K1305" s="98" t="n">
        <f aca="false">I1305*H1305</f>
        <v>2700</v>
      </c>
      <c r="L1305" s="411" t="n">
        <v>2850</v>
      </c>
      <c r="M1305" s="392" t="n">
        <f aca="false">L1305/K1305</f>
        <v>1.05555555555556</v>
      </c>
      <c r="N1305" s="466" t="n">
        <f aca="false">I1305*M1305</f>
        <v>23.75</v>
      </c>
      <c r="O1305" s="461" t="n">
        <v>120</v>
      </c>
      <c r="P1305" s="462" t="n">
        <f aca="false">H1305-O1305</f>
        <v>0</v>
      </c>
      <c r="Q1305" s="463" t="n">
        <f aca="false">O1305*I1305</f>
        <v>2700</v>
      </c>
      <c r="R1305" s="48" t="n">
        <f aca="false">K1305-Q1305</f>
        <v>0</v>
      </c>
      <c r="S1305" s="467"/>
      <c r="T1305" s="2" t="s">
        <v>1711</v>
      </c>
      <c r="V1305" s="464"/>
      <c r="W1305" s="464"/>
      <c r="X1305" s="464"/>
      <c r="Y1305" s="464"/>
      <c r="Z1305" s="464"/>
      <c r="AA1305" s="464"/>
      <c r="AB1305" s="464"/>
      <c r="AC1305" s="464"/>
      <c r="AD1305" s="464"/>
      <c r="AE1305" s="464"/>
      <c r="AF1305" s="464"/>
      <c r="AG1305" s="464"/>
      <c r="AH1305" s="465"/>
      <c r="AI1305" s="464"/>
    </row>
    <row r="1306" customFormat="false" ht="15" hidden="false" customHeight="true" outlineLevel="0" collapsed="false">
      <c r="A1306" s="455" t="s">
        <v>1753</v>
      </c>
      <c r="C1306" s="456" t="n">
        <v>45621</v>
      </c>
      <c r="D1306" s="456"/>
      <c r="E1306" s="57" t="n">
        <v>14257</v>
      </c>
      <c r="F1306" s="323" t="s">
        <v>175</v>
      </c>
      <c r="G1306" s="323" t="s">
        <v>7</v>
      </c>
      <c r="H1306" s="98" t="n">
        <v>300</v>
      </c>
      <c r="I1306" s="457" t="n">
        <v>25.71</v>
      </c>
      <c r="J1306" s="313" t="s">
        <v>1651</v>
      </c>
      <c r="K1306" s="98" t="n">
        <f aca="false">I1306*H1306</f>
        <v>7713</v>
      </c>
      <c r="L1306" s="411" t="n">
        <v>3540</v>
      </c>
      <c r="M1306" s="392" t="n">
        <f aca="false">L1306/K1306</f>
        <v>0.458965383119409</v>
      </c>
      <c r="N1306" s="466" t="n">
        <f aca="false">I1306*M1306</f>
        <v>11.8</v>
      </c>
      <c r="O1306" s="461" t="n">
        <v>300</v>
      </c>
      <c r="P1306" s="462" t="n">
        <f aca="false">H1306-O1306</f>
        <v>0</v>
      </c>
      <c r="Q1306" s="463" t="n">
        <f aca="false">O1306*I1306</f>
        <v>7713</v>
      </c>
      <c r="R1306" s="48" t="n">
        <f aca="false">K1306-Q1306</f>
        <v>0</v>
      </c>
      <c r="S1306" s="467"/>
      <c r="T1306" s="2" t="s">
        <v>1711</v>
      </c>
      <c r="V1306" s="464"/>
      <c r="W1306" s="464"/>
      <c r="X1306" s="464"/>
      <c r="Y1306" s="464"/>
      <c r="Z1306" s="464"/>
      <c r="AA1306" s="464"/>
      <c r="AB1306" s="464"/>
      <c r="AC1306" s="464"/>
      <c r="AD1306" s="464"/>
      <c r="AE1306" s="464"/>
      <c r="AF1306" s="464"/>
      <c r="AG1306" s="464"/>
      <c r="AH1306" s="465"/>
      <c r="AI1306" s="464"/>
    </row>
    <row r="1307" customFormat="false" ht="15" hidden="false" customHeight="true" outlineLevel="0" collapsed="false">
      <c r="A1307" s="455" t="s">
        <v>1753</v>
      </c>
      <c r="C1307" s="456" t="n">
        <v>45621</v>
      </c>
      <c r="D1307" s="456"/>
      <c r="E1307" s="57" t="n">
        <v>14257</v>
      </c>
      <c r="F1307" s="323" t="s">
        <v>175</v>
      </c>
      <c r="G1307" s="323" t="s">
        <v>15</v>
      </c>
      <c r="H1307" s="98" t="n">
        <v>3000</v>
      </c>
      <c r="I1307" s="457" t="n">
        <v>22.5</v>
      </c>
      <c r="J1307" s="313" t="s">
        <v>1651</v>
      </c>
      <c r="K1307" s="98" t="n">
        <f aca="false">I1307*H1307</f>
        <v>67500</v>
      </c>
      <c r="L1307" s="411" t="n">
        <v>39000</v>
      </c>
      <c r="M1307" s="392" t="n">
        <f aca="false">L1307/K1307</f>
        <v>0.577777777777778</v>
      </c>
      <c r="N1307" s="466" t="n">
        <f aca="false">I1307*M1307</f>
        <v>13</v>
      </c>
      <c r="O1307" s="461" t="n">
        <v>3000</v>
      </c>
      <c r="P1307" s="462" t="n">
        <f aca="false">H1307-O1307</f>
        <v>0</v>
      </c>
      <c r="Q1307" s="463" t="n">
        <f aca="false">O1307*I1307</f>
        <v>67500</v>
      </c>
      <c r="R1307" s="48" t="n">
        <f aca="false">K1307-Q1307</f>
        <v>0</v>
      </c>
      <c r="S1307" s="467"/>
      <c r="T1307" s="2" t="s">
        <v>1711</v>
      </c>
      <c r="V1307" s="464"/>
      <c r="W1307" s="464"/>
      <c r="X1307" s="464"/>
      <c r="Y1307" s="464"/>
      <c r="Z1307" s="464"/>
      <c r="AA1307" s="464"/>
      <c r="AB1307" s="464"/>
      <c r="AC1307" s="464"/>
      <c r="AD1307" s="464"/>
      <c r="AE1307" s="464"/>
      <c r="AF1307" s="464"/>
      <c r="AG1307" s="464"/>
      <c r="AH1307" s="465"/>
      <c r="AI1307" s="464"/>
    </row>
    <row r="1308" customFormat="false" ht="15" hidden="false" customHeight="true" outlineLevel="0" collapsed="false">
      <c r="A1308" s="455" t="s">
        <v>1753</v>
      </c>
      <c r="C1308" s="456" t="n">
        <v>45621</v>
      </c>
      <c r="D1308" s="456"/>
      <c r="E1308" s="57" t="n">
        <v>14257</v>
      </c>
      <c r="F1308" s="323" t="s">
        <v>175</v>
      </c>
      <c r="G1308" s="323" t="s">
        <v>5</v>
      </c>
      <c r="H1308" s="98" t="n">
        <v>3000</v>
      </c>
      <c r="I1308" s="457" t="n">
        <v>25.71</v>
      </c>
      <c r="J1308" s="313" t="s">
        <v>1651</v>
      </c>
      <c r="K1308" s="98" t="n">
        <f aca="false">I1308*H1308</f>
        <v>77130</v>
      </c>
      <c r="L1308" s="411" t="n">
        <v>33600</v>
      </c>
      <c r="M1308" s="392" t="n">
        <f aca="false">L1308/K1308</f>
        <v>0.43562816024893</v>
      </c>
      <c r="N1308" s="466" t="n">
        <f aca="false">I1308*M1308</f>
        <v>11.2</v>
      </c>
      <c r="O1308" s="461" t="n">
        <v>3000</v>
      </c>
      <c r="P1308" s="462" t="n">
        <f aca="false">H1308-O1308</f>
        <v>0</v>
      </c>
      <c r="Q1308" s="463" t="n">
        <f aca="false">O1308*I1308</f>
        <v>77130</v>
      </c>
      <c r="R1308" s="48" t="n">
        <f aca="false">K1308-Q1308</f>
        <v>0</v>
      </c>
      <c r="S1308" s="467"/>
      <c r="T1308" s="2" t="s">
        <v>1711</v>
      </c>
      <c r="V1308" s="464"/>
      <c r="W1308" s="464"/>
      <c r="X1308" s="464"/>
      <c r="Y1308" s="464"/>
      <c r="Z1308" s="464"/>
      <c r="AA1308" s="464"/>
      <c r="AB1308" s="464"/>
      <c r="AC1308" s="464"/>
      <c r="AD1308" s="464"/>
      <c r="AE1308" s="464"/>
      <c r="AF1308" s="464"/>
      <c r="AG1308" s="464"/>
      <c r="AH1308" s="465"/>
      <c r="AI1308" s="464"/>
    </row>
    <row r="1309" customFormat="false" ht="15" hidden="false" customHeight="true" outlineLevel="0" collapsed="false">
      <c r="A1309" s="455" t="s">
        <v>1753</v>
      </c>
      <c r="C1309" s="456" t="n">
        <v>45621</v>
      </c>
      <c r="D1309" s="456"/>
      <c r="E1309" s="57" t="n">
        <v>14257</v>
      </c>
      <c r="F1309" s="323" t="s">
        <v>175</v>
      </c>
      <c r="G1309" s="323" t="s">
        <v>6</v>
      </c>
      <c r="H1309" s="98" t="n">
        <v>795</v>
      </c>
      <c r="I1309" s="457" t="n">
        <v>30</v>
      </c>
      <c r="J1309" s="313" t="s">
        <v>1651</v>
      </c>
      <c r="K1309" s="98" t="n">
        <f aca="false">I1309*H1309</f>
        <v>23850</v>
      </c>
      <c r="L1309" s="411" t="n">
        <v>9063</v>
      </c>
      <c r="M1309" s="392" t="n">
        <f aca="false">L1309/K1309</f>
        <v>0.38</v>
      </c>
      <c r="N1309" s="466" t="n">
        <f aca="false">I1309*M1309</f>
        <v>11.4</v>
      </c>
      <c r="O1309" s="461" t="n">
        <v>795</v>
      </c>
      <c r="P1309" s="462" t="n">
        <f aca="false">H1309-O1309</f>
        <v>0</v>
      </c>
      <c r="Q1309" s="463" t="n">
        <f aca="false">O1309*I1309</f>
        <v>23850</v>
      </c>
      <c r="R1309" s="48" t="n">
        <f aca="false">K1309-Q1309</f>
        <v>0</v>
      </c>
      <c r="S1309" s="467"/>
      <c r="T1309" s="2" t="s">
        <v>1711</v>
      </c>
      <c r="V1309" s="464"/>
      <c r="W1309" s="464"/>
      <c r="X1309" s="464"/>
      <c r="Y1309" s="464"/>
      <c r="Z1309" s="464"/>
      <c r="AA1309" s="464"/>
      <c r="AB1309" s="464"/>
      <c r="AC1309" s="464"/>
      <c r="AD1309" s="464"/>
      <c r="AE1309" s="464"/>
      <c r="AF1309" s="464"/>
      <c r="AG1309" s="464"/>
      <c r="AH1309" s="465"/>
      <c r="AI1309" s="464"/>
    </row>
    <row r="1310" customFormat="false" ht="15" hidden="false" customHeight="true" outlineLevel="0" collapsed="false">
      <c r="A1310" s="455" t="s">
        <v>1753</v>
      </c>
      <c r="C1310" s="456" t="n">
        <v>45621</v>
      </c>
      <c r="D1310" s="456"/>
      <c r="E1310" s="57" t="n">
        <v>14257</v>
      </c>
      <c r="F1310" s="323" t="s">
        <v>175</v>
      </c>
      <c r="G1310" s="323" t="s">
        <v>13</v>
      </c>
      <c r="H1310" s="98" t="n">
        <v>3000</v>
      </c>
      <c r="I1310" s="457" t="n">
        <v>40</v>
      </c>
      <c r="J1310" s="313" t="s">
        <v>1653</v>
      </c>
      <c r="K1310" s="98" t="n">
        <f aca="false">I1310*H1310</f>
        <v>120000</v>
      </c>
      <c r="L1310" s="411" t="n">
        <v>33600</v>
      </c>
      <c r="M1310" s="392" t="n">
        <f aca="false">L1310/K1310</f>
        <v>0.28</v>
      </c>
      <c r="N1310" s="466" t="n">
        <f aca="false">I1310*M1310</f>
        <v>11.2</v>
      </c>
      <c r="O1310" s="461" t="n">
        <v>3000</v>
      </c>
      <c r="P1310" s="462" t="n">
        <f aca="false">H1310-O1310</f>
        <v>0</v>
      </c>
      <c r="Q1310" s="463" t="n">
        <f aca="false">O1310*I1310</f>
        <v>120000</v>
      </c>
      <c r="R1310" s="48" t="n">
        <f aca="false">K1310-Q1310</f>
        <v>0</v>
      </c>
      <c r="S1310" s="467"/>
      <c r="T1310" s="2" t="s">
        <v>1711</v>
      </c>
      <c r="V1310" s="464"/>
      <c r="W1310" s="464"/>
      <c r="X1310" s="464"/>
      <c r="Y1310" s="464"/>
      <c r="Z1310" s="464"/>
      <c r="AA1310" s="464"/>
      <c r="AB1310" s="464"/>
      <c r="AC1310" s="464"/>
      <c r="AD1310" s="464"/>
      <c r="AE1310" s="464"/>
      <c r="AF1310" s="464"/>
      <c r="AG1310" s="464"/>
      <c r="AH1310" s="465"/>
      <c r="AI1310" s="464"/>
    </row>
    <row r="1311" customFormat="false" ht="15" hidden="false" customHeight="true" outlineLevel="0" collapsed="false">
      <c r="A1311" s="455" t="s">
        <v>1753</v>
      </c>
      <c r="C1311" s="456" t="n">
        <v>45621</v>
      </c>
      <c r="D1311" s="456"/>
      <c r="E1311" s="323" t="n">
        <v>14258</v>
      </c>
      <c r="F1311" s="323" t="s">
        <v>175</v>
      </c>
      <c r="G1311" s="323" t="s">
        <v>7</v>
      </c>
      <c r="H1311" s="98" t="n">
        <v>600</v>
      </c>
      <c r="I1311" s="457" t="n">
        <v>25.71</v>
      </c>
      <c r="J1311" s="313" t="s">
        <v>1651</v>
      </c>
      <c r="K1311" s="98" t="n">
        <f aca="false">I1311*H1311</f>
        <v>15426</v>
      </c>
      <c r="L1311" s="411" t="n">
        <v>7080</v>
      </c>
      <c r="M1311" s="392" t="n">
        <f aca="false">L1311/K1311</f>
        <v>0.458965383119409</v>
      </c>
      <c r="N1311" s="466" t="n">
        <f aca="false">I1311*M1311</f>
        <v>11.8</v>
      </c>
      <c r="O1311" s="461" t="n">
        <v>600</v>
      </c>
      <c r="P1311" s="462" t="n">
        <f aca="false">H1311-O1311</f>
        <v>0</v>
      </c>
      <c r="Q1311" s="463" t="n">
        <f aca="false">O1311*I1311</f>
        <v>15426</v>
      </c>
      <c r="R1311" s="48" t="n">
        <f aca="false">K1311-Q1311</f>
        <v>0</v>
      </c>
      <c r="S1311" s="467"/>
      <c r="T1311" s="2" t="s">
        <v>1711</v>
      </c>
      <c r="V1311" s="464"/>
      <c r="W1311" s="464"/>
      <c r="X1311" s="464"/>
      <c r="Y1311" s="464"/>
      <c r="Z1311" s="464"/>
      <c r="AA1311" s="464"/>
      <c r="AB1311" s="464"/>
      <c r="AC1311" s="464"/>
      <c r="AD1311" s="464"/>
      <c r="AE1311" s="464"/>
      <c r="AF1311" s="464"/>
      <c r="AG1311" s="464"/>
      <c r="AH1311" s="465"/>
      <c r="AI1311" s="464"/>
    </row>
    <row r="1312" customFormat="false" ht="15" hidden="false" customHeight="true" outlineLevel="0" collapsed="false">
      <c r="A1312" s="455" t="s">
        <v>1753</v>
      </c>
      <c r="C1312" s="456" t="n">
        <v>45621</v>
      </c>
      <c r="D1312" s="456"/>
      <c r="E1312" s="323" t="n">
        <v>14258</v>
      </c>
      <c r="F1312" s="323" t="s">
        <v>175</v>
      </c>
      <c r="G1312" s="323" t="s">
        <v>15</v>
      </c>
      <c r="H1312" s="98" t="n">
        <v>2010</v>
      </c>
      <c r="I1312" s="457" t="n">
        <v>22.5</v>
      </c>
      <c r="J1312" s="313" t="s">
        <v>1651</v>
      </c>
      <c r="K1312" s="98" t="n">
        <f aca="false">I1312*H1312</f>
        <v>45225</v>
      </c>
      <c r="L1312" s="411" t="n">
        <v>26130</v>
      </c>
      <c r="M1312" s="392" t="n">
        <f aca="false">L1312/K1312</f>
        <v>0.577777777777778</v>
      </c>
      <c r="N1312" s="466" t="n">
        <f aca="false">I1312*M1312</f>
        <v>13</v>
      </c>
      <c r="O1312" s="461" t="n">
        <v>2010</v>
      </c>
      <c r="P1312" s="462" t="n">
        <f aca="false">H1312-O1312</f>
        <v>0</v>
      </c>
      <c r="Q1312" s="463" t="n">
        <f aca="false">O1312*I1312</f>
        <v>45225</v>
      </c>
      <c r="R1312" s="48" t="n">
        <f aca="false">K1312-Q1312</f>
        <v>0</v>
      </c>
      <c r="S1312" s="467"/>
      <c r="T1312" s="2" t="s">
        <v>1711</v>
      </c>
      <c r="V1312" s="464"/>
      <c r="W1312" s="464"/>
      <c r="X1312" s="464"/>
      <c r="Y1312" s="464"/>
      <c r="Z1312" s="464"/>
      <c r="AA1312" s="464"/>
      <c r="AB1312" s="464"/>
      <c r="AC1312" s="464"/>
      <c r="AD1312" s="464"/>
      <c r="AE1312" s="464"/>
      <c r="AF1312" s="464"/>
      <c r="AG1312" s="464"/>
      <c r="AH1312" s="465"/>
      <c r="AI1312" s="464"/>
    </row>
    <row r="1313" customFormat="false" ht="15" hidden="false" customHeight="true" outlineLevel="0" collapsed="false">
      <c r="A1313" s="455" t="s">
        <v>1753</v>
      </c>
      <c r="C1313" s="456" t="n">
        <v>45621</v>
      </c>
      <c r="D1313" s="456"/>
      <c r="E1313" s="323" t="n">
        <v>14258</v>
      </c>
      <c r="F1313" s="323" t="s">
        <v>175</v>
      </c>
      <c r="G1313" s="323" t="s">
        <v>5</v>
      </c>
      <c r="H1313" s="98" t="n">
        <v>5010</v>
      </c>
      <c r="I1313" s="457" t="n">
        <v>25.71</v>
      </c>
      <c r="J1313" s="313" t="s">
        <v>1651</v>
      </c>
      <c r="K1313" s="98" t="n">
        <f aca="false">I1313*H1313</f>
        <v>128807.1</v>
      </c>
      <c r="L1313" s="411" t="n">
        <v>56112</v>
      </c>
      <c r="M1313" s="392" t="n">
        <f aca="false">L1313/K1313</f>
        <v>0.43562816024893</v>
      </c>
      <c r="N1313" s="466" t="n">
        <f aca="false">I1313*M1313</f>
        <v>11.2</v>
      </c>
      <c r="O1313" s="461" t="n">
        <v>5010</v>
      </c>
      <c r="P1313" s="462" t="n">
        <f aca="false">H1313-O1313</f>
        <v>0</v>
      </c>
      <c r="Q1313" s="463" t="n">
        <f aca="false">O1313*I1313</f>
        <v>128807.1</v>
      </c>
      <c r="R1313" s="48" t="n">
        <f aca="false">K1313-Q1313</f>
        <v>0</v>
      </c>
      <c r="S1313" s="467"/>
      <c r="T1313" s="2" t="s">
        <v>1711</v>
      </c>
      <c r="V1313" s="464"/>
      <c r="W1313" s="464"/>
      <c r="X1313" s="464"/>
      <c r="Y1313" s="464"/>
      <c r="Z1313" s="464"/>
      <c r="AA1313" s="464"/>
      <c r="AB1313" s="464"/>
      <c r="AC1313" s="464"/>
      <c r="AD1313" s="464"/>
      <c r="AE1313" s="464"/>
      <c r="AF1313" s="464"/>
      <c r="AG1313" s="464"/>
      <c r="AH1313" s="465"/>
      <c r="AI1313" s="464"/>
    </row>
    <row r="1314" customFormat="false" ht="15" hidden="false" customHeight="true" outlineLevel="0" collapsed="false">
      <c r="A1314" s="455" t="s">
        <v>1753</v>
      </c>
      <c r="C1314" s="456" t="n">
        <v>45621</v>
      </c>
      <c r="D1314" s="456"/>
      <c r="E1314" s="323" t="n">
        <v>14258</v>
      </c>
      <c r="F1314" s="323" t="s">
        <v>175</v>
      </c>
      <c r="G1314" s="323" t="s">
        <v>42</v>
      </c>
      <c r="H1314" s="98" t="n">
        <v>2010</v>
      </c>
      <c r="I1314" s="457" t="n">
        <v>30</v>
      </c>
      <c r="J1314" s="313" t="s">
        <v>1651</v>
      </c>
      <c r="K1314" s="98" t="n">
        <f aca="false">I1314*H1314</f>
        <v>60300</v>
      </c>
      <c r="L1314" s="411" t="n">
        <v>28408</v>
      </c>
      <c r="M1314" s="392" t="n">
        <f aca="false">L1314/K1314</f>
        <v>0.471111111111111</v>
      </c>
      <c r="N1314" s="466" t="n">
        <f aca="false">I1314*M1314</f>
        <v>14.1333333333333</v>
      </c>
      <c r="O1314" s="461" t="n">
        <v>2010</v>
      </c>
      <c r="P1314" s="462" t="n">
        <f aca="false">H1314-O1314</f>
        <v>0</v>
      </c>
      <c r="Q1314" s="463" t="n">
        <f aca="false">O1314*I1314</f>
        <v>60300</v>
      </c>
      <c r="R1314" s="48" t="n">
        <f aca="false">K1314-Q1314</f>
        <v>0</v>
      </c>
      <c r="S1314" s="467"/>
      <c r="T1314" s="2" t="s">
        <v>1711</v>
      </c>
      <c r="V1314" s="464"/>
      <c r="W1314" s="464"/>
      <c r="X1314" s="464"/>
      <c r="Y1314" s="464"/>
      <c r="Z1314" s="464"/>
      <c r="AA1314" s="464"/>
      <c r="AB1314" s="464"/>
      <c r="AC1314" s="464"/>
      <c r="AD1314" s="464"/>
      <c r="AE1314" s="464"/>
      <c r="AF1314" s="464"/>
      <c r="AG1314" s="464"/>
      <c r="AH1314" s="465"/>
      <c r="AI1314" s="464"/>
    </row>
    <row r="1315" customFormat="false" ht="15" hidden="false" customHeight="true" outlineLevel="0" collapsed="false">
      <c r="A1315" s="455" t="s">
        <v>1753</v>
      </c>
      <c r="C1315" s="456" t="n">
        <v>45621</v>
      </c>
      <c r="D1315" s="456"/>
      <c r="E1315" s="323" t="n">
        <v>14258</v>
      </c>
      <c r="F1315" s="323" t="s">
        <v>175</v>
      </c>
      <c r="G1315" s="323" t="s">
        <v>6</v>
      </c>
      <c r="H1315" s="98" t="n">
        <v>5010</v>
      </c>
      <c r="I1315" s="457" t="n">
        <v>30</v>
      </c>
      <c r="J1315" s="313" t="s">
        <v>1651</v>
      </c>
      <c r="K1315" s="98" t="n">
        <f aca="false">I1315*H1315</f>
        <v>150300</v>
      </c>
      <c r="L1315" s="411" t="n">
        <v>57114</v>
      </c>
      <c r="M1315" s="392" t="n">
        <f aca="false">L1315/K1315</f>
        <v>0.38</v>
      </c>
      <c r="N1315" s="466" t="n">
        <f aca="false">I1315*M1315</f>
        <v>11.4</v>
      </c>
      <c r="O1315" s="461" t="n">
        <v>5010</v>
      </c>
      <c r="P1315" s="462" t="n">
        <f aca="false">H1315-O1315</f>
        <v>0</v>
      </c>
      <c r="Q1315" s="463" t="n">
        <f aca="false">O1315*I1315</f>
        <v>150300</v>
      </c>
      <c r="R1315" s="48" t="n">
        <f aca="false">K1315-Q1315</f>
        <v>0</v>
      </c>
      <c r="S1315" s="467"/>
      <c r="T1315" s="2" t="s">
        <v>1711</v>
      </c>
      <c r="V1315" s="464"/>
      <c r="W1315" s="464"/>
      <c r="X1315" s="464"/>
      <c r="Y1315" s="464"/>
      <c r="Z1315" s="464"/>
      <c r="AA1315" s="464"/>
      <c r="AB1315" s="464"/>
      <c r="AC1315" s="464"/>
      <c r="AD1315" s="464"/>
      <c r="AE1315" s="464"/>
      <c r="AF1315" s="464"/>
      <c r="AG1315" s="464"/>
      <c r="AH1315" s="465"/>
      <c r="AI1315" s="464"/>
    </row>
    <row r="1316" customFormat="false" ht="15" hidden="false" customHeight="true" outlineLevel="0" collapsed="false">
      <c r="A1316" s="455" t="s">
        <v>1753</v>
      </c>
      <c r="C1316" s="456" t="n">
        <v>45621</v>
      </c>
      <c r="D1316" s="456"/>
      <c r="E1316" s="323" t="n">
        <v>14258</v>
      </c>
      <c r="F1316" s="323" t="s">
        <v>175</v>
      </c>
      <c r="G1316" s="323" t="s">
        <v>12</v>
      </c>
      <c r="H1316" s="98" t="n">
        <v>10005</v>
      </c>
      <c r="I1316" s="457" t="n">
        <v>18</v>
      </c>
      <c r="J1316" s="313" t="s">
        <v>1651</v>
      </c>
      <c r="K1316" s="98" t="n">
        <f aca="false">I1316*H1316</f>
        <v>180090</v>
      </c>
      <c r="L1316" s="411" t="n">
        <v>497582</v>
      </c>
      <c r="M1316" s="392" t="n">
        <f aca="false">L1316/K1316</f>
        <v>2.76296296296296</v>
      </c>
      <c r="N1316" s="466" t="n">
        <f aca="false">I1316*M1316</f>
        <v>49.7333333333333</v>
      </c>
      <c r="O1316" s="461" t="n">
        <v>10005</v>
      </c>
      <c r="P1316" s="462" t="n">
        <f aca="false">H1316-O1316</f>
        <v>0</v>
      </c>
      <c r="Q1316" s="463" t="n">
        <f aca="false">O1316*I1316</f>
        <v>180090</v>
      </c>
      <c r="R1316" s="48" t="n">
        <f aca="false">K1316-Q1316</f>
        <v>0</v>
      </c>
      <c r="S1316" s="467"/>
      <c r="T1316" s="2" t="s">
        <v>1711</v>
      </c>
      <c r="V1316" s="464"/>
      <c r="W1316" s="464"/>
      <c r="X1316" s="464"/>
      <c r="Y1316" s="464"/>
      <c r="Z1316" s="464"/>
      <c r="AA1316" s="464"/>
      <c r="AB1316" s="464"/>
      <c r="AC1316" s="464"/>
      <c r="AD1316" s="464"/>
      <c r="AE1316" s="464"/>
      <c r="AF1316" s="464"/>
      <c r="AG1316" s="464"/>
      <c r="AH1316" s="465"/>
      <c r="AI1316" s="464"/>
    </row>
    <row r="1317" customFormat="false" ht="15" hidden="false" customHeight="true" outlineLevel="0" collapsed="false">
      <c r="A1317" s="455" t="s">
        <v>1753</v>
      </c>
      <c r="C1317" s="456" t="n">
        <v>45621</v>
      </c>
      <c r="D1317" s="456"/>
      <c r="E1317" s="323" t="n">
        <v>14258</v>
      </c>
      <c r="F1317" s="323" t="s">
        <v>175</v>
      </c>
      <c r="G1317" s="323" t="s">
        <v>13</v>
      </c>
      <c r="H1317" s="98" t="n">
        <v>5010</v>
      </c>
      <c r="I1317" s="457" t="n">
        <v>22.5</v>
      </c>
      <c r="J1317" s="313" t="s">
        <v>1651</v>
      </c>
      <c r="K1317" s="98" t="n">
        <f aca="false">I1317*H1317</f>
        <v>112725</v>
      </c>
      <c r="L1317" s="411" t="n">
        <v>56112</v>
      </c>
      <c r="M1317" s="392" t="n">
        <f aca="false">L1317/K1317</f>
        <v>0.497777777777778</v>
      </c>
      <c r="N1317" s="466" t="n">
        <f aca="false">I1317*M1317</f>
        <v>11.2</v>
      </c>
      <c r="O1317" s="461" t="n">
        <v>5010</v>
      </c>
      <c r="P1317" s="462" t="n">
        <f aca="false">H1317-O1317</f>
        <v>0</v>
      </c>
      <c r="Q1317" s="463" t="n">
        <f aca="false">O1317*I1317</f>
        <v>112725</v>
      </c>
      <c r="R1317" s="48" t="n">
        <f aca="false">K1317-Q1317</f>
        <v>0</v>
      </c>
      <c r="S1317" s="467"/>
      <c r="T1317" s="2" t="s">
        <v>1711</v>
      </c>
      <c r="V1317" s="464"/>
      <c r="W1317" s="464"/>
      <c r="X1317" s="464"/>
      <c r="Y1317" s="464"/>
      <c r="Z1317" s="464"/>
      <c r="AA1317" s="464"/>
      <c r="AB1317" s="464"/>
      <c r="AC1317" s="464"/>
      <c r="AD1317" s="464"/>
      <c r="AE1317" s="464"/>
      <c r="AF1317" s="464"/>
      <c r="AG1317" s="464"/>
      <c r="AH1317" s="465"/>
      <c r="AI1317" s="464"/>
    </row>
    <row r="1318" customFormat="false" ht="15" hidden="false" customHeight="true" outlineLevel="0" collapsed="false">
      <c r="A1318" s="455" t="s">
        <v>1753</v>
      </c>
      <c r="C1318" s="456" t="n">
        <v>45621</v>
      </c>
      <c r="D1318" s="456"/>
      <c r="E1318" s="323" t="n">
        <v>14258</v>
      </c>
      <c r="F1318" s="323" t="s">
        <v>175</v>
      </c>
      <c r="G1318" s="323" t="s">
        <v>15</v>
      </c>
      <c r="H1318" s="98" t="n">
        <v>3000</v>
      </c>
      <c r="I1318" s="457" t="n">
        <v>40</v>
      </c>
      <c r="J1318" s="313" t="s">
        <v>1653</v>
      </c>
      <c r="K1318" s="98" t="n">
        <f aca="false">I1318*H1318</f>
        <v>120000</v>
      </c>
      <c r="L1318" s="411" t="n">
        <v>50640</v>
      </c>
      <c r="M1318" s="392" t="n">
        <f aca="false">L1318/K1318</f>
        <v>0.422</v>
      </c>
      <c r="N1318" s="466" t="n">
        <f aca="false">I1318*M1318</f>
        <v>16.88</v>
      </c>
      <c r="O1318" s="461" t="n">
        <v>3000</v>
      </c>
      <c r="P1318" s="462" t="n">
        <f aca="false">H1318-O1318</f>
        <v>0</v>
      </c>
      <c r="Q1318" s="463" t="n">
        <f aca="false">O1318*I1318</f>
        <v>120000</v>
      </c>
      <c r="R1318" s="48" t="n">
        <f aca="false">K1318-Q1318</f>
        <v>0</v>
      </c>
      <c r="S1318" s="467"/>
      <c r="T1318" s="2" t="s">
        <v>1711</v>
      </c>
      <c r="V1318" s="464"/>
      <c r="W1318" s="464"/>
      <c r="X1318" s="464"/>
      <c r="Y1318" s="464"/>
      <c r="Z1318" s="464"/>
      <c r="AA1318" s="464"/>
      <c r="AB1318" s="464"/>
      <c r="AC1318" s="464"/>
      <c r="AD1318" s="464"/>
      <c r="AE1318" s="464"/>
      <c r="AF1318" s="464"/>
      <c r="AG1318" s="464"/>
      <c r="AH1318" s="465"/>
      <c r="AI1318" s="464"/>
    </row>
    <row r="1319" customFormat="false" ht="15" hidden="false" customHeight="true" outlineLevel="0" collapsed="false">
      <c r="A1319" s="455" t="s">
        <v>1753</v>
      </c>
      <c r="C1319" s="456" t="n">
        <v>45621</v>
      </c>
      <c r="D1319" s="456"/>
      <c r="E1319" s="323" t="n">
        <v>14258</v>
      </c>
      <c r="F1319" s="323" t="s">
        <v>175</v>
      </c>
      <c r="G1319" s="323" t="s">
        <v>21</v>
      </c>
      <c r="H1319" s="98" t="n">
        <v>3000</v>
      </c>
      <c r="I1319" s="457" t="n">
        <v>1</v>
      </c>
      <c r="J1319" s="313" t="s">
        <v>1653</v>
      </c>
      <c r="K1319" s="98" t="n">
        <f aca="false">I1319*H1319</f>
        <v>3000</v>
      </c>
      <c r="L1319" s="411" t="n">
        <v>15000</v>
      </c>
      <c r="M1319" s="392" t="n">
        <f aca="false">L1319/K1319</f>
        <v>5</v>
      </c>
      <c r="N1319" s="466" t="n">
        <f aca="false">I1319*M1319</f>
        <v>5</v>
      </c>
      <c r="O1319" s="461" t="n">
        <v>3000</v>
      </c>
      <c r="P1319" s="462" t="n">
        <f aca="false">H1319-O1319</f>
        <v>0</v>
      </c>
      <c r="Q1319" s="463" t="n">
        <f aca="false">O1319*I1319</f>
        <v>3000</v>
      </c>
      <c r="R1319" s="48" t="n">
        <f aca="false">K1319-Q1319</f>
        <v>0</v>
      </c>
      <c r="S1319" s="467"/>
      <c r="T1319" s="2" t="s">
        <v>1711</v>
      </c>
      <c r="V1319" s="464"/>
      <c r="W1319" s="464"/>
      <c r="X1319" s="464"/>
      <c r="Y1319" s="464"/>
      <c r="Z1319" s="464"/>
      <c r="AA1319" s="464"/>
      <c r="AB1319" s="464"/>
      <c r="AC1319" s="464"/>
      <c r="AD1319" s="464"/>
      <c r="AE1319" s="464"/>
      <c r="AF1319" s="464"/>
      <c r="AG1319" s="464"/>
      <c r="AH1319" s="465"/>
      <c r="AI1319" s="464"/>
    </row>
    <row r="1320" customFormat="false" ht="15" hidden="false" customHeight="true" outlineLevel="0" collapsed="false">
      <c r="A1320" s="455" t="s">
        <v>1753</v>
      </c>
      <c r="C1320" s="456" t="n">
        <v>45621</v>
      </c>
      <c r="D1320" s="456"/>
      <c r="E1320" s="57" t="n">
        <v>14259</v>
      </c>
      <c r="F1320" s="323" t="s">
        <v>175</v>
      </c>
      <c r="G1320" s="323" t="s">
        <v>15</v>
      </c>
      <c r="H1320" s="98" t="n">
        <v>3000</v>
      </c>
      <c r="I1320" s="457" t="n">
        <v>22.5</v>
      </c>
      <c r="J1320" s="313" t="s">
        <v>1651</v>
      </c>
      <c r="K1320" s="98" t="n">
        <f aca="false">I1320*H1320</f>
        <v>67500</v>
      </c>
      <c r="L1320" s="411" t="n">
        <v>39000</v>
      </c>
      <c r="M1320" s="392" t="n">
        <f aca="false">L1320/K1320</f>
        <v>0.577777777777778</v>
      </c>
      <c r="N1320" s="466" t="n">
        <f aca="false">I1320*M1320</f>
        <v>13</v>
      </c>
      <c r="O1320" s="461" t="n">
        <v>3000</v>
      </c>
      <c r="P1320" s="462" t="n">
        <f aca="false">H1320-O1320</f>
        <v>0</v>
      </c>
      <c r="Q1320" s="463" t="n">
        <f aca="false">O1320*I1320</f>
        <v>67500</v>
      </c>
      <c r="R1320" s="48" t="n">
        <f aca="false">K1320-Q1320</f>
        <v>0</v>
      </c>
      <c r="S1320" s="467"/>
      <c r="T1320" s="2" t="s">
        <v>1711</v>
      </c>
      <c r="V1320" s="464"/>
      <c r="W1320" s="464"/>
      <c r="X1320" s="464"/>
      <c r="Y1320" s="464"/>
      <c r="Z1320" s="464"/>
      <c r="AA1320" s="464"/>
      <c r="AB1320" s="464"/>
      <c r="AC1320" s="464"/>
      <c r="AD1320" s="464"/>
      <c r="AE1320" s="464"/>
      <c r="AF1320" s="464"/>
      <c r="AG1320" s="464"/>
      <c r="AH1320" s="465"/>
      <c r="AI1320" s="464"/>
    </row>
    <row r="1321" customFormat="false" ht="15" hidden="false" customHeight="true" outlineLevel="0" collapsed="false">
      <c r="A1321" s="455" t="s">
        <v>1753</v>
      </c>
      <c r="C1321" s="456" t="n">
        <v>45621</v>
      </c>
      <c r="D1321" s="456"/>
      <c r="E1321" s="57" t="n">
        <v>14260</v>
      </c>
      <c r="F1321" s="323" t="s">
        <v>175</v>
      </c>
      <c r="G1321" s="323" t="s">
        <v>42</v>
      </c>
      <c r="H1321" s="98" t="n">
        <v>2010</v>
      </c>
      <c r="I1321" s="457" t="n">
        <v>30</v>
      </c>
      <c r="J1321" s="313" t="s">
        <v>1651</v>
      </c>
      <c r="K1321" s="98" t="n">
        <f aca="false">I1321*H1321</f>
        <v>60300</v>
      </c>
      <c r="L1321" s="411" t="n">
        <v>28408</v>
      </c>
      <c r="M1321" s="392" t="n">
        <f aca="false">L1321/K1321</f>
        <v>0.471111111111111</v>
      </c>
      <c r="N1321" s="466" t="n">
        <f aca="false">I1321*M1321</f>
        <v>14.1333333333333</v>
      </c>
      <c r="O1321" s="461" t="n">
        <v>2010</v>
      </c>
      <c r="P1321" s="462" t="n">
        <f aca="false">H1321-O1321</f>
        <v>0</v>
      </c>
      <c r="Q1321" s="463" t="n">
        <f aca="false">O1321*I1321</f>
        <v>60300</v>
      </c>
      <c r="R1321" s="48" t="n">
        <f aca="false">K1321-Q1321</f>
        <v>0</v>
      </c>
      <c r="S1321" s="467"/>
      <c r="T1321" s="2" t="s">
        <v>1711</v>
      </c>
      <c r="V1321" s="464"/>
      <c r="W1321" s="464"/>
      <c r="X1321" s="464"/>
      <c r="Y1321" s="464"/>
      <c r="Z1321" s="464"/>
      <c r="AA1321" s="464"/>
      <c r="AB1321" s="464"/>
      <c r="AC1321" s="464"/>
      <c r="AD1321" s="464"/>
      <c r="AE1321" s="464"/>
      <c r="AF1321" s="464"/>
      <c r="AG1321" s="464"/>
      <c r="AH1321" s="465"/>
      <c r="AI1321" s="464"/>
    </row>
    <row r="1322" customFormat="false" ht="15" hidden="false" customHeight="true" outlineLevel="0" collapsed="false">
      <c r="A1322" s="455" t="s">
        <v>1753</v>
      </c>
      <c r="C1322" s="456" t="n">
        <v>45621</v>
      </c>
      <c r="D1322" s="456"/>
      <c r="E1322" s="323" t="n">
        <v>14260</v>
      </c>
      <c r="F1322" s="323" t="s">
        <v>175</v>
      </c>
      <c r="G1322" s="323" t="s">
        <v>13</v>
      </c>
      <c r="H1322" s="98" t="n">
        <v>3000</v>
      </c>
      <c r="I1322" s="457" t="n">
        <v>40</v>
      </c>
      <c r="J1322" s="313" t="s">
        <v>1653</v>
      </c>
      <c r="K1322" s="98" t="n">
        <f aca="false">I1322*H1322</f>
        <v>120000</v>
      </c>
      <c r="L1322" s="411" t="n">
        <v>33600</v>
      </c>
      <c r="M1322" s="392" t="n">
        <f aca="false">L1322/K1322</f>
        <v>0.28</v>
      </c>
      <c r="N1322" s="466" t="n">
        <f aca="false">I1322*M1322</f>
        <v>11.2</v>
      </c>
      <c r="O1322" s="461" t="n">
        <v>3000</v>
      </c>
      <c r="P1322" s="462" t="n">
        <f aca="false">H1322-O1322</f>
        <v>0</v>
      </c>
      <c r="Q1322" s="463" t="n">
        <f aca="false">O1322*I1322</f>
        <v>120000</v>
      </c>
      <c r="R1322" s="48" t="n">
        <f aca="false">K1322-Q1322</f>
        <v>0</v>
      </c>
      <c r="S1322" s="467"/>
      <c r="T1322" s="2" t="s">
        <v>1711</v>
      </c>
      <c r="V1322" s="464"/>
      <c r="W1322" s="464"/>
      <c r="X1322" s="464"/>
      <c r="Y1322" s="464"/>
      <c r="Z1322" s="464"/>
      <c r="AA1322" s="464"/>
      <c r="AB1322" s="464"/>
      <c r="AC1322" s="464"/>
      <c r="AD1322" s="464"/>
      <c r="AE1322" s="464"/>
      <c r="AF1322" s="464"/>
      <c r="AG1322" s="464"/>
      <c r="AH1322" s="465"/>
      <c r="AI1322" s="464"/>
    </row>
    <row r="1323" customFormat="false" ht="15" hidden="false" customHeight="true" outlineLevel="0" collapsed="false">
      <c r="A1323" s="455" t="s">
        <v>1753</v>
      </c>
      <c r="C1323" s="456" t="n">
        <v>45621</v>
      </c>
      <c r="D1323" s="456"/>
      <c r="E1323" s="323" t="n">
        <v>14260</v>
      </c>
      <c r="F1323" s="323" t="s">
        <v>175</v>
      </c>
      <c r="G1323" s="323" t="s">
        <v>7</v>
      </c>
      <c r="H1323" s="98" t="n">
        <v>2010</v>
      </c>
      <c r="I1323" s="457" t="n">
        <v>25.71</v>
      </c>
      <c r="J1323" s="313" t="s">
        <v>1651</v>
      </c>
      <c r="K1323" s="98" t="n">
        <f aca="false">I1323*H1323</f>
        <v>51677.1</v>
      </c>
      <c r="L1323" s="411" t="n">
        <v>23715</v>
      </c>
      <c r="M1323" s="392" t="n">
        <f aca="false">L1323/K1323</f>
        <v>0.458907330326199</v>
      </c>
      <c r="N1323" s="466" t="n">
        <f aca="false">I1323*M1323</f>
        <v>11.7985074626866</v>
      </c>
      <c r="O1323" s="461" t="n">
        <v>2010</v>
      </c>
      <c r="P1323" s="462" t="n">
        <f aca="false">H1323-O1323</f>
        <v>0</v>
      </c>
      <c r="Q1323" s="463" t="n">
        <f aca="false">O1323*I1323</f>
        <v>51677.1</v>
      </c>
      <c r="R1323" s="48" t="n">
        <f aca="false">K1323-Q1323</f>
        <v>0</v>
      </c>
      <c r="S1323" s="467"/>
      <c r="T1323" s="2" t="s">
        <v>1711</v>
      </c>
      <c r="V1323" s="464"/>
      <c r="W1323" s="464"/>
      <c r="X1323" s="464"/>
      <c r="Y1323" s="464"/>
      <c r="Z1323" s="464"/>
      <c r="AA1323" s="464"/>
      <c r="AB1323" s="464"/>
      <c r="AC1323" s="464"/>
      <c r="AD1323" s="464"/>
      <c r="AE1323" s="464"/>
      <c r="AF1323" s="464"/>
      <c r="AG1323" s="464"/>
      <c r="AH1323" s="465"/>
      <c r="AI1323" s="464"/>
    </row>
    <row r="1324" customFormat="false" ht="15" hidden="false" customHeight="true" outlineLevel="0" collapsed="false">
      <c r="A1324" s="455" t="s">
        <v>1753</v>
      </c>
      <c r="C1324" s="456" t="n">
        <v>45621</v>
      </c>
      <c r="D1324" s="456"/>
      <c r="E1324" s="57" t="n">
        <v>14260</v>
      </c>
      <c r="F1324" s="323" t="s">
        <v>175</v>
      </c>
      <c r="G1324" s="323" t="s">
        <v>5</v>
      </c>
      <c r="H1324" s="98" t="n">
        <v>3000</v>
      </c>
      <c r="I1324" s="457" t="n">
        <v>25.71</v>
      </c>
      <c r="J1324" s="313" t="s">
        <v>1651</v>
      </c>
      <c r="K1324" s="98" t="n">
        <f aca="false">I1324*H1324</f>
        <v>77130</v>
      </c>
      <c r="L1324" s="411" t="n">
        <v>33600</v>
      </c>
      <c r="M1324" s="392" t="n">
        <f aca="false">L1324/K1324</f>
        <v>0.43562816024893</v>
      </c>
      <c r="N1324" s="466" t="n">
        <f aca="false">I1324*M1324</f>
        <v>11.2</v>
      </c>
      <c r="O1324" s="461" t="n">
        <v>3000</v>
      </c>
      <c r="P1324" s="462" t="n">
        <f aca="false">H1324-O1324</f>
        <v>0</v>
      </c>
      <c r="Q1324" s="463" t="n">
        <f aca="false">O1324*I1324</f>
        <v>77130</v>
      </c>
      <c r="R1324" s="48" t="n">
        <f aca="false">K1324-Q1324</f>
        <v>0</v>
      </c>
      <c r="S1324" s="467"/>
      <c r="T1324" s="2" t="s">
        <v>1711</v>
      </c>
      <c r="V1324" s="464"/>
      <c r="W1324" s="464"/>
      <c r="X1324" s="464"/>
      <c r="Y1324" s="464"/>
      <c r="Z1324" s="464"/>
      <c r="AA1324" s="464"/>
      <c r="AB1324" s="464"/>
      <c r="AC1324" s="464"/>
      <c r="AD1324" s="464"/>
      <c r="AE1324" s="464"/>
      <c r="AF1324" s="464"/>
      <c r="AG1324" s="464"/>
      <c r="AH1324" s="465"/>
      <c r="AI1324" s="464"/>
    </row>
    <row r="1325" customFormat="false" ht="15" hidden="false" customHeight="true" outlineLevel="0" collapsed="false">
      <c r="A1325" s="455" t="s">
        <v>1753</v>
      </c>
      <c r="C1325" s="456" t="n">
        <v>45621</v>
      </c>
      <c r="D1325" s="456"/>
      <c r="E1325" s="57" t="n">
        <v>14260</v>
      </c>
      <c r="F1325" s="323" t="s">
        <v>175</v>
      </c>
      <c r="G1325" s="323" t="s">
        <v>13</v>
      </c>
      <c r="H1325" s="98" t="n">
        <v>3000</v>
      </c>
      <c r="I1325" s="457" t="n">
        <v>22.5</v>
      </c>
      <c r="J1325" s="313" t="s">
        <v>1651</v>
      </c>
      <c r="K1325" s="98" t="n">
        <f aca="false">I1325*H1325</f>
        <v>67500</v>
      </c>
      <c r="L1325" s="411" t="n">
        <v>33600</v>
      </c>
      <c r="M1325" s="392" t="n">
        <f aca="false">L1325/K1325</f>
        <v>0.497777777777778</v>
      </c>
      <c r="N1325" s="466" t="n">
        <f aca="false">I1325*M1325</f>
        <v>11.2</v>
      </c>
      <c r="O1325" s="461" t="n">
        <v>3000</v>
      </c>
      <c r="P1325" s="462" t="n">
        <f aca="false">H1325-O1325</f>
        <v>0</v>
      </c>
      <c r="Q1325" s="463" t="n">
        <f aca="false">O1325*I1325</f>
        <v>67500</v>
      </c>
      <c r="R1325" s="48" t="n">
        <f aca="false">K1325-Q1325</f>
        <v>0</v>
      </c>
      <c r="S1325" s="467"/>
      <c r="T1325" s="2" t="s">
        <v>1711</v>
      </c>
      <c r="V1325" s="464"/>
      <c r="W1325" s="464"/>
      <c r="X1325" s="464"/>
      <c r="Y1325" s="464"/>
      <c r="Z1325" s="464"/>
      <c r="AA1325" s="464"/>
      <c r="AB1325" s="464"/>
      <c r="AC1325" s="464"/>
      <c r="AD1325" s="464"/>
      <c r="AE1325" s="464"/>
      <c r="AF1325" s="464"/>
      <c r="AG1325" s="464"/>
      <c r="AH1325" s="465"/>
      <c r="AI1325" s="464"/>
    </row>
    <row r="1326" customFormat="false" ht="15" hidden="false" customHeight="true" outlineLevel="0" collapsed="false">
      <c r="A1326" s="455" t="s">
        <v>1753</v>
      </c>
      <c r="C1326" s="456" t="n">
        <v>45621</v>
      </c>
      <c r="D1326" s="456"/>
      <c r="E1326" s="57" t="n">
        <v>14261</v>
      </c>
      <c r="F1326" s="323" t="s">
        <v>175</v>
      </c>
      <c r="G1326" s="323" t="s">
        <v>7</v>
      </c>
      <c r="H1326" s="98" t="n">
        <v>3000</v>
      </c>
      <c r="I1326" s="457" t="n">
        <v>25.71</v>
      </c>
      <c r="J1326" s="313" t="s">
        <v>1651</v>
      </c>
      <c r="K1326" s="98" t="n">
        <f aca="false">I1326*H1326</f>
        <v>77130</v>
      </c>
      <c r="L1326" s="411" t="n">
        <v>35400</v>
      </c>
      <c r="M1326" s="392" t="n">
        <f aca="false">L1326/K1326</f>
        <v>0.458965383119409</v>
      </c>
      <c r="N1326" s="466" t="n">
        <f aca="false">I1326*M1326</f>
        <v>11.8</v>
      </c>
      <c r="O1326" s="461" t="n">
        <v>3000</v>
      </c>
      <c r="P1326" s="462" t="n">
        <f aca="false">H1326-O1326</f>
        <v>0</v>
      </c>
      <c r="Q1326" s="463" t="n">
        <f aca="false">O1326*I1326</f>
        <v>77130</v>
      </c>
      <c r="R1326" s="48" t="n">
        <f aca="false">K1326-Q1326</f>
        <v>0</v>
      </c>
      <c r="S1326" s="467"/>
      <c r="T1326" s="2" t="s">
        <v>1711</v>
      </c>
      <c r="V1326" s="464"/>
      <c r="W1326" s="464"/>
      <c r="X1326" s="464"/>
      <c r="Y1326" s="464"/>
      <c r="Z1326" s="464"/>
      <c r="AA1326" s="464"/>
      <c r="AB1326" s="464"/>
      <c r="AC1326" s="464"/>
      <c r="AD1326" s="464"/>
      <c r="AE1326" s="464"/>
      <c r="AF1326" s="464"/>
      <c r="AG1326" s="464"/>
      <c r="AH1326" s="465"/>
      <c r="AI1326" s="464"/>
    </row>
    <row r="1327" customFormat="false" ht="15" hidden="false" customHeight="true" outlineLevel="0" collapsed="false">
      <c r="A1327" s="455" t="s">
        <v>1753</v>
      </c>
      <c r="C1327" s="456" t="n">
        <v>45621</v>
      </c>
      <c r="D1327" s="456"/>
      <c r="E1327" s="57" t="n">
        <v>14261</v>
      </c>
      <c r="F1327" s="323" t="s">
        <v>175</v>
      </c>
      <c r="G1327" s="323" t="s">
        <v>5</v>
      </c>
      <c r="H1327" s="98" t="n">
        <v>2010</v>
      </c>
      <c r="I1327" s="457" t="n">
        <v>25.71</v>
      </c>
      <c r="J1327" s="313" t="s">
        <v>1651</v>
      </c>
      <c r="K1327" s="98" t="n">
        <f aca="false">I1327*H1327</f>
        <v>51677.1</v>
      </c>
      <c r="L1327" s="411" t="n">
        <v>22512</v>
      </c>
      <c r="M1327" s="392" t="n">
        <f aca="false">L1327/K1327</f>
        <v>0.43562816024893</v>
      </c>
      <c r="N1327" s="466" t="n">
        <f aca="false">I1327*M1327</f>
        <v>11.2</v>
      </c>
      <c r="O1327" s="461" t="n">
        <v>2010</v>
      </c>
      <c r="P1327" s="462" t="n">
        <f aca="false">H1327-O1327</f>
        <v>0</v>
      </c>
      <c r="Q1327" s="463" t="n">
        <f aca="false">O1327*I1327</f>
        <v>51677.1</v>
      </c>
      <c r="R1327" s="48" t="n">
        <f aca="false">K1327-Q1327</f>
        <v>0</v>
      </c>
      <c r="S1327" s="467"/>
      <c r="T1327" s="2" t="s">
        <v>1711</v>
      </c>
      <c r="V1327" s="464"/>
      <c r="W1327" s="464"/>
      <c r="X1327" s="464"/>
      <c r="Y1327" s="464"/>
      <c r="Z1327" s="464"/>
      <c r="AA1327" s="464"/>
      <c r="AB1327" s="464"/>
      <c r="AC1327" s="464"/>
      <c r="AD1327" s="464"/>
      <c r="AE1327" s="464"/>
      <c r="AF1327" s="464"/>
      <c r="AG1327" s="464"/>
      <c r="AH1327" s="465"/>
      <c r="AI1327" s="464"/>
    </row>
    <row r="1328" customFormat="false" ht="15" hidden="false" customHeight="true" outlineLevel="0" collapsed="false">
      <c r="A1328" s="455" t="s">
        <v>1753</v>
      </c>
      <c r="C1328" s="456" t="n">
        <v>45621</v>
      </c>
      <c r="D1328" s="456"/>
      <c r="E1328" s="57" t="n">
        <v>14261</v>
      </c>
      <c r="F1328" s="323" t="s">
        <v>175</v>
      </c>
      <c r="G1328" s="323" t="s">
        <v>42</v>
      </c>
      <c r="H1328" s="98" t="n">
        <v>4005</v>
      </c>
      <c r="I1328" s="457" t="n">
        <v>30</v>
      </c>
      <c r="J1328" s="313" t="s">
        <v>1651</v>
      </c>
      <c r="K1328" s="98" t="n">
        <f aca="false">I1328*H1328</f>
        <v>120150</v>
      </c>
      <c r="L1328" s="411" t="n">
        <v>56604</v>
      </c>
      <c r="M1328" s="392" t="n">
        <f aca="false">L1328/K1328</f>
        <v>0.471111111111111</v>
      </c>
      <c r="N1328" s="466" t="n">
        <f aca="false">I1328*M1328</f>
        <v>14.1333333333333</v>
      </c>
      <c r="O1328" s="461" t="n">
        <v>4005</v>
      </c>
      <c r="P1328" s="462" t="n">
        <f aca="false">H1328-O1328</f>
        <v>0</v>
      </c>
      <c r="Q1328" s="463" t="n">
        <f aca="false">O1328*I1328</f>
        <v>120150</v>
      </c>
      <c r="R1328" s="48" t="n">
        <f aca="false">K1328-Q1328</f>
        <v>0</v>
      </c>
      <c r="S1328" s="467"/>
      <c r="T1328" s="2" t="s">
        <v>1711</v>
      </c>
      <c r="V1328" s="464"/>
      <c r="W1328" s="464"/>
      <c r="X1328" s="464"/>
      <c r="Y1328" s="464"/>
      <c r="Z1328" s="464"/>
      <c r="AA1328" s="464"/>
      <c r="AB1328" s="464"/>
      <c r="AC1328" s="464"/>
      <c r="AD1328" s="464"/>
      <c r="AE1328" s="464"/>
      <c r="AF1328" s="464"/>
      <c r="AG1328" s="464"/>
      <c r="AH1328" s="465"/>
      <c r="AI1328" s="464"/>
    </row>
    <row r="1329" customFormat="false" ht="15" hidden="false" customHeight="true" outlineLevel="0" collapsed="false">
      <c r="A1329" s="455" t="s">
        <v>1753</v>
      </c>
      <c r="C1329" s="456" t="n">
        <v>45621</v>
      </c>
      <c r="D1329" s="456"/>
      <c r="E1329" s="57" t="n">
        <v>14261</v>
      </c>
      <c r="F1329" s="323" t="s">
        <v>175</v>
      </c>
      <c r="G1329" s="323" t="s">
        <v>13</v>
      </c>
      <c r="H1329" s="98" t="n">
        <v>3000</v>
      </c>
      <c r="I1329" s="457" t="n">
        <v>40</v>
      </c>
      <c r="J1329" s="313" t="s">
        <v>1653</v>
      </c>
      <c r="K1329" s="98" t="n">
        <f aca="false">I1329*H1329</f>
        <v>120000</v>
      </c>
      <c r="L1329" s="411" t="n">
        <v>33600</v>
      </c>
      <c r="M1329" s="392" t="n">
        <f aca="false">L1329/K1329</f>
        <v>0.28</v>
      </c>
      <c r="N1329" s="466" t="n">
        <f aca="false">I1329*M1329</f>
        <v>11.2</v>
      </c>
      <c r="O1329" s="461" t="n">
        <v>3000</v>
      </c>
      <c r="P1329" s="462" t="n">
        <f aca="false">H1329-O1329</f>
        <v>0</v>
      </c>
      <c r="Q1329" s="463" t="n">
        <f aca="false">O1329*I1329</f>
        <v>120000</v>
      </c>
      <c r="R1329" s="48" t="n">
        <f aca="false">K1329-Q1329</f>
        <v>0</v>
      </c>
      <c r="S1329" s="467"/>
      <c r="T1329" s="2" t="s">
        <v>1711</v>
      </c>
      <c r="V1329" s="464"/>
      <c r="W1329" s="464"/>
      <c r="X1329" s="464"/>
      <c r="Y1329" s="464"/>
      <c r="Z1329" s="464"/>
      <c r="AA1329" s="464"/>
      <c r="AB1329" s="464"/>
      <c r="AC1329" s="464"/>
      <c r="AD1329" s="464"/>
      <c r="AE1329" s="464"/>
      <c r="AF1329" s="464"/>
      <c r="AG1329" s="464"/>
      <c r="AH1329" s="465"/>
      <c r="AI1329" s="464"/>
    </row>
    <row r="1330" customFormat="false" ht="15" hidden="false" customHeight="true" outlineLevel="0" collapsed="false">
      <c r="A1330" s="455" t="s">
        <v>58</v>
      </c>
      <c r="C1330" s="456" t="n">
        <v>45621</v>
      </c>
      <c r="D1330" s="456"/>
      <c r="E1330" s="57" t="n">
        <v>14262</v>
      </c>
      <c r="F1330" s="323" t="s">
        <v>175</v>
      </c>
      <c r="G1330" s="323" t="s">
        <v>42</v>
      </c>
      <c r="H1330" s="98" t="n">
        <v>300</v>
      </c>
      <c r="I1330" s="457" t="n">
        <v>30</v>
      </c>
      <c r="J1330" s="313" t="s">
        <v>1651</v>
      </c>
      <c r="K1330" s="98" t="n">
        <f aca="false">I1330*H1330</f>
        <v>9000</v>
      </c>
      <c r="L1330" s="411" t="n">
        <v>5130</v>
      </c>
      <c r="M1330" s="392" t="n">
        <f aca="false">L1330/K1330</f>
        <v>0.57</v>
      </c>
      <c r="N1330" s="466" t="n">
        <f aca="false">I1330*M1330</f>
        <v>17.1</v>
      </c>
      <c r="O1330" s="461" t="n">
        <v>300</v>
      </c>
      <c r="P1330" s="462" t="n">
        <f aca="false">H1330-O1330</f>
        <v>0</v>
      </c>
      <c r="Q1330" s="463" t="n">
        <f aca="false">O1330*I1330</f>
        <v>9000</v>
      </c>
      <c r="R1330" s="48" t="n">
        <f aca="false">K1330-Q1330</f>
        <v>0</v>
      </c>
      <c r="S1330" s="467"/>
      <c r="T1330" s="2" t="s">
        <v>1711</v>
      </c>
      <c r="V1330" s="464"/>
      <c r="W1330" s="464"/>
      <c r="X1330" s="464"/>
      <c r="Y1330" s="464"/>
      <c r="Z1330" s="464"/>
      <c r="AA1330" s="464"/>
      <c r="AB1330" s="464"/>
      <c r="AC1330" s="464"/>
      <c r="AD1330" s="464"/>
      <c r="AE1330" s="464"/>
      <c r="AF1330" s="464"/>
      <c r="AG1330" s="464"/>
      <c r="AH1330" s="465"/>
      <c r="AI1330" s="464"/>
    </row>
    <row r="1331" customFormat="false" ht="15" hidden="false" customHeight="true" outlineLevel="0" collapsed="false">
      <c r="A1331" s="455" t="s">
        <v>58</v>
      </c>
      <c r="C1331" s="456" t="n">
        <v>45621</v>
      </c>
      <c r="D1331" s="456"/>
      <c r="E1331" s="57" t="n">
        <v>14262</v>
      </c>
      <c r="F1331" s="323" t="s">
        <v>175</v>
      </c>
      <c r="G1331" s="323" t="s">
        <v>6</v>
      </c>
      <c r="H1331" s="98" t="n">
        <v>300</v>
      </c>
      <c r="I1331" s="457" t="n">
        <v>45</v>
      </c>
      <c r="J1331" s="313" t="s">
        <v>1652</v>
      </c>
      <c r="K1331" s="98" t="n">
        <f aca="false">I1331*H1331</f>
        <v>13500</v>
      </c>
      <c r="L1331" s="411" t="n">
        <v>7440</v>
      </c>
      <c r="M1331" s="392" t="n">
        <f aca="false">L1331/K1331</f>
        <v>0.551111111111111</v>
      </c>
      <c r="N1331" s="466" t="n">
        <f aca="false">I1331*M1331</f>
        <v>24.8</v>
      </c>
      <c r="O1331" s="461" t="n">
        <v>300</v>
      </c>
      <c r="P1331" s="462" t="n">
        <f aca="false">H1331-O1331</f>
        <v>0</v>
      </c>
      <c r="Q1331" s="463" t="n">
        <f aca="false">O1331*I1331</f>
        <v>13500</v>
      </c>
      <c r="R1331" s="48" t="n">
        <f aca="false">K1331-Q1331</f>
        <v>0</v>
      </c>
      <c r="S1331" s="467"/>
      <c r="T1331" s="2" t="s">
        <v>1711</v>
      </c>
      <c r="V1331" s="464"/>
      <c r="W1331" s="464"/>
      <c r="X1331" s="464"/>
      <c r="Y1331" s="464"/>
      <c r="Z1331" s="464"/>
      <c r="AA1331" s="464"/>
      <c r="AB1331" s="464"/>
      <c r="AC1331" s="464"/>
      <c r="AD1331" s="464"/>
      <c r="AE1331" s="464"/>
      <c r="AF1331" s="464"/>
      <c r="AG1331" s="464"/>
      <c r="AH1331" s="465"/>
      <c r="AI1331" s="464"/>
    </row>
    <row r="1332" customFormat="false" ht="15" hidden="false" customHeight="true" outlineLevel="0" collapsed="false">
      <c r="A1332" s="455" t="s">
        <v>1976</v>
      </c>
      <c r="C1332" s="456" t="n">
        <v>45622</v>
      </c>
      <c r="D1332" s="456"/>
      <c r="E1332" s="57" t="n">
        <v>14263</v>
      </c>
      <c r="F1332" s="323" t="s">
        <v>175</v>
      </c>
      <c r="G1332" s="323" t="s">
        <v>42</v>
      </c>
      <c r="H1332" s="98" t="n">
        <v>300</v>
      </c>
      <c r="I1332" s="457" t="n">
        <v>30</v>
      </c>
      <c r="J1332" s="313" t="s">
        <v>1651</v>
      </c>
      <c r="K1332" s="98" t="n">
        <f aca="false">I1332*H1332</f>
        <v>9000</v>
      </c>
      <c r="L1332" s="411" t="n">
        <v>6300</v>
      </c>
      <c r="M1332" s="392" t="n">
        <f aca="false">L1332/K1332</f>
        <v>0.7</v>
      </c>
      <c r="N1332" s="466" t="n">
        <f aca="false">I1332*M1332</f>
        <v>21</v>
      </c>
      <c r="O1332" s="461" t="n">
        <v>300</v>
      </c>
      <c r="P1332" s="462" t="n">
        <f aca="false">H1332-O1332</f>
        <v>0</v>
      </c>
      <c r="Q1332" s="463" t="n">
        <f aca="false">O1332*I1332</f>
        <v>9000</v>
      </c>
      <c r="R1332" s="48" t="n">
        <f aca="false">K1332-Q1332</f>
        <v>0</v>
      </c>
      <c r="S1332" s="467"/>
      <c r="T1332" s="2" t="s">
        <v>1711</v>
      </c>
      <c r="V1332" s="464"/>
      <c r="W1332" s="464"/>
      <c r="X1332" s="464"/>
      <c r="Y1332" s="464"/>
      <c r="Z1332" s="464"/>
      <c r="AA1332" s="464"/>
      <c r="AB1332" s="464"/>
      <c r="AC1332" s="464"/>
      <c r="AD1332" s="464"/>
      <c r="AE1332" s="464"/>
      <c r="AF1332" s="464"/>
      <c r="AG1332" s="464"/>
      <c r="AH1332" s="465"/>
      <c r="AI1332" s="464"/>
    </row>
    <row r="1333" customFormat="false" ht="15" hidden="false" customHeight="true" outlineLevel="0" collapsed="false">
      <c r="A1333" s="455" t="s">
        <v>1977</v>
      </c>
      <c r="C1333" s="456" t="n">
        <v>45622</v>
      </c>
      <c r="D1333" s="456"/>
      <c r="E1333" s="57" t="n">
        <v>14264</v>
      </c>
      <c r="F1333" s="323" t="s">
        <v>175</v>
      </c>
      <c r="G1333" s="323" t="s">
        <v>10</v>
      </c>
      <c r="H1333" s="98" t="n">
        <v>1500</v>
      </c>
      <c r="I1333" s="457" t="n">
        <v>25.71</v>
      </c>
      <c r="J1333" s="313" t="s">
        <v>1651</v>
      </c>
      <c r="K1333" s="98" t="n">
        <f aca="false">I1333*H1333</f>
        <v>38565</v>
      </c>
      <c r="L1333" s="411" t="n">
        <v>19095</v>
      </c>
      <c r="M1333" s="392" t="n">
        <f aca="false">L1333/K1333</f>
        <v>0.49513807856865</v>
      </c>
      <c r="N1333" s="466" t="n">
        <f aca="false">I1333*M1333</f>
        <v>12.73</v>
      </c>
      <c r="O1333" s="461" t="n">
        <v>1500</v>
      </c>
      <c r="P1333" s="462" t="n">
        <f aca="false">H1333-O1333</f>
        <v>0</v>
      </c>
      <c r="Q1333" s="463" t="n">
        <f aca="false">O1333*I1333</f>
        <v>38565</v>
      </c>
      <c r="R1333" s="48" t="n">
        <f aca="false">K1333-Q1333</f>
        <v>0</v>
      </c>
      <c r="S1333" s="467"/>
      <c r="T1333" s="2" t="s">
        <v>1711</v>
      </c>
      <c r="V1333" s="464"/>
      <c r="W1333" s="464"/>
      <c r="X1333" s="464"/>
      <c r="Y1333" s="464"/>
      <c r="Z1333" s="464"/>
      <c r="AA1333" s="464"/>
      <c r="AB1333" s="464"/>
      <c r="AC1333" s="464"/>
      <c r="AD1333" s="464"/>
      <c r="AE1333" s="464"/>
      <c r="AF1333" s="464"/>
      <c r="AG1333" s="464"/>
      <c r="AH1333" s="465"/>
      <c r="AI1333" s="464"/>
    </row>
    <row r="1334" customFormat="false" ht="15" hidden="false" customHeight="true" outlineLevel="0" collapsed="false">
      <c r="A1334" s="455" t="s">
        <v>1755</v>
      </c>
      <c r="C1334" s="456" t="n">
        <v>45622</v>
      </c>
      <c r="D1334" s="456"/>
      <c r="E1334" s="57" t="n">
        <v>14265</v>
      </c>
      <c r="F1334" s="323" t="s">
        <v>175</v>
      </c>
      <c r="G1334" s="323" t="s">
        <v>6</v>
      </c>
      <c r="H1334" s="98" t="n">
        <v>900</v>
      </c>
      <c r="I1334" s="457" t="n">
        <v>45</v>
      </c>
      <c r="J1334" s="313" t="s">
        <v>1652</v>
      </c>
      <c r="K1334" s="98" t="n">
        <f aca="false">I1334*H1334</f>
        <v>40500</v>
      </c>
      <c r="L1334" s="411" t="n">
        <v>17739</v>
      </c>
      <c r="M1334" s="392" t="n">
        <f aca="false">L1334/K1334</f>
        <v>0.438</v>
      </c>
      <c r="N1334" s="466" t="n">
        <f aca="false">I1334*M1334</f>
        <v>19.71</v>
      </c>
      <c r="O1334" s="461" t="n">
        <v>900</v>
      </c>
      <c r="P1334" s="462" t="n">
        <f aca="false">H1334-O1334</f>
        <v>0</v>
      </c>
      <c r="Q1334" s="463" t="n">
        <f aca="false">O1334*I1334</f>
        <v>40500</v>
      </c>
      <c r="R1334" s="48" t="n">
        <f aca="false">K1334-Q1334</f>
        <v>0</v>
      </c>
      <c r="S1334" s="467"/>
      <c r="T1334" s="2" t="s">
        <v>1711</v>
      </c>
      <c r="V1334" s="464"/>
      <c r="W1334" s="464"/>
      <c r="X1334" s="464"/>
      <c r="Y1334" s="464"/>
      <c r="Z1334" s="464"/>
      <c r="AA1334" s="464"/>
      <c r="AB1334" s="464"/>
      <c r="AC1334" s="464"/>
      <c r="AD1334" s="464"/>
      <c r="AE1334" s="464"/>
      <c r="AF1334" s="464"/>
      <c r="AG1334" s="464"/>
      <c r="AH1334" s="465"/>
      <c r="AI1334" s="464"/>
    </row>
    <row r="1335" customFormat="false" ht="15" hidden="false" customHeight="true" outlineLevel="0" collapsed="false">
      <c r="A1335" s="455" t="s">
        <v>1871</v>
      </c>
      <c r="C1335" s="456" t="n">
        <v>45622</v>
      </c>
      <c r="D1335" s="456"/>
      <c r="E1335" s="57" t="n">
        <v>14266</v>
      </c>
      <c r="F1335" s="323" t="s">
        <v>175</v>
      </c>
      <c r="G1335" s="323" t="s">
        <v>10</v>
      </c>
      <c r="H1335" s="98" t="n">
        <v>15</v>
      </c>
      <c r="I1335" s="457" t="n">
        <v>38.3</v>
      </c>
      <c r="J1335" s="313" t="s">
        <v>1652</v>
      </c>
      <c r="K1335" s="98" t="n">
        <f aca="false">I1335*H1335</f>
        <v>574.5</v>
      </c>
      <c r="L1335" s="411" t="n">
        <v>186.4</v>
      </c>
      <c r="M1335" s="392" t="n">
        <f aca="false">L1335/K1335</f>
        <v>0.324456048738033</v>
      </c>
      <c r="N1335" s="466" t="n">
        <f aca="false">I1335*M1335</f>
        <v>12.4266666666667</v>
      </c>
      <c r="O1335" s="461" t="n">
        <v>15</v>
      </c>
      <c r="P1335" s="462" t="n">
        <f aca="false">H1335-O1335</f>
        <v>0</v>
      </c>
      <c r="Q1335" s="463" t="n">
        <f aca="false">O1335*I1335</f>
        <v>574.5</v>
      </c>
      <c r="R1335" s="48" t="n">
        <f aca="false">K1335-Q1335</f>
        <v>0</v>
      </c>
      <c r="S1335" s="467"/>
      <c r="T1335" s="2" t="s">
        <v>1711</v>
      </c>
      <c r="V1335" s="464"/>
      <c r="W1335" s="464"/>
      <c r="X1335" s="464"/>
      <c r="Y1335" s="464"/>
      <c r="Z1335" s="464"/>
      <c r="AA1335" s="464"/>
      <c r="AB1335" s="464"/>
      <c r="AC1335" s="464"/>
      <c r="AD1335" s="464"/>
      <c r="AE1335" s="464"/>
      <c r="AF1335" s="464"/>
      <c r="AG1335" s="464"/>
      <c r="AH1335" s="465"/>
      <c r="AI1335" s="464"/>
    </row>
    <row r="1336" customFormat="false" ht="15" hidden="false" customHeight="true" outlineLevel="0" collapsed="false">
      <c r="A1336" s="455" t="s">
        <v>1819</v>
      </c>
      <c r="C1336" s="456" t="n">
        <v>45622</v>
      </c>
      <c r="D1336" s="456"/>
      <c r="E1336" s="57" t="n">
        <v>14267</v>
      </c>
      <c r="F1336" s="323" t="s">
        <v>175</v>
      </c>
      <c r="G1336" s="323" t="s">
        <v>17</v>
      </c>
      <c r="H1336" s="98" t="n">
        <v>3500</v>
      </c>
      <c r="I1336" s="457" t="n">
        <v>22.5</v>
      </c>
      <c r="J1336" s="313" t="s">
        <v>1651</v>
      </c>
      <c r="K1336" s="98" t="n">
        <f aca="false">I1336*H1336</f>
        <v>78750</v>
      </c>
      <c r="L1336" s="411" t="n">
        <v>40250</v>
      </c>
      <c r="M1336" s="392" t="n">
        <f aca="false">L1336/K1336</f>
        <v>0.511111111111111</v>
      </c>
      <c r="N1336" s="466" t="n">
        <f aca="false">I1336*M1336</f>
        <v>11.5</v>
      </c>
      <c r="O1336" s="461" t="n">
        <v>3500</v>
      </c>
      <c r="P1336" s="462" t="n">
        <f aca="false">H1336-O1336</f>
        <v>0</v>
      </c>
      <c r="Q1336" s="463" t="n">
        <f aca="false">O1336*I1336</f>
        <v>78750</v>
      </c>
      <c r="R1336" s="48" t="n">
        <f aca="false">K1336-Q1336</f>
        <v>0</v>
      </c>
      <c r="S1336" s="467"/>
      <c r="T1336" s="2" t="s">
        <v>1711</v>
      </c>
      <c r="V1336" s="464"/>
      <c r="W1336" s="464"/>
      <c r="X1336" s="464"/>
      <c r="Y1336" s="464"/>
      <c r="Z1336" s="464"/>
      <c r="AA1336" s="464"/>
      <c r="AB1336" s="464"/>
      <c r="AC1336" s="464"/>
      <c r="AD1336" s="464"/>
      <c r="AE1336" s="464"/>
      <c r="AF1336" s="464"/>
      <c r="AG1336" s="464"/>
      <c r="AH1336" s="465"/>
      <c r="AI1336" s="464"/>
    </row>
    <row r="1337" customFormat="false" ht="15" hidden="false" customHeight="true" outlineLevel="0" collapsed="false">
      <c r="A1337" s="455" t="s">
        <v>1978</v>
      </c>
      <c r="C1337" s="456" t="n">
        <v>45622</v>
      </c>
      <c r="D1337" s="456"/>
      <c r="E1337" s="57" t="n">
        <v>14268</v>
      </c>
      <c r="F1337" s="323" t="s">
        <v>175</v>
      </c>
      <c r="G1337" s="323" t="s">
        <v>10</v>
      </c>
      <c r="H1337" s="98" t="n">
        <v>15000</v>
      </c>
      <c r="I1337" s="457" t="n">
        <v>25.71</v>
      </c>
      <c r="J1337" s="313" t="s">
        <v>1651</v>
      </c>
      <c r="K1337" s="98" t="n">
        <f aca="false">I1337*H1337</f>
        <v>385650</v>
      </c>
      <c r="L1337" s="411" t="n">
        <v>205650</v>
      </c>
      <c r="M1337" s="392" t="n">
        <f aca="false">L1337/K1337</f>
        <v>0.533255542590432</v>
      </c>
      <c r="N1337" s="466" t="n">
        <f aca="false">I1337*M1337</f>
        <v>13.71</v>
      </c>
      <c r="O1337" s="461" t="n">
        <v>15000</v>
      </c>
      <c r="P1337" s="462" t="n">
        <f aca="false">H1337-O1337</f>
        <v>0</v>
      </c>
      <c r="Q1337" s="463" t="n">
        <f aca="false">O1337*I1337</f>
        <v>385650</v>
      </c>
      <c r="R1337" s="48" t="n">
        <f aca="false">K1337-Q1337</f>
        <v>0</v>
      </c>
      <c r="S1337" s="467"/>
      <c r="T1337" s="2" t="s">
        <v>1711</v>
      </c>
      <c r="V1337" s="464"/>
      <c r="W1337" s="464"/>
      <c r="X1337" s="464"/>
      <c r="Y1337" s="464"/>
      <c r="Z1337" s="464"/>
      <c r="AA1337" s="464"/>
      <c r="AB1337" s="464"/>
      <c r="AC1337" s="464"/>
      <c r="AD1337" s="464"/>
      <c r="AE1337" s="464"/>
      <c r="AF1337" s="464"/>
      <c r="AG1337" s="464"/>
      <c r="AH1337" s="465"/>
      <c r="AI1337" s="464"/>
    </row>
    <row r="1338" customFormat="false" ht="15" hidden="false" customHeight="true" outlineLevel="0" collapsed="false">
      <c r="A1338" s="455" t="s">
        <v>1819</v>
      </c>
      <c r="C1338" s="456" t="n">
        <v>45622</v>
      </c>
      <c r="D1338" s="456"/>
      <c r="E1338" s="57" t="n">
        <v>14269</v>
      </c>
      <c r="F1338" s="323" t="s">
        <v>175</v>
      </c>
      <c r="G1338" s="323" t="s">
        <v>5</v>
      </c>
      <c r="H1338" s="98" t="n">
        <v>1150</v>
      </c>
      <c r="I1338" s="457" t="n">
        <v>25.71</v>
      </c>
      <c r="J1338" s="313" t="s">
        <v>1651</v>
      </c>
      <c r="K1338" s="98" t="n">
        <f aca="false">I1338*H1338</f>
        <v>29566.5</v>
      </c>
      <c r="L1338" s="411" t="n">
        <v>12650</v>
      </c>
      <c r="M1338" s="392" t="n">
        <f aca="false">L1338/K1338</f>
        <v>0.427849085958771</v>
      </c>
      <c r="N1338" s="466" t="n">
        <f aca="false">I1338*M1338</f>
        <v>11</v>
      </c>
      <c r="O1338" s="461" t="n">
        <v>1150</v>
      </c>
      <c r="P1338" s="462" t="n">
        <f aca="false">H1338-O1338</f>
        <v>0</v>
      </c>
      <c r="Q1338" s="463" t="n">
        <f aca="false">O1338*I1338</f>
        <v>29566.5</v>
      </c>
      <c r="R1338" s="48" t="n">
        <f aca="false">K1338-Q1338</f>
        <v>0</v>
      </c>
      <c r="S1338" s="467"/>
      <c r="T1338" s="2" t="s">
        <v>1711</v>
      </c>
      <c r="V1338" s="464"/>
      <c r="W1338" s="464"/>
      <c r="X1338" s="464"/>
      <c r="Y1338" s="464"/>
      <c r="Z1338" s="464"/>
      <c r="AA1338" s="464"/>
      <c r="AB1338" s="464"/>
      <c r="AC1338" s="464"/>
      <c r="AD1338" s="464"/>
      <c r="AE1338" s="464"/>
      <c r="AF1338" s="464"/>
      <c r="AG1338" s="464"/>
      <c r="AH1338" s="465"/>
      <c r="AI1338" s="464"/>
    </row>
    <row r="1339" customFormat="false" ht="15" hidden="false" customHeight="true" outlineLevel="0" collapsed="false">
      <c r="A1339" s="455" t="s">
        <v>1819</v>
      </c>
      <c r="C1339" s="456" t="n">
        <v>45622</v>
      </c>
      <c r="D1339" s="456"/>
      <c r="E1339" s="57" t="n">
        <v>14269</v>
      </c>
      <c r="F1339" s="323" t="s">
        <v>175</v>
      </c>
      <c r="G1339" s="323" t="s">
        <v>42</v>
      </c>
      <c r="H1339" s="98" t="n">
        <v>200</v>
      </c>
      <c r="I1339" s="457" t="n">
        <v>30</v>
      </c>
      <c r="J1339" s="313" t="s">
        <v>1651</v>
      </c>
      <c r="K1339" s="98" t="n">
        <f aca="false">I1339*H1339</f>
        <v>6000</v>
      </c>
      <c r="L1339" s="411" t="n">
        <v>3600</v>
      </c>
      <c r="M1339" s="392" t="n">
        <f aca="false">L1339/K1339</f>
        <v>0.6</v>
      </c>
      <c r="N1339" s="466" t="n">
        <f aca="false">I1339*M1339</f>
        <v>18</v>
      </c>
      <c r="O1339" s="461" t="n">
        <v>200</v>
      </c>
      <c r="P1339" s="462" t="n">
        <f aca="false">H1339-O1339</f>
        <v>0</v>
      </c>
      <c r="Q1339" s="463" t="n">
        <f aca="false">O1339*I1339</f>
        <v>6000</v>
      </c>
      <c r="R1339" s="48" t="n">
        <f aca="false">K1339-Q1339</f>
        <v>0</v>
      </c>
      <c r="S1339" s="467"/>
      <c r="T1339" s="2" t="s">
        <v>1711</v>
      </c>
      <c r="V1339" s="464"/>
      <c r="W1339" s="464"/>
      <c r="X1339" s="464"/>
      <c r="Y1339" s="464"/>
      <c r="Z1339" s="464"/>
      <c r="AA1339" s="464"/>
      <c r="AB1339" s="464"/>
      <c r="AC1339" s="464"/>
      <c r="AD1339" s="464"/>
      <c r="AE1339" s="464"/>
      <c r="AF1339" s="464"/>
      <c r="AG1339" s="464"/>
      <c r="AH1339" s="465"/>
      <c r="AI1339" s="464"/>
    </row>
    <row r="1340" customFormat="false" ht="15" hidden="false" customHeight="true" outlineLevel="0" collapsed="false">
      <c r="A1340" s="455" t="s">
        <v>1819</v>
      </c>
      <c r="C1340" s="456" t="n">
        <v>45622</v>
      </c>
      <c r="D1340" s="456"/>
      <c r="E1340" s="323" t="n">
        <v>14269</v>
      </c>
      <c r="F1340" s="323" t="s">
        <v>175</v>
      </c>
      <c r="G1340" s="323" t="s">
        <v>13</v>
      </c>
      <c r="H1340" s="98" t="n">
        <v>50</v>
      </c>
      <c r="I1340" s="457" t="n">
        <v>22.5</v>
      </c>
      <c r="J1340" s="313" t="s">
        <v>1651</v>
      </c>
      <c r="K1340" s="98" t="n">
        <f aca="false">I1340*H1340</f>
        <v>1125</v>
      </c>
      <c r="L1340" s="411" t="n">
        <v>575</v>
      </c>
      <c r="M1340" s="392" t="n">
        <f aca="false">L1340/K1340</f>
        <v>0.511111111111111</v>
      </c>
      <c r="N1340" s="466" t="n">
        <f aca="false">I1340*M1340</f>
        <v>11.5</v>
      </c>
      <c r="O1340" s="461" t="n">
        <v>50</v>
      </c>
      <c r="P1340" s="462" t="n">
        <f aca="false">H1340-O1340</f>
        <v>0</v>
      </c>
      <c r="Q1340" s="463" t="n">
        <f aca="false">O1340*I1340</f>
        <v>1125</v>
      </c>
      <c r="R1340" s="48" t="n">
        <f aca="false">K1340-Q1340</f>
        <v>0</v>
      </c>
      <c r="S1340" s="467"/>
      <c r="T1340" s="2" t="s">
        <v>1711</v>
      </c>
      <c r="V1340" s="464"/>
      <c r="W1340" s="464"/>
      <c r="X1340" s="464"/>
      <c r="Y1340" s="464"/>
      <c r="Z1340" s="464"/>
      <c r="AA1340" s="464"/>
      <c r="AB1340" s="464"/>
      <c r="AC1340" s="464"/>
      <c r="AD1340" s="464"/>
      <c r="AE1340" s="464"/>
      <c r="AF1340" s="464"/>
      <c r="AG1340" s="464"/>
      <c r="AH1340" s="465"/>
      <c r="AI1340" s="464"/>
    </row>
    <row r="1341" customFormat="false" ht="15" hidden="false" customHeight="true" outlineLevel="0" collapsed="false">
      <c r="A1341" s="455" t="s">
        <v>1758</v>
      </c>
      <c r="C1341" s="456" t="n">
        <v>45622</v>
      </c>
      <c r="D1341" s="456"/>
      <c r="E1341" s="323" t="n">
        <v>14270</v>
      </c>
      <c r="F1341" s="323" t="s">
        <v>175</v>
      </c>
      <c r="G1341" s="323" t="s">
        <v>16</v>
      </c>
      <c r="H1341" s="98" t="n">
        <v>400</v>
      </c>
      <c r="I1341" s="457" t="n">
        <v>22.5</v>
      </c>
      <c r="J1341" s="313" t="s">
        <v>1651</v>
      </c>
      <c r="K1341" s="98" t="n">
        <f aca="false">I1341*H1341</f>
        <v>9000</v>
      </c>
      <c r="L1341" s="411" t="n">
        <v>6624</v>
      </c>
      <c r="M1341" s="392" t="n">
        <f aca="false">L1341/K1341</f>
        <v>0.736</v>
      </c>
      <c r="N1341" s="466" t="n">
        <f aca="false">I1341*M1341</f>
        <v>16.56</v>
      </c>
      <c r="O1341" s="461" t="n">
        <v>400</v>
      </c>
      <c r="P1341" s="462" t="n">
        <f aca="false">H1341-O1341</f>
        <v>0</v>
      </c>
      <c r="Q1341" s="463" t="n">
        <f aca="false">O1341*I1341</f>
        <v>9000</v>
      </c>
      <c r="R1341" s="48" t="n">
        <f aca="false">K1341-Q1341</f>
        <v>0</v>
      </c>
      <c r="S1341" s="467"/>
      <c r="T1341" s="2" t="s">
        <v>1711</v>
      </c>
      <c r="V1341" s="464"/>
      <c r="W1341" s="464"/>
      <c r="X1341" s="464"/>
      <c r="Y1341" s="464"/>
      <c r="Z1341" s="464"/>
      <c r="AA1341" s="464"/>
      <c r="AB1341" s="464"/>
      <c r="AC1341" s="464"/>
      <c r="AD1341" s="464"/>
      <c r="AE1341" s="464"/>
      <c r="AF1341" s="464"/>
      <c r="AG1341" s="464"/>
      <c r="AH1341" s="465"/>
      <c r="AI1341" s="464"/>
    </row>
    <row r="1342" customFormat="false" ht="15" hidden="false" customHeight="true" outlineLevel="0" collapsed="false">
      <c r="A1342" s="455" t="s">
        <v>1759</v>
      </c>
      <c r="C1342" s="456" t="n">
        <v>45622</v>
      </c>
      <c r="D1342" s="456"/>
      <c r="E1342" s="323" t="n">
        <v>14271</v>
      </c>
      <c r="F1342" s="323" t="s">
        <v>175</v>
      </c>
      <c r="G1342" s="323" t="s">
        <v>15</v>
      </c>
      <c r="H1342" s="98" t="n">
        <v>300</v>
      </c>
      <c r="I1342" s="457" t="n">
        <v>22.5</v>
      </c>
      <c r="J1342" s="313" t="s">
        <v>1651</v>
      </c>
      <c r="K1342" s="98" t="n">
        <f aca="false">I1342*H1342</f>
        <v>6750</v>
      </c>
      <c r="L1342" s="411" t="n">
        <v>7875</v>
      </c>
      <c r="M1342" s="392" t="n">
        <f aca="false">L1342/K1342</f>
        <v>1.16666666666667</v>
      </c>
      <c r="N1342" s="466" t="n">
        <f aca="false">I1342*M1342</f>
        <v>26.25</v>
      </c>
      <c r="O1342" s="461" t="n">
        <v>300</v>
      </c>
      <c r="P1342" s="462" t="n">
        <f aca="false">H1342-O1342</f>
        <v>0</v>
      </c>
      <c r="Q1342" s="463" t="n">
        <f aca="false">O1342*I1342</f>
        <v>6750</v>
      </c>
      <c r="R1342" s="48" t="n">
        <f aca="false">K1342-Q1342</f>
        <v>0</v>
      </c>
      <c r="S1342" s="467"/>
      <c r="T1342" s="2" t="s">
        <v>1711</v>
      </c>
      <c r="V1342" s="464"/>
      <c r="W1342" s="464"/>
      <c r="X1342" s="464"/>
      <c r="Y1342" s="464"/>
      <c r="Z1342" s="464"/>
      <c r="AA1342" s="464"/>
      <c r="AB1342" s="464"/>
      <c r="AC1342" s="464"/>
      <c r="AD1342" s="464"/>
      <c r="AE1342" s="464"/>
      <c r="AF1342" s="464"/>
      <c r="AG1342" s="464"/>
      <c r="AH1342" s="465"/>
      <c r="AI1342" s="464"/>
    </row>
    <row r="1343" customFormat="false" ht="15" hidden="false" customHeight="true" outlineLevel="0" collapsed="false">
      <c r="A1343" s="455" t="s">
        <v>1759</v>
      </c>
      <c r="C1343" s="456" t="n">
        <v>45622</v>
      </c>
      <c r="D1343" s="456"/>
      <c r="E1343" s="323" t="n">
        <v>14271</v>
      </c>
      <c r="F1343" s="323" t="s">
        <v>175</v>
      </c>
      <c r="G1343" s="323" t="s">
        <v>19</v>
      </c>
      <c r="H1343" s="98" t="n">
        <v>200</v>
      </c>
      <c r="I1343" s="457" t="n">
        <v>22.5</v>
      </c>
      <c r="J1343" s="313" t="s">
        <v>1651</v>
      </c>
      <c r="K1343" s="98" t="n">
        <f aca="false">I1343*H1343</f>
        <v>4500</v>
      </c>
      <c r="L1343" s="411" t="n">
        <v>3772</v>
      </c>
      <c r="M1343" s="392" t="n">
        <f aca="false">L1343/K1343</f>
        <v>0.838222222222222</v>
      </c>
      <c r="N1343" s="466" t="n">
        <f aca="false">I1343*M1343</f>
        <v>18.86</v>
      </c>
      <c r="O1343" s="461" t="n">
        <v>200</v>
      </c>
      <c r="P1343" s="462" t="n">
        <f aca="false">H1343-O1343</f>
        <v>0</v>
      </c>
      <c r="Q1343" s="463" t="n">
        <f aca="false">O1343*I1343</f>
        <v>4500</v>
      </c>
      <c r="R1343" s="48" t="n">
        <f aca="false">K1343-Q1343</f>
        <v>0</v>
      </c>
      <c r="S1343" s="467"/>
      <c r="T1343" s="2" t="s">
        <v>1711</v>
      </c>
      <c r="V1343" s="464"/>
      <c r="W1343" s="464"/>
      <c r="X1343" s="464"/>
      <c r="Y1343" s="464"/>
      <c r="Z1343" s="464"/>
      <c r="AA1343" s="464"/>
      <c r="AB1343" s="464"/>
      <c r="AC1343" s="464"/>
      <c r="AD1343" s="464"/>
      <c r="AE1343" s="464"/>
      <c r="AF1343" s="464"/>
      <c r="AG1343" s="464"/>
      <c r="AH1343" s="465"/>
      <c r="AI1343" s="464"/>
    </row>
    <row r="1344" customFormat="false" ht="15" hidden="false" customHeight="true" outlineLevel="0" collapsed="false">
      <c r="A1344" s="455" t="s">
        <v>58</v>
      </c>
      <c r="C1344" s="456" t="n">
        <v>45622</v>
      </c>
      <c r="D1344" s="456"/>
      <c r="E1344" s="323" t="n">
        <v>14272</v>
      </c>
      <c r="F1344" s="323" t="s">
        <v>175</v>
      </c>
      <c r="G1344" s="323" t="s">
        <v>15</v>
      </c>
      <c r="H1344" s="98" t="n">
        <v>150</v>
      </c>
      <c r="I1344" s="457" t="n">
        <v>22.5</v>
      </c>
      <c r="J1344" s="313" t="s">
        <v>1651</v>
      </c>
      <c r="K1344" s="98" t="n">
        <f aca="false">I1344*H1344</f>
        <v>3375</v>
      </c>
      <c r="L1344" s="411" t="n">
        <v>2895</v>
      </c>
      <c r="M1344" s="392" t="n">
        <f aca="false">L1344/K1344</f>
        <v>0.857777777777778</v>
      </c>
      <c r="N1344" s="466" t="n">
        <f aca="false">I1344*M1344</f>
        <v>19.3</v>
      </c>
      <c r="O1344" s="461" t="n">
        <v>150</v>
      </c>
      <c r="P1344" s="462" t="n">
        <f aca="false">H1344-O1344</f>
        <v>0</v>
      </c>
      <c r="Q1344" s="463" t="n">
        <f aca="false">O1344*I1344</f>
        <v>3375</v>
      </c>
      <c r="R1344" s="48" t="n">
        <f aca="false">K1344-Q1344</f>
        <v>0</v>
      </c>
      <c r="S1344" s="467"/>
      <c r="T1344" s="2" t="s">
        <v>1711</v>
      </c>
      <c r="V1344" s="464"/>
      <c r="W1344" s="464"/>
      <c r="X1344" s="464"/>
      <c r="Y1344" s="464"/>
      <c r="Z1344" s="464"/>
      <c r="AA1344" s="464"/>
      <c r="AB1344" s="464"/>
      <c r="AC1344" s="464"/>
      <c r="AD1344" s="464"/>
      <c r="AE1344" s="464"/>
      <c r="AF1344" s="464"/>
      <c r="AG1344" s="464"/>
      <c r="AH1344" s="465"/>
      <c r="AI1344" s="464"/>
    </row>
    <row r="1345" customFormat="false" ht="15" hidden="false" customHeight="true" outlineLevel="0" collapsed="false">
      <c r="A1345" s="455" t="s">
        <v>1979</v>
      </c>
      <c r="C1345" s="456" t="n">
        <v>45622</v>
      </c>
      <c r="D1345" s="456"/>
      <c r="E1345" s="323" t="n">
        <v>14273</v>
      </c>
      <c r="F1345" s="323" t="s">
        <v>175</v>
      </c>
      <c r="G1345" s="323" t="s">
        <v>15</v>
      </c>
      <c r="H1345" s="98" t="n">
        <v>240</v>
      </c>
      <c r="I1345" s="457" t="n">
        <v>22.5</v>
      </c>
      <c r="J1345" s="313" t="s">
        <v>1651</v>
      </c>
      <c r="K1345" s="98" t="n">
        <f aca="false">I1345*H1345</f>
        <v>5400</v>
      </c>
      <c r="L1345" s="411" t="n">
        <v>5640</v>
      </c>
      <c r="M1345" s="392" t="n">
        <f aca="false">L1345/K1345</f>
        <v>1.04444444444444</v>
      </c>
      <c r="N1345" s="466" t="n">
        <f aca="false">I1345*M1345</f>
        <v>23.5</v>
      </c>
      <c r="O1345" s="461" t="n">
        <v>240</v>
      </c>
      <c r="P1345" s="462" t="n">
        <f aca="false">H1345-O1345</f>
        <v>0</v>
      </c>
      <c r="Q1345" s="463" t="n">
        <f aca="false">O1345*I1345</f>
        <v>5400</v>
      </c>
      <c r="R1345" s="48" t="n">
        <f aca="false">K1345-Q1345</f>
        <v>0</v>
      </c>
      <c r="S1345" s="467"/>
      <c r="T1345" s="2" t="s">
        <v>1711</v>
      </c>
      <c r="V1345" s="464"/>
      <c r="W1345" s="464"/>
      <c r="X1345" s="464"/>
      <c r="Y1345" s="464"/>
      <c r="Z1345" s="464"/>
      <c r="AA1345" s="464"/>
      <c r="AB1345" s="464"/>
      <c r="AC1345" s="464"/>
      <c r="AD1345" s="464"/>
      <c r="AE1345" s="464"/>
      <c r="AF1345" s="464"/>
      <c r="AG1345" s="464"/>
      <c r="AH1345" s="465"/>
      <c r="AI1345" s="464"/>
    </row>
    <row r="1346" customFormat="false" ht="15" hidden="false" customHeight="true" outlineLevel="0" collapsed="false">
      <c r="A1346" s="455" t="s">
        <v>1979</v>
      </c>
      <c r="C1346" s="456" t="n">
        <v>45622</v>
      </c>
      <c r="D1346" s="456"/>
      <c r="E1346" s="57" t="n">
        <v>14273</v>
      </c>
      <c r="F1346" s="323" t="s">
        <v>175</v>
      </c>
      <c r="G1346" s="323" t="s">
        <v>6</v>
      </c>
      <c r="H1346" s="98" t="n">
        <v>165</v>
      </c>
      <c r="I1346" s="457" t="n">
        <v>30</v>
      </c>
      <c r="J1346" s="313" t="s">
        <v>1651</v>
      </c>
      <c r="K1346" s="98" t="n">
        <f aca="false">I1346*H1346</f>
        <v>4950</v>
      </c>
      <c r="L1346" s="411" t="n">
        <v>4356</v>
      </c>
      <c r="M1346" s="392" t="n">
        <f aca="false">L1346/K1346</f>
        <v>0.88</v>
      </c>
      <c r="N1346" s="466" t="n">
        <f aca="false">I1346*M1346</f>
        <v>26.4</v>
      </c>
      <c r="O1346" s="461" t="n">
        <v>165</v>
      </c>
      <c r="P1346" s="462" t="n">
        <f aca="false">H1346-O1346</f>
        <v>0</v>
      </c>
      <c r="Q1346" s="463" t="n">
        <f aca="false">O1346*I1346</f>
        <v>4950</v>
      </c>
      <c r="R1346" s="48" t="n">
        <f aca="false">K1346-Q1346</f>
        <v>0</v>
      </c>
      <c r="S1346" s="467"/>
      <c r="T1346" s="2" t="s">
        <v>1711</v>
      </c>
      <c r="V1346" s="464"/>
      <c r="W1346" s="464"/>
      <c r="X1346" s="464"/>
      <c r="Y1346" s="464"/>
      <c r="Z1346" s="464"/>
      <c r="AA1346" s="464"/>
      <c r="AB1346" s="464"/>
      <c r="AC1346" s="464"/>
      <c r="AD1346" s="464"/>
      <c r="AE1346" s="464"/>
      <c r="AF1346" s="464"/>
      <c r="AG1346" s="464"/>
      <c r="AH1346" s="465"/>
      <c r="AI1346" s="464"/>
    </row>
    <row r="1347" customFormat="false" ht="15" hidden="false" customHeight="true" outlineLevel="0" collapsed="false">
      <c r="A1347" s="455" t="s">
        <v>1979</v>
      </c>
      <c r="C1347" s="456" t="n">
        <v>45622</v>
      </c>
      <c r="D1347" s="456"/>
      <c r="E1347" s="57" t="n">
        <v>14273</v>
      </c>
      <c r="F1347" s="323" t="s">
        <v>175</v>
      </c>
      <c r="G1347" s="323" t="s">
        <v>12</v>
      </c>
      <c r="H1347" s="98" t="n">
        <v>90</v>
      </c>
      <c r="I1347" s="457" t="n">
        <v>18</v>
      </c>
      <c r="J1347" s="313" t="s">
        <v>1651</v>
      </c>
      <c r="K1347" s="98" t="n">
        <f aca="false">I1347*H1347</f>
        <v>1620</v>
      </c>
      <c r="L1347" s="411" t="n">
        <v>975</v>
      </c>
      <c r="M1347" s="392" t="n">
        <f aca="false">L1347/K1347</f>
        <v>0.601851851851852</v>
      </c>
      <c r="N1347" s="466" t="n">
        <f aca="false">I1347*M1347</f>
        <v>10.8333333333333</v>
      </c>
      <c r="O1347" s="461" t="n">
        <v>90</v>
      </c>
      <c r="P1347" s="462" t="n">
        <f aca="false">H1347-O1347</f>
        <v>0</v>
      </c>
      <c r="Q1347" s="463" t="n">
        <f aca="false">O1347*I1347</f>
        <v>1620</v>
      </c>
      <c r="R1347" s="48" t="n">
        <f aca="false">K1347-Q1347</f>
        <v>0</v>
      </c>
      <c r="S1347" s="467"/>
      <c r="T1347" s="2" t="s">
        <v>1711</v>
      </c>
      <c r="V1347" s="464"/>
      <c r="W1347" s="464"/>
      <c r="X1347" s="464"/>
      <c r="Y1347" s="464"/>
      <c r="Z1347" s="464"/>
      <c r="AA1347" s="464"/>
      <c r="AB1347" s="464"/>
      <c r="AC1347" s="464"/>
      <c r="AD1347" s="464"/>
      <c r="AE1347" s="464"/>
      <c r="AF1347" s="464"/>
      <c r="AG1347" s="464"/>
      <c r="AH1347" s="465"/>
      <c r="AI1347" s="464"/>
    </row>
    <row r="1348" customFormat="false" ht="15" hidden="false" customHeight="true" outlineLevel="0" collapsed="false">
      <c r="A1348" s="455" t="s">
        <v>1966</v>
      </c>
      <c r="C1348" s="456" t="n">
        <v>45622</v>
      </c>
      <c r="D1348" s="456"/>
      <c r="E1348" s="57" t="n">
        <v>14274</v>
      </c>
      <c r="F1348" s="323" t="s">
        <v>175</v>
      </c>
      <c r="G1348" s="323" t="s">
        <v>15</v>
      </c>
      <c r="H1348" s="98" t="n">
        <v>540</v>
      </c>
      <c r="I1348" s="457" t="n">
        <v>22.5</v>
      </c>
      <c r="J1348" s="313" t="s">
        <v>1651</v>
      </c>
      <c r="K1348" s="98" t="n">
        <f aca="false">I1348*H1348</f>
        <v>12150</v>
      </c>
      <c r="L1348" s="411" t="n">
        <v>11799</v>
      </c>
      <c r="M1348" s="392" t="n">
        <f aca="false">L1348/K1348</f>
        <v>0.971111111111111</v>
      </c>
      <c r="N1348" s="466" t="n">
        <f aca="false">I1348*M1348</f>
        <v>21.85</v>
      </c>
      <c r="O1348" s="461" t="n">
        <v>540</v>
      </c>
      <c r="P1348" s="462" t="n">
        <f aca="false">H1348-O1348</f>
        <v>0</v>
      </c>
      <c r="Q1348" s="463" t="n">
        <f aca="false">O1348*I1348</f>
        <v>12150</v>
      </c>
      <c r="R1348" s="48" t="n">
        <f aca="false">K1348-Q1348</f>
        <v>0</v>
      </c>
      <c r="S1348" s="467"/>
      <c r="T1348" s="2" t="s">
        <v>1711</v>
      </c>
      <c r="V1348" s="464"/>
      <c r="W1348" s="464"/>
      <c r="X1348" s="464"/>
      <c r="Y1348" s="464"/>
      <c r="Z1348" s="464"/>
      <c r="AA1348" s="464"/>
      <c r="AB1348" s="464"/>
      <c r="AC1348" s="464"/>
      <c r="AD1348" s="464"/>
      <c r="AE1348" s="464"/>
      <c r="AF1348" s="464"/>
      <c r="AG1348" s="464"/>
      <c r="AH1348" s="465"/>
      <c r="AI1348" s="464"/>
    </row>
    <row r="1349" customFormat="false" ht="15" hidden="false" customHeight="true" outlineLevel="0" collapsed="false">
      <c r="A1349" s="455" t="s">
        <v>1966</v>
      </c>
      <c r="C1349" s="456" t="n">
        <v>45622</v>
      </c>
      <c r="D1349" s="456"/>
      <c r="E1349" s="57" t="n">
        <v>14274</v>
      </c>
      <c r="F1349" s="323" t="s">
        <v>175</v>
      </c>
      <c r="G1349" s="323" t="s">
        <v>13</v>
      </c>
      <c r="H1349" s="98" t="n">
        <v>1350</v>
      </c>
      <c r="I1349" s="457" t="n">
        <v>37.5</v>
      </c>
      <c r="J1349" s="313" t="s">
        <v>1652</v>
      </c>
      <c r="K1349" s="98" t="n">
        <f aca="false">I1349*H1349</f>
        <v>50625</v>
      </c>
      <c r="L1349" s="411" t="n">
        <v>21843</v>
      </c>
      <c r="M1349" s="392" t="n">
        <f aca="false">L1349/K1349</f>
        <v>0.431466666666667</v>
      </c>
      <c r="N1349" s="466" t="n">
        <f aca="false">I1349*M1349</f>
        <v>16.18</v>
      </c>
      <c r="O1349" s="461" t="n">
        <v>1350</v>
      </c>
      <c r="P1349" s="462" t="n">
        <f aca="false">H1349-O1349</f>
        <v>0</v>
      </c>
      <c r="Q1349" s="463" t="n">
        <f aca="false">O1349*I1349</f>
        <v>50625</v>
      </c>
      <c r="R1349" s="48" t="n">
        <f aca="false">K1349-Q1349</f>
        <v>0</v>
      </c>
      <c r="S1349" s="467"/>
      <c r="T1349" s="2" t="s">
        <v>1711</v>
      </c>
      <c r="V1349" s="464"/>
      <c r="W1349" s="464"/>
      <c r="X1349" s="464"/>
      <c r="Y1349" s="464"/>
      <c r="Z1349" s="464"/>
      <c r="AA1349" s="464"/>
      <c r="AB1349" s="464"/>
      <c r="AC1349" s="464"/>
      <c r="AD1349" s="464"/>
      <c r="AE1349" s="464"/>
      <c r="AF1349" s="464"/>
      <c r="AG1349" s="464"/>
      <c r="AH1349" s="465"/>
      <c r="AI1349" s="464"/>
    </row>
    <row r="1350" customFormat="false" ht="15" hidden="false" customHeight="true" outlineLevel="0" collapsed="false">
      <c r="A1350" s="455" t="s">
        <v>1921</v>
      </c>
      <c r="C1350" s="456" t="n">
        <v>45623</v>
      </c>
      <c r="D1350" s="456"/>
      <c r="E1350" s="57" t="n">
        <v>14275</v>
      </c>
      <c r="F1350" s="323" t="s">
        <v>175</v>
      </c>
      <c r="G1350" s="323" t="s">
        <v>5</v>
      </c>
      <c r="H1350" s="98" t="n">
        <v>620</v>
      </c>
      <c r="I1350" s="457" t="n">
        <v>90</v>
      </c>
      <c r="J1350" s="313" t="s">
        <v>1653</v>
      </c>
      <c r="K1350" s="98" t="n">
        <f aca="false">I1350*H1350</f>
        <v>55800</v>
      </c>
      <c r="L1350" s="411" t="n">
        <v>27100.2</v>
      </c>
      <c r="M1350" s="392" t="n">
        <f aca="false">L1350/K1350</f>
        <v>0.485666666666667</v>
      </c>
      <c r="N1350" s="466" t="n">
        <f aca="false">I1350*M1350</f>
        <v>43.71</v>
      </c>
      <c r="O1350" s="461" t="n">
        <v>620</v>
      </c>
      <c r="P1350" s="462" t="n">
        <f aca="false">H1350-O1350</f>
        <v>0</v>
      </c>
      <c r="Q1350" s="463" t="n">
        <f aca="false">O1350*I1350</f>
        <v>55800</v>
      </c>
      <c r="R1350" s="48" t="n">
        <f aca="false">K1350-Q1350</f>
        <v>0</v>
      </c>
      <c r="S1350" s="467"/>
      <c r="T1350" s="2" t="s">
        <v>1711</v>
      </c>
      <c r="V1350" s="464"/>
      <c r="W1350" s="464"/>
      <c r="X1350" s="464"/>
      <c r="Y1350" s="464"/>
      <c r="Z1350" s="464"/>
      <c r="AA1350" s="464"/>
      <c r="AB1350" s="464"/>
      <c r="AC1350" s="464"/>
      <c r="AD1350" s="464"/>
      <c r="AE1350" s="464"/>
      <c r="AF1350" s="464"/>
      <c r="AG1350" s="464"/>
      <c r="AH1350" s="465"/>
      <c r="AI1350" s="464"/>
    </row>
    <row r="1351" customFormat="false" ht="15" hidden="false" customHeight="true" outlineLevel="0" collapsed="false">
      <c r="A1351" s="455" t="s">
        <v>1935</v>
      </c>
      <c r="C1351" s="456" t="n">
        <v>45623</v>
      </c>
      <c r="D1351" s="456"/>
      <c r="E1351" s="57" t="n">
        <v>14276</v>
      </c>
      <c r="F1351" s="323" t="s">
        <v>175</v>
      </c>
      <c r="G1351" s="323" t="s">
        <v>5</v>
      </c>
      <c r="H1351" s="98" t="n">
        <v>3200</v>
      </c>
      <c r="I1351" s="457" t="n">
        <v>90</v>
      </c>
      <c r="J1351" s="313" t="s">
        <v>1653</v>
      </c>
      <c r="K1351" s="98" t="n">
        <f aca="false">I1351*H1351</f>
        <v>288000</v>
      </c>
      <c r="L1351" s="411" t="n">
        <v>139872</v>
      </c>
      <c r="M1351" s="392" t="n">
        <f aca="false">L1351/K1351</f>
        <v>0.485666666666667</v>
      </c>
      <c r="N1351" s="466" t="n">
        <f aca="false">I1351*M1351</f>
        <v>43.71</v>
      </c>
      <c r="O1351" s="461" t="n">
        <v>3200</v>
      </c>
      <c r="P1351" s="462" t="n">
        <f aca="false">H1351-O1351</f>
        <v>0</v>
      </c>
      <c r="Q1351" s="463" t="n">
        <f aca="false">O1351*I1351</f>
        <v>288000</v>
      </c>
      <c r="R1351" s="48" t="n">
        <f aca="false">K1351-Q1351</f>
        <v>0</v>
      </c>
      <c r="S1351" s="467"/>
      <c r="T1351" s="2" t="s">
        <v>1711</v>
      </c>
      <c r="V1351" s="464"/>
      <c r="W1351" s="464"/>
      <c r="X1351" s="464"/>
      <c r="Y1351" s="464"/>
      <c r="Z1351" s="464"/>
      <c r="AA1351" s="464"/>
      <c r="AB1351" s="464"/>
      <c r="AC1351" s="464"/>
      <c r="AD1351" s="464"/>
      <c r="AE1351" s="464"/>
      <c r="AF1351" s="464"/>
      <c r="AG1351" s="464"/>
      <c r="AH1351" s="465"/>
      <c r="AI1351" s="464"/>
    </row>
    <row r="1352" customFormat="false" ht="15" hidden="false" customHeight="true" outlineLevel="0" collapsed="false">
      <c r="A1352" s="455" t="s">
        <v>1921</v>
      </c>
      <c r="C1352" s="456" t="n">
        <v>45623</v>
      </c>
      <c r="D1352" s="456"/>
      <c r="E1352" s="57" t="n">
        <v>14277</v>
      </c>
      <c r="F1352" s="323" t="s">
        <v>175</v>
      </c>
      <c r="G1352" s="323" t="s">
        <v>5</v>
      </c>
      <c r="H1352" s="98" t="n">
        <v>1080</v>
      </c>
      <c r="I1352" s="457" t="n">
        <v>90</v>
      </c>
      <c r="J1352" s="313" t="s">
        <v>1653</v>
      </c>
      <c r="K1352" s="98" t="n">
        <f aca="false">I1352*H1352</f>
        <v>97200</v>
      </c>
      <c r="L1352" s="411" t="n">
        <v>47206.8</v>
      </c>
      <c r="M1352" s="392" t="n">
        <f aca="false">L1352/K1352</f>
        <v>0.485666666666667</v>
      </c>
      <c r="N1352" s="466" t="n">
        <f aca="false">I1352*M1352</f>
        <v>43.71</v>
      </c>
      <c r="O1352" s="461" t="n">
        <v>1080</v>
      </c>
      <c r="P1352" s="462" t="n">
        <f aca="false">H1352-O1352</f>
        <v>0</v>
      </c>
      <c r="Q1352" s="463" t="n">
        <f aca="false">O1352*I1352</f>
        <v>97200</v>
      </c>
      <c r="R1352" s="48" t="n">
        <f aca="false">K1352-Q1352</f>
        <v>0</v>
      </c>
      <c r="S1352" s="467"/>
      <c r="T1352" s="2" t="s">
        <v>1711</v>
      </c>
      <c r="V1352" s="464"/>
      <c r="W1352" s="464"/>
      <c r="X1352" s="464"/>
      <c r="Y1352" s="464"/>
      <c r="Z1352" s="464"/>
      <c r="AA1352" s="464"/>
      <c r="AB1352" s="464"/>
      <c r="AC1352" s="464"/>
      <c r="AD1352" s="464"/>
      <c r="AE1352" s="464"/>
      <c r="AF1352" s="464"/>
      <c r="AG1352" s="464"/>
      <c r="AH1352" s="465"/>
      <c r="AI1352" s="464"/>
    </row>
    <row r="1353" customFormat="false" ht="15" hidden="false" customHeight="true" outlineLevel="0" collapsed="false">
      <c r="A1353" s="455" t="s">
        <v>1921</v>
      </c>
      <c r="C1353" s="456" t="n">
        <v>45623</v>
      </c>
      <c r="D1353" s="456"/>
      <c r="E1353" s="57" t="n">
        <v>14277</v>
      </c>
      <c r="F1353" s="323" t="s">
        <v>175</v>
      </c>
      <c r="G1353" s="323" t="s">
        <v>17</v>
      </c>
      <c r="H1353" s="98" t="n">
        <v>400</v>
      </c>
      <c r="I1353" s="457" t="n">
        <v>22.5</v>
      </c>
      <c r="J1353" s="313" t="s">
        <v>1651</v>
      </c>
      <c r="K1353" s="98" t="n">
        <f aca="false">I1353*H1353</f>
        <v>9000</v>
      </c>
      <c r="L1353" s="411" t="n">
        <v>5832</v>
      </c>
      <c r="M1353" s="392" t="n">
        <f aca="false">L1353/K1353</f>
        <v>0.648</v>
      </c>
      <c r="N1353" s="466" t="n">
        <f aca="false">I1353*M1353</f>
        <v>14.58</v>
      </c>
      <c r="O1353" s="461" t="n">
        <v>400</v>
      </c>
      <c r="P1353" s="462" t="n">
        <f aca="false">H1353-O1353</f>
        <v>0</v>
      </c>
      <c r="Q1353" s="463" t="n">
        <f aca="false">O1353*I1353</f>
        <v>9000</v>
      </c>
      <c r="R1353" s="48" t="n">
        <f aca="false">K1353-Q1353</f>
        <v>0</v>
      </c>
      <c r="S1353" s="467"/>
      <c r="T1353" s="2" t="s">
        <v>1711</v>
      </c>
      <c r="V1353" s="464"/>
      <c r="W1353" s="464"/>
      <c r="X1353" s="464"/>
      <c r="Y1353" s="464"/>
      <c r="Z1353" s="464"/>
      <c r="AA1353" s="464"/>
      <c r="AB1353" s="464"/>
      <c r="AC1353" s="464"/>
      <c r="AD1353" s="464"/>
      <c r="AE1353" s="464"/>
      <c r="AF1353" s="464"/>
      <c r="AG1353" s="464"/>
      <c r="AH1353" s="465"/>
      <c r="AI1353" s="464"/>
    </row>
    <row r="1354" customFormat="false" ht="15" hidden="false" customHeight="true" outlineLevel="0" collapsed="false">
      <c r="A1354" s="455" t="s">
        <v>1859</v>
      </c>
      <c r="C1354" s="456" t="n">
        <v>45623</v>
      </c>
      <c r="D1354" s="456"/>
      <c r="E1354" s="57" t="n">
        <v>14278</v>
      </c>
      <c r="F1354" s="323" t="s">
        <v>175</v>
      </c>
      <c r="G1354" s="323" t="s">
        <v>5</v>
      </c>
      <c r="H1354" s="98" t="n">
        <v>450</v>
      </c>
      <c r="I1354" s="457" t="n">
        <v>60</v>
      </c>
      <c r="J1354" s="313" t="s">
        <v>1653</v>
      </c>
      <c r="K1354" s="98" t="n">
        <f aca="false">I1354*H1354</f>
        <v>27000</v>
      </c>
      <c r="L1354" s="411" t="n">
        <v>8550</v>
      </c>
      <c r="M1354" s="392" t="n">
        <f aca="false">L1354/K1354</f>
        <v>0.316666666666667</v>
      </c>
      <c r="N1354" s="466" t="n">
        <f aca="false">I1354*M1354</f>
        <v>19</v>
      </c>
      <c r="O1354" s="461" t="n">
        <v>450</v>
      </c>
      <c r="P1354" s="462" t="n">
        <f aca="false">H1354-O1354</f>
        <v>0</v>
      </c>
      <c r="Q1354" s="463" t="n">
        <f aca="false">O1354*I1354</f>
        <v>27000</v>
      </c>
      <c r="R1354" s="48" t="n">
        <f aca="false">K1354-Q1354</f>
        <v>0</v>
      </c>
      <c r="S1354" s="467"/>
      <c r="T1354" s="2" t="s">
        <v>1711</v>
      </c>
      <c r="V1354" s="464"/>
      <c r="W1354" s="464"/>
      <c r="X1354" s="464"/>
      <c r="Y1354" s="464"/>
      <c r="Z1354" s="464"/>
      <c r="AA1354" s="464"/>
      <c r="AB1354" s="464"/>
      <c r="AC1354" s="464"/>
      <c r="AD1354" s="464"/>
      <c r="AE1354" s="464"/>
      <c r="AF1354" s="464"/>
      <c r="AG1354" s="464"/>
      <c r="AH1354" s="465"/>
      <c r="AI1354" s="464"/>
    </row>
    <row r="1355" customFormat="false" ht="15" hidden="false" customHeight="true" outlineLevel="0" collapsed="false">
      <c r="A1355" s="455" t="s">
        <v>1980</v>
      </c>
      <c r="C1355" s="456" t="n">
        <v>45623</v>
      </c>
      <c r="D1355" s="456"/>
      <c r="E1355" s="57" t="n">
        <v>14279</v>
      </c>
      <c r="F1355" s="323" t="s">
        <v>175</v>
      </c>
      <c r="G1355" s="323" t="s">
        <v>42</v>
      </c>
      <c r="H1355" s="98" t="n">
        <v>15</v>
      </c>
      <c r="I1355" s="457" t="n">
        <v>30</v>
      </c>
      <c r="J1355" s="313" t="s">
        <v>1651</v>
      </c>
      <c r="K1355" s="98" t="n">
        <f aca="false">I1355*H1355</f>
        <v>450</v>
      </c>
      <c r="L1355" s="411" t="n">
        <v>347.54</v>
      </c>
      <c r="M1355" s="392" t="n">
        <f aca="false">L1355/K1355</f>
        <v>0.772311111111111</v>
      </c>
      <c r="N1355" s="466" t="n">
        <f aca="false">I1355*M1355</f>
        <v>23.1693333333333</v>
      </c>
      <c r="O1355" s="461" t="n">
        <v>15</v>
      </c>
      <c r="P1355" s="462" t="n">
        <f aca="false">H1355-O1355</f>
        <v>0</v>
      </c>
      <c r="Q1355" s="463" t="n">
        <f aca="false">O1355*I1355</f>
        <v>450</v>
      </c>
      <c r="R1355" s="48" t="n">
        <f aca="false">K1355-Q1355</f>
        <v>0</v>
      </c>
      <c r="S1355" s="467"/>
      <c r="T1355" s="2" t="s">
        <v>1711</v>
      </c>
      <c r="V1355" s="464"/>
      <c r="W1355" s="464"/>
      <c r="X1355" s="464"/>
      <c r="Y1355" s="464"/>
      <c r="Z1355" s="464"/>
      <c r="AA1355" s="464"/>
      <c r="AB1355" s="464"/>
      <c r="AC1355" s="464"/>
      <c r="AD1355" s="464"/>
      <c r="AE1355" s="464"/>
      <c r="AF1355" s="464"/>
      <c r="AG1355" s="464"/>
      <c r="AH1355" s="465"/>
      <c r="AI1355" s="464"/>
    </row>
    <row r="1356" customFormat="false" ht="15" hidden="false" customHeight="true" outlineLevel="0" collapsed="false">
      <c r="A1356" s="455" t="s">
        <v>1980</v>
      </c>
      <c r="C1356" s="456" t="n">
        <v>45623</v>
      </c>
      <c r="D1356" s="456"/>
      <c r="E1356" s="57" t="n">
        <v>14279</v>
      </c>
      <c r="F1356" s="323" t="s">
        <v>175</v>
      </c>
      <c r="G1356" s="323" t="s">
        <v>13</v>
      </c>
      <c r="H1356" s="98" t="n">
        <v>15</v>
      </c>
      <c r="I1356" s="457" t="n">
        <v>37.5</v>
      </c>
      <c r="J1356" s="313" t="s">
        <v>1652</v>
      </c>
      <c r="K1356" s="98" t="n">
        <f aca="false">I1356*H1356</f>
        <v>562.5</v>
      </c>
      <c r="L1356" s="411" t="n">
        <v>472.1</v>
      </c>
      <c r="M1356" s="392" t="n">
        <f aca="false">L1356/K1356</f>
        <v>0.839288888888889</v>
      </c>
      <c r="N1356" s="466" t="n">
        <f aca="false">I1356*M1356</f>
        <v>31.4733333333333</v>
      </c>
      <c r="O1356" s="461" t="n">
        <v>15</v>
      </c>
      <c r="P1356" s="462" t="n">
        <f aca="false">H1356-O1356</f>
        <v>0</v>
      </c>
      <c r="Q1356" s="463" t="n">
        <f aca="false">O1356*I1356</f>
        <v>562.5</v>
      </c>
      <c r="R1356" s="48" t="n">
        <f aca="false">K1356-Q1356</f>
        <v>0</v>
      </c>
      <c r="S1356" s="467"/>
      <c r="T1356" s="2" t="s">
        <v>1711</v>
      </c>
      <c r="V1356" s="464"/>
      <c r="W1356" s="464"/>
      <c r="X1356" s="464"/>
      <c r="Y1356" s="464"/>
      <c r="Z1356" s="464"/>
      <c r="AA1356" s="464"/>
      <c r="AB1356" s="464"/>
      <c r="AC1356" s="464"/>
      <c r="AD1356" s="464"/>
      <c r="AE1356" s="464"/>
      <c r="AF1356" s="464"/>
      <c r="AG1356" s="464"/>
      <c r="AH1356" s="465"/>
      <c r="AI1356" s="464"/>
    </row>
    <row r="1357" customFormat="false" ht="15" hidden="false" customHeight="true" outlineLevel="0" collapsed="false">
      <c r="A1357" s="455" t="s">
        <v>1981</v>
      </c>
      <c r="C1357" s="456" t="n">
        <v>45623</v>
      </c>
      <c r="D1357" s="456"/>
      <c r="E1357" s="57" t="n">
        <v>14280</v>
      </c>
      <c r="F1357" s="323" t="s">
        <v>175</v>
      </c>
      <c r="G1357" s="323" t="s">
        <v>10</v>
      </c>
      <c r="H1357" s="98" t="n">
        <v>30</v>
      </c>
      <c r="I1357" s="457" t="n">
        <v>25.71</v>
      </c>
      <c r="J1357" s="313" t="s">
        <v>1651</v>
      </c>
      <c r="K1357" s="98" t="n">
        <f aca="false">I1357*H1357</f>
        <v>771.3</v>
      </c>
      <c r="L1357" s="411" t="n">
        <v>314.32</v>
      </c>
      <c r="M1357" s="392" t="n">
        <f aca="false">L1357/K1357</f>
        <v>0.407519771813821</v>
      </c>
      <c r="N1357" s="466" t="n">
        <f aca="false">I1357*M1357</f>
        <v>10.4773333333333</v>
      </c>
      <c r="O1357" s="461" t="n">
        <v>30</v>
      </c>
      <c r="P1357" s="462" t="n">
        <f aca="false">H1357-O1357</f>
        <v>0</v>
      </c>
      <c r="Q1357" s="463" t="n">
        <f aca="false">O1357*I1357</f>
        <v>771.3</v>
      </c>
      <c r="R1357" s="48" t="n">
        <f aca="false">K1357-Q1357</f>
        <v>0</v>
      </c>
      <c r="S1357" s="467"/>
      <c r="T1357" s="2" t="s">
        <v>1711</v>
      </c>
      <c r="V1357" s="464"/>
      <c r="W1357" s="464"/>
      <c r="X1357" s="464"/>
      <c r="Y1357" s="464"/>
      <c r="Z1357" s="464"/>
      <c r="AA1357" s="464"/>
      <c r="AB1357" s="464"/>
      <c r="AC1357" s="464"/>
      <c r="AD1357" s="464"/>
      <c r="AE1357" s="464"/>
      <c r="AF1357" s="464"/>
      <c r="AG1357" s="464"/>
      <c r="AH1357" s="465"/>
      <c r="AI1357" s="464"/>
    </row>
    <row r="1358" customFormat="false" ht="15" hidden="false" customHeight="true" outlineLevel="0" collapsed="false">
      <c r="A1358" s="455" t="s">
        <v>1981</v>
      </c>
      <c r="C1358" s="456" t="n">
        <v>45623</v>
      </c>
      <c r="D1358" s="456"/>
      <c r="E1358" s="57" t="n">
        <v>14281</v>
      </c>
      <c r="F1358" s="323" t="s">
        <v>175</v>
      </c>
      <c r="G1358" s="323" t="s">
        <v>10</v>
      </c>
      <c r="H1358" s="98" t="n">
        <v>30</v>
      </c>
      <c r="I1358" s="457" t="n">
        <v>25.71</v>
      </c>
      <c r="J1358" s="313" t="s">
        <v>1651</v>
      </c>
      <c r="K1358" s="98" t="n">
        <f aca="false">I1358*H1358</f>
        <v>771.3</v>
      </c>
      <c r="L1358" s="411" t="n">
        <v>314.32</v>
      </c>
      <c r="M1358" s="392" t="n">
        <f aca="false">L1358/K1358</f>
        <v>0.407519771813821</v>
      </c>
      <c r="N1358" s="466" t="n">
        <f aca="false">I1358*M1358</f>
        <v>10.4773333333333</v>
      </c>
      <c r="O1358" s="461" t="n">
        <v>30</v>
      </c>
      <c r="P1358" s="462" t="n">
        <f aca="false">H1358-O1358</f>
        <v>0</v>
      </c>
      <c r="Q1358" s="463" t="n">
        <f aca="false">O1358*I1358</f>
        <v>771.3</v>
      </c>
      <c r="R1358" s="48" t="n">
        <f aca="false">K1358-Q1358</f>
        <v>0</v>
      </c>
      <c r="S1358" s="467"/>
      <c r="T1358" s="2" t="s">
        <v>1711</v>
      </c>
      <c r="V1358" s="464"/>
      <c r="W1358" s="464"/>
      <c r="X1358" s="464"/>
      <c r="Y1358" s="464"/>
      <c r="Z1358" s="464"/>
      <c r="AA1358" s="464"/>
      <c r="AB1358" s="464"/>
      <c r="AC1358" s="464"/>
      <c r="AD1358" s="464"/>
      <c r="AE1358" s="464"/>
      <c r="AF1358" s="464"/>
      <c r="AG1358" s="464"/>
      <c r="AH1358" s="465"/>
      <c r="AI1358" s="464"/>
    </row>
    <row r="1359" customFormat="false" ht="15" hidden="false" customHeight="true" outlineLevel="0" collapsed="false">
      <c r="A1359" s="455" t="s">
        <v>1982</v>
      </c>
      <c r="C1359" s="456" t="n">
        <v>45623</v>
      </c>
      <c r="D1359" s="456"/>
      <c r="E1359" s="57" t="n">
        <v>14282</v>
      </c>
      <c r="F1359" s="323" t="s">
        <v>175</v>
      </c>
      <c r="G1359" s="323" t="s">
        <v>10</v>
      </c>
      <c r="H1359" s="98" t="n">
        <v>30</v>
      </c>
      <c r="I1359" s="457" t="n">
        <v>25.71</v>
      </c>
      <c r="J1359" s="313" t="s">
        <v>1651</v>
      </c>
      <c r="K1359" s="98" t="n">
        <f aca="false">I1359*H1359</f>
        <v>771.3</v>
      </c>
      <c r="L1359" s="411" t="n">
        <v>306.4</v>
      </c>
      <c r="M1359" s="392" t="n">
        <f aca="false">L1359/K1359</f>
        <v>0.39725139375081</v>
      </c>
      <c r="N1359" s="466" t="n">
        <f aca="false">I1359*M1359</f>
        <v>10.2133333333333</v>
      </c>
      <c r="O1359" s="461" t="n">
        <v>30</v>
      </c>
      <c r="P1359" s="462" t="n">
        <f aca="false">H1359-O1359</f>
        <v>0</v>
      </c>
      <c r="Q1359" s="463" t="n">
        <f aca="false">O1359*I1359</f>
        <v>771.3</v>
      </c>
      <c r="R1359" s="48" t="n">
        <f aca="false">K1359-Q1359</f>
        <v>0</v>
      </c>
      <c r="S1359" s="467"/>
      <c r="T1359" s="2" t="s">
        <v>1711</v>
      </c>
      <c r="V1359" s="464"/>
      <c r="W1359" s="464"/>
      <c r="X1359" s="464"/>
      <c r="Y1359" s="464"/>
      <c r="Z1359" s="464"/>
      <c r="AA1359" s="464"/>
      <c r="AB1359" s="464"/>
      <c r="AC1359" s="464"/>
      <c r="AD1359" s="464"/>
      <c r="AE1359" s="464"/>
      <c r="AF1359" s="464"/>
      <c r="AG1359" s="464"/>
      <c r="AH1359" s="465"/>
      <c r="AI1359" s="464"/>
    </row>
    <row r="1360" customFormat="false" ht="15" hidden="false" customHeight="true" outlineLevel="0" collapsed="false">
      <c r="A1360" s="455" t="s">
        <v>1980</v>
      </c>
      <c r="C1360" s="456" t="n">
        <v>45623</v>
      </c>
      <c r="D1360" s="456"/>
      <c r="E1360" s="57" t="n">
        <v>14283</v>
      </c>
      <c r="F1360" s="323" t="s">
        <v>175</v>
      </c>
      <c r="G1360" s="323" t="s">
        <v>42</v>
      </c>
      <c r="H1360" s="98" t="n">
        <v>15</v>
      </c>
      <c r="I1360" s="457" t="n">
        <v>30</v>
      </c>
      <c r="J1360" s="313" t="s">
        <v>1651</v>
      </c>
      <c r="K1360" s="98" t="n">
        <f aca="false">I1360*H1360</f>
        <v>450</v>
      </c>
      <c r="L1360" s="411" t="n">
        <v>347.54</v>
      </c>
      <c r="M1360" s="392" t="n">
        <f aca="false">L1360/K1360</f>
        <v>0.772311111111111</v>
      </c>
      <c r="N1360" s="466" t="n">
        <f aca="false">I1360*M1360</f>
        <v>23.1693333333333</v>
      </c>
      <c r="O1360" s="461" t="n">
        <v>15</v>
      </c>
      <c r="P1360" s="462" t="n">
        <f aca="false">H1360-O1360</f>
        <v>0</v>
      </c>
      <c r="Q1360" s="463" t="n">
        <f aca="false">O1360*I1360</f>
        <v>450</v>
      </c>
      <c r="R1360" s="48" t="n">
        <f aca="false">K1360-Q1360</f>
        <v>0</v>
      </c>
      <c r="S1360" s="467"/>
      <c r="T1360" s="2" t="s">
        <v>1711</v>
      </c>
      <c r="V1360" s="464"/>
      <c r="W1360" s="464"/>
      <c r="X1360" s="464"/>
      <c r="Y1360" s="464"/>
      <c r="Z1360" s="464"/>
      <c r="AA1360" s="464"/>
      <c r="AB1360" s="464"/>
      <c r="AC1360" s="464"/>
      <c r="AD1360" s="464"/>
      <c r="AE1360" s="464"/>
      <c r="AF1360" s="464"/>
      <c r="AG1360" s="464"/>
      <c r="AH1360" s="465"/>
      <c r="AI1360" s="464"/>
    </row>
    <row r="1361" customFormat="false" ht="15" hidden="false" customHeight="true" outlineLevel="0" collapsed="false">
      <c r="A1361" s="455" t="s">
        <v>1983</v>
      </c>
      <c r="C1361" s="456" t="n">
        <v>45623</v>
      </c>
      <c r="D1361" s="456"/>
      <c r="E1361" s="57" t="n">
        <v>14284</v>
      </c>
      <c r="F1361" s="323" t="s">
        <v>175</v>
      </c>
      <c r="G1361" s="323" t="s">
        <v>10</v>
      </c>
      <c r="H1361" s="98" t="n">
        <v>8355</v>
      </c>
      <c r="I1361" s="457" t="n">
        <v>25.71</v>
      </c>
      <c r="J1361" s="313" t="s">
        <v>1651</v>
      </c>
      <c r="K1361" s="98" t="n">
        <f aca="false">I1361*H1361</f>
        <v>214807.05</v>
      </c>
      <c r="L1361" s="411" t="n">
        <v>75529.2</v>
      </c>
      <c r="M1361" s="392" t="n">
        <f aca="false">L1361/K1361</f>
        <v>0.351614157915208</v>
      </c>
      <c r="N1361" s="466" t="n">
        <f aca="false">I1361*M1361</f>
        <v>9.04</v>
      </c>
      <c r="O1361" s="461" t="n">
        <v>8355</v>
      </c>
      <c r="P1361" s="462" t="n">
        <f aca="false">H1361-O1361</f>
        <v>0</v>
      </c>
      <c r="Q1361" s="463" t="n">
        <f aca="false">O1361*I1361</f>
        <v>214807.05</v>
      </c>
      <c r="R1361" s="48" t="n">
        <f aca="false">K1361-Q1361</f>
        <v>0</v>
      </c>
      <c r="S1361" s="467"/>
      <c r="T1361" s="2" t="s">
        <v>1711</v>
      </c>
      <c r="V1361" s="464"/>
      <c r="W1361" s="464"/>
      <c r="X1361" s="464"/>
      <c r="Y1361" s="464"/>
      <c r="Z1361" s="464"/>
      <c r="AA1361" s="464"/>
      <c r="AB1361" s="464"/>
      <c r="AC1361" s="464"/>
      <c r="AD1361" s="464"/>
      <c r="AE1361" s="464"/>
      <c r="AF1361" s="464"/>
      <c r="AG1361" s="464"/>
      <c r="AH1361" s="465"/>
      <c r="AI1361" s="464"/>
    </row>
    <row r="1362" customFormat="false" ht="15" hidden="false" customHeight="true" outlineLevel="0" collapsed="false">
      <c r="A1362" s="455" t="s">
        <v>1984</v>
      </c>
      <c r="C1362" s="456" t="n">
        <v>45623</v>
      </c>
      <c r="D1362" s="456"/>
      <c r="E1362" s="57" t="n">
        <v>14285</v>
      </c>
      <c r="F1362" s="323" t="s">
        <v>175</v>
      </c>
      <c r="G1362" s="323" t="s">
        <v>10</v>
      </c>
      <c r="H1362" s="98" t="n">
        <v>6030</v>
      </c>
      <c r="I1362" s="457" t="n">
        <v>25.71</v>
      </c>
      <c r="J1362" s="313" t="s">
        <v>1651</v>
      </c>
      <c r="K1362" s="98" t="n">
        <f aca="false">I1362*H1362</f>
        <v>155031.3</v>
      </c>
      <c r="L1362" s="411" t="n">
        <v>54270</v>
      </c>
      <c r="M1362" s="392" t="n">
        <f aca="false">L1362/K1362</f>
        <v>0.350058343057176</v>
      </c>
      <c r="N1362" s="466" t="n">
        <f aca="false">I1362*M1362</f>
        <v>9</v>
      </c>
      <c r="O1362" s="461" t="n">
        <v>6030</v>
      </c>
      <c r="P1362" s="462" t="n">
        <f aca="false">H1362-O1362</f>
        <v>0</v>
      </c>
      <c r="Q1362" s="463" t="n">
        <f aca="false">O1362*I1362</f>
        <v>155031.3</v>
      </c>
      <c r="R1362" s="48" t="n">
        <f aca="false">K1362-Q1362</f>
        <v>0</v>
      </c>
      <c r="S1362" s="467"/>
      <c r="T1362" s="2" t="s">
        <v>1711</v>
      </c>
      <c r="V1362" s="464"/>
      <c r="W1362" s="464"/>
      <c r="X1362" s="464"/>
      <c r="Y1362" s="464"/>
      <c r="Z1362" s="464"/>
      <c r="AA1362" s="464"/>
      <c r="AB1362" s="464"/>
      <c r="AC1362" s="464"/>
      <c r="AD1362" s="464"/>
      <c r="AE1362" s="464"/>
      <c r="AF1362" s="464"/>
      <c r="AG1362" s="464"/>
      <c r="AH1362" s="465"/>
      <c r="AI1362" s="464"/>
    </row>
    <row r="1363" customFormat="false" ht="15" hidden="false" customHeight="true" outlineLevel="0" collapsed="false">
      <c r="A1363" s="455" t="s">
        <v>1985</v>
      </c>
      <c r="C1363" s="456" t="n">
        <v>45623</v>
      </c>
      <c r="D1363" s="456"/>
      <c r="E1363" s="57" t="n">
        <v>14286</v>
      </c>
      <c r="F1363" s="323" t="s">
        <v>175</v>
      </c>
      <c r="G1363" s="323" t="s">
        <v>10</v>
      </c>
      <c r="H1363" s="98" t="n">
        <v>10005</v>
      </c>
      <c r="I1363" s="457" t="n">
        <v>25.71</v>
      </c>
      <c r="J1363" s="313" t="s">
        <v>1651</v>
      </c>
      <c r="K1363" s="98" t="n">
        <f aca="false">I1363*H1363</f>
        <v>257228.55</v>
      </c>
      <c r="L1363" s="411" t="n">
        <v>90045</v>
      </c>
      <c r="M1363" s="392" t="n">
        <f aca="false">L1363/K1363</f>
        <v>0.350058343057176</v>
      </c>
      <c r="N1363" s="466" t="n">
        <f aca="false">I1363*M1363</f>
        <v>9</v>
      </c>
      <c r="O1363" s="461" t="n">
        <v>10005</v>
      </c>
      <c r="P1363" s="462" t="n">
        <f aca="false">H1363-O1363</f>
        <v>0</v>
      </c>
      <c r="Q1363" s="463" t="n">
        <f aca="false">O1363*I1363</f>
        <v>257228.55</v>
      </c>
      <c r="R1363" s="48" t="n">
        <f aca="false">K1363-Q1363</f>
        <v>0</v>
      </c>
      <c r="S1363" s="467"/>
      <c r="T1363" s="2" t="s">
        <v>1711</v>
      </c>
      <c r="V1363" s="464"/>
      <c r="W1363" s="464"/>
      <c r="X1363" s="464"/>
      <c r="Y1363" s="464"/>
      <c r="Z1363" s="464"/>
      <c r="AA1363" s="464"/>
      <c r="AB1363" s="464"/>
      <c r="AC1363" s="464"/>
      <c r="AD1363" s="464"/>
      <c r="AE1363" s="464"/>
      <c r="AF1363" s="464"/>
      <c r="AG1363" s="464"/>
      <c r="AH1363" s="465"/>
      <c r="AI1363" s="464"/>
    </row>
    <row r="1364" customFormat="false" ht="15" hidden="false" customHeight="true" outlineLevel="0" collapsed="false">
      <c r="A1364" s="455" t="s">
        <v>1986</v>
      </c>
      <c r="C1364" s="456" t="n">
        <v>45623</v>
      </c>
      <c r="D1364" s="456"/>
      <c r="E1364" s="57" t="n">
        <v>14287</v>
      </c>
      <c r="F1364" s="323" t="s">
        <v>175</v>
      </c>
      <c r="G1364" s="323" t="s">
        <v>19</v>
      </c>
      <c r="H1364" s="98" t="n">
        <v>60</v>
      </c>
      <c r="I1364" s="457" t="n">
        <v>22.5</v>
      </c>
      <c r="J1364" s="313" t="s">
        <v>1651</v>
      </c>
      <c r="K1364" s="98" t="n">
        <f aca="false">I1364*H1364</f>
        <v>1350</v>
      </c>
      <c r="L1364" s="411" t="n">
        <v>1260</v>
      </c>
      <c r="M1364" s="392" t="n">
        <f aca="false">L1364/K1364</f>
        <v>0.933333333333333</v>
      </c>
      <c r="N1364" s="466" t="n">
        <f aca="false">I1364*M1364</f>
        <v>21</v>
      </c>
      <c r="O1364" s="461" t="n">
        <v>60</v>
      </c>
      <c r="P1364" s="462" t="n">
        <f aca="false">H1364-O1364</f>
        <v>0</v>
      </c>
      <c r="Q1364" s="463" t="n">
        <f aca="false">O1364*I1364</f>
        <v>1350</v>
      </c>
      <c r="R1364" s="48" t="n">
        <f aca="false">K1364-Q1364</f>
        <v>0</v>
      </c>
      <c r="S1364" s="467"/>
      <c r="T1364" s="2" t="s">
        <v>1711</v>
      </c>
      <c r="V1364" s="464"/>
      <c r="W1364" s="464"/>
      <c r="X1364" s="464"/>
      <c r="Y1364" s="464"/>
      <c r="Z1364" s="464"/>
      <c r="AA1364" s="464"/>
      <c r="AB1364" s="464"/>
      <c r="AC1364" s="464"/>
      <c r="AD1364" s="464"/>
      <c r="AE1364" s="464"/>
      <c r="AF1364" s="464"/>
      <c r="AG1364" s="464"/>
      <c r="AH1364" s="465"/>
      <c r="AI1364" s="464"/>
    </row>
    <row r="1365" customFormat="false" ht="15" hidden="false" customHeight="true" outlineLevel="0" collapsed="false">
      <c r="A1365" s="455" t="s">
        <v>1987</v>
      </c>
      <c r="C1365" s="456" t="n">
        <v>45623</v>
      </c>
      <c r="D1365" s="456"/>
      <c r="E1365" s="57" t="n">
        <v>14288</v>
      </c>
      <c r="F1365" s="323" t="s">
        <v>175</v>
      </c>
      <c r="G1365" s="323" t="s">
        <v>19</v>
      </c>
      <c r="H1365" s="98" t="n">
        <v>15</v>
      </c>
      <c r="I1365" s="457" t="n">
        <v>37.5</v>
      </c>
      <c r="J1365" s="313" t="s">
        <v>1652</v>
      </c>
      <c r="K1365" s="98" t="n">
        <f aca="false">I1365*H1365</f>
        <v>562.5</v>
      </c>
      <c r="L1365" s="411" t="n">
        <v>496.46</v>
      </c>
      <c r="M1365" s="392" t="n">
        <f aca="false">L1365/K1365</f>
        <v>0.882595555555556</v>
      </c>
      <c r="N1365" s="466" t="n">
        <f aca="false">I1365*M1365</f>
        <v>33.0973333333333</v>
      </c>
      <c r="O1365" s="461" t="n">
        <v>15</v>
      </c>
      <c r="P1365" s="462" t="n">
        <f aca="false">H1365-O1365</f>
        <v>0</v>
      </c>
      <c r="Q1365" s="463" t="n">
        <f aca="false">O1365*I1365</f>
        <v>562.5</v>
      </c>
      <c r="R1365" s="48" t="n">
        <f aca="false">K1365-Q1365</f>
        <v>0</v>
      </c>
      <c r="S1365" s="467"/>
      <c r="T1365" s="2" t="s">
        <v>1711</v>
      </c>
      <c r="V1365" s="464"/>
      <c r="W1365" s="464"/>
      <c r="X1365" s="464"/>
      <c r="Y1365" s="464"/>
      <c r="Z1365" s="464"/>
      <c r="AA1365" s="464"/>
      <c r="AB1365" s="464"/>
      <c r="AC1365" s="464"/>
      <c r="AD1365" s="464"/>
      <c r="AE1365" s="464"/>
      <c r="AF1365" s="464"/>
      <c r="AG1365" s="464"/>
      <c r="AH1365" s="465"/>
      <c r="AI1365" s="464"/>
    </row>
    <row r="1366" customFormat="false" ht="15" hidden="false" customHeight="true" outlineLevel="0" collapsed="false">
      <c r="A1366" s="455" t="s">
        <v>1987</v>
      </c>
      <c r="C1366" s="456" t="n">
        <v>45623</v>
      </c>
      <c r="D1366" s="456"/>
      <c r="E1366" s="57" t="n">
        <v>14288</v>
      </c>
      <c r="F1366" s="323" t="s">
        <v>175</v>
      </c>
      <c r="G1366" s="323" t="s">
        <v>13</v>
      </c>
      <c r="H1366" s="98" t="n">
        <v>15</v>
      </c>
      <c r="I1366" s="457" t="n">
        <v>37.5</v>
      </c>
      <c r="J1366" s="313" t="s">
        <v>1652</v>
      </c>
      <c r="K1366" s="98" t="n">
        <f aca="false">I1366*H1366</f>
        <v>562.5</v>
      </c>
      <c r="L1366" s="411" t="n">
        <v>460.94</v>
      </c>
      <c r="M1366" s="392" t="n">
        <f aca="false">L1366/K1366</f>
        <v>0.819448888888889</v>
      </c>
      <c r="N1366" s="466" t="n">
        <f aca="false">I1366*M1366</f>
        <v>30.7293333333333</v>
      </c>
      <c r="O1366" s="461" t="n">
        <v>15</v>
      </c>
      <c r="P1366" s="462" t="n">
        <f aca="false">H1366-O1366</f>
        <v>0</v>
      </c>
      <c r="Q1366" s="463" t="n">
        <f aca="false">O1366*I1366</f>
        <v>562.5</v>
      </c>
      <c r="R1366" s="48" t="n">
        <f aca="false">K1366-Q1366</f>
        <v>0</v>
      </c>
      <c r="S1366" s="467"/>
      <c r="T1366" s="2" t="s">
        <v>1711</v>
      </c>
      <c r="V1366" s="464"/>
      <c r="W1366" s="464"/>
      <c r="X1366" s="464"/>
      <c r="Y1366" s="464"/>
      <c r="Z1366" s="464"/>
      <c r="AA1366" s="464"/>
      <c r="AB1366" s="464"/>
      <c r="AC1366" s="464"/>
      <c r="AD1366" s="464"/>
      <c r="AE1366" s="464"/>
      <c r="AF1366" s="464"/>
      <c r="AG1366" s="464"/>
      <c r="AH1366" s="465"/>
      <c r="AI1366" s="464"/>
    </row>
    <row r="1367" customFormat="false" ht="15" hidden="false" customHeight="true" outlineLevel="0" collapsed="false">
      <c r="A1367" s="455" t="s">
        <v>1988</v>
      </c>
      <c r="C1367" s="456" t="n">
        <v>45623</v>
      </c>
      <c r="D1367" s="456"/>
      <c r="E1367" s="57" t="n">
        <v>14289</v>
      </c>
      <c r="F1367" s="323" t="s">
        <v>175</v>
      </c>
      <c r="G1367" s="323" t="s">
        <v>10</v>
      </c>
      <c r="H1367" s="98" t="n">
        <v>30</v>
      </c>
      <c r="I1367" s="457" t="n">
        <v>38.3</v>
      </c>
      <c r="J1367" s="313" t="s">
        <v>1652</v>
      </c>
      <c r="K1367" s="98" t="n">
        <f aca="false">I1367*H1367</f>
        <v>1149</v>
      </c>
      <c r="L1367" s="411" t="n">
        <v>397.7</v>
      </c>
      <c r="M1367" s="392" t="n">
        <f aca="false">L1367/K1367</f>
        <v>0.346127067014795</v>
      </c>
      <c r="N1367" s="466" t="n">
        <f aca="false">I1367*M1367</f>
        <v>13.2566666666667</v>
      </c>
      <c r="O1367" s="461" t="n">
        <v>30</v>
      </c>
      <c r="P1367" s="462" t="n">
        <f aca="false">H1367-O1367</f>
        <v>0</v>
      </c>
      <c r="Q1367" s="463" t="n">
        <f aca="false">O1367*I1367</f>
        <v>1149</v>
      </c>
      <c r="R1367" s="48" t="n">
        <f aca="false">K1367-Q1367</f>
        <v>0</v>
      </c>
      <c r="S1367" s="467"/>
      <c r="T1367" s="2" t="s">
        <v>1711</v>
      </c>
      <c r="V1367" s="464"/>
      <c r="W1367" s="464"/>
      <c r="X1367" s="464"/>
      <c r="Y1367" s="464"/>
      <c r="Z1367" s="464"/>
      <c r="AA1367" s="464"/>
      <c r="AB1367" s="464"/>
      <c r="AC1367" s="464"/>
      <c r="AD1367" s="464"/>
      <c r="AE1367" s="464"/>
      <c r="AF1367" s="464"/>
      <c r="AG1367" s="464"/>
      <c r="AH1367" s="465"/>
      <c r="AI1367" s="464"/>
    </row>
    <row r="1368" customFormat="false" ht="15" hidden="false" customHeight="true" outlineLevel="0" collapsed="false">
      <c r="A1368" s="455" t="s">
        <v>1988</v>
      </c>
      <c r="C1368" s="456" t="n">
        <v>45623</v>
      </c>
      <c r="D1368" s="456"/>
      <c r="E1368" s="57" t="n">
        <v>14289</v>
      </c>
      <c r="F1368" s="323" t="s">
        <v>175</v>
      </c>
      <c r="G1368" s="323" t="s">
        <v>10</v>
      </c>
      <c r="H1368" s="98" t="n">
        <v>30</v>
      </c>
      <c r="I1368" s="457" t="n">
        <v>25.71</v>
      </c>
      <c r="J1368" s="313" t="s">
        <v>1651</v>
      </c>
      <c r="K1368" s="98" t="n">
        <f aca="false">I1368*H1368</f>
        <v>771.3</v>
      </c>
      <c r="L1368" s="411" t="n">
        <v>301.82</v>
      </c>
      <c r="M1368" s="392" t="n">
        <f aca="false">L1368/K1368</f>
        <v>0.391313367042655</v>
      </c>
      <c r="N1368" s="466" t="n">
        <f aca="false">I1368*M1368</f>
        <v>10.0606666666667</v>
      </c>
      <c r="O1368" s="461" t="n">
        <v>30</v>
      </c>
      <c r="P1368" s="462" t="n">
        <f aca="false">H1368-O1368</f>
        <v>0</v>
      </c>
      <c r="Q1368" s="463" t="n">
        <f aca="false">O1368*I1368</f>
        <v>771.3</v>
      </c>
      <c r="R1368" s="48" t="n">
        <f aca="false">K1368-Q1368</f>
        <v>0</v>
      </c>
      <c r="S1368" s="467"/>
      <c r="T1368" s="2" t="s">
        <v>1711</v>
      </c>
      <c r="V1368" s="464"/>
      <c r="W1368" s="464"/>
      <c r="X1368" s="464"/>
      <c r="Y1368" s="464"/>
      <c r="Z1368" s="464"/>
      <c r="AA1368" s="464"/>
      <c r="AB1368" s="464"/>
      <c r="AC1368" s="464"/>
      <c r="AD1368" s="464"/>
      <c r="AE1368" s="464"/>
      <c r="AF1368" s="464"/>
      <c r="AG1368" s="464"/>
      <c r="AH1368" s="465"/>
      <c r="AI1368" s="464"/>
    </row>
    <row r="1369" customFormat="false" ht="15" hidden="false" customHeight="true" outlineLevel="0" collapsed="false">
      <c r="A1369" s="455" t="s">
        <v>1989</v>
      </c>
      <c r="C1369" s="456" t="n">
        <v>45623</v>
      </c>
      <c r="D1369" s="456"/>
      <c r="E1369" s="57" t="n">
        <v>14290</v>
      </c>
      <c r="F1369" s="323" t="s">
        <v>175</v>
      </c>
      <c r="G1369" s="323" t="s">
        <v>10</v>
      </c>
      <c r="H1369" s="98" t="n">
        <v>30</v>
      </c>
      <c r="I1369" s="457" t="n">
        <v>25.71</v>
      </c>
      <c r="J1369" s="313" t="s">
        <v>1651</v>
      </c>
      <c r="K1369" s="98" t="n">
        <f aca="false">I1369*H1369</f>
        <v>771.3</v>
      </c>
      <c r="L1369" s="411" t="n">
        <v>310</v>
      </c>
      <c r="M1369" s="392" t="n">
        <f aca="false">L1369/K1369</f>
        <v>0.401918838324906</v>
      </c>
      <c r="N1369" s="466" t="n">
        <f aca="false">I1369*M1369</f>
        <v>10.3333333333333</v>
      </c>
      <c r="O1369" s="461" t="n">
        <v>30</v>
      </c>
      <c r="P1369" s="462" t="n">
        <f aca="false">H1369-O1369</f>
        <v>0</v>
      </c>
      <c r="Q1369" s="463" t="n">
        <f aca="false">O1369*I1369</f>
        <v>771.3</v>
      </c>
      <c r="R1369" s="48" t="n">
        <f aca="false">K1369-Q1369</f>
        <v>0</v>
      </c>
      <c r="S1369" s="467"/>
      <c r="T1369" s="2" t="s">
        <v>1711</v>
      </c>
      <c r="V1369" s="464"/>
      <c r="W1369" s="464"/>
      <c r="X1369" s="464"/>
      <c r="Y1369" s="464"/>
      <c r="Z1369" s="464"/>
      <c r="AA1369" s="464"/>
      <c r="AB1369" s="464"/>
      <c r="AC1369" s="464"/>
      <c r="AD1369" s="464"/>
      <c r="AE1369" s="464"/>
      <c r="AF1369" s="464"/>
      <c r="AG1369" s="464"/>
      <c r="AH1369" s="465"/>
      <c r="AI1369" s="464"/>
    </row>
    <row r="1370" customFormat="false" ht="15" hidden="false" customHeight="true" outlineLevel="0" collapsed="false">
      <c r="A1370" s="455" t="s">
        <v>1753</v>
      </c>
      <c r="C1370" s="456" t="n">
        <v>45623</v>
      </c>
      <c r="D1370" s="456"/>
      <c r="E1370" s="57" t="n">
        <v>14292</v>
      </c>
      <c r="F1370" s="323" t="s">
        <v>175</v>
      </c>
      <c r="G1370" s="323" t="s">
        <v>17</v>
      </c>
      <c r="H1370" s="98" t="n">
        <v>650</v>
      </c>
      <c r="I1370" s="457" t="n">
        <v>40</v>
      </c>
      <c r="J1370" s="313" t="s">
        <v>1653</v>
      </c>
      <c r="K1370" s="98" t="n">
        <f aca="false">I1370*H1370</f>
        <v>26000</v>
      </c>
      <c r="L1370" s="411" t="n">
        <v>9100</v>
      </c>
      <c r="M1370" s="392" t="n">
        <f aca="false">L1370/K1370</f>
        <v>0.35</v>
      </c>
      <c r="N1370" s="466" t="n">
        <f aca="false">I1370*M1370</f>
        <v>14</v>
      </c>
      <c r="O1370" s="461" t="n">
        <v>650</v>
      </c>
      <c r="P1370" s="462" t="n">
        <f aca="false">H1370-O1370</f>
        <v>0</v>
      </c>
      <c r="Q1370" s="463" t="n">
        <f aca="false">O1370*I1370</f>
        <v>26000</v>
      </c>
      <c r="R1370" s="48" t="n">
        <f aca="false">K1370-Q1370</f>
        <v>0</v>
      </c>
      <c r="S1370" s="467"/>
      <c r="T1370" s="2" t="s">
        <v>1711</v>
      </c>
      <c r="V1370" s="464"/>
      <c r="W1370" s="464"/>
      <c r="X1370" s="464"/>
      <c r="Y1370" s="464"/>
      <c r="Z1370" s="464"/>
      <c r="AA1370" s="464"/>
      <c r="AB1370" s="464"/>
      <c r="AC1370" s="464"/>
      <c r="AD1370" s="464"/>
      <c r="AE1370" s="464"/>
      <c r="AF1370" s="464"/>
      <c r="AG1370" s="464"/>
      <c r="AH1370" s="465"/>
      <c r="AI1370" s="464"/>
    </row>
    <row r="1371" customFormat="false" ht="15" hidden="false" customHeight="true" outlineLevel="0" collapsed="false">
      <c r="A1371" s="455" t="s">
        <v>1889</v>
      </c>
      <c r="C1371" s="456" t="n">
        <v>45624</v>
      </c>
      <c r="D1371" s="456"/>
      <c r="E1371" s="57" t="n">
        <v>14293</v>
      </c>
      <c r="F1371" s="323" t="s">
        <v>175</v>
      </c>
      <c r="G1371" s="323" t="s">
        <v>5</v>
      </c>
      <c r="H1371" s="98" t="n">
        <v>660</v>
      </c>
      <c r="I1371" s="457" t="n">
        <v>90</v>
      </c>
      <c r="J1371" s="313" t="s">
        <v>1653</v>
      </c>
      <c r="K1371" s="98" t="n">
        <f aca="false">I1371*H1371</f>
        <v>59400</v>
      </c>
      <c r="L1371" s="411" t="n">
        <v>15400</v>
      </c>
      <c r="M1371" s="392" t="n">
        <f aca="false">L1371/K1371</f>
        <v>0.259259259259259</v>
      </c>
      <c r="N1371" s="466" t="n">
        <f aca="false">I1371*M1371</f>
        <v>23.3333333333333</v>
      </c>
      <c r="O1371" s="461" t="n">
        <v>660</v>
      </c>
      <c r="P1371" s="462" t="n">
        <f aca="false">H1371-O1371</f>
        <v>0</v>
      </c>
      <c r="Q1371" s="463" t="n">
        <f aca="false">O1371*I1371</f>
        <v>59400</v>
      </c>
      <c r="R1371" s="48" t="n">
        <f aca="false">K1371-Q1371</f>
        <v>0</v>
      </c>
      <c r="S1371" s="467"/>
      <c r="T1371" s="2" t="s">
        <v>1711</v>
      </c>
      <c r="V1371" s="464"/>
      <c r="W1371" s="464"/>
      <c r="X1371" s="464"/>
      <c r="Y1371" s="464"/>
      <c r="Z1371" s="464"/>
      <c r="AA1371" s="464"/>
      <c r="AB1371" s="464"/>
      <c r="AC1371" s="464"/>
      <c r="AD1371" s="464"/>
      <c r="AE1371" s="464"/>
      <c r="AF1371" s="464"/>
      <c r="AG1371" s="464"/>
      <c r="AH1371" s="465"/>
      <c r="AI1371" s="464"/>
    </row>
    <row r="1372" customFormat="false" ht="15" hidden="false" customHeight="true" outlineLevel="0" collapsed="false">
      <c r="A1372" s="455" t="s">
        <v>1889</v>
      </c>
      <c r="C1372" s="456" t="n">
        <v>45624</v>
      </c>
      <c r="D1372" s="456"/>
      <c r="E1372" s="57" t="n">
        <v>14294</v>
      </c>
      <c r="F1372" s="323" t="s">
        <v>175</v>
      </c>
      <c r="G1372" s="323" t="s">
        <v>5</v>
      </c>
      <c r="H1372" s="98" t="n">
        <v>3360</v>
      </c>
      <c r="I1372" s="457" t="n">
        <v>90</v>
      </c>
      <c r="J1372" s="313" t="s">
        <v>1653</v>
      </c>
      <c r="K1372" s="98" t="n">
        <f aca="false">I1372*H1372</f>
        <v>302400</v>
      </c>
      <c r="L1372" s="411" t="n">
        <v>78400</v>
      </c>
      <c r="M1372" s="392" t="n">
        <f aca="false">L1372/K1372</f>
        <v>0.259259259259259</v>
      </c>
      <c r="N1372" s="466" t="n">
        <f aca="false">I1372*M1372</f>
        <v>23.3333333333333</v>
      </c>
      <c r="O1372" s="461" t="n">
        <v>3360</v>
      </c>
      <c r="P1372" s="462" t="n">
        <f aca="false">H1372-O1372</f>
        <v>0</v>
      </c>
      <c r="Q1372" s="463" t="n">
        <f aca="false">O1372*I1372</f>
        <v>302400</v>
      </c>
      <c r="R1372" s="48" t="n">
        <f aca="false">K1372-Q1372</f>
        <v>0</v>
      </c>
      <c r="S1372" s="467"/>
      <c r="T1372" s="2" t="s">
        <v>1711</v>
      </c>
      <c r="V1372" s="464"/>
      <c r="W1372" s="464"/>
      <c r="X1372" s="464"/>
      <c r="Y1372" s="464"/>
      <c r="Z1372" s="464"/>
      <c r="AA1372" s="464"/>
      <c r="AB1372" s="464"/>
      <c r="AC1372" s="464"/>
      <c r="AD1372" s="464"/>
      <c r="AE1372" s="464"/>
      <c r="AF1372" s="464"/>
      <c r="AG1372" s="464"/>
      <c r="AH1372" s="465"/>
      <c r="AI1372" s="464"/>
    </row>
    <row r="1373" customFormat="false" ht="15" hidden="false" customHeight="true" outlineLevel="0" collapsed="false">
      <c r="A1373" s="455" t="s">
        <v>1990</v>
      </c>
      <c r="C1373" s="456" t="n">
        <v>45624</v>
      </c>
      <c r="D1373" s="456"/>
      <c r="E1373" s="57" t="n">
        <v>14295</v>
      </c>
      <c r="F1373" s="323" t="s">
        <v>175</v>
      </c>
      <c r="G1373" s="323" t="s">
        <v>5</v>
      </c>
      <c r="H1373" s="98" t="n">
        <v>360</v>
      </c>
      <c r="I1373" s="457" t="n">
        <v>90</v>
      </c>
      <c r="J1373" s="313" t="s">
        <v>1653</v>
      </c>
      <c r="K1373" s="98" t="n">
        <f aca="false">I1373*H1373</f>
        <v>32400</v>
      </c>
      <c r="L1373" s="411" t="n">
        <v>9324</v>
      </c>
      <c r="M1373" s="392" t="n">
        <f aca="false">L1373/K1373</f>
        <v>0.287777777777778</v>
      </c>
      <c r="N1373" s="466" t="n">
        <f aca="false">I1373*M1373</f>
        <v>25.9</v>
      </c>
      <c r="O1373" s="461" t="n">
        <v>360</v>
      </c>
      <c r="P1373" s="462" t="n">
        <f aca="false">H1373-O1373</f>
        <v>0</v>
      </c>
      <c r="Q1373" s="463" t="n">
        <f aca="false">O1373*I1373</f>
        <v>32400</v>
      </c>
      <c r="R1373" s="48" t="n">
        <f aca="false">K1373-Q1373</f>
        <v>0</v>
      </c>
      <c r="S1373" s="467"/>
      <c r="T1373" s="2" t="s">
        <v>1711</v>
      </c>
      <c r="V1373" s="464"/>
      <c r="W1373" s="464"/>
      <c r="X1373" s="464"/>
      <c r="Y1373" s="464"/>
      <c r="Z1373" s="464"/>
      <c r="AA1373" s="464"/>
      <c r="AB1373" s="464"/>
      <c r="AC1373" s="464"/>
      <c r="AD1373" s="464"/>
      <c r="AE1373" s="464"/>
      <c r="AF1373" s="464"/>
      <c r="AG1373" s="464"/>
      <c r="AH1373" s="465"/>
      <c r="AI1373" s="464"/>
    </row>
    <row r="1374" customFormat="false" ht="15" hidden="false" customHeight="true" outlineLevel="0" collapsed="false">
      <c r="A1374" s="455" t="s">
        <v>1955</v>
      </c>
      <c r="C1374" s="456" t="n">
        <v>45624</v>
      </c>
      <c r="D1374" s="456"/>
      <c r="E1374" s="57" t="n">
        <v>14296</v>
      </c>
      <c r="F1374" s="323" t="s">
        <v>175</v>
      </c>
      <c r="G1374" s="323" t="s">
        <v>5</v>
      </c>
      <c r="H1374" s="98" t="n">
        <v>750</v>
      </c>
      <c r="I1374" s="457" t="n">
        <v>25.71</v>
      </c>
      <c r="J1374" s="313" t="s">
        <v>1651</v>
      </c>
      <c r="K1374" s="98" t="n">
        <f aca="false">I1374*H1374</f>
        <v>19282.5</v>
      </c>
      <c r="L1374" s="411" t="n">
        <v>8565</v>
      </c>
      <c r="M1374" s="392" t="n">
        <f aca="false">L1374/K1374</f>
        <v>0.444185141968106</v>
      </c>
      <c r="N1374" s="466" t="n">
        <f aca="false">I1374*M1374</f>
        <v>11.42</v>
      </c>
      <c r="O1374" s="461" t="n">
        <v>750</v>
      </c>
      <c r="P1374" s="462" t="n">
        <f aca="false">H1374-O1374</f>
        <v>0</v>
      </c>
      <c r="Q1374" s="463" t="n">
        <f aca="false">O1374*I1374</f>
        <v>19282.5</v>
      </c>
      <c r="R1374" s="48" t="n">
        <f aca="false">K1374-Q1374</f>
        <v>0</v>
      </c>
      <c r="S1374" s="467"/>
      <c r="T1374" s="2" t="s">
        <v>1711</v>
      </c>
      <c r="V1374" s="464"/>
      <c r="W1374" s="464"/>
      <c r="X1374" s="464"/>
      <c r="Y1374" s="464"/>
      <c r="Z1374" s="464"/>
      <c r="AA1374" s="464"/>
      <c r="AB1374" s="464"/>
      <c r="AC1374" s="464"/>
      <c r="AD1374" s="464"/>
      <c r="AE1374" s="464"/>
      <c r="AF1374" s="464"/>
      <c r="AG1374" s="464"/>
      <c r="AH1374" s="465"/>
      <c r="AI1374" s="464"/>
    </row>
    <row r="1375" customFormat="false" ht="15" hidden="false" customHeight="true" outlineLevel="0" collapsed="false">
      <c r="A1375" s="455" t="s">
        <v>1991</v>
      </c>
      <c r="C1375" s="456" t="n">
        <v>45624</v>
      </c>
      <c r="D1375" s="456"/>
      <c r="E1375" s="57" t="n">
        <v>14297</v>
      </c>
      <c r="F1375" s="323" t="s">
        <v>175</v>
      </c>
      <c r="G1375" s="323" t="s">
        <v>10</v>
      </c>
      <c r="H1375" s="98" t="n">
        <v>510</v>
      </c>
      <c r="I1375" s="457" t="n">
        <v>38.3</v>
      </c>
      <c r="J1375" s="313" t="s">
        <v>1652</v>
      </c>
      <c r="K1375" s="98" t="n">
        <f aca="false">I1375*H1375</f>
        <v>19533</v>
      </c>
      <c r="L1375" s="411" t="n">
        <v>9996</v>
      </c>
      <c r="M1375" s="392" t="n">
        <f aca="false">L1375/K1375</f>
        <v>0.511749347258486</v>
      </c>
      <c r="N1375" s="466" t="n">
        <f aca="false">I1375*M1375</f>
        <v>19.6</v>
      </c>
      <c r="O1375" s="461" t="n">
        <v>510</v>
      </c>
      <c r="P1375" s="462" t="n">
        <f aca="false">H1375-O1375</f>
        <v>0</v>
      </c>
      <c r="Q1375" s="463" t="n">
        <f aca="false">O1375*I1375</f>
        <v>19533</v>
      </c>
      <c r="R1375" s="48" t="n">
        <f aca="false">K1375-Q1375</f>
        <v>0</v>
      </c>
      <c r="S1375" s="467"/>
      <c r="T1375" s="2" t="s">
        <v>1711</v>
      </c>
      <c r="V1375" s="464"/>
      <c r="W1375" s="464"/>
      <c r="X1375" s="464"/>
      <c r="Y1375" s="464"/>
      <c r="Z1375" s="464"/>
      <c r="AA1375" s="464"/>
      <c r="AB1375" s="464"/>
      <c r="AC1375" s="464"/>
      <c r="AD1375" s="464"/>
      <c r="AE1375" s="464"/>
      <c r="AF1375" s="464"/>
      <c r="AG1375" s="464"/>
      <c r="AH1375" s="465"/>
      <c r="AI1375" s="464"/>
    </row>
    <row r="1376" customFormat="false" ht="15" hidden="false" customHeight="true" outlineLevel="0" collapsed="false">
      <c r="A1376" s="455" t="s">
        <v>1715</v>
      </c>
      <c r="C1376" s="456" t="n">
        <v>45624</v>
      </c>
      <c r="D1376" s="456"/>
      <c r="E1376" s="57" t="n">
        <v>14298</v>
      </c>
      <c r="F1376" s="323" t="s">
        <v>175</v>
      </c>
      <c r="G1376" s="323" t="s">
        <v>5</v>
      </c>
      <c r="H1376" s="98" t="n">
        <v>75</v>
      </c>
      <c r="I1376" s="457" t="n">
        <v>25.71</v>
      </c>
      <c r="J1376" s="313" t="s">
        <v>1651</v>
      </c>
      <c r="K1376" s="98" t="n">
        <f aca="false">I1376*H1376</f>
        <v>1928.25</v>
      </c>
      <c r="L1376" s="411" t="n">
        <v>1368.75</v>
      </c>
      <c r="M1376" s="392" t="n">
        <f aca="false">L1376/K1376</f>
        <v>0.709840528977052</v>
      </c>
      <c r="N1376" s="466" t="n">
        <f aca="false">I1376*M1376</f>
        <v>18.25</v>
      </c>
      <c r="O1376" s="461" t="n">
        <v>75</v>
      </c>
      <c r="P1376" s="462" t="n">
        <f aca="false">H1376-O1376</f>
        <v>0</v>
      </c>
      <c r="Q1376" s="463" t="n">
        <f aca="false">O1376*I1376</f>
        <v>1928.25</v>
      </c>
      <c r="R1376" s="48" t="n">
        <f aca="false">K1376-Q1376</f>
        <v>0</v>
      </c>
      <c r="S1376" s="467"/>
      <c r="T1376" s="2" t="s">
        <v>1711</v>
      </c>
      <c r="V1376" s="464"/>
      <c r="W1376" s="464"/>
      <c r="X1376" s="464"/>
      <c r="Y1376" s="464"/>
      <c r="Z1376" s="464"/>
      <c r="AA1376" s="464"/>
      <c r="AB1376" s="464"/>
      <c r="AC1376" s="464"/>
      <c r="AD1376" s="464"/>
      <c r="AE1376" s="464"/>
      <c r="AF1376" s="464"/>
      <c r="AG1376" s="464"/>
      <c r="AH1376" s="465"/>
      <c r="AI1376" s="464"/>
    </row>
    <row r="1377" customFormat="false" ht="15" hidden="false" customHeight="true" outlineLevel="0" collapsed="false">
      <c r="A1377" s="455" t="s">
        <v>1992</v>
      </c>
      <c r="C1377" s="456" t="n">
        <v>45624</v>
      </c>
      <c r="D1377" s="456"/>
      <c r="E1377" s="57" t="n">
        <v>14300</v>
      </c>
      <c r="F1377" s="323" t="s">
        <v>175</v>
      </c>
      <c r="G1377" s="323" t="s">
        <v>6</v>
      </c>
      <c r="H1377" s="98" t="n">
        <v>4000</v>
      </c>
      <c r="I1377" s="457" t="n">
        <v>90</v>
      </c>
      <c r="J1377" s="313" t="s">
        <v>1653</v>
      </c>
      <c r="K1377" s="98" t="n">
        <f aca="false">I1377*H1377</f>
        <v>360000</v>
      </c>
      <c r="L1377" s="411" t="n">
        <v>114000</v>
      </c>
      <c r="M1377" s="392" t="n">
        <f aca="false">L1377/K1377</f>
        <v>0.316666666666667</v>
      </c>
      <c r="N1377" s="466" t="n">
        <f aca="false">I1377*M1377</f>
        <v>28.5</v>
      </c>
      <c r="O1377" s="461" t="n">
        <v>4000</v>
      </c>
      <c r="P1377" s="462" t="n">
        <f aca="false">H1377-O1377</f>
        <v>0</v>
      </c>
      <c r="Q1377" s="463" t="n">
        <f aca="false">O1377*I1377</f>
        <v>360000</v>
      </c>
      <c r="R1377" s="48" t="n">
        <f aca="false">K1377-Q1377</f>
        <v>0</v>
      </c>
      <c r="S1377" s="467"/>
      <c r="T1377" s="2" t="s">
        <v>1711</v>
      </c>
      <c r="V1377" s="464"/>
      <c r="W1377" s="464"/>
      <c r="X1377" s="464"/>
      <c r="Y1377" s="464"/>
      <c r="Z1377" s="464"/>
      <c r="AA1377" s="464"/>
      <c r="AB1377" s="464"/>
      <c r="AC1377" s="464"/>
      <c r="AD1377" s="464"/>
      <c r="AE1377" s="464"/>
      <c r="AF1377" s="464"/>
      <c r="AG1377" s="464"/>
      <c r="AH1377" s="465"/>
      <c r="AI1377" s="464"/>
    </row>
    <row r="1378" customFormat="false" ht="15" hidden="false" customHeight="true" outlineLevel="0" collapsed="false">
      <c r="A1378" s="455" t="s">
        <v>1992</v>
      </c>
      <c r="C1378" s="456" t="n">
        <v>45624</v>
      </c>
      <c r="D1378" s="456"/>
      <c r="E1378" s="57" t="n">
        <v>14300</v>
      </c>
      <c r="F1378" s="323" t="s">
        <v>175</v>
      </c>
      <c r="G1378" s="323" t="s">
        <v>12</v>
      </c>
      <c r="H1378" s="98" t="n">
        <v>150</v>
      </c>
      <c r="I1378" s="457" t="n">
        <v>18</v>
      </c>
      <c r="J1378" s="313" t="s">
        <v>1651</v>
      </c>
      <c r="K1378" s="98" t="n">
        <f aca="false">I1378*H1378</f>
        <v>2700</v>
      </c>
      <c r="L1378" s="411" t="n">
        <v>9750</v>
      </c>
      <c r="M1378" s="392" t="n">
        <f aca="false">L1378/K1378</f>
        <v>3.61111111111111</v>
      </c>
      <c r="N1378" s="466" t="n">
        <f aca="false">I1378*M1378</f>
        <v>65</v>
      </c>
      <c r="O1378" s="461" t="n">
        <v>150</v>
      </c>
      <c r="P1378" s="462" t="n">
        <f aca="false">H1378-O1378</f>
        <v>0</v>
      </c>
      <c r="Q1378" s="463" t="n">
        <f aca="false">O1378*I1378</f>
        <v>2700</v>
      </c>
      <c r="R1378" s="48" t="n">
        <f aca="false">K1378-Q1378</f>
        <v>0</v>
      </c>
      <c r="S1378" s="467"/>
      <c r="T1378" s="2" t="s">
        <v>1711</v>
      </c>
      <c r="V1378" s="464"/>
      <c r="W1378" s="464"/>
      <c r="X1378" s="464"/>
      <c r="Y1378" s="464"/>
      <c r="Z1378" s="464"/>
      <c r="AA1378" s="464"/>
      <c r="AB1378" s="464"/>
      <c r="AC1378" s="464"/>
      <c r="AD1378" s="464"/>
      <c r="AE1378" s="464"/>
      <c r="AF1378" s="464"/>
      <c r="AG1378" s="464"/>
      <c r="AH1378" s="465"/>
      <c r="AI1378" s="464"/>
    </row>
    <row r="1379" customFormat="false" ht="15" hidden="false" customHeight="true" outlineLevel="0" collapsed="false">
      <c r="A1379" s="455" t="s">
        <v>1992</v>
      </c>
      <c r="C1379" s="456" t="n">
        <v>45624</v>
      </c>
      <c r="D1379" s="456"/>
      <c r="E1379" s="57" t="n">
        <v>14300</v>
      </c>
      <c r="F1379" s="323" t="s">
        <v>175</v>
      </c>
      <c r="G1379" s="323" t="s">
        <v>17</v>
      </c>
      <c r="H1379" s="98" t="n">
        <v>510</v>
      </c>
      <c r="I1379" s="457" t="n">
        <v>22.5</v>
      </c>
      <c r="J1379" s="313" t="s">
        <v>1651</v>
      </c>
      <c r="K1379" s="98" t="n">
        <f aca="false">I1379*H1379</f>
        <v>11475</v>
      </c>
      <c r="L1379" s="411" t="n">
        <v>7650</v>
      </c>
      <c r="M1379" s="392" t="n">
        <f aca="false">L1379/K1379</f>
        <v>0.666666666666667</v>
      </c>
      <c r="N1379" s="466" t="n">
        <f aca="false">I1379*M1379</f>
        <v>15</v>
      </c>
      <c r="O1379" s="461" t="n">
        <v>510</v>
      </c>
      <c r="P1379" s="462" t="n">
        <f aca="false">H1379-O1379</f>
        <v>0</v>
      </c>
      <c r="Q1379" s="463" t="n">
        <f aca="false">O1379*I1379</f>
        <v>11475</v>
      </c>
      <c r="R1379" s="48" t="n">
        <f aca="false">K1379-Q1379</f>
        <v>0</v>
      </c>
      <c r="S1379" s="467"/>
      <c r="T1379" s="2" t="s">
        <v>1711</v>
      </c>
      <c r="V1379" s="464"/>
      <c r="W1379" s="464"/>
      <c r="X1379" s="464"/>
      <c r="Y1379" s="464"/>
      <c r="Z1379" s="464"/>
      <c r="AA1379" s="464"/>
      <c r="AB1379" s="464"/>
      <c r="AC1379" s="464"/>
      <c r="AD1379" s="464"/>
      <c r="AE1379" s="464"/>
      <c r="AF1379" s="464"/>
      <c r="AG1379" s="464"/>
      <c r="AH1379" s="465"/>
      <c r="AI1379" s="464"/>
    </row>
    <row r="1380" customFormat="false" ht="15" hidden="false" customHeight="true" outlineLevel="0" collapsed="false">
      <c r="A1380" s="455" t="s">
        <v>1923</v>
      </c>
      <c r="C1380" s="456" t="n">
        <v>45624</v>
      </c>
      <c r="D1380" s="456"/>
      <c r="E1380" s="323" t="n">
        <v>14301</v>
      </c>
      <c r="F1380" s="57" t="s">
        <v>175</v>
      </c>
      <c r="G1380" s="323" t="s">
        <v>5</v>
      </c>
      <c r="H1380" s="98" t="n">
        <v>15</v>
      </c>
      <c r="I1380" s="457" t="n">
        <v>25.71</v>
      </c>
      <c r="J1380" s="313" t="s">
        <v>1651</v>
      </c>
      <c r="K1380" s="98" t="n">
        <f aca="false">I1380*H1380</f>
        <v>385.65</v>
      </c>
      <c r="L1380" s="411" t="n">
        <v>321</v>
      </c>
      <c r="M1380" s="392" t="n">
        <f aca="false">L1380/K1380</f>
        <v>0.832360949047063</v>
      </c>
      <c r="N1380" s="466" t="n">
        <f aca="false">I1380*M1380</f>
        <v>21.4</v>
      </c>
      <c r="O1380" s="461" t="n">
        <v>15</v>
      </c>
      <c r="P1380" s="462" t="n">
        <f aca="false">H1380-O1380</f>
        <v>0</v>
      </c>
      <c r="Q1380" s="463" t="n">
        <f aca="false">O1380*I1380</f>
        <v>385.65</v>
      </c>
      <c r="R1380" s="48" t="n">
        <f aca="false">K1380-Q1380</f>
        <v>0</v>
      </c>
      <c r="S1380" s="467"/>
      <c r="T1380" s="2" t="s">
        <v>1711</v>
      </c>
      <c r="V1380" s="464"/>
      <c r="W1380" s="464"/>
      <c r="X1380" s="464"/>
      <c r="Y1380" s="464"/>
      <c r="Z1380" s="464"/>
      <c r="AA1380" s="464"/>
      <c r="AB1380" s="464"/>
      <c r="AC1380" s="464"/>
      <c r="AD1380" s="464"/>
      <c r="AE1380" s="464"/>
      <c r="AF1380" s="464"/>
      <c r="AG1380" s="464"/>
      <c r="AH1380" s="465"/>
      <c r="AI1380" s="464"/>
    </row>
    <row r="1381" customFormat="false" ht="15" hidden="false" customHeight="true" outlineLevel="0" collapsed="false">
      <c r="A1381" s="455" t="s">
        <v>1923</v>
      </c>
      <c r="C1381" s="456" t="n">
        <v>45624</v>
      </c>
      <c r="D1381" s="456"/>
      <c r="E1381" s="323" t="n">
        <v>14301</v>
      </c>
      <c r="F1381" s="57" t="s">
        <v>175</v>
      </c>
      <c r="G1381" s="323" t="s">
        <v>19</v>
      </c>
      <c r="H1381" s="98" t="n">
        <v>30</v>
      </c>
      <c r="I1381" s="457" t="n">
        <v>22.5</v>
      </c>
      <c r="J1381" s="313" t="s">
        <v>1651</v>
      </c>
      <c r="K1381" s="98" t="n">
        <f aca="false">I1381*H1381</f>
        <v>675</v>
      </c>
      <c r="L1381" s="411" t="n">
        <v>722.4</v>
      </c>
      <c r="M1381" s="392" t="n">
        <f aca="false">L1381/K1381</f>
        <v>1.07022222222222</v>
      </c>
      <c r="N1381" s="466" t="n">
        <f aca="false">I1381*M1381</f>
        <v>24.08</v>
      </c>
      <c r="O1381" s="461" t="n">
        <v>30</v>
      </c>
      <c r="P1381" s="462" t="n">
        <f aca="false">H1381-O1381</f>
        <v>0</v>
      </c>
      <c r="Q1381" s="463" t="n">
        <f aca="false">O1381*I1381</f>
        <v>675</v>
      </c>
      <c r="R1381" s="48" t="n">
        <f aca="false">K1381-Q1381</f>
        <v>0</v>
      </c>
      <c r="S1381" s="467"/>
      <c r="T1381" s="2" t="s">
        <v>1711</v>
      </c>
      <c r="V1381" s="464"/>
      <c r="W1381" s="464"/>
      <c r="X1381" s="464"/>
      <c r="Y1381" s="464"/>
      <c r="Z1381" s="464"/>
      <c r="AA1381" s="464"/>
      <c r="AB1381" s="464"/>
      <c r="AC1381" s="464"/>
      <c r="AD1381" s="464"/>
      <c r="AE1381" s="464"/>
      <c r="AF1381" s="464"/>
      <c r="AG1381" s="464"/>
      <c r="AH1381" s="465"/>
      <c r="AI1381" s="464"/>
    </row>
    <row r="1382" customFormat="false" ht="15" hidden="false" customHeight="true" outlineLevel="0" collapsed="false">
      <c r="A1382" s="455" t="s">
        <v>1993</v>
      </c>
      <c r="C1382" s="456" t="n">
        <v>45624</v>
      </c>
      <c r="D1382" s="456"/>
      <c r="E1382" s="323" t="n">
        <v>14302</v>
      </c>
      <c r="F1382" s="57" t="s">
        <v>175</v>
      </c>
      <c r="G1382" s="323" t="s">
        <v>6</v>
      </c>
      <c r="H1382" s="98" t="n">
        <v>60</v>
      </c>
      <c r="I1382" s="457" t="n">
        <v>30</v>
      </c>
      <c r="J1382" s="313" t="s">
        <v>1651</v>
      </c>
      <c r="K1382" s="98" t="n">
        <f aca="false">I1382*H1382</f>
        <v>1800</v>
      </c>
      <c r="L1382" s="411" t="n">
        <v>1140</v>
      </c>
      <c r="M1382" s="392" t="n">
        <f aca="false">L1382/K1382</f>
        <v>0.633333333333333</v>
      </c>
      <c r="N1382" s="466" t="n">
        <f aca="false">I1382*M1382</f>
        <v>19</v>
      </c>
      <c r="O1382" s="461" t="n">
        <v>60</v>
      </c>
      <c r="P1382" s="462" t="n">
        <f aca="false">H1382-O1382</f>
        <v>0</v>
      </c>
      <c r="Q1382" s="463" t="n">
        <f aca="false">O1382*I1382</f>
        <v>1800</v>
      </c>
      <c r="R1382" s="48" t="n">
        <f aca="false">K1382-Q1382</f>
        <v>0</v>
      </c>
      <c r="S1382" s="467"/>
      <c r="T1382" s="2" t="s">
        <v>1711</v>
      </c>
      <c r="V1382" s="464"/>
      <c r="W1382" s="464"/>
      <c r="X1382" s="464"/>
      <c r="Y1382" s="464"/>
      <c r="Z1382" s="464"/>
      <c r="AA1382" s="464"/>
      <c r="AB1382" s="464"/>
      <c r="AC1382" s="464"/>
      <c r="AD1382" s="464"/>
      <c r="AE1382" s="464"/>
      <c r="AF1382" s="464"/>
      <c r="AG1382" s="464"/>
      <c r="AH1382" s="465"/>
      <c r="AI1382" s="464"/>
    </row>
    <row r="1383" customFormat="false" ht="15" hidden="false" customHeight="true" outlineLevel="0" collapsed="false">
      <c r="A1383" s="455" t="s">
        <v>1763</v>
      </c>
      <c r="C1383" s="456" t="n">
        <v>45624</v>
      </c>
      <c r="D1383" s="456"/>
      <c r="E1383" s="323" t="n">
        <v>14303</v>
      </c>
      <c r="F1383" s="57" t="s">
        <v>175</v>
      </c>
      <c r="G1383" s="323" t="s">
        <v>5</v>
      </c>
      <c r="H1383" s="98" t="n">
        <v>1170</v>
      </c>
      <c r="I1383" s="457" t="n">
        <v>37.5</v>
      </c>
      <c r="J1383" s="313" t="s">
        <v>1652</v>
      </c>
      <c r="K1383" s="458" t="n">
        <f aca="false">I1383*H1383</f>
        <v>43875</v>
      </c>
      <c r="L1383" s="411" t="n">
        <v>14859</v>
      </c>
      <c r="M1383" s="459" t="n">
        <f aca="false">L1383/K1383</f>
        <v>0.338666666666667</v>
      </c>
      <c r="N1383" s="460" t="n">
        <f aca="false">I1383*M1383</f>
        <v>12.7</v>
      </c>
      <c r="O1383" s="461" t="n">
        <v>1170</v>
      </c>
      <c r="P1383" s="462" t="n">
        <f aca="false">H1383-O1383</f>
        <v>0</v>
      </c>
      <c r="Q1383" s="463" t="n">
        <f aca="false">O1383*I1383</f>
        <v>43875</v>
      </c>
      <c r="R1383" s="48" t="n">
        <f aca="false">K1383-Q1383</f>
        <v>0</v>
      </c>
      <c r="S1383" s="467"/>
      <c r="T1383" s="2" t="s">
        <v>1711</v>
      </c>
      <c r="V1383" s="464"/>
      <c r="W1383" s="464"/>
      <c r="X1383" s="464"/>
      <c r="Y1383" s="464"/>
      <c r="Z1383" s="464"/>
      <c r="AA1383" s="464"/>
      <c r="AB1383" s="464"/>
      <c r="AC1383" s="464"/>
      <c r="AD1383" s="464"/>
      <c r="AE1383" s="464"/>
      <c r="AF1383" s="464"/>
      <c r="AG1383" s="464"/>
      <c r="AH1383" s="465"/>
      <c r="AI1383" s="464"/>
    </row>
    <row r="1384" customFormat="false" ht="15" hidden="false" customHeight="true" outlineLevel="0" collapsed="false">
      <c r="A1384" s="455" t="s">
        <v>1824</v>
      </c>
      <c r="C1384" s="456" t="n">
        <v>45624</v>
      </c>
      <c r="D1384" s="456"/>
      <c r="E1384" s="323" t="n">
        <v>14304</v>
      </c>
      <c r="F1384" s="57" t="s">
        <v>175</v>
      </c>
      <c r="G1384" s="323" t="s">
        <v>6</v>
      </c>
      <c r="H1384" s="98" t="n">
        <v>1200</v>
      </c>
      <c r="I1384" s="457" t="n">
        <v>30</v>
      </c>
      <c r="J1384" s="313" t="s">
        <v>1651</v>
      </c>
      <c r="K1384" s="458" t="n">
        <f aca="false">I1384*H1384</f>
        <v>36000</v>
      </c>
      <c r="L1384" s="411" t="n">
        <v>15360</v>
      </c>
      <c r="M1384" s="459" t="n">
        <f aca="false">L1384/K1384</f>
        <v>0.426666666666667</v>
      </c>
      <c r="N1384" s="460" t="n">
        <f aca="false">I1384*M1384</f>
        <v>12.8</v>
      </c>
      <c r="O1384" s="461" t="n">
        <v>1200</v>
      </c>
      <c r="P1384" s="462" t="n">
        <f aca="false">H1384-O1384</f>
        <v>0</v>
      </c>
      <c r="Q1384" s="463" t="n">
        <f aca="false">O1384*I1384</f>
        <v>36000</v>
      </c>
      <c r="R1384" s="48" t="n">
        <f aca="false">K1384-Q1384</f>
        <v>0</v>
      </c>
      <c r="S1384" s="467"/>
      <c r="T1384" s="2" t="s">
        <v>1711</v>
      </c>
      <c r="V1384" s="464"/>
      <c r="W1384" s="464"/>
      <c r="X1384" s="464"/>
      <c r="Y1384" s="464"/>
      <c r="Z1384" s="464"/>
      <c r="AA1384" s="464"/>
      <c r="AB1384" s="464"/>
      <c r="AC1384" s="464"/>
      <c r="AD1384" s="464"/>
      <c r="AE1384" s="464"/>
      <c r="AF1384" s="464"/>
      <c r="AG1384" s="464"/>
      <c r="AH1384" s="465"/>
      <c r="AI1384" s="464"/>
    </row>
    <row r="1385" customFormat="false" ht="15" hidden="false" customHeight="true" outlineLevel="0" collapsed="false">
      <c r="A1385" s="455" t="s">
        <v>1824</v>
      </c>
      <c r="C1385" s="456" t="n">
        <v>45624</v>
      </c>
      <c r="D1385" s="456"/>
      <c r="E1385" s="323" t="n">
        <v>14305</v>
      </c>
      <c r="F1385" s="57" t="s">
        <v>175</v>
      </c>
      <c r="G1385" s="323" t="s">
        <v>17</v>
      </c>
      <c r="H1385" s="98" t="n">
        <v>1500</v>
      </c>
      <c r="I1385" s="457" t="n">
        <v>22.5</v>
      </c>
      <c r="J1385" s="313" t="s">
        <v>1651</v>
      </c>
      <c r="K1385" s="458" t="n">
        <f aca="false">I1385*H1385</f>
        <v>33750</v>
      </c>
      <c r="L1385" s="411" t="n">
        <v>17300</v>
      </c>
      <c r="M1385" s="459" t="n">
        <f aca="false">L1385/K1385</f>
        <v>0.512592592592593</v>
      </c>
      <c r="N1385" s="460" t="n">
        <f aca="false">I1385*M1385</f>
        <v>11.5333333333333</v>
      </c>
      <c r="O1385" s="461" t="n">
        <v>1500</v>
      </c>
      <c r="P1385" s="462" t="n">
        <f aca="false">H1385-O1385</f>
        <v>0</v>
      </c>
      <c r="Q1385" s="463" t="n">
        <f aca="false">O1385*I1385</f>
        <v>33750</v>
      </c>
      <c r="R1385" s="48" t="n">
        <f aca="false">K1385-Q1385</f>
        <v>0</v>
      </c>
      <c r="S1385" s="467"/>
      <c r="T1385" s="2" t="s">
        <v>1711</v>
      </c>
      <c r="V1385" s="464"/>
      <c r="W1385" s="464"/>
      <c r="X1385" s="464"/>
      <c r="Y1385" s="464"/>
      <c r="Z1385" s="464"/>
      <c r="AA1385" s="464"/>
      <c r="AB1385" s="464"/>
      <c r="AC1385" s="464"/>
      <c r="AD1385" s="464"/>
      <c r="AE1385" s="464"/>
      <c r="AF1385" s="464"/>
      <c r="AG1385" s="464"/>
      <c r="AH1385" s="465"/>
      <c r="AI1385" s="464"/>
    </row>
    <row r="1386" customFormat="false" ht="15" hidden="false" customHeight="true" outlineLevel="0" collapsed="false">
      <c r="A1386" s="455" t="s">
        <v>1979</v>
      </c>
      <c r="C1386" s="456" t="n">
        <v>45624</v>
      </c>
      <c r="D1386" s="456"/>
      <c r="E1386" s="323" t="n">
        <v>14306</v>
      </c>
      <c r="F1386" s="57" t="s">
        <v>175</v>
      </c>
      <c r="G1386" s="323" t="s">
        <v>17</v>
      </c>
      <c r="H1386" s="98" t="n">
        <v>100</v>
      </c>
      <c r="I1386" s="457" t="n">
        <v>55</v>
      </c>
      <c r="J1386" s="313" t="s">
        <v>1653</v>
      </c>
      <c r="K1386" s="458" t="n">
        <f aca="false">I1386*H1386</f>
        <v>5500</v>
      </c>
      <c r="L1386" s="411" t="n">
        <v>2850</v>
      </c>
      <c r="M1386" s="459" t="n">
        <f aca="false">L1386/K1386</f>
        <v>0.518181818181818</v>
      </c>
      <c r="N1386" s="460" t="n">
        <f aca="false">I1386*M1386</f>
        <v>28.5</v>
      </c>
      <c r="O1386" s="461" t="n">
        <v>100</v>
      </c>
      <c r="P1386" s="462" t="n">
        <f aca="false">H1386-O1386</f>
        <v>0</v>
      </c>
      <c r="Q1386" s="463" t="n">
        <f aca="false">O1386*I1386</f>
        <v>5500</v>
      </c>
      <c r="R1386" s="48" t="n">
        <f aca="false">K1386-Q1386</f>
        <v>0</v>
      </c>
      <c r="S1386" s="467"/>
      <c r="T1386" s="2" t="s">
        <v>1711</v>
      </c>
      <c r="V1386" s="464"/>
      <c r="W1386" s="464"/>
      <c r="X1386" s="464"/>
      <c r="Y1386" s="464"/>
      <c r="Z1386" s="464"/>
      <c r="AA1386" s="464"/>
      <c r="AB1386" s="464"/>
      <c r="AC1386" s="464"/>
      <c r="AD1386" s="464"/>
      <c r="AE1386" s="464"/>
      <c r="AF1386" s="464"/>
      <c r="AG1386" s="464"/>
      <c r="AH1386" s="465"/>
      <c r="AI1386" s="464"/>
    </row>
    <row r="1387" customFormat="false" ht="15" hidden="false" customHeight="true" outlineLevel="0" collapsed="false">
      <c r="A1387" s="455" t="s">
        <v>1942</v>
      </c>
      <c r="C1387" s="456" t="n">
        <v>45625</v>
      </c>
      <c r="D1387" s="456"/>
      <c r="E1387" s="57" t="n">
        <v>14307</v>
      </c>
      <c r="F1387" s="323" t="s">
        <v>175</v>
      </c>
      <c r="G1387" s="323" t="s">
        <v>19</v>
      </c>
      <c r="H1387" s="98" t="n">
        <v>255</v>
      </c>
      <c r="I1387" s="457" t="n">
        <v>22.5</v>
      </c>
      <c r="J1387" s="313" t="s">
        <v>1651</v>
      </c>
      <c r="K1387" s="458" t="n">
        <f aca="false">I1387*H1387</f>
        <v>5737.5</v>
      </c>
      <c r="L1387" s="411" t="n">
        <v>6043.5</v>
      </c>
      <c r="M1387" s="459" t="n">
        <f aca="false">L1387/K1387</f>
        <v>1.05333333333333</v>
      </c>
      <c r="N1387" s="460" t="n">
        <f aca="false">I1387*M1387</f>
        <v>23.7</v>
      </c>
      <c r="O1387" s="461" t="n">
        <v>255</v>
      </c>
      <c r="P1387" s="462" t="n">
        <f aca="false">H1387-O1387</f>
        <v>0</v>
      </c>
      <c r="Q1387" s="463" t="n">
        <f aca="false">O1387*I1387</f>
        <v>5737.5</v>
      </c>
      <c r="R1387" s="48" t="n">
        <f aca="false">K1387-Q1387</f>
        <v>0</v>
      </c>
      <c r="S1387" s="467"/>
      <c r="T1387" s="2" t="s">
        <v>1711</v>
      </c>
      <c r="V1387" s="464"/>
      <c r="W1387" s="464"/>
      <c r="X1387" s="464"/>
      <c r="Y1387" s="464"/>
      <c r="Z1387" s="464"/>
      <c r="AA1387" s="464"/>
      <c r="AB1387" s="464"/>
      <c r="AC1387" s="464"/>
      <c r="AD1387" s="464"/>
      <c r="AE1387" s="464"/>
      <c r="AF1387" s="464"/>
      <c r="AG1387" s="464"/>
      <c r="AH1387" s="465"/>
      <c r="AI1387" s="464"/>
    </row>
    <row r="1388" customFormat="false" ht="15" hidden="false" customHeight="true" outlineLevel="0" collapsed="false">
      <c r="A1388" s="455" t="s">
        <v>1942</v>
      </c>
      <c r="C1388" s="456" t="n">
        <v>45625</v>
      </c>
      <c r="D1388" s="456"/>
      <c r="E1388" s="57" t="n">
        <v>14307</v>
      </c>
      <c r="F1388" s="323" t="s">
        <v>175</v>
      </c>
      <c r="G1388" s="323" t="s">
        <v>6</v>
      </c>
      <c r="H1388" s="98" t="n">
        <v>2010</v>
      </c>
      <c r="I1388" s="457" t="n">
        <v>45</v>
      </c>
      <c r="J1388" s="313" t="s">
        <v>1652</v>
      </c>
      <c r="K1388" s="458" t="n">
        <f aca="false">I1388*H1388</f>
        <v>90450</v>
      </c>
      <c r="L1388" s="411" t="n">
        <v>40702.5</v>
      </c>
      <c r="M1388" s="459" t="n">
        <f aca="false">L1388/K1388</f>
        <v>0.45</v>
      </c>
      <c r="N1388" s="460" t="n">
        <f aca="false">I1388*M1388</f>
        <v>20.25</v>
      </c>
      <c r="O1388" s="461" t="n">
        <v>2010</v>
      </c>
      <c r="P1388" s="462" t="n">
        <f aca="false">H1388-O1388</f>
        <v>0</v>
      </c>
      <c r="Q1388" s="463" t="n">
        <f aca="false">O1388*I1388</f>
        <v>90450</v>
      </c>
      <c r="R1388" s="48" t="n">
        <f aca="false">K1388-Q1388</f>
        <v>0</v>
      </c>
      <c r="S1388" s="467"/>
      <c r="T1388" s="2" t="s">
        <v>1711</v>
      </c>
      <c r="V1388" s="464"/>
      <c r="W1388" s="464"/>
      <c r="X1388" s="464"/>
      <c r="Y1388" s="464"/>
      <c r="Z1388" s="464"/>
      <c r="AA1388" s="464"/>
      <c r="AB1388" s="464"/>
      <c r="AC1388" s="464"/>
      <c r="AD1388" s="464"/>
      <c r="AE1388" s="464"/>
      <c r="AF1388" s="464"/>
      <c r="AG1388" s="464"/>
      <c r="AH1388" s="465"/>
      <c r="AI1388" s="464"/>
    </row>
    <row r="1389" customFormat="false" ht="15" hidden="false" customHeight="true" outlineLevel="0" collapsed="false">
      <c r="A1389" s="455" t="s">
        <v>1942</v>
      </c>
      <c r="C1389" s="456" t="n">
        <v>45625</v>
      </c>
      <c r="D1389" s="456"/>
      <c r="E1389" s="57" t="n">
        <v>14307</v>
      </c>
      <c r="F1389" s="323" t="s">
        <v>175</v>
      </c>
      <c r="G1389" s="323" t="s">
        <v>17</v>
      </c>
      <c r="H1389" s="98" t="n">
        <v>510</v>
      </c>
      <c r="I1389" s="457" t="n">
        <v>22.5</v>
      </c>
      <c r="J1389" s="313" t="s">
        <v>1651</v>
      </c>
      <c r="K1389" s="458" t="n">
        <f aca="false">I1389*H1389</f>
        <v>11475</v>
      </c>
      <c r="L1389" s="411" t="n">
        <v>7548</v>
      </c>
      <c r="M1389" s="459" t="n">
        <f aca="false">L1389/K1389</f>
        <v>0.657777777777778</v>
      </c>
      <c r="N1389" s="460" t="n">
        <f aca="false">I1389*M1389</f>
        <v>14.8</v>
      </c>
      <c r="O1389" s="461" t="n">
        <v>510</v>
      </c>
      <c r="P1389" s="462" t="n">
        <f aca="false">H1389-O1389</f>
        <v>0</v>
      </c>
      <c r="Q1389" s="463" t="n">
        <f aca="false">O1389*I1389</f>
        <v>11475</v>
      </c>
      <c r="R1389" s="48" t="n">
        <f aca="false">K1389-Q1389</f>
        <v>0</v>
      </c>
      <c r="S1389" s="467"/>
      <c r="T1389" s="2" t="s">
        <v>1711</v>
      </c>
      <c r="V1389" s="464"/>
      <c r="W1389" s="464"/>
      <c r="X1389" s="464"/>
      <c r="Y1389" s="464"/>
      <c r="Z1389" s="464"/>
      <c r="AA1389" s="464"/>
      <c r="AB1389" s="464"/>
      <c r="AC1389" s="464"/>
      <c r="AD1389" s="464"/>
      <c r="AE1389" s="464"/>
      <c r="AF1389" s="464"/>
      <c r="AG1389" s="464"/>
      <c r="AH1389" s="465"/>
      <c r="AI1389" s="464"/>
    </row>
    <row r="1390" customFormat="false" ht="15" hidden="false" customHeight="true" outlineLevel="0" collapsed="false">
      <c r="A1390" s="455" t="s">
        <v>1942</v>
      </c>
      <c r="C1390" s="456" t="n">
        <v>45625</v>
      </c>
      <c r="D1390" s="456"/>
      <c r="E1390" s="323" t="n">
        <v>14308</v>
      </c>
      <c r="F1390" s="323" t="s">
        <v>175</v>
      </c>
      <c r="G1390" s="323" t="s">
        <v>19</v>
      </c>
      <c r="H1390" s="98" t="n">
        <v>255</v>
      </c>
      <c r="I1390" s="457" t="n">
        <v>22.5</v>
      </c>
      <c r="J1390" s="313" t="s">
        <v>1651</v>
      </c>
      <c r="K1390" s="458" t="n">
        <f aca="false">I1390*H1390</f>
        <v>5737.5</v>
      </c>
      <c r="L1390" s="411" t="n">
        <v>6043.5</v>
      </c>
      <c r="M1390" s="459" t="n">
        <f aca="false">L1390/K1390</f>
        <v>1.05333333333333</v>
      </c>
      <c r="N1390" s="460" t="n">
        <f aca="false">I1390*M1390</f>
        <v>23.7</v>
      </c>
      <c r="O1390" s="461" t="n">
        <v>255</v>
      </c>
      <c r="P1390" s="462" t="n">
        <f aca="false">H1390-O1390</f>
        <v>0</v>
      </c>
      <c r="Q1390" s="463" t="n">
        <f aca="false">O1390*I1390</f>
        <v>5737.5</v>
      </c>
      <c r="R1390" s="48" t="n">
        <f aca="false">K1390-Q1390</f>
        <v>0</v>
      </c>
      <c r="S1390" s="467"/>
      <c r="T1390" s="2" t="s">
        <v>1711</v>
      </c>
      <c r="V1390" s="464"/>
      <c r="W1390" s="464"/>
      <c r="X1390" s="464"/>
      <c r="Y1390" s="464"/>
      <c r="Z1390" s="464"/>
      <c r="AA1390" s="464"/>
      <c r="AB1390" s="464"/>
      <c r="AC1390" s="464"/>
      <c r="AD1390" s="464"/>
      <c r="AE1390" s="464"/>
      <c r="AF1390" s="464"/>
      <c r="AG1390" s="464"/>
      <c r="AH1390" s="465"/>
      <c r="AI1390" s="464"/>
    </row>
    <row r="1391" customFormat="false" ht="15" hidden="false" customHeight="true" outlineLevel="0" collapsed="false">
      <c r="A1391" s="455" t="s">
        <v>1942</v>
      </c>
      <c r="C1391" s="456" t="n">
        <v>45625</v>
      </c>
      <c r="D1391" s="456"/>
      <c r="E1391" s="323" t="n">
        <v>14308</v>
      </c>
      <c r="F1391" s="323" t="s">
        <v>175</v>
      </c>
      <c r="G1391" s="323" t="s">
        <v>6</v>
      </c>
      <c r="H1391" s="98" t="n">
        <v>2010</v>
      </c>
      <c r="I1391" s="457" t="n">
        <v>45</v>
      </c>
      <c r="J1391" s="313" t="s">
        <v>1652</v>
      </c>
      <c r="K1391" s="458" t="n">
        <f aca="false">I1391*H1391</f>
        <v>90450</v>
      </c>
      <c r="L1391" s="411" t="n">
        <v>40702.5</v>
      </c>
      <c r="M1391" s="459" t="n">
        <f aca="false">L1391/K1391</f>
        <v>0.45</v>
      </c>
      <c r="N1391" s="460" t="n">
        <f aca="false">I1391*M1391</f>
        <v>20.25</v>
      </c>
      <c r="O1391" s="461" t="n">
        <v>2010</v>
      </c>
      <c r="P1391" s="462" t="n">
        <f aca="false">H1391-O1391</f>
        <v>0</v>
      </c>
      <c r="Q1391" s="463" t="n">
        <f aca="false">O1391*I1391</f>
        <v>90450</v>
      </c>
      <c r="R1391" s="48" t="n">
        <f aca="false">K1391-Q1391</f>
        <v>0</v>
      </c>
      <c r="S1391" s="467"/>
      <c r="T1391" s="2" t="s">
        <v>1711</v>
      </c>
      <c r="V1391" s="464"/>
      <c r="W1391" s="464"/>
      <c r="X1391" s="464"/>
      <c r="Y1391" s="464"/>
      <c r="Z1391" s="464"/>
      <c r="AA1391" s="464"/>
      <c r="AB1391" s="464"/>
      <c r="AC1391" s="464"/>
      <c r="AD1391" s="464"/>
      <c r="AE1391" s="464"/>
      <c r="AF1391" s="464"/>
      <c r="AG1391" s="464"/>
      <c r="AH1391" s="465"/>
      <c r="AI1391" s="464"/>
    </row>
    <row r="1392" customFormat="false" ht="15" hidden="false" customHeight="true" outlineLevel="0" collapsed="false">
      <c r="A1392" s="455" t="s">
        <v>1942</v>
      </c>
      <c r="C1392" s="456" t="n">
        <v>45625</v>
      </c>
      <c r="D1392" s="456"/>
      <c r="E1392" s="323" t="n">
        <v>14308</v>
      </c>
      <c r="F1392" s="323" t="s">
        <v>175</v>
      </c>
      <c r="G1392" s="323" t="s">
        <v>17</v>
      </c>
      <c r="H1392" s="98" t="n">
        <v>510</v>
      </c>
      <c r="I1392" s="457" t="n">
        <v>22.5</v>
      </c>
      <c r="J1392" s="313" t="s">
        <v>1651</v>
      </c>
      <c r="K1392" s="458" t="n">
        <f aca="false">I1392*H1392</f>
        <v>11475</v>
      </c>
      <c r="L1392" s="411" t="n">
        <v>7548</v>
      </c>
      <c r="M1392" s="459" t="n">
        <f aca="false">L1392/K1392</f>
        <v>0.657777777777778</v>
      </c>
      <c r="N1392" s="460" t="n">
        <f aca="false">I1392*M1392</f>
        <v>14.8</v>
      </c>
      <c r="O1392" s="461" t="n">
        <v>510</v>
      </c>
      <c r="P1392" s="462" t="n">
        <f aca="false">H1392-O1392</f>
        <v>0</v>
      </c>
      <c r="Q1392" s="463" t="n">
        <f aca="false">O1392*I1392</f>
        <v>11475</v>
      </c>
      <c r="R1392" s="48" t="n">
        <f aca="false">K1392-Q1392</f>
        <v>0</v>
      </c>
      <c r="S1392" s="467"/>
      <c r="T1392" s="2" t="s">
        <v>1711</v>
      </c>
      <c r="V1392" s="464"/>
      <c r="W1392" s="464"/>
      <c r="X1392" s="464"/>
      <c r="Y1392" s="464"/>
      <c r="Z1392" s="464"/>
      <c r="AA1392" s="464"/>
      <c r="AB1392" s="464"/>
      <c r="AC1392" s="464"/>
      <c r="AD1392" s="464"/>
      <c r="AE1392" s="464"/>
      <c r="AF1392" s="464"/>
      <c r="AG1392" s="464"/>
      <c r="AH1392" s="465"/>
      <c r="AI1392" s="464"/>
    </row>
    <row r="1393" customFormat="false" ht="15" hidden="false" customHeight="true" outlineLevel="0" collapsed="false">
      <c r="A1393" s="455" t="s">
        <v>1994</v>
      </c>
      <c r="C1393" s="456" t="n">
        <v>45625</v>
      </c>
      <c r="D1393" s="456"/>
      <c r="E1393" s="323" t="n">
        <v>14309</v>
      </c>
      <c r="F1393" s="57" t="s">
        <v>175</v>
      </c>
      <c r="G1393" s="323" t="s">
        <v>5</v>
      </c>
      <c r="H1393" s="98" t="n">
        <v>4005</v>
      </c>
      <c r="I1393" s="457" t="n">
        <v>25.71</v>
      </c>
      <c r="J1393" s="313" t="s">
        <v>1651</v>
      </c>
      <c r="K1393" s="458" t="n">
        <f aca="false">I1393*H1393</f>
        <v>102968.55</v>
      </c>
      <c r="L1393" s="411" t="n">
        <v>84105</v>
      </c>
      <c r="M1393" s="459" t="n">
        <f aca="false">L1393/K1393</f>
        <v>0.816802800466745</v>
      </c>
      <c r="N1393" s="460" t="n">
        <f aca="false">I1393*M1393</f>
        <v>21</v>
      </c>
      <c r="O1393" s="461" t="n">
        <v>4005</v>
      </c>
      <c r="P1393" s="462" t="n">
        <f aca="false">H1393-O1393</f>
        <v>0</v>
      </c>
      <c r="Q1393" s="463" t="n">
        <f aca="false">O1393*I1393</f>
        <v>102968.55</v>
      </c>
      <c r="R1393" s="48" t="n">
        <f aca="false">K1393-Q1393</f>
        <v>0</v>
      </c>
      <c r="S1393" s="467"/>
      <c r="T1393" s="2" t="s">
        <v>1711</v>
      </c>
      <c r="V1393" s="464"/>
      <c r="W1393" s="464"/>
      <c r="X1393" s="464"/>
      <c r="Y1393" s="464"/>
      <c r="Z1393" s="464"/>
      <c r="AA1393" s="464"/>
      <c r="AB1393" s="464"/>
      <c r="AC1393" s="464"/>
      <c r="AD1393" s="464"/>
      <c r="AE1393" s="464"/>
      <c r="AF1393" s="464"/>
      <c r="AG1393" s="464"/>
      <c r="AH1393" s="465"/>
      <c r="AI1393" s="464"/>
    </row>
    <row r="1394" customFormat="false" ht="15" hidden="false" customHeight="true" outlineLevel="0" collapsed="false">
      <c r="A1394" s="455" t="s">
        <v>1942</v>
      </c>
      <c r="C1394" s="456" t="n">
        <v>45625</v>
      </c>
      <c r="D1394" s="456"/>
      <c r="E1394" s="323" t="n">
        <v>14310</v>
      </c>
      <c r="F1394" s="323" t="s">
        <v>175</v>
      </c>
      <c r="G1394" s="323" t="s">
        <v>19</v>
      </c>
      <c r="H1394" s="98" t="n">
        <v>255</v>
      </c>
      <c r="I1394" s="457" t="n">
        <v>22.5</v>
      </c>
      <c r="J1394" s="313" t="s">
        <v>1651</v>
      </c>
      <c r="K1394" s="458" t="n">
        <f aca="false">I1394*H1394</f>
        <v>5737.5</v>
      </c>
      <c r="L1394" s="411" t="n">
        <v>6043.5</v>
      </c>
      <c r="M1394" s="459" t="n">
        <f aca="false">L1394/K1394</f>
        <v>1.05333333333333</v>
      </c>
      <c r="N1394" s="460" t="n">
        <f aca="false">I1394*M1394</f>
        <v>23.7</v>
      </c>
      <c r="O1394" s="461" t="n">
        <v>255</v>
      </c>
      <c r="P1394" s="462" t="n">
        <f aca="false">H1394-O1394</f>
        <v>0</v>
      </c>
      <c r="Q1394" s="463" t="n">
        <f aca="false">O1394*I1394</f>
        <v>5737.5</v>
      </c>
      <c r="R1394" s="48" t="n">
        <f aca="false">K1394-Q1394</f>
        <v>0</v>
      </c>
      <c r="S1394" s="467"/>
      <c r="T1394" s="2" t="s">
        <v>1711</v>
      </c>
      <c r="V1394" s="464"/>
      <c r="W1394" s="464"/>
      <c r="X1394" s="464"/>
      <c r="Y1394" s="464"/>
      <c r="Z1394" s="464"/>
      <c r="AA1394" s="464"/>
      <c r="AB1394" s="464"/>
      <c r="AC1394" s="464"/>
      <c r="AD1394" s="464"/>
      <c r="AE1394" s="464"/>
      <c r="AF1394" s="464"/>
      <c r="AG1394" s="464"/>
      <c r="AH1394" s="465"/>
      <c r="AI1394" s="464"/>
    </row>
    <row r="1395" customFormat="false" ht="15" hidden="false" customHeight="true" outlineLevel="0" collapsed="false">
      <c r="A1395" s="455" t="s">
        <v>1942</v>
      </c>
      <c r="C1395" s="456" t="n">
        <v>45625</v>
      </c>
      <c r="D1395" s="456"/>
      <c r="E1395" s="57" t="n">
        <v>14310</v>
      </c>
      <c r="F1395" s="323" t="s">
        <v>175</v>
      </c>
      <c r="G1395" s="323" t="s">
        <v>6</v>
      </c>
      <c r="H1395" s="98" t="n">
        <v>2010</v>
      </c>
      <c r="I1395" s="457" t="n">
        <v>45</v>
      </c>
      <c r="J1395" s="313" t="s">
        <v>1652</v>
      </c>
      <c r="K1395" s="458" t="n">
        <f aca="false">I1395*H1395</f>
        <v>90450</v>
      </c>
      <c r="L1395" s="411" t="n">
        <v>40702.5</v>
      </c>
      <c r="M1395" s="459" t="n">
        <f aca="false">L1395/K1395</f>
        <v>0.45</v>
      </c>
      <c r="N1395" s="460" t="n">
        <f aca="false">I1395*M1395</f>
        <v>20.25</v>
      </c>
      <c r="O1395" s="461" t="n">
        <v>2010</v>
      </c>
      <c r="P1395" s="462" t="n">
        <f aca="false">H1395-O1395</f>
        <v>0</v>
      </c>
      <c r="Q1395" s="463" t="n">
        <f aca="false">O1395*I1395</f>
        <v>90450</v>
      </c>
      <c r="R1395" s="48" t="n">
        <f aca="false">K1395-Q1395</f>
        <v>0</v>
      </c>
      <c r="S1395" s="467"/>
      <c r="T1395" s="2" t="s">
        <v>1711</v>
      </c>
      <c r="V1395" s="464"/>
      <c r="W1395" s="464"/>
      <c r="X1395" s="464"/>
      <c r="Y1395" s="464"/>
      <c r="Z1395" s="464"/>
      <c r="AA1395" s="464"/>
      <c r="AB1395" s="464"/>
      <c r="AC1395" s="464"/>
      <c r="AD1395" s="464"/>
      <c r="AE1395" s="464"/>
      <c r="AF1395" s="464"/>
      <c r="AG1395" s="464"/>
      <c r="AH1395" s="465"/>
      <c r="AI1395" s="464"/>
    </row>
    <row r="1396" customFormat="false" ht="15" hidden="false" customHeight="true" outlineLevel="0" collapsed="false">
      <c r="A1396" s="455" t="s">
        <v>1942</v>
      </c>
      <c r="C1396" s="456" t="n">
        <v>45625</v>
      </c>
      <c r="D1396" s="456"/>
      <c r="E1396" s="57" t="n">
        <v>14311</v>
      </c>
      <c r="F1396" s="323" t="s">
        <v>175</v>
      </c>
      <c r="G1396" s="323" t="s">
        <v>19</v>
      </c>
      <c r="H1396" s="98" t="n">
        <v>510</v>
      </c>
      <c r="I1396" s="457" t="n">
        <v>22.5</v>
      </c>
      <c r="J1396" s="313" t="s">
        <v>1651</v>
      </c>
      <c r="K1396" s="458" t="n">
        <f aca="false">I1396*H1396</f>
        <v>11475</v>
      </c>
      <c r="L1396" s="411" t="n">
        <v>12087</v>
      </c>
      <c r="M1396" s="459" t="n">
        <f aca="false">L1396/K1396</f>
        <v>1.05333333333333</v>
      </c>
      <c r="N1396" s="460" t="n">
        <f aca="false">I1396*M1396</f>
        <v>23.7</v>
      </c>
      <c r="O1396" s="461" t="n">
        <v>510</v>
      </c>
      <c r="P1396" s="462" t="n">
        <f aca="false">H1396-O1396</f>
        <v>0</v>
      </c>
      <c r="Q1396" s="463" t="n">
        <f aca="false">O1396*I1396</f>
        <v>11475</v>
      </c>
      <c r="R1396" s="48" t="n">
        <f aca="false">K1396-Q1396</f>
        <v>0</v>
      </c>
      <c r="S1396" s="467"/>
      <c r="T1396" s="2" t="s">
        <v>1711</v>
      </c>
      <c r="V1396" s="464"/>
      <c r="W1396" s="464"/>
      <c r="X1396" s="464"/>
      <c r="Y1396" s="464"/>
      <c r="Z1396" s="464"/>
      <c r="AA1396" s="464"/>
      <c r="AB1396" s="464"/>
      <c r="AC1396" s="464"/>
      <c r="AD1396" s="464"/>
      <c r="AE1396" s="464"/>
      <c r="AF1396" s="464"/>
      <c r="AG1396" s="464"/>
      <c r="AH1396" s="465"/>
      <c r="AI1396" s="464"/>
    </row>
    <row r="1397" customFormat="false" ht="15" hidden="false" customHeight="true" outlineLevel="0" collapsed="false">
      <c r="A1397" s="455" t="s">
        <v>1942</v>
      </c>
      <c r="C1397" s="456" t="n">
        <v>45625</v>
      </c>
      <c r="D1397" s="456"/>
      <c r="E1397" s="57" t="n">
        <v>14311</v>
      </c>
      <c r="F1397" s="323" t="s">
        <v>175</v>
      </c>
      <c r="G1397" s="323" t="s">
        <v>6</v>
      </c>
      <c r="H1397" s="98" t="n">
        <v>3000</v>
      </c>
      <c r="I1397" s="457" t="n">
        <v>45</v>
      </c>
      <c r="J1397" s="313" t="s">
        <v>1652</v>
      </c>
      <c r="K1397" s="458" t="n">
        <f aca="false">I1397*H1397</f>
        <v>135000</v>
      </c>
      <c r="L1397" s="411" t="n">
        <v>60750</v>
      </c>
      <c r="M1397" s="459" t="n">
        <f aca="false">L1397/K1397</f>
        <v>0.45</v>
      </c>
      <c r="N1397" s="460" t="n">
        <f aca="false">I1397*M1397</f>
        <v>20.25</v>
      </c>
      <c r="O1397" s="461" t="n">
        <v>3000</v>
      </c>
      <c r="P1397" s="462" t="n">
        <f aca="false">H1397-O1397</f>
        <v>0</v>
      </c>
      <c r="Q1397" s="463" t="n">
        <f aca="false">O1397*I1397</f>
        <v>135000</v>
      </c>
      <c r="R1397" s="48" t="n">
        <f aca="false">K1397-Q1397</f>
        <v>0</v>
      </c>
      <c r="S1397" s="467"/>
      <c r="T1397" s="2" t="s">
        <v>1711</v>
      </c>
      <c r="V1397" s="464"/>
      <c r="W1397" s="464"/>
      <c r="X1397" s="464"/>
      <c r="Y1397" s="464"/>
      <c r="Z1397" s="464"/>
      <c r="AA1397" s="464"/>
      <c r="AB1397" s="464"/>
      <c r="AC1397" s="464"/>
      <c r="AD1397" s="464"/>
      <c r="AE1397" s="464"/>
      <c r="AF1397" s="464"/>
      <c r="AG1397" s="464"/>
      <c r="AH1397" s="465"/>
      <c r="AI1397" s="464"/>
    </row>
    <row r="1398" customFormat="false" ht="15" hidden="false" customHeight="true" outlineLevel="0" collapsed="false">
      <c r="A1398" s="455" t="s">
        <v>1942</v>
      </c>
      <c r="C1398" s="456" t="n">
        <v>45625</v>
      </c>
      <c r="D1398" s="456"/>
      <c r="E1398" s="57" t="n">
        <v>14311</v>
      </c>
      <c r="F1398" s="323" t="s">
        <v>175</v>
      </c>
      <c r="G1398" s="323" t="s">
        <v>17</v>
      </c>
      <c r="H1398" s="98" t="n">
        <v>1005</v>
      </c>
      <c r="I1398" s="457" t="n">
        <v>22.5</v>
      </c>
      <c r="J1398" s="313" t="s">
        <v>1651</v>
      </c>
      <c r="K1398" s="458" t="n">
        <f aca="false">I1398*H1398</f>
        <v>22612.5</v>
      </c>
      <c r="L1398" s="411" t="n">
        <v>14874</v>
      </c>
      <c r="M1398" s="459" t="n">
        <f aca="false">L1398/K1398</f>
        <v>0.657777777777778</v>
      </c>
      <c r="N1398" s="460" t="n">
        <f aca="false">I1398*M1398</f>
        <v>14.8</v>
      </c>
      <c r="O1398" s="461" t="n">
        <v>1005</v>
      </c>
      <c r="P1398" s="462" t="n">
        <f aca="false">H1398-O1398</f>
        <v>0</v>
      </c>
      <c r="Q1398" s="463" t="n">
        <f aca="false">O1398*I1398</f>
        <v>22612.5</v>
      </c>
      <c r="R1398" s="48" t="n">
        <f aca="false">K1398-Q1398</f>
        <v>0</v>
      </c>
      <c r="S1398" s="467"/>
      <c r="T1398" s="2" t="s">
        <v>1711</v>
      </c>
      <c r="V1398" s="464"/>
      <c r="W1398" s="464"/>
      <c r="X1398" s="464"/>
      <c r="Y1398" s="464"/>
      <c r="Z1398" s="464"/>
      <c r="AA1398" s="464"/>
      <c r="AB1398" s="464"/>
      <c r="AC1398" s="464"/>
      <c r="AD1398" s="464"/>
      <c r="AE1398" s="464"/>
      <c r="AF1398" s="464"/>
      <c r="AG1398" s="464"/>
      <c r="AH1398" s="465"/>
      <c r="AI1398" s="464"/>
    </row>
    <row r="1399" customFormat="false" ht="15" hidden="false" customHeight="true" outlineLevel="0" collapsed="false">
      <c r="A1399" s="455" t="s">
        <v>1942</v>
      </c>
      <c r="C1399" s="456" t="n">
        <v>45625</v>
      </c>
      <c r="D1399" s="456"/>
      <c r="E1399" s="57" t="n">
        <v>14312</v>
      </c>
      <c r="F1399" s="323" t="s">
        <v>175</v>
      </c>
      <c r="G1399" s="323" t="s">
        <v>6</v>
      </c>
      <c r="H1399" s="98" t="n">
        <v>1005</v>
      </c>
      <c r="I1399" s="457" t="n">
        <v>45</v>
      </c>
      <c r="J1399" s="313" t="s">
        <v>1652</v>
      </c>
      <c r="K1399" s="458" t="n">
        <f aca="false">I1399*H1399</f>
        <v>45225</v>
      </c>
      <c r="L1399" s="411" t="n">
        <v>20351.25</v>
      </c>
      <c r="M1399" s="459" t="n">
        <f aca="false">L1399/K1399</f>
        <v>0.45</v>
      </c>
      <c r="N1399" s="460" t="n">
        <f aca="false">I1399*M1399</f>
        <v>20.25</v>
      </c>
      <c r="O1399" s="461" t="n">
        <v>1005</v>
      </c>
      <c r="P1399" s="462" t="n">
        <f aca="false">H1399-O1399</f>
        <v>0</v>
      </c>
      <c r="Q1399" s="463" t="n">
        <f aca="false">O1399*I1399</f>
        <v>45225</v>
      </c>
      <c r="R1399" s="48" t="n">
        <f aca="false">K1399-Q1399</f>
        <v>0</v>
      </c>
      <c r="S1399" s="467"/>
      <c r="T1399" s="2" t="s">
        <v>1711</v>
      </c>
      <c r="V1399" s="464"/>
      <c r="W1399" s="464"/>
      <c r="X1399" s="464"/>
      <c r="Y1399" s="464"/>
      <c r="Z1399" s="464"/>
      <c r="AA1399" s="464"/>
      <c r="AB1399" s="464"/>
      <c r="AC1399" s="464"/>
      <c r="AD1399" s="464"/>
      <c r="AE1399" s="464"/>
      <c r="AF1399" s="464"/>
      <c r="AG1399" s="464"/>
      <c r="AH1399" s="465"/>
      <c r="AI1399" s="464"/>
    </row>
    <row r="1400" customFormat="false" ht="15" hidden="false" customHeight="true" outlineLevel="0" collapsed="false">
      <c r="A1400" s="455" t="s">
        <v>1995</v>
      </c>
      <c r="C1400" s="456" t="n">
        <v>45625</v>
      </c>
      <c r="D1400" s="456"/>
      <c r="E1400" s="57" t="n">
        <v>14313</v>
      </c>
      <c r="F1400" s="323" t="s">
        <v>175</v>
      </c>
      <c r="G1400" s="323" t="s">
        <v>13</v>
      </c>
      <c r="H1400" s="98" t="n">
        <v>300</v>
      </c>
      <c r="I1400" s="457" t="n">
        <v>37.5</v>
      </c>
      <c r="J1400" s="313" t="s">
        <v>1652</v>
      </c>
      <c r="K1400" s="458" t="n">
        <f aca="false">I1400*H1400</f>
        <v>11250</v>
      </c>
      <c r="L1400" s="411" t="n">
        <v>5400</v>
      </c>
      <c r="M1400" s="459" t="n">
        <f aca="false">L1400/K1400</f>
        <v>0.48</v>
      </c>
      <c r="N1400" s="460" t="n">
        <f aca="false">I1400*M1400</f>
        <v>18</v>
      </c>
      <c r="O1400" s="461" t="n">
        <v>300</v>
      </c>
      <c r="P1400" s="462" t="n">
        <f aca="false">H1400-O1400</f>
        <v>0</v>
      </c>
      <c r="Q1400" s="463" t="n">
        <f aca="false">O1400*I1400</f>
        <v>11250</v>
      </c>
      <c r="R1400" s="48" t="n">
        <f aca="false">K1400-Q1400</f>
        <v>0</v>
      </c>
      <c r="S1400" s="467"/>
      <c r="T1400" s="2" t="s">
        <v>1711</v>
      </c>
      <c r="V1400" s="464"/>
      <c r="W1400" s="464"/>
      <c r="X1400" s="464"/>
      <c r="Y1400" s="464"/>
      <c r="Z1400" s="464"/>
      <c r="AA1400" s="464"/>
      <c r="AB1400" s="464"/>
      <c r="AC1400" s="464"/>
      <c r="AD1400" s="464"/>
      <c r="AE1400" s="464"/>
      <c r="AF1400" s="464"/>
      <c r="AG1400" s="464"/>
      <c r="AH1400" s="465"/>
      <c r="AI1400" s="464"/>
    </row>
    <row r="1401" customFormat="false" ht="15" hidden="false" customHeight="true" outlineLevel="0" collapsed="false">
      <c r="A1401" s="455" t="s">
        <v>1948</v>
      </c>
      <c r="C1401" s="456" t="n">
        <v>45625</v>
      </c>
      <c r="D1401" s="456"/>
      <c r="E1401" s="57" t="n">
        <v>14314</v>
      </c>
      <c r="F1401" s="323" t="s">
        <v>175</v>
      </c>
      <c r="G1401" s="323" t="s">
        <v>7</v>
      </c>
      <c r="H1401" s="98" t="n">
        <v>60</v>
      </c>
      <c r="I1401" s="457" t="n">
        <v>25.71</v>
      </c>
      <c r="J1401" s="313" t="s">
        <v>1651</v>
      </c>
      <c r="K1401" s="458" t="n">
        <f aca="false">I1401*H1401</f>
        <v>1542.6</v>
      </c>
      <c r="L1401" s="411" t="n">
        <v>1032</v>
      </c>
      <c r="M1401" s="459" t="n">
        <f aca="false">L1401/K1401</f>
        <v>0.669000388953715</v>
      </c>
      <c r="N1401" s="460" t="n">
        <f aca="false">I1401*M1401</f>
        <v>17.2</v>
      </c>
      <c r="O1401" s="461" t="n">
        <v>60</v>
      </c>
      <c r="P1401" s="462" t="n">
        <f aca="false">H1401-O1401</f>
        <v>0</v>
      </c>
      <c r="Q1401" s="463" t="n">
        <f aca="false">O1401*I1401</f>
        <v>1542.6</v>
      </c>
      <c r="R1401" s="48" t="n">
        <f aca="false">K1401-Q1401</f>
        <v>0</v>
      </c>
      <c r="S1401" s="467"/>
      <c r="T1401" s="2" t="s">
        <v>1711</v>
      </c>
      <c r="V1401" s="464"/>
      <c r="W1401" s="464"/>
      <c r="X1401" s="464"/>
      <c r="Y1401" s="464"/>
      <c r="Z1401" s="464"/>
      <c r="AA1401" s="464"/>
      <c r="AB1401" s="464"/>
      <c r="AC1401" s="464"/>
      <c r="AD1401" s="464"/>
      <c r="AE1401" s="464"/>
      <c r="AF1401" s="464"/>
      <c r="AG1401" s="464"/>
      <c r="AH1401" s="465"/>
      <c r="AI1401" s="464"/>
    </row>
    <row r="1402" customFormat="false" ht="15" hidden="false" customHeight="true" outlineLevel="0" collapsed="false">
      <c r="A1402" s="455" t="s">
        <v>1948</v>
      </c>
      <c r="C1402" s="456" t="n">
        <v>45625</v>
      </c>
      <c r="D1402" s="456"/>
      <c r="E1402" s="57" t="n">
        <v>14314</v>
      </c>
      <c r="F1402" s="323" t="s">
        <v>175</v>
      </c>
      <c r="G1402" s="323" t="s">
        <v>10</v>
      </c>
      <c r="H1402" s="98" t="n">
        <v>375</v>
      </c>
      <c r="I1402" s="457" t="n">
        <v>25.71</v>
      </c>
      <c r="J1402" s="313" t="s">
        <v>1651</v>
      </c>
      <c r="K1402" s="458" t="n">
        <f aca="false">I1402*H1402</f>
        <v>9641.25</v>
      </c>
      <c r="L1402" s="411" t="n">
        <v>3550</v>
      </c>
      <c r="M1402" s="459" t="n">
        <f aca="false">L1402/K1402</f>
        <v>0.368209516400882</v>
      </c>
      <c r="N1402" s="460" t="n">
        <f aca="false">I1402*M1402</f>
        <v>9.46666666666667</v>
      </c>
      <c r="O1402" s="461" t="n">
        <v>375</v>
      </c>
      <c r="P1402" s="462" t="n">
        <f aca="false">H1402-O1402</f>
        <v>0</v>
      </c>
      <c r="Q1402" s="463" t="n">
        <f aca="false">O1402*I1402</f>
        <v>9641.25</v>
      </c>
      <c r="R1402" s="48" t="n">
        <f aca="false">K1402-Q1402</f>
        <v>0</v>
      </c>
      <c r="S1402" s="467"/>
      <c r="T1402" s="2" t="s">
        <v>1711</v>
      </c>
      <c r="V1402" s="464"/>
      <c r="W1402" s="464"/>
      <c r="X1402" s="464"/>
      <c r="Y1402" s="464"/>
      <c r="Z1402" s="464"/>
      <c r="AA1402" s="464"/>
      <c r="AB1402" s="464"/>
      <c r="AC1402" s="464"/>
      <c r="AD1402" s="464"/>
      <c r="AE1402" s="464"/>
      <c r="AF1402" s="464"/>
      <c r="AG1402" s="464"/>
      <c r="AH1402" s="465"/>
      <c r="AI1402" s="464"/>
    </row>
    <row r="1403" customFormat="false" ht="15" hidden="false" customHeight="true" outlineLevel="0" collapsed="false">
      <c r="A1403" s="455" t="s">
        <v>1786</v>
      </c>
      <c r="C1403" s="456" t="n">
        <v>45625</v>
      </c>
      <c r="D1403" s="456"/>
      <c r="E1403" s="57" t="n">
        <v>14315</v>
      </c>
      <c r="F1403" s="323" t="s">
        <v>175</v>
      </c>
      <c r="G1403" s="323" t="s">
        <v>13</v>
      </c>
      <c r="H1403" s="98" t="n">
        <v>2505</v>
      </c>
      <c r="I1403" s="457" t="n">
        <v>37.5</v>
      </c>
      <c r="J1403" s="313" t="s">
        <v>1652</v>
      </c>
      <c r="K1403" s="458" t="n">
        <f aca="false">I1403*H1403</f>
        <v>93937.5</v>
      </c>
      <c r="L1403" s="411" t="n">
        <v>57615</v>
      </c>
      <c r="M1403" s="459" t="n">
        <f aca="false">L1403/K1403</f>
        <v>0.613333333333333</v>
      </c>
      <c r="N1403" s="460" t="n">
        <f aca="false">I1403*M1403</f>
        <v>23</v>
      </c>
      <c r="O1403" s="461" t="n">
        <v>2505</v>
      </c>
      <c r="P1403" s="462" t="n">
        <f aca="false">H1403-O1403</f>
        <v>0</v>
      </c>
      <c r="Q1403" s="463" t="n">
        <f aca="false">O1403*I1403</f>
        <v>93937.5</v>
      </c>
      <c r="R1403" s="48" t="n">
        <f aca="false">K1403-Q1403</f>
        <v>0</v>
      </c>
      <c r="S1403" s="467"/>
      <c r="T1403" s="2" t="s">
        <v>1711</v>
      </c>
      <c r="V1403" s="464"/>
      <c r="W1403" s="464"/>
      <c r="X1403" s="464"/>
      <c r="Y1403" s="464"/>
      <c r="Z1403" s="464"/>
      <c r="AA1403" s="464"/>
      <c r="AB1403" s="464"/>
      <c r="AC1403" s="464"/>
      <c r="AD1403" s="464"/>
      <c r="AE1403" s="464"/>
      <c r="AF1403" s="464"/>
      <c r="AG1403" s="464"/>
      <c r="AH1403" s="465"/>
      <c r="AI1403" s="464"/>
    </row>
    <row r="1404" customFormat="false" ht="15" hidden="false" customHeight="true" outlineLevel="0" collapsed="false">
      <c r="A1404" s="455" t="s">
        <v>1786</v>
      </c>
      <c r="C1404" s="456" t="n">
        <v>45625</v>
      </c>
      <c r="D1404" s="456"/>
      <c r="E1404" s="57" t="n">
        <v>14316</v>
      </c>
      <c r="F1404" s="323" t="s">
        <v>175</v>
      </c>
      <c r="G1404" s="323" t="s">
        <v>5</v>
      </c>
      <c r="H1404" s="98" t="n">
        <v>90</v>
      </c>
      <c r="I1404" s="457" t="n">
        <v>25.71</v>
      </c>
      <c r="J1404" s="313" t="s">
        <v>1651</v>
      </c>
      <c r="K1404" s="458" t="n">
        <f aca="false">I1404*H1404</f>
        <v>2313.9</v>
      </c>
      <c r="L1404" s="411" t="n">
        <v>2006.1</v>
      </c>
      <c r="M1404" s="459" t="n">
        <f aca="false">L1404/K1404</f>
        <v>0.866977829638273</v>
      </c>
      <c r="N1404" s="460" t="n">
        <f aca="false">I1404*M1404</f>
        <v>22.29</v>
      </c>
      <c r="O1404" s="461" t="n">
        <v>90</v>
      </c>
      <c r="P1404" s="462" t="n">
        <f aca="false">H1404-O1404</f>
        <v>0</v>
      </c>
      <c r="Q1404" s="463" t="n">
        <f aca="false">O1404*I1404</f>
        <v>2313.9</v>
      </c>
      <c r="R1404" s="48" t="n">
        <f aca="false">K1404-Q1404</f>
        <v>0</v>
      </c>
      <c r="S1404" s="467"/>
      <c r="T1404" s="2" t="s">
        <v>1711</v>
      </c>
      <c r="V1404" s="464"/>
      <c r="W1404" s="464"/>
      <c r="X1404" s="464"/>
      <c r="Y1404" s="464"/>
      <c r="Z1404" s="464"/>
      <c r="AA1404" s="464"/>
      <c r="AB1404" s="464"/>
      <c r="AC1404" s="464"/>
      <c r="AD1404" s="464"/>
      <c r="AE1404" s="464"/>
      <c r="AF1404" s="464"/>
      <c r="AG1404" s="464"/>
      <c r="AH1404" s="465"/>
      <c r="AI1404" s="464"/>
    </row>
    <row r="1405" customFormat="false" ht="15" hidden="false" customHeight="true" outlineLevel="0" collapsed="false">
      <c r="A1405" s="455" t="s">
        <v>1786</v>
      </c>
      <c r="C1405" s="456" t="n">
        <v>45625</v>
      </c>
      <c r="D1405" s="456"/>
      <c r="E1405" s="57" t="n">
        <v>14316</v>
      </c>
      <c r="F1405" s="323" t="s">
        <v>175</v>
      </c>
      <c r="G1405" s="323" t="s">
        <v>19</v>
      </c>
      <c r="H1405" s="98" t="n">
        <v>90</v>
      </c>
      <c r="I1405" s="457" t="n">
        <v>22.5</v>
      </c>
      <c r="J1405" s="313" t="s">
        <v>1651</v>
      </c>
      <c r="K1405" s="458" t="n">
        <f aca="false">I1405*H1405</f>
        <v>2025</v>
      </c>
      <c r="L1405" s="411" t="n">
        <v>2493.9</v>
      </c>
      <c r="M1405" s="459" t="n">
        <f aca="false">L1405/K1405</f>
        <v>1.23155555555556</v>
      </c>
      <c r="N1405" s="460" t="n">
        <f aca="false">I1405*M1405</f>
        <v>27.71</v>
      </c>
      <c r="O1405" s="461" t="n">
        <v>90</v>
      </c>
      <c r="P1405" s="462" t="n">
        <f aca="false">H1405-O1405</f>
        <v>0</v>
      </c>
      <c r="Q1405" s="463" t="n">
        <f aca="false">O1405*I1405</f>
        <v>2025</v>
      </c>
      <c r="R1405" s="48" t="n">
        <f aca="false">K1405-Q1405</f>
        <v>0</v>
      </c>
      <c r="S1405" s="467"/>
      <c r="T1405" s="2" t="s">
        <v>1711</v>
      </c>
      <c r="V1405" s="464"/>
      <c r="W1405" s="464"/>
      <c r="X1405" s="464"/>
      <c r="Y1405" s="464"/>
      <c r="Z1405" s="464"/>
      <c r="AA1405" s="464"/>
      <c r="AB1405" s="464"/>
      <c r="AC1405" s="464"/>
      <c r="AD1405" s="464"/>
      <c r="AE1405" s="464"/>
      <c r="AF1405" s="464"/>
      <c r="AG1405" s="464"/>
      <c r="AH1405" s="465"/>
      <c r="AI1405" s="464"/>
    </row>
    <row r="1406" customFormat="false" ht="15" hidden="false" customHeight="true" outlineLevel="0" collapsed="false">
      <c r="A1406" s="455" t="s">
        <v>1786</v>
      </c>
      <c r="C1406" s="456" t="n">
        <v>45625</v>
      </c>
      <c r="D1406" s="456"/>
      <c r="E1406" s="57" t="n">
        <v>14316</v>
      </c>
      <c r="F1406" s="323" t="s">
        <v>175</v>
      </c>
      <c r="G1406" s="323" t="s">
        <v>20</v>
      </c>
      <c r="H1406" s="98" t="n">
        <v>150</v>
      </c>
      <c r="I1406" s="457" t="n">
        <v>38.29</v>
      </c>
      <c r="J1406" s="313" t="s">
        <v>1652</v>
      </c>
      <c r="K1406" s="458" t="n">
        <f aca="false">I1406*H1406</f>
        <v>5743.5</v>
      </c>
      <c r="L1406" s="411" t="n">
        <v>5083.5</v>
      </c>
      <c r="M1406" s="459" t="n">
        <f aca="false">L1406/K1406</f>
        <v>0.88508749020632</v>
      </c>
      <c r="N1406" s="460" t="n">
        <f aca="false">I1406*M1406</f>
        <v>33.89</v>
      </c>
      <c r="O1406" s="461" t="n">
        <v>150</v>
      </c>
      <c r="P1406" s="462" t="n">
        <f aca="false">H1406-O1406</f>
        <v>0</v>
      </c>
      <c r="Q1406" s="463" t="n">
        <f aca="false">O1406*I1406</f>
        <v>5743.5</v>
      </c>
      <c r="R1406" s="48" t="n">
        <f aca="false">K1406-Q1406</f>
        <v>0</v>
      </c>
      <c r="S1406" s="467"/>
      <c r="T1406" s="2" t="s">
        <v>1711</v>
      </c>
      <c r="V1406" s="464"/>
      <c r="W1406" s="464"/>
      <c r="X1406" s="464"/>
      <c r="Y1406" s="464"/>
      <c r="Z1406" s="464"/>
      <c r="AA1406" s="464"/>
      <c r="AB1406" s="464"/>
      <c r="AC1406" s="464"/>
      <c r="AD1406" s="464"/>
      <c r="AE1406" s="464"/>
      <c r="AF1406" s="464"/>
      <c r="AG1406" s="464"/>
      <c r="AH1406" s="465"/>
      <c r="AI1406" s="464"/>
    </row>
    <row r="1407" customFormat="false" ht="15" hidden="false" customHeight="true" outlineLevel="0" collapsed="false">
      <c r="A1407" s="455" t="s">
        <v>1786</v>
      </c>
      <c r="C1407" s="456" t="n">
        <v>45625</v>
      </c>
      <c r="D1407" s="456"/>
      <c r="E1407" s="57" t="n">
        <v>14316</v>
      </c>
      <c r="F1407" s="323" t="s">
        <v>175</v>
      </c>
      <c r="G1407" s="323" t="s">
        <v>17</v>
      </c>
      <c r="H1407" s="98" t="n">
        <v>90</v>
      </c>
      <c r="I1407" s="457" t="n">
        <v>22.5</v>
      </c>
      <c r="J1407" s="313" t="s">
        <v>1651</v>
      </c>
      <c r="K1407" s="458" t="n">
        <f aca="false">I1407*H1407</f>
        <v>2025</v>
      </c>
      <c r="L1407" s="411" t="n">
        <v>1849.5</v>
      </c>
      <c r="M1407" s="459" t="n">
        <f aca="false">L1407/K1407</f>
        <v>0.913333333333333</v>
      </c>
      <c r="N1407" s="460" t="n">
        <f aca="false">I1407*M1407</f>
        <v>20.55</v>
      </c>
      <c r="O1407" s="461" t="n">
        <v>90</v>
      </c>
      <c r="P1407" s="462" t="n">
        <f aca="false">H1407-O1407</f>
        <v>0</v>
      </c>
      <c r="Q1407" s="463" t="n">
        <f aca="false">O1407*I1407</f>
        <v>2025</v>
      </c>
      <c r="R1407" s="48" t="n">
        <f aca="false">K1407-Q1407</f>
        <v>0</v>
      </c>
      <c r="S1407" s="467"/>
      <c r="T1407" s="2" t="s">
        <v>1711</v>
      </c>
      <c r="V1407" s="464"/>
      <c r="W1407" s="464"/>
      <c r="X1407" s="464"/>
      <c r="Y1407" s="464"/>
      <c r="Z1407" s="464"/>
      <c r="AA1407" s="464"/>
      <c r="AB1407" s="464"/>
      <c r="AC1407" s="464"/>
      <c r="AD1407" s="464"/>
      <c r="AE1407" s="464"/>
      <c r="AF1407" s="464"/>
      <c r="AG1407" s="464"/>
      <c r="AH1407" s="465"/>
      <c r="AI1407" s="464"/>
    </row>
    <row r="1408" customFormat="false" ht="15" hidden="false" customHeight="true" outlineLevel="0" collapsed="false">
      <c r="A1408" s="455" t="s">
        <v>1786</v>
      </c>
      <c r="C1408" s="456" t="n">
        <v>45625</v>
      </c>
      <c r="D1408" s="456"/>
      <c r="E1408" s="57" t="n">
        <v>14317</v>
      </c>
      <c r="F1408" s="323" t="s">
        <v>175</v>
      </c>
      <c r="G1408" s="323" t="s">
        <v>6</v>
      </c>
      <c r="H1408" s="98" t="n">
        <v>90</v>
      </c>
      <c r="I1408" s="457" t="n">
        <v>30</v>
      </c>
      <c r="J1408" s="313" t="s">
        <v>1651</v>
      </c>
      <c r="K1408" s="458" t="n">
        <f aca="false">I1408*H1408</f>
        <v>2700</v>
      </c>
      <c r="L1408" s="411" t="n">
        <v>2304.9</v>
      </c>
      <c r="M1408" s="459" t="n">
        <f aca="false">L1408/K1408</f>
        <v>0.853666666666667</v>
      </c>
      <c r="N1408" s="460" t="n">
        <f aca="false">I1408*M1408</f>
        <v>25.61</v>
      </c>
      <c r="O1408" s="461" t="n">
        <v>90</v>
      </c>
      <c r="P1408" s="462" t="n">
        <f aca="false">H1408-O1408</f>
        <v>0</v>
      </c>
      <c r="Q1408" s="463" t="n">
        <f aca="false">O1408*I1408</f>
        <v>2700</v>
      </c>
      <c r="R1408" s="48" t="n">
        <f aca="false">K1408-Q1408</f>
        <v>0</v>
      </c>
      <c r="S1408" s="467"/>
      <c r="T1408" s="2" t="s">
        <v>1711</v>
      </c>
      <c r="V1408" s="464"/>
      <c r="W1408" s="464"/>
      <c r="X1408" s="464"/>
      <c r="Y1408" s="464"/>
      <c r="Z1408" s="464"/>
      <c r="AA1408" s="464"/>
      <c r="AB1408" s="464"/>
      <c r="AC1408" s="464"/>
      <c r="AD1408" s="464"/>
      <c r="AE1408" s="464"/>
      <c r="AF1408" s="464"/>
      <c r="AG1408" s="464"/>
      <c r="AH1408" s="465"/>
      <c r="AI1408" s="464"/>
    </row>
    <row r="1409" customFormat="false" ht="15" hidden="false" customHeight="true" outlineLevel="0" collapsed="false">
      <c r="A1409" s="455" t="s">
        <v>1786</v>
      </c>
      <c r="C1409" s="456" t="n">
        <v>45625</v>
      </c>
      <c r="D1409" s="456"/>
      <c r="E1409" s="57" t="n">
        <v>14317</v>
      </c>
      <c r="F1409" s="323" t="s">
        <v>175</v>
      </c>
      <c r="G1409" s="323" t="s">
        <v>10</v>
      </c>
      <c r="H1409" s="98" t="n">
        <v>90</v>
      </c>
      <c r="I1409" s="457" t="n">
        <v>25.71</v>
      </c>
      <c r="J1409" s="313" t="s">
        <v>1651</v>
      </c>
      <c r="K1409" s="458" t="n">
        <f aca="false">I1409*H1409</f>
        <v>2313.9</v>
      </c>
      <c r="L1409" s="411" t="n">
        <v>2006.1</v>
      </c>
      <c r="M1409" s="459" t="n">
        <f aca="false">L1409/K1409</f>
        <v>0.866977829638273</v>
      </c>
      <c r="N1409" s="460" t="n">
        <f aca="false">I1409*M1409</f>
        <v>22.29</v>
      </c>
      <c r="O1409" s="461" t="n">
        <v>90</v>
      </c>
      <c r="P1409" s="462" t="n">
        <f aca="false">H1409-O1409</f>
        <v>0</v>
      </c>
      <c r="Q1409" s="463" t="n">
        <f aca="false">O1409*I1409</f>
        <v>2313.9</v>
      </c>
      <c r="R1409" s="48" t="n">
        <f aca="false">K1409-Q1409</f>
        <v>0</v>
      </c>
      <c r="S1409" s="467"/>
      <c r="T1409" s="2" t="s">
        <v>1711</v>
      </c>
      <c r="V1409" s="464"/>
      <c r="W1409" s="464"/>
      <c r="X1409" s="464"/>
      <c r="Y1409" s="464"/>
      <c r="Z1409" s="464"/>
      <c r="AA1409" s="464"/>
      <c r="AB1409" s="464"/>
      <c r="AC1409" s="464"/>
      <c r="AD1409" s="464"/>
      <c r="AE1409" s="464"/>
      <c r="AF1409" s="464"/>
      <c r="AG1409" s="464"/>
      <c r="AH1409" s="465"/>
      <c r="AI1409" s="464"/>
    </row>
    <row r="1410" customFormat="false" ht="15" hidden="false" customHeight="true" outlineLevel="0" collapsed="false">
      <c r="A1410" s="455" t="s">
        <v>1758</v>
      </c>
      <c r="C1410" s="456" t="n">
        <v>45628</v>
      </c>
      <c r="D1410" s="456"/>
      <c r="E1410" s="57" t="n">
        <v>14318</v>
      </c>
      <c r="F1410" s="323" t="s">
        <v>175</v>
      </c>
      <c r="G1410" s="323" t="s">
        <v>5</v>
      </c>
      <c r="H1410" s="98" t="n">
        <v>1500</v>
      </c>
      <c r="I1410" s="457" t="n">
        <v>25.71</v>
      </c>
      <c r="J1410" s="313" t="s">
        <v>1651</v>
      </c>
      <c r="K1410" s="458" t="n">
        <f aca="false">I1410*H1410</f>
        <v>38565</v>
      </c>
      <c r="L1410" s="411" t="n">
        <v>16500</v>
      </c>
      <c r="M1410" s="459" t="n">
        <f aca="false">L1410/K1410</f>
        <v>0.427849085958771</v>
      </c>
      <c r="N1410" s="460" t="n">
        <f aca="false">I1410*M1410</f>
        <v>11</v>
      </c>
      <c r="O1410" s="461" t="n">
        <v>1500</v>
      </c>
      <c r="P1410" s="462" t="n">
        <f aca="false">H1410-O1410</f>
        <v>0</v>
      </c>
      <c r="Q1410" s="463" t="n">
        <f aca="false">O1410*I1410</f>
        <v>38565</v>
      </c>
      <c r="R1410" s="48" t="n">
        <f aca="false">K1410-Q1410</f>
        <v>0</v>
      </c>
      <c r="S1410" s="467"/>
      <c r="T1410" s="2" t="s">
        <v>1711</v>
      </c>
      <c r="V1410" s="464"/>
      <c r="W1410" s="464"/>
      <c r="X1410" s="464"/>
      <c r="Y1410" s="464"/>
      <c r="Z1410" s="464"/>
      <c r="AA1410" s="464"/>
      <c r="AB1410" s="464"/>
      <c r="AC1410" s="464"/>
      <c r="AD1410" s="464"/>
      <c r="AE1410" s="464"/>
      <c r="AF1410" s="464"/>
      <c r="AG1410" s="464"/>
      <c r="AH1410" s="465"/>
      <c r="AI1410" s="464"/>
    </row>
    <row r="1411" customFormat="false" ht="15" hidden="false" customHeight="true" outlineLevel="0" collapsed="false">
      <c r="A1411" s="455" t="s">
        <v>1895</v>
      </c>
      <c r="C1411" s="456" t="n">
        <v>45628</v>
      </c>
      <c r="D1411" s="456"/>
      <c r="E1411" s="57" t="n">
        <v>14319</v>
      </c>
      <c r="F1411" s="323" t="s">
        <v>175</v>
      </c>
      <c r="G1411" s="323" t="s">
        <v>15</v>
      </c>
      <c r="H1411" s="98" t="n">
        <v>675</v>
      </c>
      <c r="I1411" s="457" t="n">
        <v>22.5</v>
      </c>
      <c r="J1411" s="313" t="s">
        <v>1651</v>
      </c>
      <c r="K1411" s="458" t="n">
        <f aca="false">I1411*H1411</f>
        <v>15187.5</v>
      </c>
      <c r="L1411" s="411" t="n">
        <v>19473.75</v>
      </c>
      <c r="M1411" s="459" t="n">
        <f aca="false">L1411/K1411</f>
        <v>1.28222222222222</v>
      </c>
      <c r="N1411" s="460" t="n">
        <f aca="false">I1411*M1411</f>
        <v>28.85</v>
      </c>
      <c r="O1411" s="461" t="n">
        <v>675</v>
      </c>
      <c r="P1411" s="462" t="n">
        <f aca="false">H1411-O1411</f>
        <v>0</v>
      </c>
      <c r="Q1411" s="463" t="n">
        <f aca="false">O1411*I1411</f>
        <v>15187.5</v>
      </c>
      <c r="R1411" s="48" t="n">
        <f aca="false">K1411-Q1411</f>
        <v>0</v>
      </c>
      <c r="S1411" s="467"/>
      <c r="T1411" s="2" t="s">
        <v>1711</v>
      </c>
      <c r="V1411" s="464"/>
      <c r="W1411" s="464"/>
      <c r="X1411" s="464"/>
      <c r="Y1411" s="464"/>
      <c r="Z1411" s="464"/>
      <c r="AA1411" s="464"/>
      <c r="AB1411" s="464"/>
      <c r="AC1411" s="464"/>
      <c r="AD1411" s="464"/>
      <c r="AE1411" s="464"/>
      <c r="AF1411" s="464"/>
      <c r="AG1411" s="464"/>
      <c r="AH1411" s="465"/>
      <c r="AI1411" s="464"/>
    </row>
    <row r="1412" customFormat="false" ht="15" hidden="false" customHeight="true" outlineLevel="0" collapsed="false">
      <c r="A1412" s="455" t="s">
        <v>1753</v>
      </c>
      <c r="C1412" s="456" t="n">
        <v>45628</v>
      </c>
      <c r="D1412" s="456"/>
      <c r="E1412" s="57" t="n">
        <v>14320</v>
      </c>
      <c r="F1412" s="323" t="s">
        <v>175</v>
      </c>
      <c r="G1412" s="323" t="s">
        <v>17</v>
      </c>
      <c r="H1412" s="98" t="n">
        <v>4425</v>
      </c>
      <c r="I1412" s="457" t="n">
        <v>40</v>
      </c>
      <c r="J1412" s="313" t="s">
        <v>1653</v>
      </c>
      <c r="K1412" s="458" t="n">
        <f aca="false">I1412*H1412</f>
        <v>177000</v>
      </c>
      <c r="L1412" s="411" t="n">
        <v>61950</v>
      </c>
      <c r="M1412" s="459" t="n">
        <f aca="false">L1412/K1412</f>
        <v>0.35</v>
      </c>
      <c r="N1412" s="460" t="n">
        <f aca="false">I1412*M1412</f>
        <v>14</v>
      </c>
      <c r="O1412" s="461" t="n">
        <v>4425</v>
      </c>
      <c r="P1412" s="462" t="n">
        <f aca="false">H1412-O1412</f>
        <v>0</v>
      </c>
      <c r="Q1412" s="463" t="n">
        <f aca="false">O1412*I1412</f>
        <v>177000</v>
      </c>
      <c r="R1412" s="48" t="n">
        <f aca="false">K1412-Q1412</f>
        <v>0</v>
      </c>
      <c r="S1412" s="467"/>
      <c r="T1412" s="2" t="s">
        <v>1711</v>
      </c>
      <c r="V1412" s="464"/>
      <c r="W1412" s="464"/>
      <c r="X1412" s="464"/>
      <c r="Y1412" s="464"/>
      <c r="Z1412" s="464"/>
      <c r="AA1412" s="464"/>
      <c r="AB1412" s="464"/>
      <c r="AC1412" s="464"/>
      <c r="AD1412" s="464"/>
      <c r="AE1412" s="464"/>
      <c r="AF1412" s="464"/>
      <c r="AG1412" s="464"/>
      <c r="AH1412" s="465"/>
      <c r="AI1412" s="464"/>
    </row>
    <row r="1413" customFormat="false" ht="15" hidden="false" customHeight="true" outlineLevel="0" collapsed="false">
      <c r="A1413" s="455" t="s">
        <v>1947</v>
      </c>
      <c r="C1413" s="456" t="n">
        <v>45628</v>
      </c>
      <c r="D1413" s="456"/>
      <c r="E1413" s="57" t="n">
        <v>14321</v>
      </c>
      <c r="F1413" s="323" t="s">
        <v>175</v>
      </c>
      <c r="G1413" s="323" t="s">
        <v>10</v>
      </c>
      <c r="H1413" s="98" t="n">
        <v>30000</v>
      </c>
      <c r="I1413" s="457" t="n">
        <v>25.71</v>
      </c>
      <c r="J1413" s="313" t="s">
        <v>1651</v>
      </c>
      <c r="K1413" s="458" t="n">
        <f aca="false">I1413*H1413</f>
        <v>771300</v>
      </c>
      <c r="L1413" s="411" t="n">
        <v>285000</v>
      </c>
      <c r="M1413" s="459" t="n">
        <f aca="false">L1413/K1413</f>
        <v>0.369506028782575</v>
      </c>
      <c r="N1413" s="460" t="n">
        <f aca="false">I1413*M1413</f>
        <v>9.5</v>
      </c>
      <c r="O1413" s="461" t="n">
        <v>30000</v>
      </c>
      <c r="P1413" s="462" t="n">
        <f aca="false">H1413-O1413</f>
        <v>0</v>
      </c>
      <c r="Q1413" s="463" t="n">
        <f aca="false">O1413*I1413</f>
        <v>771300</v>
      </c>
      <c r="R1413" s="48" t="n">
        <f aca="false">K1413-Q1413</f>
        <v>0</v>
      </c>
      <c r="S1413" s="467"/>
      <c r="T1413" s="2" t="s">
        <v>1711</v>
      </c>
      <c r="V1413" s="464"/>
      <c r="W1413" s="464"/>
      <c r="X1413" s="464"/>
      <c r="Y1413" s="464"/>
      <c r="Z1413" s="464"/>
      <c r="AA1413" s="464"/>
      <c r="AB1413" s="464"/>
      <c r="AC1413" s="464"/>
      <c r="AD1413" s="464"/>
      <c r="AE1413" s="464"/>
      <c r="AF1413" s="464"/>
      <c r="AG1413" s="464"/>
      <c r="AH1413" s="465"/>
      <c r="AI1413" s="464"/>
    </row>
    <row r="1414" customFormat="false" ht="15" hidden="false" customHeight="true" outlineLevel="0" collapsed="false">
      <c r="A1414" s="455" t="s">
        <v>1996</v>
      </c>
      <c r="C1414" s="456" t="n">
        <v>45628</v>
      </c>
      <c r="D1414" s="456"/>
      <c r="E1414" s="57" t="n">
        <v>14322</v>
      </c>
      <c r="F1414" s="323" t="s">
        <v>175</v>
      </c>
      <c r="G1414" s="323" t="s">
        <v>19</v>
      </c>
      <c r="H1414" s="98" t="n">
        <v>15</v>
      </c>
      <c r="I1414" s="457" t="n">
        <v>22.5</v>
      </c>
      <c r="J1414" s="313" t="s">
        <v>1651</v>
      </c>
      <c r="K1414" s="458" t="n">
        <f aca="false">I1414*H1414</f>
        <v>337.5</v>
      </c>
      <c r="L1414" s="411" t="n">
        <v>360</v>
      </c>
      <c r="M1414" s="459" t="n">
        <f aca="false">L1414/K1414</f>
        <v>1.06666666666667</v>
      </c>
      <c r="N1414" s="460" t="n">
        <f aca="false">I1414*M1414</f>
        <v>24</v>
      </c>
      <c r="O1414" s="461" t="n">
        <v>15</v>
      </c>
      <c r="P1414" s="462" t="n">
        <f aca="false">H1414-O1414</f>
        <v>0</v>
      </c>
      <c r="Q1414" s="463" t="n">
        <f aca="false">O1414*I1414</f>
        <v>337.5</v>
      </c>
      <c r="R1414" s="48" t="n">
        <f aca="false">K1414-Q1414</f>
        <v>0</v>
      </c>
      <c r="S1414" s="467"/>
      <c r="T1414" s="2" t="s">
        <v>1711</v>
      </c>
      <c r="V1414" s="464"/>
      <c r="W1414" s="464"/>
      <c r="X1414" s="464"/>
      <c r="Y1414" s="464"/>
      <c r="Z1414" s="464"/>
      <c r="AA1414" s="464"/>
      <c r="AB1414" s="464"/>
      <c r="AC1414" s="464"/>
      <c r="AD1414" s="464"/>
      <c r="AE1414" s="464"/>
      <c r="AF1414" s="464"/>
      <c r="AG1414" s="464"/>
      <c r="AH1414" s="465"/>
      <c r="AI1414" s="464"/>
    </row>
    <row r="1415" customFormat="false" ht="15" hidden="false" customHeight="true" outlineLevel="0" collapsed="false">
      <c r="A1415" s="455" t="s">
        <v>1997</v>
      </c>
      <c r="C1415" s="456" t="n">
        <v>45628</v>
      </c>
      <c r="D1415" s="456"/>
      <c r="E1415" s="57" t="n">
        <v>14323</v>
      </c>
      <c r="F1415" s="323" t="s">
        <v>175</v>
      </c>
      <c r="G1415" s="323" t="s">
        <v>5</v>
      </c>
      <c r="H1415" s="98" t="n">
        <v>720</v>
      </c>
      <c r="I1415" s="457" t="n">
        <v>90</v>
      </c>
      <c r="J1415" s="313" t="s">
        <v>1653</v>
      </c>
      <c r="K1415" s="458" t="n">
        <f aca="false">I1415*H1415</f>
        <v>64800</v>
      </c>
      <c r="L1415" s="411" t="n">
        <v>23400</v>
      </c>
      <c r="M1415" s="459" t="n">
        <f aca="false">L1415/K1415</f>
        <v>0.361111111111111</v>
      </c>
      <c r="N1415" s="460" t="n">
        <f aca="false">I1415*M1415</f>
        <v>32.5</v>
      </c>
      <c r="O1415" s="461" t="n">
        <v>720</v>
      </c>
      <c r="P1415" s="462" t="n">
        <f aca="false">H1415-O1415</f>
        <v>0</v>
      </c>
      <c r="Q1415" s="463" t="n">
        <f aca="false">O1415*I1415</f>
        <v>64800</v>
      </c>
      <c r="R1415" s="48" t="n">
        <f aca="false">K1415-Q1415</f>
        <v>0</v>
      </c>
      <c r="S1415" s="467"/>
      <c r="T1415" s="2" t="s">
        <v>1711</v>
      </c>
      <c r="V1415" s="464"/>
      <c r="W1415" s="464"/>
      <c r="X1415" s="464"/>
      <c r="Y1415" s="464"/>
      <c r="Z1415" s="464"/>
      <c r="AA1415" s="464"/>
      <c r="AB1415" s="464"/>
      <c r="AC1415" s="464"/>
      <c r="AD1415" s="464"/>
      <c r="AE1415" s="464"/>
      <c r="AF1415" s="464"/>
      <c r="AG1415" s="464"/>
      <c r="AH1415" s="465"/>
      <c r="AI1415" s="464"/>
    </row>
    <row r="1416" customFormat="false" ht="15" hidden="false" customHeight="true" outlineLevel="0" collapsed="false">
      <c r="A1416" s="455" t="s">
        <v>1997</v>
      </c>
      <c r="C1416" s="456" t="n">
        <v>45628</v>
      </c>
      <c r="D1416" s="456"/>
      <c r="E1416" s="323" t="n">
        <v>14323</v>
      </c>
      <c r="F1416" s="323" t="s">
        <v>175</v>
      </c>
      <c r="G1416" s="323" t="s">
        <v>42</v>
      </c>
      <c r="H1416" s="98" t="n">
        <v>1800</v>
      </c>
      <c r="I1416" s="457" t="n">
        <v>90</v>
      </c>
      <c r="J1416" s="313" t="s">
        <v>1653</v>
      </c>
      <c r="K1416" s="458" t="n">
        <f aca="false">I1416*H1416</f>
        <v>162000</v>
      </c>
      <c r="L1416" s="411" t="n">
        <v>53100</v>
      </c>
      <c r="M1416" s="459" t="n">
        <f aca="false">L1416/K1416</f>
        <v>0.327777777777778</v>
      </c>
      <c r="N1416" s="460" t="n">
        <f aca="false">I1416*M1416</f>
        <v>29.5</v>
      </c>
      <c r="O1416" s="461" t="n">
        <v>1800</v>
      </c>
      <c r="P1416" s="462" t="n">
        <f aca="false">H1416-O1416</f>
        <v>0</v>
      </c>
      <c r="Q1416" s="463" t="n">
        <f aca="false">O1416*I1416</f>
        <v>162000</v>
      </c>
      <c r="R1416" s="48" t="n">
        <f aca="false">K1416-Q1416</f>
        <v>0</v>
      </c>
      <c r="S1416" s="467"/>
      <c r="T1416" s="2" t="s">
        <v>1711</v>
      </c>
      <c r="V1416" s="464"/>
      <c r="W1416" s="464"/>
      <c r="X1416" s="464"/>
      <c r="Y1416" s="464"/>
      <c r="Z1416" s="464"/>
      <c r="AA1416" s="464"/>
      <c r="AB1416" s="464"/>
      <c r="AC1416" s="464"/>
      <c r="AD1416" s="464"/>
      <c r="AE1416" s="464"/>
      <c r="AF1416" s="464"/>
      <c r="AG1416" s="464"/>
      <c r="AH1416" s="465"/>
      <c r="AI1416" s="464"/>
    </row>
    <row r="1417" customFormat="false" ht="15" hidden="false" customHeight="true" outlineLevel="0" collapsed="false">
      <c r="A1417" s="455" t="s">
        <v>1997</v>
      </c>
      <c r="C1417" s="456" t="n">
        <v>45628</v>
      </c>
      <c r="D1417" s="456"/>
      <c r="E1417" s="323" t="n">
        <v>14323</v>
      </c>
      <c r="F1417" s="323" t="s">
        <v>175</v>
      </c>
      <c r="G1417" s="323" t="s">
        <v>19</v>
      </c>
      <c r="H1417" s="98" t="n">
        <v>300</v>
      </c>
      <c r="I1417" s="457" t="n">
        <v>22.5</v>
      </c>
      <c r="J1417" s="313" t="s">
        <v>1651</v>
      </c>
      <c r="K1417" s="458" t="n">
        <f aca="false">I1417*H1417</f>
        <v>6750</v>
      </c>
      <c r="L1417" s="411" t="n">
        <v>7500</v>
      </c>
      <c r="M1417" s="459" t="n">
        <f aca="false">L1417/K1417</f>
        <v>1.11111111111111</v>
      </c>
      <c r="N1417" s="460" t="n">
        <f aca="false">I1417*M1417</f>
        <v>25</v>
      </c>
      <c r="O1417" s="461" t="n">
        <v>300</v>
      </c>
      <c r="P1417" s="462" t="n">
        <f aca="false">H1417-O1417</f>
        <v>0</v>
      </c>
      <c r="Q1417" s="463" t="n">
        <f aca="false">O1417*I1417</f>
        <v>6750</v>
      </c>
      <c r="R1417" s="48" t="n">
        <f aca="false">K1417-Q1417</f>
        <v>0</v>
      </c>
      <c r="S1417" s="467"/>
      <c r="T1417" s="2" t="s">
        <v>1711</v>
      </c>
      <c r="V1417" s="464"/>
      <c r="W1417" s="464"/>
      <c r="X1417" s="464"/>
      <c r="Y1417" s="464"/>
      <c r="Z1417" s="464"/>
      <c r="AA1417" s="464"/>
      <c r="AB1417" s="464"/>
      <c r="AC1417" s="464"/>
      <c r="AD1417" s="464"/>
      <c r="AE1417" s="464"/>
      <c r="AF1417" s="464"/>
      <c r="AG1417" s="464"/>
      <c r="AH1417" s="465"/>
      <c r="AI1417" s="464"/>
    </row>
    <row r="1418" customFormat="false" ht="15" hidden="false" customHeight="true" outlineLevel="0" collapsed="false">
      <c r="A1418" s="455" t="s">
        <v>1926</v>
      </c>
      <c r="C1418" s="456" t="n">
        <v>45629</v>
      </c>
      <c r="D1418" s="456"/>
      <c r="E1418" s="57" t="n">
        <v>14324</v>
      </c>
      <c r="F1418" s="57" t="s">
        <v>175</v>
      </c>
      <c r="G1418" s="323" t="s">
        <v>17</v>
      </c>
      <c r="H1418" s="98" t="n">
        <v>610</v>
      </c>
      <c r="I1418" s="457" t="n">
        <v>22.5</v>
      </c>
      <c r="J1418" s="313" t="s">
        <v>1651</v>
      </c>
      <c r="K1418" s="458" t="n">
        <f aca="false">I1418*H1418</f>
        <v>13725</v>
      </c>
      <c r="L1418" s="411" t="n">
        <v>9150</v>
      </c>
      <c r="M1418" s="459" t="n">
        <f aca="false">L1418/K1418</f>
        <v>0.666666666666667</v>
      </c>
      <c r="N1418" s="460" t="n">
        <f aca="false">I1418*M1418</f>
        <v>15</v>
      </c>
      <c r="O1418" s="461" t="n">
        <v>610</v>
      </c>
      <c r="P1418" s="462" t="n">
        <f aca="false">H1418-O1418</f>
        <v>0</v>
      </c>
      <c r="Q1418" s="463" t="n">
        <f aca="false">O1418*I1418</f>
        <v>13725</v>
      </c>
      <c r="R1418" s="48" t="n">
        <f aca="false">K1418-Q1418</f>
        <v>0</v>
      </c>
      <c r="S1418" s="467"/>
      <c r="T1418" s="2" t="s">
        <v>1711</v>
      </c>
      <c r="V1418" s="464"/>
      <c r="W1418" s="464"/>
      <c r="X1418" s="464"/>
      <c r="Y1418" s="464"/>
      <c r="Z1418" s="464"/>
      <c r="AA1418" s="464"/>
      <c r="AB1418" s="464"/>
      <c r="AC1418" s="464"/>
      <c r="AD1418" s="464"/>
      <c r="AE1418" s="464"/>
      <c r="AF1418" s="464"/>
      <c r="AG1418" s="464"/>
      <c r="AH1418" s="465"/>
      <c r="AI1418" s="464"/>
    </row>
    <row r="1419" customFormat="false" ht="15" hidden="false" customHeight="true" outlineLevel="0" collapsed="false">
      <c r="A1419" s="455" t="s">
        <v>1819</v>
      </c>
      <c r="C1419" s="456" t="n">
        <v>45629</v>
      </c>
      <c r="D1419" s="456"/>
      <c r="E1419" s="57" t="n">
        <v>14325</v>
      </c>
      <c r="F1419" s="57" t="s">
        <v>175</v>
      </c>
      <c r="G1419" s="323" t="s">
        <v>10</v>
      </c>
      <c r="H1419" s="98" t="n">
        <v>20</v>
      </c>
      <c r="I1419" s="457" t="n">
        <v>25.71</v>
      </c>
      <c r="J1419" s="313" t="s">
        <v>1651</v>
      </c>
      <c r="K1419" s="458" t="n">
        <f aca="false">I1419*H1419</f>
        <v>514.2</v>
      </c>
      <c r="L1419" s="411" t="n">
        <v>144</v>
      </c>
      <c r="M1419" s="459" t="n">
        <f aca="false">L1419/K1419</f>
        <v>0.280046674445741</v>
      </c>
      <c r="N1419" s="460" t="n">
        <f aca="false">I1419*M1419</f>
        <v>7.2</v>
      </c>
      <c r="O1419" s="461" t="n">
        <v>20</v>
      </c>
      <c r="P1419" s="462" t="n">
        <f aca="false">H1419-O1419</f>
        <v>0</v>
      </c>
      <c r="Q1419" s="463" t="n">
        <f aca="false">O1419*I1419</f>
        <v>514.2</v>
      </c>
      <c r="R1419" s="48" t="n">
        <f aca="false">K1419-Q1419</f>
        <v>0</v>
      </c>
      <c r="S1419" s="467"/>
      <c r="T1419" s="2" t="s">
        <v>1711</v>
      </c>
      <c r="V1419" s="464"/>
      <c r="W1419" s="464"/>
      <c r="X1419" s="464"/>
      <c r="Y1419" s="464"/>
      <c r="Z1419" s="464"/>
      <c r="AA1419" s="464"/>
      <c r="AB1419" s="464"/>
      <c r="AC1419" s="464"/>
      <c r="AD1419" s="464"/>
      <c r="AE1419" s="464"/>
      <c r="AF1419" s="464"/>
      <c r="AG1419" s="464"/>
      <c r="AH1419" s="465"/>
      <c r="AI1419" s="464"/>
    </row>
    <row r="1420" customFormat="false" ht="15" hidden="false" customHeight="true" outlineLevel="0" collapsed="false">
      <c r="A1420" s="455" t="s">
        <v>1942</v>
      </c>
      <c r="C1420" s="456" t="n">
        <v>45629</v>
      </c>
      <c r="D1420" s="456"/>
      <c r="E1420" s="57" t="n">
        <v>14326</v>
      </c>
      <c r="F1420" s="57" t="s">
        <v>175</v>
      </c>
      <c r="G1420" s="323" t="s">
        <v>10</v>
      </c>
      <c r="H1420" s="98" t="n">
        <v>23000</v>
      </c>
      <c r="I1420" s="457" t="n">
        <v>90</v>
      </c>
      <c r="J1420" s="313" t="s">
        <v>1653</v>
      </c>
      <c r="K1420" s="458" t="n">
        <f aca="false">I1420*H1420</f>
        <v>2070000</v>
      </c>
      <c r="L1420" s="411" t="n">
        <v>379500</v>
      </c>
      <c r="M1420" s="459" t="n">
        <f aca="false">L1420/K1420</f>
        <v>0.183333333333333</v>
      </c>
      <c r="N1420" s="460" t="n">
        <f aca="false">I1420*M1420</f>
        <v>16.5</v>
      </c>
      <c r="O1420" s="461" t="n">
        <v>23000</v>
      </c>
      <c r="P1420" s="462" t="n">
        <f aca="false">H1420-O1420</f>
        <v>0</v>
      </c>
      <c r="Q1420" s="463" t="n">
        <f aca="false">O1420*I1420</f>
        <v>2070000</v>
      </c>
      <c r="R1420" s="48" t="n">
        <f aca="false">K1420-Q1420</f>
        <v>0</v>
      </c>
      <c r="S1420" s="467"/>
      <c r="T1420" s="2" t="s">
        <v>1711</v>
      </c>
      <c r="V1420" s="464"/>
      <c r="W1420" s="464"/>
      <c r="X1420" s="464"/>
      <c r="Y1420" s="464"/>
      <c r="Z1420" s="464"/>
      <c r="AA1420" s="464"/>
      <c r="AB1420" s="464"/>
      <c r="AC1420" s="464"/>
      <c r="AD1420" s="464"/>
      <c r="AE1420" s="464"/>
      <c r="AF1420" s="464"/>
      <c r="AG1420" s="464"/>
      <c r="AH1420" s="465"/>
      <c r="AI1420" s="464"/>
    </row>
    <row r="1421" customFormat="false" ht="15" hidden="false" customHeight="true" outlineLevel="0" collapsed="false">
      <c r="A1421" s="455" t="s">
        <v>1758</v>
      </c>
      <c r="C1421" s="456" t="n">
        <v>45629</v>
      </c>
      <c r="D1421" s="456"/>
      <c r="E1421" s="57" t="n">
        <v>14327</v>
      </c>
      <c r="F1421" s="57" t="s">
        <v>175</v>
      </c>
      <c r="G1421" s="323" t="s">
        <v>16</v>
      </c>
      <c r="H1421" s="98" t="n">
        <v>40</v>
      </c>
      <c r="I1421" s="457" t="n">
        <v>22.5</v>
      </c>
      <c r="J1421" s="313" t="s">
        <v>1651</v>
      </c>
      <c r="K1421" s="458" t="n">
        <f aca="false">I1421*H1421</f>
        <v>900</v>
      </c>
      <c r="L1421" s="411" t="n">
        <v>662.4</v>
      </c>
      <c r="M1421" s="459" t="n">
        <f aca="false">L1421/K1421</f>
        <v>0.736</v>
      </c>
      <c r="N1421" s="460" t="n">
        <f aca="false">I1421*M1421</f>
        <v>16.56</v>
      </c>
      <c r="O1421" s="461" t="n">
        <v>40</v>
      </c>
      <c r="P1421" s="462" t="n">
        <f aca="false">H1421-O1421</f>
        <v>0</v>
      </c>
      <c r="Q1421" s="463" t="n">
        <f aca="false">O1421*I1421</f>
        <v>900</v>
      </c>
      <c r="R1421" s="48" t="n">
        <f aca="false">K1421-Q1421</f>
        <v>0</v>
      </c>
      <c r="S1421" s="467"/>
      <c r="T1421" s="2" t="s">
        <v>1711</v>
      </c>
      <c r="V1421" s="464"/>
      <c r="W1421" s="464"/>
      <c r="X1421" s="464"/>
      <c r="Y1421" s="464"/>
      <c r="Z1421" s="464"/>
      <c r="AA1421" s="464"/>
      <c r="AB1421" s="464"/>
      <c r="AC1421" s="464"/>
      <c r="AD1421" s="464"/>
      <c r="AE1421" s="464"/>
      <c r="AF1421" s="464"/>
      <c r="AG1421" s="464"/>
      <c r="AH1421" s="465"/>
      <c r="AI1421" s="464"/>
    </row>
    <row r="1422" customFormat="false" ht="15" hidden="false" customHeight="true" outlineLevel="0" collapsed="false">
      <c r="A1422" s="455" t="s">
        <v>1758</v>
      </c>
      <c r="C1422" s="456" t="n">
        <v>45629</v>
      </c>
      <c r="D1422" s="456"/>
      <c r="E1422" s="57" t="n">
        <v>14327</v>
      </c>
      <c r="F1422" s="57" t="s">
        <v>175</v>
      </c>
      <c r="G1422" s="323" t="s">
        <v>10</v>
      </c>
      <c r="H1422" s="98" t="n">
        <v>30</v>
      </c>
      <c r="I1422" s="457" t="n">
        <v>25.71</v>
      </c>
      <c r="J1422" s="313" t="s">
        <v>1651</v>
      </c>
      <c r="K1422" s="458" t="n">
        <f aca="false">I1422*H1422</f>
        <v>771.3</v>
      </c>
      <c r="L1422" s="411" t="n">
        <v>216</v>
      </c>
      <c r="M1422" s="459" t="n">
        <f aca="false">L1422/K1422</f>
        <v>0.280046674445741</v>
      </c>
      <c r="N1422" s="460" t="n">
        <f aca="false">I1422*M1422</f>
        <v>7.2</v>
      </c>
      <c r="O1422" s="461" t="n">
        <v>30</v>
      </c>
      <c r="P1422" s="462" t="n">
        <f aca="false">H1422-O1422</f>
        <v>0</v>
      </c>
      <c r="Q1422" s="463" t="n">
        <f aca="false">O1422*I1422</f>
        <v>771.3</v>
      </c>
      <c r="R1422" s="48" t="n">
        <f aca="false">K1422-Q1422</f>
        <v>0</v>
      </c>
      <c r="S1422" s="467"/>
      <c r="T1422" s="2" t="s">
        <v>1711</v>
      </c>
      <c r="V1422" s="464"/>
      <c r="W1422" s="464"/>
      <c r="X1422" s="464"/>
      <c r="Y1422" s="464"/>
      <c r="Z1422" s="464"/>
      <c r="AA1422" s="464"/>
      <c r="AB1422" s="464"/>
      <c r="AC1422" s="464"/>
      <c r="AD1422" s="464"/>
      <c r="AE1422" s="464"/>
      <c r="AF1422" s="464"/>
      <c r="AG1422" s="464"/>
      <c r="AH1422" s="465"/>
      <c r="AI1422" s="464"/>
    </row>
    <row r="1423" customFormat="false" ht="15" hidden="false" customHeight="true" outlineLevel="0" collapsed="false">
      <c r="A1423" s="455" t="s">
        <v>1798</v>
      </c>
      <c r="C1423" s="456" t="n">
        <v>45629</v>
      </c>
      <c r="D1423" s="456"/>
      <c r="E1423" s="323" t="n">
        <v>14329</v>
      </c>
      <c r="F1423" s="323" t="s">
        <v>175</v>
      </c>
      <c r="G1423" s="323" t="s">
        <v>5</v>
      </c>
      <c r="H1423" s="98" t="n">
        <v>1485</v>
      </c>
      <c r="I1423" s="457" t="n">
        <v>25.71</v>
      </c>
      <c r="J1423" s="313" t="s">
        <v>1651</v>
      </c>
      <c r="K1423" s="458" t="n">
        <f aca="false">I1423*H1423</f>
        <v>38179.35</v>
      </c>
      <c r="L1423" s="411" t="n">
        <v>15859.8</v>
      </c>
      <c r="M1423" s="459" t="n">
        <f aca="false">L1423/K1423</f>
        <v>0.415402567094516</v>
      </c>
      <c r="N1423" s="460" t="n">
        <f aca="false">I1423*M1423</f>
        <v>10.68</v>
      </c>
      <c r="O1423" s="461" t="n">
        <v>1485</v>
      </c>
      <c r="P1423" s="462" t="n">
        <f aca="false">H1423-O1423</f>
        <v>0</v>
      </c>
      <c r="Q1423" s="463" t="n">
        <f aca="false">O1423*I1423</f>
        <v>38179.35</v>
      </c>
      <c r="R1423" s="48" t="n">
        <f aca="false">K1423-Q1423</f>
        <v>0</v>
      </c>
      <c r="S1423" s="467"/>
      <c r="T1423" s="2" t="s">
        <v>1711</v>
      </c>
      <c r="V1423" s="464"/>
      <c r="W1423" s="464"/>
      <c r="X1423" s="464"/>
      <c r="Y1423" s="464"/>
      <c r="Z1423" s="464"/>
      <c r="AA1423" s="464"/>
      <c r="AB1423" s="464"/>
      <c r="AC1423" s="464"/>
      <c r="AD1423" s="464"/>
      <c r="AE1423" s="464"/>
      <c r="AF1423" s="464"/>
      <c r="AG1423" s="464"/>
      <c r="AH1423" s="465"/>
      <c r="AI1423" s="464"/>
    </row>
    <row r="1424" customFormat="false" ht="15" hidden="false" customHeight="true" outlineLevel="0" collapsed="false">
      <c r="A1424" s="455" t="s">
        <v>1715</v>
      </c>
      <c r="C1424" s="456" t="n">
        <v>45629</v>
      </c>
      <c r="D1424" s="456"/>
      <c r="E1424" s="323" t="n">
        <v>14330</v>
      </c>
      <c r="F1424" s="323" t="s">
        <v>175</v>
      </c>
      <c r="G1424" s="323" t="s">
        <v>5</v>
      </c>
      <c r="H1424" s="98" t="n">
        <v>60</v>
      </c>
      <c r="I1424" s="457" t="n">
        <v>25.71</v>
      </c>
      <c r="J1424" s="313" t="s">
        <v>1651</v>
      </c>
      <c r="K1424" s="458" t="n">
        <f aca="false">I1424*H1424</f>
        <v>1542.6</v>
      </c>
      <c r="L1424" s="411" t="n">
        <v>1095</v>
      </c>
      <c r="M1424" s="459" t="n">
        <f aca="false">L1424/K1424</f>
        <v>0.709840528977052</v>
      </c>
      <c r="N1424" s="460" t="n">
        <f aca="false">I1424*M1424</f>
        <v>18.25</v>
      </c>
      <c r="O1424" s="461" t="n">
        <v>60</v>
      </c>
      <c r="P1424" s="462" t="n">
        <f aca="false">H1424-O1424</f>
        <v>0</v>
      </c>
      <c r="Q1424" s="463" t="n">
        <f aca="false">O1424*I1424</f>
        <v>1542.6</v>
      </c>
      <c r="R1424" s="48" t="n">
        <f aca="false">K1424-Q1424</f>
        <v>0</v>
      </c>
      <c r="S1424" s="467"/>
      <c r="T1424" s="2" t="s">
        <v>1711</v>
      </c>
      <c r="V1424" s="464"/>
      <c r="W1424" s="464"/>
      <c r="X1424" s="464"/>
      <c r="Y1424" s="464"/>
      <c r="Z1424" s="464"/>
      <c r="AA1424" s="464"/>
      <c r="AB1424" s="464"/>
      <c r="AC1424" s="464"/>
      <c r="AD1424" s="464"/>
      <c r="AE1424" s="464"/>
      <c r="AF1424" s="464"/>
      <c r="AG1424" s="464"/>
      <c r="AH1424" s="465"/>
      <c r="AI1424" s="464"/>
    </row>
    <row r="1425" customFormat="false" ht="15" hidden="false" customHeight="true" outlineLevel="0" collapsed="false">
      <c r="A1425" s="455" t="s">
        <v>1715</v>
      </c>
      <c r="C1425" s="456" t="n">
        <v>45629</v>
      </c>
      <c r="D1425" s="456"/>
      <c r="E1425" s="323" t="n">
        <v>14331</v>
      </c>
      <c r="F1425" s="323" t="s">
        <v>175</v>
      </c>
      <c r="G1425" s="323" t="s">
        <v>15</v>
      </c>
      <c r="H1425" s="98" t="n">
        <v>90</v>
      </c>
      <c r="I1425" s="457" t="n">
        <v>22.5</v>
      </c>
      <c r="J1425" s="313" t="s">
        <v>1651</v>
      </c>
      <c r="K1425" s="458" t="n">
        <f aca="false">I1425*H1425</f>
        <v>2025</v>
      </c>
      <c r="L1425" s="411" t="n">
        <v>2300</v>
      </c>
      <c r="M1425" s="459" t="n">
        <f aca="false">L1425/K1425</f>
        <v>1.1358024691358</v>
      </c>
      <c r="N1425" s="460" t="n">
        <f aca="false">I1425*M1425</f>
        <v>25.5555555555556</v>
      </c>
      <c r="O1425" s="461" t="n">
        <v>90</v>
      </c>
      <c r="P1425" s="462" t="n">
        <f aca="false">H1425-O1425</f>
        <v>0</v>
      </c>
      <c r="Q1425" s="463" t="n">
        <f aca="false">O1425*I1425</f>
        <v>2025</v>
      </c>
      <c r="R1425" s="48" t="n">
        <f aca="false">K1425-Q1425</f>
        <v>0</v>
      </c>
      <c r="S1425" s="467"/>
      <c r="T1425" s="2" t="s">
        <v>1711</v>
      </c>
      <c r="V1425" s="464"/>
      <c r="W1425" s="464"/>
      <c r="X1425" s="464"/>
      <c r="Y1425" s="464"/>
      <c r="Z1425" s="464"/>
      <c r="AA1425" s="464"/>
      <c r="AB1425" s="464"/>
      <c r="AC1425" s="464"/>
      <c r="AD1425" s="464"/>
      <c r="AE1425" s="464"/>
      <c r="AF1425" s="464"/>
      <c r="AG1425" s="464"/>
      <c r="AH1425" s="465"/>
      <c r="AI1425" s="464"/>
    </row>
    <row r="1426" customFormat="false" ht="15" hidden="false" customHeight="true" outlineLevel="0" collapsed="false">
      <c r="A1426" s="455" t="s">
        <v>1715</v>
      </c>
      <c r="C1426" s="456" t="n">
        <v>45629</v>
      </c>
      <c r="D1426" s="456"/>
      <c r="E1426" s="57" t="n">
        <v>14331</v>
      </c>
      <c r="F1426" s="57" t="s">
        <v>175</v>
      </c>
      <c r="G1426" s="323" t="s">
        <v>13</v>
      </c>
      <c r="H1426" s="98" t="n">
        <v>930</v>
      </c>
      <c r="I1426" s="457" t="n">
        <v>22.5</v>
      </c>
      <c r="J1426" s="313" t="s">
        <v>1651</v>
      </c>
      <c r="K1426" s="458" t="n">
        <f aca="false">I1426*H1426</f>
        <v>20925</v>
      </c>
      <c r="L1426" s="411" t="n">
        <v>14830.4</v>
      </c>
      <c r="M1426" s="459" t="n">
        <f aca="false">L1426/K1426</f>
        <v>0.708740740740741</v>
      </c>
      <c r="N1426" s="460" t="n">
        <f aca="false">I1426*M1426</f>
        <v>15.9466666666667</v>
      </c>
      <c r="O1426" s="461" t="n">
        <v>930</v>
      </c>
      <c r="P1426" s="462" t="n">
        <f aca="false">H1426-O1426</f>
        <v>0</v>
      </c>
      <c r="Q1426" s="463" t="n">
        <f aca="false">O1426*I1426</f>
        <v>20925</v>
      </c>
      <c r="R1426" s="48" t="n">
        <f aca="false">K1426-Q1426</f>
        <v>0</v>
      </c>
      <c r="S1426" s="467"/>
      <c r="T1426" s="2" t="s">
        <v>1711</v>
      </c>
      <c r="V1426" s="464"/>
      <c r="W1426" s="464"/>
      <c r="X1426" s="464"/>
      <c r="Y1426" s="464"/>
      <c r="Z1426" s="464"/>
      <c r="AA1426" s="464"/>
      <c r="AB1426" s="464"/>
      <c r="AC1426" s="464"/>
      <c r="AD1426" s="464"/>
      <c r="AE1426" s="464"/>
      <c r="AF1426" s="464"/>
      <c r="AG1426" s="464"/>
      <c r="AH1426" s="465"/>
      <c r="AI1426" s="464"/>
    </row>
    <row r="1427" customFormat="false" ht="15" hidden="false" customHeight="true" outlineLevel="0" collapsed="false">
      <c r="A1427" s="455" t="s">
        <v>1824</v>
      </c>
      <c r="C1427" s="456" t="n">
        <v>45629</v>
      </c>
      <c r="D1427" s="456"/>
      <c r="E1427" s="57" t="n">
        <v>14332</v>
      </c>
      <c r="F1427" s="57" t="s">
        <v>175</v>
      </c>
      <c r="G1427" s="323" t="s">
        <v>42</v>
      </c>
      <c r="H1427" s="98" t="n">
        <v>900</v>
      </c>
      <c r="I1427" s="457" t="n">
        <v>30</v>
      </c>
      <c r="J1427" s="313" t="s">
        <v>1651</v>
      </c>
      <c r="K1427" s="458" t="n">
        <f aca="false">I1427*H1427</f>
        <v>27000</v>
      </c>
      <c r="L1427" s="411" t="n">
        <v>11880</v>
      </c>
      <c r="M1427" s="459" t="n">
        <f aca="false">L1427/K1427</f>
        <v>0.44</v>
      </c>
      <c r="N1427" s="460" t="n">
        <f aca="false">I1427*M1427</f>
        <v>13.2</v>
      </c>
      <c r="O1427" s="461" t="n">
        <v>900</v>
      </c>
      <c r="P1427" s="462" t="n">
        <f aca="false">H1427-O1427</f>
        <v>0</v>
      </c>
      <c r="Q1427" s="463" t="n">
        <f aca="false">O1427*I1427</f>
        <v>27000</v>
      </c>
      <c r="R1427" s="48" t="n">
        <f aca="false">K1427-Q1427</f>
        <v>0</v>
      </c>
      <c r="S1427" s="467"/>
      <c r="T1427" s="2" t="s">
        <v>1711</v>
      </c>
      <c r="V1427" s="464"/>
      <c r="W1427" s="464"/>
      <c r="X1427" s="464"/>
      <c r="Y1427" s="464"/>
      <c r="Z1427" s="464"/>
      <c r="AA1427" s="464"/>
      <c r="AB1427" s="464"/>
      <c r="AC1427" s="464"/>
      <c r="AD1427" s="464"/>
      <c r="AE1427" s="464"/>
      <c r="AF1427" s="464"/>
      <c r="AG1427" s="464"/>
      <c r="AH1427" s="465"/>
      <c r="AI1427" s="464"/>
    </row>
    <row r="1428" customFormat="false" ht="15" hidden="false" customHeight="true" outlineLevel="0" collapsed="false">
      <c r="A1428" s="455" t="s">
        <v>1824</v>
      </c>
      <c r="C1428" s="456" t="n">
        <v>45629</v>
      </c>
      <c r="D1428" s="456"/>
      <c r="E1428" s="57" t="n">
        <v>14332</v>
      </c>
      <c r="F1428" s="323" t="s">
        <v>175</v>
      </c>
      <c r="G1428" s="323" t="s">
        <v>17</v>
      </c>
      <c r="H1428" s="98" t="n">
        <v>750</v>
      </c>
      <c r="I1428" s="457" t="n">
        <v>22.5</v>
      </c>
      <c r="J1428" s="313" t="s">
        <v>1651</v>
      </c>
      <c r="K1428" s="458" t="n">
        <f aca="false">I1428*H1428</f>
        <v>16875</v>
      </c>
      <c r="L1428" s="411" t="n">
        <v>8650</v>
      </c>
      <c r="M1428" s="459" t="n">
        <f aca="false">L1428/K1428</f>
        <v>0.512592592592593</v>
      </c>
      <c r="N1428" s="460" t="n">
        <f aca="false">I1428*M1428</f>
        <v>11.5333333333333</v>
      </c>
      <c r="O1428" s="461" t="n">
        <v>750</v>
      </c>
      <c r="P1428" s="462" t="n">
        <f aca="false">H1428-O1428</f>
        <v>0</v>
      </c>
      <c r="Q1428" s="463" t="n">
        <f aca="false">O1428*I1428</f>
        <v>16875</v>
      </c>
      <c r="R1428" s="48" t="n">
        <f aca="false">K1428-Q1428</f>
        <v>0</v>
      </c>
      <c r="S1428" s="467"/>
      <c r="T1428" s="2" t="s">
        <v>1711</v>
      </c>
      <c r="V1428" s="464"/>
      <c r="W1428" s="464"/>
      <c r="X1428" s="464"/>
      <c r="Y1428" s="464"/>
      <c r="Z1428" s="464"/>
      <c r="AA1428" s="464"/>
      <c r="AB1428" s="464"/>
      <c r="AC1428" s="464"/>
      <c r="AD1428" s="464"/>
      <c r="AE1428" s="464"/>
      <c r="AF1428" s="464"/>
      <c r="AG1428" s="464"/>
      <c r="AH1428" s="465"/>
      <c r="AI1428" s="464"/>
    </row>
    <row r="1429" customFormat="false" ht="15" hidden="false" customHeight="true" outlineLevel="0" collapsed="false">
      <c r="A1429" s="455" t="s">
        <v>1965</v>
      </c>
      <c r="C1429" s="456" t="n">
        <v>45629</v>
      </c>
      <c r="D1429" s="456"/>
      <c r="E1429" s="57" t="n">
        <v>14333</v>
      </c>
      <c r="F1429" s="323" t="s">
        <v>175</v>
      </c>
      <c r="G1429" s="323" t="s">
        <v>7</v>
      </c>
      <c r="H1429" s="98" t="n">
        <v>450</v>
      </c>
      <c r="I1429" s="457" t="n">
        <v>25.71</v>
      </c>
      <c r="J1429" s="313" t="s">
        <v>1651</v>
      </c>
      <c r="K1429" s="458" t="n">
        <f aca="false">I1429*H1429</f>
        <v>11569.5</v>
      </c>
      <c r="L1429" s="411" t="n">
        <v>7425</v>
      </c>
      <c r="M1429" s="459" t="n">
        <f aca="false">L1429/K1429</f>
        <v>0.641773628938156</v>
      </c>
      <c r="N1429" s="460" t="n">
        <f aca="false">I1429*M1429</f>
        <v>16.5</v>
      </c>
      <c r="O1429" s="461" t="n">
        <v>450</v>
      </c>
      <c r="P1429" s="462" t="n">
        <f aca="false">H1429-O1429</f>
        <v>0</v>
      </c>
      <c r="Q1429" s="463" t="n">
        <f aca="false">O1429*I1429</f>
        <v>11569.5</v>
      </c>
      <c r="R1429" s="48" t="n">
        <f aca="false">K1429-Q1429</f>
        <v>0</v>
      </c>
      <c r="S1429" s="467"/>
      <c r="T1429" s="2" t="s">
        <v>1711</v>
      </c>
      <c r="V1429" s="464"/>
      <c r="W1429" s="464"/>
      <c r="X1429" s="464"/>
      <c r="Y1429" s="464"/>
      <c r="Z1429" s="464"/>
      <c r="AA1429" s="464"/>
      <c r="AB1429" s="464"/>
      <c r="AC1429" s="464"/>
      <c r="AD1429" s="464"/>
      <c r="AE1429" s="464"/>
      <c r="AF1429" s="464"/>
      <c r="AG1429" s="464"/>
      <c r="AH1429" s="465"/>
      <c r="AI1429" s="464"/>
    </row>
    <row r="1430" customFormat="false" ht="15" hidden="false" customHeight="true" outlineLevel="0" collapsed="false">
      <c r="A1430" s="455" t="s">
        <v>1965</v>
      </c>
      <c r="C1430" s="456" t="n">
        <v>45629</v>
      </c>
      <c r="D1430" s="456"/>
      <c r="E1430" s="57" t="n">
        <v>14333</v>
      </c>
      <c r="F1430" s="323" t="s">
        <v>175</v>
      </c>
      <c r="G1430" s="323" t="s">
        <v>5</v>
      </c>
      <c r="H1430" s="98" t="n">
        <v>675</v>
      </c>
      <c r="I1430" s="457" t="n">
        <v>25.71</v>
      </c>
      <c r="J1430" s="313" t="s">
        <v>1651</v>
      </c>
      <c r="K1430" s="458" t="n">
        <f aca="false">I1430*H1430</f>
        <v>17354.25</v>
      </c>
      <c r="L1430" s="411" t="n">
        <v>9112.5</v>
      </c>
      <c r="M1430" s="459" t="n">
        <f aca="false">L1430/K1430</f>
        <v>0.525087514585764</v>
      </c>
      <c r="N1430" s="460" t="n">
        <f aca="false">I1430*M1430</f>
        <v>13.5</v>
      </c>
      <c r="O1430" s="461" t="n">
        <v>675</v>
      </c>
      <c r="P1430" s="462" t="n">
        <f aca="false">H1430-O1430</f>
        <v>0</v>
      </c>
      <c r="Q1430" s="463" t="n">
        <f aca="false">O1430*I1430</f>
        <v>17354.25</v>
      </c>
      <c r="R1430" s="48" t="n">
        <f aca="false">K1430-Q1430</f>
        <v>0</v>
      </c>
      <c r="S1430" s="467"/>
      <c r="T1430" s="2" t="s">
        <v>1711</v>
      </c>
      <c r="V1430" s="464"/>
      <c r="W1430" s="464"/>
      <c r="X1430" s="464"/>
      <c r="Y1430" s="464"/>
      <c r="Z1430" s="464"/>
      <c r="AA1430" s="464"/>
      <c r="AB1430" s="464"/>
      <c r="AC1430" s="464"/>
      <c r="AD1430" s="464"/>
      <c r="AE1430" s="464"/>
      <c r="AF1430" s="464"/>
      <c r="AG1430" s="464"/>
      <c r="AH1430" s="465"/>
      <c r="AI1430" s="464"/>
    </row>
    <row r="1431" customFormat="false" ht="15" hidden="false" customHeight="true" outlineLevel="0" collapsed="false">
      <c r="A1431" s="455" t="s">
        <v>1965</v>
      </c>
      <c r="C1431" s="456" t="n">
        <v>45629</v>
      </c>
      <c r="D1431" s="456"/>
      <c r="E1431" s="57" t="n">
        <v>14333</v>
      </c>
      <c r="F1431" s="323" t="s">
        <v>175</v>
      </c>
      <c r="G1431" s="323" t="s">
        <v>42</v>
      </c>
      <c r="H1431" s="98" t="n">
        <v>975</v>
      </c>
      <c r="I1431" s="457" t="n">
        <v>30</v>
      </c>
      <c r="J1431" s="313" t="s">
        <v>1651</v>
      </c>
      <c r="K1431" s="458" t="n">
        <f aca="false">I1431*H1431</f>
        <v>29250</v>
      </c>
      <c r="L1431" s="411" t="n">
        <v>13162.5</v>
      </c>
      <c r="M1431" s="459" t="n">
        <f aca="false">L1431/K1431</f>
        <v>0.45</v>
      </c>
      <c r="N1431" s="460" t="n">
        <f aca="false">I1431*M1431</f>
        <v>13.5</v>
      </c>
      <c r="O1431" s="461" t="n">
        <v>975</v>
      </c>
      <c r="P1431" s="462" t="n">
        <f aca="false">H1431-O1431</f>
        <v>0</v>
      </c>
      <c r="Q1431" s="463" t="n">
        <f aca="false">O1431*I1431</f>
        <v>29250</v>
      </c>
      <c r="R1431" s="48" t="n">
        <f aca="false">K1431-Q1431</f>
        <v>0</v>
      </c>
      <c r="S1431" s="467"/>
      <c r="T1431" s="2" t="s">
        <v>1711</v>
      </c>
      <c r="V1431" s="464"/>
      <c r="W1431" s="464"/>
      <c r="X1431" s="464"/>
      <c r="Y1431" s="464"/>
      <c r="Z1431" s="464"/>
      <c r="AA1431" s="464"/>
      <c r="AB1431" s="464"/>
      <c r="AC1431" s="464"/>
      <c r="AD1431" s="464"/>
      <c r="AE1431" s="464"/>
      <c r="AF1431" s="464"/>
      <c r="AG1431" s="464"/>
      <c r="AH1431" s="465"/>
      <c r="AI1431" s="464"/>
    </row>
    <row r="1432" customFormat="false" ht="15" hidden="false" customHeight="true" outlineLevel="0" collapsed="false">
      <c r="A1432" s="455" t="s">
        <v>1998</v>
      </c>
      <c r="C1432" s="456" t="n">
        <v>45629</v>
      </c>
      <c r="D1432" s="456"/>
      <c r="E1432" s="57" t="n">
        <v>14334</v>
      </c>
      <c r="F1432" s="323" t="s">
        <v>175</v>
      </c>
      <c r="G1432" s="323" t="s">
        <v>5</v>
      </c>
      <c r="H1432" s="98" t="n">
        <v>225</v>
      </c>
      <c r="I1432" s="457" t="n">
        <v>25.71</v>
      </c>
      <c r="J1432" s="313" t="s">
        <v>1651</v>
      </c>
      <c r="K1432" s="458" t="n">
        <f aca="false">I1432*H1432</f>
        <v>5784.75</v>
      </c>
      <c r="L1432" s="411" t="n">
        <v>2902.5</v>
      </c>
      <c r="M1432" s="459" t="n">
        <f aca="false">L1432/K1432</f>
        <v>0.501750291715286</v>
      </c>
      <c r="N1432" s="460" t="n">
        <f aca="false">I1432*M1432</f>
        <v>12.9</v>
      </c>
      <c r="O1432" s="461" t="n">
        <v>225</v>
      </c>
      <c r="P1432" s="462" t="n">
        <f aca="false">H1432-O1432</f>
        <v>0</v>
      </c>
      <c r="Q1432" s="463" t="n">
        <f aca="false">O1432*I1432</f>
        <v>5784.75</v>
      </c>
      <c r="R1432" s="48" t="n">
        <f aca="false">K1432-Q1432</f>
        <v>0</v>
      </c>
      <c r="S1432" s="467"/>
      <c r="T1432" s="2" t="s">
        <v>1711</v>
      </c>
      <c r="V1432" s="464"/>
      <c r="W1432" s="464"/>
      <c r="X1432" s="464"/>
      <c r="Y1432" s="464"/>
      <c r="Z1432" s="464"/>
      <c r="AA1432" s="464"/>
      <c r="AB1432" s="464"/>
      <c r="AC1432" s="464"/>
      <c r="AD1432" s="464"/>
      <c r="AE1432" s="464"/>
      <c r="AF1432" s="464"/>
      <c r="AG1432" s="464"/>
      <c r="AH1432" s="465"/>
      <c r="AI1432" s="464"/>
    </row>
    <row r="1433" customFormat="false" ht="15" hidden="false" customHeight="true" outlineLevel="0" collapsed="false">
      <c r="A1433" s="455" t="s">
        <v>1998</v>
      </c>
      <c r="C1433" s="456" t="n">
        <v>45629</v>
      </c>
      <c r="D1433" s="456"/>
      <c r="E1433" s="57" t="n">
        <v>14334</v>
      </c>
      <c r="F1433" s="323" t="s">
        <v>175</v>
      </c>
      <c r="G1433" s="323" t="s">
        <v>19</v>
      </c>
      <c r="H1433" s="98" t="n">
        <v>840</v>
      </c>
      <c r="I1433" s="457" t="n">
        <v>22.5</v>
      </c>
      <c r="J1433" s="313" t="s">
        <v>1651</v>
      </c>
      <c r="K1433" s="458" t="n">
        <f aca="false">I1433*H1433</f>
        <v>18900</v>
      </c>
      <c r="L1433" s="411" t="n">
        <v>16380</v>
      </c>
      <c r="M1433" s="459" t="n">
        <f aca="false">L1433/K1433</f>
        <v>0.866666666666667</v>
      </c>
      <c r="N1433" s="460" t="n">
        <f aca="false">I1433*M1433</f>
        <v>19.5</v>
      </c>
      <c r="O1433" s="461" t="n">
        <v>840</v>
      </c>
      <c r="P1433" s="462" t="n">
        <f aca="false">H1433-O1433</f>
        <v>0</v>
      </c>
      <c r="Q1433" s="463" t="n">
        <f aca="false">O1433*I1433</f>
        <v>18900</v>
      </c>
      <c r="R1433" s="48" t="n">
        <f aca="false">K1433-Q1433</f>
        <v>0</v>
      </c>
      <c r="S1433" s="467"/>
      <c r="T1433" s="2" t="s">
        <v>1711</v>
      </c>
      <c r="V1433" s="464"/>
      <c r="W1433" s="464"/>
      <c r="X1433" s="464"/>
      <c r="Y1433" s="464"/>
      <c r="Z1433" s="464"/>
      <c r="AA1433" s="464"/>
      <c r="AB1433" s="464"/>
      <c r="AC1433" s="464"/>
      <c r="AD1433" s="464"/>
      <c r="AE1433" s="464"/>
      <c r="AF1433" s="464"/>
      <c r="AG1433" s="464"/>
      <c r="AH1433" s="465"/>
      <c r="AI1433" s="464"/>
    </row>
    <row r="1434" customFormat="false" ht="15" hidden="false" customHeight="true" outlineLevel="0" collapsed="false">
      <c r="A1434" s="455" t="s">
        <v>1824</v>
      </c>
      <c r="C1434" s="456" t="n">
        <v>45629</v>
      </c>
      <c r="D1434" s="456"/>
      <c r="E1434" s="323" t="n">
        <v>14335</v>
      </c>
      <c r="F1434" s="57" t="s">
        <v>175</v>
      </c>
      <c r="G1434" s="323" t="s">
        <v>15</v>
      </c>
      <c r="H1434" s="98" t="n">
        <v>600</v>
      </c>
      <c r="I1434" s="457" t="n">
        <v>22.5</v>
      </c>
      <c r="J1434" s="313" t="s">
        <v>1651</v>
      </c>
      <c r="K1434" s="458" t="n">
        <f aca="false">I1434*H1434</f>
        <v>13500</v>
      </c>
      <c r="L1434" s="411" t="n">
        <v>10200</v>
      </c>
      <c r="M1434" s="459" t="n">
        <f aca="false">L1434/K1434</f>
        <v>0.755555555555556</v>
      </c>
      <c r="N1434" s="460" t="n">
        <f aca="false">I1434*M1434</f>
        <v>17</v>
      </c>
      <c r="O1434" s="461" t="n">
        <v>600</v>
      </c>
      <c r="P1434" s="462" t="n">
        <f aca="false">H1434-O1434</f>
        <v>0</v>
      </c>
      <c r="Q1434" s="463" t="n">
        <f aca="false">O1434*I1434</f>
        <v>13500</v>
      </c>
      <c r="R1434" s="48" t="n">
        <f aca="false">K1434-Q1434</f>
        <v>0</v>
      </c>
      <c r="S1434" s="467"/>
      <c r="T1434" s="2" t="s">
        <v>1711</v>
      </c>
      <c r="V1434" s="464"/>
      <c r="W1434" s="464"/>
      <c r="X1434" s="464"/>
      <c r="Y1434" s="464"/>
      <c r="Z1434" s="464"/>
      <c r="AA1434" s="464"/>
      <c r="AB1434" s="464"/>
      <c r="AC1434" s="464"/>
      <c r="AD1434" s="464"/>
      <c r="AE1434" s="464"/>
      <c r="AF1434" s="464"/>
      <c r="AG1434" s="464"/>
      <c r="AH1434" s="465"/>
      <c r="AI1434" s="464"/>
    </row>
    <row r="1435" customFormat="false" ht="15" hidden="false" customHeight="true" outlineLevel="0" collapsed="false">
      <c r="A1435" s="455" t="s">
        <v>1824</v>
      </c>
      <c r="C1435" s="456" t="n">
        <v>45629</v>
      </c>
      <c r="D1435" s="456"/>
      <c r="E1435" s="323" t="n">
        <v>14335</v>
      </c>
      <c r="F1435" s="57" t="s">
        <v>175</v>
      </c>
      <c r="G1435" s="323" t="s">
        <v>6</v>
      </c>
      <c r="H1435" s="98" t="n">
        <v>600</v>
      </c>
      <c r="I1435" s="457" t="n">
        <v>30</v>
      </c>
      <c r="J1435" s="313" t="s">
        <v>1651</v>
      </c>
      <c r="K1435" s="458" t="n">
        <f aca="false">I1435*H1435</f>
        <v>18000</v>
      </c>
      <c r="L1435" s="411" t="n">
        <v>7680</v>
      </c>
      <c r="M1435" s="459" t="n">
        <f aca="false">L1435/K1435</f>
        <v>0.426666666666667</v>
      </c>
      <c r="N1435" s="460" t="n">
        <f aca="false">I1435*M1435</f>
        <v>12.8</v>
      </c>
      <c r="O1435" s="461" t="n">
        <v>600</v>
      </c>
      <c r="P1435" s="462" t="n">
        <f aca="false">H1435-O1435</f>
        <v>0</v>
      </c>
      <c r="Q1435" s="463" t="n">
        <f aca="false">O1435*I1435</f>
        <v>18000</v>
      </c>
      <c r="R1435" s="48" t="n">
        <f aca="false">K1435-Q1435</f>
        <v>0</v>
      </c>
      <c r="S1435" s="467"/>
      <c r="T1435" s="2" t="s">
        <v>1711</v>
      </c>
      <c r="V1435" s="464"/>
      <c r="W1435" s="464"/>
      <c r="X1435" s="464"/>
      <c r="Y1435" s="464"/>
      <c r="Z1435" s="464"/>
      <c r="AA1435" s="464"/>
      <c r="AB1435" s="464"/>
      <c r="AC1435" s="464"/>
      <c r="AD1435" s="464"/>
      <c r="AE1435" s="464"/>
      <c r="AF1435" s="464"/>
      <c r="AG1435" s="464"/>
      <c r="AH1435" s="465"/>
      <c r="AI1435" s="464"/>
    </row>
    <row r="1436" customFormat="false" ht="15" hidden="false" customHeight="true" outlineLevel="0" collapsed="false">
      <c r="A1436" s="455" t="s">
        <v>1999</v>
      </c>
      <c r="C1436" s="456" t="n">
        <v>45630</v>
      </c>
      <c r="D1436" s="456"/>
      <c r="E1436" s="323" t="n">
        <v>14336</v>
      </c>
      <c r="F1436" s="323" t="s">
        <v>175</v>
      </c>
      <c r="G1436" s="323" t="s">
        <v>10</v>
      </c>
      <c r="H1436" s="98" t="n">
        <v>1965</v>
      </c>
      <c r="I1436" s="457" t="n">
        <v>38.3</v>
      </c>
      <c r="J1436" s="313" t="s">
        <v>1652</v>
      </c>
      <c r="K1436" s="458" t="n">
        <f aca="false">I1436*H1436</f>
        <v>75259.5</v>
      </c>
      <c r="L1436" s="411" t="n">
        <v>21615</v>
      </c>
      <c r="M1436" s="459" t="n">
        <f aca="false">L1436/K1436</f>
        <v>0.287206266318538</v>
      </c>
      <c r="N1436" s="460" t="n">
        <f aca="false">I1436*M1436</f>
        <v>11</v>
      </c>
      <c r="O1436" s="461" t="n">
        <v>1965</v>
      </c>
      <c r="P1436" s="462" t="n">
        <f aca="false">H1436-O1436</f>
        <v>0</v>
      </c>
      <c r="Q1436" s="463" t="n">
        <f aca="false">O1436*I1436</f>
        <v>75259.5</v>
      </c>
      <c r="R1436" s="48" t="n">
        <f aca="false">K1436-Q1436</f>
        <v>0</v>
      </c>
      <c r="S1436" s="467"/>
      <c r="T1436" s="2" t="s">
        <v>1711</v>
      </c>
      <c r="V1436" s="464"/>
      <c r="W1436" s="464"/>
      <c r="X1436" s="464"/>
      <c r="Y1436" s="464"/>
      <c r="Z1436" s="464"/>
      <c r="AA1436" s="464"/>
      <c r="AB1436" s="464"/>
      <c r="AC1436" s="464"/>
      <c r="AD1436" s="464"/>
      <c r="AE1436" s="464"/>
      <c r="AF1436" s="464"/>
      <c r="AG1436" s="464"/>
      <c r="AH1436" s="465"/>
      <c r="AI1436" s="464"/>
    </row>
    <row r="1437" customFormat="false" ht="15" hidden="false" customHeight="true" outlineLevel="0" collapsed="false">
      <c r="A1437" s="455" t="s">
        <v>1800</v>
      </c>
      <c r="C1437" s="456" t="n">
        <v>45630</v>
      </c>
      <c r="D1437" s="456"/>
      <c r="E1437" s="57" t="n">
        <v>14338</v>
      </c>
      <c r="F1437" s="323" t="s">
        <v>175</v>
      </c>
      <c r="G1437" s="323" t="s">
        <v>18</v>
      </c>
      <c r="H1437" s="98" t="n">
        <v>300</v>
      </c>
      <c r="I1437" s="457" t="n">
        <v>90</v>
      </c>
      <c r="J1437" s="313" t="s">
        <v>1653</v>
      </c>
      <c r="K1437" s="458" t="n">
        <f aca="false">I1437*H1437</f>
        <v>27000</v>
      </c>
      <c r="L1437" s="411" t="n">
        <v>19500</v>
      </c>
      <c r="M1437" s="459" t="n">
        <f aca="false">L1437/K1437</f>
        <v>0.722222222222222</v>
      </c>
      <c r="N1437" s="460" t="n">
        <f aca="false">I1437*M1437</f>
        <v>65</v>
      </c>
      <c r="O1437" s="461" t="n">
        <v>300</v>
      </c>
      <c r="P1437" s="462" t="n">
        <f aca="false">H1437-O1437</f>
        <v>0</v>
      </c>
      <c r="Q1437" s="463" t="n">
        <f aca="false">O1437*I1437</f>
        <v>27000</v>
      </c>
      <c r="R1437" s="48" t="n">
        <f aca="false">K1437-Q1437</f>
        <v>0</v>
      </c>
      <c r="S1437" s="467"/>
      <c r="T1437" s="2" t="s">
        <v>1711</v>
      </c>
      <c r="V1437" s="464"/>
      <c r="W1437" s="464"/>
      <c r="X1437" s="464"/>
      <c r="Y1437" s="464"/>
      <c r="Z1437" s="464"/>
      <c r="AA1437" s="464"/>
      <c r="AB1437" s="464"/>
      <c r="AC1437" s="464"/>
      <c r="AD1437" s="464"/>
      <c r="AE1437" s="464"/>
      <c r="AF1437" s="464"/>
      <c r="AG1437" s="464"/>
      <c r="AH1437" s="465"/>
      <c r="AI1437" s="464"/>
    </row>
    <row r="1438" customFormat="false" ht="15" hidden="false" customHeight="true" outlineLevel="0" collapsed="false">
      <c r="A1438" s="455" t="s">
        <v>1796</v>
      </c>
      <c r="C1438" s="456" t="n">
        <v>45630</v>
      </c>
      <c r="D1438" s="456"/>
      <c r="E1438" s="57" t="n">
        <v>14339</v>
      </c>
      <c r="F1438" s="323" t="s">
        <v>175</v>
      </c>
      <c r="G1438" s="323" t="s">
        <v>5</v>
      </c>
      <c r="H1438" s="98" t="n">
        <v>15</v>
      </c>
      <c r="I1438" s="457" t="n">
        <v>25.71</v>
      </c>
      <c r="J1438" s="313" t="s">
        <v>1651</v>
      </c>
      <c r="K1438" s="458" t="n">
        <f aca="false">I1438*H1438</f>
        <v>385.65</v>
      </c>
      <c r="L1438" s="411" t="n">
        <v>250.05</v>
      </c>
      <c r="M1438" s="459" t="n">
        <f aca="false">L1438/K1438</f>
        <v>0.648385842084792</v>
      </c>
      <c r="N1438" s="460" t="n">
        <f aca="false">I1438*M1438</f>
        <v>16.67</v>
      </c>
      <c r="O1438" s="461"/>
      <c r="P1438" s="468" t="n">
        <f aca="false">H1438-O1438</f>
        <v>15</v>
      </c>
      <c r="Q1438" s="463" t="n">
        <f aca="false">O1438*I1438</f>
        <v>0</v>
      </c>
      <c r="R1438" s="48" t="n">
        <f aca="false">K1438-Q1438</f>
        <v>385.65</v>
      </c>
      <c r="S1438" s="467" t="n">
        <v>45657</v>
      </c>
      <c r="T1438" s="2" t="s">
        <v>1797</v>
      </c>
      <c r="V1438" s="464"/>
      <c r="W1438" s="464"/>
      <c r="X1438" s="464"/>
      <c r="Y1438" s="464"/>
      <c r="Z1438" s="464"/>
      <c r="AA1438" s="464"/>
      <c r="AB1438" s="464"/>
      <c r="AC1438" s="464"/>
      <c r="AD1438" s="464"/>
      <c r="AE1438" s="464"/>
      <c r="AF1438" s="464"/>
      <c r="AG1438" s="464"/>
      <c r="AH1438" s="465"/>
      <c r="AI1438" s="464"/>
    </row>
    <row r="1439" customFormat="false" ht="15" hidden="false" customHeight="true" outlineLevel="0" collapsed="false">
      <c r="A1439" s="455" t="s">
        <v>2000</v>
      </c>
      <c r="C1439" s="456" t="n">
        <v>45631</v>
      </c>
      <c r="D1439" s="456"/>
      <c r="E1439" s="57" t="n">
        <v>14340</v>
      </c>
      <c r="F1439" s="323" t="s">
        <v>175</v>
      </c>
      <c r="G1439" s="323" t="s">
        <v>10</v>
      </c>
      <c r="H1439" s="98" t="n">
        <v>20010</v>
      </c>
      <c r="I1439" s="457" t="n">
        <v>25.71</v>
      </c>
      <c r="J1439" s="313" t="s">
        <v>1651</v>
      </c>
      <c r="K1439" s="458" t="n">
        <f aca="false">I1439*H1439</f>
        <v>514457.1</v>
      </c>
      <c r="L1439" s="411" t="n">
        <v>205102.5</v>
      </c>
      <c r="M1439" s="459" t="n">
        <f aca="false">L1439/K1439</f>
        <v>0.398677557370673</v>
      </c>
      <c r="N1439" s="460" t="n">
        <f aca="false">I1439*M1439</f>
        <v>10.25</v>
      </c>
      <c r="O1439" s="461" t="n">
        <v>20010</v>
      </c>
      <c r="P1439" s="462" t="n">
        <f aca="false">H1439-O1439</f>
        <v>0</v>
      </c>
      <c r="Q1439" s="463" t="n">
        <f aca="false">O1439*I1439</f>
        <v>514457.1</v>
      </c>
      <c r="R1439" s="48" t="n">
        <f aca="false">K1439-Q1439</f>
        <v>0</v>
      </c>
      <c r="S1439" s="467"/>
      <c r="T1439" s="2" t="s">
        <v>1711</v>
      </c>
      <c r="V1439" s="464"/>
      <c r="W1439" s="464"/>
      <c r="X1439" s="464"/>
      <c r="Y1439" s="464"/>
      <c r="Z1439" s="464"/>
      <c r="AA1439" s="464"/>
      <c r="AB1439" s="464"/>
      <c r="AC1439" s="464"/>
      <c r="AD1439" s="464"/>
      <c r="AE1439" s="464"/>
      <c r="AF1439" s="464"/>
      <c r="AG1439" s="464"/>
      <c r="AH1439" s="465"/>
      <c r="AI1439" s="464"/>
    </row>
    <row r="1440" customFormat="false" ht="15" hidden="false" customHeight="true" outlineLevel="0" collapsed="false">
      <c r="A1440" s="455" t="s">
        <v>2001</v>
      </c>
      <c r="C1440" s="456" t="n">
        <v>45631</v>
      </c>
      <c r="D1440" s="456"/>
      <c r="E1440" s="57" t="n">
        <v>14341</v>
      </c>
      <c r="F1440" s="323" t="s">
        <v>175</v>
      </c>
      <c r="G1440" s="323" t="s">
        <v>19</v>
      </c>
      <c r="H1440" s="98" t="n">
        <v>60</v>
      </c>
      <c r="I1440" s="457" t="n">
        <v>22.5</v>
      </c>
      <c r="J1440" s="313" t="s">
        <v>1651</v>
      </c>
      <c r="K1440" s="458" t="n">
        <f aca="false">I1440*H1440</f>
        <v>1350</v>
      </c>
      <c r="L1440" s="411" t="n">
        <v>1500</v>
      </c>
      <c r="M1440" s="459" t="n">
        <f aca="false">L1440/K1440</f>
        <v>1.11111111111111</v>
      </c>
      <c r="N1440" s="460" t="n">
        <f aca="false">I1440*M1440</f>
        <v>25</v>
      </c>
      <c r="O1440" s="461" t="n">
        <v>60</v>
      </c>
      <c r="P1440" s="462" t="n">
        <f aca="false">H1440-O1440</f>
        <v>0</v>
      </c>
      <c r="Q1440" s="463" t="n">
        <f aca="false">O1440*I1440</f>
        <v>1350</v>
      </c>
      <c r="R1440" s="48" t="n">
        <f aca="false">K1440-Q1440</f>
        <v>0</v>
      </c>
      <c r="S1440" s="467"/>
      <c r="T1440" s="2" t="s">
        <v>1711</v>
      </c>
      <c r="V1440" s="464"/>
      <c r="W1440" s="464"/>
      <c r="X1440" s="464"/>
      <c r="Y1440" s="464"/>
      <c r="Z1440" s="464"/>
      <c r="AA1440" s="464"/>
      <c r="AB1440" s="464"/>
      <c r="AC1440" s="464"/>
      <c r="AD1440" s="464"/>
      <c r="AE1440" s="464"/>
      <c r="AF1440" s="464"/>
      <c r="AG1440" s="464"/>
      <c r="AH1440" s="465"/>
      <c r="AI1440" s="464"/>
    </row>
    <row r="1441" customFormat="false" ht="15" hidden="false" customHeight="true" outlineLevel="0" collapsed="false">
      <c r="A1441" s="455" t="s">
        <v>2002</v>
      </c>
      <c r="C1441" s="456" t="n">
        <v>45631</v>
      </c>
      <c r="D1441" s="456"/>
      <c r="E1441" s="57" t="n">
        <v>14342</v>
      </c>
      <c r="F1441" s="323" t="s">
        <v>175</v>
      </c>
      <c r="G1441" s="323" t="s">
        <v>7</v>
      </c>
      <c r="H1441" s="98" t="n">
        <v>1005</v>
      </c>
      <c r="I1441" s="457" t="n">
        <v>25.71</v>
      </c>
      <c r="J1441" s="313" t="s">
        <v>1651</v>
      </c>
      <c r="K1441" s="458" t="n">
        <f aca="false">I1441*H1441</f>
        <v>25838.55</v>
      </c>
      <c r="L1441" s="411" t="n">
        <v>17587.5</v>
      </c>
      <c r="M1441" s="459" t="n">
        <f aca="false">L1441/K1441</f>
        <v>0.680669000388954</v>
      </c>
      <c r="N1441" s="460" t="n">
        <f aca="false">I1441*M1441</f>
        <v>17.5</v>
      </c>
      <c r="O1441" s="461" t="n">
        <v>1005</v>
      </c>
      <c r="P1441" s="462" t="n">
        <f aca="false">H1441-O1441</f>
        <v>0</v>
      </c>
      <c r="Q1441" s="463" t="n">
        <f aca="false">O1441*I1441</f>
        <v>25838.55</v>
      </c>
      <c r="R1441" s="48" t="n">
        <f aca="false">K1441-Q1441</f>
        <v>0</v>
      </c>
      <c r="S1441" s="467"/>
      <c r="T1441" s="2" t="s">
        <v>1711</v>
      </c>
      <c r="V1441" s="464"/>
      <c r="W1441" s="464"/>
      <c r="X1441" s="464"/>
      <c r="Y1441" s="464"/>
      <c r="Z1441" s="464"/>
      <c r="AA1441" s="464"/>
      <c r="AB1441" s="464"/>
      <c r="AC1441" s="464"/>
      <c r="AD1441" s="464"/>
      <c r="AE1441" s="464"/>
      <c r="AF1441" s="464"/>
      <c r="AG1441" s="464"/>
      <c r="AH1441" s="465"/>
      <c r="AI1441" s="464"/>
    </row>
    <row r="1442" customFormat="false" ht="15" hidden="false" customHeight="true" outlineLevel="0" collapsed="false">
      <c r="A1442" s="455" t="s">
        <v>1759</v>
      </c>
      <c r="C1442" s="456" t="n">
        <v>45632</v>
      </c>
      <c r="D1442" s="456"/>
      <c r="E1442" s="57" t="n">
        <v>14348</v>
      </c>
      <c r="F1442" s="323" t="s">
        <v>175</v>
      </c>
      <c r="G1442" s="323" t="s">
        <v>5</v>
      </c>
      <c r="H1442" s="98" t="n">
        <v>20000</v>
      </c>
      <c r="I1442" s="457" t="n">
        <v>25.71</v>
      </c>
      <c r="J1442" s="313" t="s">
        <v>1651</v>
      </c>
      <c r="K1442" s="458" t="n">
        <f aca="false">I1442*H1442</f>
        <v>514200</v>
      </c>
      <c r="L1442" s="411" t="n">
        <v>202400</v>
      </c>
      <c r="M1442" s="459" t="n">
        <f aca="false">L1442/K1442</f>
        <v>0.393621159082069</v>
      </c>
      <c r="N1442" s="460" t="n">
        <f aca="false">I1442*M1442</f>
        <v>10.12</v>
      </c>
      <c r="O1442" s="461" t="n">
        <v>20000</v>
      </c>
      <c r="P1442" s="462" t="n">
        <f aca="false">H1442-O1442</f>
        <v>0</v>
      </c>
      <c r="Q1442" s="463" t="n">
        <f aca="false">O1442*I1442</f>
        <v>514200</v>
      </c>
      <c r="R1442" s="48" t="n">
        <f aca="false">K1442-Q1442</f>
        <v>0</v>
      </c>
      <c r="S1442" s="467"/>
      <c r="T1442" s="2" t="s">
        <v>1711</v>
      </c>
      <c r="V1442" s="464"/>
      <c r="W1442" s="464"/>
      <c r="X1442" s="464"/>
      <c r="Y1442" s="464"/>
      <c r="Z1442" s="464"/>
      <c r="AA1442" s="464"/>
      <c r="AB1442" s="464"/>
      <c r="AC1442" s="464"/>
      <c r="AD1442" s="464"/>
      <c r="AE1442" s="464"/>
      <c r="AF1442" s="464"/>
      <c r="AG1442" s="464"/>
      <c r="AH1442" s="465"/>
      <c r="AI1442" s="464"/>
    </row>
    <row r="1443" customFormat="false" ht="15" hidden="false" customHeight="true" outlineLevel="0" collapsed="false">
      <c r="A1443" s="455" t="s">
        <v>2003</v>
      </c>
      <c r="C1443" s="456" t="n">
        <v>45632</v>
      </c>
      <c r="D1443" s="456"/>
      <c r="E1443" s="57" t="n">
        <v>14349</v>
      </c>
      <c r="F1443" s="323" t="s">
        <v>175</v>
      </c>
      <c r="G1443" s="323" t="s">
        <v>10</v>
      </c>
      <c r="H1443" s="98" t="n">
        <v>68940</v>
      </c>
      <c r="I1443" s="457" t="n">
        <v>90</v>
      </c>
      <c r="J1443" s="313" t="s">
        <v>1653</v>
      </c>
      <c r="K1443" s="458" t="n">
        <f aca="false">I1443*H1443</f>
        <v>6204600</v>
      </c>
      <c r="L1443" s="411" t="n">
        <v>896220</v>
      </c>
      <c r="M1443" s="459" t="n">
        <f aca="false">L1443/K1443</f>
        <v>0.144444444444444</v>
      </c>
      <c r="N1443" s="460" t="n">
        <f aca="false">I1443*M1443</f>
        <v>13</v>
      </c>
      <c r="O1443" s="461" t="n">
        <v>3240</v>
      </c>
      <c r="P1443" s="468" t="n">
        <f aca="false">H1443-O1443</f>
        <v>65700</v>
      </c>
      <c r="Q1443" s="463" t="n">
        <f aca="false">O1443*I1443</f>
        <v>291600</v>
      </c>
      <c r="R1443" s="48" t="n">
        <f aca="false">K1443-Q1443</f>
        <v>5913000</v>
      </c>
      <c r="S1443" s="467" t="n">
        <v>45646</v>
      </c>
      <c r="T1443" s="2" t="s">
        <v>1711</v>
      </c>
      <c r="V1443" s="464"/>
      <c r="W1443" s="464"/>
      <c r="X1443" s="464"/>
      <c r="Y1443" s="464"/>
      <c r="Z1443" s="464"/>
      <c r="AA1443" s="464"/>
      <c r="AB1443" s="464"/>
      <c r="AC1443" s="464"/>
      <c r="AD1443" s="464"/>
      <c r="AE1443" s="464"/>
      <c r="AF1443" s="464"/>
      <c r="AG1443" s="464"/>
      <c r="AH1443" s="465"/>
      <c r="AI1443" s="464"/>
    </row>
    <row r="1444" customFormat="false" ht="15" hidden="false" customHeight="true" outlineLevel="0" collapsed="false">
      <c r="A1444" s="455" t="s">
        <v>2003</v>
      </c>
      <c r="C1444" s="456" t="n">
        <v>45632</v>
      </c>
      <c r="D1444" s="456"/>
      <c r="E1444" s="57" t="n">
        <v>14349</v>
      </c>
      <c r="F1444" s="323" t="s">
        <v>175</v>
      </c>
      <c r="G1444" s="323" t="s">
        <v>10</v>
      </c>
      <c r="H1444" s="98" t="n">
        <v>28500</v>
      </c>
      <c r="I1444" s="457" t="n">
        <v>38.3</v>
      </c>
      <c r="J1444" s="313" t="s">
        <v>1652</v>
      </c>
      <c r="K1444" s="458" t="n">
        <f aca="false">I1444*H1444</f>
        <v>1091550</v>
      </c>
      <c r="L1444" s="411" t="n">
        <v>270750</v>
      </c>
      <c r="M1444" s="459" t="n">
        <f aca="false">L1444/K1444</f>
        <v>0.248041775456919</v>
      </c>
      <c r="N1444" s="460" t="n">
        <f aca="false">I1444*M1444</f>
        <v>9.5</v>
      </c>
      <c r="O1444" s="461" t="n">
        <v>9120</v>
      </c>
      <c r="P1444" s="468" t="n">
        <f aca="false">H1444-O1444</f>
        <v>19380</v>
      </c>
      <c r="Q1444" s="463" t="n">
        <f aca="false">O1444*I1444</f>
        <v>349296</v>
      </c>
      <c r="R1444" s="48" t="n">
        <f aca="false">K1444-Q1444</f>
        <v>742254</v>
      </c>
      <c r="S1444" s="467" t="n">
        <v>45646</v>
      </c>
      <c r="T1444" s="2" t="s">
        <v>1711</v>
      </c>
      <c r="V1444" s="464"/>
      <c r="W1444" s="464"/>
      <c r="X1444" s="464"/>
      <c r="Y1444" s="464"/>
      <c r="Z1444" s="464"/>
      <c r="AA1444" s="464"/>
      <c r="AB1444" s="464"/>
      <c r="AC1444" s="464"/>
      <c r="AD1444" s="464"/>
      <c r="AE1444" s="464"/>
      <c r="AF1444" s="464"/>
      <c r="AG1444" s="464"/>
      <c r="AH1444" s="465"/>
      <c r="AI1444" s="464"/>
    </row>
    <row r="1445" customFormat="false" ht="15" hidden="false" customHeight="true" outlineLevel="0" collapsed="false">
      <c r="A1445" s="455" t="s">
        <v>1975</v>
      </c>
      <c r="C1445" s="456" t="n">
        <v>45632</v>
      </c>
      <c r="D1445" s="456"/>
      <c r="E1445" s="57" t="n">
        <v>14350</v>
      </c>
      <c r="F1445" s="323" t="s">
        <v>175</v>
      </c>
      <c r="G1445" s="323" t="s">
        <v>15</v>
      </c>
      <c r="H1445" s="98" t="n">
        <v>30</v>
      </c>
      <c r="I1445" s="457" t="n">
        <v>90</v>
      </c>
      <c r="J1445" s="313" t="s">
        <v>1653</v>
      </c>
      <c r="K1445" s="458" t="n">
        <f aca="false">I1445*H1445</f>
        <v>2700</v>
      </c>
      <c r="L1445" s="411" t="n">
        <v>1200</v>
      </c>
      <c r="M1445" s="459" t="n">
        <f aca="false">L1445/K1445</f>
        <v>0.444444444444444</v>
      </c>
      <c r="N1445" s="460" t="n">
        <f aca="false">I1445*M1445</f>
        <v>40</v>
      </c>
      <c r="O1445" s="461" t="n">
        <v>30</v>
      </c>
      <c r="P1445" s="462" t="n">
        <f aca="false">H1445-O1445</f>
        <v>0</v>
      </c>
      <c r="Q1445" s="463" t="n">
        <f aca="false">O1445*I1445</f>
        <v>2700</v>
      </c>
      <c r="R1445" s="48" t="n">
        <f aca="false">K1445-Q1445</f>
        <v>0</v>
      </c>
      <c r="S1445" s="467"/>
      <c r="T1445" s="2" t="s">
        <v>1711</v>
      </c>
      <c r="V1445" s="464"/>
      <c r="W1445" s="464"/>
      <c r="X1445" s="464"/>
      <c r="Y1445" s="464"/>
      <c r="Z1445" s="464"/>
      <c r="AA1445" s="464"/>
      <c r="AB1445" s="464"/>
      <c r="AC1445" s="464"/>
      <c r="AD1445" s="464"/>
      <c r="AE1445" s="464"/>
      <c r="AF1445" s="464"/>
      <c r="AG1445" s="464"/>
      <c r="AH1445" s="465"/>
      <c r="AI1445" s="464"/>
    </row>
    <row r="1446" customFormat="false" ht="15" hidden="false" customHeight="true" outlineLevel="0" collapsed="false">
      <c r="A1446" s="455" t="s">
        <v>1755</v>
      </c>
      <c r="C1446" s="456" t="n">
        <v>45632</v>
      </c>
      <c r="D1446" s="456"/>
      <c r="E1446" s="57" t="n">
        <v>14351</v>
      </c>
      <c r="F1446" s="323" t="s">
        <v>175</v>
      </c>
      <c r="G1446" s="323" t="s">
        <v>10</v>
      </c>
      <c r="H1446" s="98" t="n">
        <v>15000</v>
      </c>
      <c r="I1446" s="457" t="n">
        <v>38.3</v>
      </c>
      <c r="J1446" s="313" t="s">
        <v>1652</v>
      </c>
      <c r="K1446" s="458" t="n">
        <f aca="false">I1446*H1446</f>
        <v>574500</v>
      </c>
      <c r="L1446" s="411" t="n">
        <v>162150</v>
      </c>
      <c r="M1446" s="459" t="n">
        <f aca="false">L1446/K1446</f>
        <v>0.282245430809399</v>
      </c>
      <c r="N1446" s="460" t="n">
        <f aca="false">I1446*M1446</f>
        <v>10.81</v>
      </c>
      <c r="O1446" s="461" t="n">
        <v>15000</v>
      </c>
      <c r="P1446" s="462" t="n">
        <f aca="false">H1446-O1446</f>
        <v>0</v>
      </c>
      <c r="Q1446" s="463" t="n">
        <f aca="false">O1446*I1446</f>
        <v>574500</v>
      </c>
      <c r="R1446" s="48" t="n">
        <f aca="false">K1446-Q1446</f>
        <v>0</v>
      </c>
      <c r="S1446" s="467"/>
      <c r="T1446" s="2" t="s">
        <v>1711</v>
      </c>
      <c r="V1446" s="464"/>
      <c r="W1446" s="464"/>
      <c r="X1446" s="464"/>
      <c r="Y1446" s="464"/>
      <c r="Z1446" s="464"/>
      <c r="AA1446" s="464"/>
      <c r="AB1446" s="464"/>
      <c r="AC1446" s="464"/>
      <c r="AD1446" s="464"/>
      <c r="AE1446" s="464"/>
      <c r="AF1446" s="464"/>
      <c r="AG1446" s="464"/>
      <c r="AH1446" s="465"/>
      <c r="AI1446" s="464"/>
    </row>
    <row r="1447" customFormat="false" ht="15" hidden="false" customHeight="true" outlineLevel="0" collapsed="false">
      <c r="A1447" s="455" t="s">
        <v>1755</v>
      </c>
      <c r="C1447" s="456" t="n">
        <v>45632</v>
      </c>
      <c r="D1447" s="456"/>
      <c r="E1447" s="57" t="n">
        <v>14351</v>
      </c>
      <c r="F1447" s="323" t="s">
        <v>175</v>
      </c>
      <c r="G1447" s="323" t="s">
        <v>10</v>
      </c>
      <c r="H1447" s="98" t="n">
        <v>26970</v>
      </c>
      <c r="I1447" s="457" t="n">
        <v>90</v>
      </c>
      <c r="J1447" s="313" t="s">
        <v>1653</v>
      </c>
      <c r="K1447" s="458" t="n">
        <f aca="false">I1447*H1447</f>
        <v>2427300</v>
      </c>
      <c r="L1447" s="411" t="n">
        <v>35610</v>
      </c>
      <c r="M1447" s="459" t="n">
        <f aca="false">L1447/K1447</f>
        <v>0.0146706216784081</v>
      </c>
      <c r="N1447" s="460" t="n">
        <f aca="false">I1447*M1447</f>
        <v>1.32035595105673</v>
      </c>
      <c r="O1447" s="461" t="n">
        <v>26970</v>
      </c>
      <c r="P1447" s="462" t="n">
        <f aca="false">H1447-O1447</f>
        <v>0</v>
      </c>
      <c r="Q1447" s="463" t="n">
        <f aca="false">O1447*I1447</f>
        <v>2427300</v>
      </c>
      <c r="R1447" s="48" t="n">
        <f aca="false">K1447-Q1447</f>
        <v>0</v>
      </c>
      <c r="S1447" s="467"/>
      <c r="T1447" s="2" t="s">
        <v>1711</v>
      </c>
      <c r="V1447" s="464"/>
      <c r="W1447" s="464"/>
      <c r="X1447" s="464"/>
      <c r="Y1447" s="464"/>
      <c r="Z1447" s="464"/>
      <c r="AA1447" s="464"/>
      <c r="AB1447" s="464"/>
      <c r="AC1447" s="464"/>
      <c r="AD1447" s="464"/>
      <c r="AE1447" s="464"/>
      <c r="AF1447" s="464"/>
      <c r="AG1447" s="464"/>
      <c r="AH1447" s="465"/>
      <c r="AI1447" s="464"/>
    </row>
    <row r="1448" customFormat="false" ht="15" hidden="false" customHeight="true" outlineLevel="0" collapsed="false">
      <c r="A1448" s="455" t="s">
        <v>1859</v>
      </c>
      <c r="C1448" s="456" t="n">
        <v>45632</v>
      </c>
      <c r="D1448" s="456"/>
      <c r="E1448" s="57" t="n">
        <v>14352</v>
      </c>
      <c r="F1448" s="323" t="s">
        <v>175</v>
      </c>
      <c r="G1448" s="323" t="s">
        <v>13</v>
      </c>
      <c r="H1448" s="98" t="n">
        <v>165</v>
      </c>
      <c r="I1448" s="457" t="n">
        <v>37.5</v>
      </c>
      <c r="J1448" s="313" t="s">
        <v>1652</v>
      </c>
      <c r="K1448" s="458" t="n">
        <f aca="false">I1448*H1448</f>
        <v>6187.5</v>
      </c>
      <c r="L1448" s="411" t="n">
        <v>3052.5</v>
      </c>
      <c r="M1448" s="459" t="n">
        <f aca="false">L1448/K1448</f>
        <v>0.493333333333333</v>
      </c>
      <c r="N1448" s="460" t="n">
        <f aca="false">I1448*M1448</f>
        <v>18.5</v>
      </c>
      <c r="O1448" s="461" t="n">
        <v>165</v>
      </c>
      <c r="P1448" s="462" t="n">
        <f aca="false">H1448-O1448</f>
        <v>0</v>
      </c>
      <c r="Q1448" s="463" t="n">
        <f aca="false">O1448*I1448</f>
        <v>6187.5</v>
      </c>
      <c r="R1448" s="48" t="n">
        <f aca="false">K1448-Q1448</f>
        <v>0</v>
      </c>
      <c r="S1448" s="467"/>
      <c r="T1448" s="2" t="s">
        <v>1711</v>
      </c>
      <c r="V1448" s="464"/>
      <c r="W1448" s="464"/>
      <c r="X1448" s="464"/>
      <c r="Y1448" s="464"/>
      <c r="Z1448" s="464"/>
      <c r="AA1448" s="464"/>
      <c r="AB1448" s="464"/>
      <c r="AC1448" s="464"/>
      <c r="AD1448" s="464"/>
      <c r="AE1448" s="464"/>
      <c r="AF1448" s="464"/>
      <c r="AG1448" s="464"/>
      <c r="AH1448" s="465"/>
      <c r="AI1448" s="464"/>
    </row>
    <row r="1449" customFormat="false" ht="15" hidden="false" customHeight="true" outlineLevel="0" collapsed="false">
      <c r="A1449" s="455" t="s">
        <v>1935</v>
      </c>
      <c r="C1449" s="456" t="n">
        <v>45632</v>
      </c>
      <c r="D1449" s="456"/>
      <c r="E1449" s="323" t="n">
        <v>14353</v>
      </c>
      <c r="F1449" s="323" t="s">
        <v>175</v>
      </c>
      <c r="G1449" s="323" t="s">
        <v>15</v>
      </c>
      <c r="H1449" s="98" t="n">
        <v>240</v>
      </c>
      <c r="I1449" s="457" t="n">
        <v>90</v>
      </c>
      <c r="J1449" s="313" t="s">
        <v>1653</v>
      </c>
      <c r="K1449" s="458" t="n">
        <f aca="false">I1449*H1449</f>
        <v>21600</v>
      </c>
      <c r="L1449" s="411" t="n">
        <v>6205.68</v>
      </c>
      <c r="M1449" s="459" t="n">
        <f aca="false">L1449/K1449</f>
        <v>0.2873</v>
      </c>
      <c r="N1449" s="460" t="n">
        <f aca="false">I1449*M1449</f>
        <v>25.857</v>
      </c>
      <c r="O1449" s="461" t="n">
        <v>240</v>
      </c>
      <c r="P1449" s="462" t="n">
        <f aca="false">H1449-O1449</f>
        <v>0</v>
      </c>
      <c r="Q1449" s="463" t="n">
        <f aca="false">O1449*I1449</f>
        <v>21600</v>
      </c>
      <c r="R1449" s="48" t="n">
        <f aca="false">K1449-Q1449</f>
        <v>0</v>
      </c>
      <c r="S1449" s="467"/>
      <c r="T1449" s="2" t="s">
        <v>1711</v>
      </c>
      <c r="V1449" s="464"/>
      <c r="W1449" s="464"/>
      <c r="X1449" s="464"/>
      <c r="Y1449" s="464"/>
      <c r="Z1449" s="464"/>
      <c r="AA1449" s="464"/>
      <c r="AB1449" s="464"/>
      <c r="AC1449" s="464"/>
      <c r="AD1449" s="464"/>
      <c r="AE1449" s="464"/>
      <c r="AF1449" s="464"/>
      <c r="AG1449" s="464"/>
      <c r="AH1449" s="465"/>
      <c r="AI1449" s="464"/>
    </row>
    <row r="1450" customFormat="false" ht="15" hidden="false" customHeight="true" outlineLevel="0" collapsed="false">
      <c r="A1450" s="455" t="s">
        <v>1921</v>
      </c>
      <c r="C1450" s="456" t="n">
        <v>45632</v>
      </c>
      <c r="D1450" s="456"/>
      <c r="E1450" s="323" t="n">
        <v>14354</v>
      </c>
      <c r="F1450" s="323" t="s">
        <v>175</v>
      </c>
      <c r="G1450" s="323" t="s">
        <v>19</v>
      </c>
      <c r="H1450" s="98" t="n">
        <v>45</v>
      </c>
      <c r="I1450" s="457" t="n">
        <v>37.5</v>
      </c>
      <c r="J1450" s="313" t="s">
        <v>1652</v>
      </c>
      <c r="K1450" s="458" t="n">
        <f aca="false">I1450*H1450</f>
        <v>1687.5</v>
      </c>
      <c r="L1450" s="411" t="n">
        <v>1441.8</v>
      </c>
      <c r="M1450" s="459" t="n">
        <f aca="false">L1450/K1450</f>
        <v>0.8544</v>
      </c>
      <c r="N1450" s="460" t="n">
        <f aca="false">I1450*M1450</f>
        <v>32.04</v>
      </c>
      <c r="O1450" s="461" t="n">
        <v>45</v>
      </c>
      <c r="P1450" s="462" t="n">
        <f aca="false">H1450-O1450</f>
        <v>0</v>
      </c>
      <c r="Q1450" s="463" t="n">
        <f aca="false">O1450*I1450</f>
        <v>1687.5</v>
      </c>
      <c r="R1450" s="48" t="n">
        <f aca="false">K1450-Q1450</f>
        <v>0</v>
      </c>
      <c r="S1450" s="467"/>
      <c r="T1450" s="2" t="s">
        <v>1711</v>
      </c>
      <c r="V1450" s="464"/>
      <c r="W1450" s="464"/>
      <c r="X1450" s="464"/>
      <c r="Y1450" s="464"/>
      <c r="Z1450" s="464"/>
      <c r="AA1450" s="464"/>
      <c r="AB1450" s="464"/>
      <c r="AC1450" s="464"/>
      <c r="AD1450" s="464"/>
      <c r="AE1450" s="464"/>
      <c r="AF1450" s="464"/>
      <c r="AG1450" s="464"/>
      <c r="AH1450" s="465"/>
      <c r="AI1450" s="464"/>
    </row>
    <row r="1451" customFormat="false" ht="15" hidden="false" customHeight="true" outlineLevel="0" collapsed="false">
      <c r="A1451" s="455" t="s">
        <v>1758</v>
      </c>
      <c r="C1451" s="456" t="n">
        <v>45632</v>
      </c>
      <c r="D1451" s="456"/>
      <c r="E1451" s="323" t="n">
        <v>14355</v>
      </c>
      <c r="F1451" s="323" t="s">
        <v>175</v>
      </c>
      <c r="G1451" s="323" t="s">
        <v>5</v>
      </c>
      <c r="H1451" s="98" t="n">
        <v>5000</v>
      </c>
      <c r="I1451" s="457" t="n">
        <v>25.71</v>
      </c>
      <c r="J1451" s="313" t="s">
        <v>1651</v>
      </c>
      <c r="K1451" s="458" t="n">
        <f aca="false">I1451*H1451</f>
        <v>128550</v>
      </c>
      <c r="L1451" s="411" t="n">
        <v>50600</v>
      </c>
      <c r="M1451" s="459" t="n">
        <f aca="false">L1451/K1451</f>
        <v>0.393621159082069</v>
      </c>
      <c r="N1451" s="460" t="n">
        <f aca="false">I1451*M1451</f>
        <v>10.12</v>
      </c>
      <c r="O1451" s="461" t="n">
        <v>5000</v>
      </c>
      <c r="P1451" s="462" t="n">
        <f aca="false">H1451-O1451</f>
        <v>0</v>
      </c>
      <c r="Q1451" s="463" t="n">
        <f aca="false">O1451*I1451</f>
        <v>128550</v>
      </c>
      <c r="R1451" s="48" t="n">
        <f aca="false">K1451-Q1451</f>
        <v>0</v>
      </c>
      <c r="S1451" s="467"/>
      <c r="T1451" s="2" t="s">
        <v>1711</v>
      </c>
      <c r="V1451" s="464"/>
      <c r="W1451" s="464"/>
      <c r="X1451" s="464"/>
      <c r="Y1451" s="464"/>
      <c r="Z1451" s="464"/>
      <c r="AA1451" s="464"/>
      <c r="AB1451" s="464"/>
      <c r="AC1451" s="464"/>
      <c r="AD1451" s="464"/>
      <c r="AE1451" s="464"/>
      <c r="AF1451" s="464"/>
      <c r="AG1451" s="464"/>
      <c r="AH1451" s="465"/>
      <c r="AI1451" s="464"/>
    </row>
    <row r="1452" customFormat="false" ht="15" hidden="false" customHeight="true" outlineLevel="0" collapsed="false">
      <c r="A1452" s="455" t="s">
        <v>1758</v>
      </c>
      <c r="C1452" s="456" t="n">
        <v>45632</v>
      </c>
      <c r="D1452" s="456"/>
      <c r="E1452" s="323" t="n">
        <v>14355</v>
      </c>
      <c r="F1452" s="323" t="s">
        <v>175</v>
      </c>
      <c r="G1452" s="323" t="s">
        <v>42</v>
      </c>
      <c r="H1452" s="98" t="n">
        <v>500</v>
      </c>
      <c r="I1452" s="457" t="n">
        <v>30</v>
      </c>
      <c r="J1452" s="313" t="s">
        <v>1651</v>
      </c>
      <c r="K1452" s="458" t="n">
        <f aca="false">I1452*H1452</f>
        <v>15000</v>
      </c>
      <c r="L1452" s="411" t="n">
        <v>6210</v>
      </c>
      <c r="M1452" s="459" t="n">
        <f aca="false">L1452/K1452</f>
        <v>0.414</v>
      </c>
      <c r="N1452" s="460" t="n">
        <f aca="false">I1452*M1452</f>
        <v>12.42</v>
      </c>
      <c r="O1452" s="461" t="n">
        <v>500</v>
      </c>
      <c r="P1452" s="462" t="n">
        <f aca="false">H1452-O1452</f>
        <v>0</v>
      </c>
      <c r="Q1452" s="463" t="n">
        <f aca="false">O1452*I1452</f>
        <v>15000</v>
      </c>
      <c r="R1452" s="48" t="n">
        <f aca="false">K1452-Q1452</f>
        <v>0</v>
      </c>
      <c r="S1452" s="467"/>
      <c r="T1452" s="2" t="s">
        <v>1711</v>
      </c>
      <c r="V1452" s="464"/>
      <c r="W1452" s="464"/>
      <c r="X1452" s="464"/>
      <c r="Y1452" s="464"/>
      <c r="Z1452" s="464"/>
      <c r="AA1452" s="464"/>
      <c r="AB1452" s="464"/>
      <c r="AC1452" s="464"/>
      <c r="AD1452" s="464"/>
      <c r="AE1452" s="464"/>
      <c r="AF1452" s="464"/>
      <c r="AG1452" s="464"/>
      <c r="AH1452" s="465"/>
      <c r="AI1452" s="464"/>
    </row>
    <row r="1453" customFormat="false" ht="15" hidden="false" customHeight="true" outlineLevel="0" collapsed="false">
      <c r="A1453" s="455" t="s">
        <v>2004</v>
      </c>
      <c r="C1453" s="456" t="n">
        <v>45632</v>
      </c>
      <c r="D1453" s="456"/>
      <c r="E1453" s="323" t="n">
        <v>14356</v>
      </c>
      <c r="F1453" s="323" t="s">
        <v>175</v>
      </c>
      <c r="G1453" s="323" t="s">
        <v>15</v>
      </c>
      <c r="H1453" s="98" t="n">
        <v>150</v>
      </c>
      <c r="I1453" s="457" t="n">
        <v>22.5</v>
      </c>
      <c r="J1453" s="313" t="s">
        <v>1651</v>
      </c>
      <c r="K1453" s="458" t="n">
        <f aca="false">I1453*H1453</f>
        <v>3375</v>
      </c>
      <c r="L1453" s="411" t="n">
        <v>2275.5</v>
      </c>
      <c r="M1453" s="459" t="n">
        <f aca="false">L1453/K1453</f>
        <v>0.674222222222222</v>
      </c>
      <c r="N1453" s="460" t="n">
        <f aca="false">I1453*M1453</f>
        <v>15.17</v>
      </c>
      <c r="O1453" s="461" t="n">
        <v>150</v>
      </c>
      <c r="P1453" s="462" t="n">
        <f aca="false">H1453-O1453</f>
        <v>0</v>
      </c>
      <c r="Q1453" s="463" t="n">
        <f aca="false">O1453*I1453</f>
        <v>3375</v>
      </c>
      <c r="R1453" s="48" t="n">
        <f aca="false">K1453-Q1453</f>
        <v>0</v>
      </c>
      <c r="S1453" s="467"/>
      <c r="T1453" s="2" t="s">
        <v>1711</v>
      </c>
      <c r="V1453" s="464"/>
      <c r="W1453" s="464"/>
      <c r="X1453" s="464"/>
      <c r="Y1453" s="464"/>
      <c r="Z1453" s="464"/>
      <c r="AA1453" s="464"/>
      <c r="AB1453" s="464"/>
      <c r="AC1453" s="464"/>
      <c r="AD1453" s="464"/>
      <c r="AE1453" s="464"/>
      <c r="AF1453" s="464"/>
      <c r="AG1453" s="464"/>
      <c r="AH1453" s="465"/>
      <c r="AI1453" s="464"/>
    </row>
    <row r="1454" customFormat="false" ht="15" hidden="false" customHeight="true" outlineLevel="0" collapsed="false">
      <c r="A1454" s="455" t="s">
        <v>1819</v>
      </c>
      <c r="C1454" s="456" t="n">
        <v>45632</v>
      </c>
      <c r="D1454" s="456"/>
      <c r="E1454" s="57" t="n">
        <v>14357</v>
      </c>
      <c r="F1454" s="323" t="s">
        <v>175</v>
      </c>
      <c r="G1454" s="323" t="s">
        <v>5</v>
      </c>
      <c r="H1454" s="98" t="n">
        <v>5000</v>
      </c>
      <c r="I1454" s="457" t="n">
        <v>25.71</v>
      </c>
      <c r="J1454" s="313" t="s">
        <v>1651</v>
      </c>
      <c r="K1454" s="458" t="n">
        <f aca="false">I1454*H1454</f>
        <v>128550</v>
      </c>
      <c r="L1454" s="411" t="n">
        <v>50600</v>
      </c>
      <c r="M1454" s="459" t="n">
        <f aca="false">L1454/K1454</f>
        <v>0.393621159082069</v>
      </c>
      <c r="N1454" s="460" t="n">
        <f aca="false">I1454*M1454</f>
        <v>10.12</v>
      </c>
      <c r="O1454" s="461" t="n">
        <v>5000</v>
      </c>
      <c r="P1454" s="462" t="n">
        <f aca="false">H1454-O1454</f>
        <v>0</v>
      </c>
      <c r="Q1454" s="463" t="n">
        <f aca="false">O1454*I1454</f>
        <v>128550</v>
      </c>
      <c r="R1454" s="48" t="n">
        <f aca="false">K1454-Q1454</f>
        <v>0</v>
      </c>
      <c r="S1454" s="467"/>
      <c r="T1454" s="2" t="s">
        <v>1711</v>
      </c>
      <c r="V1454" s="464"/>
      <c r="W1454" s="464"/>
      <c r="X1454" s="464"/>
      <c r="Y1454" s="464"/>
      <c r="Z1454" s="464"/>
      <c r="AA1454" s="464"/>
      <c r="AB1454" s="464"/>
      <c r="AC1454" s="464"/>
      <c r="AD1454" s="464"/>
      <c r="AE1454" s="464"/>
      <c r="AF1454" s="464"/>
      <c r="AG1454" s="464"/>
      <c r="AH1454" s="465"/>
      <c r="AI1454" s="464"/>
    </row>
    <row r="1455" customFormat="false" ht="15" hidden="false" customHeight="true" outlineLevel="0" collapsed="false">
      <c r="A1455" s="455" t="s">
        <v>1819</v>
      </c>
      <c r="C1455" s="456" t="n">
        <v>45632</v>
      </c>
      <c r="D1455" s="456"/>
      <c r="E1455" s="57" t="n">
        <v>14357</v>
      </c>
      <c r="F1455" s="323" t="s">
        <v>175</v>
      </c>
      <c r="G1455" s="323" t="s">
        <v>19</v>
      </c>
      <c r="H1455" s="98" t="n">
        <v>300</v>
      </c>
      <c r="I1455" s="457" t="n">
        <v>22.5</v>
      </c>
      <c r="J1455" s="313" t="s">
        <v>1651</v>
      </c>
      <c r="K1455" s="458" t="n">
        <f aca="false">I1455*H1455</f>
        <v>6750</v>
      </c>
      <c r="L1455" s="411" t="n">
        <v>5658</v>
      </c>
      <c r="M1455" s="459" t="n">
        <f aca="false">L1455/K1455</f>
        <v>0.838222222222222</v>
      </c>
      <c r="N1455" s="460" t="n">
        <f aca="false">I1455*M1455</f>
        <v>18.86</v>
      </c>
      <c r="O1455" s="461" t="n">
        <v>300</v>
      </c>
      <c r="P1455" s="462" t="n">
        <f aca="false">H1455-O1455</f>
        <v>0</v>
      </c>
      <c r="Q1455" s="463" t="n">
        <f aca="false">O1455*I1455</f>
        <v>6750</v>
      </c>
      <c r="R1455" s="48" t="n">
        <f aca="false">K1455-Q1455</f>
        <v>0</v>
      </c>
      <c r="S1455" s="467"/>
      <c r="T1455" s="2" t="s">
        <v>1711</v>
      </c>
      <c r="V1455" s="464"/>
      <c r="W1455" s="464"/>
      <c r="X1455" s="464"/>
      <c r="Y1455" s="464"/>
      <c r="Z1455" s="464"/>
      <c r="AA1455" s="464"/>
      <c r="AB1455" s="464"/>
      <c r="AC1455" s="464"/>
      <c r="AD1455" s="464"/>
      <c r="AE1455" s="464"/>
      <c r="AF1455" s="464"/>
      <c r="AG1455" s="464"/>
      <c r="AH1455" s="465"/>
      <c r="AI1455" s="464"/>
    </row>
    <row r="1456" customFormat="false" ht="15" hidden="false" customHeight="true" outlineLevel="0" collapsed="false">
      <c r="A1456" s="455" t="s">
        <v>1819</v>
      </c>
      <c r="C1456" s="456" t="n">
        <v>45632</v>
      </c>
      <c r="D1456" s="456"/>
      <c r="E1456" s="57" t="n">
        <v>14357</v>
      </c>
      <c r="F1456" s="323" t="s">
        <v>175</v>
      </c>
      <c r="G1456" s="323" t="s">
        <v>42</v>
      </c>
      <c r="H1456" s="98" t="n">
        <v>2000</v>
      </c>
      <c r="I1456" s="457" t="n">
        <v>30</v>
      </c>
      <c r="J1456" s="313" t="s">
        <v>1651</v>
      </c>
      <c r="K1456" s="458" t="n">
        <f aca="false">I1456*H1456</f>
        <v>60000</v>
      </c>
      <c r="L1456" s="411" t="n">
        <v>24840</v>
      </c>
      <c r="M1456" s="459" t="n">
        <f aca="false">L1456/K1456</f>
        <v>0.414</v>
      </c>
      <c r="N1456" s="460" t="n">
        <f aca="false">I1456*M1456</f>
        <v>12.42</v>
      </c>
      <c r="O1456" s="461" t="n">
        <v>2000</v>
      </c>
      <c r="P1456" s="462" t="n">
        <f aca="false">H1456-O1456</f>
        <v>0</v>
      </c>
      <c r="Q1456" s="463" t="n">
        <f aca="false">O1456*I1456</f>
        <v>60000</v>
      </c>
      <c r="R1456" s="48" t="n">
        <f aca="false">K1456-Q1456</f>
        <v>0</v>
      </c>
      <c r="S1456" s="467"/>
      <c r="T1456" s="2" t="s">
        <v>1711</v>
      </c>
      <c r="V1456" s="464"/>
      <c r="W1456" s="464"/>
      <c r="X1456" s="464"/>
      <c r="Y1456" s="464"/>
      <c r="Z1456" s="464"/>
      <c r="AA1456" s="464"/>
      <c r="AB1456" s="464"/>
      <c r="AC1456" s="464"/>
      <c r="AD1456" s="464"/>
      <c r="AE1456" s="464"/>
      <c r="AF1456" s="464"/>
      <c r="AG1456" s="464"/>
      <c r="AH1456" s="465"/>
      <c r="AI1456" s="464"/>
    </row>
    <row r="1457" customFormat="false" ht="15" hidden="false" customHeight="true" outlineLevel="0" collapsed="false">
      <c r="A1457" s="455" t="s">
        <v>1819</v>
      </c>
      <c r="C1457" s="456" t="n">
        <v>45632</v>
      </c>
      <c r="D1457" s="456"/>
      <c r="E1457" s="57" t="n">
        <v>14357</v>
      </c>
      <c r="F1457" s="323" t="s">
        <v>175</v>
      </c>
      <c r="G1457" s="323" t="s">
        <v>16</v>
      </c>
      <c r="H1457" s="98" t="n">
        <v>300</v>
      </c>
      <c r="I1457" s="457" t="n">
        <v>22.5</v>
      </c>
      <c r="J1457" s="313" t="s">
        <v>1651</v>
      </c>
      <c r="K1457" s="458" t="n">
        <f aca="false">I1457*H1457</f>
        <v>6750</v>
      </c>
      <c r="L1457" s="411" t="n">
        <v>4968</v>
      </c>
      <c r="M1457" s="459" t="n">
        <f aca="false">L1457/K1457</f>
        <v>0.736</v>
      </c>
      <c r="N1457" s="460" t="n">
        <f aca="false">I1457*M1457</f>
        <v>16.56</v>
      </c>
      <c r="O1457" s="461" t="n">
        <v>300</v>
      </c>
      <c r="P1457" s="462" t="n">
        <f aca="false">H1457-O1457</f>
        <v>0</v>
      </c>
      <c r="Q1457" s="463" t="n">
        <f aca="false">O1457*I1457</f>
        <v>6750</v>
      </c>
      <c r="R1457" s="48" t="n">
        <f aca="false">K1457-Q1457</f>
        <v>0</v>
      </c>
      <c r="S1457" s="467"/>
      <c r="T1457" s="2" t="s">
        <v>1711</v>
      </c>
      <c r="V1457" s="464"/>
      <c r="W1457" s="464"/>
      <c r="X1457" s="464"/>
      <c r="Y1457" s="464"/>
      <c r="Z1457" s="464"/>
      <c r="AA1457" s="464"/>
      <c r="AB1457" s="464"/>
      <c r="AC1457" s="464"/>
      <c r="AD1457" s="464"/>
      <c r="AE1457" s="464"/>
      <c r="AF1457" s="464"/>
      <c r="AG1457" s="464"/>
      <c r="AH1457" s="465"/>
      <c r="AI1457" s="464"/>
    </row>
    <row r="1458" customFormat="false" ht="15" hidden="false" customHeight="true" outlineLevel="0" collapsed="false">
      <c r="A1458" s="455" t="s">
        <v>1760</v>
      </c>
      <c r="C1458" s="456" t="n">
        <v>45632</v>
      </c>
      <c r="D1458" s="456"/>
      <c r="E1458" s="57" t="n">
        <v>14358</v>
      </c>
      <c r="F1458" s="323" t="s">
        <v>175</v>
      </c>
      <c r="G1458" s="323" t="s">
        <v>15</v>
      </c>
      <c r="H1458" s="98" t="n">
        <v>500</v>
      </c>
      <c r="I1458" s="457" t="n">
        <v>22.5</v>
      </c>
      <c r="J1458" s="313" t="s">
        <v>1651</v>
      </c>
      <c r="K1458" s="458" t="n">
        <f aca="false">I1458*H1458</f>
        <v>11250</v>
      </c>
      <c r="L1458" s="411" t="n">
        <v>8050</v>
      </c>
      <c r="M1458" s="459" t="n">
        <f aca="false">L1458/K1458</f>
        <v>0.715555555555556</v>
      </c>
      <c r="N1458" s="460" t="n">
        <f aca="false">I1458*M1458</f>
        <v>16.1</v>
      </c>
      <c r="O1458" s="461" t="n">
        <v>500</v>
      </c>
      <c r="P1458" s="462" t="n">
        <f aca="false">H1458-O1458</f>
        <v>0</v>
      </c>
      <c r="Q1458" s="463" t="n">
        <f aca="false">O1458*I1458</f>
        <v>11250</v>
      </c>
      <c r="R1458" s="48" t="n">
        <f aca="false">K1458-Q1458</f>
        <v>0</v>
      </c>
      <c r="S1458" s="467"/>
      <c r="T1458" s="2" t="s">
        <v>1711</v>
      </c>
      <c r="V1458" s="464"/>
      <c r="W1458" s="464"/>
      <c r="X1458" s="464"/>
      <c r="Y1458" s="464"/>
      <c r="Z1458" s="464"/>
      <c r="AA1458" s="464"/>
      <c r="AB1458" s="464"/>
      <c r="AC1458" s="464"/>
      <c r="AD1458" s="464"/>
      <c r="AE1458" s="464"/>
      <c r="AF1458" s="464"/>
      <c r="AG1458" s="464"/>
      <c r="AH1458" s="465"/>
      <c r="AI1458" s="464"/>
    </row>
    <row r="1459" customFormat="false" ht="15" hidden="false" customHeight="true" outlineLevel="0" collapsed="false">
      <c r="A1459" s="455" t="s">
        <v>1760</v>
      </c>
      <c r="C1459" s="456" t="n">
        <v>45632</v>
      </c>
      <c r="D1459" s="456"/>
      <c r="E1459" s="57" t="n">
        <v>14358</v>
      </c>
      <c r="F1459" s="57" t="s">
        <v>175</v>
      </c>
      <c r="G1459" s="323" t="s">
        <v>5</v>
      </c>
      <c r="H1459" s="98" t="n">
        <v>10020</v>
      </c>
      <c r="I1459" s="457" t="n">
        <v>25.71</v>
      </c>
      <c r="J1459" s="313" t="s">
        <v>1651</v>
      </c>
      <c r="K1459" s="458" t="n">
        <f aca="false">I1459*H1459</f>
        <v>257614.2</v>
      </c>
      <c r="L1459" s="411" t="n">
        <v>202400</v>
      </c>
      <c r="M1459" s="459" t="n">
        <f aca="false">L1459/K1459</f>
        <v>0.785670976211715</v>
      </c>
      <c r="N1459" s="460" t="n">
        <f aca="false">I1459*M1459</f>
        <v>20.1996007984032</v>
      </c>
      <c r="O1459" s="461" t="n">
        <v>10020</v>
      </c>
      <c r="P1459" s="462" t="n">
        <f aca="false">H1459-O1459</f>
        <v>0</v>
      </c>
      <c r="Q1459" s="463" t="n">
        <f aca="false">O1459*I1459</f>
        <v>257614.2</v>
      </c>
      <c r="R1459" s="48" t="n">
        <f aca="false">K1459-Q1459</f>
        <v>0</v>
      </c>
      <c r="S1459" s="467"/>
      <c r="T1459" s="2" t="s">
        <v>1711</v>
      </c>
      <c r="V1459" s="464"/>
      <c r="W1459" s="464"/>
      <c r="X1459" s="464"/>
      <c r="Y1459" s="464"/>
      <c r="Z1459" s="464"/>
      <c r="AA1459" s="464"/>
      <c r="AB1459" s="464"/>
      <c r="AC1459" s="464"/>
      <c r="AD1459" s="464"/>
      <c r="AE1459" s="464"/>
      <c r="AF1459" s="464"/>
      <c r="AG1459" s="464"/>
      <c r="AH1459" s="465"/>
      <c r="AI1459" s="464"/>
    </row>
    <row r="1460" customFormat="false" ht="15" hidden="false" customHeight="true" outlineLevel="0" collapsed="false">
      <c r="A1460" s="455" t="s">
        <v>1760</v>
      </c>
      <c r="C1460" s="456" t="n">
        <v>45632</v>
      </c>
      <c r="D1460" s="456"/>
      <c r="E1460" s="57" t="n">
        <v>14358</v>
      </c>
      <c r="F1460" s="57" t="s">
        <v>175</v>
      </c>
      <c r="G1460" s="323" t="s">
        <v>19</v>
      </c>
      <c r="H1460" s="98" t="n">
        <v>300</v>
      </c>
      <c r="I1460" s="457" t="n">
        <v>22.5</v>
      </c>
      <c r="J1460" s="313" t="s">
        <v>1651</v>
      </c>
      <c r="K1460" s="458" t="n">
        <f aca="false">I1460*H1460</f>
        <v>6750</v>
      </c>
      <c r="L1460" s="411" t="n">
        <v>6150</v>
      </c>
      <c r="M1460" s="459" t="n">
        <f aca="false">L1460/K1460</f>
        <v>0.911111111111111</v>
      </c>
      <c r="N1460" s="460" t="n">
        <f aca="false">I1460*M1460</f>
        <v>20.5</v>
      </c>
      <c r="O1460" s="461" t="n">
        <v>300</v>
      </c>
      <c r="P1460" s="462" t="n">
        <f aca="false">H1460-O1460</f>
        <v>0</v>
      </c>
      <c r="Q1460" s="463" t="n">
        <f aca="false">O1460*I1460</f>
        <v>6750</v>
      </c>
      <c r="R1460" s="48" t="n">
        <f aca="false">K1460-Q1460</f>
        <v>0</v>
      </c>
      <c r="S1460" s="467"/>
      <c r="T1460" s="2" t="s">
        <v>1711</v>
      </c>
      <c r="V1460" s="464"/>
      <c r="W1460" s="464"/>
      <c r="X1460" s="464"/>
      <c r="Y1460" s="464"/>
      <c r="Z1460" s="464"/>
      <c r="AA1460" s="464"/>
      <c r="AB1460" s="464"/>
      <c r="AC1460" s="464"/>
      <c r="AD1460" s="464"/>
      <c r="AE1460" s="464"/>
      <c r="AF1460" s="464"/>
      <c r="AG1460" s="464"/>
      <c r="AH1460" s="465"/>
      <c r="AI1460" s="464"/>
    </row>
    <row r="1461" customFormat="false" ht="15" hidden="false" customHeight="true" outlineLevel="0" collapsed="false">
      <c r="A1461" s="455" t="s">
        <v>1760</v>
      </c>
      <c r="C1461" s="456" t="n">
        <v>45632</v>
      </c>
      <c r="D1461" s="456"/>
      <c r="E1461" s="57" t="n">
        <v>14358</v>
      </c>
      <c r="F1461" s="323" t="s">
        <v>175</v>
      </c>
      <c r="G1461" s="323" t="s">
        <v>13</v>
      </c>
      <c r="H1461" s="98" t="n">
        <v>10</v>
      </c>
      <c r="I1461" s="457" t="n">
        <v>22.5</v>
      </c>
      <c r="J1461" s="313" t="s">
        <v>1651</v>
      </c>
      <c r="K1461" s="458" t="n">
        <f aca="false">I1461*H1461</f>
        <v>225</v>
      </c>
      <c r="L1461" s="411" t="n">
        <v>52900</v>
      </c>
      <c r="M1461" s="459" t="n">
        <f aca="false">L1461/K1461</f>
        <v>235.111111111111</v>
      </c>
      <c r="N1461" s="460" t="n">
        <f aca="false">I1461*M1461</f>
        <v>5290</v>
      </c>
      <c r="O1461" s="461" t="n">
        <v>10</v>
      </c>
      <c r="P1461" s="462" t="n">
        <f aca="false">H1461-O1461</f>
        <v>0</v>
      </c>
      <c r="Q1461" s="463" t="n">
        <f aca="false">O1461*I1461</f>
        <v>225</v>
      </c>
      <c r="R1461" s="48" t="n">
        <f aca="false">K1461-Q1461</f>
        <v>0</v>
      </c>
      <c r="S1461" s="467"/>
      <c r="T1461" s="2" t="s">
        <v>1711</v>
      </c>
      <c r="V1461" s="464"/>
      <c r="W1461" s="464"/>
      <c r="X1461" s="464"/>
      <c r="Y1461" s="464"/>
      <c r="Z1461" s="464"/>
      <c r="AA1461" s="464"/>
      <c r="AB1461" s="464"/>
      <c r="AC1461" s="464"/>
      <c r="AD1461" s="464"/>
      <c r="AE1461" s="464"/>
      <c r="AF1461" s="464"/>
      <c r="AG1461" s="464"/>
      <c r="AH1461" s="465"/>
      <c r="AI1461" s="464"/>
    </row>
    <row r="1462" customFormat="false" ht="15" hidden="false" customHeight="true" outlineLevel="0" collapsed="false">
      <c r="A1462" s="455" t="s">
        <v>58</v>
      </c>
      <c r="C1462" s="456" t="n">
        <v>45632</v>
      </c>
      <c r="D1462" s="456"/>
      <c r="E1462" s="57" t="n">
        <v>14359</v>
      </c>
      <c r="F1462" s="323" t="s">
        <v>175</v>
      </c>
      <c r="G1462" s="323" t="s">
        <v>6</v>
      </c>
      <c r="H1462" s="98" t="n">
        <v>255</v>
      </c>
      <c r="I1462" s="457" t="n">
        <v>30</v>
      </c>
      <c r="J1462" s="313" t="s">
        <v>1651</v>
      </c>
      <c r="K1462" s="458" t="n">
        <f aca="false">I1462*H1462</f>
        <v>7650</v>
      </c>
      <c r="L1462" s="411" t="n">
        <v>4794</v>
      </c>
      <c r="M1462" s="459" t="n">
        <f aca="false">L1462/K1462</f>
        <v>0.626666666666667</v>
      </c>
      <c r="N1462" s="460" t="n">
        <f aca="false">I1462*M1462</f>
        <v>18.8</v>
      </c>
      <c r="O1462" s="461" t="n">
        <v>255</v>
      </c>
      <c r="P1462" s="462" t="n">
        <f aca="false">H1462-O1462</f>
        <v>0</v>
      </c>
      <c r="Q1462" s="463" t="n">
        <f aca="false">O1462*I1462</f>
        <v>7650</v>
      </c>
      <c r="R1462" s="48" t="n">
        <f aca="false">K1462-Q1462</f>
        <v>0</v>
      </c>
      <c r="S1462" s="467"/>
      <c r="T1462" s="2" t="s">
        <v>1711</v>
      </c>
      <c r="V1462" s="464"/>
      <c r="W1462" s="464"/>
      <c r="X1462" s="464"/>
      <c r="Y1462" s="464"/>
      <c r="Z1462" s="464"/>
      <c r="AA1462" s="464"/>
      <c r="AB1462" s="464"/>
      <c r="AC1462" s="464"/>
      <c r="AD1462" s="464"/>
      <c r="AE1462" s="464"/>
      <c r="AF1462" s="464"/>
      <c r="AG1462" s="464"/>
      <c r="AH1462" s="465"/>
      <c r="AI1462" s="464"/>
    </row>
    <row r="1463" customFormat="false" ht="15" hidden="false" customHeight="true" outlineLevel="0" collapsed="false">
      <c r="A1463" s="455" t="s">
        <v>58</v>
      </c>
      <c r="C1463" s="456" t="n">
        <v>45632</v>
      </c>
      <c r="D1463" s="456"/>
      <c r="E1463" s="57" t="n">
        <v>14360</v>
      </c>
      <c r="F1463" s="323" t="s">
        <v>175</v>
      </c>
      <c r="G1463" s="323" t="s">
        <v>5</v>
      </c>
      <c r="H1463" s="98" t="n">
        <v>2250</v>
      </c>
      <c r="I1463" s="457" t="n">
        <v>25.71</v>
      </c>
      <c r="J1463" s="313" t="s">
        <v>1651</v>
      </c>
      <c r="K1463" s="458" t="n">
        <f aca="false">I1463*H1463</f>
        <v>57847.5</v>
      </c>
      <c r="L1463" s="411" t="n">
        <v>33525</v>
      </c>
      <c r="M1463" s="459" t="n">
        <f aca="false">L1463/K1463</f>
        <v>0.579541034616881</v>
      </c>
      <c r="N1463" s="460" t="n">
        <f aca="false">I1463*M1463</f>
        <v>14.9</v>
      </c>
      <c r="O1463" s="461" t="n">
        <v>2250</v>
      </c>
      <c r="P1463" s="462" t="n">
        <f aca="false">H1463-O1463</f>
        <v>0</v>
      </c>
      <c r="Q1463" s="463" t="n">
        <f aca="false">O1463*I1463</f>
        <v>57847.5</v>
      </c>
      <c r="R1463" s="48" t="n">
        <f aca="false">K1463-Q1463</f>
        <v>0</v>
      </c>
      <c r="S1463" s="467"/>
      <c r="T1463" s="2" t="s">
        <v>1711</v>
      </c>
      <c r="V1463" s="464"/>
      <c r="W1463" s="464"/>
      <c r="X1463" s="464"/>
      <c r="Y1463" s="464"/>
      <c r="Z1463" s="464"/>
      <c r="AA1463" s="464"/>
      <c r="AB1463" s="464"/>
      <c r="AC1463" s="464"/>
      <c r="AD1463" s="464"/>
      <c r="AE1463" s="464"/>
      <c r="AF1463" s="464"/>
      <c r="AG1463" s="464"/>
      <c r="AH1463" s="465"/>
      <c r="AI1463" s="464"/>
    </row>
    <row r="1464" customFormat="false" ht="15" hidden="false" customHeight="true" outlineLevel="0" collapsed="false">
      <c r="A1464" s="455" t="s">
        <v>1763</v>
      </c>
      <c r="C1464" s="456" t="n">
        <v>45632</v>
      </c>
      <c r="D1464" s="456"/>
      <c r="E1464" s="57" t="n">
        <v>14361</v>
      </c>
      <c r="F1464" s="323" t="s">
        <v>175</v>
      </c>
      <c r="G1464" s="323" t="s">
        <v>5</v>
      </c>
      <c r="H1464" s="98" t="n">
        <v>2430</v>
      </c>
      <c r="I1464" s="457" t="n">
        <v>37.5</v>
      </c>
      <c r="J1464" s="313" t="s">
        <v>1652</v>
      </c>
      <c r="K1464" s="458" t="n">
        <f aca="false">I1464*H1464</f>
        <v>91125</v>
      </c>
      <c r="L1464" s="411" t="n">
        <v>30861</v>
      </c>
      <c r="M1464" s="459" t="n">
        <f aca="false">L1464/K1464</f>
        <v>0.338666666666667</v>
      </c>
      <c r="N1464" s="460" t="n">
        <f aca="false">I1464*M1464</f>
        <v>12.7</v>
      </c>
      <c r="O1464" s="461" t="n">
        <v>2430</v>
      </c>
      <c r="P1464" s="462" t="n">
        <f aca="false">H1464-O1464</f>
        <v>0</v>
      </c>
      <c r="Q1464" s="463" t="n">
        <f aca="false">O1464*I1464</f>
        <v>91125</v>
      </c>
      <c r="R1464" s="48" t="n">
        <f aca="false">K1464-Q1464</f>
        <v>0</v>
      </c>
      <c r="S1464" s="467"/>
      <c r="T1464" s="2" t="s">
        <v>1711</v>
      </c>
      <c r="V1464" s="464"/>
      <c r="W1464" s="464"/>
      <c r="X1464" s="464"/>
      <c r="Y1464" s="464"/>
      <c r="Z1464" s="464"/>
      <c r="AA1464" s="464"/>
      <c r="AB1464" s="464"/>
      <c r="AC1464" s="464"/>
      <c r="AD1464" s="464"/>
      <c r="AE1464" s="464"/>
      <c r="AF1464" s="464"/>
      <c r="AG1464" s="464"/>
      <c r="AH1464" s="465"/>
      <c r="AI1464" s="464"/>
    </row>
    <row r="1465" customFormat="false" ht="15" hidden="false" customHeight="true" outlineLevel="0" collapsed="false">
      <c r="A1465" s="455" t="s">
        <v>1859</v>
      </c>
      <c r="C1465" s="456" t="n">
        <v>45632</v>
      </c>
      <c r="D1465" s="456"/>
      <c r="E1465" s="57" t="n">
        <v>14362</v>
      </c>
      <c r="F1465" s="323" t="s">
        <v>175</v>
      </c>
      <c r="G1465" s="323" t="s">
        <v>42</v>
      </c>
      <c r="H1465" s="98" t="n">
        <v>750</v>
      </c>
      <c r="I1465" s="457" t="n">
        <v>45</v>
      </c>
      <c r="J1465" s="313" t="s">
        <v>1652</v>
      </c>
      <c r="K1465" s="458" t="n">
        <f aca="false">I1465*H1465</f>
        <v>33750</v>
      </c>
      <c r="L1465" s="411" t="n">
        <v>10875</v>
      </c>
      <c r="M1465" s="459" t="n">
        <f aca="false">L1465/K1465</f>
        <v>0.322222222222222</v>
      </c>
      <c r="N1465" s="460" t="n">
        <f aca="false">I1465*M1465</f>
        <v>14.5</v>
      </c>
      <c r="O1465" s="461" t="n">
        <v>750</v>
      </c>
      <c r="P1465" s="462" t="n">
        <f aca="false">H1465-O1465</f>
        <v>0</v>
      </c>
      <c r="Q1465" s="463" t="n">
        <f aca="false">O1465*I1465</f>
        <v>33750</v>
      </c>
      <c r="R1465" s="48" t="n">
        <f aca="false">K1465-Q1465</f>
        <v>0</v>
      </c>
      <c r="S1465" s="467"/>
      <c r="T1465" s="2" t="s">
        <v>1711</v>
      </c>
      <c r="V1465" s="464"/>
      <c r="W1465" s="464"/>
      <c r="X1465" s="464"/>
      <c r="Y1465" s="464"/>
      <c r="Z1465" s="464"/>
      <c r="AA1465" s="464"/>
      <c r="AB1465" s="464"/>
      <c r="AC1465" s="464"/>
      <c r="AD1465" s="464"/>
      <c r="AE1465" s="464"/>
      <c r="AF1465" s="464"/>
      <c r="AG1465" s="464"/>
      <c r="AH1465" s="465"/>
      <c r="AI1465" s="464"/>
    </row>
    <row r="1466" customFormat="false" ht="15" hidden="false" customHeight="true" outlineLevel="0" collapsed="false">
      <c r="A1466" s="455" t="s">
        <v>1758</v>
      </c>
      <c r="C1466" s="456" t="n">
        <v>45632</v>
      </c>
      <c r="D1466" s="456"/>
      <c r="E1466" s="323" t="n">
        <v>14363</v>
      </c>
      <c r="F1466" s="323" t="s">
        <v>175</v>
      </c>
      <c r="G1466" s="323" t="s">
        <v>10</v>
      </c>
      <c r="H1466" s="98" t="n">
        <v>200</v>
      </c>
      <c r="I1466" s="457" t="n">
        <v>25.71</v>
      </c>
      <c r="J1466" s="313" t="s">
        <v>1651</v>
      </c>
      <c r="K1466" s="458" t="n">
        <f aca="false">I1466*H1466</f>
        <v>5142</v>
      </c>
      <c r="L1466" s="411" t="n">
        <v>1440</v>
      </c>
      <c r="M1466" s="459" t="n">
        <f aca="false">L1466/K1466</f>
        <v>0.280046674445741</v>
      </c>
      <c r="N1466" s="460" t="n">
        <f aca="false">I1466*M1466</f>
        <v>7.2</v>
      </c>
      <c r="O1466" s="461" t="n">
        <v>200</v>
      </c>
      <c r="P1466" s="462" t="n">
        <f aca="false">H1466-O1466</f>
        <v>0</v>
      </c>
      <c r="Q1466" s="463" t="n">
        <f aca="false">O1466*I1466</f>
        <v>5142</v>
      </c>
      <c r="R1466" s="48" t="n">
        <f aca="false">K1466-Q1466</f>
        <v>0</v>
      </c>
      <c r="S1466" s="467"/>
      <c r="T1466" s="2" t="s">
        <v>1711</v>
      </c>
      <c r="V1466" s="464"/>
      <c r="W1466" s="464"/>
      <c r="X1466" s="464"/>
      <c r="Y1466" s="464"/>
      <c r="Z1466" s="464"/>
      <c r="AA1466" s="464"/>
      <c r="AB1466" s="464"/>
      <c r="AC1466" s="464"/>
      <c r="AD1466" s="464"/>
      <c r="AE1466" s="464"/>
      <c r="AF1466" s="464"/>
      <c r="AG1466" s="464"/>
      <c r="AH1466" s="465"/>
      <c r="AI1466" s="464"/>
    </row>
    <row r="1467" customFormat="false" ht="15" hidden="false" customHeight="true" outlineLevel="0" collapsed="false">
      <c r="A1467" s="455" t="s">
        <v>1859</v>
      </c>
      <c r="C1467" s="456" t="n">
        <v>45632</v>
      </c>
      <c r="D1467" s="456"/>
      <c r="E1467" s="323" t="n">
        <v>14364</v>
      </c>
      <c r="F1467" s="323" t="s">
        <v>175</v>
      </c>
      <c r="G1467" s="323" t="s">
        <v>13</v>
      </c>
      <c r="H1467" s="98" t="n">
        <v>600</v>
      </c>
      <c r="I1467" s="457" t="n">
        <v>37.5</v>
      </c>
      <c r="J1467" s="313" t="s">
        <v>1652</v>
      </c>
      <c r="K1467" s="458" t="n">
        <f aca="false">I1467*H1467</f>
        <v>22500</v>
      </c>
      <c r="L1467" s="411" t="n">
        <v>11100</v>
      </c>
      <c r="M1467" s="459" t="n">
        <f aca="false">L1467/K1467</f>
        <v>0.493333333333333</v>
      </c>
      <c r="N1467" s="460" t="n">
        <f aca="false">I1467*M1467</f>
        <v>18.5</v>
      </c>
      <c r="O1467" s="461" t="n">
        <v>600</v>
      </c>
      <c r="P1467" s="462" t="n">
        <f aca="false">H1467-O1467</f>
        <v>0</v>
      </c>
      <c r="Q1467" s="463" t="n">
        <f aca="false">O1467*I1467</f>
        <v>22500</v>
      </c>
      <c r="R1467" s="48" t="n">
        <f aca="false">K1467-Q1467</f>
        <v>0</v>
      </c>
      <c r="S1467" s="467"/>
      <c r="T1467" s="2" t="s">
        <v>1711</v>
      </c>
      <c r="V1467" s="464"/>
      <c r="W1467" s="464"/>
      <c r="X1467" s="464"/>
      <c r="Y1467" s="464"/>
      <c r="Z1467" s="464"/>
      <c r="AA1467" s="464"/>
      <c r="AB1467" s="464"/>
      <c r="AC1467" s="464"/>
      <c r="AD1467" s="464"/>
      <c r="AE1467" s="464"/>
      <c r="AF1467" s="464"/>
      <c r="AG1467" s="464"/>
      <c r="AH1467" s="465"/>
      <c r="AI1467" s="464"/>
    </row>
    <row r="1468" customFormat="false" ht="15" hidden="false" customHeight="true" outlineLevel="0" collapsed="false">
      <c r="A1468" s="455" t="s">
        <v>2005</v>
      </c>
      <c r="C1468" s="456" t="n">
        <v>45632</v>
      </c>
      <c r="D1468" s="456"/>
      <c r="E1468" s="57" t="n">
        <v>14365</v>
      </c>
      <c r="F1468" s="57" t="s">
        <v>175</v>
      </c>
      <c r="G1468" s="323" t="s">
        <v>15</v>
      </c>
      <c r="H1468" s="98" t="n">
        <v>90</v>
      </c>
      <c r="I1468" s="457" t="n">
        <v>22.5</v>
      </c>
      <c r="J1468" s="313" t="s">
        <v>1651</v>
      </c>
      <c r="K1468" s="458" t="n">
        <f aca="false">I1468*H1468</f>
        <v>2025</v>
      </c>
      <c r="L1468" s="411" t="n">
        <v>2153.7</v>
      </c>
      <c r="M1468" s="459" t="n">
        <f aca="false">L1468/K1468</f>
        <v>1.06355555555556</v>
      </c>
      <c r="N1468" s="460" t="n">
        <f aca="false">I1468*M1468</f>
        <v>23.93</v>
      </c>
      <c r="O1468" s="461" t="n">
        <v>90</v>
      </c>
      <c r="P1468" s="462" t="n">
        <f aca="false">H1468-O1468</f>
        <v>0</v>
      </c>
      <c r="Q1468" s="463" t="n">
        <f aca="false">O1468*I1468</f>
        <v>2025</v>
      </c>
      <c r="R1468" s="48" t="n">
        <f aca="false">K1468-Q1468</f>
        <v>0</v>
      </c>
      <c r="S1468" s="467"/>
      <c r="T1468" s="2" t="s">
        <v>1711</v>
      </c>
      <c r="V1468" s="464"/>
      <c r="W1468" s="464"/>
      <c r="X1468" s="464"/>
      <c r="Y1468" s="464"/>
      <c r="Z1468" s="464"/>
      <c r="AA1468" s="464"/>
      <c r="AB1468" s="464"/>
      <c r="AC1468" s="464"/>
      <c r="AD1468" s="464"/>
      <c r="AE1468" s="464"/>
      <c r="AF1468" s="464"/>
      <c r="AG1468" s="464"/>
      <c r="AH1468" s="465"/>
      <c r="AI1468" s="464"/>
    </row>
    <row r="1469" customFormat="false" ht="15" hidden="false" customHeight="true" outlineLevel="0" collapsed="false">
      <c r="A1469" s="455" t="s">
        <v>1871</v>
      </c>
      <c r="C1469" s="456" t="n">
        <v>45632</v>
      </c>
      <c r="D1469" s="456"/>
      <c r="E1469" s="57" t="n">
        <v>14366</v>
      </c>
      <c r="F1469" s="57" t="s">
        <v>175</v>
      </c>
      <c r="G1469" s="323" t="s">
        <v>7</v>
      </c>
      <c r="H1469" s="98" t="n">
        <v>300</v>
      </c>
      <c r="I1469" s="457" t="n">
        <v>25.71</v>
      </c>
      <c r="J1469" s="313" t="s">
        <v>1651</v>
      </c>
      <c r="K1469" s="458" t="n">
        <f aca="false">I1469*H1469</f>
        <v>7713</v>
      </c>
      <c r="L1469" s="411" t="n">
        <v>5250</v>
      </c>
      <c r="M1469" s="459" t="n">
        <f aca="false">L1469/K1469</f>
        <v>0.680669000388954</v>
      </c>
      <c r="N1469" s="460" t="n">
        <f aca="false">I1469*M1469</f>
        <v>17.5</v>
      </c>
      <c r="O1469" s="461" t="n">
        <v>300</v>
      </c>
      <c r="P1469" s="462" t="n">
        <f aca="false">H1469-O1469</f>
        <v>0</v>
      </c>
      <c r="Q1469" s="463" t="n">
        <f aca="false">O1469*I1469</f>
        <v>7713</v>
      </c>
      <c r="R1469" s="48" t="n">
        <f aca="false">K1469-Q1469</f>
        <v>0</v>
      </c>
      <c r="S1469" s="467"/>
      <c r="T1469" s="2" t="s">
        <v>1711</v>
      </c>
      <c r="V1469" s="464"/>
      <c r="W1469" s="464"/>
      <c r="X1469" s="464"/>
      <c r="Y1469" s="464"/>
      <c r="Z1469" s="464"/>
      <c r="AA1469" s="464"/>
      <c r="AB1469" s="464"/>
      <c r="AC1469" s="464"/>
      <c r="AD1469" s="464"/>
      <c r="AE1469" s="464"/>
      <c r="AF1469" s="464"/>
      <c r="AG1469" s="464"/>
      <c r="AH1469" s="465"/>
      <c r="AI1469" s="464"/>
    </row>
    <row r="1470" customFormat="false" ht="15" hidden="false" customHeight="true" outlineLevel="0" collapsed="false">
      <c r="A1470" s="455" t="s">
        <v>1871</v>
      </c>
      <c r="C1470" s="456" t="n">
        <v>45632</v>
      </c>
      <c r="D1470" s="456"/>
      <c r="E1470" s="57" t="n">
        <v>14366</v>
      </c>
      <c r="F1470" s="57" t="s">
        <v>175</v>
      </c>
      <c r="G1470" s="323" t="s">
        <v>5</v>
      </c>
      <c r="H1470" s="98" t="n">
        <v>3000</v>
      </c>
      <c r="I1470" s="457" t="n">
        <v>25.71</v>
      </c>
      <c r="J1470" s="313" t="s">
        <v>1651</v>
      </c>
      <c r="K1470" s="458" t="n">
        <f aca="false">I1470*H1470</f>
        <v>77130</v>
      </c>
      <c r="L1470" s="411" t="n">
        <v>41100</v>
      </c>
      <c r="M1470" s="459" t="n">
        <f aca="false">L1470/K1470</f>
        <v>0.532866588875924</v>
      </c>
      <c r="N1470" s="460" t="n">
        <f aca="false">I1470*M1470</f>
        <v>13.7</v>
      </c>
      <c r="O1470" s="461" t="n">
        <v>3000</v>
      </c>
      <c r="P1470" s="462" t="n">
        <f aca="false">H1470-O1470</f>
        <v>0</v>
      </c>
      <c r="Q1470" s="463" t="n">
        <f aca="false">O1470*I1470</f>
        <v>77130</v>
      </c>
      <c r="R1470" s="48" t="n">
        <f aca="false">K1470-Q1470</f>
        <v>0</v>
      </c>
      <c r="S1470" s="467"/>
      <c r="T1470" s="2" t="s">
        <v>1711</v>
      </c>
      <c r="V1470" s="464"/>
      <c r="W1470" s="464"/>
      <c r="X1470" s="464"/>
      <c r="Y1470" s="464"/>
      <c r="Z1470" s="464"/>
      <c r="AA1470" s="464"/>
      <c r="AB1470" s="464"/>
      <c r="AC1470" s="464"/>
      <c r="AD1470" s="464"/>
      <c r="AE1470" s="464"/>
      <c r="AF1470" s="464"/>
      <c r="AG1470" s="464"/>
      <c r="AH1470" s="465"/>
      <c r="AI1470" s="464"/>
    </row>
    <row r="1471" customFormat="false" ht="15" hidden="false" customHeight="true" outlineLevel="0" collapsed="false">
      <c r="A1471" s="455" t="s">
        <v>1871</v>
      </c>
      <c r="C1471" s="456" t="n">
        <v>45632</v>
      </c>
      <c r="D1471" s="456"/>
      <c r="E1471" s="57" t="n">
        <v>14366</v>
      </c>
      <c r="F1471" s="57" t="s">
        <v>175</v>
      </c>
      <c r="G1471" s="323" t="s">
        <v>10</v>
      </c>
      <c r="H1471" s="98" t="n">
        <v>5250</v>
      </c>
      <c r="I1471" s="457" t="n">
        <v>25.71</v>
      </c>
      <c r="J1471" s="313" t="s">
        <v>1651</v>
      </c>
      <c r="K1471" s="458" t="n">
        <f aca="false">I1471*H1471</f>
        <v>134977.5</v>
      </c>
      <c r="L1471" s="411" t="n">
        <v>33967.5</v>
      </c>
      <c r="M1471" s="459" t="n">
        <f aca="false">L1471/K1471</f>
        <v>0.251653053286659</v>
      </c>
      <c r="N1471" s="460" t="n">
        <f aca="false">I1471*M1471</f>
        <v>6.47</v>
      </c>
      <c r="O1471" s="461" t="n">
        <v>5250</v>
      </c>
      <c r="P1471" s="462" t="n">
        <f aca="false">H1471-O1471</f>
        <v>0</v>
      </c>
      <c r="Q1471" s="463" t="n">
        <f aca="false">O1471*I1471</f>
        <v>134977.5</v>
      </c>
      <c r="R1471" s="48" t="n">
        <f aca="false">K1471-Q1471</f>
        <v>0</v>
      </c>
      <c r="S1471" s="467"/>
      <c r="T1471" s="2" t="s">
        <v>1711</v>
      </c>
      <c r="V1471" s="464"/>
      <c r="W1471" s="464"/>
      <c r="X1471" s="464"/>
      <c r="Y1471" s="464"/>
      <c r="Z1471" s="464"/>
      <c r="AA1471" s="464"/>
      <c r="AB1471" s="464"/>
      <c r="AC1471" s="464"/>
      <c r="AD1471" s="464"/>
      <c r="AE1471" s="464"/>
      <c r="AF1471" s="464"/>
      <c r="AG1471" s="464"/>
      <c r="AH1471" s="465"/>
      <c r="AI1471" s="464"/>
    </row>
    <row r="1472" customFormat="false" ht="15" hidden="false" customHeight="true" outlineLevel="0" collapsed="false">
      <c r="A1472" s="455" t="s">
        <v>1798</v>
      </c>
      <c r="C1472" s="456" t="n">
        <v>45635</v>
      </c>
      <c r="D1472" s="456"/>
      <c r="E1472" s="57" t="n">
        <v>14369</v>
      </c>
      <c r="F1472" s="323" t="s">
        <v>175</v>
      </c>
      <c r="G1472" s="323" t="s">
        <v>5</v>
      </c>
      <c r="H1472" s="98" t="n">
        <v>1020</v>
      </c>
      <c r="I1472" s="457" t="n">
        <v>25.71</v>
      </c>
      <c r="J1472" s="313" t="s">
        <v>1651</v>
      </c>
      <c r="K1472" s="458" t="n">
        <f aca="false">I1472*H1472</f>
        <v>26224.2</v>
      </c>
      <c r="L1472" s="411" t="n">
        <v>10893.6</v>
      </c>
      <c r="M1472" s="459" t="n">
        <f aca="false">L1472/K1472</f>
        <v>0.415402567094516</v>
      </c>
      <c r="N1472" s="460" t="n">
        <f aca="false">I1472*M1472</f>
        <v>10.68</v>
      </c>
      <c r="O1472" s="461" t="n">
        <v>1020</v>
      </c>
      <c r="P1472" s="462" t="n">
        <f aca="false">H1472-O1472</f>
        <v>0</v>
      </c>
      <c r="Q1472" s="463" t="n">
        <f aca="false">O1472*I1472</f>
        <v>26224.2</v>
      </c>
      <c r="R1472" s="48" t="n">
        <f aca="false">K1472-Q1472</f>
        <v>0</v>
      </c>
      <c r="S1472" s="467"/>
      <c r="T1472" s="2" t="s">
        <v>1711</v>
      </c>
      <c r="V1472" s="464"/>
      <c r="W1472" s="464"/>
      <c r="X1472" s="464"/>
      <c r="Y1472" s="464"/>
      <c r="Z1472" s="464"/>
      <c r="AA1472" s="464"/>
      <c r="AB1472" s="464"/>
      <c r="AC1472" s="464"/>
      <c r="AD1472" s="464"/>
      <c r="AE1472" s="464"/>
      <c r="AF1472" s="464"/>
      <c r="AG1472" s="464"/>
      <c r="AH1472" s="465"/>
      <c r="AI1472" s="464"/>
    </row>
    <row r="1473" customFormat="false" ht="15" hidden="false" customHeight="true" outlineLevel="0" collapsed="false">
      <c r="A1473" s="455" t="s">
        <v>1926</v>
      </c>
      <c r="C1473" s="456" t="n">
        <v>45635</v>
      </c>
      <c r="D1473" s="456"/>
      <c r="E1473" s="57" t="n">
        <v>14370</v>
      </c>
      <c r="F1473" s="323" t="s">
        <v>175</v>
      </c>
      <c r="G1473" s="323" t="s">
        <v>11</v>
      </c>
      <c r="H1473" s="98" t="n">
        <v>60</v>
      </c>
      <c r="I1473" s="457" t="n">
        <v>14</v>
      </c>
      <c r="J1473" s="313" t="s">
        <v>1651</v>
      </c>
      <c r="K1473" s="458" t="n">
        <f aca="false">I1473*H1473</f>
        <v>840</v>
      </c>
      <c r="L1473" s="411" t="n">
        <v>3900</v>
      </c>
      <c r="M1473" s="459" t="n">
        <f aca="false">L1473/K1473</f>
        <v>4.64285714285714</v>
      </c>
      <c r="N1473" s="460" t="n">
        <f aca="false">I1473*M1473</f>
        <v>65</v>
      </c>
      <c r="O1473" s="461" t="n">
        <v>60</v>
      </c>
      <c r="P1473" s="462" t="n">
        <f aca="false">H1473-O1473</f>
        <v>0</v>
      </c>
      <c r="Q1473" s="463" t="n">
        <f aca="false">O1473*I1473</f>
        <v>840</v>
      </c>
      <c r="R1473" s="48" t="n">
        <f aca="false">K1473-Q1473</f>
        <v>0</v>
      </c>
      <c r="S1473" s="467"/>
      <c r="T1473" s="2" t="s">
        <v>1711</v>
      </c>
      <c r="V1473" s="464"/>
      <c r="W1473" s="464"/>
      <c r="X1473" s="464"/>
      <c r="Y1473" s="464"/>
      <c r="Z1473" s="464"/>
      <c r="AA1473" s="464"/>
      <c r="AB1473" s="464"/>
      <c r="AC1473" s="464"/>
      <c r="AD1473" s="464"/>
      <c r="AE1473" s="464"/>
      <c r="AF1473" s="464"/>
      <c r="AG1473" s="464"/>
      <c r="AH1473" s="465"/>
      <c r="AI1473" s="464"/>
    </row>
    <row r="1474" customFormat="false" ht="15" hidden="false" customHeight="true" outlineLevel="0" collapsed="false">
      <c r="A1474" s="455" t="s">
        <v>2006</v>
      </c>
      <c r="C1474" s="456" t="n">
        <v>45636</v>
      </c>
      <c r="D1474" s="456"/>
      <c r="E1474" s="57" t="n">
        <v>14374</v>
      </c>
      <c r="F1474" s="57" t="s">
        <v>175</v>
      </c>
      <c r="G1474" s="323" t="s">
        <v>10</v>
      </c>
      <c r="H1474" s="98" t="n">
        <v>3000</v>
      </c>
      <c r="I1474" s="457" t="n">
        <v>90</v>
      </c>
      <c r="J1474" s="313" t="s">
        <v>1653</v>
      </c>
      <c r="K1474" s="458" t="n">
        <f aca="false">I1474*H1474</f>
        <v>270000</v>
      </c>
      <c r="L1474" s="411" t="n">
        <v>44400</v>
      </c>
      <c r="M1474" s="459" t="n">
        <f aca="false">L1474/K1474</f>
        <v>0.164444444444444</v>
      </c>
      <c r="N1474" s="460" t="n">
        <f aca="false">I1474*M1474</f>
        <v>14.8</v>
      </c>
      <c r="O1474" s="461" t="n">
        <v>3000</v>
      </c>
      <c r="P1474" s="462" t="n">
        <f aca="false">H1474-O1474</f>
        <v>0</v>
      </c>
      <c r="Q1474" s="463" t="n">
        <f aca="false">O1474*I1474</f>
        <v>270000</v>
      </c>
      <c r="R1474" s="48" t="n">
        <f aca="false">K1474-Q1474</f>
        <v>0</v>
      </c>
      <c r="S1474" s="467"/>
      <c r="T1474" s="2" t="s">
        <v>1711</v>
      </c>
      <c r="V1474" s="464"/>
      <c r="W1474" s="464"/>
      <c r="X1474" s="464"/>
      <c r="Y1474" s="464"/>
      <c r="Z1474" s="464"/>
      <c r="AA1474" s="464"/>
      <c r="AB1474" s="464"/>
      <c r="AC1474" s="464"/>
      <c r="AD1474" s="464"/>
      <c r="AE1474" s="464"/>
      <c r="AF1474" s="464"/>
      <c r="AG1474" s="464"/>
      <c r="AH1474" s="465"/>
      <c r="AI1474" s="464"/>
    </row>
    <row r="1475" customFormat="false" ht="15" hidden="false" customHeight="true" outlineLevel="0" collapsed="false">
      <c r="A1475" s="455" t="s">
        <v>1755</v>
      </c>
      <c r="C1475" s="456" t="n">
        <v>45636</v>
      </c>
      <c r="D1475" s="456"/>
      <c r="E1475" s="57" t="n">
        <v>14375</v>
      </c>
      <c r="F1475" s="323" t="s">
        <v>175</v>
      </c>
      <c r="G1475" s="323" t="s">
        <v>6</v>
      </c>
      <c r="H1475" s="98" t="n">
        <v>4005</v>
      </c>
      <c r="I1475" s="457" t="n">
        <v>45</v>
      </c>
      <c r="J1475" s="313" t="s">
        <v>1652</v>
      </c>
      <c r="K1475" s="458" t="n">
        <f aca="false">I1475*H1475</f>
        <v>180225</v>
      </c>
      <c r="L1475" s="411" t="n">
        <v>79659.45</v>
      </c>
      <c r="M1475" s="459" t="n">
        <f aca="false">L1475/K1475</f>
        <v>0.442</v>
      </c>
      <c r="N1475" s="460" t="n">
        <f aca="false">I1475*M1475</f>
        <v>19.89</v>
      </c>
      <c r="O1475" s="461" t="n">
        <v>4005</v>
      </c>
      <c r="P1475" s="462" t="n">
        <f aca="false">H1475-O1475</f>
        <v>0</v>
      </c>
      <c r="Q1475" s="463" t="n">
        <f aca="false">O1475*I1475</f>
        <v>180225</v>
      </c>
      <c r="R1475" s="48" t="n">
        <f aca="false">K1475-Q1475</f>
        <v>0</v>
      </c>
      <c r="S1475" s="467"/>
      <c r="T1475" s="2" t="s">
        <v>1711</v>
      </c>
      <c r="V1475" s="464"/>
      <c r="W1475" s="464"/>
      <c r="X1475" s="464"/>
      <c r="Y1475" s="464"/>
      <c r="Z1475" s="464"/>
      <c r="AA1475" s="464"/>
      <c r="AB1475" s="464"/>
      <c r="AC1475" s="464"/>
      <c r="AD1475" s="464"/>
      <c r="AE1475" s="464"/>
      <c r="AF1475" s="464"/>
      <c r="AG1475" s="464"/>
      <c r="AH1475" s="465"/>
      <c r="AI1475" s="464"/>
    </row>
    <row r="1476" customFormat="false" ht="15" hidden="false" customHeight="true" outlineLevel="0" collapsed="false">
      <c r="A1476" s="455" t="s">
        <v>1719</v>
      </c>
      <c r="C1476" s="456" t="n">
        <v>45636</v>
      </c>
      <c r="D1476" s="456"/>
      <c r="E1476" s="57" t="n">
        <v>14377</v>
      </c>
      <c r="F1476" s="323" t="s">
        <v>175</v>
      </c>
      <c r="G1476" s="323" t="s">
        <v>21</v>
      </c>
      <c r="H1476" s="98" t="n">
        <v>480</v>
      </c>
      <c r="I1476" s="457" t="n">
        <v>1</v>
      </c>
      <c r="J1476" s="313" t="s">
        <v>1653</v>
      </c>
      <c r="K1476" s="458" t="n">
        <f aca="false">I1476*H1476</f>
        <v>480</v>
      </c>
      <c r="L1476" s="411" t="n">
        <v>2640</v>
      </c>
      <c r="M1476" s="459" t="n">
        <f aca="false">L1476/K1476</f>
        <v>5.5</v>
      </c>
      <c r="N1476" s="460" t="n">
        <f aca="false">I1476*M1476</f>
        <v>5.5</v>
      </c>
      <c r="O1476" s="461" t="n">
        <v>480</v>
      </c>
      <c r="P1476" s="462" t="n">
        <f aca="false">H1476-O1476</f>
        <v>0</v>
      </c>
      <c r="Q1476" s="463" t="n">
        <f aca="false">O1476*I1476</f>
        <v>480</v>
      </c>
      <c r="R1476" s="48" t="n">
        <f aca="false">K1476-Q1476</f>
        <v>0</v>
      </c>
      <c r="S1476" s="467"/>
      <c r="T1476" s="2" t="s">
        <v>1711</v>
      </c>
      <c r="V1476" s="464"/>
      <c r="W1476" s="464"/>
      <c r="X1476" s="464"/>
      <c r="Y1476" s="464"/>
      <c r="Z1476" s="464"/>
      <c r="AA1476" s="464"/>
      <c r="AB1476" s="464"/>
      <c r="AC1476" s="464"/>
      <c r="AD1476" s="464"/>
      <c r="AE1476" s="464"/>
      <c r="AF1476" s="464"/>
      <c r="AG1476" s="464"/>
      <c r="AH1476" s="465"/>
      <c r="AI1476" s="464"/>
    </row>
    <row r="1477" customFormat="false" ht="15" hidden="false" customHeight="true" outlineLevel="0" collapsed="false">
      <c r="A1477" s="455" t="s">
        <v>2007</v>
      </c>
      <c r="C1477" s="456" t="n">
        <v>45636</v>
      </c>
      <c r="D1477" s="456"/>
      <c r="E1477" s="57" t="n">
        <v>14378</v>
      </c>
      <c r="F1477" s="323" t="s">
        <v>175</v>
      </c>
      <c r="G1477" s="323" t="s">
        <v>6</v>
      </c>
      <c r="H1477" s="98" t="n">
        <v>90</v>
      </c>
      <c r="I1477" s="457" t="n">
        <v>30</v>
      </c>
      <c r="J1477" s="313" t="s">
        <v>1651</v>
      </c>
      <c r="K1477" s="458" t="n">
        <f aca="false">I1477*H1477</f>
        <v>2700</v>
      </c>
      <c r="L1477" s="411" t="n">
        <v>2304.9</v>
      </c>
      <c r="M1477" s="459" t="n">
        <f aca="false">L1477/K1477</f>
        <v>0.853666666666667</v>
      </c>
      <c r="N1477" s="460" t="n">
        <f aca="false">I1477*M1477</f>
        <v>25.61</v>
      </c>
      <c r="O1477" s="461" t="n">
        <v>90</v>
      </c>
      <c r="P1477" s="462" t="n">
        <f aca="false">H1477-O1477</f>
        <v>0</v>
      </c>
      <c r="Q1477" s="463" t="n">
        <f aca="false">O1477*I1477</f>
        <v>2700</v>
      </c>
      <c r="R1477" s="48" t="n">
        <f aca="false">K1477-Q1477</f>
        <v>0</v>
      </c>
      <c r="S1477" s="467"/>
      <c r="T1477" s="2" t="s">
        <v>1711</v>
      </c>
      <c r="V1477" s="464"/>
      <c r="W1477" s="464"/>
      <c r="X1477" s="464"/>
      <c r="Y1477" s="464"/>
      <c r="Z1477" s="464"/>
      <c r="AA1477" s="464"/>
      <c r="AB1477" s="464"/>
      <c r="AC1477" s="464"/>
      <c r="AD1477" s="464"/>
      <c r="AE1477" s="464"/>
      <c r="AF1477" s="464"/>
      <c r="AG1477" s="464"/>
      <c r="AH1477" s="465"/>
      <c r="AI1477" s="464"/>
    </row>
    <row r="1478" customFormat="false" ht="15" hidden="false" customHeight="true" outlineLevel="0" collapsed="false">
      <c r="A1478" s="455" t="s">
        <v>2007</v>
      </c>
      <c r="C1478" s="456" t="n">
        <v>45636</v>
      </c>
      <c r="D1478" s="456"/>
      <c r="E1478" s="57" t="n">
        <v>14378</v>
      </c>
      <c r="F1478" s="323" t="s">
        <v>175</v>
      </c>
      <c r="G1478" s="323" t="s">
        <v>10</v>
      </c>
      <c r="H1478" s="98" t="n">
        <v>90</v>
      </c>
      <c r="I1478" s="457" t="n">
        <v>25.71</v>
      </c>
      <c r="J1478" s="313" t="s">
        <v>1651</v>
      </c>
      <c r="K1478" s="458" t="n">
        <f aca="false">I1478*H1478</f>
        <v>2313.9</v>
      </c>
      <c r="L1478" s="411" t="n">
        <v>2006.1</v>
      </c>
      <c r="M1478" s="459" t="n">
        <f aca="false">L1478/K1478</f>
        <v>0.866977829638273</v>
      </c>
      <c r="N1478" s="460" t="n">
        <f aca="false">I1478*M1478</f>
        <v>22.29</v>
      </c>
      <c r="O1478" s="461" t="n">
        <v>90</v>
      </c>
      <c r="P1478" s="462" t="n">
        <f aca="false">H1478-O1478</f>
        <v>0</v>
      </c>
      <c r="Q1478" s="463" t="n">
        <f aca="false">O1478*I1478</f>
        <v>2313.9</v>
      </c>
      <c r="R1478" s="48" t="n">
        <f aca="false">K1478-Q1478</f>
        <v>0</v>
      </c>
      <c r="S1478" s="467"/>
      <c r="T1478" s="2" t="s">
        <v>1711</v>
      </c>
      <c r="V1478" s="464"/>
      <c r="W1478" s="464"/>
      <c r="X1478" s="464"/>
      <c r="Y1478" s="464"/>
      <c r="Z1478" s="464"/>
      <c r="AA1478" s="464"/>
      <c r="AB1478" s="464"/>
      <c r="AC1478" s="464"/>
      <c r="AD1478" s="464"/>
      <c r="AE1478" s="464"/>
      <c r="AF1478" s="464"/>
      <c r="AG1478" s="464"/>
      <c r="AH1478" s="465"/>
      <c r="AI1478" s="464"/>
    </row>
    <row r="1479" customFormat="false" ht="15" hidden="false" customHeight="true" outlineLevel="0" collapsed="false">
      <c r="A1479" s="455" t="s">
        <v>2007</v>
      </c>
      <c r="C1479" s="456" t="n">
        <v>45636</v>
      </c>
      <c r="D1479" s="456"/>
      <c r="E1479" s="57" t="n">
        <v>14378</v>
      </c>
      <c r="F1479" s="323" t="s">
        <v>175</v>
      </c>
      <c r="G1479" s="323" t="s">
        <v>10</v>
      </c>
      <c r="H1479" s="98" t="n">
        <v>2010</v>
      </c>
      <c r="I1479" s="457" t="n">
        <v>90</v>
      </c>
      <c r="J1479" s="313" t="s">
        <v>1653</v>
      </c>
      <c r="K1479" s="458" t="n">
        <f aca="false">I1479*H1479</f>
        <v>180900</v>
      </c>
      <c r="L1479" s="411" t="n">
        <v>28140</v>
      </c>
      <c r="M1479" s="459" t="n">
        <f aca="false">L1479/K1479</f>
        <v>0.155555555555556</v>
      </c>
      <c r="N1479" s="460" t="n">
        <f aca="false">I1479*M1479</f>
        <v>14</v>
      </c>
      <c r="O1479" s="461" t="n">
        <v>2010</v>
      </c>
      <c r="P1479" s="462" t="n">
        <f aca="false">H1479-O1479</f>
        <v>0</v>
      </c>
      <c r="Q1479" s="463" t="n">
        <f aca="false">O1479*I1479</f>
        <v>180900</v>
      </c>
      <c r="R1479" s="48" t="n">
        <f aca="false">K1479-Q1479</f>
        <v>0</v>
      </c>
      <c r="S1479" s="467"/>
      <c r="T1479" s="2" t="s">
        <v>1711</v>
      </c>
      <c r="V1479" s="464"/>
      <c r="W1479" s="464"/>
      <c r="X1479" s="464"/>
      <c r="Y1479" s="464"/>
      <c r="Z1479" s="464"/>
      <c r="AA1479" s="464"/>
      <c r="AB1479" s="464"/>
      <c r="AC1479" s="464"/>
      <c r="AD1479" s="464"/>
      <c r="AE1479" s="464"/>
      <c r="AF1479" s="464"/>
      <c r="AG1479" s="464"/>
      <c r="AH1479" s="465"/>
      <c r="AI1479" s="464"/>
    </row>
    <row r="1480" customFormat="false" ht="15" hidden="false" customHeight="true" outlineLevel="0" collapsed="false">
      <c r="A1480" s="455" t="s">
        <v>2008</v>
      </c>
      <c r="C1480" s="456" t="n">
        <v>45636</v>
      </c>
      <c r="D1480" s="456"/>
      <c r="E1480" s="57" t="n">
        <v>14380</v>
      </c>
      <c r="F1480" s="323" t="s">
        <v>175</v>
      </c>
      <c r="G1480" s="323" t="s">
        <v>5</v>
      </c>
      <c r="H1480" s="98" t="n">
        <v>705</v>
      </c>
      <c r="I1480" s="457" t="n">
        <v>37.5</v>
      </c>
      <c r="J1480" s="313" t="s">
        <v>1652</v>
      </c>
      <c r="K1480" s="458" t="n">
        <f aca="false">I1480*H1480</f>
        <v>26437.5</v>
      </c>
      <c r="L1480" s="411" t="n">
        <v>15615.75</v>
      </c>
      <c r="M1480" s="459" t="n">
        <f aca="false">L1480/K1480</f>
        <v>0.590666666666667</v>
      </c>
      <c r="N1480" s="460" t="n">
        <f aca="false">I1480*M1480</f>
        <v>22.15</v>
      </c>
      <c r="O1480" s="461" t="n">
        <v>705</v>
      </c>
      <c r="P1480" s="462" t="n">
        <f aca="false">H1480-O1480</f>
        <v>0</v>
      </c>
      <c r="Q1480" s="463" t="n">
        <f aca="false">O1480*I1480</f>
        <v>26437.5</v>
      </c>
      <c r="R1480" s="48" t="n">
        <f aca="false">K1480-Q1480</f>
        <v>0</v>
      </c>
      <c r="S1480" s="467"/>
      <c r="T1480" s="2" t="s">
        <v>1711</v>
      </c>
      <c r="V1480" s="464"/>
      <c r="W1480" s="464"/>
      <c r="X1480" s="464"/>
      <c r="Y1480" s="464"/>
      <c r="Z1480" s="464"/>
      <c r="AA1480" s="464"/>
      <c r="AB1480" s="464"/>
      <c r="AC1480" s="464"/>
      <c r="AD1480" s="464"/>
      <c r="AE1480" s="464"/>
      <c r="AF1480" s="464"/>
      <c r="AG1480" s="464"/>
      <c r="AH1480" s="465"/>
      <c r="AI1480" s="464"/>
    </row>
    <row r="1481" customFormat="false" ht="15" hidden="false" customHeight="true" outlineLevel="0" collapsed="false">
      <c r="A1481" s="455" t="s">
        <v>2008</v>
      </c>
      <c r="C1481" s="456" t="n">
        <v>45636</v>
      </c>
      <c r="D1481" s="456"/>
      <c r="E1481" s="57" t="n">
        <v>14380</v>
      </c>
      <c r="F1481" s="323" t="s">
        <v>175</v>
      </c>
      <c r="G1481" s="323" t="s">
        <v>19</v>
      </c>
      <c r="H1481" s="98" t="n">
        <v>1350</v>
      </c>
      <c r="I1481" s="457" t="n">
        <v>90</v>
      </c>
      <c r="J1481" s="313" t="s">
        <v>1653</v>
      </c>
      <c r="K1481" s="458" t="n">
        <f aca="false">I1481*H1481</f>
        <v>121500</v>
      </c>
      <c r="L1481" s="411" t="n">
        <v>68499</v>
      </c>
      <c r="M1481" s="459" t="n">
        <f aca="false">L1481/K1481</f>
        <v>0.563777777777778</v>
      </c>
      <c r="N1481" s="460" t="n">
        <f aca="false">I1481*M1481</f>
        <v>50.74</v>
      </c>
      <c r="O1481" s="461" t="n">
        <v>1350</v>
      </c>
      <c r="P1481" s="462" t="n">
        <f aca="false">H1481-O1481</f>
        <v>0</v>
      </c>
      <c r="Q1481" s="463" t="n">
        <f aca="false">O1481*I1481</f>
        <v>121500</v>
      </c>
      <c r="R1481" s="48" t="n">
        <f aca="false">K1481-Q1481</f>
        <v>0</v>
      </c>
      <c r="S1481" s="467"/>
      <c r="T1481" s="2" t="s">
        <v>1711</v>
      </c>
      <c r="V1481" s="464"/>
      <c r="W1481" s="464"/>
      <c r="X1481" s="464"/>
      <c r="Y1481" s="464"/>
      <c r="Z1481" s="464"/>
      <c r="AA1481" s="464"/>
      <c r="AB1481" s="464"/>
      <c r="AC1481" s="464"/>
      <c r="AD1481" s="464"/>
      <c r="AE1481" s="464"/>
      <c r="AF1481" s="464"/>
      <c r="AG1481" s="464"/>
      <c r="AH1481" s="465"/>
      <c r="AI1481" s="464"/>
    </row>
    <row r="1482" customFormat="false" ht="15" hidden="false" customHeight="true" outlineLevel="0" collapsed="false">
      <c r="A1482" s="455" t="s">
        <v>2009</v>
      </c>
      <c r="C1482" s="456" t="n">
        <v>45636</v>
      </c>
      <c r="D1482" s="456"/>
      <c r="E1482" s="57" t="n">
        <v>14381</v>
      </c>
      <c r="F1482" s="323" t="s">
        <v>175</v>
      </c>
      <c r="G1482" s="323" t="s">
        <v>5</v>
      </c>
      <c r="H1482" s="98" t="n">
        <v>1005</v>
      </c>
      <c r="I1482" s="457" t="n">
        <v>25.71</v>
      </c>
      <c r="J1482" s="313" t="s">
        <v>1651</v>
      </c>
      <c r="K1482" s="458" t="n">
        <f aca="false">I1482*H1482</f>
        <v>25838.55</v>
      </c>
      <c r="L1482" s="411" t="n">
        <v>16080</v>
      </c>
      <c r="M1482" s="459" t="n">
        <f aca="false">L1482/K1482</f>
        <v>0.622325943212758</v>
      </c>
      <c r="N1482" s="460" t="n">
        <f aca="false">I1482*M1482</f>
        <v>16</v>
      </c>
      <c r="O1482" s="461" t="n">
        <v>1005</v>
      </c>
      <c r="P1482" s="462" t="n">
        <f aca="false">H1482-O1482</f>
        <v>0</v>
      </c>
      <c r="Q1482" s="463" t="n">
        <f aca="false">O1482*I1482</f>
        <v>25838.55</v>
      </c>
      <c r="R1482" s="48" t="n">
        <f aca="false">K1482-Q1482</f>
        <v>0</v>
      </c>
      <c r="S1482" s="467"/>
      <c r="T1482" s="2" t="s">
        <v>1711</v>
      </c>
      <c r="V1482" s="464"/>
      <c r="W1482" s="464"/>
      <c r="X1482" s="464"/>
      <c r="Y1482" s="464"/>
      <c r="Z1482" s="464"/>
      <c r="AA1482" s="464"/>
      <c r="AB1482" s="464"/>
      <c r="AC1482" s="464"/>
      <c r="AD1482" s="464"/>
      <c r="AE1482" s="464"/>
      <c r="AF1482" s="464"/>
      <c r="AG1482" s="464"/>
      <c r="AH1482" s="465"/>
      <c r="AI1482" s="464"/>
    </row>
    <row r="1483" customFormat="false" ht="15" hidden="false" customHeight="true" outlineLevel="0" collapsed="false">
      <c r="A1483" s="455" t="s">
        <v>2009</v>
      </c>
      <c r="C1483" s="456" t="n">
        <v>45636</v>
      </c>
      <c r="D1483" s="456"/>
      <c r="E1483" s="57" t="n">
        <v>14381</v>
      </c>
      <c r="F1483" s="323" t="s">
        <v>175</v>
      </c>
      <c r="G1483" s="323" t="s">
        <v>13</v>
      </c>
      <c r="H1483" s="98" t="n">
        <v>1005</v>
      </c>
      <c r="I1483" s="457" t="n">
        <v>22.5</v>
      </c>
      <c r="J1483" s="313" t="s">
        <v>1651</v>
      </c>
      <c r="K1483" s="458" t="n">
        <f aca="false">I1483*H1483</f>
        <v>22612.5</v>
      </c>
      <c r="L1483" s="411" t="n">
        <v>15075</v>
      </c>
      <c r="M1483" s="459" t="n">
        <f aca="false">L1483/K1483</f>
        <v>0.666666666666667</v>
      </c>
      <c r="N1483" s="460" t="n">
        <f aca="false">I1483*M1483</f>
        <v>15</v>
      </c>
      <c r="O1483" s="461" t="n">
        <v>1005</v>
      </c>
      <c r="P1483" s="462" t="n">
        <f aca="false">H1483-O1483</f>
        <v>0</v>
      </c>
      <c r="Q1483" s="463" t="n">
        <f aca="false">O1483*I1483</f>
        <v>22612.5</v>
      </c>
      <c r="R1483" s="48" t="n">
        <f aca="false">K1483-Q1483</f>
        <v>0</v>
      </c>
      <c r="S1483" s="467"/>
      <c r="T1483" s="2" t="s">
        <v>1711</v>
      </c>
      <c r="V1483" s="464"/>
      <c r="W1483" s="464"/>
      <c r="X1483" s="464"/>
      <c r="Y1483" s="464"/>
      <c r="Z1483" s="464"/>
      <c r="AA1483" s="464"/>
      <c r="AB1483" s="464"/>
      <c r="AC1483" s="464"/>
      <c r="AD1483" s="464"/>
      <c r="AE1483" s="464"/>
      <c r="AF1483" s="464"/>
      <c r="AG1483" s="464"/>
      <c r="AH1483" s="465"/>
      <c r="AI1483" s="464"/>
    </row>
    <row r="1484" customFormat="false" ht="15" hidden="false" customHeight="true" outlineLevel="0" collapsed="false">
      <c r="A1484" s="455" t="s">
        <v>2009</v>
      </c>
      <c r="C1484" s="456" t="n">
        <v>45636</v>
      </c>
      <c r="D1484" s="456"/>
      <c r="E1484" s="57" t="n">
        <v>14381</v>
      </c>
      <c r="F1484" s="323" t="s">
        <v>175</v>
      </c>
      <c r="G1484" s="323" t="s">
        <v>16</v>
      </c>
      <c r="H1484" s="98" t="n">
        <v>1000</v>
      </c>
      <c r="I1484" s="457" t="n">
        <v>22.5</v>
      </c>
      <c r="J1484" s="313" t="s">
        <v>1651</v>
      </c>
      <c r="K1484" s="458" t="n">
        <f aca="false">I1484*H1484</f>
        <v>22500</v>
      </c>
      <c r="L1484" s="411" t="n">
        <v>19000</v>
      </c>
      <c r="M1484" s="459" t="n">
        <f aca="false">L1484/K1484</f>
        <v>0.844444444444444</v>
      </c>
      <c r="N1484" s="460" t="n">
        <f aca="false">I1484*M1484</f>
        <v>19</v>
      </c>
      <c r="O1484" s="461" t="n">
        <v>1000</v>
      </c>
      <c r="P1484" s="462" t="n">
        <f aca="false">H1484-O1484</f>
        <v>0</v>
      </c>
      <c r="Q1484" s="463" t="n">
        <f aca="false">O1484*I1484</f>
        <v>22500</v>
      </c>
      <c r="R1484" s="48" t="n">
        <f aca="false">K1484-Q1484</f>
        <v>0</v>
      </c>
      <c r="S1484" s="467"/>
      <c r="T1484" s="2" t="s">
        <v>1711</v>
      </c>
      <c r="V1484" s="464"/>
      <c r="W1484" s="464"/>
      <c r="X1484" s="464"/>
      <c r="Y1484" s="464"/>
      <c r="Z1484" s="464"/>
      <c r="AA1484" s="464"/>
      <c r="AB1484" s="464"/>
      <c r="AC1484" s="464"/>
      <c r="AD1484" s="464"/>
      <c r="AE1484" s="464"/>
      <c r="AF1484" s="464"/>
      <c r="AG1484" s="464"/>
      <c r="AH1484" s="465"/>
      <c r="AI1484" s="464"/>
    </row>
    <row r="1485" customFormat="false" ht="15" hidden="false" customHeight="true" outlineLevel="0" collapsed="false">
      <c r="A1485" s="455" t="s">
        <v>2009</v>
      </c>
      <c r="C1485" s="456" t="n">
        <v>45636</v>
      </c>
      <c r="D1485" s="456"/>
      <c r="E1485" s="57" t="n">
        <v>14381</v>
      </c>
      <c r="F1485" s="323" t="s">
        <v>175</v>
      </c>
      <c r="G1485" s="323" t="s">
        <v>5</v>
      </c>
      <c r="H1485" s="98" t="n">
        <v>1995</v>
      </c>
      <c r="I1485" s="457" t="n">
        <v>25.71</v>
      </c>
      <c r="J1485" s="313" t="s">
        <v>1651</v>
      </c>
      <c r="K1485" s="458" t="n">
        <f aca="false">I1485*H1485</f>
        <v>51291.45</v>
      </c>
      <c r="L1485" s="411" t="n">
        <v>31920</v>
      </c>
      <c r="M1485" s="459" t="n">
        <f aca="false">L1485/K1485</f>
        <v>0.622325943212758</v>
      </c>
      <c r="N1485" s="460" t="n">
        <f aca="false">I1485*M1485</f>
        <v>16</v>
      </c>
      <c r="O1485" s="461" t="n">
        <v>1995</v>
      </c>
      <c r="P1485" s="462" t="n">
        <f aca="false">H1485-O1485</f>
        <v>0</v>
      </c>
      <c r="Q1485" s="463" t="n">
        <f aca="false">O1485*I1485</f>
        <v>51291.45</v>
      </c>
      <c r="R1485" s="48" t="n">
        <f aca="false">K1485-Q1485</f>
        <v>0</v>
      </c>
      <c r="S1485" s="467"/>
      <c r="T1485" s="2" t="s">
        <v>1711</v>
      </c>
      <c r="V1485" s="464"/>
      <c r="W1485" s="464"/>
      <c r="X1485" s="464"/>
      <c r="Y1485" s="464"/>
      <c r="Z1485" s="464"/>
      <c r="AA1485" s="464"/>
      <c r="AB1485" s="464"/>
      <c r="AC1485" s="464"/>
      <c r="AD1485" s="464"/>
      <c r="AE1485" s="464"/>
      <c r="AF1485" s="464"/>
      <c r="AG1485" s="464"/>
      <c r="AH1485" s="465"/>
      <c r="AI1485" s="464"/>
    </row>
    <row r="1486" customFormat="false" ht="15" hidden="false" customHeight="true" outlineLevel="0" collapsed="false">
      <c r="A1486" s="455" t="s">
        <v>2009</v>
      </c>
      <c r="C1486" s="456" t="n">
        <v>45636</v>
      </c>
      <c r="D1486" s="456"/>
      <c r="E1486" s="323" t="n">
        <v>14381</v>
      </c>
      <c r="F1486" s="323" t="s">
        <v>175</v>
      </c>
      <c r="G1486" s="323" t="s">
        <v>13</v>
      </c>
      <c r="H1486" s="98" t="n">
        <v>1995</v>
      </c>
      <c r="I1486" s="457" t="n">
        <v>22.5</v>
      </c>
      <c r="J1486" s="313" t="s">
        <v>1651</v>
      </c>
      <c r="K1486" s="458" t="n">
        <f aca="false">I1486*H1486</f>
        <v>44887.5</v>
      </c>
      <c r="L1486" s="411" t="n">
        <v>29925</v>
      </c>
      <c r="M1486" s="459" t="n">
        <f aca="false">L1486/K1486</f>
        <v>0.666666666666667</v>
      </c>
      <c r="N1486" s="460" t="n">
        <f aca="false">I1486*M1486</f>
        <v>15</v>
      </c>
      <c r="O1486" s="461" t="n">
        <v>1995</v>
      </c>
      <c r="P1486" s="462" t="n">
        <f aca="false">H1486-O1486</f>
        <v>0</v>
      </c>
      <c r="Q1486" s="463" t="n">
        <f aca="false">O1486*I1486</f>
        <v>44887.5</v>
      </c>
      <c r="R1486" s="48" t="n">
        <f aca="false">K1486-Q1486</f>
        <v>0</v>
      </c>
      <c r="S1486" s="467"/>
      <c r="T1486" s="2" t="s">
        <v>1711</v>
      </c>
      <c r="V1486" s="464"/>
      <c r="W1486" s="464"/>
      <c r="X1486" s="464"/>
      <c r="Y1486" s="464"/>
      <c r="Z1486" s="464"/>
      <c r="AA1486" s="464"/>
      <c r="AB1486" s="464"/>
      <c r="AC1486" s="464"/>
      <c r="AD1486" s="464"/>
      <c r="AE1486" s="464"/>
      <c r="AF1486" s="464"/>
      <c r="AG1486" s="464"/>
      <c r="AH1486" s="465"/>
      <c r="AI1486" s="464"/>
    </row>
    <row r="1487" customFormat="false" ht="15" hidden="false" customHeight="true" outlineLevel="0" collapsed="false">
      <c r="A1487" s="455" t="s">
        <v>2009</v>
      </c>
      <c r="C1487" s="456" t="n">
        <v>45636</v>
      </c>
      <c r="D1487" s="456"/>
      <c r="E1487" s="57" t="n">
        <v>14381</v>
      </c>
      <c r="F1487" s="323" t="s">
        <v>175</v>
      </c>
      <c r="G1487" s="323" t="s">
        <v>17</v>
      </c>
      <c r="H1487" s="98" t="n">
        <v>3000</v>
      </c>
      <c r="I1487" s="457" t="n">
        <v>22.5</v>
      </c>
      <c r="J1487" s="313" t="s">
        <v>1651</v>
      </c>
      <c r="K1487" s="458" t="n">
        <f aca="false">I1487*H1487</f>
        <v>67500</v>
      </c>
      <c r="L1487" s="411" t="n">
        <v>45000</v>
      </c>
      <c r="M1487" s="459" t="n">
        <f aca="false">L1487/K1487</f>
        <v>0.666666666666667</v>
      </c>
      <c r="N1487" s="460" t="n">
        <f aca="false">I1487*M1487</f>
        <v>15</v>
      </c>
      <c r="O1487" s="461" t="n">
        <v>3000</v>
      </c>
      <c r="P1487" s="462" t="n">
        <f aca="false">H1487-O1487</f>
        <v>0</v>
      </c>
      <c r="Q1487" s="463" t="n">
        <f aca="false">O1487*I1487</f>
        <v>67500</v>
      </c>
      <c r="R1487" s="48" t="n">
        <f aca="false">K1487-Q1487</f>
        <v>0</v>
      </c>
      <c r="S1487" s="467"/>
      <c r="T1487" s="2" t="s">
        <v>1711</v>
      </c>
      <c r="V1487" s="464"/>
      <c r="W1487" s="464"/>
      <c r="X1487" s="464"/>
      <c r="Y1487" s="464"/>
      <c r="Z1487" s="464"/>
      <c r="AA1487" s="464"/>
      <c r="AB1487" s="464"/>
      <c r="AC1487" s="464"/>
      <c r="AD1487" s="464"/>
      <c r="AE1487" s="464"/>
      <c r="AF1487" s="464"/>
      <c r="AG1487" s="464"/>
      <c r="AH1487" s="465"/>
      <c r="AI1487" s="464"/>
    </row>
    <row r="1488" customFormat="false" ht="15" hidden="false" customHeight="true" outlineLevel="0" collapsed="false">
      <c r="A1488" s="455" t="s">
        <v>2009</v>
      </c>
      <c r="C1488" s="456" t="n">
        <v>45636</v>
      </c>
      <c r="D1488" s="456"/>
      <c r="E1488" s="57" t="n">
        <v>14381</v>
      </c>
      <c r="F1488" s="323" t="s">
        <v>175</v>
      </c>
      <c r="G1488" s="323" t="s">
        <v>7</v>
      </c>
      <c r="H1488" s="98" t="n">
        <v>1005</v>
      </c>
      <c r="I1488" s="457" t="n">
        <v>25.71</v>
      </c>
      <c r="J1488" s="313" t="s">
        <v>1651</v>
      </c>
      <c r="K1488" s="458" t="n">
        <f aca="false">I1488*H1488</f>
        <v>25838.55</v>
      </c>
      <c r="L1488" s="411" t="n">
        <v>19095</v>
      </c>
      <c r="M1488" s="459" t="n">
        <f aca="false">L1488/K1488</f>
        <v>0.73901205756515</v>
      </c>
      <c r="N1488" s="460" t="n">
        <f aca="false">I1488*M1488</f>
        <v>19</v>
      </c>
      <c r="O1488" s="461" t="n">
        <v>1005</v>
      </c>
      <c r="P1488" s="462" t="n">
        <f aca="false">H1488-O1488</f>
        <v>0</v>
      </c>
      <c r="Q1488" s="463" t="n">
        <f aca="false">O1488*I1488</f>
        <v>25838.55</v>
      </c>
      <c r="R1488" s="48" t="n">
        <f aca="false">K1488-Q1488</f>
        <v>0</v>
      </c>
      <c r="S1488" s="467"/>
      <c r="T1488" s="2" t="s">
        <v>1711</v>
      </c>
      <c r="V1488" s="464"/>
      <c r="W1488" s="464"/>
      <c r="X1488" s="464"/>
      <c r="Y1488" s="464"/>
      <c r="Z1488" s="464"/>
      <c r="AA1488" s="464"/>
      <c r="AB1488" s="464"/>
      <c r="AC1488" s="464"/>
      <c r="AD1488" s="464"/>
      <c r="AE1488" s="464"/>
      <c r="AF1488" s="464"/>
      <c r="AG1488" s="464"/>
      <c r="AH1488" s="465"/>
      <c r="AI1488" s="464"/>
    </row>
    <row r="1489" customFormat="false" ht="15" hidden="false" customHeight="true" outlineLevel="0" collapsed="false">
      <c r="A1489" s="455" t="s">
        <v>1753</v>
      </c>
      <c r="C1489" s="456" t="n">
        <v>45636</v>
      </c>
      <c r="D1489" s="456"/>
      <c r="E1489" s="57" t="n">
        <v>14382</v>
      </c>
      <c r="F1489" s="323" t="s">
        <v>175</v>
      </c>
      <c r="G1489" s="323" t="s">
        <v>11</v>
      </c>
      <c r="H1489" s="98" t="n">
        <v>1500</v>
      </c>
      <c r="I1489" s="457" t="n">
        <v>14</v>
      </c>
      <c r="J1489" s="313" t="s">
        <v>1651</v>
      </c>
      <c r="K1489" s="458" t="n">
        <f aca="false">I1489*H1489</f>
        <v>21000</v>
      </c>
      <c r="L1489" s="411" t="n">
        <v>78960</v>
      </c>
      <c r="M1489" s="459" t="n">
        <f aca="false">L1489/K1489</f>
        <v>3.76</v>
      </c>
      <c r="N1489" s="460" t="n">
        <f aca="false">I1489*M1489</f>
        <v>52.64</v>
      </c>
      <c r="O1489" s="461" t="n">
        <v>1500</v>
      </c>
      <c r="P1489" s="462" t="n">
        <f aca="false">H1489-O1489</f>
        <v>0</v>
      </c>
      <c r="Q1489" s="463" t="n">
        <f aca="false">O1489*I1489</f>
        <v>21000</v>
      </c>
      <c r="R1489" s="48" t="n">
        <f aca="false">K1489-Q1489</f>
        <v>0</v>
      </c>
      <c r="S1489" s="467"/>
      <c r="T1489" s="2" t="s">
        <v>1711</v>
      </c>
      <c r="V1489" s="464"/>
      <c r="W1489" s="464"/>
      <c r="X1489" s="464"/>
      <c r="Y1489" s="464"/>
      <c r="Z1489" s="464"/>
      <c r="AA1489" s="464"/>
      <c r="AB1489" s="464"/>
      <c r="AC1489" s="464"/>
      <c r="AD1489" s="464"/>
      <c r="AE1489" s="464"/>
      <c r="AF1489" s="464"/>
      <c r="AG1489" s="464"/>
      <c r="AH1489" s="465"/>
      <c r="AI1489" s="464"/>
    </row>
    <row r="1490" customFormat="false" ht="15" hidden="false" customHeight="true" outlineLevel="0" collapsed="false">
      <c r="A1490" s="455" t="s">
        <v>58</v>
      </c>
      <c r="C1490" s="456" t="n">
        <v>45637</v>
      </c>
      <c r="D1490" s="456"/>
      <c r="E1490" s="323" t="n">
        <v>14383</v>
      </c>
      <c r="F1490" s="323" t="s">
        <v>175</v>
      </c>
      <c r="G1490" s="323" t="s">
        <v>19</v>
      </c>
      <c r="H1490" s="98" t="n">
        <v>225</v>
      </c>
      <c r="I1490" s="457" t="n">
        <v>22.5</v>
      </c>
      <c r="J1490" s="313" t="s">
        <v>1651</v>
      </c>
      <c r="K1490" s="458" t="n">
        <f aca="false">I1490*H1490</f>
        <v>5062.5</v>
      </c>
      <c r="L1490" s="411" t="n">
        <v>4205.25</v>
      </c>
      <c r="M1490" s="459" t="n">
        <f aca="false">L1490/K1490</f>
        <v>0.830666666666667</v>
      </c>
      <c r="N1490" s="460" t="n">
        <f aca="false">I1490*M1490</f>
        <v>18.69</v>
      </c>
      <c r="O1490" s="461" t="n">
        <v>225</v>
      </c>
      <c r="P1490" s="462" t="n">
        <f aca="false">H1490-O1490</f>
        <v>0</v>
      </c>
      <c r="Q1490" s="463" t="n">
        <f aca="false">O1490*I1490</f>
        <v>5062.5</v>
      </c>
      <c r="R1490" s="48" t="n">
        <f aca="false">K1490-Q1490</f>
        <v>0</v>
      </c>
      <c r="S1490" s="467"/>
      <c r="T1490" s="2" t="s">
        <v>1711</v>
      </c>
      <c r="V1490" s="464"/>
      <c r="W1490" s="464"/>
      <c r="X1490" s="464"/>
      <c r="Y1490" s="464"/>
      <c r="Z1490" s="464"/>
      <c r="AA1490" s="464"/>
      <c r="AB1490" s="464"/>
      <c r="AC1490" s="464"/>
      <c r="AD1490" s="464"/>
      <c r="AE1490" s="464"/>
      <c r="AF1490" s="464"/>
      <c r="AG1490" s="464"/>
      <c r="AH1490" s="465"/>
      <c r="AI1490" s="464"/>
    </row>
    <row r="1491" customFormat="false" ht="15" hidden="false" customHeight="true" outlineLevel="0" collapsed="false">
      <c r="A1491" s="455" t="s">
        <v>1741</v>
      </c>
      <c r="C1491" s="456" t="n">
        <v>45637</v>
      </c>
      <c r="D1491" s="456"/>
      <c r="E1491" s="323" t="n">
        <v>14384</v>
      </c>
      <c r="F1491" s="323" t="s">
        <v>175</v>
      </c>
      <c r="G1491" s="323" t="s">
        <v>15</v>
      </c>
      <c r="H1491" s="98" t="n">
        <v>15</v>
      </c>
      <c r="I1491" s="457" t="n">
        <v>22.5</v>
      </c>
      <c r="J1491" s="313" t="s">
        <v>1651</v>
      </c>
      <c r="K1491" s="458" t="n">
        <f aca="false">I1491*H1491</f>
        <v>337.5</v>
      </c>
      <c r="L1491" s="411" t="n">
        <v>270</v>
      </c>
      <c r="M1491" s="459" t="n">
        <f aca="false">L1491/K1491</f>
        <v>0.8</v>
      </c>
      <c r="N1491" s="460" t="n">
        <f aca="false">I1491*M1491</f>
        <v>18</v>
      </c>
      <c r="O1491" s="461" t="n">
        <v>15</v>
      </c>
      <c r="P1491" s="462" t="n">
        <f aca="false">H1491-O1491</f>
        <v>0</v>
      </c>
      <c r="Q1491" s="463" t="n">
        <f aca="false">O1491*I1491</f>
        <v>337.5</v>
      </c>
      <c r="R1491" s="48" t="n">
        <f aca="false">K1491-Q1491</f>
        <v>0</v>
      </c>
      <c r="S1491" s="467"/>
      <c r="T1491" s="2" t="s">
        <v>1711</v>
      </c>
      <c r="V1491" s="464"/>
      <c r="W1491" s="464"/>
      <c r="X1491" s="464"/>
      <c r="Y1491" s="464"/>
      <c r="Z1491" s="464"/>
      <c r="AA1491" s="464"/>
      <c r="AB1491" s="464"/>
      <c r="AC1491" s="464"/>
      <c r="AD1491" s="464"/>
      <c r="AE1491" s="464"/>
      <c r="AF1491" s="464"/>
      <c r="AG1491" s="464"/>
      <c r="AH1491" s="465"/>
      <c r="AI1491" s="464"/>
    </row>
    <row r="1492" customFormat="false" ht="15" hidden="false" customHeight="true" outlineLevel="0" collapsed="false">
      <c r="A1492" s="455" t="s">
        <v>1970</v>
      </c>
      <c r="C1492" s="456" t="n">
        <v>45637</v>
      </c>
      <c r="D1492" s="456"/>
      <c r="E1492" s="323" t="n">
        <v>14385</v>
      </c>
      <c r="F1492" s="323" t="s">
        <v>175</v>
      </c>
      <c r="G1492" s="323" t="s">
        <v>19</v>
      </c>
      <c r="H1492" s="98" t="n">
        <v>15</v>
      </c>
      <c r="I1492" s="457" t="n">
        <v>22.5</v>
      </c>
      <c r="J1492" s="313" t="s">
        <v>1651</v>
      </c>
      <c r="K1492" s="458" t="n">
        <f aca="false">I1492*H1492</f>
        <v>337.5</v>
      </c>
      <c r="L1492" s="411" t="n">
        <v>225</v>
      </c>
      <c r="M1492" s="459" t="n">
        <f aca="false">L1492/K1492</f>
        <v>0.666666666666667</v>
      </c>
      <c r="N1492" s="460" t="n">
        <f aca="false">I1492*M1492</f>
        <v>15</v>
      </c>
      <c r="O1492" s="461" t="n">
        <v>15</v>
      </c>
      <c r="P1492" s="462" t="n">
        <f aca="false">H1492-O1492</f>
        <v>0</v>
      </c>
      <c r="Q1492" s="463" t="n">
        <f aca="false">O1492*I1492</f>
        <v>337.5</v>
      </c>
      <c r="R1492" s="48" t="n">
        <f aca="false">K1492-Q1492</f>
        <v>0</v>
      </c>
      <c r="S1492" s="467"/>
      <c r="T1492" s="2" t="s">
        <v>1711</v>
      </c>
      <c r="V1492" s="464"/>
      <c r="W1492" s="464"/>
      <c r="X1492" s="464"/>
      <c r="Y1492" s="464"/>
      <c r="Z1492" s="464"/>
      <c r="AA1492" s="464"/>
      <c r="AB1492" s="464"/>
      <c r="AC1492" s="464"/>
      <c r="AD1492" s="464"/>
      <c r="AE1492" s="464"/>
      <c r="AF1492" s="464"/>
      <c r="AG1492" s="464"/>
      <c r="AH1492" s="465"/>
      <c r="AI1492" s="464"/>
    </row>
    <row r="1493" customFormat="false" ht="15" hidden="false" customHeight="true" outlineLevel="0" collapsed="false">
      <c r="A1493" s="455" t="s">
        <v>1970</v>
      </c>
      <c r="C1493" s="456" t="n">
        <v>45637</v>
      </c>
      <c r="D1493" s="456"/>
      <c r="E1493" s="323" t="n">
        <v>14385</v>
      </c>
      <c r="F1493" s="323" t="s">
        <v>175</v>
      </c>
      <c r="G1493" s="323" t="s">
        <v>12</v>
      </c>
      <c r="H1493" s="98" t="n">
        <v>15</v>
      </c>
      <c r="I1493" s="457" t="n">
        <v>18</v>
      </c>
      <c r="J1493" s="313" t="s">
        <v>1651</v>
      </c>
      <c r="K1493" s="458" t="n">
        <f aca="false">I1493*H1493</f>
        <v>270</v>
      </c>
      <c r="L1493" s="411" t="n">
        <v>675</v>
      </c>
      <c r="M1493" s="459" t="n">
        <f aca="false">L1493/K1493</f>
        <v>2.5</v>
      </c>
      <c r="N1493" s="460" t="n">
        <f aca="false">I1493*M1493</f>
        <v>45</v>
      </c>
      <c r="O1493" s="461" t="n">
        <v>15</v>
      </c>
      <c r="P1493" s="462" t="n">
        <f aca="false">H1493-O1493</f>
        <v>0</v>
      </c>
      <c r="Q1493" s="463" t="n">
        <f aca="false">O1493*I1493</f>
        <v>270</v>
      </c>
      <c r="R1493" s="48" t="n">
        <f aca="false">K1493-Q1493</f>
        <v>0</v>
      </c>
      <c r="S1493" s="467"/>
      <c r="T1493" s="2" t="s">
        <v>1711</v>
      </c>
      <c r="V1493" s="464"/>
      <c r="W1493" s="464"/>
      <c r="X1493" s="464"/>
      <c r="Y1493" s="464"/>
      <c r="Z1493" s="464"/>
      <c r="AA1493" s="464"/>
      <c r="AB1493" s="464"/>
      <c r="AC1493" s="464"/>
      <c r="AD1493" s="464"/>
      <c r="AE1493" s="464"/>
      <c r="AF1493" s="464"/>
      <c r="AG1493" s="464"/>
      <c r="AH1493" s="465"/>
      <c r="AI1493" s="464"/>
    </row>
    <row r="1494" customFormat="false" ht="15" hidden="false" customHeight="true" outlineLevel="0" collapsed="false">
      <c r="A1494" s="455" t="s">
        <v>2010</v>
      </c>
      <c r="C1494" s="456" t="n">
        <v>45637</v>
      </c>
      <c r="D1494" s="456"/>
      <c r="E1494" s="323" t="n">
        <v>14386</v>
      </c>
      <c r="F1494" s="323" t="s">
        <v>175</v>
      </c>
      <c r="G1494" s="323" t="s">
        <v>10</v>
      </c>
      <c r="H1494" s="98" t="n">
        <v>210</v>
      </c>
      <c r="I1494" s="457" t="n">
        <v>90</v>
      </c>
      <c r="J1494" s="313" t="s">
        <v>1653</v>
      </c>
      <c r="K1494" s="458" t="n">
        <f aca="false">I1494*H1494</f>
        <v>18900</v>
      </c>
      <c r="L1494" s="411" t="n">
        <v>3360</v>
      </c>
      <c r="M1494" s="459" t="n">
        <f aca="false">L1494/K1494</f>
        <v>0.177777777777778</v>
      </c>
      <c r="N1494" s="460" t="n">
        <f aca="false">I1494*M1494</f>
        <v>16</v>
      </c>
      <c r="O1494" s="461" t="n">
        <v>210</v>
      </c>
      <c r="P1494" s="462" t="n">
        <f aca="false">H1494-O1494</f>
        <v>0</v>
      </c>
      <c r="Q1494" s="463" t="n">
        <f aca="false">O1494*I1494</f>
        <v>18900</v>
      </c>
      <c r="R1494" s="48" t="n">
        <f aca="false">K1494-Q1494</f>
        <v>0</v>
      </c>
      <c r="S1494" s="467"/>
      <c r="T1494" s="2" t="s">
        <v>1711</v>
      </c>
      <c r="V1494" s="464"/>
      <c r="W1494" s="464"/>
      <c r="X1494" s="464"/>
      <c r="Y1494" s="464"/>
      <c r="Z1494" s="464"/>
      <c r="AA1494" s="464"/>
      <c r="AB1494" s="464"/>
      <c r="AC1494" s="464"/>
      <c r="AD1494" s="464"/>
      <c r="AE1494" s="464"/>
      <c r="AF1494" s="464"/>
      <c r="AG1494" s="464"/>
      <c r="AH1494" s="465"/>
      <c r="AI1494" s="464"/>
    </row>
    <row r="1495" customFormat="false" ht="15" hidden="false" customHeight="true" outlineLevel="0" collapsed="false">
      <c r="A1495" s="455" t="s">
        <v>58</v>
      </c>
      <c r="C1495" s="456" t="n">
        <v>45637</v>
      </c>
      <c r="D1495" s="456"/>
      <c r="E1495" s="323" t="n">
        <v>14387</v>
      </c>
      <c r="F1495" s="323" t="s">
        <v>175</v>
      </c>
      <c r="G1495" s="323" t="s">
        <v>19</v>
      </c>
      <c r="H1495" s="98" t="n">
        <v>120</v>
      </c>
      <c r="I1495" s="457" t="n">
        <v>22.5</v>
      </c>
      <c r="J1495" s="313" t="s">
        <v>1651</v>
      </c>
      <c r="K1495" s="458" t="n">
        <f aca="false">I1495*H1495</f>
        <v>2700</v>
      </c>
      <c r="L1495" s="411" t="n">
        <v>2242.8</v>
      </c>
      <c r="M1495" s="459" t="n">
        <f aca="false">L1495/K1495</f>
        <v>0.830666666666667</v>
      </c>
      <c r="N1495" s="460" t="n">
        <f aca="false">I1495*M1495</f>
        <v>18.69</v>
      </c>
      <c r="O1495" s="461" t="n">
        <v>120</v>
      </c>
      <c r="P1495" s="462" t="n">
        <f aca="false">H1495-O1495</f>
        <v>0</v>
      </c>
      <c r="Q1495" s="463" t="n">
        <f aca="false">O1495*I1495</f>
        <v>2700</v>
      </c>
      <c r="R1495" s="48" t="n">
        <f aca="false">K1495-Q1495</f>
        <v>0</v>
      </c>
      <c r="S1495" s="467"/>
      <c r="T1495" s="2" t="s">
        <v>1711</v>
      </c>
      <c r="V1495" s="464"/>
      <c r="W1495" s="464"/>
      <c r="X1495" s="464"/>
      <c r="Y1495" s="464"/>
      <c r="Z1495" s="464"/>
      <c r="AA1495" s="464"/>
      <c r="AB1495" s="464"/>
      <c r="AC1495" s="464"/>
      <c r="AD1495" s="464"/>
      <c r="AE1495" s="464"/>
      <c r="AF1495" s="464"/>
      <c r="AG1495" s="464"/>
      <c r="AH1495" s="465"/>
      <c r="AI1495" s="464"/>
    </row>
    <row r="1496" customFormat="false" ht="15" hidden="false" customHeight="true" outlineLevel="0" collapsed="false">
      <c r="A1496" s="455" t="s">
        <v>1786</v>
      </c>
      <c r="C1496" s="456" t="n">
        <v>45637</v>
      </c>
      <c r="D1496" s="456"/>
      <c r="E1496" s="57" t="n">
        <v>14389</v>
      </c>
      <c r="F1496" s="323" t="s">
        <v>175</v>
      </c>
      <c r="G1496" s="323" t="s">
        <v>13</v>
      </c>
      <c r="H1496" s="98" t="n">
        <v>75</v>
      </c>
      <c r="I1496" s="457" t="n">
        <v>37.5</v>
      </c>
      <c r="J1496" s="313" t="s">
        <v>1652</v>
      </c>
      <c r="K1496" s="458" t="n">
        <f aca="false">I1496*H1496</f>
        <v>2812.5</v>
      </c>
      <c r="L1496" s="411" t="n">
        <v>835</v>
      </c>
      <c r="M1496" s="459" t="n">
        <f aca="false">L1496/K1496</f>
        <v>0.296888888888889</v>
      </c>
      <c r="N1496" s="460" t="n">
        <f aca="false">I1496*M1496</f>
        <v>11.1333333333333</v>
      </c>
      <c r="O1496" s="461" t="n">
        <v>75</v>
      </c>
      <c r="P1496" s="462" t="n">
        <f aca="false">H1496-O1496</f>
        <v>0</v>
      </c>
      <c r="Q1496" s="463" t="n">
        <f aca="false">O1496*I1496</f>
        <v>2812.5</v>
      </c>
      <c r="R1496" s="48" t="n">
        <f aca="false">K1496-Q1496</f>
        <v>0</v>
      </c>
      <c r="S1496" s="467"/>
      <c r="T1496" s="2" t="s">
        <v>1711</v>
      </c>
      <c r="V1496" s="464"/>
      <c r="W1496" s="464"/>
      <c r="X1496" s="464"/>
      <c r="Y1496" s="464"/>
      <c r="Z1496" s="464"/>
      <c r="AA1496" s="464"/>
      <c r="AB1496" s="464"/>
      <c r="AC1496" s="464"/>
      <c r="AD1496" s="464"/>
      <c r="AE1496" s="464"/>
      <c r="AF1496" s="464"/>
      <c r="AG1496" s="464"/>
      <c r="AH1496" s="465"/>
      <c r="AI1496" s="464"/>
    </row>
    <row r="1497" customFormat="false" ht="15" hidden="false" customHeight="true" outlineLevel="0" collapsed="false">
      <c r="A1497" s="455" t="s">
        <v>1740</v>
      </c>
      <c r="C1497" s="456" t="n">
        <v>45637</v>
      </c>
      <c r="D1497" s="456"/>
      <c r="E1497" s="57" t="n">
        <v>14390</v>
      </c>
      <c r="F1497" s="323" t="s">
        <v>175</v>
      </c>
      <c r="G1497" s="323" t="s">
        <v>15</v>
      </c>
      <c r="H1497" s="98" t="n">
        <v>165</v>
      </c>
      <c r="I1497" s="457" t="n">
        <v>22.5</v>
      </c>
      <c r="J1497" s="313" t="s">
        <v>1651</v>
      </c>
      <c r="K1497" s="458" t="n">
        <f aca="false">I1497*H1497</f>
        <v>3712.5</v>
      </c>
      <c r="L1497" s="411" t="n">
        <v>2640</v>
      </c>
      <c r="M1497" s="459" t="n">
        <f aca="false">L1497/K1497</f>
        <v>0.711111111111111</v>
      </c>
      <c r="N1497" s="460" t="n">
        <f aca="false">I1497*M1497</f>
        <v>16</v>
      </c>
      <c r="O1497" s="461" t="n">
        <v>165</v>
      </c>
      <c r="P1497" s="462" t="n">
        <f aca="false">H1497-O1497</f>
        <v>0</v>
      </c>
      <c r="Q1497" s="463" t="n">
        <f aca="false">O1497*I1497</f>
        <v>3712.5</v>
      </c>
      <c r="R1497" s="48" t="n">
        <f aca="false">K1497-Q1497</f>
        <v>0</v>
      </c>
      <c r="S1497" s="467"/>
      <c r="T1497" s="2" t="s">
        <v>1711</v>
      </c>
      <c r="V1497" s="464"/>
      <c r="W1497" s="464"/>
      <c r="X1497" s="464"/>
      <c r="Y1497" s="464"/>
      <c r="Z1497" s="464"/>
      <c r="AA1497" s="464"/>
      <c r="AB1497" s="464"/>
      <c r="AC1497" s="464"/>
      <c r="AD1497" s="464"/>
      <c r="AE1497" s="464"/>
      <c r="AF1497" s="464"/>
      <c r="AG1497" s="464"/>
      <c r="AH1497" s="465"/>
      <c r="AI1497" s="464"/>
    </row>
    <row r="1498" customFormat="false" ht="15" hidden="false" customHeight="true" outlineLevel="0" collapsed="false">
      <c r="A1498" s="455" t="s">
        <v>2011</v>
      </c>
      <c r="C1498" s="456" t="n">
        <v>45638</v>
      </c>
      <c r="D1498" s="456"/>
      <c r="E1498" s="57" t="n">
        <v>14391</v>
      </c>
      <c r="F1498" s="323" t="s">
        <v>175</v>
      </c>
      <c r="G1498" s="323" t="s">
        <v>5</v>
      </c>
      <c r="H1498" s="98" t="n">
        <v>405</v>
      </c>
      <c r="I1498" s="457" t="n">
        <v>37.5</v>
      </c>
      <c r="J1498" s="313" t="s">
        <v>1652</v>
      </c>
      <c r="K1498" s="458" t="n">
        <f aca="false">I1498*H1498</f>
        <v>15187.5</v>
      </c>
      <c r="L1498" s="411" t="n">
        <v>8505</v>
      </c>
      <c r="M1498" s="459" t="n">
        <f aca="false">L1498/K1498</f>
        <v>0.56</v>
      </c>
      <c r="N1498" s="460" t="n">
        <f aca="false">I1498*M1498</f>
        <v>21</v>
      </c>
      <c r="O1498" s="461" t="n">
        <v>405</v>
      </c>
      <c r="P1498" s="462" t="n">
        <f aca="false">H1498-O1498</f>
        <v>0</v>
      </c>
      <c r="Q1498" s="463" t="n">
        <f aca="false">O1498*I1498</f>
        <v>15187.5</v>
      </c>
      <c r="R1498" s="48" t="n">
        <f aca="false">K1498-Q1498</f>
        <v>0</v>
      </c>
      <c r="S1498" s="467"/>
      <c r="T1498" s="2" t="s">
        <v>1711</v>
      </c>
      <c r="V1498" s="464"/>
      <c r="W1498" s="464"/>
      <c r="X1498" s="464"/>
      <c r="Y1498" s="464"/>
      <c r="Z1498" s="464"/>
      <c r="AA1498" s="464"/>
      <c r="AB1498" s="464"/>
      <c r="AC1498" s="464"/>
      <c r="AD1498" s="464"/>
      <c r="AE1498" s="464"/>
      <c r="AF1498" s="464"/>
      <c r="AG1498" s="464"/>
      <c r="AH1498" s="465"/>
      <c r="AI1498" s="464"/>
    </row>
    <row r="1499" customFormat="false" ht="15" hidden="false" customHeight="true" outlineLevel="0" collapsed="false">
      <c r="A1499" s="455" t="s">
        <v>1942</v>
      </c>
      <c r="C1499" s="456" t="n">
        <v>45638</v>
      </c>
      <c r="D1499" s="456"/>
      <c r="E1499" s="57" t="n">
        <v>14393</v>
      </c>
      <c r="F1499" s="57" t="s">
        <v>175</v>
      </c>
      <c r="G1499" s="323" t="s">
        <v>17</v>
      </c>
      <c r="H1499" s="98" t="n">
        <v>1710</v>
      </c>
      <c r="I1499" s="457" t="n">
        <v>22.5</v>
      </c>
      <c r="J1499" s="313" t="s">
        <v>1651</v>
      </c>
      <c r="K1499" s="458" t="n">
        <f aca="false">I1499*H1499</f>
        <v>38475</v>
      </c>
      <c r="L1499" s="411" t="n">
        <v>25308</v>
      </c>
      <c r="M1499" s="459" t="n">
        <f aca="false">L1499/K1499</f>
        <v>0.657777777777778</v>
      </c>
      <c r="N1499" s="460" t="n">
        <f aca="false">I1499*M1499</f>
        <v>14.8</v>
      </c>
      <c r="O1499" s="461" t="n">
        <v>1710</v>
      </c>
      <c r="P1499" s="462" t="n">
        <f aca="false">H1499-O1499</f>
        <v>0</v>
      </c>
      <c r="Q1499" s="463" t="n">
        <f aca="false">O1499*I1499</f>
        <v>38475</v>
      </c>
      <c r="R1499" s="48" t="n">
        <f aca="false">K1499-Q1499</f>
        <v>0</v>
      </c>
      <c r="S1499" s="467"/>
      <c r="T1499" s="2" t="s">
        <v>1711</v>
      </c>
      <c r="V1499" s="464"/>
      <c r="W1499" s="464"/>
      <c r="X1499" s="464"/>
      <c r="Y1499" s="464"/>
      <c r="Z1499" s="464"/>
      <c r="AA1499" s="464"/>
      <c r="AB1499" s="464"/>
      <c r="AC1499" s="464"/>
      <c r="AD1499" s="464"/>
      <c r="AE1499" s="464"/>
      <c r="AF1499" s="464"/>
      <c r="AG1499" s="464"/>
      <c r="AH1499" s="465"/>
      <c r="AI1499" s="464"/>
    </row>
    <row r="1500" customFormat="false" ht="15" hidden="false" customHeight="true" outlineLevel="0" collapsed="false">
      <c r="A1500" s="455" t="s">
        <v>2012</v>
      </c>
      <c r="C1500" s="456" t="n">
        <v>45639</v>
      </c>
      <c r="D1500" s="456"/>
      <c r="E1500" s="57" t="n">
        <v>14395</v>
      </c>
      <c r="F1500" s="57" t="s">
        <v>175</v>
      </c>
      <c r="G1500" s="323" t="s">
        <v>19</v>
      </c>
      <c r="H1500" s="98" t="n">
        <v>1005</v>
      </c>
      <c r="I1500" s="457" t="n">
        <v>22.5</v>
      </c>
      <c r="J1500" s="313" t="s">
        <v>1651</v>
      </c>
      <c r="K1500" s="458" t="n">
        <f aca="false">I1500*H1500</f>
        <v>22612.5</v>
      </c>
      <c r="L1500" s="411" t="n">
        <v>22110</v>
      </c>
      <c r="M1500" s="459" t="n">
        <f aca="false">L1500/K1500</f>
        <v>0.977777777777778</v>
      </c>
      <c r="N1500" s="460" t="n">
        <f aca="false">I1500*M1500</f>
        <v>22</v>
      </c>
      <c r="O1500" s="461" t="n">
        <v>1005</v>
      </c>
      <c r="P1500" s="462" t="n">
        <f aca="false">H1500-O1500</f>
        <v>0</v>
      </c>
      <c r="Q1500" s="463" t="n">
        <f aca="false">O1500*I1500</f>
        <v>22612.5</v>
      </c>
      <c r="R1500" s="48" t="n">
        <f aca="false">K1500-Q1500</f>
        <v>0</v>
      </c>
      <c r="S1500" s="467"/>
      <c r="T1500" s="2" t="s">
        <v>1711</v>
      </c>
      <c r="V1500" s="464"/>
      <c r="W1500" s="464"/>
      <c r="X1500" s="464"/>
      <c r="Y1500" s="464"/>
      <c r="Z1500" s="464"/>
      <c r="AA1500" s="464"/>
      <c r="AB1500" s="464"/>
      <c r="AC1500" s="464"/>
      <c r="AD1500" s="464"/>
      <c r="AE1500" s="464"/>
      <c r="AF1500" s="464"/>
      <c r="AG1500" s="464"/>
      <c r="AH1500" s="465"/>
      <c r="AI1500" s="464"/>
    </row>
    <row r="1501" customFormat="false" ht="15" hidden="false" customHeight="true" outlineLevel="0" collapsed="false">
      <c r="A1501" s="455" t="s">
        <v>1921</v>
      </c>
      <c r="C1501" s="456" t="n">
        <v>45639</v>
      </c>
      <c r="D1501" s="456"/>
      <c r="E1501" s="57" t="n">
        <v>14396</v>
      </c>
      <c r="F1501" s="323" t="s">
        <v>175</v>
      </c>
      <c r="G1501" s="323" t="s">
        <v>13</v>
      </c>
      <c r="H1501" s="98" t="n">
        <v>150</v>
      </c>
      <c r="I1501" s="457" t="n">
        <v>37.5</v>
      </c>
      <c r="J1501" s="313" t="s">
        <v>1652</v>
      </c>
      <c r="K1501" s="458" t="n">
        <f aca="false">I1501*H1501</f>
        <v>5625</v>
      </c>
      <c r="L1501" s="411" t="n">
        <v>4120.5</v>
      </c>
      <c r="M1501" s="459" t="n">
        <f aca="false">L1501/K1501</f>
        <v>0.732533333333333</v>
      </c>
      <c r="N1501" s="460" t="n">
        <f aca="false">I1501*M1501</f>
        <v>27.47</v>
      </c>
      <c r="O1501" s="461" t="n">
        <v>150</v>
      </c>
      <c r="P1501" s="462" t="n">
        <f aca="false">H1501-O1501</f>
        <v>0</v>
      </c>
      <c r="Q1501" s="463" t="n">
        <f aca="false">O1501*I1501</f>
        <v>5625</v>
      </c>
      <c r="R1501" s="48" t="n">
        <f aca="false">K1501-Q1501</f>
        <v>0</v>
      </c>
      <c r="S1501" s="467"/>
      <c r="T1501" s="2" t="s">
        <v>1711</v>
      </c>
      <c r="V1501" s="464"/>
      <c r="W1501" s="464"/>
      <c r="X1501" s="464"/>
      <c r="Y1501" s="464"/>
      <c r="Z1501" s="464"/>
      <c r="AA1501" s="464"/>
      <c r="AB1501" s="464"/>
      <c r="AC1501" s="464"/>
      <c r="AD1501" s="464"/>
      <c r="AE1501" s="464"/>
      <c r="AF1501" s="464"/>
      <c r="AG1501" s="464"/>
      <c r="AH1501" s="465"/>
      <c r="AI1501" s="464"/>
    </row>
    <row r="1502" customFormat="false" ht="15" hidden="false" customHeight="true" outlineLevel="0" collapsed="false">
      <c r="A1502" s="455" t="s">
        <v>1921</v>
      </c>
      <c r="C1502" s="456" t="n">
        <v>45639</v>
      </c>
      <c r="D1502" s="456"/>
      <c r="E1502" s="57" t="n">
        <v>14396</v>
      </c>
      <c r="F1502" s="323" t="s">
        <v>175</v>
      </c>
      <c r="G1502" s="323" t="s">
        <v>15</v>
      </c>
      <c r="H1502" s="98" t="n">
        <v>150</v>
      </c>
      <c r="I1502" s="457" t="n">
        <v>90</v>
      </c>
      <c r="J1502" s="313" t="s">
        <v>1653</v>
      </c>
      <c r="K1502" s="458" t="n">
        <f aca="false">I1502*H1502</f>
        <v>13500</v>
      </c>
      <c r="L1502" s="411" t="n">
        <v>6585</v>
      </c>
      <c r="M1502" s="459" t="n">
        <f aca="false">L1502/K1502</f>
        <v>0.487777777777778</v>
      </c>
      <c r="N1502" s="460" t="n">
        <f aca="false">I1502*M1502</f>
        <v>43.9</v>
      </c>
      <c r="O1502" s="461" t="n">
        <v>150</v>
      </c>
      <c r="P1502" s="462" t="n">
        <f aca="false">H1502-O1502</f>
        <v>0</v>
      </c>
      <c r="Q1502" s="463" t="n">
        <f aca="false">O1502*I1502</f>
        <v>13500</v>
      </c>
      <c r="R1502" s="48" t="n">
        <f aca="false">K1502-Q1502</f>
        <v>0</v>
      </c>
      <c r="S1502" s="467"/>
      <c r="T1502" s="2" t="s">
        <v>1711</v>
      </c>
      <c r="V1502" s="464"/>
      <c r="W1502" s="464"/>
      <c r="X1502" s="464"/>
      <c r="Y1502" s="464"/>
      <c r="Z1502" s="464"/>
      <c r="AA1502" s="464"/>
      <c r="AB1502" s="464"/>
      <c r="AC1502" s="464"/>
      <c r="AD1502" s="464"/>
      <c r="AE1502" s="464"/>
      <c r="AF1502" s="464"/>
      <c r="AG1502" s="464"/>
      <c r="AH1502" s="465"/>
      <c r="AI1502" s="464"/>
    </row>
    <row r="1503" customFormat="false" ht="15" hidden="false" customHeight="true" outlineLevel="0" collapsed="false">
      <c r="A1503" s="455" t="s">
        <v>2013</v>
      </c>
      <c r="C1503" s="456" t="n">
        <v>45639</v>
      </c>
      <c r="D1503" s="456"/>
      <c r="E1503" s="57" t="n">
        <v>14397</v>
      </c>
      <c r="F1503" s="323" t="s">
        <v>175</v>
      </c>
      <c r="G1503" s="323" t="s">
        <v>10</v>
      </c>
      <c r="H1503" s="98" t="n">
        <v>9000</v>
      </c>
      <c r="I1503" s="457" t="n">
        <v>38.3</v>
      </c>
      <c r="J1503" s="313" t="s">
        <v>1652</v>
      </c>
      <c r="K1503" s="458" t="n">
        <f aca="false">I1503*H1503</f>
        <v>344700</v>
      </c>
      <c r="L1503" s="411" t="n">
        <v>85500</v>
      </c>
      <c r="M1503" s="459" t="n">
        <f aca="false">L1503/K1503</f>
        <v>0.248041775456919</v>
      </c>
      <c r="N1503" s="460" t="n">
        <f aca="false">I1503*M1503</f>
        <v>9.5</v>
      </c>
      <c r="O1503" s="461" t="n">
        <v>9000</v>
      </c>
      <c r="P1503" s="462" t="n">
        <f aca="false">H1503-O1503</f>
        <v>0</v>
      </c>
      <c r="Q1503" s="463" t="n">
        <f aca="false">O1503*I1503</f>
        <v>344700</v>
      </c>
      <c r="R1503" s="48" t="n">
        <f aca="false">K1503-Q1503</f>
        <v>0</v>
      </c>
      <c r="S1503" s="467"/>
      <c r="T1503" s="2" t="s">
        <v>1711</v>
      </c>
      <c r="V1503" s="464"/>
      <c r="W1503" s="464"/>
      <c r="X1503" s="464"/>
      <c r="Y1503" s="464"/>
      <c r="Z1503" s="464"/>
      <c r="AA1503" s="464"/>
      <c r="AB1503" s="464"/>
      <c r="AC1503" s="464"/>
      <c r="AD1503" s="464"/>
      <c r="AE1503" s="464"/>
      <c r="AF1503" s="464"/>
      <c r="AG1503" s="464"/>
      <c r="AH1503" s="465"/>
      <c r="AI1503" s="464"/>
    </row>
    <row r="1504" customFormat="false" ht="15" hidden="false" customHeight="true" outlineLevel="0" collapsed="false">
      <c r="A1504" s="455" t="s">
        <v>2013</v>
      </c>
      <c r="C1504" s="456" t="n">
        <v>45639</v>
      </c>
      <c r="D1504" s="456"/>
      <c r="E1504" s="57" t="n">
        <v>14398</v>
      </c>
      <c r="F1504" s="57" t="s">
        <v>175</v>
      </c>
      <c r="G1504" s="323" t="s">
        <v>10</v>
      </c>
      <c r="H1504" s="98" t="n">
        <v>5700</v>
      </c>
      <c r="I1504" s="457" t="n">
        <v>38.3</v>
      </c>
      <c r="J1504" s="313" t="s">
        <v>1652</v>
      </c>
      <c r="K1504" s="458" t="n">
        <f aca="false">I1504*H1504</f>
        <v>218310</v>
      </c>
      <c r="L1504" s="411" t="n">
        <v>54150</v>
      </c>
      <c r="M1504" s="459" t="n">
        <f aca="false">L1504/K1504</f>
        <v>0.248041775456919</v>
      </c>
      <c r="N1504" s="460" t="n">
        <f aca="false">I1504*M1504</f>
        <v>9.5</v>
      </c>
      <c r="O1504" s="461" t="n">
        <v>5700</v>
      </c>
      <c r="P1504" s="462" t="n">
        <f aca="false">H1504-O1504</f>
        <v>0</v>
      </c>
      <c r="Q1504" s="463" t="n">
        <f aca="false">O1504*I1504</f>
        <v>218310</v>
      </c>
      <c r="R1504" s="48" t="n">
        <f aca="false">K1504-Q1504</f>
        <v>0</v>
      </c>
      <c r="S1504" s="467"/>
      <c r="T1504" s="2" t="s">
        <v>1711</v>
      </c>
      <c r="V1504" s="464"/>
      <c r="W1504" s="464"/>
      <c r="X1504" s="464"/>
      <c r="Y1504" s="464"/>
      <c r="Z1504" s="464"/>
      <c r="AA1504" s="464"/>
      <c r="AB1504" s="464"/>
      <c r="AC1504" s="464"/>
      <c r="AD1504" s="464"/>
      <c r="AE1504" s="464"/>
      <c r="AF1504" s="464"/>
      <c r="AG1504" s="464"/>
      <c r="AH1504" s="465"/>
      <c r="AI1504" s="464"/>
    </row>
    <row r="1505" customFormat="false" ht="15" hidden="false" customHeight="true" outlineLevel="0" collapsed="false">
      <c r="A1505" s="455" t="s">
        <v>2013</v>
      </c>
      <c r="C1505" s="456" t="n">
        <v>45639</v>
      </c>
      <c r="D1505" s="456"/>
      <c r="E1505" s="57" t="n">
        <v>14399</v>
      </c>
      <c r="F1505" s="57" t="s">
        <v>175</v>
      </c>
      <c r="G1505" s="323" t="s">
        <v>6</v>
      </c>
      <c r="H1505" s="98" t="n">
        <v>510</v>
      </c>
      <c r="I1505" s="457" t="n">
        <v>45</v>
      </c>
      <c r="J1505" s="313" t="s">
        <v>1652</v>
      </c>
      <c r="K1505" s="458" t="n">
        <f aca="false">I1505*H1505</f>
        <v>22950</v>
      </c>
      <c r="L1505" s="411" t="n">
        <v>8517</v>
      </c>
      <c r="M1505" s="459" t="n">
        <f aca="false">L1505/K1505</f>
        <v>0.371111111111111</v>
      </c>
      <c r="N1505" s="460" t="n">
        <f aca="false">I1505*M1505</f>
        <v>16.7</v>
      </c>
      <c r="O1505" s="461" t="n">
        <v>510</v>
      </c>
      <c r="P1505" s="462" t="n">
        <f aca="false">H1505-O1505</f>
        <v>0</v>
      </c>
      <c r="Q1505" s="463" t="n">
        <f aca="false">O1505*I1505</f>
        <v>22950</v>
      </c>
      <c r="R1505" s="48" t="n">
        <f aca="false">K1505-Q1505</f>
        <v>0</v>
      </c>
      <c r="S1505" s="467"/>
      <c r="T1505" s="2" t="s">
        <v>1711</v>
      </c>
      <c r="V1505" s="464"/>
      <c r="W1505" s="464"/>
      <c r="X1505" s="464"/>
      <c r="Y1505" s="464"/>
      <c r="Z1505" s="464"/>
      <c r="AA1505" s="464"/>
      <c r="AB1505" s="464"/>
      <c r="AC1505" s="464"/>
      <c r="AD1505" s="464"/>
      <c r="AE1505" s="464"/>
      <c r="AF1505" s="464"/>
      <c r="AG1505" s="464"/>
      <c r="AH1505" s="465"/>
      <c r="AI1505" s="464"/>
    </row>
    <row r="1506" customFormat="false" ht="15" hidden="false" customHeight="true" outlineLevel="0" collapsed="false">
      <c r="A1506" s="455" t="s">
        <v>2013</v>
      </c>
      <c r="C1506" s="456" t="n">
        <v>45639</v>
      </c>
      <c r="D1506" s="456"/>
      <c r="E1506" s="57" t="n">
        <v>14399</v>
      </c>
      <c r="F1506" s="57" t="s">
        <v>175</v>
      </c>
      <c r="G1506" s="323" t="s">
        <v>10</v>
      </c>
      <c r="H1506" s="98" t="n">
        <v>4080</v>
      </c>
      <c r="I1506" s="457" t="n">
        <v>38.3</v>
      </c>
      <c r="J1506" s="313" t="s">
        <v>1652</v>
      </c>
      <c r="K1506" s="458" t="n">
        <f aca="false">I1506*H1506</f>
        <v>156264</v>
      </c>
      <c r="L1506" s="411" t="n">
        <v>38760</v>
      </c>
      <c r="M1506" s="459" t="n">
        <f aca="false">L1506/K1506</f>
        <v>0.248041775456919</v>
      </c>
      <c r="N1506" s="460" t="n">
        <f aca="false">I1506*M1506</f>
        <v>9.5</v>
      </c>
      <c r="O1506" s="461" t="n">
        <v>4080</v>
      </c>
      <c r="P1506" s="462" t="n">
        <f aca="false">H1506-O1506</f>
        <v>0</v>
      </c>
      <c r="Q1506" s="463" t="n">
        <f aca="false">O1506*I1506</f>
        <v>156264</v>
      </c>
      <c r="R1506" s="48" t="n">
        <f aca="false">K1506-Q1506</f>
        <v>0</v>
      </c>
      <c r="S1506" s="467"/>
      <c r="T1506" s="2" t="s">
        <v>1711</v>
      </c>
      <c r="V1506" s="464"/>
      <c r="W1506" s="464"/>
      <c r="X1506" s="464"/>
      <c r="Y1506" s="464"/>
      <c r="Z1506" s="464"/>
      <c r="AA1506" s="464"/>
      <c r="AB1506" s="464"/>
      <c r="AC1506" s="464"/>
      <c r="AD1506" s="464"/>
      <c r="AE1506" s="464"/>
      <c r="AF1506" s="464"/>
      <c r="AG1506" s="464"/>
      <c r="AH1506" s="465"/>
      <c r="AI1506" s="464"/>
    </row>
    <row r="1507" customFormat="false" ht="15" hidden="false" customHeight="true" outlineLevel="0" collapsed="false">
      <c r="A1507" s="455" t="s">
        <v>2013</v>
      </c>
      <c r="C1507" s="456" t="n">
        <v>45639</v>
      </c>
      <c r="D1507" s="456"/>
      <c r="E1507" s="57" t="n">
        <v>14399</v>
      </c>
      <c r="F1507" s="57" t="s">
        <v>175</v>
      </c>
      <c r="G1507" s="323" t="s">
        <v>17</v>
      </c>
      <c r="H1507" s="98" t="n">
        <v>1005</v>
      </c>
      <c r="I1507" s="457" t="n">
        <v>37.5</v>
      </c>
      <c r="J1507" s="313" t="s">
        <v>1652</v>
      </c>
      <c r="K1507" s="458" t="n">
        <f aca="false">I1507*H1507</f>
        <v>37687.5</v>
      </c>
      <c r="L1507" s="411" t="n">
        <v>18592.5</v>
      </c>
      <c r="M1507" s="459" t="n">
        <f aca="false">L1507/K1507</f>
        <v>0.493333333333333</v>
      </c>
      <c r="N1507" s="460" t="n">
        <f aca="false">I1507*M1507</f>
        <v>18.5</v>
      </c>
      <c r="O1507" s="461" t="n">
        <v>1005</v>
      </c>
      <c r="P1507" s="462" t="n">
        <f aca="false">H1507-O1507</f>
        <v>0</v>
      </c>
      <c r="Q1507" s="463" t="n">
        <f aca="false">O1507*I1507</f>
        <v>37687.5</v>
      </c>
      <c r="R1507" s="48" t="n">
        <f aca="false">K1507-Q1507</f>
        <v>0</v>
      </c>
      <c r="S1507" s="467"/>
      <c r="T1507" s="2" t="s">
        <v>1711</v>
      </c>
      <c r="V1507" s="464"/>
      <c r="W1507" s="464"/>
      <c r="X1507" s="464"/>
      <c r="Y1507" s="464"/>
      <c r="Z1507" s="464"/>
      <c r="AA1507" s="464"/>
      <c r="AB1507" s="464"/>
      <c r="AC1507" s="464"/>
      <c r="AD1507" s="464"/>
      <c r="AE1507" s="464"/>
      <c r="AF1507" s="464"/>
      <c r="AG1507" s="464"/>
      <c r="AH1507" s="465"/>
      <c r="AI1507" s="464"/>
    </row>
    <row r="1508" customFormat="false" ht="15" hidden="false" customHeight="true" outlineLevel="0" collapsed="false">
      <c r="A1508" s="455" t="s">
        <v>2014</v>
      </c>
      <c r="C1508" s="456" t="n">
        <v>45642</v>
      </c>
      <c r="D1508" s="456"/>
      <c r="E1508" s="57" t="n">
        <v>14400</v>
      </c>
      <c r="F1508" s="57" t="s">
        <v>175</v>
      </c>
      <c r="G1508" s="323" t="s">
        <v>19</v>
      </c>
      <c r="H1508" s="98" t="n">
        <v>225</v>
      </c>
      <c r="I1508" s="457" t="n">
        <v>22.5</v>
      </c>
      <c r="J1508" s="313" t="s">
        <v>1651</v>
      </c>
      <c r="K1508" s="458" t="n">
        <f aca="false">I1508*H1508</f>
        <v>5062.5</v>
      </c>
      <c r="L1508" s="411" t="n">
        <v>4387.5</v>
      </c>
      <c r="M1508" s="459" t="n">
        <f aca="false">L1508/K1508</f>
        <v>0.866666666666667</v>
      </c>
      <c r="N1508" s="460" t="n">
        <f aca="false">I1508*M1508</f>
        <v>19.5</v>
      </c>
      <c r="O1508" s="461" t="n">
        <v>225</v>
      </c>
      <c r="P1508" s="462" t="n">
        <f aca="false">H1508-O1508</f>
        <v>0</v>
      </c>
      <c r="Q1508" s="463" t="n">
        <f aca="false">O1508*I1508</f>
        <v>5062.5</v>
      </c>
      <c r="R1508" s="48" t="n">
        <f aca="false">K1508-Q1508</f>
        <v>0</v>
      </c>
      <c r="S1508" s="467"/>
      <c r="T1508" s="2" t="s">
        <v>1711</v>
      </c>
      <c r="V1508" s="464"/>
      <c r="W1508" s="464"/>
      <c r="X1508" s="464"/>
      <c r="Y1508" s="464"/>
      <c r="Z1508" s="464"/>
      <c r="AA1508" s="464"/>
      <c r="AB1508" s="464"/>
      <c r="AC1508" s="464"/>
      <c r="AD1508" s="464"/>
      <c r="AE1508" s="464"/>
      <c r="AF1508" s="464"/>
      <c r="AG1508" s="464"/>
      <c r="AH1508" s="465"/>
      <c r="AI1508" s="464"/>
    </row>
    <row r="1509" customFormat="false" ht="15" hidden="false" customHeight="true" outlineLevel="0" collapsed="false">
      <c r="A1509" s="455" t="s">
        <v>1955</v>
      </c>
      <c r="C1509" s="456" t="n">
        <v>45642</v>
      </c>
      <c r="D1509" s="456"/>
      <c r="E1509" s="57" t="n">
        <v>14401</v>
      </c>
      <c r="F1509" s="57" t="s">
        <v>175</v>
      </c>
      <c r="G1509" s="323" t="s">
        <v>15</v>
      </c>
      <c r="H1509" s="98" t="n">
        <v>1500</v>
      </c>
      <c r="I1509" s="457" t="n">
        <v>22.5</v>
      </c>
      <c r="J1509" s="313" t="s">
        <v>1651</v>
      </c>
      <c r="K1509" s="458" t="n">
        <f aca="false">I1509*H1509</f>
        <v>33750</v>
      </c>
      <c r="L1509" s="411" t="n">
        <v>23730</v>
      </c>
      <c r="M1509" s="459" t="n">
        <f aca="false">L1509/K1509</f>
        <v>0.703111111111111</v>
      </c>
      <c r="N1509" s="460" t="n">
        <f aca="false">I1509*M1509</f>
        <v>15.82</v>
      </c>
      <c r="O1509" s="461" t="n">
        <v>1500</v>
      </c>
      <c r="P1509" s="462" t="n">
        <f aca="false">H1509-O1509</f>
        <v>0</v>
      </c>
      <c r="Q1509" s="463" t="n">
        <f aca="false">O1509*I1509</f>
        <v>33750</v>
      </c>
      <c r="R1509" s="48" t="n">
        <f aca="false">K1509-Q1509</f>
        <v>0</v>
      </c>
      <c r="S1509" s="467"/>
      <c r="T1509" s="2" t="s">
        <v>1711</v>
      </c>
      <c r="V1509" s="464"/>
      <c r="W1509" s="464"/>
      <c r="X1509" s="464"/>
      <c r="Y1509" s="464"/>
      <c r="Z1509" s="464"/>
      <c r="AA1509" s="464"/>
      <c r="AB1509" s="464"/>
      <c r="AC1509" s="464"/>
      <c r="AD1509" s="464"/>
      <c r="AE1509" s="464"/>
      <c r="AF1509" s="464"/>
      <c r="AG1509" s="464"/>
      <c r="AH1509" s="465"/>
      <c r="AI1509" s="464"/>
    </row>
    <row r="1510" customFormat="false" ht="15" hidden="false" customHeight="true" outlineLevel="0" collapsed="false">
      <c r="A1510" s="455" t="s">
        <v>1955</v>
      </c>
      <c r="C1510" s="456" t="n">
        <v>45642</v>
      </c>
      <c r="D1510" s="456"/>
      <c r="E1510" s="323" t="n">
        <v>14401</v>
      </c>
      <c r="F1510" s="323" t="s">
        <v>175</v>
      </c>
      <c r="G1510" s="323" t="s">
        <v>13</v>
      </c>
      <c r="H1510" s="98" t="n">
        <v>1500</v>
      </c>
      <c r="I1510" s="457" t="n">
        <v>22.5</v>
      </c>
      <c r="J1510" s="313" t="s">
        <v>1651</v>
      </c>
      <c r="K1510" s="458" t="n">
        <f aca="false">I1510*H1510</f>
        <v>33750</v>
      </c>
      <c r="L1510" s="411" t="n">
        <v>16800</v>
      </c>
      <c r="M1510" s="459" t="n">
        <f aca="false">L1510/K1510</f>
        <v>0.497777777777778</v>
      </c>
      <c r="N1510" s="460" t="n">
        <f aca="false">I1510*M1510</f>
        <v>11.2</v>
      </c>
      <c r="O1510" s="461" t="n">
        <v>1500</v>
      </c>
      <c r="P1510" s="462" t="n">
        <f aca="false">H1510-O1510</f>
        <v>0</v>
      </c>
      <c r="Q1510" s="463" t="n">
        <f aca="false">O1510*I1510</f>
        <v>33750</v>
      </c>
      <c r="R1510" s="48" t="n">
        <f aca="false">K1510-Q1510</f>
        <v>0</v>
      </c>
      <c r="S1510" s="467"/>
      <c r="T1510" s="2" t="s">
        <v>1711</v>
      </c>
      <c r="V1510" s="464"/>
      <c r="W1510" s="464"/>
      <c r="X1510" s="464"/>
      <c r="Y1510" s="464"/>
      <c r="Z1510" s="464"/>
      <c r="AA1510" s="464"/>
      <c r="AB1510" s="464"/>
      <c r="AC1510" s="464"/>
      <c r="AD1510" s="464"/>
      <c r="AE1510" s="464"/>
      <c r="AF1510" s="464"/>
      <c r="AG1510" s="464"/>
      <c r="AH1510" s="465"/>
      <c r="AI1510" s="464"/>
    </row>
    <row r="1511" customFormat="false" ht="15" hidden="false" customHeight="true" outlineLevel="0" collapsed="false">
      <c r="A1511" s="455" t="s">
        <v>1950</v>
      </c>
      <c r="C1511" s="456" t="n">
        <v>45642</v>
      </c>
      <c r="D1511" s="456"/>
      <c r="E1511" s="323" t="n">
        <v>14403</v>
      </c>
      <c r="F1511" s="323" t="s">
        <v>175</v>
      </c>
      <c r="G1511" s="323" t="s">
        <v>15</v>
      </c>
      <c r="H1511" s="98" t="n">
        <v>2700</v>
      </c>
      <c r="I1511" s="457" t="n">
        <v>22.5</v>
      </c>
      <c r="J1511" s="313" t="s">
        <v>1651</v>
      </c>
      <c r="K1511" s="458" t="n">
        <f aca="false">I1511*H1511</f>
        <v>60750</v>
      </c>
      <c r="L1511" s="411" t="n">
        <v>42714</v>
      </c>
      <c r="M1511" s="459" t="n">
        <f aca="false">L1511/K1511</f>
        <v>0.703111111111111</v>
      </c>
      <c r="N1511" s="460" t="n">
        <f aca="false">I1511*M1511</f>
        <v>15.82</v>
      </c>
      <c r="O1511" s="461" t="n">
        <v>2700</v>
      </c>
      <c r="P1511" s="462" t="n">
        <f aca="false">H1511-O1511</f>
        <v>0</v>
      </c>
      <c r="Q1511" s="463" t="n">
        <f aca="false">O1511*I1511</f>
        <v>60750</v>
      </c>
      <c r="R1511" s="48" t="n">
        <f aca="false">K1511-Q1511</f>
        <v>0</v>
      </c>
      <c r="S1511" s="467"/>
      <c r="T1511" s="2" t="s">
        <v>1711</v>
      </c>
      <c r="V1511" s="464"/>
      <c r="W1511" s="464"/>
      <c r="X1511" s="464"/>
      <c r="Y1511" s="464"/>
      <c r="Z1511" s="464"/>
      <c r="AA1511" s="464"/>
      <c r="AB1511" s="464"/>
      <c r="AC1511" s="464"/>
      <c r="AD1511" s="464"/>
      <c r="AE1511" s="464"/>
      <c r="AF1511" s="464"/>
      <c r="AG1511" s="464"/>
      <c r="AH1511" s="465"/>
      <c r="AI1511" s="464"/>
    </row>
    <row r="1512" customFormat="false" ht="15" hidden="false" customHeight="true" outlineLevel="0" collapsed="false">
      <c r="A1512" s="455" t="s">
        <v>1950</v>
      </c>
      <c r="C1512" s="456" t="n">
        <v>45642</v>
      </c>
      <c r="D1512" s="456"/>
      <c r="E1512" s="323" t="n">
        <v>14403</v>
      </c>
      <c r="F1512" s="323" t="s">
        <v>175</v>
      </c>
      <c r="G1512" s="323" t="s">
        <v>12</v>
      </c>
      <c r="H1512" s="98" t="n">
        <v>450</v>
      </c>
      <c r="I1512" s="457" t="n">
        <v>18</v>
      </c>
      <c r="J1512" s="313" t="s">
        <v>1651</v>
      </c>
      <c r="K1512" s="458" t="n">
        <f aca="false">I1512*H1512</f>
        <v>8100</v>
      </c>
      <c r="L1512" s="411" t="n">
        <v>22369.5</v>
      </c>
      <c r="M1512" s="459" t="n">
        <f aca="false">L1512/K1512</f>
        <v>2.76166666666667</v>
      </c>
      <c r="N1512" s="460" t="n">
        <f aca="false">I1512*M1512</f>
        <v>49.71</v>
      </c>
      <c r="O1512" s="461" t="n">
        <v>450</v>
      </c>
      <c r="P1512" s="462" t="n">
        <f aca="false">H1512-O1512</f>
        <v>0</v>
      </c>
      <c r="Q1512" s="463" t="n">
        <f aca="false">O1512*I1512</f>
        <v>8100</v>
      </c>
      <c r="R1512" s="48" t="n">
        <f aca="false">K1512-Q1512</f>
        <v>0</v>
      </c>
      <c r="S1512" s="467"/>
      <c r="T1512" s="2" t="s">
        <v>1711</v>
      </c>
      <c r="V1512" s="464"/>
      <c r="W1512" s="464"/>
      <c r="X1512" s="464"/>
      <c r="Y1512" s="464"/>
      <c r="Z1512" s="464"/>
      <c r="AA1512" s="464"/>
      <c r="AB1512" s="464"/>
      <c r="AC1512" s="464"/>
      <c r="AD1512" s="464"/>
      <c r="AE1512" s="464"/>
      <c r="AF1512" s="464"/>
      <c r="AG1512" s="464"/>
      <c r="AH1512" s="465"/>
      <c r="AI1512" s="464"/>
    </row>
    <row r="1513" customFormat="false" ht="15" hidden="false" customHeight="true" outlineLevel="0" collapsed="false">
      <c r="A1513" s="455" t="s">
        <v>1913</v>
      </c>
      <c r="C1513" s="456" t="n">
        <v>45642</v>
      </c>
      <c r="D1513" s="456"/>
      <c r="E1513" s="323" t="n">
        <v>14404</v>
      </c>
      <c r="F1513" s="323" t="s">
        <v>175</v>
      </c>
      <c r="G1513" s="323" t="s">
        <v>5</v>
      </c>
      <c r="H1513" s="98" t="n">
        <v>1500</v>
      </c>
      <c r="I1513" s="457" t="n">
        <v>25.71</v>
      </c>
      <c r="J1513" s="313" t="s">
        <v>1651</v>
      </c>
      <c r="K1513" s="458" t="n">
        <f aca="false">I1513*H1513</f>
        <v>38565</v>
      </c>
      <c r="L1513" s="411" t="n">
        <v>18900</v>
      </c>
      <c r="M1513" s="459" t="n">
        <f aca="false">L1513/K1513</f>
        <v>0.490081680280047</v>
      </c>
      <c r="N1513" s="460" t="n">
        <f aca="false">I1513*M1513</f>
        <v>12.6</v>
      </c>
      <c r="O1513" s="461" t="n">
        <v>1500</v>
      </c>
      <c r="P1513" s="462" t="n">
        <f aca="false">H1513-O1513</f>
        <v>0</v>
      </c>
      <c r="Q1513" s="463" t="n">
        <f aca="false">O1513*I1513</f>
        <v>38565</v>
      </c>
      <c r="R1513" s="48" t="n">
        <f aca="false">K1513-Q1513</f>
        <v>0</v>
      </c>
      <c r="S1513" s="467"/>
      <c r="T1513" s="2" t="s">
        <v>1711</v>
      </c>
      <c r="V1513" s="464"/>
      <c r="W1513" s="464"/>
      <c r="X1513" s="464"/>
      <c r="Y1513" s="464"/>
      <c r="Z1513" s="464"/>
      <c r="AA1513" s="464"/>
      <c r="AB1513" s="464"/>
      <c r="AC1513" s="464"/>
      <c r="AD1513" s="464"/>
      <c r="AE1513" s="464"/>
      <c r="AF1513" s="464"/>
      <c r="AG1513" s="464"/>
      <c r="AH1513" s="465"/>
      <c r="AI1513" s="464"/>
    </row>
    <row r="1514" customFormat="false" ht="15" hidden="false" customHeight="true" outlineLevel="0" collapsed="false">
      <c r="A1514" s="455" t="s">
        <v>1913</v>
      </c>
      <c r="C1514" s="456" t="n">
        <v>45642</v>
      </c>
      <c r="D1514" s="456"/>
      <c r="E1514" s="57" t="n">
        <v>14404</v>
      </c>
      <c r="F1514" s="323" t="s">
        <v>175</v>
      </c>
      <c r="G1514" s="323" t="s">
        <v>13</v>
      </c>
      <c r="H1514" s="98" t="n">
        <v>600</v>
      </c>
      <c r="I1514" s="457" t="n">
        <v>22.5</v>
      </c>
      <c r="J1514" s="313" t="s">
        <v>1651</v>
      </c>
      <c r="K1514" s="458" t="n">
        <f aca="false">I1514*H1514</f>
        <v>13500</v>
      </c>
      <c r="L1514" s="411" t="n">
        <v>6720</v>
      </c>
      <c r="M1514" s="459" t="n">
        <f aca="false">L1514/K1514</f>
        <v>0.497777777777778</v>
      </c>
      <c r="N1514" s="460" t="n">
        <f aca="false">I1514*M1514</f>
        <v>11.2</v>
      </c>
      <c r="O1514" s="461" t="n">
        <v>600</v>
      </c>
      <c r="P1514" s="462" t="n">
        <f aca="false">H1514-O1514</f>
        <v>0</v>
      </c>
      <c r="Q1514" s="463" t="n">
        <f aca="false">O1514*I1514</f>
        <v>13500</v>
      </c>
      <c r="R1514" s="48" t="n">
        <f aca="false">K1514-Q1514</f>
        <v>0</v>
      </c>
      <c r="S1514" s="467"/>
      <c r="T1514" s="2" t="s">
        <v>1711</v>
      </c>
      <c r="V1514" s="464"/>
      <c r="W1514" s="464"/>
      <c r="X1514" s="464"/>
      <c r="Y1514" s="464"/>
      <c r="Z1514" s="464"/>
      <c r="AA1514" s="464"/>
      <c r="AB1514" s="464"/>
      <c r="AC1514" s="464"/>
      <c r="AD1514" s="464"/>
      <c r="AE1514" s="464"/>
      <c r="AF1514" s="464"/>
      <c r="AG1514" s="464"/>
      <c r="AH1514" s="465"/>
      <c r="AI1514" s="464"/>
    </row>
    <row r="1515" customFormat="false" ht="15" hidden="false" customHeight="true" outlineLevel="0" collapsed="false">
      <c r="A1515" s="455" t="s">
        <v>1913</v>
      </c>
      <c r="C1515" s="456" t="n">
        <v>45642</v>
      </c>
      <c r="D1515" s="456"/>
      <c r="E1515" s="57" t="n">
        <v>14404</v>
      </c>
      <c r="F1515" s="323" t="s">
        <v>175</v>
      </c>
      <c r="G1515" s="323" t="s">
        <v>5</v>
      </c>
      <c r="H1515" s="98" t="n">
        <v>1000</v>
      </c>
      <c r="I1515" s="457" t="n">
        <v>60</v>
      </c>
      <c r="J1515" s="313" t="s">
        <v>1653</v>
      </c>
      <c r="K1515" s="458" t="n">
        <f aca="false">I1515*H1515</f>
        <v>60000</v>
      </c>
      <c r="L1515" s="411" t="n">
        <v>15080</v>
      </c>
      <c r="M1515" s="459" t="n">
        <f aca="false">L1515/K1515</f>
        <v>0.251333333333333</v>
      </c>
      <c r="N1515" s="460" t="n">
        <f aca="false">I1515*M1515</f>
        <v>15.08</v>
      </c>
      <c r="O1515" s="461" t="n">
        <v>1000</v>
      </c>
      <c r="P1515" s="462" t="n">
        <f aca="false">H1515-O1515</f>
        <v>0</v>
      </c>
      <c r="Q1515" s="463" t="n">
        <f aca="false">O1515*I1515</f>
        <v>60000</v>
      </c>
      <c r="R1515" s="48" t="n">
        <f aca="false">K1515-Q1515</f>
        <v>0</v>
      </c>
      <c r="S1515" s="467"/>
      <c r="T1515" s="2" t="s">
        <v>1711</v>
      </c>
      <c r="V1515" s="464"/>
      <c r="W1515" s="464"/>
      <c r="X1515" s="464"/>
      <c r="Y1515" s="464"/>
      <c r="Z1515" s="464"/>
      <c r="AA1515" s="464"/>
      <c r="AB1515" s="464"/>
      <c r="AC1515" s="464"/>
      <c r="AD1515" s="464"/>
      <c r="AE1515" s="464"/>
      <c r="AF1515" s="464"/>
      <c r="AG1515" s="464"/>
      <c r="AH1515" s="465"/>
      <c r="AI1515" s="464"/>
    </row>
    <row r="1516" customFormat="false" ht="15" hidden="false" customHeight="true" outlineLevel="0" collapsed="false">
      <c r="A1516" s="455" t="s">
        <v>1889</v>
      </c>
      <c r="C1516" s="456" t="n">
        <v>45642</v>
      </c>
      <c r="D1516" s="456"/>
      <c r="E1516" s="57" t="n">
        <v>14405</v>
      </c>
      <c r="F1516" s="323" t="s">
        <v>175</v>
      </c>
      <c r="G1516" s="323" t="s">
        <v>6</v>
      </c>
      <c r="H1516" s="98" t="n">
        <v>75</v>
      </c>
      <c r="I1516" s="457" t="n">
        <v>45</v>
      </c>
      <c r="J1516" s="313" t="s">
        <v>1652</v>
      </c>
      <c r="K1516" s="458" t="n">
        <f aca="false">I1516*H1516</f>
        <v>3375</v>
      </c>
      <c r="L1516" s="411" t="n">
        <v>1350</v>
      </c>
      <c r="M1516" s="459" t="n">
        <f aca="false">L1516/K1516</f>
        <v>0.4</v>
      </c>
      <c r="N1516" s="460" t="n">
        <f aca="false">I1516*M1516</f>
        <v>18</v>
      </c>
      <c r="O1516" s="461" t="n">
        <v>75</v>
      </c>
      <c r="P1516" s="462" t="n">
        <f aca="false">H1516-O1516</f>
        <v>0</v>
      </c>
      <c r="Q1516" s="463" t="n">
        <f aca="false">O1516*I1516</f>
        <v>3375</v>
      </c>
      <c r="R1516" s="48" t="n">
        <f aca="false">K1516-Q1516</f>
        <v>0</v>
      </c>
      <c r="S1516" s="467"/>
      <c r="T1516" s="2" t="s">
        <v>1711</v>
      </c>
      <c r="V1516" s="464"/>
      <c r="W1516" s="464"/>
      <c r="X1516" s="464"/>
      <c r="Y1516" s="464"/>
      <c r="Z1516" s="464"/>
      <c r="AA1516" s="464"/>
      <c r="AB1516" s="464"/>
      <c r="AC1516" s="464"/>
      <c r="AD1516" s="464"/>
      <c r="AE1516" s="464"/>
      <c r="AF1516" s="464"/>
      <c r="AG1516" s="464"/>
      <c r="AH1516" s="465"/>
      <c r="AI1516" s="464"/>
    </row>
    <row r="1517" customFormat="false" ht="15" hidden="false" customHeight="true" outlineLevel="0" collapsed="false">
      <c r="A1517" s="455" t="s">
        <v>1913</v>
      </c>
      <c r="C1517" s="456" t="n">
        <v>45642</v>
      </c>
      <c r="D1517" s="456"/>
      <c r="E1517" s="57" t="n">
        <v>14406</v>
      </c>
      <c r="F1517" s="323" t="s">
        <v>175</v>
      </c>
      <c r="G1517" s="323" t="s">
        <v>5</v>
      </c>
      <c r="H1517" s="98" t="n">
        <v>2250</v>
      </c>
      <c r="I1517" s="457" t="n">
        <v>25.71</v>
      </c>
      <c r="J1517" s="313" t="s">
        <v>1651</v>
      </c>
      <c r="K1517" s="458" t="n">
        <f aca="false">I1517*H1517</f>
        <v>57847.5</v>
      </c>
      <c r="L1517" s="411" t="n">
        <v>28350</v>
      </c>
      <c r="M1517" s="459" t="n">
        <f aca="false">L1517/K1517</f>
        <v>0.490081680280047</v>
      </c>
      <c r="N1517" s="460" t="n">
        <f aca="false">I1517*M1517</f>
        <v>12.6</v>
      </c>
      <c r="O1517" s="461" t="n">
        <v>2250</v>
      </c>
      <c r="P1517" s="462" t="n">
        <f aca="false">H1517-O1517</f>
        <v>0</v>
      </c>
      <c r="Q1517" s="463" t="n">
        <f aca="false">O1517*I1517</f>
        <v>57847.5</v>
      </c>
      <c r="R1517" s="48" t="n">
        <f aca="false">K1517-Q1517</f>
        <v>0</v>
      </c>
      <c r="S1517" s="467"/>
      <c r="T1517" s="2" t="s">
        <v>1711</v>
      </c>
      <c r="V1517" s="464"/>
      <c r="W1517" s="464"/>
      <c r="X1517" s="464"/>
      <c r="Y1517" s="464"/>
      <c r="Z1517" s="464"/>
      <c r="AA1517" s="464"/>
      <c r="AB1517" s="464"/>
      <c r="AC1517" s="464"/>
      <c r="AD1517" s="464"/>
      <c r="AE1517" s="464"/>
      <c r="AF1517" s="464"/>
      <c r="AG1517" s="464"/>
      <c r="AH1517" s="465"/>
      <c r="AI1517" s="464"/>
    </row>
    <row r="1518" customFormat="false" ht="15" hidden="false" customHeight="true" outlineLevel="0" collapsed="false">
      <c r="A1518" s="455" t="s">
        <v>1913</v>
      </c>
      <c r="C1518" s="456" t="n">
        <v>45642</v>
      </c>
      <c r="D1518" s="456"/>
      <c r="E1518" s="57" t="n">
        <v>14406</v>
      </c>
      <c r="F1518" s="323" t="s">
        <v>175</v>
      </c>
      <c r="G1518" s="323" t="s">
        <v>13</v>
      </c>
      <c r="H1518" s="98" t="n">
        <v>1200</v>
      </c>
      <c r="I1518" s="457" t="n">
        <v>22.5</v>
      </c>
      <c r="J1518" s="313" t="s">
        <v>1651</v>
      </c>
      <c r="K1518" s="458" t="n">
        <f aca="false">I1518*H1518</f>
        <v>27000</v>
      </c>
      <c r="L1518" s="411" t="n">
        <v>13440</v>
      </c>
      <c r="M1518" s="459" t="n">
        <f aca="false">L1518/K1518</f>
        <v>0.497777777777778</v>
      </c>
      <c r="N1518" s="460" t="n">
        <f aca="false">I1518*M1518</f>
        <v>11.2</v>
      </c>
      <c r="O1518" s="461" t="n">
        <v>1200</v>
      </c>
      <c r="P1518" s="462" t="n">
        <f aca="false">H1518-O1518</f>
        <v>0</v>
      </c>
      <c r="Q1518" s="463" t="n">
        <f aca="false">O1518*I1518</f>
        <v>27000</v>
      </c>
      <c r="R1518" s="48" t="n">
        <f aca="false">K1518-Q1518</f>
        <v>0</v>
      </c>
      <c r="S1518" s="467"/>
      <c r="T1518" s="2" t="s">
        <v>1711</v>
      </c>
      <c r="V1518" s="464"/>
      <c r="W1518" s="464"/>
      <c r="X1518" s="464"/>
      <c r="Y1518" s="464"/>
      <c r="Z1518" s="464"/>
      <c r="AA1518" s="464"/>
      <c r="AB1518" s="464"/>
      <c r="AC1518" s="464"/>
      <c r="AD1518" s="464"/>
      <c r="AE1518" s="464"/>
      <c r="AF1518" s="464"/>
      <c r="AG1518" s="464"/>
      <c r="AH1518" s="465"/>
      <c r="AI1518" s="464"/>
    </row>
    <row r="1519" customFormat="false" ht="15" hidden="false" customHeight="true" outlineLevel="0" collapsed="false">
      <c r="A1519" s="455" t="s">
        <v>1913</v>
      </c>
      <c r="C1519" s="456" t="n">
        <v>45642</v>
      </c>
      <c r="D1519" s="456"/>
      <c r="E1519" s="57" t="n">
        <v>14406</v>
      </c>
      <c r="F1519" s="323" t="s">
        <v>175</v>
      </c>
      <c r="G1519" s="323" t="s">
        <v>11</v>
      </c>
      <c r="H1519" s="98" t="n">
        <v>300</v>
      </c>
      <c r="I1519" s="457" t="n">
        <v>14</v>
      </c>
      <c r="J1519" s="313" t="s">
        <v>1651</v>
      </c>
      <c r="K1519" s="458" t="n">
        <f aca="false">I1519*H1519</f>
        <v>4200</v>
      </c>
      <c r="L1519" s="411" t="n">
        <v>20000</v>
      </c>
      <c r="M1519" s="459" t="n">
        <f aca="false">L1519/K1519</f>
        <v>4.76190476190476</v>
      </c>
      <c r="N1519" s="460" t="n">
        <f aca="false">I1519*M1519</f>
        <v>66.6666666666667</v>
      </c>
      <c r="O1519" s="461" t="n">
        <v>300</v>
      </c>
      <c r="P1519" s="462" t="n">
        <f aca="false">H1519-O1519</f>
        <v>0</v>
      </c>
      <c r="Q1519" s="463" t="n">
        <f aca="false">O1519*I1519</f>
        <v>4200</v>
      </c>
      <c r="R1519" s="48" t="n">
        <f aca="false">K1519-Q1519</f>
        <v>0</v>
      </c>
      <c r="S1519" s="467"/>
      <c r="T1519" s="2" t="s">
        <v>1711</v>
      </c>
      <c r="V1519" s="464"/>
      <c r="W1519" s="464"/>
      <c r="X1519" s="464"/>
      <c r="Y1519" s="464"/>
      <c r="Z1519" s="464"/>
      <c r="AA1519" s="464"/>
      <c r="AB1519" s="464"/>
      <c r="AC1519" s="464"/>
      <c r="AD1519" s="464"/>
      <c r="AE1519" s="464"/>
      <c r="AF1519" s="464"/>
      <c r="AG1519" s="464"/>
      <c r="AH1519" s="465"/>
      <c r="AI1519" s="464"/>
    </row>
    <row r="1520" customFormat="false" ht="15" hidden="false" customHeight="true" outlineLevel="0" collapsed="false">
      <c r="A1520" s="455" t="s">
        <v>1913</v>
      </c>
      <c r="C1520" s="456" t="n">
        <v>45642</v>
      </c>
      <c r="D1520" s="456"/>
      <c r="E1520" s="57" t="n">
        <v>14406</v>
      </c>
      <c r="F1520" s="323" t="s">
        <v>175</v>
      </c>
      <c r="G1520" s="323" t="s">
        <v>5</v>
      </c>
      <c r="H1520" s="98" t="n">
        <v>5000</v>
      </c>
      <c r="I1520" s="457" t="n">
        <v>60</v>
      </c>
      <c r="J1520" s="313" t="s">
        <v>1653</v>
      </c>
      <c r="K1520" s="458" t="n">
        <f aca="false">I1520*H1520</f>
        <v>300000</v>
      </c>
      <c r="L1520" s="411" t="n">
        <v>75400</v>
      </c>
      <c r="M1520" s="459" t="n">
        <f aca="false">L1520/K1520</f>
        <v>0.251333333333333</v>
      </c>
      <c r="N1520" s="460" t="n">
        <f aca="false">I1520*M1520</f>
        <v>15.08</v>
      </c>
      <c r="O1520" s="461" t="n">
        <v>5000</v>
      </c>
      <c r="P1520" s="462" t="n">
        <f aca="false">H1520-O1520</f>
        <v>0</v>
      </c>
      <c r="Q1520" s="463" t="n">
        <f aca="false">O1520*I1520</f>
        <v>300000</v>
      </c>
      <c r="R1520" s="48" t="n">
        <f aca="false">K1520-Q1520</f>
        <v>0</v>
      </c>
      <c r="S1520" s="467"/>
      <c r="T1520" s="2" t="s">
        <v>1711</v>
      </c>
      <c r="V1520" s="464"/>
      <c r="W1520" s="464"/>
      <c r="X1520" s="464"/>
      <c r="Y1520" s="464"/>
      <c r="Z1520" s="464"/>
      <c r="AA1520" s="464"/>
      <c r="AB1520" s="464"/>
      <c r="AC1520" s="464"/>
      <c r="AD1520" s="464"/>
      <c r="AE1520" s="464"/>
      <c r="AF1520" s="464"/>
      <c r="AG1520" s="464"/>
      <c r="AH1520" s="465"/>
      <c r="AI1520" s="464"/>
    </row>
    <row r="1521" customFormat="false" ht="15" hidden="false" customHeight="true" outlineLevel="0" collapsed="false">
      <c r="A1521" s="455" t="s">
        <v>1913</v>
      </c>
      <c r="C1521" s="456" t="n">
        <v>45642</v>
      </c>
      <c r="D1521" s="456"/>
      <c r="E1521" s="323" t="n">
        <v>14406</v>
      </c>
      <c r="F1521" s="323" t="s">
        <v>175</v>
      </c>
      <c r="G1521" s="323" t="s">
        <v>13</v>
      </c>
      <c r="H1521" s="98" t="n">
        <v>1750</v>
      </c>
      <c r="I1521" s="457" t="n">
        <v>40</v>
      </c>
      <c r="J1521" s="313" t="s">
        <v>1653</v>
      </c>
      <c r="K1521" s="458" t="n">
        <f aca="false">I1521*H1521</f>
        <v>70000</v>
      </c>
      <c r="L1521" s="411" t="n">
        <v>22802.5</v>
      </c>
      <c r="M1521" s="459" t="n">
        <f aca="false">L1521/K1521</f>
        <v>0.32575</v>
      </c>
      <c r="N1521" s="460" t="n">
        <f aca="false">I1521*M1521</f>
        <v>13.03</v>
      </c>
      <c r="O1521" s="461" t="n">
        <v>1750</v>
      </c>
      <c r="P1521" s="462" t="n">
        <f aca="false">H1521-O1521</f>
        <v>0</v>
      </c>
      <c r="Q1521" s="463" t="n">
        <f aca="false">O1521*I1521</f>
        <v>70000</v>
      </c>
      <c r="R1521" s="48" t="n">
        <f aca="false">K1521-Q1521</f>
        <v>0</v>
      </c>
      <c r="S1521" s="467"/>
      <c r="T1521" s="2" t="s">
        <v>1711</v>
      </c>
      <c r="V1521" s="464"/>
      <c r="W1521" s="464"/>
      <c r="X1521" s="464"/>
      <c r="Y1521" s="464"/>
      <c r="Z1521" s="464"/>
      <c r="AA1521" s="464"/>
      <c r="AB1521" s="464"/>
      <c r="AC1521" s="464"/>
      <c r="AD1521" s="464"/>
      <c r="AE1521" s="464"/>
      <c r="AF1521" s="464"/>
      <c r="AG1521" s="464"/>
      <c r="AH1521" s="465"/>
      <c r="AI1521" s="464"/>
    </row>
    <row r="1522" customFormat="false" ht="15" hidden="false" customHeight="true" outlineLevel="0" collapsed="false">
      <c r="A1522" s="455" t="s">
        <v>1913</v>
      </c>
      <c r="C1522" s="456" t="n">
        <v>45642</v>
      </c>
      <c r="D1522" s="456"/>
      <c r="E1522" s="57" t="n">
        <v>14408</v>
      </c>
      <c r="F1522" s="323" t="s">
        <v>175</v>
      </c>
      <c r="G1522" s="323" t="s">
        <v>15</v>
      </c>
      <c r="H1522" s="98" t="n">
        <v>750</v>
      </c>
      <c r="I1522" s="457" t="n">
        <v>22.5</v>
      </c>
      <c r="J1522" s="313" t="s">
        <v>1651</v>
      </c>
      <c r="K1522" s="458" t="n">
        <f aca="false">I1522*H1522</f>
        <v>16875</v>
      </c>
      <c r="L1522" s="411" t="n">
        <v>12442.5</v>
      </c>
      <c r="M1522" s="459" t="n">
        <f aca="false">L1522/K1522</f>
        <v>0.737333333333333</v>
      </c>
      <c r="N1522" s="460" t="n">
        <f aca="false">I1522*M1522</f>
        <v>16.59</v>
      </c>
      <c r="O1522" s="461" t="n">
        <v>750</v>
      </c>
      <c r="P1522" s="462" t="n">
        <f aca="false">H1522-O1522</f>
        <v>0</v>
      </c>
      <c r="Q1522" s="463" t="n">
        <f aca="false">O1522*I1522</f>
        <v>16875</v>
      </c>
      <c r="R1522" s="48" t="n">
        <f aca="false">K1522-Q1522</f>
        <v>0</v>
      </c>
      <c r="S1522" s="467"/>
      <c r="T1522" s="2" t="s">
        <v>1711</v>
      </c>
      <c r="V1522" s="464"/>
      <c r="W1522" s="464"/>
      <c r="X1522" s="464"/>
      <c r="Y1522" s="464"/>
      <c r="Z1522" s="464"/>
      <c r="AA1522" s="464"/>
      <c r="AB1522" s="464"/>
      <c r="AC1522" s="464"/>
      <c r="AD1522" s="464"/>
      <c r="AE1522" s="464"/>
      <c r="AF1522" s="464"/>
      <c r="AG1522" s="464"/>
      <c r="AH1522" s="465"/>
      <c r="AI1522" s="464"/>
    </row>
    <row r="1523" customFormat="false" ht="15" hidden="false" customHeight="true" outlineLevel="0" collapsed="false">
      <c r="A1523" s="455" t="s">
        <v>1913</v>
      </c>
      <c r="C1523" s="456" t="n">
        <v>45642</v>
      </c>
      <c r="D1523" s="456"/>
      <c r="E1523" s="57" t="n">
        <v>14408</v>
      </c>
      <c r="F1523" s="323" t="s">
        <v>175</v>
      </c>
      <c r="G1523" s="323" t="s">
        <v>5</v>
      </c>
      <c r="H1523" s="98" t="n">
        <v>1500</v>
      </c>
      <c r="I1523" s="457" t="n">
        <v>25.71</v>
      </c>
      <c r="J1523" s="313" t="s">
        <v>1651</v>
      </c>
      <c r="K1523" s="458" t="n">
        <f aca="false">I1523*H1523</f>
        <v>38565</v>
      </c>
      <c r="L1523" s="411" t="n">
        <v>18900</v>
      </c>
      <c r="M1523" s="459" t="n">
        <f aca="false">L1523/K1523</f>
        <v>0.490081680280047</v>
      </c>
      <c r="N1523" s="460" t="n">
        <f aca="false">I1523*M1523</f>
        <v>12.6</v>
      </c>
      <c r="O1523" s="461" t="n">
        <v>1500</v>
      </c>
      <c r="P1523" s="462" t="n">
        <f aca="false">H1523-O1523</f>
        <v>0</v>
      </c>
      <c r="Q1523" s="463" t="n">
        <f aca="false">O1523*I1523</f>
        <v>38565</v>
      </c>
      <c r="R1523" s="48" t="n">
        <f aca="false">K1523-Q1523</f>
        <v>0</v>
      </c>
      <c r="S1523" s="467"/>
      <c r="T1523" s="2" t="s">
        <v>1711</v>
      </c>
      <c r="V1523" s="464"/>
      <c r="W1523" s="464"/>
      <c r="X1523" s="464"/>
      <c r="Y1523" s="464"/>
      <c r="Z1523" s="464"/>
      <c r="AA1523" s="464"/>
      <c r="AB1523" s="464"/>
      <c r="AC1523" s="464"/>
      <c r="AD1523" s="464"/>
      <c r="AE1523" s="464"/>
      <c r="AF1523" s="464"/>
      <c r="AG1523" s="464"/>
      <c r="AH1523" s="465"/>
      <c r="AI1523" s="464"/>
    </row>
    <row r="1524" customFormat="false" ht="15" hidden="false" customHeight="true" outlineLevel="0" collapsed="false">
      <c r="A1524" s="455" t="s">
        <v>1913</v>
      </c>
      <c r="C1524" s="456" t="n">
        <v>45642</v>
      </c>
      <c r="D1524" s="456"/>
      <c r="E1524" s="57" t="n">
        <v>14408</v>
      </c>
      <c r="F1524" s="323" t="s">
        <v>175</v>
      </c>
      <c r="G1524" s="323" t="s">
        <v>13</v>
      </c>
      <c r="H1524" s="98" t="n">
        <v>1200</v>
      </c>
      <c r="I1524" s="457" t="n">
        <v>22.5</v>
      </c>
      <c r="J1524" s="313" t="s">
        <v>1651</v>
      </c>
      <c r="K1524" s="458" t="n">
        <f aca="false">I1524*H1524</f>
        <v>27000</v>
      </c>
      <c r="L1524" s="411" t="n">
        <v>13440</v>
      </c>
      <c r="M1524" s="459" t="n">
        <f aca="false">L1524/K1524</f>
        <v>0.497777777777778</v>
      </c>
      <c r="N1524" s="460" t="n">
        <f aca="false">I1524*M1524</f>
        <v>11.2</v>
      </c>
      <c r="O1524" s="461" t="n">
        <v>1200</v>
      </c>
      <c r="P1524" s="462" t="n">
        <f aca="false">H1524-O1524</f>
        <v>0</v>
      </c>
      <c r="Q1524" s="463" t="n">
        <f aca="false">O1524*I1524</f>
        <v>27000</v>
      </c>
      <c r="R1524" s="48" t="n">
        <f aca="false">K1524-Q1524</f>
        <v>0</v>
      </c>
      <c r="S1524" s="467"/>
      <c r="T1524" s="2" t="s">
        <v>1711</v>
      </c>
      <c r="V1524" s="464"/>
      <c r="W1524" s="464"/>
      <c r="X1524" s="464"/>
      <c r="Y1524" s="464"/>
      <c r="Z1524" s="464"/>
      <c r="AA1524" s="464"/>
      <c r="AB1524" s="464"/>
      <c r="AC1524" s="464"/>
      <c r="AD1524" s="464"/>
      <c r="AE1524" s="464"/>
      <c r="AF1524" s="464"/>
      <c r="AG1524" s="464"/>
      <c r="AH1524" s="465"/>
      <c r="AI1524" s="464"/>
    </row>
    <row r="1525" customFormat="false" ht="15" hidden="false" customHeight="true" outlineLevel="0" collapsed="false">
      <c r="A1525" s="455" t="s">
        <v>1913</v>
      </c>
      <c r="C1525" s="456" t="n">
        <v>45642</v>
      </c>
      <c r="D1525" s="456"/>
      <c r="E1525" s="57" t="n">
        <v>14408</v>
      </c>
      <c r="F1525" s="323" t="s">
        <v>175</v>
      </c>
      <c r="G1525" s="323" t="s">
        <v>11</v>
      </c>
      <c r="H1525" s="98" t="n">
        <v>150</v>
      </c>
      <c r="I1525" s="457" t="n">
        <v>14</v>
      </c>
      <c r="J1525" s="313" t="s">
        <v>1651</v>
      </c>
      <c r="K1525" s="458" t="n">
        <f aca="false">I1525*H1525</f>
        <v>2100</v>
      </c>
      <c r="L1525" s="411" t="n">
        <v>10000</v>
      </c>
      <c r="M1525" s="459" t="n">
        <f aca="false">L1525/K1525</f>
        <v>4.76190476190476</v>
      </c>
      <c r="N1525" s="460" t="n">
        <f aca="false">I1525*M1525</f>
        <v>66.6666666666667</v>
      </c>
      <c r="O1525" s="461" t="n">
        <v>150</v>
      </c>
      <c r="P1525" s="462" t="n">
        <f aca="false">H1525-O1525</f>
        <v>0</v>
      </c>
      <c r="Q1525" s="463" t="n">
        <f aca="false">O1525*I1525</f>
        <v>2100</v>
      </c>
      <c r="R1525" s="48" t="n">
        <f aca="false">K1525-Q1525</f>
        <v>0</v>
      </c>
      <c r="S1525" s="467"/>
      <c r="T1525" s="2" t="s">
        <v>1711</v>
      </c>
      <c r="V1525" s="464"/>
      <c r="W1525" s="464"/>
      <c r="X1525" s="464"/>
      <c r="Y1525" s="464"/>
      <c r="Z1525" s="464"/>
      <c r="AA1525" s="464"/>
      <c r="AB1525" s="464"/>
      <c r="AC1525" s="464"/>
      <c r="AD1525" s="464"/>
      <c r="AE1525" s="464"/>
      <c r="AF1525" s="464"/>
      <c r="AG1525" s="464"/>
      <c r="AH1525" s="465"/>
      <c r="AI1525" s="464"/>
    </row>
    <row r="1526" customFormat="false" ht="15" hidden="false" customHeight="true" outlineLevel="0" collapsed="false">
      <c r="A1526" s="455" t="s">
        <v>1913</v>
      </c>
      <c r="C1526" s="456" t="n">
        <v>45642</v>
      </c>
      <c r="D1526" s="456"/>
      <c r="E1526" s="57" t="n">
        <v>14408</v>
      </c>
      <c r="F1526" s="323" t="s">
        <v>175</v>
      </c>
      <c r="G1526" s="323" t="s">
        <v>5</v>
      </c>
      <c r="H1526" s="98" t="n">
        <v>2500</v>
      </c>
      <c r="I1526" s="457" t="n">
        <v>60</v>
      </c>
      <c r="J1526" s="313" t="s">
        <v>1653</v>
      </c>
      <c r="K1526" s="458" t="n">
        <f aca="false">I1526*H1526</f>
        <v>150000</v>
      </c>
      <c r="L1526" s="411" t="n">
        <v>37700</v>
      </c>
      <c r="M1526" s="459" t="n">
        <f aca="false">L1526/K1526</f>
        <v>0.251333333333333</v>
      </c>
      <c r="N1526" s="460" t="n">
        <f aca="false">I1526*M1526</f>
        <v>15.08</v>
      </c>
      <c r="O1526" s="461" t="n">
        <v>2500</v>
      </c>
      <c r="P1526" s="462" t="n">
        <f aca="false">H1526-O1526</f>
        <v>0</v>
      </c>
      <c r="Q1526" s="463" t="n">
        <f aca="false">O1526*I1526</f>
        <v>150000</v>
      </c>
      <c r="R1526" s="48" t="n">
        <f aca="false">K1526-Q1526</f>
        <v>0</v>
      </c>
      <c r="S1526" s="467"/>
      <c r="T1526" s="2" t="s">
        <v>1711</v>
      </c>
      <c r="V1526" s="464"/>
      <c r="W1526" s="464"/>
      <c r="X1526" s="464"/>
      <c r="Y1526" s="464"/>
      <c r="Z1526" s="464"/>
      <c r="AA1526" s="464"/>
      <c r="AB1526" s="464"/>
      <c r="AC1526" s="464"/>
      <c r="AD1526" s="464"/>
      <c r="AE1526" s="464"/>
      <c r="AF1526" s="464"/>
      <c r="AG1526" s="464"/>
      <c r="AH1526" s="465"/>
      <c r="AI1526" s="464"/>
    </row>
    <row r="1527" customFormat="false" ht="15" hidden="false" customHeight="true" outlineLevel="0" collapsed="false">
      <c r="A1527" s="455" t="s">
        <v>1913</v>
      </c>
      <c r="C1527" s="456" t="n">
        <v>45642</v>
      </c>
      <c r="D1527" s="456"/>
      <c r="E1527" s="323" t="n">
        <v>14408</v>
      </c>
      <c r="F1527" s="323" t="s">
        <v>175</v>
      </c>
      <c r="G1527" s="323" t="s">
        <v>13</v>
      </c>
      <c r="H1527" s="98" t="n">
        <v>1250</v>
      </c>
      <c r="I1527" s="457" t="n">
        <v>40</v>
      </c>
      <c r="J1527" s="313" t="s">
        <v>1653</v>
      </c>
      <c r="K1527" s="458" t="n">
        <f aca="false">I1527*H1527</f>
        <v>50000</v>
      </c>
      <c r="L1527" s="411" t="n">
        <v>16287.5</v>
      </c>
      <c r="M1527" s="459" t="n">
        <f aca="false">L1527/K1527</f>
        <v>0.32575</v>
      </c>
      <c r="N1527" s="460" t="n">
        <f aca="false">I1527*M1527</f>
        <v>13.03</v>
      </c>
      <c r="O1527" s="461" t="n">
        <v>1250</v>
      </c>
      <c r="P1527" s="462" t="n">
        <f aca="false">H1527-O1527</f>
        <v>0</v>
      </c>
      <c r="Q1527" s="463" t="n">
        <f aca="false">O1527*I1527</f>
        <v>50000</v>
      </c>
      <c r="R1527" s="48" t="n">
        <f aca="false">K1527-Q1527</f>
        <v>0</v>
      </c>
      <c r="S1527" s="467"/>
      <c r="T1527" s="2" t="s">
        <v>1711</v>
      </c>
      <c r="V1527" s="464"/>
      <c r="W1527" s="464"/>
      <c r="X1527" s="464"/>
      <c r="Y1527" s="464"/>
      <c r="Z1527" s="464"/>
      <c r="AA1527" s="464"/>
      <c r="AB1527" s="464"/>
      <c r="AC1527" s="464"/>
      <c r="AD1527" s="464"/>
      <c r="AE1527" s="464"/>
      <c r="AF1527" s="464"/>
      <c r="AG1527" s="464"/>
      <c r="AH1527" s="465"/>
      <c r="AI1527" s="464"/>
    </row>
    <row r="1528" customFormat="false" ht="15" hidden="false" customHeight="true" outlineLevel="0" collapsed="false">
      <c r="A1528" s="455" t="s">
        <v>2015</v>
      </c>
      <c r="C1528" s="456" t="n">
        <v>45642</v>
      </c>
      <c r="D1528" s="456"/>
      <c r="E1528" s="323" t="n">
        <v>14409</v>
      </c>
      <c r="F1528" s="323" t="s">
        <v>175</v>
      </c>
      <c r="G1528" s="323" t="s">
        <v>16</v>
      </c>
      <c r="H1528" s="98" t="n">
        <v>30</v>
      </c>
      <c r="I1528" s="457" t="n">
        <v>22.5</v>
      </c>
      <c r="J1528" s="313" t="s">
        <v>1651</v>
      </c>
      <c r="K1528" s="458" t="n">
        <f aca="false">I1528*H1528</f>
        <v>675</v>
      </c>
      <c r="L1528" s="411" t="n">
        <v>600</v>
      </c>
      <c r="M1528" s="459" t="n">
        <f aca="false">L1528/K1528</f>
        <v>0.888888888888889</v>
      </c>
      <c r="N1528" s="460" t="n">
        <f aca="false">I1528*M1528</f>
        <v>20</v>
      </c>
      <c r="O1528" s="461" t="n">
        <v>30</v>
      </c>
      <c r="P1528" s="462" t="n">
        <f aca="false">H1528-O1528</f>
        <v>0</v>
      </c>
      <c r="Q1528" s="463" t="n">
        <f aca="false">O1528*I1528</f>
        <v>675</v>
      </c>
      <c r="R1528" s="48" t="n">
        <f aca="false">K1528-Q1528</f>
        <v>0</v>
      </c>
      <c r="S1528" s="467"/>
      <c r="T1528" s="2" t="s">
        <v>1711</v>
      </c>
      <c r="V1528" s="464"/>
      <c r="W1528" s="464"/>
      <c r="X1528" s="464"/>
      <c r="Y1528" s="464"/>
      <c r="Z1528" s="464"/>
      <c r="AA1528" s="464"/>
      <c r="AB1528" s="464"/>
      <c r="AC1528" s="464"/>
      <c r="AD1528" s="464"/>
      <c r="AE1528" s="464"/>
      <c r="AF1528" s="464"/>
      <c r="AG1528" s="464"/>
      <c r="AH1528" s="465"/>
      <c r="AI1528" s="464"/>
    </row>
    <row r="1529" customFormat="false" ht="15" hidden="false" customHeight="true" outlineLevel="0" collapsed="false">
      <c r="A1529" s="455" t="s">
        <v>1913</v>
      </c>
      <c r="C1529" s="456" t="n">
        <v>45642</v>
      </c>
      <c r="D1529" s="456"/>
      <c r="E1529" s="57" t="n">
        <v>14410</v>
      </c>
      <c r="F1529" s="323" t="s">
        <v>175</v>
      </c>
      <c r="G1529" s="323" t="s">
        <v>5</v>
      </c>
      <c r="H1529" s="98" t="n">
        <v>1500</v>
      </c>
      <c r="I1529" s="457" t="n">
        <v>25.71</v>
      </c>
      <c r="J1529" s="313" t="s">
        <v>1651</v>
      </c>
      <c r="K1529" s="458" t="n">
        <f aca="false">I1529*H1529</f>
        <v>38565</v>
      </c>
      <c r="L1529" s="411" t="n">
        <v>18900</v>
      </c>
      <c r="M1529" s="459" t="n">
        <f aca="false">L1529/K1529</f>
        <v>0.490081680280047</v>
      </c>
      <c r="N1529" s="460" t="n">
        <f aca="false">I1529*M1529</f>
        <v>12.6</v>
      </c>
      <c r="O1529" s="461" t="n">
        <v>1500</v>
      </c>
      <c r="P1529" s="462" t="n">
        <f aca="false">H1529-O1529</f>
        <v>0</v>
      </c>
      <c r="Q1529" s="463" t="n">
        <f aca="false">O1529*I1529</f>
        <v>38565</v>
      </c>
      <c r="R1529" s="48" t="n">
        <f aca="false">K1529-Q1529</f>
        <v>0</v>
      </c>
      <c r="S1529" s="467"/>
      <c r="T1529" s="2" t="s">
        <v>1711</v>
      </c>
      <c r="V1529" s="464"/>
      <c r="W1529" s="464"/>
      <c r="X1529" s="464"/>
      <c r="Y1529" s="464"/>
      <c r="Z1529" s="464"/>
      <c r="AA1529" s="464"/>
      <c r="AB1529" s="464"/>
      <c r="AC1529" s="464"/>
      <c r="AD1529" s="464"/>
      <c r="AE1529" s="464"/>
      <c r="AF1529" s="464"/>
      <c r="AG1529" s="464"/>
      <c r="AH1529" s="465"/>
      <c r="AI1529" s="464"/>
    </row>
    <row r="1530" customFormat="false" ht="15" hidden="false" customHeight="true" outlineLevel="0" collapsed="false">
      <c r="A1530" s="455" t="s">
        <v>1913</v>
      </c>
      <c r="C1530" s="456" t="n">
        <v>45642</v>
      </c>
      <c r="D1530" s="456"/>
      <c r="E1530" s="57" t="n">
        <v>14410</v>
      </c>
      <c r="F1530" s="323" t="s">
        <v>175</v>
      </c>
      <c r="G1530" s="323" t="s">
        <v>13</v>
      </c>
      <c r="H1530" s="98" t="n">
        <v>600</v>
      </c>
      <c r="I1530" s="457" t="n">
        <v>22.5</v>
      </c>
      <c r="J1530" s="313" t="s">
        <v>1651</v>
      </c>
      <c r="K1530" s="458" t="n">
        <f aca="false">I1530*H1530</f>
        <v>13500</v>
      </c>
      <c r="L1530" s="411" t="n">
        <v>6720</v>
      </c>
      <c r="M1530" s="459" t="n">
        <f aca="false">L1530/K1530</f>
        <v>0.497777777777778</v>
      </c>
      <c r="N1530" s="460" t="n">
        <f aca="false">I1530*M1530</f>
        <v>11.2</v>
      </c>
      <c r="O1530" s="461" t="n">
        <v>600</v>
      </c>
      <c r="P1530" s="462" t="n">
        <f aca="false">H1530-O1530</f>
        <v>0</v>
      </c>
      <c r="Q1530" s="463" t="n">
        <f aca="false">O1530*I1530</f>
        <v>13500</v>
      </c>
      <c r="R1530" s="48" t="n">
        <f aca="false">K1530-Q1530</f>
        <v>0</v>
      </c>
      <c r="S1530" s="467"/>
      <c r="T1530" s="2" t="s">
        <v>1711</v>
      </c>
      <c r="V1530" s="464"/>
      <c r="W1530" s="464"/>
      <c r="X1530" s="464"/>
      <c r="Y1530" s="464"/>
      <c r="Z1530" s="464"/>
      <c r="AA1530" s="464"/>
      <c r="AB1530" s="464"/>
      <c r="AC1530" s="464"/>
      <c r="AD1530" s="464"/>
      <c r="AE1530" s="464"/>
      <c r="AF1530" s="464"/>
      <c r="AG1530" s="464"/>
      <c r="AH1530" s="465"/>
      <c r="AI1530" s="464"/>
    </row>
    <row r="1531" customFormat="false" ht="15" hidden="false" customHeight="true" outlineLevel="0" collapsed="false">
      <c r="A1531" s="455" t="s">
        <v>1913</v>
      </c>
      <c r="C1531" s="456" t="n">
        <v>45642</v>
      </c>
      <c r="D1531" s="456"/>
      <c r="E1531" s="57" t="n">
        <v>14410</v>
      </c>
      <c r="F1531" s="323" t="s">
        <v>175</v>
      </c>
      <c r="G1531" s="323" t="s">
        <v>11</v>
      </c>
      <c r="H1531" s="98" t="n">
        <v>300</v>
      </c>
      <c r="I1531" s="457" t="n">
        <v>14</v>
      </c>
      <c r="J1531" s="313" t="s">
        <v>1651</v>
      </c>
      <c r="K1531" s="458" t="n">
        <f aca="false">I1531*H1531</f>
        <v>4200</v>
      </c>
      <c r="L1531" s="411" t="n">
        <v>20000</v>
      </c>
      <c r="M1531" s="459" t="n">
        <f aca="false">L1531/K1531</f>
        <v>4.76190476190476</v>
      </c>
      <c r="N1531" s="460" t="n">
        <f aca="false">I1531*M1531</f>
        <v>66.6666666666667</v>
      </c>
      <c r="O1531" s="461" t="n">
        <v>300</v>
      </c>
      <c r="P1531" s="462" t="n">
        <f aca="false">H1531-O1531</f>
        <v>0</v>
      </c>
      <c r="Q1531" s="463" t="n">
        <f aca="false">O1531*I1531</f>
        <v>4200</v>
      </c>
      <c r="R1531" s="48" t="n">
        <f aca="false">K1531-Q1531</f>
        <v>0</v>
      </c>
      <c r="S1531" s="467"/>
      <c r="T1531" s="2" t="s">
        <v>1711</v>
      </c>
      <c r="V1531" s="464"/>
      <c r="W1531" s="464"/>
      <c r="X1531" s="464"/>
      <c r="Y1531" s="464"/>
      <c r="Z1531" s="464"/>
      <c r="AA1531" s="464"/>
      <c r="AB1531" s="464"/>
      <c r="AC1531" s="464"/>
      <c r="AD1531" s="464"/>
      <c r="AE1531" s="464"/>
      <c r="AF1531" s="464"/>
      <c r="AG1531" s="464"/>
      <c r="AH1531" s="465"/>
      <c r="AI1531" s="464"/>
    </row>
    <row r="1532" customFormat="false" ht="15" hidden="false" customHeight="true" outlineLevel="0" collapsed="false">
      <c r="A1532" s="455" t="s">
        <v>1913</v>
      </c>
      <c r="C1532" s="456" t="n">
        <v>45642</v>
      </c>
      <c r="D1532" s="456"/>
      <c r="E1532" s="57" t="n">
        <v>14410</v>
      </c>
      <c r="F1532" s="323" t="s">
        <v>175</v>
      </c>
      <c r="G1532" s="323" t="s">
        <v>13</v>
      </c>
      <c r="H1532" s="98" t="n">
        <v>2000</v>
      </c>
      <c r="I1532" s="457" t="n">
        <v>40</v>
      </c>
      <c r="J1532" s="313" t="s">
        <v>1653</v>
      </c>
      <c r="K1532" s="458" t="n">
        <f aca="false">I1532*H1532</f>
        <v>80000</v>
      </c>
      <c r="L1532" s="411" t="n">
        <v>26060</v>
      </c>
      <c r="M1532" s="459" t="n">
        <f aca="false">L1532/K1532</f>
        <v>0.32575</v>
      </c>
      <c r="N1532" s="460" t="n">
        <f aca="false">I1532*M1532</f>
        <v>13.03</v>
      </c>
      <c r="O1532" s="461" t="n">
        <v>2000</v>
      </c>
      <c r="P1532" s="462" t="n">
        <f aca="false">H1532-O1532</f>
        <v>0</v>
      </c>
      <c r="Q1532" s="463" t="n">
        <f aca="false">O1532*I1532</f>
        <v>80000</v>
      </c>
      <c r="R1532" s="48" t="n">
        <f aca="false">K1532-Q1532</f>
        <v>0</v>
      </c>
      <c r="S1532" s="467"/>
      <c r="T1532" s="2" t="s">
        <v>1711</v>
      </c>
      <c r="V1532" s="464"/>
      <c r="W1532" s="464"/>
      <c r="X1532" s="464"/>
      <c r="Y1532" s="464"/>
      <c r="Z1532" s="464"/>
      <c r="AA1532" s="464"/>
      <c r="AB1532" s="464"/>
      <c r="AC1532" s="464"/>
      <c r="AD1532" s="464"/>
      <c r="AE1532" s="464"/>
      <c r="AF1532" s="464"/>
      <c r="AG1532" s="464"/>
      <c r="AH1532" s="465"/>
      <c r="AI1532" s="464"/>
    </row>
    <row r="1533" customFormat="false" ht="15" hidden="false" customHeight="true" outlineLevel="0" collapsed="false">
      <c r="A1533" s="455" t="s">
        <v>1913</v>
      </c>
      <c r="C1533" s="456" t="n">
        <v>45642</v>
      </c>
      <c r="D1533" s="456"/>
      <c r="E1533" s="323" t="n">
        <v>14411</v>
      </c>
      <c r="F1533" s="323" t="s">
        <v>175</v>
      </c>
      <c r="G1533" s="323" t="s">
        <v>13</v>
      </c>
      <c r="H1533" s="98" t="n">
        <v>435</v>
      </c>
      <c r="I1533" s="457" t="n">
        <v>22.5</v>
      </c>
      <c r="J1533" s="313" t="s">
        <v>1651</v>
      </c>
      <c r="K1533" s="458" t="n">
        <f aca="false">I1533*H1533</f>
        <v>9787.5</v>
      </c>
      <c r="L1533" s="411" t="n">
        <v>4872</v>
      </c>
      <c r="M1533" s="459" t="n">
        <f aca="false">L1533/K1533</f>
        <v>0.497777777777778</v>
      </c>
      <c r="N1533" s="460" t="n">
        <f aca="false">I1533*M1533</f>
        <v>11.2</v>
      </c>
      <c r="O1533" s="461" t="n">
        <v>435</v>
      </c>
      <c r="P1533" s="462" t="n">
        <f aca="false">H1533-O1533</f>
        <v>0</v>
      </c>
      <c r="Q1533" s="463" t="n">
        <f aca="false">O1533*I1533</f>
        <v>9787.5</v>
      </c>
      <c r="R1533" s="48" t="n">
        <f aca="false">K1533-Q1533</f>
        <v>0</v>
      </c>
      <c r="S1533" s="467"/>
      <c r="T1533" s="2" t="s">
        <v>1711</v>
      </c>
      <c r="V1533" s="464"/>
      <c r="W1533" s="464"/>
      <c r="X1533" s="464"/>
      <c r="Y1533" s="464"/>
      <c r="Z1533" s="464"/>
      <c r="AA1533" s="464"/>
      <c r="AB1533" s="464"/>
      <c r="AC1533" s="464"/>
      <c r="AD1533" s="464"/>
      <c r="AE1533" s="464"/>
      <c r="AF1533" s="464"/>
      <c r="AG1533" s="464"/>
      <c r="AH1533" s="465"/>
      <c r="AI1533" s="464"/>
    </row>
    <row r="1534" customFormat="false" ht="15" hidden="false" customHeight="true" outlineLevel="0" collapsed="false">
      <c r="A1534" s="455" t="s">
        <v>1913</v>
      </c>
      <c r="C1534" s="456" t="n">
        <v>45642</v>
      </c>
      <c r="D1534" s="456"/>
      <c r="E1534" s="323" t="n">
        <v>14412</v>
      </c>
      <c r="F1534" s="323" t="s">
        <v>175</v>
      </c>
      <c r="G1534" s="323" t="s">
        <v>13</v>
      </c>
      <c r="H1534" s="98" t="n">
        <v>1065</v>
      </c>
      <c r="I1534" s="457" t="n">
        <v>22.5</v>
      </c>
      <c r="J1534" s="313" t="s">
        <v>1651</v>
      </c>
      <c r="K1534" s="458" t="n">
        <f aca="false">I1534*H1534</f>
        <v>23962.5</v>
      </c>
      <c r="L1534" s="411" t="n">
        <v>11928</v>
      </c>
      <c r="M1534" s="459" t="n">
        <f aca="false">L1534/K1534</f>
        <v>0.497777777777778</v>
      </c>
      <c r="N1534" s="460" t="n">
        <f aca="false">I1534*M1534</f>
        <v>11.2</v>
      </c>
      <c r="O1534" s="461" t="n">
        <v>1065</v>
      </c>
      <c r="P1534" s="462" t="n">
        <f aca="false">H1534-O1534</f>
        <v>0</v>
      </c>
      <c r="Q1534" s="463" t="n">
        <f aca="false">O1534*I1534</f>
        <v>23962.5</v>
      </c>
      <c r="R1534" s="48" t="n">
        <f aca="false">K1534-Q1534</f>
        <v>0</v>
      </c>
      <c r="S1534" s="467"/>
      <c r="T1534" s="2" t="s">
        <v>1711</v>
      </c>
      <c r="V1534" s="464"/>
      <c r="W1534" s="464"/>
      <c r="X1534" s="464"/>
      <c r="Y1534" s="464"/>
      <c r="Z1534" s="464"/>
      <c r="AA1534" s="464"/>
      <c r="AB1534" s="464"/>
      <c r="AC1534" s="464"/>
      <c r="AD1534" s="464"/>
      <c r="AE1534" s="464"/>
      <c r="AF1534" s="464"/>
      <c r="AG1534" s="464"/>
      <c r="AH1534" s="465"/>
      <c r="AI1534" s="464"/>
    </row>
    <row r="1535" customFormat="false" ht="15" hidden="false" customHeight="true" outlineLevel="0" collapsed="false">
      <c r="A1535" s="455" t="s">
        <v>60</v>
      </c>
      <c r="C1535" s="456" t="n">
        <v>45642</v>
      </c>
      <c r="D1535" s="456"/>
      <c r="E1535" s="323" t="n">
        <v>14413</v>
      </c>
      <c r="F1535" s="57" t="s">
        <v>175</v>
      </c>
      <c r="G1535" s="323" t="s">
        <v>10</v>
      </c>
      <c r="H1535" s="98" t="n">
        <v>4410</v>
      </c>
      <c r="I1535" s="457" t="n">
        <v>90</v>
      </c>
      <c r="J1535" s="313" t="s">
        <v>1653</v>
      </c>
      <c r="K1535" s="458" t="n">
        <f aca="false">I1535*H1535</f>
        <v>396900</v>
      </c>
      <c r="L1535" s="411" t="n">
        <v>63371.7</v>
      </c>
      <c r="M1535" s="459" t="n">
        <f aca="false">L1535/K1535</f>
        <v>0.159666666666667</v>
      </c>
      <c r="N1535" s="460" t="n">
        <f aca="false">I1535*M1535</f>
        <v>14.37</v>
      </c>
      <c r="O1535" s="461" t="n">
        <v>4410</v>
      </c>
      <c r="P1535" s="462" t="n">
        <f aca="false">H1535-O1535</f>
        <v>0</v>
      </c>
      <c r="Q1535" s="463" t="n">
        <f aca="false">O1535*I1535</f>
        <v>396900</v>
      </c>
      <c r="R1535" s="48" t="n">
        <f aca="false">K1535-Q1535</f>
        <v>0</v>
      </c>
      <c r="S1535" s="467"/>
      <c r="T1535" s="2" t="s">
        <v>1711</v>
      </c>
      <c r="V1535" s="464"/>
      <c r="W1535" s="464"/>
      <c r="X1535" s="464"/>
      <c r="Y1535" s="464"/>
      <c r="Z1535" s="464"/>
      <c r="AA1535" s="464"/>
      <c r="AB1535" s="464"/>
      <c r="AC1535" s="464"/>
      <c r="AD1535" s="464"/>
      <c r="AE1535" s="464"/>
      <c r="AF1535" s="464"/>
      <c r="AG1535" s="464"/>
      <c r="AH1535" s="465"/>
      <c r="AI1535" s="464"/>
    </row>
    <row r="1536" customFormat="false" ht="15" hidden="false" customHeight="true" outlineLevel="0" collapsed="false">
      <c r="A1536" s="455" t="s">
        <v>2016</v>
      </c>
      <c r="C1536" s="456" t="n">
        <v>45643</v>
      </c>
      <c r="D1536" s="456"/>
      <c r="E1536" s="323" t="n">
        <v>14417</v>
      </c>
      <c r="F1536" s="57" t="s">
        <v>175</v>
      </c>
      <c r="G1536" s="323" t="s">
        <v>10</v>
      </c>
      <c r="H1536" s="98" t="n">
        <v>10020</v>
      </c>
      <c r="I1536" s="457" t="n">
        <v>90</v>
      </c>
      <c r="J1536" s="313" t="s">
        <v>1653</v>
      </c>
      <c r="K1536" s="458" t="n">
        <f aca="false">I1536*H1536</f>
        <v>901800</v>
      </c>
      <c r="L1536" s="411" t="n">
        <v>140280</v>
      </c>
      <c r="M1536" s="459" t="n">
        <f aca="false">L1536/K1536</f>
        <v>0.155555555555556</v>
      </c>
      <c r="N1536" s="460" t="n">
        <f aca="false">I1536*M1536</f>
        <v>14</v>
      </c>
      <c r="O1536" s="461" t="n">
        <v>10020</v>
      </c>
      <c r="P1536" s="462" t="n">
        <f aca="false">H1536-O1536</f>
        <v>0</v>
      </c>
      <c r="Q1536" s="463" t="n">
        <f aca="false">O1536*I1536</f>
        <v>901800</v>
      </c>
      <c r="R1536" s="48" t="n">
        <f aca="false">K1536-Q1536</f>
        <v>0</v>
      </c>
      <c r="S1536" s="467"/>
      <c r="T1536" s="2" t="s">
        <v>1711</v>
      </c>
      <c r="V1536" s="464"/>
      <c r="W1536" s="464"/>
      <c r="X1536" s="464"/>
      <c r="Y1536" s="464"/>
      <c r="Z1536" s="464"/>
      <c r="AA1536" s="464"/>
      <c r="AB1536" s="464"/>
      <c r="AC1536" s="464"/>
      <c r="AD1536" s="464"/>
      <c r="AE1536" s="464"/>
      <c r="AF1536" s="464"/>
      <c r="AG1536" s="464"/>
      <c r="AH1536" s="465"/>
      <c r="AI1536" s="464"/>
    </row>
    <row r="1537" customFormat="false" ht="15" hidden="false" customHeight="true" outlineLevel="0" collapsed="false">
      <c r="A1537" s="455" t="s">
        <v>2016</v>
      </c>
      <c r="C1537" s="456" t="n">
        <v>45643</v>
      </c>
      <c r="D1537" s="456"/>
      <c r="E1537" s="323" t="n">
        <v>14418</v>
      </c>
      <c r="F1537" s="323" t="s">
        <v>175</v>
      </c>
      <c r="G1537" s="323" t="s">
        <v>6</v>
      </c>
      <c r="H1537" s="98" t="n">
        <v>3000</v>
      </c>
      <c r="I1537" s="457" t="n">
        <v>90</v>
      </c>
      <c r="J1537" s="313" t="s">
        <v>1653</v>
      </c>
      <c r="K1537" s="458" t="n">
        <f aca="false">I1537*H1537</f>
        <v>270000</v>
      </c>
      <c r="L1537" s="411" t="n">
        <v>72000</v>
      </c>
      <c r="M1537" s="459" t="n">
        <f aca="false">L1537/K1537</f>
        <v>0.266666666666667</v>
      </c>
      <c r="N1537" s="460" t="n">
        <f aca="false">I1537*M1537</f>
        <v>24</v>
      </c>
      <c r="O1537" s="461" t="n">
        <v>3000</v>
      </c>
      <c r="P1537" s="462" t="n">
        <f aca="false">H1537-O1537</f>
        <v>0</v>
      </c>
      <c r="Q1537" s="463" t="n">
        <f aca="false">O1537*I1537</f>
        <v>270000</v>
      </c>
      <c r="R1537" s="48" t="n">
        <f aca="false">K1537-Q1537</f>
        <v>0</v>
      </c>
      <c r="S1537" s="467"/>
      <c r="T1537" s="2" t="s">
        <v>1711</v>
      </c>
      <c r="V1537" s="464"/>
      <c r="W1537" s="464"/>
      <c r="X1537" s="464"/>
      <c r="Y1537" s="464"/>
      <c r="Z1537" s="464"/>
      <c r="AA1537" s="464"/>
      <c r="AB1537" s="464"/>
      <c r="AC1537" s="464"/>
      <c r="AD1537" s="464"/>
      <c r="AE1537" s="464"/>
      <c r="AF1537" s="464"/>
      <c r="AG1537" s="464"/>
      <c r="AH1537" s="465"/>
      <c r="AI1537" s="464"/>
    </row>
    <row r="1538" customFormat="false" ht="15" hidden="false" customHeight="true" outlineLevel="0" collapsed="false">
      <c r="A1538" s="455" t="s">
        <v>2017</v>
      </c>
      <c r="C1538" s="456" t="n">
        <v>45643</v>
      </c>
      <c r="D1538" s="456"/>
      <c r="E1538" s="323" t="n">
        <v>14419</v>
      </c>
      <c r="F1538" s="323" t="s">
        <v>175</v>
      </c>
      <c r="G1538" s="323" t="s">
        <v>10</v>
      </c>
      <c r="H1538" s="98" t="n">
        <v>3000</v>
      </c>
      <c r="I1538" s="457" t="n">
        <v>90</v>
      </c>
      <c r="J1538" s="313" t="s">
        <v>1653</v>
      </c>
      <c r="K1538" s="458" t="n">
        <f aca="false">I1538*H1538</f>
        <v>270000</v>
      </c>
      <c r="L1538" s="411" t="n">
        <v>72000</v>
      </c>
      <c r="M1538" s="459" t="n">
        <f aca="false">L1538/K1538</f>
        <v>0.266666666666667</v>
      </c>
      <c r="N1538" s="460" t="n">
        <f aca="false">I1538*M1538</f>
        <v>24</v>
      </c>
      <c r="O1538" s="461" t="n">
        <v>3000</v>
      </c>
      <c r="P1538" s="462" t="n">
        <f aca="false">H1538-O1538</f>
        <v>0</v>
      </c>
      <c r="Q1538" s="463" t="n">
        <f aca="false">O1538*I1538</f>
        <v>270000</v>
      </c>
      <c r="R1538" s="48" t="n">
        <f aca="false">K1538-Q1538</f>
        <v>0</v>
      </c>
      <c r="S1538" s="467"/>
      <c r="T1538" s="2" t="s">
        <v>1711</v>
      </c>
      <c r="V1538" s="464"/>
      <c r="W1538" s="464"/>
      <c r="X1538" s="464"/>
      <c r="Y1538" s="464"/>
      <c r="Z1538" s="464"/>
      <c r="AA1538" s="464"/>
      <c r="AB1538" s="464"/>
      <c r="AC1538" s="464"/>
      <c r="AD1538" s="464"/>
      <c r="AE1538" s="464"/>
      <c r="AF1538" s="464"/>
      <c r="AG1538" s="464"/>
      <c r="AH1538" s="465"/>
      <c r="AI1538" s="464"/>
    </row>
    <row r="1539" customFormat="false" ht="15" hidden="false" customHeight="true" outlineLevel="0" collapsed="false">
      <c r="A1539" s="455" t="s">
        <v>2017</v>
      </c>
      <c r="C1539" s="456" t="n">
        <v>45643</v>
      </c>
      <c r="D1539" s="456"/>
      <c r="E1539" s="57" t="n">
        <v>14420</v>
      </c>
      <c r="F1539" s="323" t="s">
        <v>175</v>
      </c>
      <c r="G1539" s="323" t="s">
        <v>6</v>
      </c>
      <c r="H1539" s="98" t="n">
        <v>2100</v>
      </c>
      <c r="I1539" s="457" t="n">
        <v>90</v>
      </c>
      <c r="J1539" s="313" t="s">
        <v>1653</v>
      </c>
      <c r="K1539" s="458" t="n">
        <f aca="false">I1539*H1539</f>
        <v>189000</v>
      </c>
      <c r="L1539" s="411" t="n">
        <v>50400</v>
      </c>
      <c r="M1539" s="459" t="n">
        <f aca="false">L1539/K1539</f>
        <v>0.266666666666667</v>
      </c>
      <c r="N1539" s="460" t="n">
        <f aca="false">I1539*M1539</f>
        <v>24</v>
      </c>
      <c r="O1539" s="461" t="n">
        <v>2100</v>
      </c>
      <c r="P1539" s="462" t="n">
        <f aca="false">H1539-O1539</f>
        <v>0</v>
      </c>
      <c r="Q1539" s="463" t="n">
        <f aca="false">O1539*I1539</f>
        <v>189000</v>
      </c>
      <c r="R1539" s="48" t="n">
        <f aca="false">K1539-Q1539</f>
        <v>0</v>
      </c>
      <c r="S1539" s="467"/>
      <c r="T1539" s="2" t="s">
        <v>1711</v>
      </c>
      <c r="V1539" s="464"/>
      <c r="W1539" s="464"/>
      <c r="X1539" s="464"/>
      <c r="Y1539" s="464"/>
      <c r="Z1539" s="464"/>
      <c r="AA1539" s="464"/>
      <c r="AB1539" s="464"/>
      <c r="AC1539" s="464"/>
      <c r="AD1539" s="464"/>
      <c r="AE1539" s="464"/>
      <c r="AF1539" s="464"/>
      <c r="AG1539" s="464"/>
      <c r="AH1539" s="465"/>
      <c r="AI1539" s="464"/>
    </row>
    <row r="1540" customFormat="false" ht="15" hidden="false" customHeight="true" outlineLevel="0" collapsed="false">
      <c r="A1540" s="455" t="s">
        <v>1741</v>
      </c>
      <c r="C1540" s="456" t="n">
        <v>45643</v>
      </c>
      <c r="D1540" s="456"/>
      <c r="E1540" s="57" t="n">
        <v>14421</v>
      </c>
      <c r="F1540" s="323" t="s">
        <v>175</v>
      </c>
      <c r="G1540" s="323" t="s">
        <v>19</v>
      </c>
      <c r="H1540" s="98" t="n">
        <v>60</v>
      </c>
      <c r="I1540" s="457" t="n">
        <v>22.5</v>
      </c>
      <c r="J1540" s="313" t="s">
        <v>1651</v>
      </c>
      <c r="K1540" s="458" t="n">
        <f aca="false">I1540*H1540</f>
        <v>1350</v>
      </c>
      <c r="L1540" s="411" t="n">
        <v>1200</v>
      </c>
      <c r="M1540" s="459" t="n">
        <f aca="false">L1540/K1540</f>
        <v>0.888888888888889</v>
      </c>
      <c r="N1540" s="460" t="n">
        <f aca="false">I1540*M1540</f>
        <v>20</v>
      </c>
      <c r="O1540" s="461" t="n">
        <v>60</v>
      </c>
      <c r="P1540" s="462" t="n">
        <f aca="false">H1540-O1540</f>
        <v>0</v>
      </c>
      <c r="Q1540" s="463" t="n">
        <f aca="false">O1540*I1540</f>
        <v>1350</v>
      </c>
      <c r="R1540" s="48" t="n">
        <f aca="false">K1540-Q1540</f>
        <v>0</v>
      </c>
      <c r="S1540" s="467"/>
      <c r="T1540" s="2" t="s">
        <v>1711</v>
      </c>
      <c r="V1540" s="464"/>
      <c r="W1540" s="464"/>
      <c r="X1540" s="464"/>
      <c r="Y1540" s="464"/>
      <c r="Z1540" s="464"/>
      <c r="AA1540" s="464"/>
      <c r="AB1540" s="464"/>
      <c r="AC1540" s="464"/>
      <c r="AD1540" s="464"/>
      <c r="AE1540" s="464"/>
      <c r="AF1540" s="464"/>
      <c r="AG1540" s="464"/>
      <c r="AH1540" s="465"/>
      <c r="AI1540" s="464"/>
    </row>
    <row r="1541" customFormat="false" ht="15" hidden="false" customHeight="true" outlineLevel="0" collapsed="false">
      <c r="A1541" s="455" t="s">
        <v>2018</v>
      </c>
      <c r="C1541" s="456" t="n">
        <v>45643</v>
      </c>
      <c r="D1541" s="456"/>
      <c r="E1541" s="57" t="n">
        <v>14424</v>
      </c>
      <c r="F1541" s="323" t="s">
        <v>175</v>
      </c>
      <c r="G1541" s="323" t="s">
        <v>10</v>
      </c>
      <c r="H1541" s="98" t="n">
        <v>4005</v>
      </c>
      <c r="I1541" s="457" t="n">
        <v>25.71</v>
      </c>
      <c r="J1541" s="313" t="s">
        <v>1651</v>
      </c>
      <c r="K1541" s="458" t="n">
        <f aca="false">I1541*H1541</f>
        <v>102968.55</v>
      </c>
      <c r="L1541" s="411" t="n">
        <v>53867.25</v>
      </c>
      <c r="M1541" s="459" t="n">
        <f aca="false">L1541/K1541</f>
        <v>0.523142746013224</v>
      </c>
      <c r="N1541" s="460" t="n">
        <f aca="false">I1541*M1541</f>
        <v>13.45</v>
      </c>
      <c r="O1541" s="461" t="n">
        <v>4005</v>
      </c>
      <c r="P1541" s="462" t="n">
        <f aca="false">H1541-O1541</f>
        <v>0</v>
      </c>
      <c r="Q1541" s="463" t="n">
        <f aca="false">O1541*I1541</f>
        <v>102968.55</v>
      </c>
      <c r="R1541" s="48" t="n">
        <f aca="false">K1541-Q1541</f>
        <v>0</v>
      </c>
      <c r="S1541" s="467"/>
      <c r="T1541" s="2" t="s">
        <v>1711</v>
      </c>
      <c r="V1541" s="464"/>
      <c r="W1541" s="464"/>
      <c r="X1541" s="464"/>
      <c r="Y1541" s="464"/>
      <c r="Z1541" s="464"/>
      <c r="AA1541" s="464"/>
      <c r="AB1541" s="464"/>
      <c r="AC1541" s="464"/>
      <c r="AD1541" s="464"/>
      <c r="AE1541" s="464"/>
      <c r="AF1541" s="464"/>
      <c r="AG1541" s="464"/>
      <c r="AH1541" s="465"/>
      <c r="AI1541" s="464"/>
    </row>
    <row r="1542" customFormat="false" ht="15" hidden="false" customHeight="true" outlineLevel="0" collapsed="false">
      <c r="A1542" s="455" t="s">
        <v>1933</v>
      </c>
      <c r="C1542" s="456" t="n">
        <v>45643</v>
      </c>
      <c r="D1542" s="456"/>
      <c r="E1542" s="57" t="n">
        <v>14425</v>
      </c>
      <c r="F1542" s="323" t="s">
        <v>175</v>
      </c>
      <c r="G1542" s="323" t="s">
        <v>5</v>
      </c>
      <c r="H1542" s="98" t="n">
        <v>1500</v>
      </c>
      <c r="I1542" s="457" t="n">
        <v>25.71</v>
      </c>
      <c r="J1542" s="313" t="s">
        <v>1651</v>
      </c>
      <c r="K1542" s="458" t="n">
        <f aca="false">I1542*H1542</f>
        <v>38565</v>
      </c>
      <c r="L1542" s="411" t="n">
        <v>21750</v>
      </c>
      <c r="M1542" s="459" t="n">
        <f aca="false">L1542/K1542</f>
        <v>0.563982886036562</v>
      </c>
      <c r="N1542" s="460" t="n">
        <f aca="false">I1542*M1542</f>
        <v>14.5</v>
      </c>
      <c r="O1542" s="461" t="n">
        <v>1500</v>
      </c>
      <c r="P1542" s="462" t="n">
        <f aca="false">H1542-O1542</f>
        <v>0</v>
      </c>
      <c r="Q1542" s="463" t="n">
        <f aca="false">O1542*I1542</f>
        <v>38565</v>
      </c>
      <c r="R1542" s="48" t="n">
        <f aca="false">K1542-Q1542</f>
        <v>0</v>
      </c>
      <c r="S1542" s="467"/>
      <c r="T1542" s="2" t="s">
        <v>1711</v>
      </c>
      <c r="V1542" s="464"/>
      <c r="W1542" s="464"/>
      <c r="X1542" s="464"/>
      <c r="Y1542" s="464"/>
      <c r="Z1542" s="464"/>
      <c r="AA1542" s="464"/>
      <c r="AB1542" s="464"/>
      <c r="AC1542" s="464"/>
      <c r="AD1542" s="464"/>
      <c r="AE1542" s="464"/>
      <c r="AF1542" s="464"/>
      <c r="AG1542" s="464"/>
      <c r="AH1542" s="465"/>
      <c r="AI1542" s="464"/>
    </row>
    <row r="1543" customFormat="false" ht="15" hidden="false" customHeight="true" outlineLevel="0" collapsed="false">
      <c r="A1543" s="455" t="s">
        <v>1758</v>
      </c>
      <c r="C1543" s="456" t="n">
        <v>45643</v>
      </c>
      <c r="D1543" s="456"/>
      <c r="E1543" s="57" t="n">
        <v>14427</v>
      </c>
      <c r="F1543" s="323" t="s">
        <v>175</v>
      </c>
      <c r="G1543" s="323" t="s">
        <v>5</v>
      </c>
      <c r="H1543" s="98" t="n">
        <v>120</v>
      </c>
      <c r="I1543" s="457" t="n">
        <v>25.71</v>
      </c>
      <c r="J1543" s="313" t="s">
        <v>1651</v>
      </c>
      <c r="K1543" s="458" t="n">
        <f aca="false">I1543*H1543</f>
        <v>3085.2</v>
      </c>
      <c r="L1543" s="411" t="n">
        <v>2160</v>
      </c>
      <c r="M1543" s="459" t="n">
        <f aca="false">L1543/K1543</f>
        <v>0.700116686114352</v>
      </c>
      <c r="N1543" s="460" t="n">
        <f aca="false">I1543*M1543</f>
        <v>18</v>
      </c>
      <c r="O1543" s="461" t="n">
        <v>120</v>
      </c>
      <c r="P1543" s="462" t="n">
        <f aca="false">H1543-O1543</f>
        <v>0</v>
      </c>
      <c r="Q1543" s="463" t="n">
        <f aca="false">O1543*I1543</f>
        <v>3085.2</v>
      </c>
      <c r="R1543" s="48" t="n">
        <f aca="false">K1543-Q1543</f>
        <v>0</v>
      </c>
      <c r="S1543" s="467"/>
      <c r="T1543" s="2" t="s">
        <v>1711</v>
      </c>
      <c r="V1543" s="464"/>
      <c r="W1543" s="464"/>
      <c r="X1543" s="464"/>
      <c r="Y1543" s="464"/>
      <c r="Z1543" s="464"/>
      <c r="AA1543" s="464"/>
      <c r="AB1543" s="464"/>
      <c r="AC1543" s="464"/>
      <c r="AD1543" s="464"/>
      <c r="AE1543" s="464"/>
      <c r="AF1543" s="464"/>
      <c r="AG1543" s="464"/>
      <c r="AH1543" s="465"/>
      <c r="AI1543" s="464"/>
    </row>
    <row r="1544" customFormat="false" ht="15" hidden="false" customHeight="true" outlineLevel="0" collapsed="false">
      <c r="A1544" s="455" t="s">
        <v>1967</v>
      </c>
      <c r="C1544" s="456" t="n">
        <v>45644</v>
      </c>
      <c r="D1544" s="456"/>
      <c r="E1544" s="57" t="n">
        <v>14429</v>
      </c>
      <c r="F1544" s="323" t="s">
        <v>175</v>
      </c>
      <c r="G1544" s="323" t="s">
        <v>19</v>
      </c>
      <c r="H1544" s="98" t="n">
        <v>150</v>
      </c>
      <c r="I1544" s="457" t="n">
        <v>22.5</v>
      </c>
      <c r="J1544" s="313" t="s">
        <v>1651</v>
      </c>
      <c r="K1544" s="458" t="n">
        <f aca="false">I1544*H1544</f>
        <v>3375</v>
      </c>
      <c r="L1544" s="411" t="n">
        <v>3409.5</v>
      </c>
      <c r="M1544" s="459" t="n">
        <f aca="false">L1544/K1544</f>
        <v>1.01022222222222</v>
      </c>
      <c r="N1544" s="460" t="n">
        <f aca="false">I1544*M1544</f>
        <v>22.73</v>
      </c>
      <c r="O1544" s="461" t="n">
        <v>150</v>
      </c>
      <c r="P1544" s="462" t="n">
        <f aca="false">H1544-O1544</f>
        <v>0</v>
      </c>
      <c r="Q1544" s="463" t="n">
        <f aca="false">O1544*I1544</f>
        <v>3375</v>
      </c>
      <c r="R1544" s="48" t="n">
        <f aca="false">K1544-Q1544</f>
        <v>0</v>
      </c>
      <c r="S1544" s="467"/>
      <c r="T1544" s="2" t="s">
        <v>1711</v>
      </c>
      <c r="V1544" s="464"/>
      <c r="W1544" s="464"/>
      <c r="X1544" s="464"/>
      <c r="Y1544" s="464"/>
      <c r="Z1544" s="464"/>
      <c r="AA1544" s="464"/>
      <c r="AB1544" s="464"/>
      <c r="AC1544" s="464"/>
      <c r="AD1544" s="464"/>
      <c r="AE1544" s="464"/>
      <c r="AF1544" s="464"/>
      <c r="AG1544" s="464"/>
      <c r="AH1544" s="465"/>
      <c r="AI1544" s="464"/>
    </row>
    <row r="1545" customFormat="false" ht="15" hidden="false" customHeight="true" outlineLevel="0" collapsed="false">
      <c r="A1545" s="455" t="s">
        <v>1819</v>
      </c>
      <c r="C1545" s="456" t="n">
        <v>45644</v>
      </c>
      <c r="D1545" s="456"/>
      <c r="E1545" s="57" t="n">
        <v>14430</v>
      </c>
      <c r="F1545" s="323" t="s">
        <v>175</v>
      </c>
      <c r="G1545" s="323" t="s">
        <v>17</v>
      </c>
      <c r="H1545" s="98" t="n">
        <v>4380</v>
      </c>
      <c r="I1545" s="457" t="n">
        <v>22.5</v>
      </c>
      <c r="J1545" s="313" t="s">
        <v>1651</v>
      </c>
      <c r="K1545" s="458" t="n">
        <f aca="false">I1545*H1545</f>
        <v>98550</v>
      </c>
      <c r="L1545" s="411" t="n">
        <v>50370</v>
      </c>
      <c r="M1545" s="459" t="n">
        <f aca="false">L1545/K1545</f>
        <v>0.511111111111111</v>
      </c>
      <c r="N1545" s="460" t="n">
        <f aca="false">I1545*M1545</f>
        <v>11.5</v>
      </c>
      <c r="O1545" s="461" t="n">
        <v>4380</v>
      </c>
      <c r="P1545" s="462" t="n">
        <f aca="false">H1545-O1545</f>
        <v>0</v>
      </c>
      <c r="Q1545" s="463" t="n">
        <f aca="false">O1545*I1545</f>
        <v>98550</v>
      </c>
      <c r="R1545" s="48" t="n">
        <f aca="false">K1545-Q1545</f>
        <v>0</v>
      </c>
      <c r="S1545" s="467"/>
      <c r="T1545" s="2" t="s">
        <v>1711</v>
      </c>
      <c r="V1545" s="464"/>
      <c r="W1545" s="464"/>
      <c r="X1545" s="464"/>
      <c r="Y1545" s="464"/>
      <c r="Z1545" s="464"/>
      <c r="AA1545" s="464"/>
      <c r="AB1545" s="464"/>
      <c r="AC1545" s="464"/>
      <c r="AD1545" s="464"/>
      <c r="AE1545" s="464"/>
      <c r="AF1545" s="464"/>
      <c r="AG1545" s="464"/>
      <c r="AH1545" s="465"/>
      <c r="AI1545" s="464"/>
    </row>
    <row r="1546" customFormat="false" ht="15" hidden="false" customHeight="true" outlineLevel="0" collapsed="false">
      <c r="A1546" s="455" t="s">
        <v>1759</v>
      </c>
      <c r="C1546" s="456" t="n">
        <v>45644</v>
      </c>
      <c r="D1546" s="456"/>
      <c r="E1546" s="57" t="n">
        <v>14431</v>
      </c>
      <c r="F1546" s="323" t="s">
        <v>175</v>
      </c>
      <c r="G1546" s="323" t="s">
        <v>6</v>
      </c>
      <c r="H1546" s="98" t="n">
        <v>500</v>
      </c>
      <c r="I1546" s="457" t="n">
        <v>30</v>
      </c>
      <c r="J1546" s="313" t="s">
        <v>1651</v>
      </c>
      <c r="K1546" s="458" t="n">
        <f aca="false">I1546*H1546</f>
        <v>15000</v>
      </c>
      <c r="L1546" s="411" t="n">
        <v>8000</v>
      </c>
      <c r="M1546" s="459" t="n">
        <f aca="false">L1546/K1546</f>
        <v>0.533333333333333</v>
      </c>
      <c r="N1546" s="460" t="n">
        <f aca="false">I1546*M1546</f>
        <v>16</v>
      </c>
      <c r="O1546" s="461" t="n">
        <v>500</v>
      </c>
      <c r="P1546" s="462" t="n">
        <f aca="false">H1546-O1546</f>
        <v>0</v>
      </c>
      <c r="Q1546" s="463" t="n">
        <f aca="false">O1546*I1546</f>
        <v>15000</v>
      </c>
      <c r="R1546" s="48" t="n">
        <f aca="false">K1546-Q1546</f>
        <v>0</v>
      </c>
      <c r="S1546" s="467"/>
      <c r="T1546" s="2" t="s">
        <v>1711</v>
      </c>
      <c r="V1546" s="464"/>
      <c r="W1546" s="464"/>
      <c r="X1546" s="464"/>
      <c r="Y1546" s="464"/>
      <c r="Z1546" s="464"/>
      <c r="AA1546" s="464"/>
      <c r="AB1546" s="464"/>
      <c r="AC1546" s="464"/>
      <c r="AD1546" s="464"/>
      <c r="AE1546" s="464"/>
      <c r="AF1546" s="464"/>
      <c r="AG1546" s="464"/>
      <c r="AH1546" s="465"/>
      <c r="AI1546" s="464"/>
    </row>
    <row r="1547" customFormat="false" ht="15" hidden="false" customHeight="true" outlineLevel="0" collapsed="false">
      <c r="A1547" s="455" t="s">
        <v>58</v>
      </c>
      <c r="C1547" s="456" t="n">
        <v>45644</v>
      </c>
      <c r="D1547" s="456"/>
      <c r="E1547" s="57" t="n">
        <v>14432</v>
      </c>
      <c r="F1547" s="323" t="s">
        <v>175</v>
      </c>
      <c r="G1547" s="323" t="s">
        <v>5</v>
      </c>
      <c r="H1547" s="98" t="n">
        <v>1500</v>
      </c>
      <c r="I1547" s="457" t="n">
        <v>25.71</v>
      </c>
      <c r="J1547" s="313" t="s">
        <v>1651</v>
      </c>
      <c r="K1547" s="458" t="n">
        <f aca="false">I1547*H1547</f>
        <v>38565</v>
      </c>
      <c r="L1547" s="411" t="n">
        <v>22350</v>
      </c>
      <c r="M1547" s="459" t="n">
        <f aca="false">L1547/K1547</f>
        <v>0.579541034616881</v>
      </c>
      <c r="N1547" s="460" t="n">
        <f aca="false">I1547*M1547</f>
        <v>14.9</v>
      </c>
      <c r="O1547" s="461" t="n">
        <v>1500</v>
      </c>
      <c r="P1547" s="462" t="n">
        <f aca="false">H1547-O1547</f>
        <v>0</v>
      </c>
      <c r="Q1547" s="463" t="n">
        <f aca="false">O1547*I1547</f>
        <v>38565</v>
      </c>
      <c r="R1547" s="48" t="n">
        <f aca="false">K1547-Q1547</f>
        <v>0</v>
      </c>
      <c r="S1547" s="467"/>
      <c r="T1547" s="2" t="s">
        <v>1711</v>
      </c>
      <c r="V1547" s="464"/>
      <c r="W1547" s="464"/>
      <c r="X1547" s="464"/>
      <c r="Y1547" s="464"/>
      <c r="Z1547" s="464"/>
      <c r="AA1547" s="464"/>
      <c r="AB1547" s="464"/>
      <c r="AC1547" s="464"/>
      <c r="AD1547" s="464"/>
      <c r="AE1547" s="464"/>
      <c r="AF1547" s="464"/>
      <c r="AG1547" s="464"/>
      <c r="AH1547" s="465"/>
      <c r="AI1547" s="464"/>
    </row>
    <row r="1548" customFormat="false" ht="15" hidden="false" customHeight="true" outlineLevel="0" collapsed="false">
      <c r="A1548" s="455" t="s">
        <v>58</v>
      </c>
      <c r="C1548" s="456" t="n">
        <v>45644</v>
      </c>
      <c r="D1548" s="456"/>
      <c r="E1548" s="57" t="n">
        <v>14433</v>
      </c>
      <c r="F1548" s="323" t="s">
        <v>175</v>
      </c>
      <c r="G1548" s="323" t="s">
        <v>5</v>
      </c>
      <c r="H1548" s="98" t="n">
        <v>450</v>
      </c>
      <c r="I1548" s="457" t="n">
        <v>25.71</v>
      </c>
      <c r="J1548" s="313" t="s">
        <v>1651</v>
      </c>
      <c r="K1548" s="458" t="n">
        <f aca="false">I1548*H1548</f>
        <v>11569.5</v>
      </c>
      <c r="L1548" s="411" t="n">
        <v>6705</v>
      </c>
      <c r="M1548" s="459" t="n">
        <f aca="false">L1548/K1548</f>
        <v>0.579541034616881</v>
      </c>
      <c r="N1548" s="460" t="n">
        <f aca="false">I1548*M1548</f>
        <v>14.9</v>
      </c>
      <c r="O1548" s="461" t="n">
        <v>450</v>
      </c>
      <c r="P1548" s="462" t="n">
        <f aca="false">H1548-O1548</f>
        <v>0</v>
      </c>
      <c r="Q1548" s="463" t="n">
        <f aca="false">O1548*I1548</f>
        <v>11569.5</v>
      </c>
      <c r="R1548" s="48" t="n">
        <f aca="false">K1548-Q1548</f>
        <v>0</v>
      </c>
      <c r="S1548" s="467"/>
      <c r="T1548" s="2" t="s">
        <v>1711</v>
      </c>
      <c r="V1548" s="464"/>
      <c r="W1548" s="464"/>
      <c r="X1548" s="464"/>
      <c r="Y1548" s="464"/>
      <c r="Z1548" s="464"/>
      <c r="AA1548" s="464"/>
      <c r="AB1548" s="464"/>
      <c r="AC1548" s="464"/>
      <c r="AD1548" s="464"/>
      <c r="AE1548" s="464"/>
      <c r="AF1548" s="464"/>
      <c r="AG1548" s="464"/>
      <c r="AH1548" s="465"/>
      <c r="AI1548" s="464"/>
    </row>
    <row r="1549" customFormat="false" ht="15" hidden="false" customHeight="true" outlineLevel="0" collapsed="false">
      <c r="A1549" s="455" t="s">
        <v>58</v>
      </c>
      <c r="C1549" s="456" t="n">
        <v>45644</v>
      </c>
      <c r="D1549" s="456"/>
      <c r="E1549" s="57" t="n">
        <v>14433</v>
      </c>
      <c r="F1549" s="323" t="s">
        <v>175</v>
      </c>
      <c r="G1549" s="323" t="s">
        <v>13</v>
      </c>
      <c r="H1549" s="98" t="n">
        <v>450</v>
      </c>
      <c r="I1549" s="457" t="n">
        <v>22.5</v>
      </c>
      <c r="J1549" s="313" t="s">
        <v>1651</v>
      </c>
      <c r="K1549" s="458" t="n">
        <f aca="false">I1549*H1549</f>
        <v>10125</v>
      </c>
      <c r="L1549" s="411" t="n">
        <v>6034.5</v>
      </c>
      <c r="M1549" s="459" t="n">
        <f aca="false">L1549/K1549</f>
        <v>0.596</v>
      </c>
      <c r="N1549" s="460" t="n">
        <f aca="false">I1549*M1549</f>
        <v>13.41</v>
      </c>
      <c r="O1549" s="461" t="n">
        <v>450</v>
      </c>
      <c r="P1549" s="462" t="n">
        <f aca="false">H1549-O1549</f>
        <v>0</v>
      </c>
      <c r="Q1549" s="463" t="n">
        <f aca="false">O1549*I1549</f>
        <v>10125</v>
      </c>
      <c r="R1549" s="48" t="n">
        <f aca="false">K1549-Q1549</f>
        <v>0</v>
      </c>
      <c r="S1549" s="467"/>
      <c r="T1549" s="2" t="s">
        <v>1711</v>
      </c>
      <c r="V1549" s="464"/>
      <c r="W1549" s="464"/>
      <c r="X1549" s="464"/>
      <c r="Y1549" s="464"/>
      <c r="Z1549" s="464"/>
      <c r="AA1549" s="464"/>
      <c r="AB1549" s="464"/>
      <c r="AC1549" s="464"/>
      <c r="AD1549" s="464"/>
      <c r="AE1549" s="464"/>
      <c r="AF1549" s="464"/>
      <c r="AG1549" s="464"/>
      <c r="AH1549" s="465"/>
      <c r="AI1549" s="464"/>
    </row>
    <row r="1550" customFormat="false" ht="15" hidden="false" customHeight="true" outlineLevel="0" collapsed="false">
      <c r="A1550" s="455" t="s">
        <v>1855</v>
      </c>
      <c r="C1550" s="456" t="n">
        <v>45644</v>
      </c>
      <c r="D1550" s="456"/>
      <c r="E1550" s="57" t="n">
        <v>14434</v>
      </c>
      <c r="F1550" s="323" t="s">
        <v>175</v>
      </c>
      <c r="G1550" s="323" t="s">
        <v>42</v>
      </c>
      <c r="H1550" s="98" t="n">
        <v>600</v>
      </c>
      <c r="I1550" s="457" t="n">
        <v>30</v>
      </c>
      <c r="J1550" s="313" t="s">
        <v>1651</v>
      </c>
      <c r="K1550" s="458" t="n">
        <f aca="false">I1550*H1550</f>
        <v>18000</v>
      </c>
      <c r="L1550" s="411" t="n">
        <v>9240</v>
      </c>
      <c r="M1550" s="459" t="n">
        <f aca="false">L1550/K1550</f>
        <v>0.513333333333333</v>
      </c>
      <c r="N1550" s="460" t="n">
        <f aca="false">I1550*M1550</f>
        <v>15.4</v>
      </c>
      <c r="O1550" s="461" t="n">
        <v>600</v>
      </c>
      <c r="P1550" s="462" t="n">
        <f aca="false">H1550-O1550</f>
        <v>0</v>
      </c>
      <c r="Q1550" s="463" t="n">
        <f aca="false">O1550*I1550</f>
        <v>18000</v>
      </c>
      <c r="R1550" s="48" t="n">
        <f aca="false">K1550-Q1550</f>
        <v>0</v>
      </c>
      <c r="S1550" s="467"/>
      <c r="T1550" s="2" t="s">
        <v>1711</v>
      </c>
      <c r="V1550" s="464"/>
      <c r="W1550" s="464"/>
      <c r="X1550" s="464"/>
      <c r="Y1550" s="464"/>
      <c r="Z1550" s="464"/>
      <c r="AA1550" s="464"/>
      <c r="AB1550" s="464"/>
      <c r="AC1550" s="464"/>
      <c r="AD1550" s="464"/>
      <c r="AE1550" s="464"/>
      <c r="AF1550" s="464"/>
      <c r="AG1550" s="464"/>
      <c r="AH1550" s="465"/>
      <c r="AI1550" s="464"/>
    </row>
    <row r="1551" customFormat="false" ht="15" hidden="false" customHeight="true" outlineLevel="0" collapsed="false">
      <c r="A1551" s="455" t="s">
        <v>1855</v>
      </c>
      <c r="C1551" s="456" t="n">
        <v>45644</v>
      </c>
      <c r="D1551" s="456"/>
      <c r="E1551" s="57" t="n">
        <v>14434</v>
      </c>
      <c r="F1551" s="323" t="s">
        <v>175</v>
      </c>
      <c r="G1551" s="323" t="s">
        <v>6</v>
      </c>
      <c r="H1551" s="98" t="n">
        <v>150</v>
      </c>
      <c r="I1551" s="457" t="n">
        <v>30</v>
      </c>
      <c r="J1551" s="313" t="s">
        <v>1651</v>
      </c>
      <c r="K1551" s="458" t="n">
        <f aca="false">I1551*H1551</f>
        <v>4500</v>
      </c>
      <c r="L1551" s="411" t="n">
        <v>2100</v>
      </c>
      <c r="M1551" s="459" t="n">
        <f aca="false">L1551/K1551</f>
        <v>0.466666666666667</v>
      </c>
      <c r="N1551" s="460" t="n">
        <f aca="false">I1551*M1551</f>
        <v>14</v>
      </c>
      <c r="O1551" s="461" t="n">
        <v>150</v>
      </c>
      <c r="P1551" s="462" t="n">
        <f aca="false">H1551-O1551</f>
        <v>0</v>
      </c>
      <c r="Q1551" s="463" t="n">
        <f aca="false">O1551*I1551</f>
        <v>4500</v>
      </c>
      <c r="R1551" s="48" t="n">
        <f aca="false">K1551-Q1551</f>
        <v>0</v>
      </c>
      <c r="S1551" s="467"/>
      <c r="T1551" s="2" t="s">
        <v>1711</v>
      </c>
      <c r="V1551" s="464"/>
      <c r="W1551" s="464"/>
      <c r="X1551" s="464"/>
      <c r="Y1551" s="464"/>
      <c r="Z1551" s="464"/>
      <c r="AA1551" s="464"/>
      <c r="AB1551" s="464"/>
      <c r="AC1551" s="464"/>
      <c r="AD1551" s="464"/>
      <c r="AE1551" s="464"/>
      <c r="AF1551" s="464"/>
      <c r="AG1551" s="464"/>
      <c r="AH1551" s="465"/>
      <c r="AI1551" s="464"/>
    </row>
    <row r="1552" customFormat="false" ht="15" hidden="false" customHeight="true" outlineLevel="0" collapsed="false">
      <c r="A1552" s="455" t="s">
        <v>1855</v>
      </c>
      <c r="C1552" s="456" t="n">
        <v>45644</v>
      </c>
      <c r="D1552" s="456"/>
      <c r="E1552" s="57" t="n">
        <v>14434</v>
      </c>
      <c r="F1552" s="323" t="s">
        <v>175</v>
      </c>
      <c r="G1552" s="323" t="s">
        <v>13</v>
      </c>
      <c r="H1552" s="98" t="n">
        <v>300</v>
      </c>
      <c r="I1552" s="457" t="n">
        <v>22.5</v>
      </c>
      <c r="J1552" s="313" t="s">
        <v>1651</v>
      </c>
      <c r="K1552" s="458" t="n">
        <f aca="false">I1552*H1552</f>
        <v>6750</v>
      </c>
      <c r="L1552" s="411" t="n">
        <v>4050</v>
      </c>
      <c r="M1552" s="459" t="n">
        <f aca="false">L1552/K1552</f>
        <v>0.6</v>
      </c>
      <c r="N1552" s="460" t="n">
        <f aca="false">I1552*M1552</f>
        <v>13.5</v>
      </c>
      <c r="O1552" s="461" t="n">
        <v>300</v>
      </c>
      <c r="P1552" s="462" t="n">
        <f aca="false">H1552-O1552</f>
        <v>0</v>
      </c>
      <c r="Q1552" s="463" t="n">
        <f aca="false">O1552*I1552</f>
        <v>6750</v>
      </c>
      <c r="R1552" s="48" t="n">
        <f aca="false">K1552-Q1552</f>
        <v>0</v>
      </c>
      <c r="S1552" s="467"/>
      <c r="T1552" s="2" t="s">
        <v>1711</v>
      </c>
      <c r="V1552" s="464"/>
      <c r="W1552" s="464"/>
      <c r="X1552" s="464"/>
      <c r="Y1552" s="464"/>
      <c r="Z1552" s="464"/>
      <c r="AA1552" s="464"/>
      <c r="AB1552" s="464"/>
      <c r="AC1552" s="464"/>
      <c r="AD1552" s="464"/>
      <c r="AE1552" s="464"/>
      <c r="AF1552" s="464"/>
      <c r="AG1552" s="464"/>
      <c r="AH1552" s="465"/>
      <c r="AI1552" s="464"/>
    </row>
    <row r="1553" customFormat="false" ht="15" hidden="false" customHeight="true" outlineLevel="0" collapsed="false">
      <c r="A1553" s="455" t="s">
        <v>1855</v>
      </c>
      <c r="C1553" s="456" t="n">
        <v>45644</v>
      </c>
      <c r="D1553" s="456"/>
      <c r="E1553" s="57" t="n">
        <v>14434</v>
      </c>
      <c r="F1553" s="323" t="s">
        <v>175</v>
      </c>
      <c r="G1553" s="323" t="s">
        <v>10</v>
      </c>
      <c r="H1553" s="98" t="n">
        <v>150</v>
      </c>
      <c r="I1553" s="457" t="n">
        <v>25.71</v>
      </c>
      <c r="J1553" s="313" t="s">
        <v>1651</v>
      </c>
      <c r="K1553" s="458" t="n">
        <f aca="false">I1553*H1553</f>
        <v>3856.5</v>
      </c>
      <c r="L1553" s="411" t="n">
        <v>2362.5</v>
      </c>
      <c r="M1553" s="459" t="n">
        <f aca="false">L1553/K1553</f>
        <v>0.612602100350058</v>
      </c>
      <c r="N1553" s="460" t="n">
        <f aca="false">I1553*M1553</f>
        <v>15.75</v>
      </c>
      <c r="O1553" s="461" t="n">
        <v>150</v>
      </c>
      <c r="P1553" s="462" t="n">
        <f aca="false">H1553-O1553</f>
        <v>0</v>
      </c>
      <c r="Q1553" s="463" t="n">
        <f aca="false">O1553*I1553</f>
        <v>3856.5</v>
      </c>
      <c r="R1553" s="48" t="n">
        <f aca="false">K1553-Q1553</f>
        <v>0</v>
      </c>
      <c r="S1553" s="467"/>
      <c r="T1553" s="2" t="s">
        <v>1711</v>
      </c>
      <c r="V1553" s="464"/>
      <c r="W1553" s="464"/>
      <c r="X1553" s="464"/>
      <c r="Y1553" s="464"/>
      <c r="Z1553" s="464"/>
      <c r="AA1553" s="464"/>
      <c r="AB1553" s="464"/>
      <c r="AC1553" s="464"/>
      <c r="AD1553" s="464"/>
      <c r="AE1553" s="464"/>
      <c r="AF1553" s="464"/>
      <c r="AG1553" s="464"/>
      <c r="AH1553" s="465"/>
      <c r="AI1553" s="464"/>
    </row>
    <row r="1554" customFormat="false" ht="15" hidden="false" customHeight="true" outlineLevel="0" collapsed="false">
      <c r="A1554" s="455" t="s">
        <v>1855</v>
      </c>
      <c r="C1554" s="456" t="n">
        <v>45644</v>
      </c>
      <c r="D1554" s="456"/>
      <c r="E1554" s="57" t="n">
        <v>14434</v>
      </c>
      <c r="F1554" s="323" t="s">
        <v>175</v>
      </c>
      <c r="G1554" s="323" t="s">
        <v>17</v>
      </c>
      <c r="H1554" s="98" t="n">
        <v>600</v>
      </c>
      <c r="I1554" s="457" t="n">
        <v>37.5</v>
      </c>
      <c r="J1554" s="313" t="s">
        <v>1652</v>
      </c>
      <c r="K1554" s="458" t="n">
        <f aca="false">I1554*H1554</f>
        <v>22500</v>
      </c>
      <c r="L1554" s="411" t="n">
        <v>6828</v>
      </c>
      <c r="M1554" s="459" t="n">
        <f aca="false">L1554/K1554</f>
        <v>0.303466666666667</v>
      </c>
      <c r="N1554" s="460" t="n">
        <f aca="false">I1554*M1554</f>
        <v>11.38</v>
      </c>
      <c r="O1554" s="461" t="n">
        <v>600</v>
      </c>
      <c r="P1554" s="462" t="n">
        <f aca="false">H1554-O1554</f>
        <v>0</v>
      </c>
      <c r="Q1554" s="463" t="n">
        <f aca="false">O1554*I1554</f>
        <v>22500</v>
      </c>
      <c r="R1554" s="48" t="n">
        <f aca="false">K1554-Q1554</f>
        <v>0</v>
      </c>
      <c r="S1554" s="467"/>
      <c r="T1554" s="2" t="s">
        <v>1711</v>
      </c>
      <c r="V1554" s="464"/>
      <c r="W1554" s="464"/>
      <c r="X1554" s="464"/>
      <c r="Y1554" s="464"/>
      <c r="Z1554" s="464"/>
      <c r="AA1554" s="464"/>
      <c r="AB1554" s="464"/>
      <c r="AC1554" s="464"/>
      <c r="AD1554" s="464"/>
      <c r="AE1554" s="464"/>
      <c r="AF1554" s="464"/>
      <c r="AG1554" s="464"/>
      <c r="AH1554" s="465"/>
      <c r="AI1554" s="464"/>
    </row>
    <row r="1555" customFormat="false" ht="15" hidden="false" customHeight="true" outlineLevel="0" collapsed="false">
      <c r="A1555" s="455" t="s">
        <v>1925</v>
      </c>
      <c r="C1555" s="456" t="n">
        <v>45644</v>
      </c>
      <c r="D1555" s="456"/>
      <c r="E1555" s="323" t="n">
        <v>14435</v>
      </c>
      <c r="F1555" s="323" t="s">
        <v>175</v>
      </c>
      <c r="G1555" s="323" t="s">
        <v>5</v>
      </c>
      <c r="H1555" s="98" t="n">
        <v>165</v>
      </c>
      <c r="I1555" s="457" t="n">
        <v>25.71</v>
      </c>
      <c r="J1555" s="313" t="s">
        <v>1651</v>
      </c>
      <c r="K1555" s="458" t="n">
        <f aca="false">I1555*H1555</f>
        <v>4242.15</v>
      </c>
      <c r="L1555" s="411" t="n">
        <v>4063.95</v>
      </c>
      <c r="M1555" s="459" t="n">
        <f aca="false">L1555/K1555</f>
        <v>0.957992998833139</v>
      </c>
      <c r="N1555" s="460" t="n">
        <f aca="false">I1555*M1555</f>
        <v>24.63</v>
      </c>
      <c r="O1555" s="461" t="n">
        <v>165</v>
      </c>
      <c r="P1555" s="462" t="n">
        <f aca="false">H1555-O1555</f>
        <v>0</v>
      </c>
      <c r="Q1555" s="463" t="n">
        <f aca="false">O1555*I1555</f>
        <v>4242.15</v>
      </c>
      <c r="R1555" s="48" t="n">
        <f aca="false">K1555-Q1555</f>
        <v>0</v>
      </c>
      <c r="S1555" s="467"/>
      <c r="T1555" s="2" t="s">
        <v>1711</v>
      </c>
      <c r="V1555" s="464"/>
      <c r="W1555" s="464"/>
      <c r="X1555" s="464"/>
      <c r="Y1555" s="464"/>
      <c r="Z1555" s="464"/>
      <c r="AA1555" s="464"/>
      <c r="AB1555" s="464"/>
      <c r="AC1555" s="464"/>
      <c r="AD1555" s="464"/>
      <c r="AE1555" s="464"/>
      <c r="AF1555" s="464"/>
      <c r="AG1555" s="464"/>
      <c r="AH1555" s="465"/>
      <c r="AI1555" s="464"/>
    </row>
    <row r="1556" customFormat="false" ht="15" hidden="false" customHeight="true" outlineLevel="0" collapsed="false">
      <c r="A1556" s="455" t="s">
        <v>1925</v>
      </c>
      <c r="C1556" s="456" t="n">
        <v>45644</v>
      </c>
      <c r="D1556" s="456"/>
      <c r="E1556" s="323" t="n">
        <v>14435</v>
      </c>
      <c r="F1556" s="323" t="s">
        <v>175</v>
      </c>
      <c r="G1556" s="323" t="s">
        <v>11</v>
      </c>
      <c r="H1556" s="98" t="n">
        <v>15</v>
      </c>
      <c r="I1556" s="457" t="n">
        <v>14</v>
      </c>
      <c r="J1556" s="313" t="s">
        <v>1651</v>
      </c>
      <c r="K1556" s="458" t="n">
        <f aca="false">I1556*H1556</f>
        <v>210</v>
      </c>
      <c r="L1556" s="411" t="n">
        <v>900</v>
      </c>
      <c r="M1556" s="459" t="n">
        <f aca="false">L1556/K1556</f>
        <v>4.28571428571429</v>
      </c>
      <c r="N1556" s="460" t="n">
        <f aca="false">I1556*M1556</f>
        <v>60</v>
      </c>
      <c r="O1556" s="461" t="n">
        <v>15</v>
      </c>
      <c r="P1556" s="462" t="n">
        <f aca="false">H1556-O1556</f>
        <v>0</v>
      </c>
      <c r="Q1556" s="463" t="n">
        <f aca="false">O1556*I1556</f>
        <v>210</v>
      </c>
      <c r="R1556" s="48" t="n">
        <f aca="false">K1556-Q1556</f>
        <v>0</v>
      </c>
      <c r="S1556" s="467"/>
      <c r="T1556" s="2" t="s">
        <v>1711</v>
      </c>
      <c r="V1556" s="464"/>
      <c r="W1556" s="464"/>
      <c r="X1556" s="464"/>
      <c r="Y1556" s="464"/>
      <c r="Z1556" s="464"/>
      <c r="AA1556" s="464"/>
      <c r="AB1556" s="464"/>
      <c r="AC1556" s="464"/>
      <c r="AD1556" s="464"/>
      <c r="AE1556" s="464"/>
      <c r="AF1556" s="464"/>
      <c r="AG1556" s="464"/>
      <c r="AH1556" s="465"/>
      <c r="AI1556" s="464"/>
    </row>
    <row r="1557" customFormat="false" ht="15" hidden="false" customHeight="true" outlineLevel="0" collapsed="false">
      <c r="A1557" s="455" t="s">
        <v>2019</v>
      </c>
      <c r="C1557" s="456" t="n">
        <v>45644</v>
      </c>
      <c r="D1557" s="456"/>
      <c r="E1557" s="323" t="n">
        <v>14436</v>
      </c>
      <c r="F1557" s="323" t="s">
        <v>175</v>
      </c>
      <c r="G1557" s="323" t="s">
        <v>6</v>
      </c>
      <c r="H1557" s="98" t="n">
        <v>795</v>
      </c>
      <c r="I1557" s="457" t="n">
        <v>30</v>
      </c>
      <c r="J1557" s="313" t="s">
        <v>1651</v>
      </c>
      <c r="K1557" s="458" t="n">
        <f aca="false">I1557*H1557</f>
        <v>23850</v>
      </c>
      <c r="L1557" s="411" t="n">
        <v>13117.5</v>
      </c>
      <c r="M1557" s="459" t="n">
        <f aca="false">L1557/K1557</f>
        <v>0.55</v>
      </c>
      <c r="N1557" s="460" t="n">
        <f aca="false">I1557*M1557</f>
        <v>16.5</v>
      </c>
      <c r="O1557" s="461" t="n">
        <v>795</v>
      </c>
      <c r="P1557" s="462" t="n">
        <f aca="false">H1557-O1557</f>
        <v>0</v>
      </c>
      <c r="Q1557" s="463" t="n">
        <f aca="false">O1557*I1557</f>
        <v>23850</v>
      </c>
      <c r="R1557" s="48" t="n">
        <f aca="false">K1557-Q1557</f>
        <v>0</v>
      </c>
      <c r="S1557" s="467"/>
      <c r="T1557" s="2" t="s">
        <v>1711</v>
      </c>
      <c r="V1557" s="464"/>
      <c r="W1557" s="464"/>
      <c r="X1557" s="464"/>
      <c r="Y1557" s="464"/>
      <c r="Z1557" s="464"/>
      <c r="AA1557" s="464"/>
      <c r="AB1557" s="464"/>
      <c r="AC1557" s="464"/>
      <c r="AD1557" s="464"/>
      <c r="AE1557" s="464"/>
      <c r="AF1557" s="464"/>
      <c r="AG1557" s="464"/>
      <c r="AH1557" s="465"/>
      <c r="AI1557" s="464"/>
    </row>
    <row r="1558" customFormat="false" ht="15" hidden="false" customHeight="true" outlineLevel="0" collapsed="false">
      <c r="A1558" s="455" t="s">
        <v>1753</v>
      </c>
      <c r="C1558" s="456" t="n">
        <v>45645</v>
      </c>
      <c r="D1558" s="456"/>
      <c r="E1558" s="323" t="n">
        <v>14437</v>
      </c>
      <c r="F1558" s="323" t="s">
        <v>175</v>
      </c>
      <c r="G1558" s="323" t="s">
        <v>13</v>
      </c>
      <c r="H1558" s="98" t="n">
        <v>1335</v>
      </c>
      <c r="I1558" s="457" t="n">
        <v>37.5</v>
      </c>
      <c r="J1558" s="313" t="s">
        <v>1652</v>
      </c>
      <c r="K1558" s="458" t="n">
        <f aca="false">I1558*H1558</f>
        <v>50062.5</v>
      </c>
      <c r="L1558" s="411" t="n">
        <v>14952</v>
      </c>
      <c r="M1558" s="459" t="n">
        <f aca="false">L1558/K1558</f>
        <v>0.298666666666667</v>
      </c>
      <c r="N1558" s="460" t="n">
        <f aca="false">I1558*M1558</f>
        <v>11.2</v>
      </c>
      <c r="O1558" s="461" t="n">
        <v>1335</v>
      </c>
      <c r="P1558" s="462" t="n">
        <f aca="false">H1558-O1558</f>
        <v>0</v>
      </c>
      <c r="Q1558" s="463" t="n">
        <f aca="false">O1558*I1558</f>
        <v>50062.5</v>
      </c>
      <c r="R1558" s="48" t="n">
        <f aca="false">K1558-Q1558</f>
        <v>0</v>
      </c>
      <c r="S1558" s="467"/>
      <c r="T1558" s="2" t="s">
        <v>1711</v>
      </c>
      <c r="V1558" s="464"/>
      <c r="W1558" s="464"/>
      <c r="X1558" s="464"/>
      <c r="Y1558" s="464"/>
      <c r="Z1558" s="464"/>
      <c r="AA1558" s="464"/>
      <c r="AB1558" s="464"/>
      <c r="AC1558" s="464"/>
      <c r="AD1558" s="464"/>
      <c r="AE1558" s="464"/>
      <c r="AF1558" s="464"/>
      <c r="AG1558" s="464"/>
      <c r="AH1558" s="465"/>
      <c r="AI1558" s="464"/>
    </row>
    <row r="1559" customFormat="false" ht="15" hidden="false" customHeight="true" outlineLevel="0" collapsed="false">
      <c r="A1559" s="455" t="s">
        <v>1974</v>
      </c>
      <c r="C1559" s="456" t="n">
        <v>45645</v>
      </c>
      <c r="D1559" s="456"/>
      <c r="E1559" s="323" t="n">
        <v>14438</v>
      </c>
      <c r="F1559" s="323" t="s">
        <v>175</v>
      </c>
      <c r="G1559" s="323" t="s">
        <v>15</v>
      </c>
      <c r="H1559" s="98" t="n">
        <v>15</v>
      </c>
      <c r="I1559" s="457" t="n">
        <v>37.5</v>
      </c>
      <c r="J1559" s="313" t="s">
        <v>1652</v>
      </c>
      <c r="K1559" s="458" t="n">
        <f aca="false">I1559*H1559</f>
        <v>562.5</v>
      </c>
      <c r="L1559" s="411" t="n">
        <v>367.2</v>
      </c>
      <c r="M1559" s="459" t="n">
        <f aca="false">L1559/K1559</f>
        <v>0.6528</v>
      </c>
      <c r="N1559" s="460" t="n">
        <f aca="false">I1559*M1559</f>
        <v>24.48</v>
      </c>
      <c r="O1559" s="461" t="n">
        <v>15</v>
      </c>
      <c r="P1559" s="462" t="n">
        <f aca="false">H1559-O1559</f>
        <v>0</v>
      </c>
      <c r="Q1559" s="463" t="n">
        <f aca="false">O1559*I1559</f>
        <v>562.5</v>
      </c>
      <c r="R1559" s="48" t="n">
        <f aca="false">K1559-Q1559</f>
        <v>0</v>
      </c>
      <c r="S1559" s="467"/>
      <c r="T1559" s="2" t="s">
        <v>1711</v>
      </c>
      <c r="V1559" s="464"/>
      <c r="W1559" s="464"/>
      <c r="X1559" s="464"/>
      <c r="Y1559" s="464"/>
      <c r="Z1559" s="464"/>
      <c r="AA1559" s="464"/>
      <c r="AB1559" s="464"/>
      <c r="AC1559" s="464"/>
      <c r="AD1559" s="464"/>
      <c r="AE1559" s="464"/>
      <c r="AF1559" s="464"/>
      <c r="AG1559" s="464"/>
      <c r="AH1559" s="465"/>
      <c r="AI1559" s="464"/>
    </row>
    <row r="1560" customFormat="false" ht="15" hidden="false" customHeight="true" outlineLevel="0" collapsed="false">
      <c r="A1560" s="455" t="s">
        <v>1974</v>
      </c>
      <c r="C1560" s="456" t="n">
        <v>45645</v>
      </c>
      <c r="D1560" s="456"/>
      <c r="E1560" s="57" t="n">
        <v>14438</v>
      </c>
      <c r="F1560" s="323" t="s">
        <v>175</v>
      </c>
      <c r="G1560" s="323" t="s">
        <v>12</v>
      </c>
      <c r="H1560" s="98" t="n">
        <v>15</v>
      </c>
      <c r="I1560" s="457" t="n">
        <v>25.71</v>
      </c>
      <c r="J1560" s="313" t="s">
        <v>1652</v>
      </c>
      <c r="K1560" s="458" t="n">
        <f aca="false">I1560*H1560</f>
        <v>385.65</v>
      </c>
      <c r="L1560" s="411" t="n">
        <v>996</v>
      </c>
      <c r="M1560" s="459" t="n">
        <f aca="false">L1560/K1560</f>
        <v>2.58265266433294</v>
      </c>
      <c r="N1560" s="460" t="n">
        <f aca="false">I1560*M1560</f>
        <v>66.4</v>
      </c>
      <c r="O1560" s="461" t="n">
        <v>15</v>
      </c>
      <c r="P1560" s="462" t="n">
        <f aca="false">H1560-O1560</f>
        <v>0</v>
      </c>
      <c r="Q1560" s="463" t="n">
        <f aca="false">O1560*I1560</f>
        <v>385.65</v>
      </c>
      <c r="R1560" s="48" t="n">
        <f aca="false">K1560-Q1560</f>
        <v>0</v>
      </c>
      <c r="S1560" s="467"/>
      <c r="T1560" s="2" t="s">
        <v>1711</v>
      </c>
      <c r="V1560" s="464"/>
      <c r="W1560" s="464"/>
      <c r="X1560" s="464"/>
      <c r="Y1560" s="464"/>
      <c r="Z1560" s="464"/>
      <c r="AA1560" s="464"/>
      <c r="AB1560" s="464"/>
      <c r="AC1560" s="464"/>
      <c r="AD1560" s="464"/>
      <c r="AE1560" s="464"/>
      <c r="AF1560" s="464"/>
      <c r="AG1560" s="464"/>
      <c r="AH1560" s="465"/>
      <c r="AI1560" s="464"/>
    </row>
    <row r="1561" customFormat="false" ht="15" hidden="false" customHeight="true" outlineLevel="0" collapsed="false">
      <c r="A1561" s="455" t="s">
        <v>58</v>
      </c>
      <c r="C1561" s="456" t="n">
        <v>45646</v>
      </c>
      <c r="D1561" s="456"/>
      <c r="E1561" s="57" t="n">
        <v>14439</v>
      </c>
      <c r="F1561" s="323" t="s">
        <v>175</v>
      </c>
      <c r="G1561" s="323" t="s">
        <v>7</v>
      </c>
      <c r="H1561" s="98" t="n">
        <v>150</v>
      </c>
      <c r="I1561" s="457" t="n">
        <v>25.71</v>
      </c>
      <c r="J1561" s="313" t="s">
        <v>1651</v>
      </c>
      <c r="K1561" s="458" t="n">
        <f aca="false">I1561*H1561</f>
        <v>3856.5</v>
      </c>
      <c r="L1561" s="411" t="n">
        <v>2872.1</v>
      </c>
      <c r="M1561" s="459" t="n">
        <f aca="false">L1561/K1561</f>
        <v>0.744742642292234</v>
      </c>
      <c r="N1561" s="460" t="n">
        <f aca="false">I1561*M1561</f>
        <v>19.1473333333333</v>
      </c>
      <c r="O1561" s="461" t="n">
        <v>150</v>
      </c>
      <c r="P1561" s="462" t="n">
        <f aca="false">H1561-O1561</f>
        <v>0</v>
      </c>
      <c r="Q1561" s="463" t="n">
        <f aca="false">O1561*I1561</f>
        <v>3856.5</v>
      </c>
      <c r="R1561" s="48" t="n">
        <f aca="false">K1561-Q1561</f>
        <v>0</v>
      </c>
      <c r="S1561" s="467"/>
      <c r="T1561" s="2" t="s">
        <v>1711</v>
      </c>
      <c r="V1561" s="464"/>
      <c r="W1561" s="464"/>
      <c r="X1561" s="464"/>
      <c r="Y1561" s="464"/>
      <c r="Z1561" s="464"/>
      <c r="AA1561" s="464"/>
      <c r="AB1561" s="464"/>
      <c r="AC1561" s="464"/>
      <c r="AD1561" s="464"/>
      <c r="AE1561" s="464"/>
      <c r="AF1561" s="464"/>
      <c r="AG1561" s="464"/>
      <c r="AH1561" s="465"/>
      <c r="AI1561" s="464"/>
    </row>
    <row r="1562" customFormat="false" ht="15" hidden="false" customHeight="true" outlineLevel="0" collapsed="false">
      <c r="A1562" s="455" t="s">
        <v>1933</v>
      </c>
      <c r="C1562" s="456" t="n">
        <v>45646</v>
      </c>
      <c r="D1562" s="456"/>
      <c r="E1562" s="57" t="n">
        <v>14440</v>
      </c>
      <c r="F1562" s="323" t="s">
        <v>175</v>
      </c>
      <c r="G1562" s="323" t="s">
        <v>19</v>
      </c>
      <c r="H1562" s="98" t="n">
        <v>405</v>
      </c>
      <c r="I1562" s="457" t="n">
        <v>22.5</v>
      </c>
      <c r="J1562" s="313" t="s">
        <v>1651</v>
      </c>
      <c r="K1562" s="458" t="n">
        <f aca="false">I1562*H1562</f>
        <v>9112.5</v>
      </c>
      <c r="L1562" s="411" t="n">
        <v>7897.5</v>
      </c>
      <c r="M1562" s="459" t="n">
        <f aca="false">L1562/K1562</f>
        <v>0.866666666666667</v>
      </c>
      <c r="N1562" s="460" t="n">
        <f aca="false">I1562*M1562</f>
        <v>19.5</v>
      </c>
      <c r="O1562" s="461" t="n">
        <v>405</v>
      </c>
      <c r="P1562" s="462" t="n">
        <f aca="false">H1562-O1562</f>
        <v>0</v>
      </c>
      <c r="Q1562" s="463" t="n">
        <f aca="false">O1562*I1562</f>
        <v>9112.5</v>
      </c>
      <c r="R1562" s="48" t="n">
        <f aca="false">K1562-Q1562</f>
        <v>0</v>
      </c>
      <c r="S1562" s="467"/>
      <c r="T1562" s="2" t="s">
        <v>1711</v>
      </c>
      <c r="V1562" s="464"/>
      <c r="W1562" s="464"/>
      <c r="X1562" s="464"/>
      <c r="Y1562" s="464"/>
      <c r="Z1562" s="464"/>
      <c r="AA1562" s="464"/>
      <c r="AB1562" s="464"/>
      <c r="AC1562" s="464"/>
      <c r="AD1562" s="464"/>
      <c r="AE1562" s="464"/>
      <c r="AF1562" s="464"/>
      <c r="AG1562" s="464"/>
      <c r="AH1562" s="465"/>
      <c r="AI1562" s="464"/>
    </row>
    <row r="1563" customFormat="false" ht="15" hidden="false" customHeight="true" outlineLevel="0" collapsed="false">
      <c r="A1563" s="455" t="s">
        <v>58</v>
      </c>
      <c r="C1563" s="456" t="n">
        <v>45646</v>
      </c>
      <c r="D1563" s="456"/>
      <c r="E1563" s="57" t="n">
        <v>14443</v>
      </c>
      <c r="F1563" s="323" t="s">
        <v>175</v>
      </c>
      <c r="G1563" s="323" t="s">
        <v>6</v>
      </c>
      <c r="H1563" s="98" t="n">
        <v>750</v>
      </c>
      <c r="I1563" s="457" t="n">
        <v>45</v>
      </c>
      <c r="J1563" s="313" t="s">
        <v>1652</v>
      </c>
      <c r="K1563" s="458" t="n">
        <f aca="false">I1563*H1563</f>
        <v>33750</v>
      </c>
      <c r="L1563" s="411" t="n">
        <v>20100</v>
      </c>
      <c r="M1563" s="459" t="n">
        <f aca="false">L1563/K1563</f>
        <v>0.595555555555556</v>
      </c>
      <c r="N1563" s="460" t="n">
        <f aca="false">I1563*M1563</f>
        <v>26.8</v>
      </c>
      <c r="O1563" s="461" t="n">
        <v>750</v>
      </c>
      <c r="P1563" s="462" t="n">
        <f aca="false">H1563-O1563</f>
        <v>0</v>
      </c>
      <c r="Q1563" s="463" t="n">
        <f aca="false">O1563*I1563</f>
        <v>33750</v>
      </c>
      <c r="R1563" s="48" t="n">
        <f aca="false">K1563-Q1563</f>
        <v>0</v>
      </c>
      <c r="S1563" s="467"/>
      <c r="T1563" s="2" t="s">
        <v>1711</v>
      </c>
      <c r="V1563" s="464"/>
      <c r="W1563" s="464"/>
      <c r="X1563" s="464"/>
      <c r="Y1563" s="464"/>
      <c r="Z1563" s="464"/>
      <c r="AA1563" s="464"/>
      <c r="AB1563" s="464"/>
      <c r="AC1563" s="464"/>
      <c r="AD1563" s="464"/>
      <c r="AE1563" s="464"/>
      <c r="AF1563" s="464"/>
      <c r="AG1563" s="464"/>
      <c r="AH1563" s="465"/>
      <c r="AI1563" s="464"/>
    </row>
    <row r="1564" customFormat="false" ht="15" hidden="false" customHeight="true" outlineLevel="0" collapsed="false">
      <c r="A1564" s="455" t="s">
        <v>1817</v>
      </c>
      <c r="C1564" s="456" t="n">
        <v>45646</v>
      </c>
      <c r="D1564" s="456"/>
      <c r="E1564" s="57" t="n">
        <v>14444</v>
      </c>
      <c r="F1564" s="323" t="s">
        <v>175</v>
      </c>
      <c r="G1564" s="323" t="s">
        <v>7</v>
      </c>
      <c r="H1564" s="98" t="n">
        <v>15</v>
      </c>
      <c r="I1564" s="457" t="n">
        <v>25.71</v>
      </c>
      <c r="J1564" s="313" t="s">
        <v>1651</v>
      </c>
      <c r="K1564" s="458" t="n">
        <f aca="false">I1564*H1564</f>
        <v>385.65</v>
      </c>
      <c r="L1564" s="411" t="n">
        <v>330.6</v>
      </c>
      <c r="M1564" s="459" t="n">
        <f aca="false">L1564/K1564</f>
        <v>0.857253986775574</v>
      </c>
      <c r="N1564" s="460" t="n">
        <f aca="false">I1564*M1564</f>
        <v>22.04</v>
      </c>
      <c r="O1564" s="461" t="n">
        <v>15</v>
      </c>
      <c r="P1564" s="462" t="n">
        <f aca="false">H1564-O1564</f>
        <v>0</v>
      </c>
      <c r="Q1564" s="463" t="n">
        <f aca="false">O1564*I1564</f>
        <v>385.65</v>
      </c>
      <c r="R1564" s="48" t="n">
        <f aca="false">K1564-Q1564</f>
        <v>0</v>
      </c>
      <c r="S1564" s="467"/>
      <c r="T1564" s="2" t="s">
        <v>1711</v>
      </c>
      <c r="V1564" s="464"/>
      <c r="W1564" s="464"/>
      <c r="X1564" s="464"/>
      <c r="Y1564" s="464"/>
      <c r="Z1564" s="464"/>
      <c r="AA1564" s="464"/>
      <c r="AB1564" s="464"/>
      <c r="AC1564" s="464"/>
      <c r="AD1564" s="464"/>
      <c r="AE1564" s="464"/>
      <c r="AF1564" s="464"/>
      <c r="AG1564" s="464"/>
      <c r="AH1564" s="465"/>
      <c r="AI1564" s="464"/>
    </row>
    <row r="1565" customFormat="false" ht="15" hidden="false" customHeight="true" outlineLevel="0" collapsed="false">
      <c r="A1565" s="455" t="s">
        <v>1871</v>
      </c>
      <c r="C1565" s="456" t="n">
        <v>45646</v>
      </c>
      <c r="D1565" s="456"/>
      <c r="E1565" s="57" t="n">
        <v>14445</v>
      </c>
      <c r="F1565" s="323" t="s">
        <v>175</v>
      </c>
      <c r="G1565" s="323" t="s">
        <v>5</v>
      </c>
      <c r="H1565" s="98" t="n">
        <v>300</v>
      </c>
      <c r="I1565" s="457" t="n">
        <v>37.5</v>
      </c>
      <c r="J1565" s="313" t="s">
        <v>1652</v>
      </c>
      <c r="K1565" s="458" t="n">
        <f aca="false">I1565*H1565</f>
        <v>11250</v>
      </c>
      <c r="L1565" s="411" t="n">
        <v>6708</v>
      </c>
      <c r="M1565" s="459" t="n">
        <f aca="false">L1565/K1565</f>
        <v>0.596266666666667</v>
      </c>
      <c r="N1565" s="460" t="n">
        <f aca="false">I1565*M1565</f>
        <v>22.36</v>
      </c>
      <c r="O1565" s="461" t="n">
        <v>300</v>
      </c>
      <c r="P1565" s="462" t="n">
        <f aca="false">H1565-O1565</f>
        <v>0</v>
      </c>
      <c r="Q1565" s="463" t="n">
        <f aca="false">O1565*I1565</f>
        <v>11250</v>
      </c>
      <c r="R1565" s="48" t="n">
        <f aca="false">K1565-Q1565</f>
        <v>0</v>
      </c>
      <c r="S1565" s="467"/>
      <c r="T1565" s="2" t="s">
        <v>1711</v>
      </c>
      <c r="V1565" s="464"/>
      <c r="W1565" s="464"/>
      <c r="X1565" s="464"/>
      <c r="Y1565" s="464"/>
      <c r="Z1565" s="464"/>
      <c r="AA1565" s="464"/>
      <c r="AB1565" s="464"/>
      <c r="AC1565" s="464"/>
      <c r="AD1565" s="464"/>
      <c r="AE1565" s="464"/>
      <c r="AF1565" s="464"/>
      <c r="AG1565" s="464"/>
      <c r="AH1565" s="465"/>
      <c r="AI1565" s="464"/>
    </row>
    <row r="1566" customFormat="false" ht="15" hidden="false" customHeight="true" outlineLevel="0" collapsed="false">
      <c r="A1566" s="455" t="s">
        <v>1871</v>
      </c>
      <c r="C1566" s="456" t="n">
        <v>45646</v>
      </c>
      <c r="D1566" s="456"/>
      <c r="E1566" s="57" t="n">
        <v>14445</v>
      </c>
      <c r="F1566" s="323" t="s">
        <v>175</v>
      </c>
      <c r="G1566" s="323" t="s">
        <v>10</v>
      </c>
      <c r="H1566" s="98" t="n">
        <v>1050</v>
      </c>
      <c r="I1566" s="457" t="n">
        <v>25.71</v>
      </c>
      <c r="J1566" s="313" t="s">
        <v>1651</v>
      </c>
      <c r="K1566" s="458" t="n">
        <f aca="false">I1566*H1566</f>
        <v>26995.5</v>
      </c>
      <c r="L1566" s="411" t="n">
        <v>6793.5</v>
      </c>
      <c r="M1566" s="459" t="n">
        <f aca="false">L1566/K1566</f>
        <v>0.251653053286659</v>
      </c>
      <c r="N1566" s="460" t="n">
        <f aca="false">I1566*M1566</f>
        <v>6.47</v>
      </c>
      <c r="O1566" s="461" t="n">
        <v>1050</v>
      </c>
      <c r="P1566" s="462" t="n">
        <f aca="false">H1566-O1566</f>
        <v>0</v>
      </c>
      <c r="Q1566" s="463" t="n">
        <f aca="false">O1566*I1566</f>
        <v>26995.5</v>
      </c>
      <c r="R1566" s="48" t="n">
        <f aca="false">K1566-Q1566</f>
        <v>0</v>
      </c>
      <c r="S1566" s="467"/>
      <c r="T1566" s="2" t="s">
        <v>1711</v>
      </c>
      <c r="V1566" s="464"/>
      <c r="W1566" s="464"/>
      <c r="X1566" s="464"/>
      <c r="Y1566" s="464"/>
      <c r="Z1566" s="464"/>
      <c r="AA1566" s="464"/>
      <c r="AB1566" s="464"/>
      <c r="AC1566" s="464"/>
      <c r="AD1566" s="464"/>
      <c r="AE1566" s="464"/>
      <c r="AF1566" s="464"/>
      <c r="AG1566" s="464"/>
      <c r="AH1566" s="465"/>
      <c r="AI1566" s="464"/>
    </row>
    <row r="1567" customFormat="false" ht="15" hidden="false" customHeight="true" outlineLevel="0" collapsed="false">
      <c r="A1567" s="455" t="s">
        <v>2020</v>
      </c>
      <c r="C1567" s="456" t="n">
        <v>45649</v>
      </c>
      <c r="D1567" s="456"/>
      <c r="E1567" s="57" t="n">
        <v>14446</v>
      </c>
      <c r="F1567" s="323" t="s">
        <v>175</v>
      </c>
      <c r="G1567" s="323" t="s">
        <v>10</v>
      </c>
      <c r="H1567" s="98" t="n">
        <v>825</v>
      </c>
      <c r="I1567" s="457" t="n">
        <v>38.3</v>
      </c>
      <c r="J1567" s="313" t="s">
        <v>1652</v>
      </c>
      <c r="K1567" s="458" t="n">
        <f aca="false">I1567*H1567</f>
        <v>31597.5</v>
      </c>
      <c r="L1567" s="411" t="n">
        <v>9487.5</v>
      </c>
      <c r="M1567" s="459" t="n">
        <f aca="false">L1567/K1567</f>
        <v>0.300261096605744</v>
      </c>
      <c r="N1567" s="460" t="n">
        <f aca="false">I1567*M1567</f>
        <v>11.5</v>
      </c>
      <c r="O1567" s="461" t="n">
        <v>825</v>
      </c>
      <c r="P1567" s="462" t="n">
        <f aca="false">H1567-O1567</f>
        <v>0</v>
      </c>
      <c r="Q1567" s="463" t="n">
        <f aca="false">O1567*I1567</f>
        <v>31597.5</v>
      </c>
      <c r="R1567" s="48" t="n">
        <f aca="false">K1567-Q1567</f>
        <v>0</v>
      </c>
      <c r="S1567" s="467"/>
      <c r="T1567" s="2" t="s">
        <v>1711</v>
      </c>
      <c r="V1567" s="464"/>
      <c r="W1567" s="464"/>
      <c r="X1567" s="464"/>
      <c r="Y1567" s="464"/>
      <c r="Z1567" s="464"/>
      <c r="AA1567" s="464"/>
      <c r="AB1567" s="464"/>
      <c r="AC1567" s="464"/>
      <c r="AD1567" s="464"/>
      <c r="AE1567" s="464"/>
      <c r="AF1567" s="464"/>
      <c r="AG1567" s="464"/>
      <c r="AH1567" s="465"/>
      <c r="AI1567" s="464"/>
    </row>
    <row r="1568" customFormat="false" ht="15" hidden="false" customHeight="true" outlineLevel="0" collapsed="false">
      <c r="A1568" s="455" t="s">
        <v>2021</v>
      </c>
      <c r="C1568" s="456" t="n">
        <v>45649</v>
      </c>
      <c r="D1568" s="456"/>
      <c r="E1568" s="57" t="n">
        <v>14447</v>
      </c>
      <c r="F1568" s="323" t="s">
        <v>175</v>
      </c>
      <c r="G1568" s="323" t="s">
        <v>42</v>
      </c>
      <c r="H1568" s="98" t="n">
        <v>75</v>
      </c>
      <c r="I1568" s="457" t="n">
        <v>30</v>
      </c>
      <c r="J1568" s="313" t="s">
        <v>1651</v>
      </c>
      <c r="K1568" s="458" t="n">
        <f aca="false">I1568*H1568</f>
        <v>2250</v>
      </c>
      <c r="L1568" s="411" t="n">
        <v>1721.15</v>
      </c>
      <c r="M1568" s="459" t="n">
        <f aca="false">L1568/K1568</f>
        <v>0.764955555555556</v>
      </c>
      <c r="N1568" s="460" t="n">
        <f aca="false">I1568*M1568</f>
        <v>22.9486666666667</v>
      </c>
      <c r="O1568" s="461" t="n">
        <v>75</v>
      </c>
      <c r="P1568" s="462" t="n">
        <f aca="false">H1568-O1568</f>
        <v>0</v>
      </c>
      <c r="Q1568" s="463" t="n">
        <f aca="false">O1568*I1568</f>
        <v>2250</v>
      </c>
      <c r="R1568" s="48" t="n">
        <f aca="false">K1568-Q1568</f>
        <v>0</v>
      </c>
      <c r="S1568" s="467"/>
      <c r="T1568" s="2" t="s">
        <v>1711</v>
      </c>
      <c r="V1568" s="464"/>
      <c r="W1568" s="464"/>
      <c r="X1568" s="464"/>
      <c r="Y1568" s="464"/>
      <c r="Z1568" s="464"/>
      <c r="AA1568" s="464"/>
      <c r="AB1568" s="464"/>
      <c r="AC1568" s="464"/>
      <c r="AD1568" s="464"/>
      <c r="AE1568" s="464"/>
      <c r="AF1568" s="464"/>
      <c r="AG1568" s="464"/>
      <c r="AH1568" s="465"/>
      <c r="AI1568" s="464"/>
    </row>
    <row r="1569" customFormat="false" ht="15" hidden="false" customHeight="true" outlineLevel="0" collapsed="false">
      <c r="A1569" s="455" t="s">
        <v>2021</v>
      </c>
      <c r="C1569" s="456" t="n">
        <v>45649</v>
      </c>
      <c r="D1569" s="456"/>
      <c r="E1569" s="57" t="n">
        <v>14447</v>
      </c>
      <c r="F1569" s="323" t="s">
        <v>175</v>
      </c>
      <c r="G1569" s="323" t="s">
        <v>13</v>
      </c>
      <c r="H1569" s="98" t="n">
        <v>45</v>
      </c>
      <c r="I1569" s="457" t="n">
        <v>37.5</v>
      </c>
      <c r="J1569" s="313" t="s">
        <v>1652</v>
      </c>
      <c r="K1569" s="458" t="n">
        <f aca="false">I1569*H1569</f>
        <v>1687.5</v>
      </c>
      <c r="L1569" s="411" t="n">
        <v>1402.8</v>
      </c>
      <c r="M1569" s="459" t="n">
        <f aca="false">L1569/K1569</f>
        <v>0.831288888888889</v>
      </c>
      <c r="N1569" s="460" t="n">
        <f aca="false">I1569*M1569</f>
        <v>31.1733333333333</v>
      </c>
      <c r="O1569" s="461" t="n">
        <v>45</v>
      </c>
      <c r="P1569" s="462" t="n">
        <f aca="false">H1569-O1569</f>
        <v>0</v>
      </c>
      <c r="Q1569" s="463" t="n">
        <f aca="false">O1569*I1569</f>
        <v>1687.5</v>
      </c>
      <c r="R1569" s="48" t="n">
        <f aca="false">K1569-Q1569</f>
        <v>0</v>
      </c>
      <c r="S1569" s="467"/>
      <c r="T1569" s="2" t="s">
        <v>1711</v>
      </c>
      <c r="V1569" s="464"/>
      <c r="W1569" s="464"/>
      <c r="X1569" s="464"/>
      <c r="Y1569" s="464"/>
      <c r="Z1569" s="464"/>
      <c r="AA1569" s="464"/>
      <c r="AB1569" s="464"/>
      <c r="AC1569" s="464"/>
      <c r="AD1569" s="464"/>
      <c r="AE1569" s="464"/>
      <c r="AF1569" s="464"/>
      <c r="AG1569" s="464"/>
      <c r="AH1569" s="465"/>
      <c r="AI1569" s="464"/>
    </row>
    <row r="1570" customFormat="false" ht="15" hidden="false" customHeight="true" outlineLevel="0" collapsed="false">
      <c r="A1570" s="455" t="s">
        <v>2021</v>
      </c>
      <c r="C1570" s="456" t="n">
        <v>45649</v>
      </c>
      <c r="D1570" s="456"/>
      <c r="E1570" s="57" t="n">
        <v>14447</v>
      </c>
      <c r="F1570" s="323" t="s">
        <v>175</v>
      </c>
      <c r="G1570" s="323" t="s">
        <v>10</v>
      </c>
      <c r="H1570" s="98" t="n">
        <v>75</v>
      </c>
      <c r="I1570" s="457" t="n">
        <v>25.71</v>
      </c>
      <c r="J1570" s="313" t="s">
        <v>1651</v>
      </c>
      <c r="K1570" s="458" t="n">
        <f aca="false">I1570*H1570</f>
        <v>1928.25</v>
      </c>
      <c r="L1570" s="411" t="n">
        <v>778.3</v>
      </c>
      <c r="M1570" s="459" t="n">
        <f aca="false">L1570/K1570</f>
        <v>0.403630234668741</v>
      </c>
      <c r="N1570" s="460" t="n">
        <f aca="false">I1570*M1570</f>
        <v>10.3773333333333</v>
      </c>
      <c r="O1570" s="461" t="n">
        <v>75</v>
      </c>
      <c r="P1570" s="462" t="n">
        <f aca="false">H1570-O1570</f>
        <v>0</v>
      </c>
      <c r="Q1570" s="463" t="n">
        <f aca="false">O1570*I1570</f>
        <v>1928.25</v>
      </c>
      <c r="R1570" s="48" t="n">
        <f aca="false">K1570-Q1570</f>
        <v>0</v>
      </c>
      <c r="S1570" s="467"/>
      <c r="T1570" s="2" t="s">
        <v>1711</v>
      </c>
      <c r="V1570" s="464"/>
      <c r="W1570" s="464"/>
      <c r="X1570" s="464"/>
      <c r="Y1570" s="464"/>
      <c r="Z1570" s="464"/>
      <c r="AA1570" s="464"/>
      <c r="AB1570" s="464"/>
      <c r="AC1570" s="464"/>
      <c r="AD1570" s="464"/>
      <c r="AE1570" s="464"/>
      <c r="AF1570" s="464"/>
      <c r="AG1570" s="464"/>
      <c r="AH1570" s="465"/>
      <c r="AI1570" s="464"/>
    </row>
    <row r="1571" customFormat="false" ht="15" hidden="false" customHeight="true" outlineLevel="0" collapsed="false">
      <c r="A1571" s="455" t="s">
        <v>1971</v>
      </c>
      <c r="C1571" s="456" t="n">
        <v>45649</v>
      </c>
      <c r="D1571" s="456"/>
      <c r="E1571" s="57" t="n">
        <v>14448</v>
      </c>
      <c r="F1571" s="323" t="s">
        <v>175</v>
      </c>
      <c r="G1571" s="323" t="s">
        <v>10</v>
      </c>
      <c r="H1571" s="98" t="n">
        <v>6000</v>
      </c>
      <c r="I1571" s="457" t="n">
        <v>38.3</v>
      </c>
      <c r="J1571" s="313" t="s">
        <v>1652</v>
      </c>
      <c r="K1571" s="458" t="n">
        <f aca="false">I1571*H1571</f>
        <v>229800</v>
      </c>
      <c r="L1571" s="411" t="n">
        <v>84000</v>
      </c>
      <c r="M1571" s="459" t="n">
        <f aca="false">L1571/K1571</f>
        <v>0.365535248041776</v>
      </c>
      <c r="N1571" s="460" t="n">
        <f aca="false">I1571*M1571</f>
        <v>14</v>
      </c>
      <c r="O1571" s="461" t="n">
        <v>6000</v>
      </c>
      <c r="P1571" s="462" t="n">
        <f aca="false">H1571-O1571</f>
        <v>0</v>
      </c>
      <c r="Q1571" s="463" t="n">
        <f aca="false">O1571*I1571</f>
        <v>229800</v>
      </c>
      <c r="R1571" s="48" t="n">
        <f aca="false">K1571-Q1571</f>
        <v>0</v>
      </c>
      <c r="S1571" s="467"/>
      <c r="T1571" s="2" t="s">
        <v>1711</v>
      </c>
      <c r="V1571" s="464"/>
      <c r="W1571" s="464"/>
      <c r="X1571" s="464"/>
      <c r="Y1571" s="464"/>
      <c r="Z1571" s="464"/>
      <c r="AA1571" s="464"/>
      <c r="AB1571" s="464"/>
      <c r="AC1571" s="464"/>
      <c r="AD1571" s="464"/>
      <c r="AE1571" s="464"/>
      <c r="AF1571" s="464"/>
      <c r="AG1571" s="464"/>
      <c r="AH1571" s="465"/>
      <c r="AI1571" s="464"/>
    </row>
    <row r="1572" customFormat="false" ht="15" hidden="false" customHeight="true" outlineLevel="0" collapsed="false">
      <c r="A1572" s="455" t="s">
        <v>1753</v>
      </c>
      <c r="C1572" s="456" t="n">
        <v>45652</v>
      </c>
      <c r="D1572" s="456"/>
      <c r="E1572" s="57" t="n">
        <v>14449</v>
      </c>
      <c r="F1572" s="323" t="s">
        <v>175</v>
      </c>
      <c r="G1572" s="323" t="s">
        <v>15</v>
      </c>
      <c r="H1572" s="98" t="n">
        <v>1605</v>
      </c>
      <c r="I1572" s="457" t="n">
        <v>37.5</v>
      </c>
      <c r="J1572" s="313" t="s">
        <v>1652</v>
      </c>
      <c r="K1572" s="458" t="n">
        <f aca="false">I1572*H1572</f>
        <v>60187.5</v>
      </c>
      <c r="L1572" s="411" t="n">
        <v>28890</v>
      </c>
      <c r="M1572" s="459" t="n">
        <f aca="false">L1572/K1572</f>
        <v>0.48</v>
      </c>
      <c r="N1572" s="460" t="n">
        <f aca="false">I1572*M1572</f>
        <v>18</v>
      </c>
      <c r="O1572" s="461" t="n">
        <v>1605</v>
      </c>
      <c r="P1572" s="462" t="n">
        <f aca="false">H1572-O1572</f>
        <v>0</v>
      </c>
      <c r="Q1572" s="463" t="n">
        <f aca="false">O1572*I1572</f>
        <v>60187.5</v>
      </c>
      <c r="R1572" s="48" t="n">
        <f aca="false">K1572-Q1572</f>
        <v>0</v>
      </c>
      <c r="S1572" s="467"/>
      <c r="T1572" s="2" t="s">
        <v>1711</v>
      </c>
      <c r="V1572" s="464"/>
      <c r="W1572" s="464"/>
      <c r="X1572" s="464"/>
      <c r="Y1572" s="464"/>
      <c r="Z1572" s="464"/>
      <c r="AA1572" s="464"/>
      <c r="AB1572" s="464"/>
      <c r="AC1572" s="464"/>
      <c r="AD1572" s="464"/>
      <c r="AE1572" s="464"/>
      <c r="AF1572" s="464"/>
      <c r="AG1572" s="464"/>
      <c r="AH1572" s="465"/>
      <c r="AI1572" s="464"/>
    </row>
    <row r="1573" customFormat="false" ht="15" hidden="false" customHeight="true" outlineLevel="0" collapsed="false">
      <c r="A1573" s="455" t="s">
        <v>1753</v>
      </c>
      <c r="C1573" s="456" t="n">
        <v>45652</v>
      </c>
      <c r="D1573" s="456"/>
      <c r="E1573" s="57" t="n">
        <v>14449</v>
      </c>
      <c r="F1573" s="323" t="s">
        <v>175</v>
      </c>
      <c r="G1573" s="323" t="s">
        <v>6</v>
      </c>
      <c r="H1573" s="98" t="n">
        <v>480</v>
      </c>
      <c r="I1573" s="457" t="n">
        <v>30</v>
      </c>
      <c r="J1573" s="313" t="s">
        <v>1651</v>
      </c>
      <c r="K1573" s="458" t="n">
        <f aca="false">I1573*H1573</f>
        <v>14400</v>
      </c>
      <c r="L1573" s="411" t="n">
        <v>5472</v>
      </c>
      <c r="M1573" s="459" t="n">
        <f aca="false">L1573/K1573</f>
        <v>0.38</v>
      </c>
      <c r="N1573" s="460" t="n">
        <f aca="false">I1573*M1573</f>
        <v>11.4</v>
      </c>
      <c r="O1573" s="461" t="n">
        <v>480</v>
      </c>
      <c r="P1573" s="462" t="n">
        <f aca="false">H1573-O1573</f>
        <v>0</v>
      </c>
      <c r="Q1573" s="463" t="n">
        <f aca="false">O1573*I1573</f>
        <v>14400</v>
      </c>
      <c r="R1573" s="48" t="n">
        <f aca="false">K1573-Q1573</f>
        <v>0</v>
      </c>
      <c r="S1573" s="467"/>
      <c r="T1573" s="2" t="s">
        <v>1711</v>
      </c>
      <c r="V1573" s="464"/>
      <c r="W1573" s="464"/>
      <c r="X1573" s="464"/>
      <c r="Y1573" s="464"/>
      <c r="Z1573" s="464"/>
      <c r="AA1573" s="464"/>
      <c r="AB1573" s="464"/>
      <c r="AC1573" s="464"/>
      <c r="AD1573" s="464"/>
      <c r="AE1573" s="464"/>
      <c r="AF1573" s="464"/>
      <c r="AG1573" s="464"/>
      <c r="AH1573" s="465"/>
      <c r="AI1573" s="464"/>
    </row>
    <row r="1574" customFormat="false" ht="15" hidden="false" customHeight="true" outlineLevel="0" collapsed="false">
      <c r="A1574" s="455" t="s">
        <v>1913</v>
      </c>
      <c r="C1574" s="456" t="n">
        <v>45652</v>
      </c>
      <c r="D1574" s="456"/>
      <c r="E1574" s="57" t="n">
        <v>14450</v>
      </c>
      <c r="F1574" s="57" t="s">
        <v>175</v>
      </c>
      <c r="G1574" s="323" t="s">
        <v>5</v>
      </c>
      <c r="H1574" s="98" t="n">
        <v>2500</v>
      </c>
      <c r="I1574" s="457" t="n">
        <v>60</v>
      </c>
      <c r="J1574" s="313" t="s">
        <v>1653</v>
      </c>
      <c r="K1574" s="458" t="n">
        <f aca="false">I1574*H1574</f>
        <v>150000</v>
      </c>
      <c r="L1574" s="411" t="n">
        <v>37700</v>
      </c>
      <c r="M1574" s="459" t="n">
        <f aca="false">L1574/K1574</f>
        <v>0.251333333333333</v>
      </c>
      <c r="N1574" s="460" t="n">
        <f aca="false">I1574*M1574</f>
        <v>15.08</v>
      </c>
      <c r="O1574" s="461" t="n">
        <v>2500</v>
      </c>
      <c r="P1574" s="462" t="n">
        <f aca="false">H1574-O1574</f>
        <v>0</v>
      </c>
      <c r="Q1574" s="463" t="n">
        <f aca="false">O1574*I1574</f>
        <v>150000</v>
      </c>
      <c r="R1574" s="48" t="n">
        <f aca="false">K1574-Q1574</f>
        <v>0</v>
      </c>
      <c r="S1574" s="467"/>
      <c r="T1574" s="2" t="s">
        <v>1711</v>
      </c>
      <c r="V1574" s="464"/>
      <c r="W1574" s="464"/>
      <c r="X1574" s="464"/>
      <c r="Y1574" s="464"/>
      <c r="Z1574" s="464"/>
      <c r="AA1574" s="464"/>
      <c r="AB1574" s="464"/>
      <c r="AC1574" s="464"/>
      <c r="AD1574" s="464"/>
      <c r="AE1574" s="464"/>
      <c r="AF1574" s="464"/>
      <c r="AG1574" s="464"/>
      <c r="AH1574" s="465"/>
      <c r="AI1574" s="464"/>
    </row>
    <row r="1575" customFormat="false" ht="15" hidden="false" customHeight="true" outlineLevel="0" collapsed="false">
      <c r="A1575" s="455" t="s">
        <v>1913</v>
      </c>
      <c r="C1575" s="456" t="n">
        <v>45652</v>
      </c>
      <c r="D1575" s="456"/>
      <c r="E1575" s="57" t="n">
        <v>14451</v>
      </c>
      <c r="F1575" s="57" t="s">
        <v>175</v>
      </c>
      <c r="G1575" s="323" t="s">
        <v>13</v>
      </c>
      <c r="H1575" s="98" t="n">
        <v>600</v>
      </c>
      <c r="I1575" s="457" t="n">
        <v>22.5</v>
      </c>
      <c r="J1575" s="313" t="s">
        <v>1651</v>
      </c>
      <c r="K1575" s="458" t="n">
        <f aca="false">I1575*H1575</f>
        <v>13500</v>
      </c>
      <c r="L1575" s="411" t="n">
        <v>6720</v>
      </c>
      <c r="M1575" s="459" t="n">
        <f aca="false">L1575/K1575</f>
        <v>0.497777777777778</v>
      </c>
      <c r="N1575" s="460" t="n">
        <f aca="false">I1575*M1575</f>
        <v>11.2</v>
      </c>
      <c r="O1575" s="461" t="n">
        <v>600</v>
      </c>
      <c r="P1575" s="462" t="n">
        <f aca="false">H1575-O1575</f>
        <v>0</v>
      </c>
      <c r="Q1575" s="463" t="n">
        <f aca="false">O1575*I1575</f>
        <v>13500</v>
      </c>
      <c r="R1575" s="48" t="n">
        <f aca="false">K1575-Q1575</f>
        <v>0</v>
      </c>
      <c r="S1575" s="467"/>
      <c r="T1575" s="2" t="s">
        <v>1711</v>
      </c>
      <c r="V1575" s="464"/>
      <c r="W1575" s="464"/>
      <c r="X1575" s="464"/>
      <c r="Y1575" s="464"/>
      <c r="Z1575" s="464"/>
      <c r="AA1575" s="464"/>
      <c r="AB1575" s="464"/>
      <c r="AC1575" s="464"/>
      <c r="AD1575" s="464"/>
      <c r="AE1575" s="464"/>
      <c r="AF1575" s="464"/>
      <c r="AG1575" s="464"/>
      <c r="AH1575" s="465"/>
      <c r="AI1575" s="464"/>
    </row>
    <row r="1576" customFormat="false" ht="15" hidden="false" customHeight="true" outlineLevel="0" collapsed="false">
      <c r="A1576" s="455" t="s">
        <v>1913</v>
      </c>
      <c r="C1576" s="456" t="n">
        <v>45652</v>
      </c>
      <c r="D1576" s="456"/>
      <c r="E1576" s="57" t="n">
        <v>14451</v>
      </c>
      <c r="F1576" s="57" t="s">
        <v>175</v>
      </c>
      <c r="G1576" s="323" t="s">
        <v>17</v>
      </c>
      <c r="H1576" s="98" t="n">
        <v>1200</v>
      </c>
      <c r="I1576" s="457" t="n">
        <v>22.5</v>
      </c>
      <c r="J1576" s="313" t="s">
        <v>1651</v>
      </c>
      <c r="K1576" s="458" t="n">
        <f aca="false">I1576*H1576</f>
        <v>27000</v>
      </c>
      <c r="L1576" s="411" t="n">
        <v>14136</v>
      </c>
      <c r="M1576" s="459" t="n">
        <f aca="false">L1576/K1576</f>
        <v>0.523555555555556</v>
      </c>
      <c r="N1576" s="460" t="n">
        <f aca="false">I1576*M1576</f>
        <v>11.78</v>
      </c>
      <c r="O1576" s="461" t="n">
        <v>1200</v>
      </c>
      <c r="P1576" s="462" t="n">
        <f aca="false">H1576-O1576</f>
        <v>0</v>
      </c>
      <c r="Q1576" s="463" t="n">
        <f aca="false">O1576*I1576</f>
        <v>27000</v>
      </c>
      <c r="R1576" s="48" t="n">
        <f aca="false">K1576-Q1576</f>
        <v>0</v>
      </c>
      <c r="S1576" s="467"/>
      <c r="T1576" s="2" t="s">
        <v>1711</v>
      </c>
      <c r="V1576" s="464"/>
      <c r="W1576" s="464"/>
      <c r="X1576" s="464"/>
      <c r="Y1576" s="464"/>
      <c r="Z1576" s="464"/>
      <c r="AA1576" s="464"/>
      <c r="AB1576" s="464"/>
      <c r="AC1576" s="464"/>
      <c r="AD1576" s="464"/>
      <c r="AE1576" s="464"/>
      <c r="AF1576" s="464"/>
      <c r="AG1576" s="464"/>
      <c r="AH1576" s="465"/>
      <c r="AI1576" s="464"/>
    </row>
    <row r="1577" customFormat="false" ht="15" hidden="false" customHeight="true" outlineLevel="0" collapsed="false">
      <c r="A1577" s="455" t="s">
        <v>1913</v>
      </c>
      <c r="C1577" s="456" t="n">
        <v>45652</v>
      </c>
      <c r="D1577" s="456"/>
      <c r="E1577" s="57" t="n">
        <v>14452</v>
      </c>
      <c r="F1577" s="57" t="s">
        <v>175</v>
      </c>
      <c r="G1577" s="323" t="s">
        <v>15</v>
      </c>
      <c r="H1577" s="98" t="n">
        <v>750</v>
      </c>
      <c r="I1577" s="457" t="n">
        <v>22.5</v>
      </c>
      <c r="J1577" s="313" t="s">
        <v>1651</v>
      </c>
      <c r="K1577" s="458" t="n">
        <f aca="false">I1577*H1577</f>
        <v>16875</v>
      </c>
      <c r="L1577" s="411" t="n">
        <v>12442.5</v>
      </c>
      <c r="M1577" s="459" t="n">
        <f aca="false">L1577/K1577</f>
        <v>0.737333333333333</v>
      </c>
      <c r="N1577" s="460" t="n">
        <f aca="false">I1577*M1577</f>
        <v>16.59</v>
      </c>
      <c r="O1577" s="461" t="n">
        <v>750</v>
      </c>
      <c r="P1577" s="462" t="n">
        <f aca="false">H1577-O1577</f>
        <v>0</v>
      </c>
      <c r="Q1577" s="463" t="n">
        <f aca="false">O1577*I1577</f>
        <v>16875</v>
      </c>
      <c r="R1577" s="48" t="n">
        <f aca="false">K1577-Q1577</f>
        <v>0</v>
      </c>
      <c r="S1577" s="467"/>
      <c r="T1577" s="2" t="s">
        <v>1711</v>
      </c>
      <c r="V1577" s="464"/>
      <c r="W1577" s="464"/>
      <c r="X1577" s="464"/>
      <c r="Y1577" s="464"/>
      <c r="Z1577" s="464"/>
      <c r="AA1577" s="464"/>
      <c r="AB1577" s="464"/>
      <c r="AC1577" s="464"/>
      <c r="AD1577" s="464"/>
      <c r="AE1577" s="464"/>
      <c r="AF1577" s="464"/>
      <c r="AG1577" s="464"/>
      <c r="AH1577" s="465"/>
      <c r="AI1577" s="464"/>
    </row>
    <row r="1578" customFormat="false" ht="15" hidden="false" customHeight="true" outlineLevel="0" collapsed="false">
      <c r="A1578" s="455" t="s">
        <v>1913</v>
      </c>
      <c r="C1578" s="456" t="n">
        <v>45652</v>
      </c>
      <c r="D1578" s="456"/>
      <c r="E1578" s="57" t="n">
        <v>14452</v>
      </c>
      <c r="F1578" s="57" t="s">
        <v>175</v>
      </c>
      <c r="G1578" s="323" t="s">
        <v>5</v>
      </c>
      <c r="H1578" s="98" t="n">
        <v>1500</v>
      </c>
      <c r="I1578" s="457" t="n">
        <v>25.71</v>
      </c>
      <c r="J1578" s="313" t="s">
        <v>1651</v>
      </c>
      <c r="K1578" s="458" t="n">
        <f aca="false">I1578*H1578</f>
        <v>38565</v>
      </c>
      <c r="L1578" s="411" t="n">
        <v>18900</v>
      </c>
      <c r="M1578" s="459" t="n">
        <f aca="false">L1578/K1578</f>
        <v>0.490081680280047</v>
      </c>
      <c r="N1578" s="460" t="n">
        <f aca="false">I1578*M1578</f>
        <v>12.6</v>
      </c>
      <c r="O1578" s="461" t="n">
        <v>1500</v>
      </c>
      <c r="P1578" s="462" t="n">
        <f aca="false">H1578-O1578</f>
        <v>0</v>
      </c>
      <c r="Q1578" s="463" t="n">
        <f aca="false">O1578*I1578</f>
        <v>38565</v>
      </c>
      <c r="R1578" s="48" t="n">
        <f aca="false">K1578-Q1578</f>
        <v>0</v>
      </c>
      <c r="S1578" s="467"/>
      <c r="T1578" s="2" t="s">
        <v>1711</v>
      </c>
      <c r="V1578" s="464"/>
      <c r="W1578" s="464"/>
      <c r="X1578" s="464"/>
      <c r="Y1578" s="464"/>
      <c r="Z1578" s="464"/>
      <c r="AA1578" s="464"/>
      <c r="AB1578" s="464"/>
      <c r="AC1578" s="464"/>
      <c r="AD1578" s="464"/>
      <c r="AE1578" s="464"/>
      <c r="AF1578" s="464"/>
      <c r="AG1578" s="464"/>
      <c r="AH1578" s="465"/>
      <c r="AI1578" s="464"/>
    </row>
    <row r="1579" customFormat="false" ht="15" hidden="false" customHeight="true" outlineLevel="0" collapsed="false">
      <c r="A1579" s="455" t="s">
        <v>1913</v>
      </c>
      <c r="C1579" s="456" t="n">
        <v>45652</v>
      </c>
      <c r="D1579" s="456"/>
      <c r="E1579" s="57" t="n">
        <v>14452</v>
      </c>
      <c r="F1579" s="57" t="s">
        <v>175</v>
      </c>
      <c r="G1579" s="323" t="s">
        <v>13</v>
      </c>
      <c r="H1579" s="98" t="n">
        <v>1200</v>
      </c>
      <c r="I1579" s="457" t="n">
        <v>22.5</v>
      </c>
      <c r="J1579" s="313" t="s">
        <v>1651</v>
      </c>
      <c r="K1579" s="458" t="n">
        <f aca="false">I1579*H1579</f>
        <v>27000</v>
      </c>
      <c r="L1579" s="411" t="n">
        <v>13440</v>
      </c>
      <c r="M1579" s="459" t="n">
        <f aca="false">L1579/K1579</f>
        <v>0.497777777777778</v>
      </c>
      <c r="N1579" s="460" t="n">
        <f aca="false">I1579*M1579</f>
        <v>11.2</v>
      </c>
      <c r="O1579" s="461" t="n">
        <v>1200</v>
      </c>
      <c r="P1579" s="462" t="n">
        <f aca="false">H1579-O1579</f>
        <v>0</v>
      </c>
      <c r="Q1579" s="463" t="n">
        <f aca="false">O1579*I1579</f>
        <v>27000</v>
      </c>
      <c r="R1579" s="48" t="n">
        <f aca="false">K1579-Q1579</f>
        <v>0</v>
      </c>
      <c r="S1579" s="467"/>
      <c r="T1579" s="2" t="s">
        <v>1711</v>
      </c>
      <c r="V1579" s="464"/>
      <c r="W1579" s="464"/>
      <c r="X1579" s="464"/>
      <c r="Y1579" s="464"/>
      <c r="Z1579" s="464"/>
      <c r="AA1579" s="464"/>
      <c r="AB1579" s="464"/>
      <c r="AC1579" s="464"/>
      <c r="AD1579" s="464"/>
      <c r="AE1579" s="464"/>
      <c r="AF1579" s="464"/>
      <c r="AG1579" s="464"/>
      <c r="AH1579" s="465"/>
      <c r="AI1579" s="464"/>
    </row>
    <row r="1580" customFormat="false" ht="15" hidden="false" customHeight="true" outlineLevel="0" collapsed="false">
      <c r="A1580" s="455" t="s">
        <v>1913</v>
      </c>
      <c r="C1580" s="456" t="n">
        <v>45652</v>
      </c>
      <c r="D1580" s="456"/>
      <c r="E1580" s="57" t="n">
        <v>14452</v>
      </c>
      <c r="F1580" s="57" t="s">
        <v>175</v>
      </c>
      <c r="G1580" s="323" t="s">
        <v>11</v>
      </c>
      <c r="H1580" s="98" t="n">
        <v>150</v>
      </c>
      <c r="I1580" s="457" t="n">
        <v>14</v>
      </c>
      <c r="J1580" s="313" t="s">
        <v>1651</v>
      </c>
      <c r="K1580" s="458" t="n">
        <f aca="false">I1580*H1580</f>
        <v>2100</v>
      </c>
      <c r="L1580" s="411" t="n">
        <v>10000</v>
      </c>
      <c r="M1580" s="459" t="n">
        <f aca="false">L1580/K1580</f>
        <v>4.76190476190476</v>
      </c>
      <c r="N1580" s="460" t="n">
        <f aca="false">I1580*M1580</f>
        <v>66.6666666666667</v>
      </c>
      <c r="O1580" s="461" t="n">
        <v>150</v>
      </c>
      <c r="P1580" s="462" t="n">
        <f aca="false">H1580-O1580</f>
        <v>0</v>
      </c>
      <c r="Q1580" s="463" t="n">
        <f aca="false">O1580*I1580</f>
        <v>2100</v>
      </c>
      <c r="R1580" s="48" t="n">
        <f aca="false">K1580-Q1580</f>
        <v>0</v>
      </c>
      <c r="S1580" s="467"/>
      <c r="T1580" s="2" t="s">
        <v>1711</v>
      </c>
      <c r="V1580" s="464"/>
      <c r="W1580" s="464"/>
      <c r="X1580" s="464"/>
      <c r="Y1580" s="464"/>
      <c r="Z1580" s="464"/>
      <c r="AA1580" s="464"/>
      <c r="AB1580" s="464"/>
      <c r="AC1580" s="464"/>
      <c r="AD1580" s="464"/>
      <c r="AE1580" s="464"/>
      <c r="AF1580" s="464"/>
      <c r="AG1580" s="464"/>
      <c r="AH1580" s="465"/>
      <c r="AI1580" s="464"/>
    </row>
    <row r="1581" customFormat="false" ht="15" hidden="false" customHeight="true" outlineLevel="0" collapsed="false">
      <c r="A1581" s="455" t="s">
        <v>1913</v>
      </c>
      <c r="C1581" s="456" t="n">
        <v>45652</v>
      </c>
      <c r="D1581" s="456"/>
      <c r="E1581" s="57" t="n">
        <v>14452</v>
      </c>
      <c r="F1581" s="57" t="s">
        <v>175</v>
      </c>
      <c r="G1581" s="323" t="s">
        <v>17</v>
      </c>
      <c r="H1581" s="98" t="n">
        <v>1500</v>
      </c>
      <c r="I1581" s="457" t="n">
        <v>22.5</v>
      </c>
      <c r="J1581" s="313" t="s">
        <v>1651</v>
      </c>
      <c r="K1581" s="458" t="n">
        <f aca="false">I1581*H1581</f>
        <v>33750</v>
      </c>
      <c r="L1581" s="411" t="n">
        <v>17670</v>
      </c>
      <c r="M1581" s="459" t="n">
        <f aca="false">L1581/K1581</f>
        <v>0.523555555555556</v>
      </c>
      <c r="N1581" s="460" t="n">
        <f aca="false">I1581*M1581</f>
        <v>11.78</v>
      </c>
      <c r="O1581" s="461" t="n">
        <v>1500</v>
      </c>
      <c r="P1581" s="462" t="n">
        <f aca="false">H1581-O1581</f>
        <v>0</v>
      </c>
      <c r="Q1581" s="463" t="n">
        <f aca="false">O1581*I1581</f>
        <v>33750</v>
      </c>
      <c r="R1581" s="48" t="n">
        <f aca="false">K1581-Q1581</f>
        <v>0</v>
      </c>
      <c r="S1581" s="467"/>
      <c r="T1581" s="2" t="s">
        <v>1711</v>
      </c>
      <c r="V1581" s="464"/>
      <c r="W1581" s="464"/>
      <c r="X1581" s="464"/>
      <c r="Y1581" s="464"/>
      <c r="Z1581" s="464"/>
      <c r="AA1581" s="464"/>
      <c r="AB1581" s="464"/>
      <c r="AC1581" s="464"/>
      <c r="AD1581" s="464"/>
      <c r="AE1581" s="464"/>
      <c r="AF1581" s="464"/>
      <c r="AG1581" s="464"/>
      <c r="AH1581" s="465"/>
      <c r="AI1581" s="464"/>
    </row>
    <row r="1582" customFormat="false" ht="15" hidden="false" customHeight="true" outlineLevel="0" collapsed="false">
      <c r="A1582" s="455" t="s">
        <v>1913</v>
      </c>
      <c r="C1582" s="456" t="n">
        <v>45652</v>
      </c>
      <c r="D1582" s="456"/>
      <c r="E1582" s="57" t="n">
        <v>14453</v>
      </c>
      <c r="F1582" s="323" t="s">
        <v>175</v>
      </c>
      <c r="G1582" s="323" t="s">
        <v>15</v>
      </c>
      <c r="H1582" s="98" t="n">
        <v>150</v>
      </c>
      <c r="I1582" s="457" t="n">
        <v>22.5</v>
      </c>
      <c r="J1582" s="313" t="s">
        <v>1651</v>
      </c>
      <c r="K1582" s="458" t="n">
        <f aca="false">I1582*H1582</f>
        <v>3375</v>
      </c>
      <c r="L1582" s="411" t="n">
        <v>2488.5</v>
      </c>
      <c r="M1582" s="459" t="n">
        <f aca="false">L1582/K1582</f>
        <v>0.737333333333333</v>
      </c>
      <c r="N1582" s="460" t="n">
        <f aca="false">I1582*M1582</f>
        <v>16.59</v>
      </c>
      <c r="O1582" s="461" t="n">
        <v>150</v>
      </c>
      <c r="P1582" s="462" t="n">
        <f aca="false">H1582-O1582</f>
        <v>0</v>
      </c>
      <c r="Q1582" s="463" t="n">
        <f aca="false">O1582*I1582</f>
        <v>3375</v>
      </c>
      <c r="R1582" s="48" t="n">
        <f aca="false">K1582-Q1582</f>
        <v>0</v>
      </c>
      <c r="S1582" s="467"/>
      <c r="T1582" s="2" t="s">
        <v>1711</v>
      </c>
      <c r="V1582" s="464"/>
      <c r="W1582" s="464"/>
      <c r="X1582" s="464"/>
      <c r="Y1582" s="464"/>
      <c r="Z1582" s="464"/>
      <c r="AA1582" s="464"/>
      <c r="AB1582" s="464"/>
      <c r="AC1582" s="464"/>
      <c r="AD1582" s="464"/>
      <c r="AE1582" s="464"/>
      <c r="AF1582" s="464"/>
      <c r="AG1582" s="464"/>
      <c r="AH1582" s="465"/>
      <c r="AI1582" s="464"/>
    </row>
    <row r="1583" customFormat="false" ht="15" hidden="false" customHeight="true" outlineLevel="0" collapsed="false">
      <c r="A1583" s="455" t="s">
        <v>1913</v>
      </c>
      <c r="C1583" s="456" t="n">
        <v>45652</v>
      </c>
      <c r="D1583" s="456"/>
      <c r="E1583" s="57" t="n">
        <v>14453</v>
      </c>
      <c r="F1583" s="323" t="s">
        <v>175</v>
      </c>
      <c r="G1583" s="323" t="s">
        <v>5</v>
      </c>
      <c r="H1583" s="98" t="n">
        <v>600</v>
      </c>
      <c r="I1583" s="457" t="n">
        <v>25.71</v>
      </c>
      <c r="J1583" s="313" t="s">
        <v>1651</v>
      </c>
      <c r="K1583" s="458" t="n">
        <f aca="false">I1583*H1583</f>
        <v>15426</v>
      </c>
      <c r="L1583" s="411" t="n">
        <v>7560</v>
      </c>
      <c r="M1583" s="459" t="n">
        <f aca="false">L1583/K1583</f>
        <v>0.490081680280047</v>
      </c>
      <c r="N1583" s="460" t="n">
        <f aca="false">I1583*M1583</f>
        <v>12.6</v>
      </c>
      <c r="O1583" s="461" t="n">
        <v>600</v>
      </c>
      <c r="P1583" s="462" t="n">
        <f aca="false">H1583-O1583</f>
        <v>0</v>
      </c>
      <c r="Q1583" s="463" t="n">
        <f aca="false">O1583*I1583</f>
        <v>15426</v>
      </c>
      <c r="R1583" s="48" t="n">
        <f aca="false">K1583-Q1583</f>
        <v>0</v>
      </c>
      <c r="S1583" s="467"/>
      <c r="T1583" s="2" t="s">
        <v>1711</v>
      </c>
      <c r="V1583" s="464"/>
      <c r="W1583" s="464"/>
      <c r="X1583" s="464"/>
      <c r="Y1583" s="464"/>
      <c r="Z1583" s="464"/>
      <c r="AA1583" s="464"/>
      <c r="AB1583" s="464"/>
      <c r="AC1583" s="464"/>
      <c r="AD1583" s="464"/>
      <c r="AE1583" s="464"/>
      <c r="AF1583" s="464"/>
      <c r="AG1583" s="464"/>
      <c r="AH1583" s="465"/>
      <c r="AI1583" s="464"/>
    </row>
    <row r="1584" customFormat="false" ht="15" hidden="false" customHeight="true" outlineLevel="0" collapsed="false">
      <c r="A1584" s="455" t="s">
        <v>1913</v>
      </c>
      <c r="C1584" s="456" t="n">
        <v>45652</v>
      </c>
      <c r="D1584" s="456"/>
      <c r="E1584" s="57" t="n">
        <v>14454</v>
      </c>
      <c r="F1584" s="323" t="s">
        <v>175</v>
      </c>
      <c r="G1584" s="323" t="s">
        <v>15</v>
      </c>
      <c r="H1584" s="98" t="n">
        <v>300</v>
      </c>
      <c r="I1584" s="457" t="n">
        <v>22.5</v>
      </c>
      <c r="J1584" s="313" t="s">
        <v>1651</v>
      </c>
      <c r="K1584" s="458" t="n">
        <f aca="false">I1584*H1584</f>
        <v>6750</v>
      </c>
      <c r="L1584" s="411" t="n">
        <v>4977</v>
      </c>
      <c r="M1584" s="459" t="n">
        <f aca="false">L1584/K1584</f>
        <v>0.737333333333333</v>
      </c>
      <c r="N1584" s="460" t="n">
        <f aca="false">I1584*M1584</f>
        <v>16.59</v>
      </c>
      <c r="O1584" s="461" t="n">
        <v>300</v>
      </c>
      <c r="P1584" s="462" t="n">
        <f aca="false">H1584-O1584</f>
        <v>0</v>
      </c>
      <c r="Q1584" s="463" t="n">
        <f aca="false">O1584*I1584</f>
        <v>6750</v>
      </c>
      <c r="R1584" s="48" t="n">
        <f aca="false">K1584-Q1584</f>
        <v>0</v>
      </c>
      <c r="S1584" s="467"/>
      <c r="T1584" s="2" t="s">
        <v>1711</v>
      </c>
      <c r="V1584" s="464"/>
      <c r="W1584" s="464"/>
      <c r="X1584" s="464"/>
      <c r="Y1584" s="464"/>
      <c r="Z1584" s="464"/>
      <c r="AA1584" s="464"/>
      <c r="AB1584" s="464"/>
      <c r="AC1584" s="464"/>
      <c r="AD1584" s="464"/>
      <c r="AE1584" s="464"/>
      <c r="AF1584" s="464"/>
      <c r="AG1584" s="464"/>
      <c r="AH1584" s="465"/>
      <c r="AI1584" s="464"/>
    </row>
    <row r="1585" customFormat="false" ht="15" hidden="false" customHeight="true" outlineLevel="0" collapsed="false">
      <c r="A1585" s="455" t="s">
        <v>1913</v>
      </c>
      <c r="C1585" s="456" t="n">
        <v>45652</v>
      </c>
      <c r="D1585" s="456"/>
      <c r="E1585" s="57" t="n">
        <v>14454</v>
      </c>
      <c r="F1585" s="323" t="s">
        <v>175</v>
      </c>
      <c r="G1585" s="323" t="s">
        <v>5</v>
      </c>
      <c r="H1585" s="98" t="n">
        <v>750</v>
      </c>
      <c r="I1585" s="457" t="n">
        <v>25.71</v>
      </c>
      <c r="J1585" s="313" t="s">
        <v>1651</v>
      </c>
      <c r="K1585" s="458" t="n">
        <f aca="false">I1585*H1585</f>
        <v>19282.5</v>
      </c>
      <c r="L1585" s="411" t="n">
        <v>9450</v>
      </c>
      <c r="M1585" s="459" t="n">
        <f aca="false">L1585/K1585</f>
        <v>0.490081680280047</v>
      </c>
      <c r="N1585" s="460" t="n">
        <f aca="false">I1585*M1585</f>
        <v>12.6</v>
      </c>
      <c r="O1585" s="461" t="n">
        <v>750</v>
      </c>
      <c r="P1585" s="462" t="n">
        <f aca="false">H1585-O1585</f>
        <v>0</v>
      </c>
      <c r="Q1585" s="463" t="n">
        <f aca="false">O1585*I1585</f>
        <v>19282.5</v>
      </c>
      <c r="R1585" s="48" t="n">
        <f aca="false">K1585-Q1585</f>
        <v>0</v>
      </c>
      <c r="S1585" s="467"/>
      <c r="T1585" s="2" t="s">
        <v>1711</v>
      </c>
      <c r="V1585" s="464"/>
      <c r="W1585" s="464"/>
      <c r="X1585" s="464"/>
      <c r="Y1585" s="464"/>
      <c r="Z1585" s="464"/>
      <c r="AA1585" s="464"/>
      <c r="AB1585" s="464"/>
      <c r="AC1585" s="464"/>
      <c r="AD1585" s="464"/>
      <c r="AE1585" s="464"/>
      <c r="AF1585" s="464"/>
      <c r="AG1585" s="464"/>
      <c r="AH1585" s="465"/>
      <c r="AI1585" s="464"/>
    </row>
    <row r="1586" customFormat="false" ht="15" hidden="false" customHeight="true" outlineLevel="0" collapsed="false">
      <c r="A1586" s="455" t="s">
        <v>1913</v>
      </c>
      <c r="C1586" s="456" t="n">
        <v>45652</v>
      </c>
      <c r="D1586" s="456"/>
      <c r="E1586" s="57" t="n">
        <v>14455</v>
      </c>
      <c r="F1586" s="323" t="s">
        <v>175</v>
      </c>
      <c r="G1586" s="323" t="s">
        <v>5</v>
      </c>
      <c r="H1586" s="98" t="n">
        <v>600</v>
      </c>
      <c r="I1586" s="457" t="n">
        <v>25.71</v>
      </c>
      <c r="J1586" s="313" t="s">
        <v>1651</v>
      </c>
      <c r="K1586" s="458" t="n">
        <f aca="false">I1586*H1586</f>
        <v>15426</v>
      </c>
      <c r="L1586" s="411" t="n">
        <v>7560</v>
      </c>
      <c r="M1586" s="459" t="n">
        <f aca="false">L1586/K1586</f>
        <v>0.490081680280047</v>
      </c>
      <c r="N1586" s="460" t="n">
        <f aca="false">I1586*M1586</f>
        <v>12.6</v>
      </c>
      <c r="O1586" s="461" t="n">
        <v>600</v>
      </c>
      <c r="P1586" s="462" t="n">
        <f aca="false">H1586-O1586</f>
        <v>0</v>
      </c>
      <c r="Q1586" s="463" t="n">
        <f aca="false">O1586*I1586</f>
        <v>15426</v>
      </c>
      <c r="R1586" s="48" t="n">
        <f aca="false">K1586-Q1586</f>
        <v>0</v>
      </c>
      <c r="S1586" s="467"/>
      <c r="T1586" s="2" t="s">
        <v>1711</v>
      </c>
      <c r="V1586" s="464"/>
      <c r="W1586" s="464"/>
      <c r="X1586" s="464"/>
      <c r="Y1586" s="464"/>
      <c r="Z1586" s="464"/>
      <c r="AA1586" s="464"/>
      <c r="AB1586" s="464"/>
      <c r="AC1586" s="464"/>
      <c r="AD1586" s="464"/>
      <c r="AE1586" s="464"/>
      <c r="AF1586" s="464"/>
      <c r="AG1586" s="464"/>
      <c r="AH1586" s="465"/>
      <c r="AI1586" s="464"/>
    </row>
    <row r="1587" customFormat="false" ht="15" hidden="false" customHeight="true" outlineLevel="0" collapsed="false">
      <c r="A1587" s="455" t="s">
        <v>1913</v>
      </c>
      <c r="C1587" s="456" t="n">
        <v>45652</v>
      </c>
      <c r="D1587" s="456"/>
      <c r="E1587" s="57" t="n">
        <v>14455</v>
      </c>
      <c r="F1587" s="323" t="s">
        <v>175</v>
      </c>
      <c r="G1587" s="323" t="s">
        <v>13</v>
      </c>
      <c r="H1587" s="98" t="n">
        <v>600</v>
      </c>
      <c r="I1587" s="457" t="n">
        <v>22.5</v>
      </c>
      <c r="J1587" s="313" t="s">
        <v>1651</v>
      </c>
      <c r="K1587" s="458" t="n">
        <f aca="false">I1587*H1587</f>
        <v>13500</v>
      </c>
      <c r="L1587" s="411" t="n">
        <v>6720</v>
      </c>
      <c r="M1587" s="459" t="n">
        <f aca="false">L1587/K1587</f>
        <v>0.497777777777778</v>
      </c>
      <c r="N1587" s="460" t="n">
        <f aca="false">I1587*M1587</f>
        <v>11.2</v>
      </c>
      <c r="O1587" s="461" t="n">
        <v>600</v>
      </c>
      <c r="P1587" s="462" t="n">
        <f aca="false">H1587-O1587</f>
        <v>0</v>
      </c>
      <c r="Q1587" s="463" t="n">
        <f aca="false">O1587*I1587</f>
        <v>13500</v>
      </c>
      <c r="R1587" s="48" t="n">
        <f aca="false">K1587-Q1587</f>
        <v>0</v>
      </c>
      <c r="S1587" s="467"/>
      <c r="T1587" s="2" t="s">
        <v>1711</v>
      </c>
      <c r="V1587" s="464"/>
      <c r="W1587" s="464"/>
      <c r="X1587" s="464"/>
      <c r="Y1587" s="464"/>
      <c r="Z1587" s="464"/>
      <c r="AA1587" s="464"/>
      <c r="AB1587" s="464"/>
      <c r="AC1587" s="464"/>
      <c r="AD1587" s="464"/>
      <c r="AE1587" s="464"/>
      <c r="AF1587" s="464"/>
      <c r="AG1587" s="464"/>
      <c r="AH1587" s="465"/>
      <c r="AI1587" s="464"/>
    </row>
    <row r="1588" customFormat="false" ht="15" hidden="false" customHeight="true" outlineLevel="0" collapsed="false">
      <c r="A1588" s="455" t="s">
        <v>1913</v>
      </c>
      <c r="C1588" s="456" t="n">
        <v>45652</v>
      </c>
      <c r="D1588" s="456"/>
      <c r="E1588" s="57" t="n">
        <v>14455</v>
      </c>
      <c r="F1588" s="323" t="s">
        <v>175</v>
      </c>
      <c r="G1588" s="323" t="s">
        <v>11</v>
      </c>
      <c r="H1588" s="98" t="n">
        <v>150</v>
      </c>
      <c r="I1588" s="457" t="n">
        <v>14</v>
      </c>
      <c r="J1588" s="313" t="s">
        <v>1651</v>
      </c>
      <c r="K1588" s="458" t="n">
        <f aca="false">I1588*H1588</f>
        <v>2100</v>
      </c>
      <c r="L1588" s="411" t="n">
        <v>10000</v>
      </c>
      <c r="M1588" s="459" t="n">
        <f aca="false">L1588/K1588</f>
        <v>4.76190476190476</v>
      </c>
      <c r="N1588" s="460" t="n">
        <f aca="false">I1588*M1588</f>
        <v>66.6666666666667</v>
      </c>
      <c r="O1588" s="461" t="n">
        <v>150</v>
      </c>
      <c r="P1588" s="462" t="n">
        <f aca="false">H1588-O1588</f>
        <v>0</v>
      </c>
      <c r="Q1588" s="463" t="n">
        <f aca="false">O1588*I1588</f>
        <v>2100</v>
      </c>
      <c r="R1588" s="48" t="n">
        <f aca="false">K1588-Q1588</f>
        <v>0</v>
      </c>
      <c r="S1588" s="467"/>
      <c r="T1588" s="2" t="s">
        <v>1711</v>
      </c>
      <c r="V1588" s="464"/>
      <c r="W1588" s="464"/>
      <c r="X1588" s="464"/>
      <c r="Y1588" s="464"/>
      <c r="Z1588" s="464"/>
      <c r="AA1588" s="464"/>
      <c r="AB1588" s="464"/>
      <c r="AC1588" s="464"/>
      <c r="AD1588" s="464"/>
      <c r="AE1588" s="464"/>
      <c r="AF1588" s="464"/>
      <c r="AG1588" s="464"/>
      <c r="AH1588" s="465"/>
      <c r="AI1588" s="464"/>
    </row>
    <row r="1589" customFormat="false" ht="15" hidden="false" customHeight="true" outlineLevel="0" collapsed="false">
      <c r="A1589" s="455" t="s">
        <v>1913</v>
      </c>
      <c r="C1589" s="456" t="n">
        <v>45652</v>
      </c>
      <c r="D1589" s="456"/>
      <c r="E1589" s="57" t="n">
        <v>14455</v>
      </c>
      <c r="F1589" s="323" t="s">
        <v>175</v>
      </c>
      <c r="G1589" s="323" t="s">
        <v>13</v>
      </c>
      <c r="H1589" s="98" t="n">
        <v>1250</v>
      </c>
      <c r="I1589" s="457" t="n">
        <v>40</v>
      </c>
      <c r="J1589" s="313" t="s">
        <v>1653</v>
      </c>
      <c r="K1589" s="458" t="n">
        <f aca="false">I1589*H1589</f>
        <v>50000</v>
      </c>
      <c r="L1589" s="411" t="n">
        <v>16287.5</v>
      </c>
      <c r="M1589" s="459" t="n">
        <f aca="false">L1589/K1589</f>
        <v>0.32575</v>
      </c>
      <c r="N1589" s="460" t="n">
        <f aca="false">I1589*M1589</f>
        <v>13.03</v>
      </c>
      <c r="O1589" s="461" t="n">
        <v>1250</v>
      </c>
      <c r="P1589" s="462" t="n">
        <f aca="false">H1589-O1589</f>
        <v>0</v>
      </c>
      <c r="Q1589" s="463" t="n">
        <f aca="false">O1589*I1589</f>
        <v>50000</v>
      </c>
      <c r="R1589" s="48" t="n">
        <f aca="false">K1589-Q1589</f>
        <v>0</v>
      </c>
      <c r="S1589" s="467"/>
      <c r="T1589" s="2" t="s">
        <v>1711</v>
      </c>
      <c r="V1589" s="464"/>
      <c r="W1589" s="464"/>
      <c r="X1589" s="464"/>
      <c r="Y1589" s="464"/>
      <c r="Z1589" s="464"/>
      <c r="AA1589" s="464"/>
      <c r="AB1589" s="464"/>
      <c r="AC1589" s="464"/>
      <c r="AD1589" s="464"/>
      <c r="AE1589" s="464"/>
      <c r="AF1589" s="464"/>
      <c r="AG1589" s="464"/>
      <c r="AH1589" s="465"/>
      <c r="AI1589" s="464"/>
    </row>
    <row r="1590" customFormat="false" ht="15" hidden="false" customHeight="true" outlineLevel="0" collapsed="false">
      <c r="A1590" s="455" t="s">
        <v>1913</v>
      </c>
      <c r="C1590" s="456" t="n">
        <v>45652</v>
      </c>
      <c r="D1590" s="456"/>
      <c r="E1590" s="57" t="n">
        <v>14455</v>
      </c>
      <c r="F1590" s="323" t="s">
        <v>175</v>
      </c>
      <c r="G1590" s="323" t="s">
        <v>17</v>
      </c>
      <c r="H1590" s="98" t="n">
        <v>750</v>
      </c>
      <c r="I1590" s="457" t="n">
        <v>22.5</v>
      </c>
      <c r="J1590" s="313" t="s">
        <v>1651</v>
      </c>
      <c r="K1590" s="458" t="n">
        <f aca="false">I1590*H1590</f>
        <v>16875</v>
      </c>
      <c r="L1590" s="411" t="n">
        <v>8835</v>
      </c>
      <c r="M1590" s="459" t="n">
        <f aca="false">L1590/K1590</f>
        <v>0.523555555555556</v>
      </c>
      <c r="N1590" s="460" t="n">
        <f aca="false">I1590*M1590</f>
        <v>11.78</v>
      </c>
      <c r="O1590" s="461" t="n">
        <v>750</v>
      </c>
      <c r="P1590" s="462" t="n">
        <f aca="false">H1590-O1590</f>
        <v>0</v>
      </c>
      <c r="Q1590" s="463" t="n">
        <f aca="false">O1590*I1590</f>
        <v>16875</v>
      </c>
      <c r="R1590" s="48" t="n">
        <f aca="false">K1590-Q1590</f>
        <v>0</v>
      </c>
      <c r="S1590" s="467"/>
      <c r="T1590" s="2" t="s">
        <v>1711</v>
      </c>
      <c r="V1590" s="464"/>
      <c r="W1590" s="464"/>
      <c r="X1590" s="464"/>
      <c r="Y1590" s="464"/>
      <c r="Z1590" s="464"/>
      <c r="AA1590" s="464"/>
      <c r="AB1590" s="464"/>
      <c r="AC1590" s="464"/>
      <c r="AD1590" s="464"/>
      <c r="AE1590" s="464"/>
      <c r="AF1590" s="464"/>
      <c r="AG1590" s="464"/>
      <c r="AH1590" s="465"/>
      <c r="AI1590" s="464"/>
    </row>
    <row r="1591" customFormat="false" ht="15" hidden="false" customHeight="true" outlineLevel="0" collapsed="false">
      <c r="A1591" s="455" t="s">
        <v>1753</v>
      </c>
      <c r="C1591" s="456" t="n">
        <v>45652</v>
      </c>
      <c r="D1591" s="456"/>
      <c r="E1591" s="57" t="n">
        <v>14456</v>
      </c>
      <c r="F1591" s="323" t="s">
        <v>175</v>
      </c>
      <c r="G1591" s="323" t="s">
        <v>7</v>
      </c>
      <c r="H1591" s="98" t="n">
        <v>1005</v>
      </c>
      <c r="I1591" s="457" t="n">
        <v>25.71</v>
      </c>
      <c r="J1591" s="313" t="s">
        <v>1651</v>
      </c>
      <c r="K1591" s="458" t="n">
        <f aca="false">I1591*H1591</f>
        <v>25838.55</v>
      </c>
      <c r="L1591" s="411" t="n">
        <v>11859</v>
      </c>
      <c r="M1591" s="459" t="n">
        <f aca="false">L1591/K1591</f>
        <v>0.458965383119409</v>
      </c>
      <c r="N1591" s="460" t="n">
        <f aca="false">I1591*M1591</f>
        <v>11.8</v>
      </c>
      <c r="O1591" s="461" t="n">
        <v>1005</v>
      </c>
      <c r="P1591" s="462" t="n">
        <f aca="false">H1591-O1591</f>
        <v>0</v>
      </c>
      <c r="Q1591" s="463" t="n">
        <f aca="false">O1591*I1591</f>
        <v>25838.55</v>
      </c>
      <c r="R1591" s="48" t="n">
        <f aca="false">K1591-Q1591</f>
        <v>0</v>
      </c>
      <c r="S1591" s="467"/>
      <c r="T1591" s="2" t="s">
        <v>1711</v>
      </c>
      <c r="V1591" s="464"/>
      <c r="W1591" s="464"/>
      <c r="X1591" s="464"/>
      <c r="Y1591" s="464"/>
      <c r="Z1591" s="464"/>
      <c r="AA1591" s="464"/>
      <c r="AB1591" s="464"/>
      <c r="AC1591" s="464"/>
      <c r="AD1591" s="464"/>
      <c r="AE1591" s="464"/>
      <c r="AF1591" s="464"/>
      <c r="AG1591" s="464"/>
      <c r="AH1591" s="465"/>
      <c r="AI1591" s="464"/>
    </row>
    <row r="1592" customFormat="false" ht="15" hidden="false" customHeight="true" outlineLevel="0" collapsed="false">
      <c r="A1592" s="455" t="s">
        <v>1753</v>
      </c>
      <c r="C1592" s="456" t="n">
        <v>45652</v>
      </c>
      <c r="D1592" s="456"/>
      <c r="E1592" s="57" t="n">
        <v>14456</v>
      </c>
      <c r="F1592" s="323" t="s">
        <v>175</v>
      </c>
      <c r="G1592" s="323" t="s">
        <v>15</v>
      </c>
      <c r="H1592" s="98" t="n">
        <v>2010</v>
      </c>
      <c r="I1592" s="457" t="n">
        <v>22.5</v>
      </c>
      <c r="J1592" s="313" t="s">
        <v>1651</v>
      </c>
      <c r="K1592" s="458" t="n">
        <f aca="false">I1592*H1592</f>
        <v>45225</v>
      </c>
      <c r="L1592" s="411" t="n">
        <v>26130</v>
      </c>
      <c r="M1592" s="459" t="n">
        <f aca="false">L1592/K1592</f>
        <v>0.577777777777778</v>
      </c>
      <c r="N1592" s="460" t="n">
        <f aca="false">I1592*M1592</f>
        <v>13</v>
      </c>
      <c r="O1592" s="461" t="n">
        <v>2010</v>
      </c>
      <c r="P1592" s="462" t="n">
        <f aca="false">H1592-O1592</f>
        <v>0</v>
      </c>
      <c r="Q1592" s="463" t="n">
        <f aca="false">O1592*I1592</f>
        <v>45225</v>
      </c>
      <c r="R1592" s="48" t="n">
        <f aca="false">K1592-Q1592</f>
        <v>0</v>
      </c>
      <c r="S1592" s="467"/>
      <c r="T1592" s="2" t="s">
        <v>1711</v>
      </c>
      <c r="V1592" s="464"/>
      <c r="W1592" s="464"/>
      <c r="X1592" s="464"/>
      <c r="Y1592" s="464"/>
      <c r="Z1592" s="464"/>
      <c r="AA1592" s="464"/>
      <c r="AB1592" s="464"/>
      <c r="AC1592" s="464"/>
      <c r="AD1592" s="464"/>
      <c r="AE1592" s="464"/>
      <c r="AF1592" s="464"/>
      <c r="AG1592" s="464"/>
      <c r="AH1592" s="465"/>
      <c r="AI1592" s="464"/>
    </row>
    <row r="1593" customFormat="false" ht="15" hidden="false" customHeight="true" outlineLevel="0" collapsed="false">
      <c r="A1593" s="455" t="s">
        <v>1753</v>
      </c>
      <c r="C1593" s="456" t="n">
        <v>45652</v>
      </c>
      <c r="D1593" s="456"/>
      <c r="E1593" s="57" t="n">
        <v>14456</v>
      </c>
      <c r="F1593" s="323" t="s">
        <v>175</v>
      </c>
      <c r="G1593" s="323" t="s">
        <v>5</v>
      </c>
      <c r="H1593" s="98" t="n">
        <v>3000</v>
      </c>
      <c r="I1593" s="457" t="n">
        <v>25.71</v>
      </c>
      <c r="J1593" s="313" t="s">
        <v>1651</v>
      </c>
      <c r="K1593" s="458" t="n">
        <f aca="false">I1593*H1593</f>
        <v>77130</v>
      </c>
      <c r="L1593" s="411" t="n">
        <v>33600</v>
      </c>
      <c r="M1593" s="459" t="n">
        <f aca="false">L1593/K1593</f>
        <v>0.43562816024893</v>
      </c>
      <c r="N1593" s="460" t="n">
        <f aca="false">I1593*M1593</f>
        <v>11.2</v>
      </c>
      <c r="O1593" s="461" t="n">
        <v>3000</v>
      </c>
      <c r="P1593" s="462" t="n">
        <f aca="false">H1593-O1593</f>
        <v>0</v>
      </c>
      <c r="Q1593" s="463" t="n">
        <f aca="false">O1593*I1593</f>
        <v>77130</v>
      </c>
      <c r="R1593" s="48" t="n">
        <f aca="false">K1593-Q1593</f>
        <v>0</v>
      </c>
      <c r="S1593" s="467"/>
      <c r="T1593" s="2" t="s">
        <v>1711</v>
      </c>
      <c r="V1593" s="464"/>
      <c r="W1593" s="464"/>
      <c r="X1593" s="464"/>
      <c r="Y1593" s="464"/>
      <c r="Z1593" s="464"/>
      <c r="AA1593" s="464"/>
      <c r="AB1593" s="464"/>
      <c r="AC1593" s="464"/>
      <c r="AD1593" s="464"/>
      <c r="AE1593" s="464"/>
      <c r="AF1593" s="464"/>
      <c r="AG1593" s="464"/>
      <c r="AH1593" s="465"/>
      <c r="AI1593" s="464"/>
    </row>
    <row r="1594" customFormat="false" ht="15" hidden="false" customHeight="true" outlineLevel="0" collapsed="false">
      <c r="A1594" s="455" t="s">
        <v>1753</v>
      </c>
      <c r="C1594" s="456" t="n">
        <v>45652</v>
      </c>
      <c r="D1594" s="456"/>
      <c r="E1594" s="57" t="n">
        <v>14456</v>
      </c>
      <c r="F1594" s="323" t="s">
        <v>175</v>
      </c>
      <c r="G1594" s="323" t="s">
        <v>42</v>
      </c>
      <c r="H1594" s="98" t="n">
        <v>1005</v>
      </c>
      <c r="I1594" s="457" t="n">
        <v>30</v>
      </c>
      <c r="J1594" s="313" t="s">
        <v>1651</v>
      </c>
      <c r="K1594" s="458" t="n">
        <f aca="false">I1594*H1594</f>
        <v>30150</v>
      </c>
      <c r="L1594" s="411" t="n">
        <v>14204</v>
      </c>
      <c r="M1594" s="459" t="n">
        <f aca="false">L1594/K1594</f>
        <v>0.471111111111111</v>
      </c>
      <c r="N1594" s="460" t="n">
        <f aca="false">I1594*M1594</f>
        <v>14.1333333333333</v>
      </c>
      <c r="O1594" s="461" t="n">
        <v>1005</v>
      </c>
      <c r="P1594" s="462" t="n">
        <f aca="false">H1594-O1594</f>
        <v>0</v>
      </c>
      <c r="Q1594" s="463" t="n">
        <f aca="false">O1594*I1594</f>
        <v>30150</v>
      </c>
      <c r="R1594" s="48" t="n">
        <f aca="false">K1594-Q1594</f>
        <v>0</v>
      </c>
      <c r="S1594" s="467"/>
      <c r="T1594" s="2" t="s">
        <v>1711</v>
      </c>
      <c r="V1594" s="464"/>
      <c r="W1594" s="464"/>
      <c r="X1594" s="464"/>
      <c r="Y1594" s="464"/>
      <c r="Z1594" s="464"/>
      <c r="AA1594" s="464"/>
      <c r="AB1594" s="464"/>
      <c r="AC1594" s="464"/>
      <c r="AD1594" s="464"/>
      <c r="AE1594" s="464"/>
      <c r="AF1594" s="464"/>
      <c r="AG1594" s="464"/>
      <c r="AH1594" s="465"/>
      <c r="AI1594" s="464"/>
    </row>
    <row r="1595" customFormat="false" ht="15" hidden="false" customHeight="true" outlineLevel="0" collapsed="false">
      <c r="A1595" s="455" t="s">
        <v>1753</v>
      </c>
      <c r="C1595" s="456" t="n">
        <v>45652</v>
      </c>
      <c r="D1595" s="456"/>
      <c r="E1595" s="57" t="n">
        <v>14456</v>
      </c>
      <c r="F1595" s="323" t="s">
        <v>175</v>
      </c>
      <c r="G1595" s="323" t="s">
        <v>6</v>
      </c>
      <c r="H1595" s="98" t="n">
        <v>2520</v>
      </c>
      <c r="I1595" s="457" t="n">
        <v>30</v>
      </c>
      <c r="J1595" s="313" t="s">
        <v>1651</v>
      </c>
      <c r="K1595" s="458" t="n">
        <f aca="false">I1595*H1595</f>
        <v>75600</v>
      </c>
      <c r="L1595" s="411" t="n">
        <v>28728</v>
      </c>
      <c r="M1595" s="459" t="n">
        <f aca="false">L1595/K1595</f>
        <v>0.38</v>
      </c>
      <c r="N1595" s="460" t="n">
        <f aca="false">I1595*M1595</f>
        <v>11.4</v>
      </c>
      <c r="O1595" s="461" t="n">
        <v>2520</v>
      </c>
      <c r="P1595" s="462" t="n">
        <f aca="false">H1595-O1595</f>
        <v>0</v>
      </c>
      <c r="Q1595" s="463" t="n">
        <f aca="false">O1595*I1595</f>
        <v>75600</v>
      </c>
      <c r="R1595" s="48" t="n">
        <f aca="false">K1595-Q1595</f>
        <v>0</v>
      </c>
      <c r="S1595" s="467"/>
      <c r="T1595" s="2" t="s">
        <v>1711</v>
      </c>
      <c r="V1595" s="464"/>
      <c r="W1595" s="464"/>
      <c r="X1595" s="464"/>
      <c r="Y1595" s="464"/>
      <c r="Z1595" s="464"/>
      <c r="AA1595" s="464"/>
      <c r="AB1595" s="464"/>
      <c r="AC1595" s="464"/>
      <c r="AD1595" s="464"/>
      <c r="AE1595" s="464"/>
      <c r="AF1595" s="464"/>
      <c r="AG1595" s="464"/>
      <c r="AH1595" s="465"/>
      <c r="AI1595" s="464"/>
    </row>
    <row r="1596" customFormat="false" ht="15" hidden="false" customHeight="true" outlineLevel="0" collapsed="false">
      <c r="A1596" s="455" t="s">
        <v>1753</v>
      </c>
      <c r="C1596" s="456" t="n">
        <v>45652</v>
      </c>
      <c r="D1596" s="456"/>
      <c r="E1596" s="57" t="n">
        <v>14456</v>
      </c>
      <c r="F1596" s="323" t="s">
        <v>175</v>
      </c>
      <c r="G1596" s="323" t="s">
        <v>13</v>
      </c>
      <c r="H1596" s="98" t="n">
        <v>5010</v>
      </c>
      <c r="I1596" s="457" t="n">
        <v>22.5</v>
      </c>
      <c r="J1596" s="313" t="s">
        <v>1651</v>
      </c>
      <c r="K1596" s="458" t="n">
        <f aca="false">I1596*H1596</f>
        <v>112725</v>
      </c>
      <c r="L1596" s="411" t="n">
        <v>56112</v>
      </c>
      <c r="M1596" s="459" t="n">
        <f aca="false">L1596/K1596</f>
        <v>0.497777777777778</v>
      </c>
      <c r="N1596" s="460" t="n">
        <f aca="false">I1596*M1596</f>
        <v>11.2</v>
      </c>
      <c r="O1596" s="461" t="n">
        <v>5010</v>
      </c>
      <c r="P1596" s="462" t="n">
        <f aca="false">H1596-O1596</f>
        <v>0</v>
      </c>
      <c r="Q1596" s="463" t="n">
        <f aca="false">O1596*I1596</f>
        <v>112725</v>
      </c>
      <c r="R1596" s="48" t="n">
        <f aca="false">K1596-Q1596</f>
        <v>0</v>
      </c>
      <c r="S1596" s="467"/>
      <c r="T1596" s="2" t="s">
        <v>1711</v>
      </c>
      <c r="V1596" s="464"/>
      <c r="W1596" s="464"/>
      <c r="X1596" s="464"/>
      <c r="Y1596" s="464"/>
      <c r="Z1596" s="464"/>
      <c r="AA1596" s="464"/>
      <c r="AB1596" s="464"/>
      <c r="AC1596" s="464"/>
      <c r="AD1596" s="464"/>
      <c r="AE1596" s="464"/>
      <c r="AF1596" s="464"/>
      <c r="AG1596" s="464"/>
      <c r="AH1596" s="465"/>
      <c r="AI1596" s="464"/>
    </row>
    <row r="1597" customFormat="false" ht="15" hidden="false" customHeight="true" outlineLevel="0" collapsed="false">
      <c r="A1597" s="455" t="s">
        <v>1753</v>
      </c>
      <c r="C1597" s="456" t="n">
        <v>45652</v>
      </c>
      <c r="D1597" s="456"/>
      <c r="E1597" s="57" t="n">
        <v>14456</v>
      </c>
      <c r="F1597" s="323" t="s">
        <v>175</v>
      </c>
      <c r="G1597" s="323" t="s">
        <v>15</v>
      </c>
      <c r="H1597" s="98" t="n">
        <v>1000</v>
      </c>
      <c r="I1597" s="457" t="n">
        <v>40</v>
      </c>
      <c r="J1597" s="313" t="s">
        <v>1653</v>
      </c>
      <c r="K1597" s="458" t="n">
        <f aca="false">I1597*H1597</f>
        <v>40000</v>
      </c>
      <c r="L1597" s="411" t="n">
        <v>18500</v>
      </c>
      <c r="M1597" s="459" t="n">
        <f aca="false">L1597/K1597</f>
        <v>0.4625</v>
      </c>
      <c r="N1597" s="460" t="n">
        <f aca="false">I1597*M1597</f>
        <v>18.5</v>
      </c>
      <c r="O1597" s="461" t="n">
        <v>1000</v>
      </c>
      <c r="P1597" s="462" t="n">
        <f aca="false">H1597-O1597</f>
        <v>0</v>
      </c>
      <c r="Q1597" s="463" t="n">
        <f aca="false">O1597*I1597</f>
        <v>40000</v>
      </c>
      <c r="R1597" s="48" t="n">
        <f aca="false">K1597-Q1597</f>
        <v>0</v>
      </c>
      <c r="S1597" s="467"/>
      <c r="T1597" s="2" t="s">
        <v>1711</v>
      </c>
      <c r="V1597" s="464"/>
      <c r="W1597" s="464"/>
      <c r="X1597" s="464"/>
      <c r="Y1597" s="464"/>
      <c r="Z1597" s="464"/>
      <c r="AA1597" s="464"/>
      <c r="AB1597" s="464"/>
      <c r="AC1597" s="464"/>
      <c r="AD1597" s="464"/>
      <c r="AE1597" s="464"/>
      <c r="AF1597" s="464"/>
      <c r="AG1597" s="464"/>
      <c r="AH1597" s="465"/>
      <c r="AI1597" s="464"/>
    </row>
    <row r="1598" customFormat="false" ht="15" hidden="false" customHeight="true" outlineLevel="0" collapsed="false">
      <c r="A1598" s="455" t="s">
        <v>1753</v>
      </c>
      <c r="C1598" s="456" t="n">
        <v>45652</v>
      </c>
      <c r="D1598" s="456"/>
      <c r="E1598" s="57" t="n">
        <v>14456</v>
      </c>
      <c r="F1598" s="323" t="s">
        <v>175</v>
      </c>
      <c r="G1598" s="323" t="s">
        <v>13</v>
      </c>
      <c r="H1598" s="98" t="n">
        <v>3000</v>
      </c>
      <c r="I1598" s="457" t="n">
        <v>40</v>
      </c>
      <c r="J1598" s="313" t="s">
        <v>1653</v>
      </c>
      <c r="K1598" s="458" t="n">
        <f aca="false">I1598*H1598</f>
        <v>120000</v>
      </c>
      <c r="L1598" s="411" t="n">
        <v>33600</v>
      </c>
      <c r="M1598" s="459" t="n">
        <f aca="false">L1598/K1598</f>
        <v>0.28</v>
      </c>
      <c r="N1598" s="460" t="n">
        <f aca="false">I1598*M1598</f>
        <v>11.2</v>
      </c>
      <c r="O1598" s="461" t="n">
        <v>3000</v>
      </c>
      <c r="P1598" s="462" t="n">
        <f aca="false">H1598-O1598</f>
        <v>0</v>
      </c>
      <c r="Q1598" s="463" t="n">
        <f aca="false">O1598*I1598</f>
        <v>120000</v>
      </c>
      <c r="R1598" s="48" t="n">
        <f aca="false">K1598-Q1598</f>
        <v>0</v>
      </c>
      <c r="S1598" s="467"/>
      <c r="T1598" s="2" t="s">
        <v>1711</v>
      </c>
      <c r="V1598" s="464"/>
      <c r="W1598" s="464"/>
      <c r="X1598" s="464"/>
      <c r="Y1598" s="464"/>
      <c r="Z1598" s="464"/>
      <c r="AA1598" s="464"/>
      <c r="AB1598" s="464"/>
      <c r="AC1598" s="464"/>
      <c r="AD1598" s="464"/>
      <c r="AE1598" s="464"/>
      <c r="AF1598" s="464"/>
      <c r="AG1598" s="464"/>
      <c r="AH1598" s="465"/>
      <c r="AI1598" s="464"/>
    </row>
    <row r="1599" customFormat="false" ht="15" hidden="false" customHeight="true" outlineLevel="0" collapsed="false">
      <c r="A1599" s="455" t="s">
        <v>1753</v>
      </c>
      <c r="C1599" s="456" t="n">
        <v>45652</v>
      </c>
      <c r="D1599" s="456"/>
      <c r="E1599" s="57" t="n">
        <v>14457</v>
      </c>
      <c r="F1599" s="323" t="s">
        <v>175</v>
      </c>
      <c r="G1599" s="323" t="s">
        <v>6</v>
      </c>
      <c r="H1599" s="98" t="n">
        <v>480</v>
      </c>
      <c r="I1599" s="457" t="n">
        <v>45</v>
      </c>
      <c r="J1599" s="313" t="s">
        <v>1652</v>
      </c>
      <c r="K1599" s="458" t="n">
        <f aca="false">I1599*H1599</f>
        <v>21600</v>
      </c>
      <c r="L1599" s="411" t="n">
        <v>5472</v>
      </c>
      <c r="M1599" s="459" t="n">
        <f aca="false">L1599/K1599</f>
        <v>0.253333333333333</v>
      </c>
      <c r="N1599" s="460" t="n">
        <f aca="false">I1599*M1599</f>
        <v>11.4</v>
      </c>
      <c r="O1599" s="461" t="n">
        <v>480</v>
      </c>
      <c r="P1599" s="462" t="n">
        <f aca="false">H1599-O1599</f>
        <v>0</v>
      </c>
      <c r="Q1599" s="463" t="n">
        <f aca="false">O1599*I1599</f>
        <v>21600</v>
      </c>
      <c r="R1599" s="48" t="n">
        <f aca="false">K1599-Q1599</f>
        <v>0</v>
      </c>
      <c r="S1599" s="467"/>
      <c r="T1599" s="2" t="s">
        <v>1711</v>
      </c>
      <c r="V1599" s="464"/>
      <c r="W1599" s="464"/>
      <c r="X1599" s="464"/>
      <c r="Y1599" s="464"/>
      <c r="Z1599" s="464"/>
      <c r="AA1599" s="464"/>
      <c r="AB1599" s="464"/>
      <c r="AC1599" s="464"/>
      <c r="AD1599" s="464"/>
      <c r="AE1599" s="464"/>
      <c r="AF1599" s="464"/>
      <c r="AG1599" s="464"/>
      <c r="AH1599" s="465"/>
      <c r="AI1599" s="464"/>
    </row>
    <row r="1600" customFormat="false" ht="15" hidden="false" customHeight="true" outlineLevel="0" collapsed="false">
      <c r="A1600" s="455" t="s">
        <v>1753</v>
      </c>
      <c r="C1600" s="456" t="n">
        <v>45652</v>
      </c>
      <c r="D1600" s="456"/>
      <c r="E1600" s="57" t="n">
        <v>14457</v>
      </c>
      <c r="F1600" s="323" t="s">
        <v>175</v>
      </c>
      <c r="G1600" s="323" t="s">
        <v>15</v>
      </c>
      <c r="H1600" s="98" t="n">
        <v>950</v>
      </c>
      <c r="I1600" s="457" t="n">
        <v>40</v>
      </c>
      <c r="J1600" s="313" t="s">
        <v>1653</v>
      </c>
      <c r="K1600" s="458" t="n">
        <f aca="false">I1600*H1600</f>
        <v>38000</v>
      </c>
      <c r="L1600" s="411" t="n">
        <v>17575</v>
      </c>
      <c r="M1600" s="459" t="n">
        <f aca="false">L1600/K1600</f>
        <v>0.4625</v>
      </c>
      <c r="N1600" s="460" t="n">
        <f aca="false">I1600*M1600</f>
        <v>18.5</v>
      </c>
      <c r="O1600" s="461" t="n">
        <v>950</v>
      </c>
      <c r="P1600" s="462" t="n">
        <f aca="false">H1600-O1600</f>
        <v>0</v>
      </c>
      <c r="Q1600" s="463" t="n">
        <f aca="false">O1600*I1600</f>
        <v>38000</v>
      </c>
      <c r="R1600" s="48" t="n">
        <f aca="false">K1600-Q1600</f>
        <v>0</v>
      </c>
      <c r="S1600" s="467"/>
      <c r="T1600" s="2" t="s">
        <v>1711</v>
      </c>
      <c r="V1600" s="464"/>
      <c r="W1600" s="464"/>
      <c r="X1600" s="464"/>
      <c r="Y1600" s="464"/>
      <c r="Z1600" s="464"/>
      <c r="AA1600" s="464"/>
      <c r="AB1600" s="464"/>
      <c r="AC1600" s="464"/>
      <c r="AD1600" s="464"/>
      <c r="AE1600" s="464"/>
      <c r="AF1600" s="464"/>
      <c r="AG1600" s="464"/>
      <c r="AH1600" s="465"/>
      <c r="AI1600" s="464"/>
    </row>
    <row r="1601" customFormat="false" ht="15" hidden="false" customHeight="true" outlineLevel="0" collapsed="false">
      <c r="A1601" s="455" t="s">
        <v>2022</v>
      </c>
      <c r="C1601" s="456" t="n">
        <v>45652</v>
      </c>
      <c r="D1601" s="456"/>
      <c r="E1601" s="57" t="n">
        <v>14458</v>
      </c>
      <c r="F1601" s="323" t="s">
        <v>175</v>
      </c>
      <c r="G1601" s="323" t="s">
        <v>10</v>
      </c>
      <c r="H1601" s="98" t="n">
        <v>510</v>
      </c>
      <c r="I1601" s="457" t="n">
        <v>38.3</v>
      </c>
      <c r="J1601" s="313" t="s">
        <v>1652</v>
      </c>
      <c r="K1601" s="458" t="n">
        <f aca="false">I1601*H1601</f>
        <v>19533</v>
      </c>
      <c r="L1601" s="411" t="n">
        <v>8435.4</v>
      </c>
      <c r="M1601" s="459" t="n">
        <f aca="false">L1601/K1601</f>
        <v>0.431853785900783</v>
      </c>
      <c r="N1601" s="460" t="n">
        <f aca="false">I1601*M1601</f>
        <v>16.54</v>
      </c>
      <c r="O1601" s="461" t="n">
        <v>510</v>
      </c>
      <c r="P1601" s="462" t="n">
        <f aca="false">H1601-O1601</f>
        <v>0</v>
      </c>
      <c r="Q1601" s="463" t="n">
        <f aca="false">O1601*I1601</f>
        <v>19533</v>
      </c>
      <c r="R1601" s="48" t="n">
        <f aca="false">K1601-Q1601</f>
        <v>0</v>
      </c>
      <c r="S1601" s="467"/>
      <c r="T1601" s="2" t="s">
        <v>1711</v>
      </c>
      <c r="V1601" s="464"/>
      <c r="W1601" s="464"/>
      <c r="X1601" s="464"/>
      <c r="Y1601" s="464"/>
      <c r="Z1601" s="464"/>
      <c r="AA1601" s="464"/>
      <c r="AB1601" s="464"/>
      <c r="AC1601" s="464"/>
      <c r="AD1601" s="464"/>
      <c r="AE1601" s="464"/>
      <c r="AF1601" s="464"/>
      <c r="AG1601" s="464"/>
      <c r="AH1601" s="465"/>
      <c r="AI1601" s="464"/>
    </row>
    <row r="1602" customFormat="false" ht="15" hidden="false" customHeight="true" outlineLevel="0" collapsed="false">
      <c r="A1602" s="455" t="s">
        <v>1855</v>
      </c>
      <c r="C1602" s="456" t="n">
        <v>45652</v>
      </c>
      <c r="D1602" s="456"/>
      <c r="E1602" s="57" t="n">
        <v>14459</v>
      </c>
      <c r="F1602" s="323" t="s">
        <v>175</v>
      </c>
      <c r="G1602" s="323" t="s">
        <v>5</v>
      </c>
      <c r="H1602" s="98" t="n">
        <v>1200</v>
      </c>
      <c r="I1602" s="457" t="n">
        <v>25.71</v>
      </c>
      <c r="J1602" s="313" t="s">
        <v>1651</v>
      </c>
      <c r="K1602" s="458" t="n">
        <f aca="false">I1602*H1602</f>
        <v>30852</v>
      </c>
      <c r="L1602" s="411" t="n">
        <v>16680</v>
      </c>
      <c r="M1602" s="459" t="n">
        <f aca="false">L1602/K1602</f>
        <v>0.540645663166083</v>
      </c>
      <c r="N1602" s="460" t="n">
        <f aca="false">I1602*M1602</f>
        <v>13.9</v>
      </c>
      <c r="O1602" s="461" t="n">
        <v>1200</v>
      </c>
      <c r="P1602" s="462" t="n">
        <f aca="false">H1602-O1602</f>
        <v>0</v>
      </c>
      <c r="Q1602" s="463" t="n">
        <f aca="false">O1602*I1602</f>
        <v>30852</v>
      </c>
      <c r="R1602" s="48" t="n">
        <f aca="false">K1602-Q1602</f>
        <v>0</v>
      </c>
      <c r="S1602" s="467"/>
      <c r="T1602" s="2" t="s">
        <v>1711</v>
      </c>
      <c r="V1602" s="464"/>
      <c r="W1602" s="464"/>
      <c r="X1602" s="464"/>
      <c r="Y1602" s="464"/>
      <c r="Z1602" s="464"/>
      <c r="AA1602" s="464"/>
      <c r="AB1602" s="464"/>
      <c r="AC1602" s="464"/>
      <c r="AD1602" s="464"/>
      <c r="AE1602" s="464"/>
      <c r="AF1602" s="464"/>
      <c r="AG1602" s="464"/>
      <c r="AH1602" s="465"/>
      <c r="AI1602" s="464"/>
    </row>
    <row r="1603" customFormat="false" ht="15" hidden="false" customHeight="true" outlineLevel="0" collapsed="false">
      <c r="A1603" s="455" t="s">
        <v>58</v>
      </c>
      <c r="C1603" s="456" t="n">
        <v>45652</v>
      </c>
      <c r="D1603" s="456"/>
      <c r="E1603" s="57" t="n">
        <v>14460</v>
      </c>
      <c r="F1603" s="323" t="s">
        <v>175</v>
      </c>
      <c r="G1603" s="323" t="s">
        <v>6</v>
      </c>
      <c r="H1603" s="98" t="n">
        <v>705</v>
      </c>
      <c r="I1603" s="457" t="n">
        <v>45</v>
      </c>
      <c r="J1603" s="313" t="s">
        <v>1652</v>
      </c>
      <c r="K1603" s="458" t="n">
        <f aca="false">I1603*H1603</f>
        <v>31725</v>
      </c>
      <c r="L1603" s="411" t="n">
        <v>18858.75</v>
      </c>
      <c r="M1603" s="459" t="n">
        <f aca="false">L1603/K1603</f>
        <v>0.594444444444444</v>
      </c>
      <c r="N1603" s="460" t="n">
        <f aca="false">I1603*M1603</f>
        <v>26.75</v>
      </c>
      <c r="O1603" s="461" t="n">
        <v>705</v>
      </c>
      <c r="P1603" s="462" t="n">
        <f aca="false">H1603-O1603</f>
        <v>0</v>
      </c>
      <c r="Q1603" s="463" t="n">
        <f aca="false">O1603*I1603</f>
        <v>31725</v>
      </c>
      <c r="R1603" s="48" t="n">
        <f aca="false">K1603-Q1603</f>
        <v>0</v>
      </c>
      <c r="S1603" s="467"/>
      <c r="T1603" s="2" t="s">
        <v>1711</v>
      </c>
      <c r="V1603" s="464"/>
      <c r="W1603" s="464"/>
      <c r="X1603" s="464"/>
      <c r="Y1603" s="464"/>
      <c r="Z1603" s="464"/>
      <c r="AA1603" s="464"/>
      <c r="AB1603" s="464"/>
      <c r="AC1603" s="464"/>
      <c r="AD1603" s="464"/>
      <c r="AE1603" s="464"/>
      <c r="AF1603" s="464"/>
      <c r="AG1603" s="464"/>
      <c r="AH1603" s="465"/>
      <c r="AI1603" s="464"/>
    </row>
    <row r="1604" customFormat="false" ht="15" hidden="false" customHeight="true" outlineLevel="0" collapsed="false">
      <c r="A1604" s="455" t="s">
        <v>58</v>
      </c>
      <c r="C1604" s="456" t="n">
        <v>45652</v>
      </c>
      <c r="D1604" s="456"/>
      <c r="E1604" s="57" t="n">
        <v>14461</v>
      </c>
      <c r="F1604" s="323" t="s">
        <v>175</v>
      </c>
      <c r="G1604" s="323" t="s">
        <v>42</v>
      </c>
      <c r="H1604" s="98" t="n">
        <v>300</v>
      </c>
      <c r="I1604" s="457" t="n">
        <v>45</v>
      </c>
      <c r="J1604" s="313" t="s">
        <v>1652</v>
      </c>
      <c r="K1604" s="458" t="n">
        <f aca="false">I1604*H1604</f>
        <v>13500</v>
      </c>
      <c r="L1604" s="411" t="n">
        <v>7628</v>
      </c>
      <c r="M1604" s="459" t="n">
        <f aca="false">L1604/K1604</f>
        <v>0.565037037037037</v>
      </c>
      <c r="N1604" s="460" t="n">
        <f aca="false">I1604*M1604</f>
        <v>25.4266666666667</v>
      </c>
      <c r="O1604" s="461" t="n">
        <v>300</v>
      </c>
      <c r="P1604" s="462" t="n">
        <f aca="false">H1604-O1604</f>
        <v>0</v>
      </c>
      <c r="Q1604" s="463" t="n">
        <f aca="false">O1604*I1604</f>
        <v>13500</v>
      </c>
      <c r="R1604" s="48" t="n">
        <f aca="false">K1604-Q1604</f>
        <v>0</v>
      </c>
      <c r="S1604" s="467"/>
      <c r="T1604" s="2" t="s">
        <v>1711</v>
      </c>
      <c r="V1604" s="464"/>
      <c r="W1604" s="464"/>
      <c r="X1604" s="464"/>
      <c r="Y1604" s="464"/>
      <c r="Z1604" s="464"/>
      <c r="AA1604" s="464"/>
      <c r="AB1604" s="464"/>
      <c r="AC1604" s="464"/>
      <c r="AD1604" s="464"/>
      <c r="AE1604" s="464"/>
      <c r="AF1604" s="464"/>
      <c r="AG1604" s="464"/>
      <c r="AH1604" s="465"/>
      <c r="AI1604" s="464"/>
    </row>
    <row r="1605" customFormat="false" ht="15" hidden="false" customHeight="true" outlineLevel="0" collapsed="false">
      <c r="A1605" s="455" t="s">
        <v>58</v>
      </c>
      <c r="C1605" s="456" t="n">
        <v>45652</v>
      </c>
      <c r="D1605" s="456"/>
      <c r="E1605" s="57" t="n">
        <v>14461</v>
      </c>
      <c r="F1605" s="323" t="s">
        <v>175</v>
      </c>
      <c r="G1605" s="323" t="s">
        <v>42</v>
      </c>
      <c r="H1605" s="98" t="n">
        <v>300</v>
      </c>
      <c r="I1605" s="457" t="n">
        <v>30</v>
      </c>
      <c r="J1605" s="313" t="s">
        <v>1651</v>
      </c>
      <c r="K1605" s="458" t="n">
        <f aca="false">I1605*H1605</f>
        <v>9000</v>
      </c>
      <c r="L1605" s="411" t="n">
        <v>5126</v>
      </c>
      <c r="M1605" s="459" t="n">
        <f aca="false">L1605/K1605</f>
        <v>0.569555555555556</v>
      </c>
      <c r="N1605" s="460" t="n">
        <f aca="false">I1605*M1605</f>
        <v>17.0866666666667</v>
      </c>
      <c r="O1605" s="461" t="n">
        <v>300</v>
      </c>
      <c r="P1605" s="462" t="n">
        <f aca="false">H1605-O1605</f>
        <v>0</v>
      </c>
      <c r="Q1605" s="463" t="n">
        <f aca="false">O1605*I1605</f>
        <v>9000</v>
      </c>
      <c r="R1605" s="48" t="n">
        <f aca="false">K1605-Q1605</f>
        <v>0</v>
      </c>
      <c r="S1605" s="467"/>
      <c r="T1605" s="2" t="s">
        <v>1711</v>
      </c>
      <c r="V1605" s="464"/>
      <c r="W1605" s="464"/>
      <c r="X1605" s="464"/>
      <c r="Y1605" s="464"/>
      <c r="Z1605" s="464"/>
      <c r="AA1605" s="464"/>
      <c r="AB1605" s="464"/>
      <c r="AC1605" s="464"/>
      <c r="AD1605" s="464"/>
      <c r="AE1605" s="464"/>
      <c r="AF1605" s="464"/>
      <c r="AG1605" s="464"/>
      <c r="AH1605" s="465"/>
      <c r="AI1605" s="464"/>
    </row>
    <row r="1606" customFormat="false" ht="15" hidden="false" customHeight="true" outlineLevel="0" collapsed="false">
      <c r="A1606" s="455" t="s">
        <v>58</v>
      </c>
      <c r="C1606" s="456" t="n">
        <v>45652</v>
      </c>
      <c r="D1606" s="456"/>
      <c r="E1606" s="57" t="n">
        <v>14461</v>
      </c>
      <c r="F1606" s="323" t="s">
        <v>175</v>
      </c>
      <c r="G1606" s="323" t="s">
        <v>17</v>
      </c>
      <c r="H1606" s="98" t="n">
        <v>105</v>
      </c>
      <c r="I1606" s="457" t="n">
        <v>22.5</v>
      </c>
      <c r="J1606" s="313" t="s">
        <v>1651</v>
      </c>
      <c r="K1606" s="458" t="n">
        <f aca="false">I1606*H1606</f>
        <v>2362.5</v>
      </c>
      <c r="L1606" s="411" t="n">
        <v>1408.05</v>
      </c>
      <c r="M1606" s="459" t="n">
        <f aca="false">L1606/K1606</f>
        <v>0.596</v>
      </c>
      <c r="N1606" s="460" t="n">
        <f aca="false">I1606*M1606</f>
        <v>13.41</v>
      </c>
      <c r="O1606" s="461" t="n">
        <v>105</v>
      </c>
      <c r="P1606" s="462" t="n">
        <f aca="false">H1606-O1606</f>
        <v>0</v>
      </c>
      <c r="Q1606" s="463" t="n">
        <f aca="false">O1606*I1606</f>
        <v>2362.5</v>
      </c>
      <c r="R1606" s="48" t="n">
        <f aca="false">K1606-Q1606</f>
        <v>0</v>
      </c>
      <c r="S1606" s="467"/>
      <c r="T1606" s="2" t="s">
        <v>1711</v>
      </c>
      <c r="V1606" s="464"/>
      <c r="W1606" s="464"/>
      <c r="X1606" s="464"/>
      <c r="Y1606" s="464"/>
      <c r="Z1606" s="464"/>
      <c r="AA1606" s="464"/>
      <c r="AB1606" s="464"/>
      <c r="AC1606" s="464"/>
      <c r="AD1606" s="464"/>
      <c r="AE1606" s="464"/>
      <c r="AF1606" s="464"/>
      <c r="AG1606" s="464"/>
      <c r="AH1606" s="465"/>
      <c r="AI1606" s="464"/>
    </row>
    <row r="1607" customFormat="false" ht="15" hidden="false" customHeight="true" outlineLevel="0" collapsed="false">
      <c r="A1607" s="455" t="s">
        <v>1933</v>
      </c>
      <c r="C1607" s="456" t="n">
        <v>45653</v>
      </c>
      <c r="D1607" s="456"/>
      <c r="E1607" s="57" t="n">
        <v>14462</v>
      </c>
      <c r="F1607" s="323" t="s">
        <v>175</v>
      </c>
      <c r="G1607" s="323" t="s">
        <v>5</v>
      </c>
      <c r="H1607" s="98" t="n">
        <v>450</v>
      </c>
      <c r="I1607" s="457" t="n">
        <v>25.71</v>
      </c>
      <c r="J1607" s="313" t="s">
        <v>1651</v>
      </c>
      <c r="K1607" s="458" t="n">
        <f aca="false">I1607*H1607</f>
        <v>11569.5</v>
      </c>
      <c r="L1607" s="411" t="n">
        <v>6525</v>
      </c>
      <c r="M1607" s="459" t="n">
        <f aca="false">L1607/K1607</f>
        <v>0.563982886036562</v>
      </c>
      <c r="N1607" s="460" t="n">
        <f aca="false">I1607*M1607</f>
        <v>14.5</v>
      </c>
      <c r="O1607" s="461" t="n">
        <v>450</v>
      </c>
      <c r="P1607" s="462" t="n">
        <f aca="false">H1607-O1607</f>
        <v>0</v>
      </c>
      <c r="Q1607" s="463" t="n">
        <f aca="false">O1607*I1607</f>
        <v>11569.5</v>
      </c>
      <c r="R1607" s="48" t="n">
        <f aca="false">K1607-Q1607</f>
        <v>0</v>
      </c>
      <c r="S1607" s="467"/>
      <c r="T1607" s="2" t="s">
        <v>1711</v>
      </c>
      <c r="V1607" s="464"/>
      <c r="W1607" s="464"/>
      <c r="X1607" s="464"/>
      <c r="Y1607" s="464"/>
      <c r="Z1607" s="464"/>
      <c r="AA1607" s="464"/>
      <c r="AB1607" s="464"/>
      <c r="AC1607" s="464"/>
      <c r="AD1607" s="464"/>
      <c r="AE1607" s="464"/>
      <c r="AF1607" s="464"/>
      <c r="AG1607" s="464"/>
      <c r="AH1607" s="465"/>
      <c r="AI1607" s="464"/>
    </row>
    <row r="1608" customFormat="false" ht="15" hidden="false" customHeight="true" outlineLevel="0" collapsed="false">
      <c r="A1608" s="455" t="s">
        <v>2023</v>
      </c>
      <c r="C1608" s="456" t="n">
        <v>45653</v>
      </c>
      <c r="D1608" s="456"/>
      <c r="E1608" s="57" t="n">
        <v>14463</v>
      </c>
      <c r="F1608" s="323" t="s">
        <v>175</v>
      </c>
      <c r="G1608" s="323" t="s">
        <v>7</v>
      </c>
      <c r="H1608" s="98" t="n">
        <v>60</v>
      </c>
      <c r="I1608" s="457" t="n">
        <v>25.71</v>
      </c>
      <c r="J1608" s="313" t="s">
        <v>1651</v>
      </c>
      <c r="K1608" s="458" t="n">
        <f aca="false">I1608*H1608</f>
        <v>1542.6</v>
      </c>
      <c r="L1608" s="411" t="n">
        <v>594</v>
      </c>
      <c r="M1608" s="459" t="n">
        <f aca="false">L1608/K1608</f>
        <v>0.385064177362894</v>
      </c>
      <c r="N1608" s="460" t="n">
        <f aca="false">I1608*M1608</f>
        <v>9.9</v>
      </c>
      <c r="O1608" s="461" t="n">
        <v>60</v>
      </c>
      <c r="P1608" s="462" t="n">
        <f aca="false">H1608-O1608</f>
        <v>0</v>
      </c>
      <c r="Q1608" s="463" t="n">
        <f aca="false">O1608*I1608</f>
        <v>1542.6</v>
      </c>
      <c r="R1608" s="48" t="n">
        <f aca="false">K1608-Q1608</f>
        <v>0</v>
      </c>
      <c r="S1608" s="467"/>
      <c r="T1608" s="2" t="s">
        <v>1711</v>
      </c>
      <c r="V1608" s="464"/>
      <c r="W1608" s="464"/>
      <c r="X1608" s="464"/>
      <c r="Y1608" s="464"/>
      <c r="Z1608" s="464"/>
      <c r="AA1608" s="464"/>
      <c r="AB1608" s="464"/>
      <c r="AC1608" s="464"/>
      <c r="AD1608" s="464"/>
      <c r="AE1608" s="464"/>
      <c r="AF1608" s="464"/>
      <c r="AG1608" s="464"/>
      <c r="AH1608" s="465"/>
      <c r="AI1608" s="464"/>
    </row>
    <row r="1609" customFormat="false" ht="15" hidden="false" customHeight="true" outlineLevel="0" collapsed="false">
      <c r="A1609" s="455" t="s">
        <v>2023</v>
      </c>
      <c r="C1609" s="456" t="n">
        <v>45653</v>
      </c>
      <c r="D1609" s="456"/>
      <c r="E1609" s="57" t="n">
        <v>14463</v>
      </c>
      <c r="F1609" s="323" t="s">
        <v>175</v>
      </c>
      <c r="G1609" s="323" t="s">
        <v>5</v>
      </c>
      <c r="H1609" s="98" t="n">
        <v>60</v>
      </c>
      <c r="I1609" s="457" t="n">
        <v>25.71</v>
      </c>
      <c r="J1609" s="313" t="s">
        <v>1651</v>
      </c>
      <c r="K1609" s="458" t="n">
        <f aca="false">I1609*H1609</f>
        <v>1542.6</v>
      </c>
      <c r="L1609" s="411" t="n">
        <v>510</v>
      </c>
      <c r="M1609" s="459" t="n">
        <f aca="false">L1609/K1609</f>
        <v>0.330610657331777</v>
      </c>
      <c r="N1609" s="460" t="n">
        <f aca="false">I1609*M1609</f>
        <v>8.5</v>
      </c>
      <c r="O1609" s="461" t="n">
        <v>60</v>
      </c>
      <c r="P1609" s="462" t="n">
        <f aca="false">H1609-O1609</f>
        <v>0</v>
      </c>
      <c r="Q1609" s="463" t="n">
        <f aca="false">O1609*I1609</f>
        <v>1542.6</v>
      </c>
      <c r="R1609" s="48" t="n">
        <f aca="false">K1609-Q1609</f>
        <v>0</v>
      </c>
      <c r="S1609" s="467"/>
      <c r="T1609" s="2" t="s">
        <v>1711</v>
      </c>
      <c r="V1609" s="464"/>
      <c r="W1609" s="464"/>
      <c r="X1609" s="464"/>
      <c r="Y1609" s="464"/>
      <c r="Z1609" s="464"/>
      <c r="AA1609" s="464"/>
      <c r="AB1609" s="464"/>
      <c r="AC1609" s="464"/>
      <c r="AD1609" s="464"/>
      <c r="AE1609" s="464"/>
      <c r="AF1609" s="464"/>
      <c r="AG1609" s="464"/>
      <c r="AH1609" s="465"/>
      <c r="AI1609" s="464"/>
    </row>
    <row r="1610" customFormat="false" ht="15" hidden="false" customHeight="true" outlineLevel="0" collapsed="false">
      <c r="A1610" s="455" t="s">
        <v>2023</v>
      </c>
      <c r="C1610" s="456" t="n">
        <v>45653</v>
      </c>
      <c r="D1610" s="456"/>
      <c r="E1610" s="57" t="n">
        <v>14463</v>
      </c>
      <c r="F1610" s="323" t="s">
        <v>175</v>
      </c>
      <c r="G1610" s="323" t="s">
        <v>42</v>
      </c>
      <c r="H1610" s="98" t="n">
        <v>60</v>
      </c>
      <c r="I1610" s="457" t="n">
        <v>30</v>
      </c>
      <c r="J1610" s="313" t="s">
        <v>1651</v>
      </c>
      <c r="K1610" s="458" t="n">
        <f aca="false">I1610*H1610</f>
        <v>1800</v>
      </c>
      <c r="L1610" s="411" t="n">
        <v>510</v>
      </c>
      <c r="M1610" s="459" t="n">
        <f aca="false">L1610/K1610</f>
        <v>0.283333333333333</v>
      </c>
      <c r="N1610" s="460" t="n">
        <f aca="false">I1610*M1610</f>
        <v>8.5</v>
      </c>
      <c r="O1610" s="461" t="n">
        <v>60</v>
      </c>
      <c r="P1610" s="462" t="n">
        <f aca="false">H1610-O1610</f>
        <v>0</v>
      </c>
      <c r="Q1610" s="463" t="n">
        <f aca="false">O1610*I1610</f>
        <v>1800</v>
      </c>
      <c r="R1610" s="48" t="n">
        <f aca="false">K1610-Q1610</f>
        <v>0</v>
      </c>
      <c r="S1610" s="467"/>
      <c r="T1610" s="2" t="s">
        <v>1711</v>
      </c>
      <c r="V1610" s="464"/>
      <c r="W1610" s="464"/>
      <c r="X1610" s="464"/>
      <c r="Y1610" s="464"/>
      <c r="Z1610" s="464"/>
      <c r="AA1610" s="464"/>
      <c r="AB1610" s="464"/>
      <c r="AC1610" s="464"/>
      <c r="AD1610" s="464"/>
      <c r="AE1610" s="464"/>
      <c r="AF1610" s="464"/>
      <c r="AG1610" s="464"/>
      <c r="AH1610" s="465"/>
      <c r="AI1610" s="464"/>
    </row>
    <row r="1611" customFormat="false" ht="15" hidden="false" customHeight="true" outlineLevel="0" collapsed="false">
      <c r="A1611" s="455" t="s">
        <v>2023</v>
      </c>
      <c r="C1611" s="456" t="n">
        <v>45653</v>
      </c>
      <c r="D1611" s="456"/>
      <c r="E1611" s="57" t="n">
        <v>14463</v>
      </c>
      <c r="F1611" s="323" t="s">
        <v>175</v>
      </c>
      <c r="G1611" s="323" t="s">
        <v>10</v>
      </c>
      <c r="H1611" s="98" t="n">
        <v>60</v>
      </c>
      <c r="I1611" s="457" t="n">
        <v>38.3</v>
      </c>
      <c r="J1611" s="313" t="s">
        <v>1652</v>
      </c>
      <c r="K1611" s="458" t="n">
        <f aca="false">I1611*H1611</f>
        <v>2298</v>
      </c>
      <c r="L1611" s="411" t="n">
        <v>354</v>
      </c>
      <c r="M1611" s="459" t="n">
        <f aca="false">L1611/K1611</f>
        <v>0.154046997389034</v>
      </c>
      <c r="N1611" s="460" t="n">
        <f aca="false">I1611*M1611</f>
        <v>5.9</v>
      </c>
      <c r="O1611" s="461" t="n">
        <v>60</v>
      </c>
      <c r="P1611" s="462" t="n">
        <f aca="false">H1611-O1611</f>
        <v>0</v>
      </c>
      <c r="Q1611" s="463" t="n">
        <f aca="false">O1611*I1611</f>
        <v>2298</v>
      </c>
      <c r="R1611" s="48" t="n">
        <f aca="false">K1611-Q1611</f>
        <v>0</v>
      </c>
      <c r="S1611" s="467"/>
      <c r="T1611" s="2" t="s">
        <v>1711</v>
      </c>
      <c r="V1611" s="464"/>
      <c r="W1611" s="464"/>
      <c r="X1611" s="464"/>
      <c r="Y1611" s="464"/>
      <c r="Z1611" s="464"/>
      <c r="AA1611" s="464"/>
      <c r="AB1611" s="464"/>
      <c r="AC1611" s="464"/>
      <c r="AD1611" s="464"/>
      <c r="AE1611" s="464"/>
      <c r="AF1611" s="464"/>
      <c r="AG1611" s="464"/>
      <c r="AH1611" s="465"/>
      <c r="AI1611" s="464"/>
    </row>
    <row r="1612" customFormat="false" ht="15" hidden="false" customHeight="true" outlineLevel="0" collapsed="false">
      <c r="A1612" s="455" t="s">
        <v>1896</v>
      </c>
      <c r="C1612" s="456" t="n">
        <v>45653</v>
      </c>
      <c r="D1612" s="456"/>
      <c r="E1612" s="57" t="n">
        <v>14465</v>
      </c>
      <c r="F1612" s="323" t="s">
        <v>175</v>
      </c>
      <c r="G1612" s="323" t="s">
        <v>6</v>
      </c>
      <c r="H1612" s="98" t="n">
        <v>255</v>
      </c>
      <c r="I1612" s="457" t="n">
        <v>45</v>
      </c>
      <c r="J1612" s="313" t="s">
        <v>1652</v>
      </c>
      <c r="K1612" s="458" t="n">
        <f aca="false">I1612*H1612</f>
        <v>11475</v>
      </c>
      <c r="L1612" s="411" t="n">
        <v>4590</v>
      </c>
      <c r="M1612" s="459" t="n">
        <f aca="false">L1612/K1612</f>
        <v>0.4</v>
      </c>
      <c r="N1612" s="460" t="n">
        <f aca="false">I1612*M1612</f>
        <v>18</v>
      </c>
      <c r="O1612" s="461" t="n">
        <v>255</v>
      </c>
      <c r="P1612" s="462" t="n">
        <f aca="false">H1612-O1612</f>
        <v>0</v>
      </c>
      <c r="Q1612" s="463" t="n">
        <f aca="false">O1612*I1612</f>
        <v>11475</v>
      </c>
      <c r="R1612" s="48" t="n">
        <f aca="false">K1612-Q1612</f>
        <v>0</v>
      </c>
      <c r="S1612" s="467"/>
      <c r="T1612" s="2" t="s">
        <v>1711</v>
      </c>
      <c r="V1612" s="464"/>
      <c r="W1612" s="464"/>
      <c r="X1612" s="464"/>
      <c r="Y1612" s="464"/>
      <c r="Z1612" s="464"/>
      <c r="AA1612" s="464"/>
      <c r="AB1612" s="464"/>
      <c r="AC1612" s="464"/>
      <c r="AD1612" s="464"/>
      <c r="AE1612" s="464"/>
      <c r="AF1612" s="464"/>
      <c r="AG1612" s="464"/>
      <c r="AH1612" s="465"/>
      <c r="AI1612" s="464"/>
    </row>
    <row r="1613" customFormat="false" ht="15" hidden="false" customHeight="true" outlineLevel="0" collapsed="false">
      <c r="A1613" s="455" t="s">
        <v>2024</v>
      </c>
      <c r="C1613" s="456" t="n">
        <v>45656</v>
      </c>
      <c r="D1613" s="456"/>
      <c r="E1613" s="57" t="n">
        <v>14468</v>
      </c>
      <c r="F1613" s="323" t="s">
        <v>175</v>
      </c>
      <c r="G1613" s="323" t="s">
        <v>10</v>
      </c>
      <c r="H1613" s="98" t="n">
        <v>3000</v>
      </c>
      <c r="I1613" s="457" t="n">
        <v>90</v>
      </c>
      <c r="J1613" s="313" t="s">
        <v>1653</v>
      </c>
      <c r="K1613" s="458" t="n">
        <f aca="false">I1613*H1613</f>
        <v>270000</v>
      </c>
      <c r="L1613" s="411" t="n">
        <v>42000</v>
      </c>
      <c r="M1613" s="459" t="n">
        <f aca="false">L1613/K1613</f>
        <v>0.155555555555556</v>
      </c>
      <c r="N1613" s="460" t="n">
        <f aca="false">I1613*M1613</f>
        <v>14</v>
      </c>
      <c r="O1613" s="461" t="n">
        <v>3000</v>
      </c>
      <c r="P1613" s="462" t="n">
        <f aca="false">H1613-O1613</f>
        <v>0</v>
      </c>
      <c r="Q1613" s="463" t="n">
        <f aca="false">O1613*I1613</f>
        <v>270000</v>
      </c>
      <c r="R1613" s="48" t="n">
        <f aca="false">K1613-Q1613</f>
        <v>0</v>
      </c>
      <c r="S1613" s="467"/>
      <c r="T1613" s="2" t="s">
        <v>1711</v>
      </c>
      <c r="V1613" s="464"/>
      <c r="W1613" s="464"/>
      <c r="X1613" s="464"/>
      <c r="Y1613" s="464"/>
      <c r="Z1613" s="464"/>
      <c r="AA1613" s="464"/>
      <c r="AB1613" s="464"/>
      <c r="AC1613" s="464"/>
      <c r="AD1613" s="464"/>
      <c r="AE1613" s="464"/>
      <c r="AF1613" s="464"/>
      <c r="AG1613" s="464"/>
      <c r="AH1613" s="465"/>
      <c r="AI1613" s="464"/>
    </row>
    <row r="1614" customFormat="false" ht="15" hidden="false" customHeight="true" outlineLevel="0" collapsed="false">
      <c r="A1614" s="455" t="s">
        <v>2025</v>
      </c>
      <c r="C1614" s="456" t="n">
        <v>45656</v>
      </c>
      <c r="D1614" s="456"/>
      <c r="E1614" s="57" t="n">
        <v>14469</v>
      </c>
      <c r="F1614" s="323" t="s">
        <v>175</v>
      </c>
      <c r="G1614" s="323" t="s">
        <v>10</v>
      </c>
      <c r="H1614" s="98" t="n">
        <v>5010</v>
      </c>
      <c r="I1614" s="457" t="n">
        <v>90</v>
      </c>
      <c r="J1614" s="313" t="s">
        <v>1653</v>
      </c>
      <c r="K1614" s="458" t="n">
        <f aca="false">I1614*H1614</f>
        <v>450900</v>
      </c>
      <c r="L1614" s="411" t="n">
        <v>62625</v>
      </c>
      <c r="M1614" s="459" t="n">
        <f aca="false">L1614/K1614</f>
        <v>0.138888888888889</v>
      </c>
      <c r="N1614" s="460" t="n">
        <f aca="false">I1614*M1614</f>
        <v>12.5</v>
      </c>
      <c r="O1614" s="461" t="n">
        <v>5010</v>
      </c>
      <c r="P1614" s="462" t="n">
        <f aca="false">H1614-O1614</f>
        <v>0</v>
      </c>
      <c r="Q1614" s="463" t="n">
        <f aca="false">O1614*I1614</f>
        <v>450900</v>
      </c>
      <c r="R1614" s="48" t="n">
        <f aca="false">K1614-Q1614</f>
        <v>0</v>
      </c>
      <c r="S1614" s="467"/>
      <c r="T1614" s="2" t="s">
        <v>1711</v>
      </c>
      <c r="V1614" s="464"/>
      <c r="W1614" s="464"/>
      <c r="X1614" s="464"/>
      <c r="Y1614" s="464"/>
      <c r="Z1614" s="464"/>
      <c r="AA1614" s="464"/>
      <c r="AB1614" s="464"/>
      <c r="AC1614" s="464"/>
      <c r="AD1614" s="464"/>
      <c r="AE1614" s="464"/>
      <c r="AF1614" s="464"/>
      <c r="AG1614" s="464"/>
      <c r="AH1614" s="465"/>
      <c r="AI1614" s="464"/>
    </row>
    <row r="1615" customFormat="false" ht="15" hidden="false" customHeight="true" outlineLevel="0" collapsed="false">
      <c r="A1615" s="455" t="s">
        <v>1850</v>
      </c>
      <c r="C1615" s="456" t="n">
        <v>45656</v>
      </c>
      <c r="D1615" s="456"/>
      <c r="E1615" s="57" t="n">
        <v>14470</v>
      </c>
      <c r="F1615" s="57" t="s">
        <v>175</v>
      </c>
      <c r="G1615" s="323" t="s">
        <v>5</v>
      </c>
      <c r="H1615" s="98" t="n">
        <v>300</v>
      </c>
      <c r="I1615" s="457" t="n">
        <v>25.71</v>
      </c>
      <c r="J1615" s="313" t="s">
        <v>1651</v>
      </c>
      <c r="K1615" s="458" t="n">
        <f aca="false">I1615*H1615</f>
        <v>7713</v>
      </c>
      <c r="L1615" s="411" t="n">
        <v>4500</v>
      </c>
      <c r="M1615" s="459" t="n">
        <f aca="false">L1615/K1615</f>
        <v>0.58343057176196</v>
      </c>
      <c r="N1615" s="460" t="n">
        <f aca="false">I1615*M1615</f>
        <v>15</v>
      </c>
      <c r="O1615" s="461" t="n">
        <v>300</v>
      </c>
      <c r="P1615" s="462" t="n">
        <f aca="false">H1615-O1615</f>
        <v>0</v>
      </c>
      <c r="Q1615" s="463" t="n">
        <f aca="false">O1615*I1615</f>
        <v>7713</v>
      </c>
      <c r="R1615" s="48" t="n">
        <f aca="false">K1615-Q1615</f>
        <v>0</v>
      </c>
      <c r="S1615" s="467"/>
      <c r="T1615" s="2" t="s">
        <v>1711</v>
      </c>
      <c r="V1615" s="464"/>
      <c r="W1615" s="464"/>
      <c r="X1615" s="464"/>
      <c r="Y1615" s="464"/>
      <c r="Z1615" s="464"/>
      <c r="AA1615" s="464"/>
      <c r="AB1615" s="464"/>
      <c r="AC1615" s="464"/>
      <c r="AD1615" s="464"/>
      <c r="AE1615" s="464"/>
      <c r="AF1615" s="464"/>
      <c r="AG1615" s="464"/>
      <c r="AH1615" s="465"/>
      <c r="AI1615" s="464"/>
    </row>
    <row r="1616" customFormat="false" ht="15" hidden="false" customHeight="true" outlineLevel="0" collapsed="false">
      <c r="A1616" s="455" t="s">
        <v>1870</v>
      </c>
      <c r="C1616" s="456" t="n">
        <v>45659</v>
      </c>
      <c r="D1616" s="456"/>
      <c r="E1616" s="57" t="n">
        <v>14475</v>
      </c>
      <c r="F1616" s="323" t="s">
        <v>175</v>
      </c>
      <c r="G1616" s="323" t="s">
        <v>17</v>
      </c>
      <c r="H1616" s="98" t="n">
        <v>300</v>
      </c>
      <c r="I1616" s="457" t="n">
        <v>22.5</v>
      </c>
      <c r="J1616" s="313" t="s">
        <v>1651</v>
      </c>
      <c r="K1616" s="458" t="n">
        <f aca="false">I1616*H1616</f>
        <v>6750</v>
      </c>
      <c r="L1616" s="411" t="n">
        <v>5000</v>
      </c>
      <c r="M1616" s="459" t="n">
        <f aca="false">L1616/K1616</f>
        <v>0.740740740740741</v>
      </c>
      <c r="N1616" s="460" t="n">
        <f aca="false">I1616*M1616</f>
        <v>16.6666666666667</v>
      </c>
      <c r="O1616" s="461" t="n">
        <v>300</v>
      </c>
      <c r="P1616" s="462" t="n">
        <f aca="false">H1616-O1616</f>
        <v>0</v>
      </c>
      <c r="Q1616" s="463" t="n">
        <f aca="false">O1616*I1616</f>
        <v>6750</v>
      </c>
      <c r="R1616" s="48" t="n">
        <f aca="false">K1616-Q1616</f>
        <v>0</v>
      </c>
      <c r="S1616" s="467"/>
      <c r="T1616" s="2" t="s">
        <v>1711</v>
      </c>
      <c r="V1616" s="464"/>
      <c r="W1616" s="464"/>
      <c r="X1616" s="464"/>
      <c r="Y1616" s="464"/>
      <c r="Z1616" s="464"/>
      <c r="AA1616" s="464"/>
      <c r="AB1616" s="464"/>
      <c r="AC1616" s="464"/>
      <c r="AD1616" s="464"/>
      <c r="AE1616" s="464"/>
      <c r="AF1616" s="464"/>
      <c r="AG1616" s="464"/>
      <c r="AH1616" s="465"/>
      <c r="AI1616" s="464"/>
    </row>
    <row r="1617" customFormat="false" ht="15" hidden="false" customHeight="true" outlineLevel="0" collapsed="false">
      <c r="A1617" s="455" t="s">
        <v>2026</v>
      </c>
      <c r="C1617" s="456" t="n">
        <v>45659</v>
      </c>
      <c r="D1617" s="456"/>
      <c r="E1617" s="57" t="n">
        <v>14476</v>
      </c>
      <c r="F1617" s="323" t="s">
        <v>175</v>
      </c>
      <c r="G1617" s="323" t="s">
        <v>42</v>
      </c>
      <c r="H1617" s="98" t="n">
        <v>345</v>
      </c>
      <c r="I1617" s="457" t="n">
        <v>30</v>
      </c>
      <c r="J1617" s="313" t="s">
        <v>1651</v>
      </c>
      <c r="K1617" s="458" t="n">
        <f aca="false">I1617*H1617</f>
        <v>10350</v>
      </c>
      <c r="L1617" s="411" t="n">
        <v>7069.05</v>
      </c>
      <c r="M1617" s="459" t="n">
        <f aca="false">L1617/K1617</f>
        <v>0.683</v>
      </c>
      <c r="N1617" s="460" t="n">
        <f aca="false">I1617*M1617</f>
        <v>20.49</v>
      </c>
      <c r="O1617" s="461" t="n">
        <v>345</v>
      </c>
      <c r="P1617" s="462" t="n">
        <f aca="false">H1617-O1617</f>
        <v>0</v>
      </c>
      <c r="Q1617" s="463" t="n">
        <f aca="false">O1617*I1617</f>
        <v>10350</v>
      </c>
      <c r="R1617" s="48" t="n">
        <f aca="false">K1617-Q1617</f>
        <v>0</v>
      </c>
      <c r="S1617" s="467"/>
      <c r="T1617" s="2" t="s">
        <v>1711</v>
      </c>
      <c r="V1617" s="464"/>
      <c r="W1617" s="464"/>
      <c r="X1617" s="464"/>
      <c r="Y1617" s="464"/>
      <c r="Z1617" s="464"/>
      <c r="AA1617" s="464"/>
      <c r="AB1617" s="464"/>
      <c r="AC1617" s="464"/>
      <c r="AD1617" s="464"/>
      <c r="AE1617" s="464"/>
      <c r="AF1617" s="464"/>
      <c r="AG1617" s="464"/>
      <c r="AH1617" s="465"/>
      <c r="AI1617" s="464"/>
    </row>
    <row r="1618" customFormat="false" ht="15" hidden="false" customHeight="true" outlineLevel="0" collapsed="false">
      <c r="A1618" s="455" t="s">
        <v>2026</v>
      </c>
      <c r="C1618" s="456" t="n">
        <v>45659</v>
      </c>
      <c r="D1618" s="456"/>
      <c r="E1618" s="57" t="n">
        <v>14476</v>
      </c>
      <c r="F1618" s="323" t="s">
        <v>175</v>
      </c>
      <c r="G1618" s="323" t="s">
        <v>17</v>
      </c>
      <c r="H1618" s="98" t="n">
        <v>165</v>
      </c>
      <c r="I1618" s="457" t="n">
        <v>37.5</v>
      </c>
      <c r="J1618" s="313" t="s">
        <v>1652</v>
      </c>
      <c r="K1618" s="458" t="n">
        <f aca="false">I1618*H1618</f>
        <v>6187.5</v>
      </c>
      <c r="L1618" s="411" t="n">
        <v>4603.5</v>
      </c>
      <c r="M1618" s="459" t="n">
        <f aca="false">L1618/K1618</f>
        <v>0.744</v>
      </c>
      <c r="N1618" s="460" t="n">
        <f aca="false">I1618*M1618</f>
        <v>27.9</v>
      </c>
      <c r="O1618" s="461" t="n">
        <v>165</v>
      </c>
      <c r="P1618" s="462" t="n">
        <f aca="false">H1618-O1618</f>
        <v>0</v>
      </c>
      <c r="Q1618" s="463" t="n">
        <f aca="false">O1618*I1618</f>
        <v>6187.5</v>
      </c>
      <c r="R1618" s="48" t="n">
        <f aca="false">K1618-Q1618</f>
        <v>0</v>
      </c>
      <c r="S1618" s="467"/>
      <c r="T1618" s="2" t="s">
        <v>1711</v>
      </c>
      <c r="V1618" s="464"/>
      <c r="W1618" s="464"/>
      <c r="X1618" s="464"/>
      <c r="Y1618" s="464"/>
      <c r="Z1618" s="464"/>
      <c r="AA1618" s="464"/>
      <c r="AB1618" s="464"/>
      <c r="AC1618" s="464"/>
      <c r="AD1618" s="464"/>
      <c r="AE1618" s="464"/>
      <c r="AF1618" s="464"/>
      <c r="AG1618" s="464"/>
      <c r="AH1618" s="465"/>
      <c r="AI1618" s="464"/>
    </row>
    <row r="1619" customFormat="false" ht="15" hidden="false" customHeight="true" outlineLevel="0" collapsed="false">
      <c r="A1619" s="455" t="s">
        <v>1935</v>
      </c>
      <c r="C1619" s="456" t="n">
        <v>45659</v>
      </c>
      <c r="D1619" s="456"/>
      <c r="E1619" s="57" t="n">
        <v>14477</v>
      </c>
      <c r="F1619" s="323" t="s">
        <v>175</v>
      </c>
      <c r="G1619" s="323" t="s">
        <v>20</v>
      </c>
      <c r="H1619" s="98" t="n">
        <v>495</v>
      </c>
      <c r="I1619" s="457" t="n">
        <v>38.29</v>
      </c>
      <c r="J1619" s="313" t="s">
        <v>1652</v>
      </c>
      <c r="K1619" s="458" t="n">
        <f aca="false">I1619*H1619</f>
        <v>18953.55</v>
      </c>
      <c r="L1619" s="411" t="n">
        <v>10939.5</v>
      </c>
      <c r="M1619" s="459" t="n">
        <f aca="false">L1619/K1619</f>
        <v>0.577174196918255</v>
      </c>
      <c r="N1619" s="460" t="n">
        <f aca="false">I1619*M1619</f>
        <v>22.1</v>
      </c>
      <c r="O1619" s="461" t="n">
        <v>495</v>
      </c>
      <c r="P1619" s="462" t="n">
        <f aca="false">H1619-O1619</f>
        <v>0</v>
      </c>
      <c r="Q1619" s="463" t="n">
        <f aca="false">O1619*I1619</f>
        <v>18953.55</v>
      </c>
      <c r="R1619" s="48" t="n">
        <f aca="false">K1619-Q1619</f>
        <v>0</v>
      </c>
      <c r="S1619" s="467"/>
      <c r="T1619" s="2" t="s">
        <v>1711</v>
      </c>
      <c r="V1619" s="464"/>
      <c r="W1619" s="464"/>
      <c r="X1619" s="464"/>
      <c r="Y1619" s="464"/>
      <c r="Z1619" s="464"/>
      <c r="AA1619" s="464"/>
      <c r="AB1619" s="464"/>
      <c r="AC1619" s="464"/>
      <c r="AD1619" s="464"/>
      <c r="AE1619" s="464"/>
      <c r="AF1619" s="464"/>
      <c r="AG1619" s="464"/>
      <c r="AH1619" s="465"/>
      <c r="AI1619" s="464"/>
    </row>
    <row r="1620" customFormat="false" ht="15" hidden="false" customHeight="true" outlineLevel="0" collapsed="false">
      <c r="A1620" s="455" t="s">
        <v>1753</v>
      </c>
      <c r="C1620" s="456" t="n">
        <v>45659</v>
      </c>
      <c r="D1620" s="456"/>
      <c r="E1620" s="323" t="n">
        <v>14478</v>
      </c>
      <c r="F1620" s="323" t="s">
        <v>175</v>
      </c>
      <c r="G1620" s="323" t="s">
        <v>10</v>
      </c>
      <c r="H1620" s="98" t="n">
        <v>7995</v>
      </c>
      <c r="I1620" s="457" t="n">
        <v>25.71</v>
      </c>
      <c r="J1620" s="313" t="s">
        <v>1651</v>
      </c>
      <c r="K1620" s="458" t="n">
        <f aca="false">I1620*H1620</f>
        <v>205551.45</v>
      </c>
      <c r="L1620" s="411" t="n">
        <v>75952.5</v>
      </c>
      <c r="M1620" s="459" t="n">
        <f aca="false">L1620/K1620</f>
        <v>0.369506028782575</v>
      </c>
      <c r="N1620" s="460" t="n">
        <f aca="false">I1620*M1620</f>
        <v>9.5</v>
      </c>
      <c r="O1620" s="461" t="n">
        <v>7995</v>
      </c>
      <c r="P1620" s="462" t="n">
        <f aca="false">H1620-O1620</f>
        <v>0</v>
      </c>
      <c r="Q1620" s="463" t="n">
        <f aca="false">O1620*I1620</f>
        <v>205551.45</v>
      </c>
      <c r="R1620" s="48" t="n">
        <f aca="false">K1620-Q1620</f>
        <v>0</v>
      </c>
      <c r="S1620" s="467"/>
      <c r="T1620" s="2" t="s">
        <v>1711</v>
      </c>
      <c r="V1620" s="464"/>
      <c r="W1620" s="464"/>
      <c r="X1620" s="464"/>
      <c r="Y1620" s="464"/>
      <c r="Z1620" s="464"/>
      <c r="AA1620" s="464"/>
      <c r="AB1620" s="464"/>
      <c r="AC1620" s="464"/>
      <c r="AD1620" s="464"/>
      <c r="AE1620" s="464"/>
      <c r="AF1620" s="464"/>
      <c r="AG1620" s="464"/>
      <c r="AH1620" s="465"/>
      <c r="AI1620" s="464"/>
    </row>
    <row r="1621" customFormat="false" ht="15" hidden="false" customHeight="true" outlineLevel="0" collapsed="false">
      <c r="A1621" s="455" t="s">
        <v>63</v>
      </c>
      <c r="C1621" s="456" t="n">
        <v>45659</v>
      </c>
      <c r="D1621" s="456"/>
      <c r="E1621" s="323" t="n">
        <v>14479</v>
      </c>
      <c r="F1621" s="323" t="s">
        <v>175</v>
      </c>
      <c r="G1621" s="323" t="s">
        <v>19</v>
      </c>
      <c r="H1621" s="98" t="n">
        <v>300</v>
      </c>
      <c r="I1621" s="457" t="n">
        <v>22.5</v>
      </c>
      <c r="J1621" s="313" t="s">
        <v>1651</v>
      </c>
      <c r="K1621" s="458" t="n">
        <f aca="false">I1621*H1621</f>
        <v>6750</v>
      </c>
      <c r="L1621" s="411" t="n">
        <v>7200</v>
      </c>
      <c r="M1621" s="459" t="n">
        <f aca="false">L1621/K1621</f>
        <v>1.06666666666667</v>
      </c>
      <c r="N1621" s="460" t="n">
        <f aca="false">I1621*M1621</f>
        <v>24</v>
      </c>
      <c r="O1621" s="461" t="n">
        <v>300</v>
      </c>
      <c r="P1621" s="462" t="n">
        <f aca="false">H1621-O1621</f>
        <v>0</v>
      </c>
      <c r="Q1621" s="463" t="n">
        <f aca="false">O1621*I1621</f>
        <v>6750</v>
      </c>
      <c r="R1621" s="48" t="n">
        <f aca="false">K1621-Q1621</f>
        <v>0</v>
      </c>
      <c r="S1621" s="467"/>
      <c r="T1621" s="2" t="s">
        <v>1711</v>
      </c>
      <c r="V1621" s="464"/>
      <c r="W1621" s="464"/>
      <c r="X1621" s="464"/>
      <c r="Y1621" s="464"/>
      <c r="Z1621" s="464"/>
      <c r="AA1621" s="464"/>
      <c r="AB1621" s="464"/>
      <c r="AC1621" s="464"/>
      <c r="AD1621" s="464"/>
      <c r="AE1621" s="464"/>
      <c r="AF1621" s="464"/>
      <c r="AG1621" s="464"/>
      <c r="AH1621" s="465"/>
      <c r="AI1621" s="464"/>
    </row>
    <row r="1622" customFormat="false" ht="15" hidden="false" customHeight="true" outlineLevel="0" collapsed="false">
      <c r="A1622" s="455" t="s">
        <v>2027</v>
      </c>
      <c r="C1622" s="456" t="n">
        <v>45659</v>
      </c>
      <c r="D1622" s="456"/>
      <c r="E1622" s="323" t="n">
        <v>14480</v>
      </c>
      <c r="F1622" s="323" t="s">
        <v>175</v>
      </c>
      <c r="G1622" s="323" t="s">
        <v>42</v>
      </c>
      <c r="H1622" s="98" t="n">
        <v>2100</v>
      </c>
      <c r="I1622" s="457" t="n">
        <v>30</v>
      </c>
      <c r="J1622" s="313" t="s">
        <v>1651</v>
      </c>
      <c r="K1622" s="458" t="n">
        <f aca="false">I1622*H1622</f>
        <v>63000</v>
      </c>
      <c r="L1622" s="411" t="n">
        <v>34650</v>
      </c>
      <c r="M1622" s="459" t="n">
        <f aca="false">L1622/K1622</f>
        <v>0.55</v>
      </c>
      <c r="N1622" s="460" t="n">
        <f aca="false">I1622*M1622</f>
        <v>16.5</v>
      </c>
      <c r="O1622" s="461" t="n">
        <v>2100</v>
      </c>
      <c r="P1622" s="462" t="n">
        <f aca="false">H1622-O1622</f>
        <v>0</v>
      </c>
      <c r="Q1622" s="463" t="n">
        <f aca="false">O1622*I1622</f>
        <v>63000</v>
      </c>
      <c r="R1622" s="48" t="n">
        <f aca="false">K1622-Q1622</f>
        <v>0</v>
      </c>
      <c r="S1622" s="467"/>
      <c r="T1622" s="2" t="s">
        <v>1711</v>
      </c>
      <c r="V1622" s="464"/>
      <c r="W1622" s="464"/>
      <c r="X1622" s="464"/>
      <c r="Y1622" s="464"/>
      <c r="Z1622" s="464"/>
      <c r="AA1622" s="464"/>
      <c r="AB1622" s="464"/>
      <c r="AC1622" s="464"/>
      <c r="AD1622" s="464"/>
      <c r="AE1622" s="464"/>
      <c r="AF1622" s="464"/>
      <c r="AG1622" s="464"/>
      <c r="AH1622" s="465"/>
      <c r="AI1622" s="464"/>
    </row>
    <row r="1623" customFormat="false" ht="15" hidden="false" customHeight="true" outlineLevel="0" collapsed="false">
      <c r="A1623" s="455" t="s">
        <v>2027</v>
      </c>
      <c r="C1623" s="456" t="n">
        <v>45659</v>
      </c>
      <c r="D1623" s="456"/>
      <c r="E1623" s="323" t="n">
        <v>14480</v>
      </c>
      <c r="F1623" s="323" t="s">
        <v>175</v>
      </c>
      <c r="G1623" s="323" t="s">
        <v>12</v>
      </c>
      <c r="H1623" s="98" t="n">
        <v>585</v>
      </c>
      <c r="I1623" s="457" t="n">
        <v>18</v>
      </c>
      <c r="J1623" s="313" t="s">
        <v>1651</v>
      </c>
      <c r="K1623" s="458" t="n">
        <f aca="false">I1623*H1623</f>
        <v>10530</v>
      </c>
      <c r="L1623" s="411" t="n">
        <v>32175</v>
      </c>
      <c r="M1623" s="459" t="n">
        <f aca="false">L1623/K1623</f>
        <v>3.05555555555556</v>
      </c>
      <c r="N1623" s="460" t="n">
        <f aca="false">I1623*M1623</f>
        <v>55</v>
      </c>
      <c r="O1623" s="461" t="n">
        <v>585</v>
      </c>
      <c r="P1623" s="462" t="n">
        <f aca="false">H1623-O1623</f>
        <v>0</v>
      </c>
      <c r="Q1623" s="463" t="n">
        <f aca="false">O1623*I1623</f>
        <v>10530</v>
      </c>
      <c r="R1623" s="48" t="n">
        <f aca="false">K1623-Q1623</f>
        <v>0</v>
      </c>
      <c r="S1623" s="467"/>
      <c r="T1623" s="2" t="s">
        <v>1711</v>
      </c>
      <c r="V1623" s="464"/>
      <c r="W1623" s="464"/>
      <c r="X1623" s="464"/>
      <c r="Y1623" s="464"/>
      <c r="Z1623" s="464"/>
      <c r="AA1623" s="464"/>
      <c r="AB1623" s="464"/>
      <c r="AC1623" s="464"/>
      <c r="AD1623" s="464"/>
      <c r="AE1623" s="464"/>
      <c r="AF1623" s="464"/>
      <c r="AG1623" s="464"/>
      <c r="AH1623" s="465"/>
      <c r="AI1623" s="464"/>
    </row>
    <row r="1624" customFormat="false" ht="15" hidden="false" customHeight="true" outlineLevel="0" collapsed="false">
      <c r="A1624" s="455" t="s">
        <v>2028</v>
      </c>
      <c r="C1624" s="456" t="n">
        <v>45660</v>
      </c>
      <c r="D1624" s="456"/>
      <c r="E1624" s="323" t="n">
        <v>14481</v>
      </c>
      <c r="F1624" s="323" t="s">
        <v>175</v>
      </c>
      <c r="G1624" s="323" t="s">
        <v>7</v>
      </c>
      <c r="H1624" s="98" t="n">
        <v>255</v>
      </c>
      <c r="I1624" s="457" t="n">
        <v>25.71</v>
      </c>
      <c r="J1624" s="313" t="s">
        <v>1651</v>
      </c>
      <c r="K1624" s="458" t="n">
        <f aca="false">I1624*H1624</f>
        <v>6556.05</v>
      </c>
      <c r="L1624" s="411" t="n">
        <v>5355</v>
      </c>
      <c r="M1624" s="459" t="n">
        <f aca="false">L1624/K1624</f>
        <v>0.816802800466745</v>
      </c>
      <c r="N1624" s="460" t="n">
        <f aca="false">I1624*M1624</f>
        <v>21</v>
      </c>
      <c r="O1624" s="461" t="n">
        <v>255</v>
      </c>
      <c r="P1624" s="462" t="n">
        <f aca="false">H1624-O1624</f>
        <v>0</v>
      </c>
      <c r="Q1624" s="463" t="n">
        <f aca="false">O1624*I1624</f>
        <v>6556.05</v>
      </c>
      <c r="R1624" s="48" t="n">
        <f aca="false">K1624-Q1624</f>
        <v>0</v>
      </c>
      <c r="S1624" s="467"/>
      <c r="T1624" s="2" t="s">
        <v>1711</v>
      </c>
      <c r="V1624" s="464"/>
      <c r="W1624" s="464"/>
      <c r="X1624" s="464"/>
      <c r="Y1624" s="464"/>
      <c r="Z1624" s="464"/>
      <c r="AA1624" s="464"/>
      <c r="AB1624" s="464"/>
      <c r="AC1624" s="464"/>
      <c r="AD1624" s="464"/>
      <c r="AE1624" s="464"/>
      <c r="AF1624" s="464"/>
      <c r="AG1624" s="464"/>
      <c r="AH1624" s="465"/>
      <c r="AI1624" s="464"/>
    </row>
    <row r="1625" customFormat="false" ht="15" hidden="false" customHeight="true" outlineLevel="0" collapsed="false">
      <c r="A1625" s="455" t="s">
        <v>1798</v>
      </c>
      <c r="C1625" s="456" t="n">
        <v>45660</v>
      </c>
      <c r="D1625" s="456"/>
      <c r="E1625" s="323" t="n">
        <v>14482</v>
      </c>
      <c r="F1625" s="323" t="s">
        <v>175</v>
      </c>
      <c r="G1625" s="323" t="s">
        <v>5</v>
      </c>
      <c r="H1625" s="98" t="n">
        <v>9990</v>
      </c>
      <c r="I1625" s="457" t="n">
        <v>25.71</v>
      </c>
      <c r="J1625" s="313" t="s">
        <v>1651</v>
      </c>
      <c r="K1625" s="458" t="n">
        <f aca="false">I1625*H1625</f>
        <v>256842.9</v>
      </c>
      <c r="L1625" s="411" t="n">
        <v>106693.2</v>
      </c>
      <c r="M1625" s="459" t="n">
        <f aca="false">L1625/K1625</f>
        <v>0.415402567094516</v>
      </c>
      <c r="N1625" s="460" t="n">
        <f aca="false">I1625*M1625</f>
        <v>10.68</v>
      </c>
      <c r="O1625" s="461" t="n">
        <v>9990</v>
      </c>
      <c r="P1625" s="462" t="n">
        <f aca="false">H1625-O1625</f>
        <v>0</v>
      </c>
      <c r="Q1625" s="463" t="n">
        <f aca="false">O1625*I1625</f>
        <v>256842.9</v>
      </c>
      <c r="R1625" s="48" t="n">
        <f aca="false">K1625-Q1625</f>
        <v>0</v>
      </c>
      <c r="S1625" s="467"/>
      <c r="T1625" s="2" t="s">
        <v>1711</v>
      </c>
      <c r="V1625" s="464"/>
      <c r="W1625" s="464"/>
      <c r="X1625" s="464"/>
      <c r="Y1625" s="464"/>
      <c r="Z1625" s="464"/>
      <c r="AA1625" s="464"/>
      <c r="AB1625" s="464"/>
      <c r="AC1625" s="464"/>
      <c r="AD1625" s="464"/>
      <c r="AE1625" s="464"/>
      <c r="AF1625" s="464"/>
      <c r="AG1625" s="464"/>
      <c r="AH1625" s="465"/>
      <c r="AI1625" s="464"/>
    </row>
    <row r="1626" customFormat="false" ht="15" hidden="false" customHeight="true" outlineLevel="0" collapsed="false">
      <c r="A1626" s="455" t="s">
        <v>2029</v>
      </c>
      <c r="C1626" s="456" t="n">
        <v>45663</v>
      </c>
      <c r="D1626" s="456"/>
      <c r="E1626" s="323" t="n">
        <v>14483</v>
      </c>
      <c r="F1626" s="323" t="s">
        <v>175</v>
      </c>
      <c r="G1626" s="323" t="s">
        <v>6</v>
      </c>
      <c r="H1626" s="98" t="n">
        <v>165</v>
      </c>
      <c r="I1626" s="457" t="n">
        <v>45</v>
      </c>
      <c r="J1626" s="313" t="s">
        <v>1652</v>
      </c>
      <c r="K1626" s="458" t="n">
        <f aca="false">I1626*H1626</f>
        <v>7425</v>
      </c>
      <c r="L1626" s="411" t="n">
        <v>4895</v>
      </c>
      <c r="M1626" s="459" t="n">
        <f aca="false">L1626/K1626</f>
        <v>0.659259259259259</v>
      </c>
      <c r="N1626" s="460" t="n">
        <f aca="false">I1626*M1626</f>
        <v>29.6666666666667</v>
      </c>
      <c r="O1626" s="461" t="n">
        <v>165</v>
      </c>
      <c r="P1626" s="462" t="n">
        <f aca="false">H1626-O1626</f>
        <v>0</v>
      </c>
      <c r="Q1626" s="463" t="n">
        <f aca="false">O1626*I1626</f>
        <v>7425</v>
      </c>
      <c r="R1626" s="48" t="n">
        <f aca="false">K1626-Q1626</f>
        <v>0</v>
      </c>
      <c r="S1626" s="467"/>
      <c r="T1626" s="2" t="s">
        <v>1711</v>
      </c>
      <c r="V1626" s="464"/>
      <c r="W1626" s="464"/>
      <c r="X1626" s="464"/>
      <c r="Y1626" s="464"/>
      <c r="Z1626" s="464"/>
      <c r="AA1626" s="464"/>
      <c r="AB1626" s="464"/>
      <c r="AC1626" s="464"/>
      <c r="AD1626" s="464"/>
      <c r="AE1626" s="464"/>
      <c r="AF1626" s="464"/>
      <c r="AG1626" s="464"/>
      <c r="AH1626" s="465"/>
      <c r="AI1626" s="464"/>
    </row>
    <row r="1627" customFormat="false" ht="15" hidden="false" customHeight="true" outlineLevel="0" collapsed="false">
      <c r="A1627" s="455" t="s">
        <v>2029</v>
      </c>
      <c r="C1627" s="456" t="n">
        <v>45663</v>
      </c>
      <c r="D1627" s="456"/>
      <c r="E1627" s="323" t="n">
        <v>14483</v>
      </c>
      <c r="F1627" s="323" t="s">
        <v>175</v>
      </c>
      <c r="G1627" s="323" t="s">
        <v>10</v>
      </c>
      <c r="H1627" s="98" t="n">
        <v>645</v>
      </c>
      <c r="I1627" s="457" t="n">
        <v>25.71</v>
      </c>
      <c r="J1627" s="313" t="s">
        <v>1651</v>
      </c>
      <c r="K1627" s="458" t="n">
        <f aca="false">I1627*H1627</f>
        <v>16582.95</v>
      </c>
      <c r="L1627" s="411" t="n">
        <v>7310</v>
      </c>
      <c r="M1627" s="459" t="n">
        <f aca="false">L1627/K1627</f>
        <v>0.440814209775703</v>
      </c>
      <c r="N1627" s="460" t="n">
        <f aca="false">I1627*M1627</f>
        <v>11.3333333333333</v>
      </c>
      <c r="O1627" s="461" t="n">
        <v>645</v>
      </c>
      <c r="P1627" s="462" t="n">
        <f aca="false">H1627-O1627</f>
        <v>0</v>
      </c>
      <c r="Q1627" s="463" t="n">
        <f aca="false">O1627*I1627</f>
        <v>16582.95</v>
      </c>
      <c r="R1627" s="48" t="n">
        <f aca="false">K1627-Q1627</f>
        <v>0</v>
      </c>
      <c r="S1627" s="467"/>
      <c r="T1627" s="2" t="s">
        <v>1711</v>
      </c>
      <c r="V1627" s="464"/>
      <c r="W1627" s="464"/>
      <c r="X1627" s="464"/>
      <c r="Y1627" s="464"/>
      <c r="Z1627" s="464"/>
      <c r="AA1627" s="464"/>
      <c r="AB1627" s="464"/>
      <c r="AC1627" s="464"/>
      <c r="AD1627" s="464"/>
      <c r="AE1627" s="464"/>
      <c r="AF1627" s="464"/>
      <c r="AG1627" s="464"/>
      <c r="AH1627" s="465"/>
      <c r="AI1627" s="464"/>
    </row>
    <row r="1628" customFormat="false" ht="15" hidden="false" customHeight="true" outlineLevel="0" collapsed="false">
      <c r="A1628" s="455" t="s">
        <v>2030</v>
      </c>
      <c r="C1628" s="456" t="n">
        <v>45663</v>
      </c>
      <c r="D1628" s="456"/>
      <c r="E1628" s="323" t="n">
        <v>14484</v>
      </c>
      <c r="F1628" s="323" t="s">
        <v>175</v>
      </c>
      <c r="G1628" s="323" t="s">
        <v>10</v>
      </c>
      <c r="H1628" s="98" t="n">
        <v>10005</v>
      </c>
      <c r="I1628" s="457" t="n">
        <v>38.3</v>
      </c>
      <c r="J1628" s="313" t="s">
        <v>1652</v>
      </c>
      <c r="K1628" s="458" t="n">
        <f aca="false">I1628*H1628</f>
        <v>383191.5</v>
      </c>
      <c r="L1628" s="411" t="n">
        <v>90045</v>
      </c>
      <c r="M1628" s="459" t="n">
        <f aca="false">L1628/K1628</f>
        <v>0.234986945169713</v>
      </c>
      <c r="N1628" s="460" t="n">
        <f aca="false">I1628*M1628</f>
        <v>9</v>
      </c>
      <c r="O1628" s="461" t="n">
        <v>10005</v>
      </c>
      <c r="P1628" s="462" t="n">
        <f aca="false">H1628-O1628</f>
        <v>0</v>
      </c>
      <c r="Q1628" s="463" t="n">
        <f aca="false">O1628*I1628</f>
        <v>383191.5</v>
      </c>
      <c r="R1628" s="48" t="n">
        <f aca="false">K1628-Q1628</f>
        <v>0</v>
      </c>
      <c r="S1628" s="467"/>
      <c r="T1628" s="2" t="s">
        <v>1711</v>
      </c>
      <c r="V1628" s="464"/>
      <c r="W1628" s="464"/>
      <c r="X1628" s="464"/>
      <c r="Y1628" s="464"/>
      <c r="Z1628" s="464"/>
      <c r="AA1628" s="464"/>
      <c r="AB1628" s="464"/>
      <c r="AC1628" s="464"/>
      <c r="AD1628" s="464"/>
      <c r="AE1628" s="464"/>
      <c r="AF1628" s="464"/>
      <c r="AG1628" s="464"/>
      <c r="AH1628" s="465"/>
      <c r="AI1628" s="464"/>
    </row>
    <row r="1629" customFormat="false" ht="15" hidden="false" customHeight="true" outlineLevel="0" collapsed="false">
      <c r="A1629" s="455" t="s">
        <v>58</v>
      </c>
      <c r="C1629" s="456" t="n">
        <v>45663</v>
      </c>
      <c r="D1629" s="456"/>
      <c r="E1629" s="323" t="n">
        <v>14485</v>
      </c>
      <c r="F1629" s="323" t="s">
        <v>175</v>
      </c>
      <c r="G1629" s="323" t="s">
        <v>5</v>
      </c>
      <c r="H1629" s="98" t="n">
        <v>750</v>
      </c>
      <c r="I1629" s="457" t="n">
        <v>25.71</v>
      </c>
      <c r="J1629" s="313" t="s">
        <v>1651</v>
      </c>
      <c r="K1629" s="458" t="n">
        <f aca="false">I1629*H1629</f>
        <v>19282.5</v>
      </c>
      <c r="L1629" s="411" t="n">
        <v>12750</v>
      </c>
      <c r="M1629" s="459" t="n">
        <f aca="false">L1629/K1629</f>
        <v>0.661221314663555</v>
      </c>
      <c r="N1629" s="460" t="n">
        <f aca="false">I1629*M1629</f>
        <v>17</v>
      </c>
      <c r="O1629" s="461" t="n">
        <v>750</v>
      </c>
      <c r="P1629" s="462" t="n">
        <f aca="false">H1629-O1629</f>
        <v>0</v>
      </c>
      <c r="Q1629" s="463" t="n">
        <f aca="false">O1629*I1629</f>
        <v>19282.5</v>
      </c>
      <c r="R1629" s="48" t="n">
        <f aca="false">K1629-Q1629</f>
        <v>0</v>
      </c>
      <c r="S1629" s="467"/>
      <c r="T1629" s="2" t="s">
        <v>1711</v>
      </c>
      <c r="V1629" s="464"/>
      <c r="W1629" s="464"/>
      <c r="X1629" s="464"/>
      <c r="Y1629" s="464"/>
      <c r="Z1629" s="464"/>
      <c r="AA1629" s="464"/>
      <c r="AB1629" s="464"/>
      <c r="AC1629" s="464"/>
      <c r="AD1629" s="464"/>
      <c r="AE1629" s="464"/>
      <c r="AF1629" s="464"/>
      <c r="AG1629" s="464"/>
      <c r="AH1629" s="465"/>
      <c r="AI1629" s="464"/>
    </row>
    <row r="1630" customFormat="false" ht="15" hidden="false" customHeight="true" outlineLevel="0" collapsed="false">
      <c r="A1630" s="455" t="s">
        <v>58</v>
      </c>
      <c r="C1630" s="456" t="n">
        <v>45663</v>
      </c>
      <c r="D1630" s="456"/>
      <c r="E1630" s="323" t="n">
        <v>14485</v>
      </c>
      <c r="F1630" s="323" t="s">
        <v>175</v>
      </c>
      <c r="G1630" s="323" t="s">
        <v>6</v>
      </c>
      <c r="H1630" s="98" t="n">
        <v>525</v>
      </c>
      <c r="I1630" s="457" t="n">
        <v>30</v>
      </c>
      <c r="J1630" s="313" t="s">
        <v>1651</v>
      </c>
      <c r="K1630" s="458" t="n">
        <f aca="false">I1630*H1630</f>
        <v>15750</v>
      </c>
      <c r="L1630" s="411" t="n">
        <v>9870</v>
      </c>
      <c r="M1630" s="459" t="n">
        <f aca="false">L1630/K1630</f>
        <v>0.626666666666667</v>
      </c>
      <c r="N1630" s="460" t="n">
        <f aca="false">I1630*M1630</f>
        <v>18.8</v>
      </c>
      <c r="O1630" s="461" t="n">
        <v>525</v>
      </c>
      <c r="P1630" s="462" t="n">
        <f aca="false">H1630-O1630</f>
        <v>0</v>
      </c>
      <c r="Q1630" s="463" t="n">
        <f aca="false">O1630*I1630</f>
        <v>15750</v>
      </c>
      <c r="R1630" s="48" t="n">
        <f aca="false">K1630-Q1630</f>
        <v>0</v>
      </c>
      <c r="S1630" s="467"/>
      <c r="T1630" s="2" t="s">
        <v>1711</v>
      </c>
      <c r="V1630" s="464"/>
      <c r="W1630" s="464"/>
      <c r="X1630" s="464"/>
      <c r="Y1630" s="464"/>
      <c r="Z1630" s="464"/>
      <c r="AA1630" s="464"/>
      <c r="AB1630" s="464"/>
      <c r="AC1630" s="464"/>
      <c r="AD1630" s="464"/>
      <c r="AE1630" s="464"/>
      <c r="AF1630" s="464"/>
      <c r="AG1630" s="464"/>
      <c r="AH1630" s="465"/>
      <c r="AI1630" s="464"/>
    </row>
    <row r="1631" customFormat="false" ht="15" hidden="false" customHeight="true" outlineLevel="0" collapsed="false">
      <c r="A1631" s="455" t="s">
        <v>58</v>
      </c>
      <c r="C1631" s="456" t="n">
        <v>45663</v>
      </c>
      <c r="D1631" s="456"/>
      <c r="E1631" s="323" t="n">
        <v>14485</v>
      </c>
      <c r="F1631" s="323" t="s">
        <v>175</v>
      </c>
      <c r="G1631" s="323" t="s">
        <v>10</v>
      </c>
      <c r="H1631" s="98" t="n">
        <v>750</v>
      </c>
      <c r="I1631" s="457" t="n">
        <v>25.71</v>
      </c>
      <c r="J1631" s="313" t="s">
        <v>1651</v>
      </c>
      <c r="K1631" s="458" t="n">
        <f aca="false">I1631*H1631</f>
        <v>19282.5</v>
      </c>
      <c r="L1631" s="411" t="n">
        <v>7200</v>
      </c>
      <c r="M1631" s="459" t="n">
        <f aca="false">L1631/K1631</f>
        <v>0.373395565927655</v>
      </c>
      <c r="N1631" s="460" t="n">
        <f aca="false">I1631*M1631</f>
        <v>9.6</v>
      </c>
      <c r="O1631" s="461" t="n">
        <v>750</v>
      </c>
      <c r="P1631" s="462" t="n">
        <f aca="false">H1631-O1631</f>
        <v>0</v>
      </c>
      <c r="Q1631" s="463" t="n">
        <f aca="false">O1631*I1631</f>
        <v>19282.5</v>
      </c>
      <c r="R1631" s="48" t="n">
        <f aca="false">K1631-Q1631</f>
        <v>0</v>
      </c>
      <c r="S1631" s="467"/>
      <c r="T1631" s="2" t="s">
        <v>1711</v>
      </c>
      <c r="V1631" s="464"/>
      <c r="W1631" s="464"/>
      <c r="X1631" s="464"/>
      <c r="Y1631" s="464"/>
      <c r="Z1631" s="464"/>
      <c r="AA1631" s="464"/>
      <c r="AB1631" s="464"/>
      <c r="AC1631" s="464"/>
      <c r="AD1631" s="464"/>
      <c r="AE1631" s="464"/>
      <c r="AF1631" s="464"/>
      <c r="AG1631" s="464"/>
      <c r="AH1631" s="465"/>
      <c r="AI1631" s="464"/>
    </row>
    <row r="1632" customFormat="false" ht="15" hidden="false" customHeight="true" outlineLevel="0" collapsed="false">
      <c r="A1632" s="455" t="s">
        <v>1753</v>
      </c>
      <c r="C1632" s="456" t="n">
        <v>45663</v>
      </c>
      <c r="D1632" s="456"/>
      <c r="E1632" s="323" t="n">
        <v>14487</v>
      </c>
      <c r="F1632" s="323" t="s">
        <v>175</v>
      </c>
      <c r="G1632" s="323" t="s">
        <v>15</v>
      </c>
      <c r="H1632" s="98" t="n">
        <v>5220</v>
      </c>
      <c r="I1632" s="457" t="n">
        <v>22.5</v>
      </c>
      <c r="J1632" s="313" t="s">
        <v>1651</v>
      </c>
      <c r="K1632" s="458" t="n">
        <f aca="false">I1632*H1632</f>
        <v>117450</v>
      </c>
      <c r="L1632" s="411" t="n">
        <v>67860</v>
      </c>
      <c r="M1632" s="459" t="n">
        <f aca="false">L1632/K1632</f>
        <v>0.577777777777778</v>
      </c>
      <c r="N1632" s="460" t="n">
        <f aca="false">I1632*M1632</f>
        <v>13</v>
      </c>
      <c r="O1632" s="461" t="n">
        <v>5220</v>
      </c>
      <c r="P1632" s="462" t="n">
        <f aca="false">H1632-O1632</f>
        <v>0</v>
      </c>
      <c r="Q1632" s="463" t="n">
        <f aca="false">O1632*I1632</f>
        <v>117450</v>
      </c>
      <c r="R1632" s="48" t="n">
        <f aca="false">K1632-Q1632</f>
        <v>0</v>
      </c>
      <c r="S1632" s="467"/>
      <c r="T1632" s="2" t="s">
        <v>1711</v>
      </c>
      <c r="V1632" s="464"/>
      <c r="W1632" s="464"/>
      <c r="X1632" s="464"/>
      <c r="Y1632" s="464"/>
      <c r="Z1632" s="464"/>
      <c r="AA1632" s="464"/>
      <c r="AB1632" s="464"/>
      <c r="AC1632" s="464"/>
      <c r="AD1632" s="464"/>
      <c r="AE1632" s="464"/>
      <c r="AF1632" s="464"/>
      <c r="AG1632" s="464"/>
      <c r="AH1632" s="465"/>
      <c r="AI1632" s="464"/>
    </row>
    <row r="1633" customFormat="false" ht="15" hidden="false" customHeight="true" outlineLevel="0" collapsed="false">
      <c r="A1633" s="455" t="s">
        <v>58</v>
      </c>
      <c r="C1633" s="456" t="n">
        <v>45664</v>
      </c>
      <c r="D1633" s="456"/>
      <c r="E1633" s="323" t="n">
        <v>14488</v>
      </c>
      <c r="F1633" s="323" t="s">
        <v>175</v>
      </c>
      <c r="G1633" s="323" t="s">
        <v>6</v>
      </c>
      <c r="H1633" s="98" t="n">
        <v>600</v>
      </c>
      <c r="I1633" s="457" t="n">
        <v>30</v>
      </c>
      <c r="J1633" s="313" t="s">
        <v>1651</v>
      </c>
      <c r="K1633" s="458" t="n">
        <f aca="false">I1633*H1633</f>
        <v>18000</v>
      </c>
      <c r="L1633" s="411" t="n">
        <v>11280</v>
      </c>
      <c r="M1633" s="459" t="n">
        <f aca="false">L1633/K1633</f>
        <v>0.626666666666667</v>
      </c>
      <c r="N1633" s="460" t="n">
        <f aca="false">I1633*M1633</f>
        <v>18.8</v>
      </c>
      <c r="O1633" s="461" t="n">
        <v>600</v>
      </c>
      <c r="P1633" s="462" t="n">
        <f aca="false">H1633-O1633</f>
        <v>0</v>
      </c>
      <c r="Q1633" s="463" t="n">
        <f aca="false">O1633*I1633</f>
        <v>18000</v>
      </c>
      <c r="R1633" s="48" t="n">
        <f aca="false">K1633-Q1633</f>
        <v>0</v>
      </c>
      <c r="S1633" s="467"/>
      <c r="T1633" s="2" t="s">
        <v>1711</v>
      </c>
      <c r="V1633" s="464"/>
      <c r="W1633" s="464"/>
      <c r="X1633" s="464"/>
      <c r="Y1633" s="464"/>
      <c r="Z1633" s="464"/>
      <c r="AA1633" s="464"/>
      <c r="AB1633" s="464"/>
      <c r="AC1633" s="464"/>
      <c r="AD1633" s="464"/>
      <c r="AE1633" s="464"/>
      <c r="AF1633" s="464"/>
      <c r="AG1633" s="464"/>
      <c r="AH1633" s="465"/>
      <c r="AI1633" s="464"/>
    </row>
    <row r="1634" customFormat="false" ht="15" hidden="false" customHeight="true" outlineLevel="0" collapsed="false">
      <c r="A1634" s="455" t="s">
        <v>58</v>
      </c>
      <c r="C1634" s="456" t="n">
        <v>45664</v>
      </c>
      <c r="D1634" s="456"/>
      <c r="E1634" s="323" t="n">
        <v>14488</v>
      </c>
      <c r="F1634" s="323" t="s">
        <v>175</v>
      </c>
      <c r="G1634" s="323" t="s">
        <v>21</v>
      </c>
      <c r="H1634" s="98" t="n">
        <v>200</v>
      </c>
      <c r="I1634" s="457" t="n">
        <v>1</v>
      </c>
      <c r="J1634" s="313" t="s">
        <v>1653</v>
      </c>
      <c r="K1634" s="458" t="n">
        <f aca="false">I1634*H1634</f>
        <v>200</v>
      </c>
      <c r="L1634" s="411" t="n">
        <v>1104</v>
      </c>
      <c r="M1634" s="459" t="n">
        <f aca="false">L1634/K1634</f>
        <v>5.52</v>
      </c>
      <c r="N1634" s="460" t="n">
        <f aca="false">I1634*M1634</f>
        <v>5.52</v>
      </c>
      <c r="O1634" s="461" t="n">
        <v>200</v>
      </c>
      <c r="P1634" s="462" t="n">
        <f aca="false">H1634-O1634</f>
        <v>0</v>
      </c>
      <c r="Q1634" s="463" t="n">
        <f aca="false">O1634*I1634</f>
        <v>200</v>
      </c>
      <c r="R1634" s="48" t="n">
        <f aca="false">K1634-Q1634</f>
        <v>0</v>
      </c>
      <c r="S1634" s="467"/>
      <c r="T1634" s="2" t="s">
        <v>1711</v>
      </c>
      <c r="V1634" s="464"/>
      <c r="W1634" s="464"/>
      <c r="X1634" s="464"/>
      <c r="Y1634" s="464"/>
      <c r="Z1634" s="464"/>
      <c r="AA1634" s="464"/>
      <c r="AB1634" s="464"/>
      <c r="AC1634" s="464"/>
      <c r="AD1634" s="464"/>
      <c r="AE1634" s="464"/>
      <c r="AF1634" s="464"/>
      <c r="AG1634" s="464"/>
      <c r="AH1634" s="465"/>
      <c r="AI1634" s="464"/>
    </row>
    <row r="1635" customFormat="false" ht="15" hidden="false" customHeight="true" outlineLevel="0" collapsed="false">
      <c r="A1635" s="455" t="s">
        <v>58</v>
      </c>
      <c r="C1635" s="456" t="n">
        <v>45664</v>
      </c>
      <c r="D1635" s="456"/>
      <c r="E1635" s="323" t="n">
        <v>14489</v>
      </c>
      <c r="F1635" s="323" t="s">
        <v>175</v>
      </c>
      <c r="G1635" s="323" t="s">
        <v>12</v>
      </c>
      <c r="H1635" s="98" t="n">
        <v>300</v>
      </c>
      <c r="I1635" s="457" t="n">
        <v>18</v>
      </c>
      <c r="J1635" s="313" t="s">
        <v>1651</v>
      </c>
      <c r="K1635" s="458" t="n">
        <f aca="false">I1635*H1635</f>
        <v>5400</v>
      </c>
      <c r="L1635" s="411" t="n">
        <v>18525</v>
      </c>
      <c r="M1635" s="459" t="n">
        <f aca="false">L1635/K1635</f>
        <v>3.43055555555556</v>
      </c>
      <c r="N1635" s="460" t="n">
        <f aca="false">I1635*M1635</f>
        <v>61.75</v>
      </c>
      <c r="O1635" s="461" t="n">
        <v>300</v>
      </c>
      <c r="P1635" s="462" t="n">
        <f aca="false">H1635-O1635</f>
        <v>0</v>
      </c>
      <c r="Q1635" s="463" t="n">
        <f aca="false">O1635*I1635</f>
        <v>5400</v>
      </c>
      <c r="R1635" s="48" t="n">
        <f aca="false">K1635-Q1635</f>
        <v>0</v>
      </c>
      <c r="S1635" s="467"/>
      <c r="T1635" s="2" t="s">
        <v>1711</v>
      </c>
      <c r="V1635" s="464"/>
      <c r="W1635" s="464"/>
      <c r="X1635" s="464"/>
      <c r="Y1635" s="464"/>
      <c r="Z1635" s="464"/>
      <c r="AA1635" s="464"/>
      <c r="AB1635" s="464"/>
      <c r="AC1635" s="464"/>
      <c r="AD1635" s="464"/>
      <c r="AE1635" s="464"/>
      <c r="AF1635" s="464"/>
      <c r="AG1635" s="464"/>
      <c r="AH1635" s="465"/>
      <c r="AI1635" s="464"/>
    </row>
    <row r="1636" customFormat="false" ht="15" hidden="false" customHeight="true" outlineLevel="0" collapsed="false">
      <c r="A1636" s="455" t="s">
        <v>1753</v>
      </c>
      <c r="C1636" s="456" t="n">
        <v>45664</v>
      </c>
      <c r="D1636" s="456"/>
      <c r="E1636" s="323" t="n">
        <v>14490</v>
      </c>
      <c r="F1636" s="323" t="s">
        <v>175</v>
      </c>
      <c r="G1636" s="323" t="s">
        <v>19</v>
      </c>
      <c r="H1636" s="98" t="n">
        <v>600</v>
      </c>
      <c r="I1636" s="457" t="n">
        <v>22.5</v>
      </c>
      <c r="J1636" s="313" t="s">
        <v>1651</v>
      </c>
      <c r="K1636" s="458" t="n">
        <f aca="false">I1636*H1636</f>
        <v>13500</v>
      </c>
      <c r="L1636" s="411" t="n">
        <v>11520</v>
      </c>
      <c r="M1636" s="459" t="n">
        <f aca="false">L1636/K1636</f>
        <v>0.853333333333333</v>
      </c>
      <c r="N1636" s="460" t="n">
        <f aca="false">I1636*M1636</f>
        <v>19.2</v>
      </c>
      <c r="O1636" s="461" t="n">
        <v>600</v>
      </c>
      <c r="P1636" s="462" t="n">
        <f aca="false">H1636-O1636</f>
        <v>0</v>
      </c>
      <c r="Q1636" s="463" t="n">
        <f aca="false">O1636*I1636</f>
        <v>13500</v>
      </c>
      <c r="R1636" s="48" t="n">
        <f aca="false">K1636-Q1636</f>
        <v>0</v>
      </c>
      <c r="S1636" s="467"/>
      <c r="T1636" s="2" t="s">
        <v>1711</v>
      </c>
      <c r="V1636" s="464"/>
      <c r="W1636" s="464"/>
      <c r="X1636" s="464"/>
      <c r="Y1636" s="464"/>
      <c r="Z1636" s="464"/>
      <c r="AA1636" s="464"/>
      <c r="AB1636" s="464"/>
      <c r="AC1636" s="464"/>
      <c r="AD1636" s="464"/>
      <c r="AE1636" s="464"/>
      <c r="AF1636" s="464"/>
      <c r="AG1636" s="464"/>
      <c r="AH1636" s="465"/>
      <c r="AI1636" s="464"/>
    </row>
    <row r="1637" customFormat="false" ht="15" hidden="false" customHeight="true" outlineLevel="0" collapsed="false">
      <c r="A1637" s="455" t="s">
        <v>1758</v>
      </c>
      <c r="C1637" s="456" t="n">
        <v>45665</v>
      </c>
      <c r="D1637" s="456"/>
      <c r="E1637" s="323" t="n">
        <v>14491</v>
      </c>
      <c r="F1637" s="323" t="s">
        <v>175</v>
      </c>
      <c r="G1637" s="323" t="s">
        <v>10</v>
      </c>
      <c r="H1637" s="98" t="n">
        <v>100</v>
      </c>
      <c r="I1637" s="457" t="n">
        <v>25.71</v>
      </c>
      <c r="J1637" s="313" t="s">
        <v>1651</v>
      </c>
      <c r="K1637" s="458" t="n">
        <f aca="false">I1637*H1637</f>
        <v>2571</v>
      </c>
      <c r="L1637" s="411" t="n">
        <v>720</v>
      </c>
      <c r="M1637" s="459" t="n">
        <f aca="false">L1637/K1637</f>
        <v>0.280046674445741</v>
      </c>
      <c r="N1637" s="460" t="n">
        <f aca="false">I1637*M1637</f>
        <v>7.2</v>
      </c>
      <c r="O1637" s="461" t="n">
        <v>100</v>
      </c>
      <c r="P1637" s="462" t="n">
        <f aca="false">H1637-O1637</f>
        <v>0</v>
      </c>
      <c r="Q1637" s="463" t="n">
        <f aca="false">O1637*I1637</f>
        <v>2571</v>
      </c>
      <c r="R1637" s="48" t="n">
        <f aca="false">K1637-Q1637</f>
        <v>0</v>
      </c>
      <c r="S1637" s="467"/>
      <c r="T1637" s="2" t="s">
        <v>1711</v>
      </c>
      <c r="V1637" s="464"/>
      <c r="W1637" s="464"/>
      <c r="X1637" s="464"/>
      <c r="Y1637" s="464"/>
      <c r="Z1637" s="464"/>
      <c r="AA1637" s="464"/>
      <c r="AB1637" s="464"/>
      <c r="AC1637" s="464"/>
      <c r="AD1637" s="464"/>
      <c r="AE1637" s="464"/>
      <c r="AF1637" s="464"/>
      <c r="AG1637" s="464"/>
      <c r="AH1637" s="465"/>
      <c r="AI1637" s="464"/>
    </row>
    <row r="1638" customFormat="false" ht="15" hidden="false" customHeight="true" outlineLevel="0" collapsed="false">
      <c r="A1638" s="455" t="s">
        <v>2031</v>
      </c>
      <c r="C1638" s="456" t="n">
        <v>45665</v>
      </c>
      <c r="D1638" s="456"/>
      <c r="E1638" s="323" t="n">
        <v>14492</v>
      </c>
      <c r="F1638" s="323" t="s">
        <v>175</v>
      </c>
      <c r="G1638" s="323" t="s">
        <v>19</v>
      </c>
      <c r="H1638" s="98" t="n">
        <v>105</v>
      </c>
      <c r="I1638" s="457" t="n">
        <v>22.5</v>
      </c>
      <c r="J1638" s="313" t="s">
        <v>1651</v>
      </c>
      <c r="K1638" s="458" t="n">
        <f aca="false">I1638*H1638</f>
        <v>2362.5</v>
      </c>
      <c r="L1638" s="411" t="n">
        <v>2789.85</v>
      </c>
      <c r="M1638" s="459" t="n">
        <f aca="false">L1638/K1638</f>
        <v>1.18088888888889</v>
      </c>
      <c r="N1638" s="460" t="n">
        <f aca="false">I1638*M1638</f>
        <v>26.57</v>
      </c>
      <c r="O1638" s="461" t="n">
        <v>105</v>
      </c>
      <c r="P1638" s="462" t="n">
        <f aca="false">H1638-O1638</f>
        <v>0</v>
      </c>
      <c r="Q1638" s="463" t="n">
        <f aca="false">O1638*I1638</f>
        <v>2362.5</v>
      </c>
      <c r="R1638" s="48" t="n">
        <f aca="false">K1638-Q1638</f>
        <v>0</v>
      </c>
      <c r="S1638" s="467"/>
      <c r="T1638" s="2" t="s">
        <v>1711</v>
      </c>
      <c r="V1638" s="464"/>
      <c r="W1638" s="464"/>
      <c r="X1638" s="464"/>
      <c r="Y1638" s="464"/>
      <c r="Z1638" s="464"/>
      <c r="AA1638" s="464"/>
      <c r="AB1638" s="464"/>
      <c r="AC1638" s="464"/>
      <c r="AD1638" s="464"/>
      <c r="AE1638" s="464"/>
      <c r="AF1638" s="464"/>
      <c r="AG1638" s="464"/>
      <c r="AH1638" s="465"/>
      <c r="AI1638" s="464"/>
    </row>
    <row r="1639" customFormat="false" ht="15" hidden="false" customHeight="true" outlineLevel="0" collapsed="false">
      <c r="A1639" s="455" t="s">
        <v>2031</v>
      </c>
      <c r="C1639" s="456" t="n">
        <v>45665</v>
      </c>
      <c r="D1639" s="456"/>
      <c r="E1639" s="323" t="n">
        <v>14492</v>
      </c>
      <c r="F1639" s="323" t="s">
        <v>175</v>
      </c>
      <c r="G1639" s="323" t="s">
        <v>42</v>
      </c>
      <c r="H1639" s="98" t="n">
        <v>510</v>
      </c>
      <c r="I1639" s="457" t="n">
        <v>30</v>
      </c>
      <c r="J1639" s="313" t="s">
        <v>1651</v>
      </c>
      <c r="K1639" s="458" t="n">
        <f aca="false">I1639*H1639</f>
        <v>15300</v>
      </c>
      <c r="L1639" s="411" t="n">
        <v>11316.9</v>
      </c>
      <c r="M1639" s="459" t="n">
        <f aca="false">L1639/K1639</f>
        <v>0.739666666666667</v>
      </c>
      <c r="N1639" s="460" t="n">
        <f aca="false">I1639*M1639</f>
        <v>22.19</v>
      </c>
      <c r="O1639" s="461" t="n">
        <v>510</v>
      </c>
      <c r="P1639" s="462" t="n">
        <f aca="false">H1639-O1639</f>
        <v>0</v>
      </c>
      <c r="Q1639" s="463" t="n">
        <f aca="false">O1639*I1639</f>
        <v>15300</v>
      </c>
      <c r="R1639" s="48" t="n">
        <f aca="false">K1639-Q1639</f>
        <v>0</v>
      </c>
      <c r="S1639" s="467"/>
      <c r="T1639" s="2" t="s">
        <v>1711</v>
      </c>
      <c r="V1639" s="464"/>
      <c r="W1639" s="464"/>
      <c r="X1639" s="464"/>
      <c r="Y1639" s="464"/>
      <c r="Z1639" s="464"/>
      <c r="AA1639" s="464"/>
      <c r="AB1639" s="464"/>
      <c r="AC1639" s="464"/>
      <c r="AD1639" s="464"/>
      <c r="AE1639" s="464"/>
      <c r="AF1639" s="464"/>
      <c r="AG1639" s="464"/>
      <c r="AH1639" s="465"/>
      <c r="AI1639" s="464"/>
    </row>
    <row r="1640" customFormat="false" ht="15" hidden="false" customHeight="true" outlineLevel="0" collapsed="false">
      <c r="A1640" s="455" t="s">
        <v>2032</v>
      </c>
      <c r="C1640" s="456" t="n">
        <v>45665</v>
      </c>
      <c r="D1640" s="456"/>
      <c r="E1640" s="57" t="n">
        <v>14493</v>
      </c>
      <c r="F1640" s="323" t="s">
        <v>175</v>
      </c>
      <c r="G1640" s="323" t="s">
        <v>17</v>
      </c>
      <c r="H1640" s="98" t="n">
        <v>30</v>
      </c>
      <c r="I1640" s="457" t="n">
        <v>22.5</v>
      </c>
      <c r="J1640" s="313" t="s">
        <v>1651</v>
      </c>
      <c r="K1640" s="458" t="n">
        <f aca="false">I1640*H1640</f>
        <v>675</v>
      </c>
      <c r="L1640" s="411" t="n">
        <v>540</v>
      </c>
      <c r="M1640" s="459" t="n">
        <f aca="false">L1640/K1640</f>
        <v>0.8</v>
      </c>
      <c r="N1640" s="460" t="n">
        <f aca="false">I1640*M1640</f>
        <v>18</v>
      </c>
      <c r="O1640" s="461" t="n">
        <v>30</v>
      </c>
      <c r="P1640" s="462" t="n">
        <f aca="false">H1640-O1640</f>
        <v>0</v>
      </c>
      <c r="Q1640" s="463" t="n">
        <f aca="false">O1640*I1640</f>
        <v>675</v>
      </c>
      <c r="R1640" s="48" t="n">
        <f aca="false">K1640-Q1640</f>
        <v>0</v>
      </c>
      <c r="S1640" s="467"/>
      <c r="T1640" s="2" t="s">
        <v>1711</v>
      </c>
      <c r="V1640" s="464"/>
      <c r="W1640" s="464"/>
      <c r="X1640" s="464"/>
      <c r="Y1640" s="464"/>
      <c r="Z1640" s="464"/>
      <c r="AA1640" s="464"/>
      <c r="AB1640" s="464"/>
      <c r="AC1640" s="464"/>
      <c r="AD1640" s="464"/>
      <c r="AE1640" s="464"/>
      <c r="AF1640" s="464"/>
      <c r="AG1640" s="464"/>
      <c r="AH1640" s="465"/>
      <c r="AI1640" s="464"/>
    </row>
    <row r="1641" customFormat="false" ht="15" hidden="false" customHeight="true" outlineLevel="0" collapsed="false">
      <c r="A1641" s="455" t="s">
        <v>1739</v>
      </c>
      <c r="C1641" s="456" t="n">
        <v>45665</v>
      </c>
      <c r="D1641" s="456"/>
      <c r="E1641" s="57" t="n">
        <v>14494</v>
      </c>
      <c r="F1641" s="323" t="s">
        <v>175</v>
      </c>
      <c r="G1641" s="323" t="s">
        <v>10</v>
      </c>
      <c r="H1641" s="98" t="n">
        <v>300</v>
      </c>
      <c r="I1641" s="457" t="n">
        <v>90</v>
      </c>
      <c r="J1641" s="313" t="s">
        <v>1653</v>
      </c>
      <c r="K1641" s="458" t="n">
        <f aca="false">I1641*H1641</f>
        <v>27000</v>
      </c>
      <c r="L1641" s="411" t="n">
        <v>4470</v>
      </c>
      <c r="M1641" s="459" t="n">
        <f aca="false">L1641/K1641</f>
        <v>0.165555555555556</v>
      </c>
      <c r="N1641" s="460" t="n">
        <f aca="false">I1641*M1641</f>
        <v>14.9</v>
      </c>
      <c r="O1641" s="461" t="n">
        <v>300</v>
      </c>
      <c r="P1641" s="462" t="n">
        <f aca="false">H1641-O1641</f>
        <v>0</v>
      </c>
      <c r="Q1641" s="463" t="n">
        <f aca="false">O1641*I1641</f>
        <v>27000</v>
      </c>
      <c r="R1641" s="48" t="n">
        <f aca="false">K1641-Q1641</f>
        <v>0</v>
      </c>
      <c r="S1641" s="467"/>
      <c r="T1641" s="2" t="s">
        <v>1711</v>
      </c>
      <c r="V1641" s="464"/>
      <c r="W1641" s="464"/>
      <c r="X1641" s="464"/>
      <c r="Y1641" s="464"/>
      <c r="Z1641" s="464"/>
      <c r="AA1641" s="464"/>
      <c r="AB1641" s="464"/>
      <c r="AC1641" s="464"/>
      <c r="AD1641" s="464"/>
      <c r="AE1641" s="464"/>
      <c r="AF1641" s="464"/>
      <c r="AG1641" s="464"/>
      <c r="AH1641" s="465"/>
      <c r="AI1641" s="464"/>
    </row>
    <row r="1642" customFormat="false" ht="15" hidden="false" customHeight="true" outlineLevel="0" collapsed="false">
      <c r="A1642" s="455" t="s">
        <v>1753</v>
      </c>
      <c r="C1642" s="456" t="n">
        <v>45665</v>
      </c>
      <c r="D1642" s="456"/>
      <c r="E1642" s="57" t="n">
        <v>14495</v>
      </c>
      <c r="F1642" s="323" t="s">
        <v>175</v>
      </c>
      <c r="G1642" s="323" t="s">
        <v>10</v>
      </c>
      <c r="H1642" s="98" t="n">
        <v>5790</v>
      </c>
      <c r="I1642" s="457" t="n">
        <v>25.71</v>
      </c>
      <c r="J1642" s="313" t="s">
        <v>1651</v>
      </c>
      <c r="K1642" s="458" t="n">
        <f aca="false">I1642*H1642</f>
        <v>148860.9</v>
      </c>
      <c r="L1642" s="411" t="n">
        <v>55005</v>
      </c>
      <c r="M1642" s="459" t="n">
        <f aca="false">L1642/K1642</f>
        <v>0.369506028782575</v>
      </c>
      <c r="N1642" s="460" t="n">
        <f aca="false">I1642*M1642</f>
        <v>9.5</v>
      </c>
      <c r="O1642" s="461" t="n">
        <v>5790</v>
      </c>
      <c r="P1642" s="462" t="n">
        <f aca="false">H1642-O1642</f>
        <v>0</v>
      </c>
      <c r="Q1642" s="463" t="n">
        <f aca="false">O1642*I1642</f>
        <v>148860.9</v>
      </c>
      <c r="R1642" s="48" t="n">
        <f aca="false">K1642-Q1642</f>
        <v>0</v>
      </c>
      <c r="S1642" s="467"/>
      <c r="T1642" s="2" t="s">
        <v>1711</v>
      </c>
      <c r="V1642" s="464"/>
      <c r="W1642" s="464"/>
      <c r="X1642" s="464"/>
      <c r="Y1642" s="464"/>
      <c r="Z1642" s="464"/>
      <c r="AA1642" s="464"/>
      <c r="AB1642" s="464"/>
      <c r="AC1642" s="464"/>
      <c r="AD1642" s="464"/>
      <c r="AE1642" s="464"/>
      <c r="AF1642" s="464"/>
      <c r="AG1642" s="464"/>
      <c r="AH1642" s="465"/>
      <c r="AI1642" s="464"/>
    </row>
    <row r="1643" customFormat="false" ht="15" hidden="false" customHeight="true" outlineLevel="0" collapsed="false">
      <c r="A1643" s="455" t="s">
        <v>1961</v>
      </c>
      <c r="C1643" s="456" t="n">
        <v>45665</v>
      </c>
      <c r="D1643" s="456"/>
      <c r="E1643" s="57" t="n">
        <v>14496</v>
      </c>
      <c r="F1643" s="57" t="s">
        <v>175</v>
      </c>
      <c r="G1643" s="323" t="s">
        <v>5</v>
      </c>
      <c r="H1643" s="98" t="n">
        <v>525</v>
      </c>
      <c r="I1643" s="457" t="n">
        <v>25.71</v>
      </c>
      <c r="J1643" s="313" t="s">
        <v>1651</v>
      </c>
      <c r="K1643" s="458" t="n">
        <f aca="false">I1643*H1643</f>
        <v>13497.75</v>
      </c>
      <c r="L1643" s="411" t="n">
        <v>5995.5</v>
      </c>
      <c r="M1643" s="459" t="n">
        <f aca="false">L1643/K1643</f>
        <v>0.444185141968106</v>
      </c>
      <c r="N1643" s="460" t="n">
        <f aca="false">I1643*M1643</f>
        <v>11.42</v>
      </c>
      <c r="O1643" s="461" t="n">
        <v>525</v>
      </c>
      <c r="P1643" s="462" t="n">
        <f aca="false">H1643-O1643</f>
        <v>0</v>
      </c>
      <c r="Q1643" s="463" t="n">
        <f aca="false">O1643*I1643</f>
        <v>13497.75</v>
      </c>
      <c r="R1643" s="48" t="n">
        <f aca="false">K1643-Q1643</f>
        <v>0</v>
      </c>
      <c r="S1643" s="467"/>
      <c r="T1643" s="2" t="s">
        <v>1711</v>
      </c>
      <c r="V1643" s="464"/>
      <c r="W1643" s="464"/>
      <c r="X1643" s="464"/>
      <c r="Y1643" s="464"/>
      <c r="Z1643" s="464"/>
      <c r="AA1643" s="464"/>
      <c r="AB1643" s="464"/>
      <c r="AC1643" s="464"/>
      <c r="AD1643" s="464"/>
      <c r="AE1643" s="464"/>
      <c r="AF1643" s="464"/>
      <c r="AG1643" s="464"/>
      <c r="AH1643" s="465"/>
      <c r="AI1643" s="464"/>
    </row>
    <row r="1644" customFormat="false" ht="15" hidden="false" customHeight="true" outlineLevel="0" collapsed="false">
      <c r="A1644" s="455" t="s">
        <v>1961</v>
      </c>
      <c r="C1644" s="456" t="n">
        <v>45665</v>
      </c>
      <c r="D1644" s="456"/>
      <c r="E1644" s="57" t="n">
        <v>14496</v>
      </c>
      <c r="F1644" s="57" t="s">
        <v>175</v>
      </c>
      <c r="G1644" s="323" t="s">
        <v>19</v>
      </c>
      <c r="H1644" s="98" t="n">
        <v>15</v>
      </c>
      <c r="I1644" s="457" t="n">
        <v>22.5</v>
      </c>
      <c r="J1644" s="313" t="s">
        <v>1651</v>
      </c>
      <c r="K1644" s="458" t="n">
        <f aca="false">I1644*H1644</f>
        <v>337.5</v>
      </c>
      <c r="L1644" s="411" t="n">
        <v>288</v>
      </c>
      <c r="M1644" s="459" t="n">
        <f aca="false">L1644/K1644</f>
        <v>0.853333333333333</v>
      </c>
      <c r="N1644" s="460" t="n">
        <f aca="false">I1644*M1644</f>
        <v>19.2</v>
      </c>
      <c r="O1644" s="461" t="n">
        <v>15</v>
      </c>
      <c r="P1644" s="462" t="n">
        <f aca="false">H1644-O1644</f>
        <v>0</v>
      </c>
      <c r="Q1644" s="463" t="n">
        <f aca="false">O1644*I1644</f>
        <v>337.5</v>
      </c>
      <c r="R1644" s="48" t="n">
        <f aca="false">K1644-Q1644</f>
        <v>0</v>
      </c>
      <c r="S1644" s="467"/>
      <c r="T1644" s="2" t="s">
        <v>1711</v>
      </c>
      <c r="V1644" s="464"/>
      <c r="W1644" s="464"/>
      <c r="X1644" s="464"/>
      <c r="Y1644" s="464"/>
      <c r="Z1644" s="464"/>
      <c r="AA1644" s="464"/>
      <c r="AB1644" s="464"/>
      <c r="AC1644" s="464"/>
      <c r="AD1644" s="464"/>
      <c r="AE1644" s="464"/>
      <c r="AF1644" s="464"/>
      <c r="AG1644" s="464"/>
      <c r="AH1644" s="465"/>
      <c r="AI1644" s="464"/>
    </row>
    <row r="1645" customFormat="false" ht="15" hidden="false" customHeight="true" outlineLevel="0" collapsed="false">
      <c r="A1645" s="455" t="s">
        <v>1961</v>
      </c>
      <c r="C1645" s="456" t="n">
        <v>45665</v>
      </c>
      <c r="D1645" s="456"/>
      <c r="E1645" s="57" t="n">
        <v>14496</v>
      </c>
      <c r="F1645" s="57" t="s">
        <v>175</v>
      </c>
      <c r="G1645" s="323" t="s">
        <v>12</v>
      </c>
      <c r="H1645" s="98" t="n">
        <v>15</v>
      </c>
      <c r="I1645" s="457" t="n">
        <v>18</v>
      </c>
      <c r="J1645" s="313" t="s">
        <v>1651</v>
      </c>
      <c r="K1645" s="458" t="n">
        <f aca="false">I1645*H1645</f>
        <v>270</v>
      </c>
      <c r="L1645" s="411" t="n">
        <v>745.65</v>
      </c>
      <c r="M1645" s="459" t="n">
        <f aca="false">L1645/K1645</f>
        <v>2.76166666666667</v>
      </c>
      <c r="N1645" s="460" t="n">
        <f aca="false">I1645*M1645</f>
        <v>49.71</v>
      </c>
      <c r="O1645" s="461" t="n">
        <v>15</v>
      </c>
      <c r="P1645" s="462" t="n">
        <f aca="false">H1645-O1645</f>
        <v>0</v>
      </c>
      <c r="Q1645" s="463" t="n">
        <f aca="false">O1645*I1645</f>
        <v>270</v>
      </c>
      <c r="R1645" s="48" t="n">
        <f aca="false">K1645-Q1645</f>
        <v>0</v>
      </c>
      <c r="S1645" s="467"/>
      <c r="T1645" s="2" t="s">
        <v>1711</v>
      </c>
      <c r="V1645" s="464"/>
      <c r="W1645" s="464"/>
      <c r="X1645" s="464"/>
      <c r="Y1645" s="464"/>
      <c r="Z1645" s="464"/>
      <c r="AA1645" s="464"/>
      <c r="AB1645" s="464"/>
      <c r="AC1645" s="464"/>
      <c r="AD1645" s="464"/>
      <c r="AE1645" s="464"/>
      <c r="AF1645" s="464"/>
      <c r="AG1645" s="464"/>
      <c r="AH1645" s="465"/>
      <c r="AI1645" s="464"/>
    </row>
    <row r="1646" customFormat="false" ht="15" hidden="false" customHeight="true" outlineLevel="0" collapsed="false">
      <c r="A1646" s="455" t="s">
        <v>1961</v>
      </c>
      <c r="C1646" s="456" t="n">
        <v>45665</v>
      </c>
      <c r="D1646" s="456"/>
      <c r="E1646" s="57" t="n">
        <v>14496</v>
      </c>
      <c r="F1646" s="57" t="s">
        <v>175</v>
      </c>
      <c r="G1646" s="323" t="s">
        <v>13</v>
      </c>
      <c r="H1646" s="98" t="n">
        <v>195</v>
      </c>
      <c r="I1646" s="457" t="n">
        <v>22.5</v>
      </c>
      <c r="J1646" s="313" t="s">
        <v>1651</v>
      </c>
      <c r="K1646" s="458" t="n">
        <f aca="false">I1646*H1646</f>
        <v>4387.5</v>
      </c>
      <c r="L1646" s="411" t="n">
        <v>2184</v>
      </c>
      <c r="M1646" s="459" t="n">
        <f aca="false">L1646/K1646</f>
        <v>0.497777777777778</v>
      </c>
      <c r="N1646" s="460" t="n">
        <f aca="false">I1646*M1646</f>
        <v>11.2</v>
      </c>
      <c r="O1646" s="461" t="n">
        <v>195</v>
      </c>
      <c r="P1646" s="462" t="n">
        <f aca="false">H1646-O1646</f>
        <v>0</v>
      </c>
      <c r="Q1646" s="463" t="n">
        <f aca="false">O1646*I1646</f>
        <v>4387.5</v>
      </c>
      <c r="R1646" s="48" t="n">
        <f aca="false">K1646-Q1646</f>
        <v>0</v>
      </c>
      <c r="S1646" s="467"/>
      <c r="T1646" s="2" t="s">
        <v>1711</v>
      </c>
      <c r="V1646" s="464"/>
      <c r="W1646" s="464"/>
      <c r="X1646" s="464"/>
      <c r="Y1646" s="464"/>
      <c r="Z1646" s="464"/>
      <c r="AA1646" s="464"/>
      <c r="AB1646" s="464"/>
      <c r="AC1646" s="464"/>
      <c r="AD1646" s="464"/>
      <c r="AE1646" s="464"/>
      <c r="AF1646" s="464"/>
      <c r="AG1646" s="464"/>
      <c r="AH1646" s="465"/>
      <c r="AI1646" s="464"/>
    </row>
    <row r="1647" customFormat="false" ht="15" hidden="false" customHeight="true" outlineLevel="0" collapsed="false">
      <c r="A1647" s="455" t="s">
        <v>1955</v>
      </c>
      <c r="C1647" s="456" t="n">
        <v>45665</v>
      </c>
      <c r="D1647" s="456"/>
      <c r="E1647" s="57" t="n">
        <v>14497</v>
      </c>
      <c r="F1647" s="57" t="s">
        <v>175</v>
      </c>
      <c r="G1647" s="323" t="s">
        <v>15</v>
      </c>
      <c r="H1647" s="98" t="n">
        <v>1500</v>
      </c>
      <c r="I1647" s="457" t="n">
        <v>22.5</v>
      </c>
      <c r="J1647" s="313" t="s">
        <v>1651</v>
      </c>
      <c r="K1647" s="458" t="n">
        <f aca="false">I1647*H1647</f>
        <v>33750</v>
      </c>
      <c r="L1647" s="411" t="n">
        <v>23730</v>
      </c>
      <c r="M1647" s="459" t="n">
        <f aca="false">L1647/K1647</f>
        <v>0.703111111111111</v>
      </c>
      <c r="N1647" s="460" t="n">
        <f aca="false">I1647*M1647</f>
        <v>15.82</v>
      </c>
      <c r="O1647" s="461" t="n">
        <v>1500</v>
      </c>
      <c r="P1647" s="462" t="n">
        <f aca="false">H1647-O1647</f>
        <v>0</v>
      </c>
      <c r="Q1647" s="463" t="n">
        <f aca="false">O1647*I1647</f>
        <v>33750</v>
      </c>
      <c r="R1647" s="48" t="n">
        <f aca="false">K1647-Q1647</f>
        <v>0</v>
      </c>
      <c r="S1647" s="467"/>
      <c r="T1647" s="2" t="s">
        <v>1711</v>
      </c>
      <c r="V1647" s="464"/>
      <c r="W1647" s="464"/>
      <c r="X1647" s="464"/>
      <c r="Y1647" s="464"/>
      <c r="Z1647" s="464"/>
      <c r="AA1647" s="464"/>
      <c r="AB1647" s="464"/>
      <c r="AC1647" s="464"/>
      <c r="AD1647" s="464"/>
      <c r="AE1647" s="464"/>
      <c r="AF1647" s="464"/>
      <c r="AG1647" s="464"/>
      <c r="AH1647" s="465"/>
      <c r="AI1647" s="464"/>
    </row>
    <row r="1648" customFormat="false" ht="15" hidden="false" customHeight="true" outlineLevel="0" collapsed="false">
      <c r="A1648" s="455" t="s">
        <v>1955</v>
      </c>
      <c r="C1648" s="456" t="n">
        <v>45665</v>
      </c>
      <c r="D1648" s="456"/>
      <c r="E1648" s="57" t="n">
        <v>14497</v>
      </c>
      <c r="F1648" s="57" t="s">
        <v>175</v>
      </c>
      <c r="G1648" s="323" t="s">
        <v>5</v>
      </c>
      <c r="H1648" s="98" t="n">
        <v>3000</v>
      </c>
      <c r="I1648" s="457" t="n">
        <v>25.71</v>
      </c>
      <c r="J1648" s="313" t="s">
        <v>1651</v>
      </c>
      <c r="K1648" s="458" t="n">
        <f aca="false">I1648*H1648</f>
        <v>77130</v>
      </c>
      <c r="L1648" s="411" t="n">
        <v>34260</v>
      </c>
      <c r="M1648" s="459" t="n">
        <f aca="false">L1648/K1648</f>
        <v>0.444185141968106</v>
      </c>
      <c r="N1648" s="460" t="n">
        <f aca="false">I1648*M1648</f>
        <v>11.42</v>
      </c>
      <c r="O1648" s="461" t="n">
        <v>3000</v>
      </c>
      <c r="P1648" s="462" t="n">
        <f aca="false">H1648-O1648</f>
        <v>0</v>
      </c>
      <c r="Q1648" s="463" t="n">
        <f aca="false">O1648*I1648</f>
        <v>77130</v>
      </c>
      <c r="R1648" s="48" t="n">
        <f aca="false">K1648-Q1648</f>
        <v>0</v>
      </c>
      <c r="S1648" s="467"/>
      <c r="T1648" s="2" t="s">
        <v>1711</v>
      </c>
      <c r="V1648" s="464"/>
      <c r="W1648" s="464"/>
      <c r="X1648" s="464"/>
      <c r="Y1648" s="464"/>
      <c r="Z1648" s="464"/>
      <c r="AA1648" s="464"/>
      <c r="AB1648" s="464"/>
      <c r="AC1648" s="464"/>
      <c r="AD1648" s="464"/>
      <c r="AE1648" s="464"/>
      <c r="AF1648" s="464"/>
      <c r="AG1648" s="464"/>
      <c r="AH1648" s="465"/>
      <c r="AI1648" s="464"/>
    </row>
    <row r="1649" customFormat="false" ht="15" hidden="false" customHeight="true" outlineLevel="0" collapsed="false">
      <c r="A1649" s="455" t="s">
        <v>1950</v>
      </c>
      <c r="C1649" s="456" t="n">
        <v>45665</v>
      </c>
      <c r="D1649" s="456"/>
      <c r="E1649" s="57" t="n">
        <v>14498</v>
      </c>
      <c r="F1649" s="57" t="s">
        <v>175</v>
      </c>
      <c r="G1649" s="323" t="s">
        <v>15</v>
      </c>
      <c r="H1649" s="98" t="n">
        <v>750</v>
      </c>
      <c r="I1649" s="457" t="n">
        <v>22.5</v>
      </c>
      <c r="J1649" s="313" t="s">
        <v>1651</v>
      </c>
      <c r="K1649" s="458" t="n">
        <f aca="false">I1649*H1649</f>
        <v>16875</v>
      </c>
      <c r="L1649" s="411" t="n">
        <v>11887.5</v>
      </c>
      <c r="M1649" s="459" t="n">
        <f aca="false">L1649/K1649</f>
        <v>0.704444444444444</v>
      </c>
      <c r="N1649" s="460" t="n">
        <f aca="false">I1649*M1649</f>
        <v>15.85</v>
      </c>
      <c r="O1649" s="461" t="n">
        <v>750</v>
      </c>
      <c r="P1649" s="462" t="n">
        <f aca="false">H1649-O1649</f>
        <v>0</v>
      </c>
      <c r="Q1649" s="463" t="n">
        <f aca="false">O1649*I1649</f>
        <v>16875</v>
      </c>
      <c r="R1649" s="48" t="n">
        <f aca="false">K1649-Q1649</f>
        <v>0</v>
      </c>
      <c r="S1649" s="467"/>
      <c r="T1649" s="2" t="s">
        <v>1711</v>
      </c>
      <c r="V1649" s="464"/>
      <c r="W1649" s="464"/>
      <c r="X1649" s="464"/>
      <c r="Y1649" s="464"/>
      <c r="Z1649" s="464"/>
      <c r="AA1649" s="464"/>
      <c r="AB1649" s="464"/>
      <c r="AC1649" s="464"/>
      <c r="AD1649" s="464"/>
      <c r="AE1649" s="464"/>
      <c r="AF1649" s="464"/>
      <c r="AG1649" s="464"/>
      <c r="AH1649" s="465"/>
      <c r="AI1649" s="464"/>
    </row>
    <row r="1650" customFormat="false" ht="15" hidden="false" customHeight="true" outlineLevel="0" collapsed="false">
      <c r="A1650" s="455" t="s">
        <v>1950</v>
      </c>
      <c r="C1650" s="456" t="n">
        <v>45665</v>
      </c>
      <c r="D1650" s="456"/>
      <c r="E1650" s="57" t="n">
        <v>14498</v>
      </c>
      <c r="F1650" s="57" t="s">
        <v>175</v>
      </c>
      <c r="G1650" s="323" t="s">
        <v>5</v>
      </c>
      <c r="H1650" s="98" t="n">
        <v>300</v>
      </c>
      <c r="I1650" s="457" t="n">
        <v>25.71</v>
      </c>
      <c r="J1650" s="313" t="s">
        <v>1651</v>
      </c>
      <c r="K1650" s="458" t="n">
        <f aca="false">I1650*H1650</f>
        <v>7713</v>
      </c>
      <c r="L1650" s="411" t="n">
        <v>3426</v>
      </c>
      <c r="M1650" s="459" t="n">
        <f aca="false">L1650/K1650</f>
        <v>0.444185141968106</v>
      </c>
      <c r="N1650" s="460" t="n">
        <f aca="false">I1650*M1650</f>
        <v>11.42</v>
      </c>
      <c r="O1650" s="461" t="n">
        <v>300</v>
      </c>
      <c r="P1650" s="462" t="n">
        <f aca="false">H1650-O1650</f>
        <v>0</v>
      </c>
      <c r="Q1650" s="463" t="n">
        <f aca="false">O1650*I1650</f>
        <v>7713</v>
      </c>
      <c r="R1650" s="48" t="n">
        <f aca="false">K1650-Q1650</f>
        <v>0</v>
      </c>
      <c r="S1650" s="467"/>
      <c r="T1650" s="2" t="s">
        <v>1711</v>
      </c>
      <c r="V1650" s="464"/>
      <c r="W1650" s="464"/>
      <c r="X1650" s="464"/>
      <c r="Y1650" s="464"/>
      <c r="Z1650" s="464"/>
      <c r="AA1650" s="464"/>
      <c r="AB1650" s="464"/>
      <c r="AC1650" s="464"/>
      <c r="AD1650" s="464"/>
      <c r="AE1650" s="464"/>
      <c r="AF1650" s="464"/>
      <c r="AG1650" s="464"/>
      <c r="AH1650" s="465"/>
      <c r="AI1650" s="464"/>
    </row>
    <row r="1651" customFormat="false" ht="15" hidden="false" customHeight="true" outlineLevel="0" collapsed="false">
      <c r="A1651" s="455" t="s">
        <v>1950</v>
      </c>
      <c r="C1651" s="456" t="n">
        <v>45665</v>
      </c>
      <c r="D1651" s="456"/>
      <c r="E1651" s="57" t="n">
        <v>14498</v>
      </c>
      <c r="F1651" s="57" t="s">
        <v>175</v>
      </c>
      <c r="G1651" s="323" t="s">
        <v>12</v>
      </c>
      <c r="H1651" s="98" t="n">
        <v>300</v>
      </c>
      <c r="I1651" s="457" t="n">
        <v>18</v>
      </c>
      <c r="J1651" s="313" t="s">
        <v>1651</v>
      </c>
      <c r="K1651" s="458" t="n">
        <f aca="false">I1651*H1651</f>
        <v>5400</v>
      </c>
      <c r="L1651" s="411" t="n">
        <v>14913</v>
      </c>
      <c r="M1651" s="459" t="n">
        <f aca="false">L1651/K1651</f>
        <v>2.76166666666667</v>
      </c>
      <c r="N1651" s="460" t="n">
        <f aca="false">I1651*M1651</f>
        <v>49.71</v>
      </c>
      <c r="O1651" s="461" t="n">
        <v>300</v>
      </c>
      <c r="P1651" s="462" t="n">
        <f aca="false">H1651-O1651</f>
        <v>0</v>
      </c>
      <c r="Q1651" s="463" t="n">
        <f aca="false">O1651*I1651</f>
        <v>5400</v>
      </c>
      <c r="R1651" s="48" t="n">
        <f aca="false">K1651-Q1651</f>
        <v>0</v>
      </c>
      <c r="S1651" s="467"/>
      <c r="T1651" s="2" t="s">
        <v>1711</v>
      </c>
      <c r="V1651" s="464"/>
      <c r="W1651" s="464"/>
      <c r="X1651" s="464"/>
      <c r="Y1651" s="464"/>
      <c r="Z1651" s="464"/>
      <c r="AA1651" s="464"/>
      <c r="AB1651" s="464"/>
      <c r="AC1651" s="464"/>
      <c r="AD1651" s="464"/>
      <c r="AE1651" s="464"/>
      <c r="AF1651" s="464"/>
      <c r="AG1651" s="464"/>
      <c r="AH1651" s="465"/>
      <c r="AI1651" s="464"/>
    </row>
    <row r="1652" customFormat="false" ht="15" hidden="false" customHeight="true" outlineLevel="0" collapsed="false">
      <c r="A1652" s="455" t="s">
        <v>1950</v>
      </c>
      <c r="C1652" s="456" t="n">
        <v>45665</v>
      </c>
      <c r="D1652" s="456"/>
      <c r="E1652" s="57" t="n">
        <v>14498</v>
      </c>
      <c r="F1652" s="57" t="s">
        <v>175</v>
      </c>
      <c r="G1652" s="323" t="s">
        <v>13</v>
      </c>
      <c r="H1652" s="98" t="n">
        <v>450</v>
      </c>
      <c r="I1652" s="457" t="n">
        <v>22.5</v>
      </c>
      <c r="J1652" s="313" t="s">
        <v>1651</v>
      </c>
      <c r="K1652" s="458" t="n">
        <f aca="false">I1652*H1652</f>
        <v>10125</v>
      </c>
      <c r="L1652" s="411" t="n">
        <v>5040</v>
      </c>
      <c r="M1652" s="459" t="n">
        <f aca="false">L1652/K1652</f>
        <v>0.497777777777778</v>
      </c>
      <c r="N1652" s="460" t="n">
        <f aca="false">I1652*M1652</f>
        <v>11.2</v>
      </c>
      <c r="O1652" s="461" t="n">
        <v>450</v>
      </c>
      <c r="P1652" s="462" t="n">
        <f aca="false">H1652-O1652</f>
        <v>0</v>
      </c>
      <c r="Q1652" s="463" t="n">
        <f aca="false">O1652*I1652</f>
        <v>10125</v>
      </c>
      <c r="R1652" s="48" t="n">
        <f aca="false">K1652-Q1652</f>
        <v>0</v>
      </c>
      <c r="S1652" s="467"/>
      <c r="T1652" s="2" t="s">
        <v>1711</v>
      </c>
      <c r="V1652" s="464"/>
      <c r="W1652" s="464"/>
      <c r="X1652" s="464"/>
      <c r="Y1652" s="464"/>
      <c r="Z1652" s="464"/>
      <c r="AA1652" s="464"/>
      <c r="AB1652" s="464"/>
      <c r="AC1652" s="464"/>
      <c r="AD1652" s="464"/>
      <c r="AE1652" s="464"/>
      <c r="AF1652" s="464"/>
      <c r="AG1652" s="464"/>
      <c r="AH1652" s="465"/>
      <c r="AI1652" s="464"/>
    </row>
    <row r="1653" customFormat="false" ht="15" hidden="false" customHeight="true" outlineLevel="0" collapsed="false">
      <c r="A1653" s="455" t="s">
        <v>1753</v>
      </c>
      <c r="C1653" s="456" t="n">
        <v>45665</v>
      </c>
      <c r="D1653" s="456"/>
      <c r="E1653" s="57" t="n">
        <v>14499</v>
      </c>
      <c r="F1653" s="57" t="s">
        <v>175</v>
      </c>
      <c r="G1653" s="323" t="s">
        <v>42</v>
      </c>
      <c r="H1653" s="98" t="n">
        <v>555</v>
      </c>
      <c r="I1653" s="457" t="n">
        <v>45</v>
      </c>
      <c r="J1653" s="313" t="s">
        <v>1652</v>
      </c>
      <c r="K1653" s="458" t="n">
        <f aca="false">I1653*H1653</f>
        <v>24975</v>
      </c>
      <c r="L1653" s="411" t="n">
        <v>11532.9</v>
      </c>
      <c r="M1653" s="459" t="n">
        <f aca="false">L1653/K1653</f>
        <v>0.461777777777778</v>
      </c>
      <c r="N1653" s="460" t="n">
        <f aca="false">I1653*M1653</f>
        <v>20.78</v>
      </c>
      <c r="O1653" s="461" t="n">
        <v>555</v>
      </c>
      <c r="P1653" s="462" t="n">
        <f aca="false">H1653-O1653</f>
        <v>0</v>
      </c>
      <c r="Q1653" s="463" t="n">
        <f aca="false">O1653*I1653</f>
        <v>24975</v>
      </c>
      <c r="R1653" s="48" t="n">
        <f aca="false">K1653-Q1653</f>
        <v>0</v>
      </c>
      <c r="S1653" s="467"/>
      <c r="T1653" s="2" t="s">
        <v>1711</v>
      </c>
      <c r="V1653" s="464"/>
      <c r="W1653" s="464"/>
      <c r="X1653" s="464"/>
      <c r="Y1653" s="464"/>
      <c r="Z1653" s="464"/>
      <c r="AA1653" s="464"/>
      <c r="AB1653" s="464"/>
      <c r="AC1653" s="464"/>
      <c r="AD1653" s="464"/>
      <c r="AE1653" s="464"/>
      <c r="AF1653" s="464"/>
      <c r="AG1653" s="464"/>
      <c r="AH1653" s="465"/>
      <c r="AI1653" s="464"/>
    </row>
    <row r="1654" customFormat="false" ht="15" hidden="false" customHeight="true" outlineLevel="0" collapsed="false">
      <c r="A1654" s="455" t="s">
        <v>1715</v>
      </c>
      <c r="C1654" s="456" t="n">
        <v>45666</v>
      </c>
      <c r="D1654" s="456"/>
      <c r="E1654" s="57" t="n">
        <v>14501</v>
      </c>
      <c r="F1654" s="323" t="s">
        <v>175</v>
      </c>
      <c r="G1654" s="323" t="s">
        <v>15</v>
      </c>
      <c r="H1654" s="98" t="n">
        <v>120</v>
      </c>
      <c r="I1654" s="457" t="n">
        <v>22.5</v>
      </c>
      <c r="J1654" s="313" t="s">
        <v>1651</v>
      </c>
      <c r="K1654" s="458" t="n">
        <f aca="false">I1654*H1654</f>
        <v>2700</v>
      </c>
      <c r="L1654" s="411" t="n">
        <v>3067.2</v>
      </c>
      <c r="M1654" s="459" t="n">
        <f aca="false">L1654/K1654</f>
        <v>1.136</v>
      </c>
      <c r="N1654" s="460" t="n">
        <f aca="false">I1654*M1654</f>
        <v>25.56</v>
      </c>
      <c r="O1654" s="461" t="n">
        <v>120</v>
      </c>
      <c r="P1654" s="462" t="n">
        <f aca="false">H1654-O1654</f>
        <v>0</v>
      </c>
      <c r="Q1654" s="463" t="n">
        <f aca="false">O1654*I1654</f>
        <v>2700</v>
      </c>
      <c r="R1654" s="48" t="n">
        <f aca="false">K1654-Q1654</f>
        <v>0</v>
      </c>
      <c r="S1654" s="467"/>
      <c r="T1654" s="2" t="s">
        <v>1711</v>
      </c>
      <c r="V1654" s="464"/>
      <c r="W1654" s="464"/>
      <c r="X1654" s="464"/>
      <c r="Y1654" s="464"/>
      <c r="Z1654" s="464"/>
      <c r="AA1654" s="464"/>
      <c r="AB1654" s="464"/>
      <c r="AC1654" s="464"/>
      <c r="AD1654" s="464"/>
      <c r="AE1654" s="464"/>
      <c r="AF1654" s="464"/>
      <c r="AG1654" s="464"/>
      <c r="AH1654" s="465"/>
      <c r="AI1654" s="464"/>
    </row>
    <row r="1655" customFormat="false" ht="15" hidden="false" customHeight="true" outlineLevel="0" collapsed="false">
      <c r="A1655" s="455" t="s">
        <v>1715</v>
      </c>
      <c r="C1655" s="456" t="n">
        <v>45666</v>
      </c>
      <c r="D1655" s="456"/>
      <c r="E1655" s="57" t="n">
        <v>14501</v>
      </c>
      <c r="F1655" s="323" t="s">
        <v>175</v>
      </c>
      <c r="G1655" s="323" t="s">
        <v>5</v>
      </c>
      <c r="H1655" s="98" t="n">
        <v>885</v>
      </c>
      <c r="I1655" s="457" t="n">
        <v>25.71</v>
      </c>
      <c r="J1655" s="313" t="s">
        <v>1651</v>
      </c>
      <c r="K1655" s="458" t="n">
        <f aca="false">I1655*H1655</f>
        <v>22753.35</v>
      </c>
      <c r="L1655" s="411" t="n">
        <v>16151.25</v>
      </c>
      <c r="M1655" s="459" t="n">
        <f aca="false">L1655/K1655</f>
        <v>0.709840528977052</v>
      </c>
      <c r="N1655" s="460" t="n">
        <f aca="false">I1655*M1655</f>
        <v>18.25</v>
      </c>
      <c r="O1655" s="461" t="n">
        <v>885</v>
      </c>
      <c r="P1655" s="462" t="n">
        <f aca="false">H1655-O1655</f>
        <v>0</v>
      </c>
      <c r="Q1655" s="463" t="n">
        <f aca="false">O1655*I1655</f>
        <v>22753.35</v>
      </c>
      <c r="R1655" s="48" t="n">
        <f aca="false">K1655-Q1655</f>
        <v>0</v>
      </c>
      <c r="S1655" s="467"/>
      <c r="T1655" s="2" t="s">
        <v>1711</v>
      </c>
      <c r="V1655" s="464"/>
      <c r="W1655" s="464"/>
      <c r="X1655" s="464"/>
      <c r="Y1655" s="464"/>
      <c r="Z1655" s="464"/>
      <c r="AA1655" s="464"/>
      <c r="AB1655" s="464"/>
      <c r="AC1655" s="464"/>
      <c r="AD1655" s="464"/>
      <c r="AE1655" s="464"/>
      <c r="AF1655" s="464"/>
      <c r="AG1655" s="464"/>
      <c r="AH1655" s="465"/>
      <c r="AI1655" s="464"/>
    </row>
    <row r="1656" customFormat="false" ht="15" hidden="false" customHeight="true" outlineLevel="0" collapsed="false">
      <c r="A1656" s="455" t="s">
        <v>1715</v>
      </c>
      <c r="C1656" s="456" t="n">
        <v>45666</v>
      </c>
      <c r="D1656" s="456"/>
      <c r="E1656" s="57" t="n">
        <v>14501</v>
      </c>
      <c r="F1656" s="323" t="s">
        <v>175</v>
      </c>
      <c r="G1656" s="323" t="s">
        <v>13</v>
      </c>
      <c r="H1656" s="98" t="n">
        <v>120</v>
      </c>
      <c r="I1656" s="457" t="n">
        <v>22.5</v>
      </c>
      <c r="J1656" s="313" t="s">
        <v>1651</v>
      </c>
      <c r="K1656" s="458" t="n">
        <f aca="false">I1656*H1656</f>
        <v>2700</v>
      </c>
      <c r="L1656" s="411" t="n">
        <v>1913.6</v>
      </c>
      <c r="M1656" s="459" t="n">
        <f aca="false">L1656/K1656</f>
        <v>0.708740740740741</v>
      </c>
      <c r="N1656" s="460" t="n">
        <f aca="false">I1656*M1656</f>
        <v>15.9466666666667</v>
      </c>
      <c r="O1656" s="461" t="n">
        <v>120</v>
      </c>
      <c r="P1656" s="462" t="n">
        <f aca="false">H1656-O1656</f>
        <v>0</v>
      </c>
      <c r="Q1656" s="463" t="n">
        <f aca="false">O1656*I1656</f>
        <v>2700</v>
      </c>
      <c r="R1656" s="48" t="n">
        <f aca="false">K1656-Q1656</f>
        <v>0</v>
      </c>
      <c r="S1656" s="467"/>
      <c r="T1656" s="2" t="s">
        <v>1711</v>
      </c>
      <c r="V1656" s="464"/>
      <c r="W1656" s="464"/>
      <c r="X1656" s="464"/>
      <c r="Y1656" s="464"/>
      <c r="Z1656" s="464"/>
      <c r="AA1656" s="464"/>
      <c r="AB1656" s="464"/>
      <c r="AC1656" s="464"/>
      <c r="AD1656" s="464"/>
      <c r="AE1656" s="464"/>
      <c r="AF1656" s="464"/>
      <c r="AG1656" s="464"/>
      <c r="AH1656" s="465"/>
      <c r="AI1656" s="464"/>
    </row>
    <row r="1657" customFormat="false" ht="15" hidden="false" customHeight="true" outlineLevel="0" collapsed="false">
      <c r="A1657" s="455" t="s">
        <v>1715</v>
      </c>
      <c r="C1657" s="456" t="n">
        <v>45666</v>
      </c>
      <c r="D1657" s="456"/>
      <c r="E1657" s="57" t="n">
        <v>14502</v>
      </c>
      <c r="F1657" s="323" t="s">
        <v>175</v>
      </c>
      <c r="G1657" s="323" t="s">
        <v>13</v>
      </c>
      <c r="H1657" s="98" t="n">
        <v>15</v>
      </c>
      <c r="I1657" s="457" t="n">
        <v>22.5</v>
      </c>
      <c r="J1657" s="313" t="s">
        <v>1651</v>
      </c>
      <c r="K1657" s="458" t="n">
        <f aca="false">I1657*H1657</f>
        <v>337.5</v>
      </c>
      <c r="L1657" s="411" t="n">
        <v>239.2</v>
      </c>
      <c r="M1657" s="459" t="n">
        <f aca="false">L1657/K1657</f>
        <v>0.708740740740741</v>
      </c>
      <c r="N1657" s="460" t="n">
        <f aca="false">I1657*M1657</f>
        <v>15.9466666666667</v>
      </c>
      <c r="O1657" s="461" t="n">
        <v>15</v>
      </c>
      <c r="P1657" s="462" t="n">
        <f aca="false">H1657-O1657</f>
        <v>0</v>
      </c>
      <c r="Q1657" s="463" t="n">
        <f aca="false">O1657*I1657</f>
        <v>337.5</v>
      </c>
      <c r="R1657" s="48" t="n">
        <f aca="false">K1657-Q1657</f>
        <v>0</v>
      </c>
      <c r="S1657" s="467"/>
      <c r="T1657" s="2" t="s">
        <v>1711</v>
      </c>
      <c r="V1657" s="464"/>
      <c r="W1657" s="464"/>
      <c r="X1657" s="464"/>
      <c r="Y1657" s="464"/>
      <c r="Z1657" s="464"/>
      <c r="AA1657" s="464"/>
      <c r="AB1657" s="464"/>
      <c r="AC1657" s="464"/>
      <c r="AD1657" s="464"/>
      <c r="AE1657" s="464"/>
      <c r="AF1657" s="464"/>
      <c r="AG1657" s="464"/>
      <c r="AH1657" s="465"/>
      <c r="AI1657" s="464"/>
    </row>
    <row r="1658" customFormat="false" ht="15" hidden="false" customHeight="true" outlineLevel="0" collapsed="false">
      <c r="A1658" s="455" t="s">
        <v>2033</v>
      </c>
      <c r="C1658" s="456" t="n">
        <v>45666</v>
      </c>
      <c r="D1658" s="456"/>
      <c r="E1658" s="57" t="n">
        <v>14503</v>
      </c>
      <c r="F1658" s="323" t="s">
        <v>175</v>
      </c>
      <c r="G1658" s="323" t="s">
        <v>5</v>
      </c>
      <c r="H1658" s="98" t="n">
        <v>300</v>
      </c>
      <c r="I1658" s="457" t="n">
        <v>25.71</v>
      </c>
      <c r="J1658" s="313" t="s">
        <v>1651</v>
      </c>
      <c r="K1658" s="458" t="n">
        <f aca="false">I1658*H1658</f>
        <v>7713</v>
      </c>
      <c r="L1658" s="411" t="n">
        <v>4500</v>
      </c>
      <c r="M1658" s="459" t="n">
        <f aca="false">L1658/K1658</f>
        <v>0.58343057176196</v>
      </c>
      <c r="N1658" s="460" t="n">
        <f aca="false">I1658*M1658</f>
        <v>15</v>
      </c>
      <c r="O1658" s="461" t="n">
        <v>300</v>
      </c>
      <c r="P1658" s="462" t="n">
        <f aca="false">H1658-O1658</f>
        <v>0</v>
      </c>
      <c r="Q1658" s="463" t="n">
        <f aca="false">O1658*I1658</f>
        <v>7713</v>
      </c>
      <c r="R1658" s="48" t="n">
        <f aca="false">K1658-Q1658</f>
        <v>0</v>
      </c>
      <c r="S1658" s="467"/>
      <c r="T1658" s="2" t="s">
        <v>1711</v>
      </c>
      <c r="V1658" s="464"/>
      <c r="W1658" s="464"/>
      <c r="X1658" s="464"/>
      <c r="Y1658" s="464"/>
      <c r="Z1658" s="464"/>
      <c r="AA1658" s="464"/>
      <c r="AB1658" s="464"/>
      <c r="AC1658" s="464"/>
      <c r="AD1658" s="464"/>
      <c r="AE1658" s="464"/>
      <c r="AF1658" s="464"/>
      <c r="AG1658" s="464"/>
      <c r="AH1658" s="465"/>
      <c r="AI1658" s="464"/>
    </row>
    <row r="1659" customFormat="false" ht="15" hidden="false" customHeight="true" outlineLevel="0" collapsed="false">
      <c r="A1659" s="455" t="s">
        <v>2034</v>
      </c>
      <c r="C1659" s="456" t="n">
        <v>45666</v>
      </c>
      <c r="D1659" s="456"/>
      <c r="E1659" s="57" t="n">
        <v>14504</v>
      </c>
      <c r="F1659" s="323" t="s">
        <v>175</v>
      </c>
      <c r="G1659" s="323" t="s">
        <v>18</v>
      </c>
      <c r="H1659" s="98" t="n">
        <v>45</v>
      </c>
      <c r="I1659" s="457" t="n">
        <v>34.62</v>
      </c>
      <c r="J1659" s="313" t="s">
        <v>1652</v>
      </c>
      <c r="K1659" s="458" t="n">
        <f aca="false">I1659*H1659</f>
        <v>1557.9</v>
      </c>
      <c r="L1659" s="411" t="n">
        <v>977.85</v>
      </c>
      <c r="M1659" s="459" t="n">
        <f aca="false">L1659/K1659</f>
        <v>0.627671865973426</v>
      </c>
      <c r="N1659" s="460" t="n">
        <f aca="false">I1659*M1659</f>
        <v>21.73</v>
      </c>
      <c r="O1659" s="461" t="n">
        <v>45</v>
      </c>
      <c r="P1659" s="462" t="n">
        <f aca="false">H1659-O1659</f>
        <v>0</v>
      </c>
      <c r="Q1659" s="463" t="n">
        <f aca="false">O1659*I1659</f>
        <v>1557.9</v>
      </c>
      <c r="R1659" s="48" t="n">
        <f aca="false">K1659-Q1659</f>
        <v>0</v>
      </c>
      <c r="S1659" s="467"/>
      <c r="T1659" s="2" t="s">
        <v>1711</v>
      </c>
      <c r="V1659" s="464"/>
      <c r="W1659" s="464"/>
      <c r="X1659" s="464"/>
      <c r="Y1659" s="464"/>
      <c r="Z1659" s="464"/>
      <c r="AA1659" s="464"/>
      <c r="AB1659" s="464"/>
      <c r="AC1659" s="464"/>
      <c r="AD1659" s="464"/>
      <c r="AE1659" s="464"/>
      <c r="AF1659" s="464"/>
      <c r="AG1659" s="464"/>
      <c r="AH1659" s="465"/>
      <c r="AI1659" s="464"/>
    </row>
    <row r="1660" customFormat="false" ht="15" hidden="false" customHeight="true" outlineLevel="0" collapsed="false">
      <c r="A1660" s="455" t="s">
        <v>2034</v>
      </c>
      <c r="C1660" s="456" t="n">
        <v>45666</v>
      </c>
      <c r="D1660" s="456"/>
      <c r="E1660" s="57" t="n">
        <v>14504</v>
      </c>
      <c r="F1660" s="323" t="s">
        <v>175</v>
      </c>
      <c r="G1660" s="323" t="s">
        <v>16</v>
      </c>
      <c r="H1660" s="98" t="n">
        <v>30</v>
      </c>
      <c r="I1660" s="457" t="n">
        <v>22.5</v>
      </c>
      <c r="J1660" s="313" t="s">
        <v>1651</v>
      </c>
      <c r="K1660" s="458" t="n">
        <f aca="false">I1660*H1660</f>
        <v>675</v>
      </c>
      <c r="L1660" s="411" t="n">
        <v>513</v>
      </c>
      <c r="M1660" s="459" t="n">
        <f aca="false">L1660/K1660</f>
        <v>0.76</v>
      </c>
      <c r="N1660" s="460" t="n">
        <f aca="false">I1660*M1660</f>
        <v>17.1</v>
      </c>
      <c r="O1660" s="461" t="n">
        <v>30</v>
      </c>
      <c r="P1660" s="462" t="n">
        <f aca="false">H1660-O1660</f>
        <v>0</v>
      </c>
      <c r="Q1660" s="463" t="n">
        <f aca="false">O1660*I1660</f>
        <v>675</v>
      </c>
      <c r="R1660" s="48" t="n">
        <f aca="false">K1660-Q1660</f>
        <v>0</v>
      </c>
      <c r="S1660" s="467"/>
      <c r="T1660" s="2" t="s">
        <v>1711</v>
      </c>
      <c r="V1660" s="464"/>
      <c r="W1660" s="464"/>
      <c r="X1660" s="464"/>
      <c r="Y1660" s="464"/>
      <c r="Z1660" s="464"/>
      <c r="AA1660" s="464"/>
      <c r="AB1660" s="464"/>
      <c r="AC1660" s="464"/>
      <c r="AD1660" s="464"/>
      <c r="AE1660" s="464"/>
      <c r="AF1660" s="464"/>
      <c r="AG1660" s="464"/>
      <c r="AH1660" s="465"/>
      <c r="AI1660" s="464"/>
    </row>
    <row r="1661" customFormat="false" ht="15" hidden="false" customHeight="true" outlineLevel="0" collapsed="false">
      <c r="A1661" s="455" t="s">
        <v>2035</v>
      </c>
      <c r="C1661" s="456" t="n">
        <v>45667</v>
      </c>
      <c r="D1661" s="456"/>
      <c r="E1661" s="323" t="n">
        <v>14505</v>
      </c>
      <c r="F1661" s="323" t="s">
        <v>175</v>
      </c>
      <c r="G1661" s="323" t="s">
        <v>42</v>
      </c>
      <c r="H1661" s="98" t="n">
        <v>52740</v>
      </c>
      <c r="I1661" s="457" t="n">
        <v>30</v>
      </c>
      <c r="J1661" s="313" t="s">
        <v>1651</v>
      </c>
      <c r="K1661" s="458" t="n">
        <f aca="false">I1661*H1661</f>
        <v>1582200</v>
      </c>
      <c r="L1661" s="411" t="n">
        <v>791100</v>
      </c>
      <c r="M1661" s="459" t="n">
        <f aca="false">L1661/K1661</f>
        <v>0.5</v>
      </c>
      <c r="N1661" s="460" t="n">
        <f aca="false">I1661*M1661</f>
        <v>15</v>
      </c>
      <c r="O1661" s="461" t="n">
        <v>52740</v>
      </c>
      <c r="P1661" s="462" t="n">
        <f aca="false">H1661-O1661</f>
        <v>0</v>
      </c>
      <c r="Q1661" s="463" t="n">
        <f aca="false">O1661*I1661</f>
        <v>1582200</v>
      </c>
      <c r="R1661" s="48" t="n">
        <f aca="false">K1661-Q1661</f>
        <v>0</v>
      </c>
      <c r="S1661" s="467"/>
      <c r="T1661" s="2" t="s">
        <v>1711</v>
      </c>
      <c r="V1661" s="464"/>
      <c r="W1661" s="464"/>
      <c r="X1661" s="464"/>
      <c r="Y1661" s="464"/>
      <c r="Z1661" s="464"/>
      <c r="AA1661" s="464"/>
      <c r="AB1661" s="464"/>
      <c r="AC1661" s="464"/>
      <c r="AD1661" s="464"/>
      <c r="AE1661" s="464"/>
      <c r="AF1661" s="464"/>
      <c r="AG1661" s="464"/>
      <c r="AH1661" s="465"/>
      <c r="AI1661" s="464"/>
    </row>
    <row r="1662" customFormat="false" ht="15" hidden="false" customHeight="true" outlineLevel="0" collapsed="false">
      <c r="A1662" s="455" t="s">
        <v>2035</v>
      </c>
      <c r="C1662" s="456" t="n">
        <v>45667</v>
      </c>
      <c r="D1662" s="456"/>
      <c r="E1662" s="323" t="n">
        <v>14505</v>
      </c>
      <c r="F1662" s="323" t="s">
        <v>175</v>
      </c>
      <c r="G1662" s="323" t="s">
        <v>6</v>
      </c>
      <c r="H1662" s="98" t="n">
        <v>6480</v>
      </c>
      <c r="I1662" s="457" t="n">
        <v>30</v>
      </c>
      <c r="J1662" s="313" t="s">
        <v>1651</v>
      </c>
      <c r="K1662" s="458" t="n">
        <f aca="false">I1662*H1662</f>
        <v>194400</v>
      </c>
      <c r="L1662" s="411" t="n">
        <v>97200</v>
      </c>
      <c r="M1662" s="459" t="n">
        <f aca="false">L1662/K1662</f>
        <v>0.5</v>
      </c>
      <c r="N1662" s="460" t="n">
        <f aca="false">I1662*M1662</f>
        <v>15</v>
      </c>
      <c r="O1662" s="461" t="n">
        <v>6480</v>
      </c>
      <c r="P1662" s="462" t="n">
        <f aca="false">H1662-O1662</f>
        <v>0</v>
      </c>
      <c r="Q1662" s="463" t="n">
        <f aca="false">O1662*I1662</f>
        <v>194400</v>
      </c>
      <c r="R1662" s="48" t="n">
        <f aca="false">K1662-Q1662</f>
        <v>0</v>
      </c>
      <c r="S1662" s="467"/>
      <c r="T1662" s="2" t="s">
        <v>1711</v>
      </c>
      <c r="V1662" s="464"/>
      <c r="W1662" s="464"/>
      <c r="X1662" s="464"/>
      <c r="Y1662" s="464"/>
      <c r="Z1662" s="464"/>
      <c r="AA1662" s="464"/>
      <c r="AB1662" s="464"/>
      <c r="AC1662" s="464"/>
      <c r="AD1662" s="464"/>
      <c r="AE1662" s="464"/>
      <c r="AF1662" s="464"/>
      <c r="AG1662" s="464"/>
      <c r="AH1662" s="465"/>
      <c r="AI1662" s="464"/>
    </row>
    <row r="1663" customFormat="false" ht="15" hidden="false" customHeight="true" outlineLevel="0" collapsed="false">
      <c r="A1663" s="455" t="s">
        <v>2035</v>
      </c>
      <c r="C1663" s="456" t="n">
        <v>45667</v>
      </c>
      <c r="D1663" s="456"/>
      <c r="E1663" s="323" t="n">
        <v>14505</v>
      </c>
      <c r="F1663" s="323" t="s">
        <v>175</v>
      </c>
      <c r="G1663" s="323" t="s">
        <v>6</v>
      </c>
      <c r="H1663" s="98" t="n">
        <v>8520</v>
      </c>
      <c r="I1663" s="457" t="n">
        <v>45</v>
      </c>
      <c r="J1663" s="313" t="s">
        <v>1652</v>
      </c>
      <c r="K1663" s="458" t="n">
        <f aca="false">I1663*H1663</f>
        <v>383400</v>
      </c>
      <c r="L1663" s="411" t="n">
        <v>191700</v>
      </c>
      <c r="M1663" s="459" t="n">
        <f aca="false">L1663/K1663</f>
        <v>0.5</v>
      </c>
      <c r="N1663" s="460" t="n">
        <f aca="false">I1663*M1663</f>
        <v>22.5</v>
      </c>
      <c r="O1663" s="461" t="n">
        <v>8520</v>
      </c>
      <c r="P1663" s="462" t="n">
        <f aca="false">H1663-O1663</f>
        <v>0</v>
      </c>
      <c r="Q1663" s="463" t="n">
        <f aca="false">O1663*I1663</f>
        <v>383400</v>
      </c>
      <c r="R1663" s="48" t="n">
        <f aca="false">K1663-Q1663</f>
        <v>0</v>
      </c>
      <c r="S1663" s="467"/>
      <c r="T1663" s="2" t="s">
        <v>1711</v>
      </c>
      <c r="V1663" s="464"/>
      <c r="W1663" s="464"/>
      <c r="X1663" s="464"/>
      <c r="Y1663" s="464"/>
      <c r="Z1663" s="464"/>
      <c r="AA1663" s="464"/>
      <c r="AB1663" s="464"/>
      <c r="AC1663" s="464"/>
      <c r="AD1663" s="464"/>
      <c r="AE1663" s="464"/>
      <c r="AF1663" s="464"/>
      <c r="AG1663" s="464"/>
      <c r="AH1663" s="465"/>
      <c r="AI1663" s="464"/>
    </row>
    <row r="1664" customFormat="false" ht="15" hidden="false" customHeight="true" outlineLevel="0" collapsed="false">
      <c r="A1664" s="455" t="s">
        <v>58</v>
      </c>
      <c r="C1664" s="456" t="n">
        <v>45667</v>
      </c>
      <c r="D1664" s="456"/>
      <c r="E1664" s="323" t="n">
        <v>14506</v>
      </c>
      <c r="F1664" s="323" t="s">
        <v>175</v>
      </c>
      <c r="G1664" s="323" t="s">
        <v>15</v>
      </c>
      <c r="H1664" s="98" t="n">
        <v>300</v>
      </c>
      <c r="I1664" s="457" t="n">
        <v>22.5</v>
      </c>
      <c r="J1664" s="313" t="s">
        <v>1651</v>
      </c>
      <c r="K1664" s="458" t="n">
        <f aca="false">I1664*H1664</f>
        <v>6750</v>
      </c>
      <c r="L1664" s="411" t="n">
        <v>5655</v>
      </c>
      <c r="M1664" s="459" t="n">
        <f aca="false">L1664/K1664</f>
        <v>0.837777777777778</v>
      </c>
      <c r="N1664" s="460" t="n">
        <f aca="false">I1664*M1664</f>
        <v>18.85</v>
      </c>
      <c r="O1664" s="461" t="n">
        <v>300</v>
      </c>
      <c r="P1664" s="462" t="n">
        <f aca="false">H1664-O1664</f>
        <v>0</v>
      </c>
      <c r="Q1664" s="463" t="n">
        <f aca="false">O1664*I1664</f>
        <v>6750</v>
      </c>
      <c r="R1664" s="48" t="n">
        <f aca="false">K1664-Q1664</f>
        <v>0</v>
      </c>
      <c r="S1664" s="467"/>
      <c r="T1664" s="2" t="s">
        <v>1711</v>
      </c>
      <c r="V1664" s="464"/>
      <c r="W1664" s="464"/>
      <c r="X1664" s="464"/>
      <c r="Y1664" s="464"/>
      <c r="Z1664" s="464"/>
      <c r="AA1664" s="464"/>
      <c r="AB1664" s="464"/>
      <c r="AC1664" s="464"/>
      <c r="AD1664" s="464"/>
      <c r="AE1664" s="464"/>
      <c r="AF1664" s="464"/>
      <c r="AG1664" s="464"/>
      <c r="AH1664" s="465"/>
      <c r="AI1664" s="464"/>
    </row>
    <row r="1665" customFormat="false" ht="15" hidden="false" customHeight="true" outlineLevel="0" collapsed="false">
      <c r="A1665" s="455" t="s">
        <v>1880</v>
      </c>
      <c r="C1665" s="456" t="n">
        <v>45667</v>
      </c>
      <c r="D1665" s="456"/>
      <c r="E1665" s="57" t="n">
        <v>14507</v>
      </c>
      <c r="F1665" s="323" t="s">
        <v>175</v>
      </c>
      <c r="G1665" s="323" t="s">
        <v>5</v>
      </c>
      <c r="H1665" s="98" t="n">
        <v>330</v>
      </c>
      <c r="I1665" s="457" t="n">
        <v>25.71</v>
      </c>
      <c r="J1665" s="313" t="s">
        <v>1651</v>
      </c>
      <c r="K1665" s="458" t="n">
        <f aca="false">I1665*H1665</f>
        <v>8484.3</v>
      </c>
      <c r="L1665" s="411" t="n">
        <v>6567</v>
      </c>
      <c r="M1665" s="459" t="n">
        <f aca="false">L1665/K1665</f>
        <v>0.774017891870867</v>
      </c>
      <c r="N1665" s="460" t="n">
        <f aca="false">I1665*M1665</f>
        <v>19.9</v>
      </c>
      <c r="O1665" s="461" t="n">
        <v>330</v>
      </c>
      <c r="P1665" s="462" t="n">
        <f aca="false">H1665-O1665</f>
        <v>0</v>
      </c>
      <c r="Q1665" s="463" t="n">
        <f aca="false">O1665*I1665</f>
        <v>8484.3</v>
      </c>
      <c r="R1665" s="48" t="n">
        <f aca="false">K1665-Q1665</f>
        <v>0</v>
      </c>
      <c r="S1665" s="467"/>
      <c r="T1665" s="2" t="s">
        <v>1711</v>
      </c>
      <c r="V1665" s="464"/>
      <c r="W1665" s="464"/>
      <c r="X1665" s="464"/>
      <c r="Y1665" s="464"/>
      <c r="Z1665" s="464"/>
      <c r="AA1665" s="464"/>
      <c r="AB1665" s="464"/>
      <c r="AC1665" s="464"/>
      <c r="AD1665" s="464"/>
      <c r="AE1665" s="464"/>
      <c r="AF1665" s="464"/>
      <c r="AG1665" s="464"/>
      <c r="AH1665" s="465"/>
      <c r="AI1665" s="464"/>
    </row>
    <row r="1666" customFormat="false" ht="15" hidden="false" customHeight="true" outlineLevel="0" collapsed="false">
      <c r="A1666" s="455" t="s">
        <v>2036</v>
      </c>
      <c r="C1666" s="456" t="n">
        <v>45667</v>
      </c>
      <c r="D1666" s="456"/>
      <c r="E1666" s="323" t="n">
        <v>14509</v>
      </c>
      <c r="F1666" s="323" t="s">
        <v>175</v>
      </c>
      <c r="G1666" s="323" t="s">
        <v>10</v>
      </c>
      <c r="H1666" s="98" t="n">
        <v>4020</v>
      </c>
      <c r="I1666" s="457" t="n">
        <v>38.3</v>
      </c>
      <c r="J1666" s="313" t="s">
        <v>1652</v>
      </c>
      <c r="K1666" s="458" t="n">
        <f aca="false">I1666*H1666</f>
        <v>153966</v>
      </c>
      <c r="L1666" s="411" t="n">
        <v>46230</v>
      </c>
      <c r="M1666" s="459" t="n">
        <f aca="false">L1666/K1666</f>
        <v>0.300261096605744</v>
      </c>
      <c r="N1666" s="460" t="n">
        <f aca="false">I1666*M1666</f>
        <v>11.5</v>
      </c>
      <c r="O1666" s="461" t="n">
        <v>4020</v>
      </c>
      <c r="P1666" s="462" t="n">
        <f aca="false">H1666-O1666</f>
        <v>0</v>
      </c>
      <c r="Q1666" s="463" t="n">
        <f aca="false">O1666*I1666</f>
        <v>153966</v>
      </c>
      <c r="R1666" s="48" t="n">
        <f aca="false">K1666-Q1666</f>
        <v>0</v>
      </c>
      <c r="S1666" s="467"/>
      <c r="T1666" s="2" t="s">
        <v>1711</v>
      </c>
      <c r="V1666" s="464"/>
      <c r="W1666" s="464"/>
      <c r="X1666" s="464"/>
      <c r="Y1666" s="464"/>
      <c r="Z1666" s="464"/>
      <c r="AA1666" s="464"/>
      <c r="AB1666" s="464"/>
      <c r="AC1666" s="464"/>
      <c r="AD1666" s="464"/>
      <c r="AE1666" s="464"/>
      <c r="AF1666" s="464"/>
      <c r="AG1666" s="464"/>
      <c r="AH1666" s="465"/>
      <c r="AI1666" s="464"/>
    </row>
    <row r="1667" customFormat="false" ht="15" hidden="false" customHeight="true" outlineLevel="0" collapsed="false">
      <c r="A1667" s="455" t="s">
        <v>1819</v>
      </c>
      <c r="C1667" s="456" t="n">
        <v>45670</v>
      </c>
      <c r="D1667" s="456"/>
      <c r="E1667" s="323" t="n">
        <v>14510</v>
      </c>
      <c r="F1667" s="323" t="s">
        <v>175</v>
      </c>
      <c r="G1667" s="323" t="s">
        <v>6</v>
      </c>
      <c r="H1667" s="98" t="n">
        <v>500</v>
      </c>
      <c r="I1667" s="457" t="n">
        <v>30</v>
      </c>
      <c r="J1667" s="313" t="s">
        <v>1651</v>
      </c>
      <c r="K1667" s="458" t="n">
        <f aca="false">I1667*H1667</f>
        <v>15000</v>
      </c>
      <c r="L1667" s="411" t="n">
        <v>8000</v>
      </c>
      <c r="M1667" s="459" t="n">
        <f aca="false">L1667/K1667</f>
        <v>0.533333333333333</v>
      </c>
      <c r="N1667" s="460" t="n">
        <f aca="false">I1667*M1667</f>
        <v>16</v>
      </c>
      <c r="O1667" s="461" t="n">
        <v>500</v>
      </c>
      <c r="P1667" s="462" t="n">
        <f aca="false">H1667-O1667</f>
        <v>0</v>
      </c>
      <c r="Q1667" s="463" t="n">
        <f aca="false">O1667*I1667</f>
        <v>15000</v>
      </c>
      <c r="R1667" s="48" t="n">
        <f aca="false">K1667-Q1667</f>
        <v>0</v>
      </c>
      <c r="S1667" s="467"/>
      <c r="T1667" s="2" t="s">
        <v>1711</v>
      </c>
      <c r="V1667" s="464"/>
      <c r="W1667" s="464"/>
      <c r="X1667" s="464"/>
      <c r="Y1667" s="464"/>
      <c r="Z1667" s="464"/>
      <c r="AA1667" s="464"/>
      <c r="AB1667" s="464"/>
      <c r="AC1667" s="464"/>
      <c r="AD1667" s="464"/>
      <c r="AE1667" s="464"/>
      <c r="AF1667" s="464"/>
      <c r="AG1667" s="464"/>
      <c r="AH1667" s="465"/>
      <c r="AI1667" s="464"/>
    </row>
    <row r="1668" customFormat="false" ht="15" hidden="false" customHeight="true" outlineLevel="0" collapsed="false">
      <c r="A1668" s="455" t="s">
        <v>1932</v>
      </c>
      <c r="C1668" s="456" t="n">
        <v>45667</v>
      </c>
      <c r="D1668" s="456"/>
      <c r="E1668" s="323" t="n">
        <v>14511</v>
      </c>
      <c r="F1668" s="323" t="s">
        <v>175</v>
      </c>
      <c r="G1668" s="323" t="s">
        <v>5</v>
      </c>
      <c r="H1668" s="98" t="n">
        <v>75</v>
      </c>
      <c r="I1668" s="457" t="n">
        <v>25.71</v>
      </c>
      <c r="J1668" s="313" t="s">
        <v>1651</v>
      </c>
      <c r="K1668" s="458" t="n">
        <f aca="false">I1668*H1668</f>
        <v>1928.25</v>
      </c>
      <c r="L1668" s="411" t="n">
        <v>1125</v>
      </c>
      <c r="M1668" s="459" t="n">
        <f aca="false">L1668/K1668</f>
        <v>0.58343057176196</v>
      </c>
      <c r="N1668" s="460" t="n">
        <f aca="false">I1668*M1668</f>
        <v>15</v>
      </c>
      <c r="O1668" s="461" t="n">
        <v>75</v>
      </c>
      <c r="P1668" s="462" t="n">
        <f aca="false">H1668-O1668</f>
        <v>0</v>
      </c>
      <c r="Q1668" s="463" t="n">
        <f aca="false">O1668*I1668</f>
        <v>1928.25</v>
      </c>
      <c r="R1668" s="48" t="n">
        <f aca="false">K1668-Q1668</f>
        <v>0</v>
      </c>
      <c r="S1668" s="467"/>
      <c r="T1668" s="2" t="s">
        <v>1711</v>
      </c>
      <c r="V1668" s="464"/>
      <c r="W1668" s="464"/>
      <c r="X1668" s="464"/>
      <c r="Y1668" s="464"/>
      <c r="Z1668" s="464"/>
      <c r="AA1668" s="464"/>
      <c r="AB1668" s="464"/>
      <c r="AC1668" s="464"/>
      <c r="AD1668" s="464"/>
      <c r="AE1668" s="464"/>
      <c r="AF1668" s="464"/>
      <c r="AG1668" s="464"/>
      <c r="AH1668" s="465"/>
      <c r="AI1668" s="464"/>
    </row>
    <row r="1669" customFormat="false" ht="15" hidden="false" customHeight="true" outlineLevel="0" collapsed="false">
      <c r="A1669" s="455" t="s">
        <v>2037</v>
      </c>
      <c r="C1669" s="456" t="n">
        <v>45667</v>
      </c>
      <c r="D1669" s="456"/>
      <c r="E1669" s="323" t="n">
        <v>14512</v>
      </c>
      <c r="F1669" s="323" t="s">
        <v>175</v>
      </c>
      <c r="G1669" s="323" t="s">
        <v>5</v>
      </c>
      <c r="H1669" s="98" t="n">
        <v>5004</v>
      </c>
      <c r="I1669" s="457" t="n">
        <v>25.71</v>
      </c>
      <c r="J1669" s="313" t="s">
        <v>1651</v>
      </c>
      <c r="K1669" s="458" t="n">
        <f aca="false">I1669*H1669</f>
        <v>128652.84</v>
      </c>
      <c r="L1669" s="411" t="n">
        <v>65052</v>
      </c>
      <c r="M1669" s="459" t="n">
        <f aca="false">L1669/K1669</f>
        <v>0.505639828860366</v>
      </c>
      <c r="N1669" s="460" t="n">
        <f aca="false">I1669*M1669</f>
        <v>13</v>
      </c>
      <c r="O1669" s="461" t="n">
        <v>5004</v>
      </c>
      <c r="P1669" s="462" t="n">
        <f aca="false">H1669-O1669</f>
        <v>0</v>
      </c>
      <c r="Q1669" s="463" t="n">
        <f aca="false">O1669*I1669</f>
        <v>128652.84</v>
      </c>
      <c r="R1669" s="48" t="n">
        <f aca="false">K1669-Q1669</f>
        <v>0</v>
      </c>
      <c r="S1669" s="467"/>
      <c r="T1669" s="2" t="s">
        <v>1711</v>
      </c>
      <c r="V1669" s="464"/>
      <c r="W1669" s="464"/>
      <c r="X1669" s="464"/>
      <c r="Y1669" s="464"/>
      <c r="Z1669" s="464"/>
      <c r="AA1669" s="464"/>
      <c r="AB1669" s="464"/>
      <c r="AC1669" s="464"/>
      <c r="AD1669" s="464"/>
      <c r="AE1669" s="464"/>
      <c r="AF1669" s="464"/>
      <c r="AG1669" s="464"/>
      <c r="AH1669" s="465"/>
      <c r="AI1669" s="464"/>
    </row>
    <row r="1670" customFormat="false" ht="15" hidden="false" customHeight="true" outlineLevel="0" collapsed="false">
      <c r="A1670" s="455" t="s">
        <v>2037</v>
      </c>
      <c r="C1670" s="456" t="n">
        <v>45667</v>
      </c>
      <c r="D1670" s="456"/>
      <c r="E1670" s="323" t="n">
        <v>14512</v>
      </c>
      <c r="F1670" s="323" t="s">
        <v>175</v>
      </c>
      <c r="G1670" s="323" t="s">
        <v>19</v>
      </c>
      <c r="H1670" s="98" t="n">
        <v>1005</v>
      </c>
      <c r="I1670" s="457" t="n">
        <v>22.5</v>
      </c>
      <c r="J1670" s="313" t="s">
        <v>1651</v>
      </c>
      <c r="K1670" s="458" t="n">
        <f aca="false">I1670*H1670</f>
        <v>22612.5</v>
      </c>
      <c r="L1670" s="411" t="n">
        <v>23818.5</v>
      </c>
      <c r="M1670" s="459" t="n">
        <f aca="false">L1670/K1670</f>
        <v>1.05333333333333</v>
      </c>
      <c r="N1670" s="460" t="n">
        <f aca="false">I1670*M1670</f>
        <v>23.7</v>
      </c>
      <c r="O1670" s="461" t="n">
        <v>1005</v>
      </c>
      <c r="P1670" s="462" t="n">
        <f aca="false">H1670-O1670</f>
        <v>0</v>
      </c>
      <c r="Q1670" s="463" t="n">
        <f aca="false">O1670*I1670</f>
        <v>22612.5</v>
      </c>
      <c r="R1670" s="48" t="n">
        <f aca="false">K1670-Q1670</f>
        <v>0</v>
      </c>
      <c r="S1670" s="467"/>
      <c r="T1670" s="2" t="s">
        <v>1711</v>
      </c>
      <c r="V1670" s="464"/>
      <c r="W1670" s="464"/>
      <c r="X1670" s="464"/>
      <c r="Y1670" s="464"/>
      <c r="Z1670" s="464"/>
      <c r="AA1670" s="464"/>
      <c r="AB1670" s="464"/>
      <c r="AC1670" s="464"/>
      <c r="AD1670" s="464"/>
      <c r="AE1670" s="464"/>
      <c r="AF1670" s="464"/>
      <c r="AG1670" s="464"/>
      <c r="AH1670" s="465"/>
      <c r="AI1670" s="464"/>
    </row>
    <row r="1671" customFormat="false" ht="15" hidden="false" customHeight="true" outlineLevel="0" collapsed="false">
      <c r="A1671" s="455" t="s">
        <v>2037</v>
      </c>
      <c r="C1671" s="456" t="n">
        <v>45667</v>
      </c>
      <c r="D1671" s="456"/>
      <c r="E1671" s="323" t="n">
        <v>14512</v>
      </c>
      <c r="F1671" s="323" t="s">
        <v>175</v>
      </c>
      <c r="G1671" s="323" t="s">
        <v>42</v>
      </c>
      <c r="H1671" s="98" t="n">
        <v>2004</v>
      </c>
      <c r="I1671" s="457" t="n">
        <v>30</v>
      </c>
      <c r="J1671" s="313" t="s">
        <v>1651</v>
      </c>
      <c r="K1671" s="458" t="n">
        <f aca="false">I1671*H1671</f>
        <v>60120</v>
      </c>
      <c r="L1671" s="411" t="n">
        <v>26052</v>
      </c>
      <c r="M1671" s="459" t="n">
        <f aca="false">L1671/K1671</f>
        <v>0.433333333333333</v>
      </c>
      <c r="N1671" s="460" t="n">
        <f aca="false">I1671*M1671</f>
        <v>13</v>
      </c>
      <c r="O1671" s="461" t="n">
        <v>2004</v>
      </c>
      <c r="P1671" s="462" t="n">
        <f aca="false">H1671-O1671</f>
        <v>0</v>
      </c>
      <c r="Q1671" s="463" t="n">
        <f aca="false">O1671*I1671</f>
        <v>60120</v>
      </c>
      <c r="R1671" s="48" t="n">
        <f aca="false">K1671-Q1671</f>
        <v>0</v>
      </c>
      <c r="S1671" s="467"/>
      <c r="T1671" s="2" t="s">
        <v>1711</v>
      </c>
      <c r="V1671" s="464"/>
      <c r="W1671" s="464"/>
      <c r="X1671" s="464"/>
      <c r="Y1671" s="464"/>
      <c r="Z1671" s="464"/>
      <c r="AA1671" s="464"/>
      <c r="AB1671" s="464"/>
      <c r="AC1671" s="464"/>
      <c r="AD1671" s="464"/>
      <c r="AE1671" s="464"/>
      <c r="AF1671" s="464"/>
      <c r="AG1671" s="464"/>
      <c r="AH1671" s="465"/>
      <c r="AI1671" s="464"/>
    </row>
    <row r="1672" customFormat="false" ht="15" hidden="false" customHeight="true" outlineLevel="0" collapsed="false">
      <c r="A1672" s="455" t="s">
        <v>2037</v>
      </c>
      <c r="C1672" s="456" t="n">
        <v>45667</v>
      </c>
      <c r="D1672" s="456"/>
      <c r="E1672" s="323" t="n">
        <v>14512</v>
      </c>
      <c r="F1672" s="323" t="s">
        <v>175</v>
      </c>
      <c r="G1672" s="323" t="s">
        <v>6</v>
      </c>
      <c r="H1672" s="98" t="n">
        <v>4956</v>
      </c>
      <c r="I1672" s="457" t="n">
        <v>30</v>
      </c>
      <c r="J1672" s="313" t="s">
        <v>1651</v>
      </c>
      <c r="K1672" s="458" t="n">
        <f aca="false">I1672*H1672</f>
        <v>148680</v>
      </c>
      <c r="L1672" s="411" t="n">
        <v>74340</v>
      </c>
      <c r="M1672" s="459" t="n">
        <f aca="false">L1672/K1672</f>
        <v>0.5</v>
      </c>
      <c r="N1672" s="460" t="n">
        <f aca="false">I1672*M1672</f>
        <v>15</v>
      </c>
      <c r="O1672" s="461" t="n">
        <v>4956</v>
      </c>
      <c r="P1672" s="462" t="n">
        <f aca="false">H1672-O1672</f>
        <v>0</v>
      </c>
      <c r="Q1672" s="463" t="n">
        <f aca="false">O1672*I1672</f>
        <v>148680</v>
      </c>
      <c r="R1672" s="48" t="n">
        <f aca="false">K1672-Q1672</f>
        <v>0</v>
      </c>
      <c r="S1672" s="467"/>
      <c r="T1672" s="2" t="s">
        <v>1711</v>
      </c>
      <c r="V1672" s="464"/>
      <c r="W1672" s="464"/>
      <c r="X1672" s="464"/>
      <c r="Y1672" s="464"/>
      <c r="Z1672" s="464"/>
      <c r="AA1672" s="464"/>
      <c r="AB1672" s="464"/>
      <c r="AC1672" s="464"/>
      <c r="AD1672" s="464"/>
      <c r="AE1672" s="464"/>
      <c r="AF1672" s="464"/>
      <c r="AG1672" s="464"/>
      <c r="AH1672" s="465"/>
      <c r="AI1672" s="464"/>
    </row>
    <row r="1673" customFormat="false" ht="15" hidden="false" customHeight="true" outlineLevel="0" collapsed="false">
      <c r="A1673" s="455" t="s">
        <v>2037</v>
      </c>
      <c r="C1673" s="456" t="n">
        <v>45667</v>
      </c>
      <c r="D1673" s="456"/>
      <c r="E1673" s="323" t="n">
        <v>14512</v>
      </c>
      <c r="F1673" s="323" t="s">
        <v>175</v>
      </c>
      <c r="G1673" s="323" t="s">
        <v>13</v>
      </c>
      <c r="H1673" s="98" t="n">
        <v>15000</v>
      </c>
      <c r="I1673" s="457" t="n">
        <v>22.5</v>
      </c>
      <c r="J1673" s="313" t="s">
        <v>1651</v>
      </c>
      <c r="K1673" s="458" t="n">
        <f aca="false">I1673*H1673</f>
        <v>337500</v>
      </c>
      <c r="L1673" s="411" t="n">
        <v>180000</v>
      </c>
      <c r="M1673" s="459" t="n">
        <f aca="false">L1673/K1673</f>
        <v>0.533333333333333</v>
      </c>
      <c r="N1673" s="460" t="n">
        <f aca="false">I1673*M1673</f>
        <v>12</v>
      </c>
      <c r="O1673" s="461" t="n">
        <v>15000</v>
      </c>
      <c r="P1673" s="462" t="n">
        <f aca="false">H1673-O1673</f>
        <v>0</v>
      </c>
      <c r="Q1673" s="463" t="n">
        <f aca="false">O1673*I1673</f>
        <v>337500</v>
      </c>
      <c r="R1673" s="48" t="n">
        <f aca="false">K1673-Q1673</f>
        <v>0</v>
      </c>
      <c r="S1673" s="467"/>
      <c r="T1673" s="2" t="s">
        <v>1711</v>
      </c>
      <c r="V1673" s="464"/>
      <c r="W1673" s="464"/>
      <c r="X1673" s="464"/>
      <c r="Y1673" s="464"/>
      <c r="Z1673" s="464"/>
      <c r="AA1673" s="464"/>
      <c r="AB1673" s="464"/>
      <c r="AC1673" s="464"/>
      <c r="AD1673" s="464"/>
      <c r="AE1673" s="464"/>
      <c r="AF1673" s="464"/>
      <c r="AG1673" s="464"/>
      <c r="AH1673" s="465"/>
      <c r="AI1673" s="464"/>
    </row>
    <row r="1674" customFormat="false" ht="15" hidden="false" customHeight="true" outlineLevel="0" collapsed="false">
      <c r="A1674" s="455" t="s">
        <v>2037</v>
      </c>
      <c r="C1674" s="456" t="n">
        <v>45667</v>
      </c>
      <c r="D1674" s="456"/>
      <c r="E1674" s="323" t="n">
        <v>14512</v>
      </c>
      <c r="F1674" s="323" t="s">
        <v>175</v>
      </c>
      <c r="G1674" s="323" t="s">
        <v>17</v>
      </c>
      <c r="H1674" s="98" t="n">
        <v>2013</v>
      </c>
      <c r="I1674" s="457" t="n">
        <v>22.5</v>
      </c>
      <c r="J1674" s="313" t="s">
        <v>1651</v>
      </c>
      <c r="K1674" s="458" t="n">
        <f aca="false">I1674*H1674</f>
        <v>45292.5</v>
      </c>
      <c r="L1674" s="411" t="n">
        <v>24156</v>
      </c>
      <c r="M1674" s="459" t="n">
        <f aca="false">L1674/K1674</f>
        <v>0.533333333333333</v>
      </c>
      <c r="N1674" s="460" t="n">
        <f aca="false">I1674*M1674</f>
        <v>12</v>
      </c>
      <c r="O1674" s="461" t="n">
        <v>2013</v>
      </c>
      <c r="P1674" s="462" t="n">
        <f aca="false">H1674-O1674</f>
        <v>0</v>
      </c>
      <c r="Q1674" s="463" t="n">
        <f aca="false">O1674*I1674</f>
        <v>45292.5</v>
      </c>
      <c r="R1674" s="48" t="n">
        <f aca="false">K1674-Q1674</f>
        <v>0</v>
      </c>
      <c r="S1674" s="467"/>
      <c r="T1674" s="2" t="s">
        <v>1711</v>
      </c>
      <c r="V1674" s="464"/>
      <c r="W1674" s="464"/>
      <c r="X1674" s="464"/>
      <c r="Y1674" s="464"/>
      <c r="Z1674" s="464"/>
      <c r="AA1674" s="464"/>
      <c r="AB1674" s="464"/>
      <c r="AC1674" s="464"/>
      <c r="AD1674" s="464"/>
      <c r="AE1674" s="464"/>
      <c r="AF1674" s="464"/>
      <c r="AG1674" s="464"/>
      <c r="AH1674" s="465"/>
      <c r="AI1674" s="464"/>
    </row>
    <row r="1675" customFormat="false" ht="15" hidden="false" customHeight="true" outlineLevel="0" collapsed="false">
      <c r="A1675" s="455" t="s">
        <v>2037</v>
      </c>
      <c r="C1675" s="456" t="n">
        <v>45667</v>
      </c>
      <c r="D1675" s="456"/>
      <c r="E1675" s="323" t="n">
        <v>14512</v>
      </c>
      <c r="F1675" s="323" t="s">
        <v>175</v>
      </c>
      <c r="G1675" s="323" t="s">
        <v>16</v>
      </c>
      <c r="H1675" s="98" t="n">
        <v>1008</v>
      </c>
      <c r="I1675" s="457" t="n">
        <v>22.5</v>
      </c>
      <c r="J1675" s="313" t="s">
        <v>1651</v>
      </c>
      <c r="K1675" s="458" t="n">
        <f aca="false">I1675*H1675</f>
        <v>22680</v>
      </c>
      <c r="L1675" s="411" t="n">
        <v>18468</v>
      </c>
      <c r="M1675" s="459" t="n">
        <f aca="false">L1675/K1675</f>
        <v>0.814285714285714</v>
      </c>
      <c r="N1675" s="460" t="n">
        <f aca="false">I1675*M1675</f>
        <v>18.3214285714286</v>
      </c>
      <c r="O1675" s="461" t="n">
        <v>1008</v>
      </c>
      <c r="P1675" s="462" t="n">
        <f aca="false">H1675-O1675</f>
        <v>0</v>
      </c>
      <c r="Q1675" s="463" t="n">
        <f aca="false">O1675*I1675</f>
        <v>22680</v>
      </c>
      <c r="R1675" s="48" t="n">
        <f aca="false">K1675-Q1675</f>
        <v>0</v>
      </c>
      <c r="S1675" s="467"/>
      <c r="T1675" s="2" t="s">
        <v>1711</v>
      </c>
      <c r="V1675" s="464"/>
      <c r="W1675" s="464"/>
      <c r="X1675" s="464"/>
      <c r="Y1675" s="464"/>
      <c r="Z1675" s="464"/>
      <c r="AA1675" s="464"/>
      <c r="AB1675" s="464"/>
      <c r="AC1675" s="464"/>
      <c r="AD1675" s="464"/>
      <c r="AE1675" s="464"/>
      <c r="AF1675" s="464"/>
      <c r="AG1675" s="464"/>
      <c r="AH1675" s="465"/>
      <c r="AI1675" s="464"/>
    </row>
    <row r="1676" customFormat="false" ht="15" hidden="false" customHeight="true" outlineLevel="0" collapsed="false">
      <c r="A1676" s="455" t="s">
        <v>2037</v>
      </c>
      <c r="C1676" s="456" t="n">
        <v>45667</v>
      </c>
      <c r="D1676" s="456"/>
      <c r="E1676" s="57" t="n">
        <v>14512</v>
      </c>
      <c r="F1676" s="57" t="s">
        <v>175</v>
      </c>
      <c r="G1676" s="323" t="s">
        <v>6</v>
      </c>
      <c r="H1676" s="98" t="n">
        <v>1000</v>
      </c>
      <c r="I1676" s="457" t="n">
        <v>60</v>
      </c>
      <c r="J1676" s="313" t="s">
        <v>1653</v>
      </c>
      <c r="K1676" s="458" t="n">
        <f aca="false">I1676*H1676</f>
        <v>60000</v>
      </c>
      <c r="L1676" s="411" t="n">
        <v>20000</v>
      </c>
      <c r="M1676" s="459" t="n">
        <f aca="false">L1676/K1676</f>
        <v>0.333333333333333</v>
      </c>
      <c r="N1676" s="460" t="n">
        <f aca="false">I1676*M1676</f>
        <v>20</v>
      </c>
      <c r="O1676" s="461" t="n">
        <v>1000</v>
      </c>
      <c r="P1676" s="462" t="n">
        <f aca="false">H1676-O1676</f>
        <v>0</v>
      </c>
      <c r="Q1676" s="463" t="n">
        <f aca="false">O1676*I1676</f>
        <v>60000</v>
      </c>
      <c r="R1676" s="48" t="n">
        <f aca="false">K1676-Q1676</f>
        <v>0</v>
      </c>
      <c r="S1676" s="467"/>
      <c r="T1676" s="2" t="s">
        <v>1711</v>
      </c>
      <c r="V1676" s="464"/>
      <c r="W1676" s="464"/>
      <c r="X1676" s="464"/>
      <c r="Y1676" s="464"/>
      <c r="Z1676" s="464"/>
      <c r="AA1676" s="464"/>
      <c r="AB1676" s="464"/>
      <c r="AC1676" s="464"/>
      <c r="AD1676" s="464"/>
      <c r="AE1676" s="464"/>
      <c r="AF1676" s="464"/>
      <c r="AG1676" s="464"/>
      <c r="AH1676" s="465"/>
      <c r="AI1676" s="464"/>
    </row>
    <row r="1677" customFormat="false" ht="15" hidden="false" customHeight="true" outlineLevel="0" collapsed="false">
      <c r="A1677" s="455" t="s">
        <v>1758</v>
      </c>
      <c r="C1677" s="456" t="n">
        <v>45670</v>
      </c>
      <c r="D1677" s="456"/>
      <c r="E1677" s="57" t="n">
        <v>14513</v>
      </c>
      <c r="F1677" s="323" t="s">
        <v>175</v>
      </c>
      <c r="G1677" s="323" t="s">
        <v>5</v>
      </c>
      <c r="H1677" s="98" t="n">
        <v>90</v>
      </c>
      <c r="I1677" s="457" t="n">
        <v>25.71</v>
      </c>
      <c r="J1677" s="313" t="s">
        <v>1651</v>
      </c>
      <c r="K1677" s="458" t="n">
        <f aca="false">I1677*H1677</f>
        <v>2313.9</v>
      </c>
      <c r="L1677" s="411" t="n">
        <v>910.8</v>
      </c>
      <c r="M1677" s="459" t="n">
        <f aca="false">L1677/K1677</f>
        <v>0.393621159082069</v>
      </c>
      <c r="N1677" s="460" t="n">
        <f aca="false">I1677*M1677</f>
        <v>10.12</v>
      </c>
      <c r="O1677" s="461" t="n">
        <v>90</v>
      </c>
      <c r="P1677" s="462" t="n">
        <f aca="false">H1677-O1677</f>
        <v>0</v>
      </c>
      <c r="Q1677" s="463" t="n">
        <f aca="false">O1677*I1677</f>
        <v>2313.9</v>
      </c>
      <c r="R1677" s="48" t="n">
        <f aca="false">K1677-Q1677</f>
        <v>0</v>
      </c>
      <c r="S1677" s="467"/>
      <c r="T1677" s="2" t="s">
        <v>1711</v>
      </c>
      <c r="V1677" s="464"/>
      <c r="W1677" s="464"/>
      <c r="X1677" s="464"/>
      <c r="Y1677" s="464"/>
      <c r="Z1677" s="464"/>
      <c r="AA1677" s="464"/>
      <c r="AB1677" s="464"/>
      <c r="AC1677" s="464"/>
      <c r="AD1677" s="464"/>
      <c r="AE1677" s="464"/>
      <c r="AF1677" s="464"/>
      <c r="AG1677" s="464"/>
      <c r="AH1677" s="465"/>
      <c r="AI1677" s="464"/>
    </row>
    <row r="1678" customFormat="false" ht="15" hidden="false" customHeight="true" outlineLevel="0" collapsed="false">
      <c r="A1678" s="455" t="s">
        <v>1819</v>
      </c>
      <c r="C1678" s="456" t="n">
        <v>45670</v>
      </c>
      <c r="D1678" s="456"/>
      <c r="E1678" s="57" t="n">
        <v>14514</v>
      </c>
      <c r="F1678" s="323" t="s">
        <v>175</v>
      </c>
      <c r="G1678" s="323" t="s">
        <v>16</v>
      </c>
      <c r="H1678" s="98" t="n">
        <v>435</v>
      </c>
      <c r="I1678" s="457" t="n">
        <v>22.5</v>
      </c>
      <c r="J1678" s="313" t="s">
        <v>1651</v>
      </c>
      <c r="K1678" s="458" t="n">
        <f aca="false">I1678*H1678</f>
        <v>9787.5</v>
      </c>
      <c r="L1678" s="411" t="n">
        <v>7203.6</v>
      </c>
      <c r="M1678" s="459" t="n">
        <f aca="false">L1678/K1678</f>
        <v>0.736</v>
      </c>
      <c r="N1678" s="460" t="n">
        <f aca="false">I1678*M1678</f>
        <v>16.56</v>
      </c>
      <c r="O1678" s="461" t="n">
        <v>435</v>
      </c>
      <c r="P1678" s="462" t="n">
        <f aca="false">H1678-O1678</f>
        <v>0</v>
      </c>
      <c r="Q1678" s="463" t="n">
        <f aca="false">O1678*I1678</f>
        <v>9787.5</v>
      </c>
      <c r="R1678" s="48" t="n">
        <f aca="false">K1678-Q1678</f>
        <v>0</v>
      </c>
      <c r="S1678" s="467"/>
      <c r="T1678" s="2" t="s">
        <v>1711</v>
      </c>
      <c r="V1678" s="464"/>
      <c r="W1678" s="464"/>
      <c r="X1678" s="464"/>
      <c r="Y1678" s="464"/>
      <c r="Z1678" s="464"/>
      <c r="AA1678" s="464"/>
      <c r="AB1678" s="464"/>
      <c r="AC1678" s="464"/>
      <c r="AD1678" s="464"/>
      <c r="AE1678" s="464"/>
      <c r="AF1678" s="464"/>
      <c r="AG1678" s="464"/>
      <c r="AH1678" s="465"/>
      <c r="AI1678" s="464"/>
    </row>
    <row r="1679" customFormat="false" ht="15" hidden="false" customHeight="true" outlineLevel="0" collapsed="false">
      <c r="A1679" s="455" t="s">
        <v>1819</v>
      </c>
      <c r="C1679" s="456" t="n">
        <v>45670</v>
      </c>
      <c r="D1679" s="456"/>
      <c r="E1679" s="57" t="n">
        <v>14514</v>
      </c>
      <c r="F1679" s="323" t="s">
        <v>175</v>
      </c>
      <c r="G1679" s="323" t="s">
        <v>17</v>
      </c>
      <c r="H1679" s="98" t="n">
        <v>615</v>
      </c>
      <c r="I1679" s="457" t="n">
        <v>22.5</v>
      </c>
      <c r="J1679" s="313" t="s">
        <v>1651</v>
      </c>
      <c r="K1679" s="458" t="n">
        <f aca="false">I1679*H1679</f>
        <v>13837.5</v>
      </c>
      <c r="L1679" s="411" t="n">
        <v>7072.5</v>
      </c>
      <c r="M1679" s="459" t="n">
        <f aca="false">L1679/K1679</f>
        <v>0.511111111111111</v>
      </c>
      <c r="N1679" s="460" t="n">
        <f aca="false">I1679*M1679</f>
        <v>11.5</v>
      </c>
      <c r="O1679" s="461" t="n">
        <v>615</v>
      </c>
      <c r="P1679" s="462" t="n">
        <f aca="false">H1679-O1679</f>
        <v>0</v>
      </c>
      <c r="Q1679" s="463" t="n">
        <f aca="false">O1679*I1679</f>
        <v>13837.5</v>
      </c>
      <c r="R1679" s="48" t="n">
        <f aca="false">K1679-Q1679</f>
        <v>0</v>
      </c>
      <c r="S1679" s="467"/>
      <c r="T1679" s="2" t="s">
        <v>1711</v>
      </c>
      <c r="V1679" s="464"/>
      <c r="W1679" s="464"/>
      <c r="X1679" s="464"/>
      <c r="Y1679" s="464"/>
      <c r="Z1679" s="464"/>
      <c r="AA1679" s="464"/>
      <c r="AB1679" s="464"/>
      <c r="AC1679" s="464"/>
      <c r="AD1679" s="464"/>
      <c r="AE1679" s="464"/>
      <c r="AF1679" s="464"/>
      <c r="AG1679" s="464"/>
      <c r="AH1679" s="465"/>
      <c r="AI1679" s="464"/>
    </row>
    <row r="1680" customFormat="false" ht="15" hidden="false" customHeight="true" outlineLevel="0" collapsed="false">
      <c r="A1680" s="455" t="s">
        <v>1759</v>
      </c>
      <c r="C1680" s="456" t="n">
        <v>45670</v>
      </c>
      <c r="D1680" s="456"/>
      <c r="E1680" s="57" t="n">
        <v>14515</v>
      </c>
      <c r="F1680" s="323" t="s">
        <v>175</v>
      </c>
      <c r="G1680" s="323" t="s">
        <v>5</v>
      </c>
      <c r="H1680" s="98" t="n">
        <v>180</v>
      </c>
      <c r="I1680" s="457" t="n">
        <v>25.71</v>
      </c>
      <c r="J1680" s="313" t="s">
        <v>1651</v>
      </c>
      <c r="K1680" s="458" t="n">
        <f aca="false">I1680*H1680</f>
        <v>4627.8</v>
      </c>
      <c r="L1680" s="411" t="n">
        <v>1821.6</v>
      </c>
      <c r="M1680" s="459" t="n">
        <f aca="false">L1680/K1680</f>
        <v>0.393621159082069</v>
      </c>
      <c r="N1680" s="460" t="n">
        <f aca="false">I1680*M1680</f>
        <v>10.12</v>
      </c>
      <c r="O1680" s="461" t="n">
        <v>180</v>
      </c>
      <c r="P1680" s="462" t="n">
        <f aca="false">H1680-O1680</f>
        <v>0</v>
      </c>
      <c r="Q1680" s="463" t="n">
        <f aca="false">O1680*I1680</f>
        <v>4627.8</v>
      </c>
      <c r="R1680" s="48" t="n">
        <f aca="false">K1680-Q1680</f>
        <v>0</v>
      </c>
      <c r="S1680" s="467"/>
      <c r="T1680" s="2" t="s">
        <v>1711</v>
      </c>
      <c r="V1680" s="464"/>
      <c r="W1680" s="464"/>
      <c r="X1680" s="464"/>
      <c r="Y1680" s="464"/>
      <c r="Z1680" s="464"/>
      <c r="AA1680" s="464"/>
      <c r="AB1680" s="464"/>
      <c r="AC1680" s="464"/>
      <c r="AD1680" s="464"/>
      <c r="AE1680" s="464"/>
      <c r="AF1680" s="464"/>
      <c r="AG1680" s="464"/>
      <c r="AH1680" s="465"/>
      <c r="AI1680" s="464"/>
    </row>
    <row r="1681" customFormat="false" ht="15" hidden="false" customHeight="true" outlineLevel="0" collapsed="false">
      <c r="A1681" s="455" t="s">
        <v>1759</v>
      </c>
      <c r="C1681" s="456" t="n">
        <v>45670</v>
      </c>
      <c r="D1681" s="456"/>
      <c r="E1681" s="57" t="n">
        <v>14516</v>
      </c>
      <c r="F1681" s="323" t="s">
        <v>175</v>
      </c>
      <c r="G1681" s="323" t="s">
        <v>5</v>
      </c>
      <c r="H1681" s="98" t="n">
        <v>255</v>
      </c>
      <c r="I1681" s="457" t="n">
        <v>25.71</v>
      </c>
      <c r="J1681" s="313" t="s">
        <v>1651</v>
      </c>
      <c r="K1681" s="458" t="n">
        <f aca="false">I1681*H1681</f>
        <v>6556.05</v>
      </c>
      <c r="L1681" s="411" t="n">
        <v>2580.6</v>
      </c>
      <c r="M1681" s="459" t="n">
        <f aca="false">L1681/K1681</f>
        <v>0.393621159082069</v>
      </c>
      <c r="N1681" s="460" t="n">
        <f aca="false">I1681*M1681</f>
        <v>10.12</v>
      </c>
      <c r="O1681" s="461" t="n">
        <v>255</v>
      </c>
      <c r="P1681" s="462" t="n">
        <f aca="false">H1681-O1681</f>
        <v>0</v>
      </c>
      <c r="Q1681" s="463" t="n">
        <f aca="false">O1681*I1681</f>
        <v>6556.05</v>
      </c>
      <c r="R1681" s="48" t="n">
        <f aca="false">K1681-Q1681</f>
        <v>0</v>
      </c>
      <c r="S1681" s="467"/>
      <c r="T1681" s="2" t="s">
        <v>1711</v>
      </c>
      <c r="V1681" s="464"/>
      <c r="W1681" s="464"/>
      <c r="X1681" s="464"/>
      <c r="Y1681" s="464"/>
      <c r="Z1681" s="464"/>
      <c r="AA1681" s="464"/>
      <c r="AB1681" s="464"/>
      <c r="AC1681" s="464"/>
      <c r="AD1681" s="464"/>
      <c r="AE1681" s="464"/>
      <c r="AF1681" s="464"/>
      <c r="AG1681" s="464"/>
      <c r="AH1681" s="465"/>
      <c r="AI1681" s="464"/>
    </row>
    <row r="1682" customFormat="false" ht="15" hidden="false" customHeight="true" outlineLevel="0" collapsed="false">
      <c r="A1682" s="455" t="s">
        <v>1759</v>
      </c>
      <c r="C1682" s="456" t="n">
        <v>45670</v>
      </c>
      <c r="D1682" s="456"/>
      <c r="E1682" s="57" t="n">
        <v>14517</v>
      </c>
      <c r="F1682" s="323" t="s">
        <v>175</v>
      </c>
      <c r="G1682" s="323" t="s">
        <v>5</v>
      </c>
      <c r="H1682" s="98" t="n">
        <v>90</v>
      </c>
      <c r="I1682" s="457" t="n">
        <v>25.71</v>
      </c>
      <c r="J1682" s="313" t="s">
        <v>1651</v>
      </c>
      <c r="K1682" s="458" t="n">
        <f aca="false">I1682*H1682</f>
        <v>2313.9</v>
      </c>
      <c r="L1682" s="411" t="n">
        <v>910.8</v>
      </c>
      <c r="M1682" s="459" t="n">
        <f aca="false">L1682/K1682</f>
        <v>0.393621159082069</v>
      </c>
      <c r="N1682" s="460" t="n">
        <f aca="false">I1682*M1682</f>
        <v>10.12</v>
      </c>
      <c r="O1682" s="461" t="n">
        <v>90</v>
      </c>
      <c r="P1682" s="462" t="n">
        <f aca="false">H1682-O1682</f>
        <v>0</v>
      </c>
      <c r="Q1682" s="463" t="n">
        <f aca="false">O1682*I1682</f>
        <v>2313.9</v>
      </c>
      <c r="R1682" s="48" t="n">
        <f aca="false">K1682-Q1682</f>
        <v>0</v>
      </c>
      <c r="S1682" s="467"/>
      <c r="T1682" s="2" t="s">
        <v>1711</v>
      </c>
      <c r="V1682" s="464"/>
      <c r="W1682" s="464"/>
      <c r="X1682" s="464"/>
      <c r="Y1682" s="464"/>
      <c r="Z1682" s="464"/>
      <c r="AA1682" s="464"/>
      <c r="AB1682" s="464"/>
      <c r="AC1682" s="464"/>
      <c r="AD1682" s="464"/>
      <c r="AE1682" s="464"/>
      <c r="AF1682" s="464"/>
      <c r="AG1682" s="464"/>
      <c r="AH1682" s="465"/>
      <c r="AI1682" s="464"/>
    </row>
    <row r="1683" customFormat="false" ht="15" hidden="false" customHeight="true" outlineLevel="0" collapsed="false">
      <c r="A1683" s="455" t="s">
        <v>1796</v>
      </c>
      <c r="C1683" s="456" t="n">
        <v>45670</v>
      </c>
      <c r="D1683" s="456"/>
      <c r="E1683" s="57" t="n">
        <v>14518</v>
      </c>
      <c r="F1683" s="323" t="s">
        <v>175</v>
      </c>
      <c r="G1683" s="323" t="s">
        <v>10</v>
      </c>
      <c r="H1683" s="98" t="n">
        <v>15</v>
      </c>
      <c r="I1683" s="457" t="n">
        <v>38.3</v>
      </c>
      <c r="J1683" s="313" t="s">
        <v>1652</v>
      </c>
      <c r="K1683" s="458" t="n">
        <f aca="false">I1683*H1683</f>
        <v>574.5</v>
      </c>
      <c r="L1683" s="411" t="n">
        <v>172.5</v>
      </c>
      <c r="M1683" s="459" t="n">
        <f aca="false">L1683/K1683</f>
        <v>0.300261096605744</v>
      </c>
      <c r="N1683" s="460" t="n">
        <f aca="false">I1683*M1683</f>
        <v>11.5</v>
      </c>
      <c r="O1683" s="461" t="n">
        <v>15</v>
      </c>
      <c r="P1683" s="462" t="n">
        <f aca="false">H1683-O1683</f>
        <v>0</v>
      </c>
      <c r="Q1683" s="463" t="n">
        <f aca="false">O1683*I1683</f>
        <v>574.5</v>
      </c>
      <c r="R1683" s="48" t="n">
        <f aca="false">K1683-Q1683</f>
        <v>0</v>
      </c>
      <c r="S1683" s="467"/>
      <c r="T1683" s="2" t="s">
        <v>1797</v>
      </c>
      <c r="V1683" s="464"/>
      <c r="W1683" s="464"/>
      <c r="X1683" s="464"/>
      <c r="Y1683" s="464"/>
      <c r="Z1683" s="464"/>
      <c r="AA1683" s="464"/>
      <c r="AB1683" s="464"/>
      <c r="AC1683" s="464"/>
      <c r="AD1683" s="464"/>
      <c r="AE1683" s="464"/>
      <c r="AF1683" s="464"/>
      <c r="AG1683" s="464"/>
      <c r="AH1683" s="465"/>
      <c r="AI1683" s="464"/>
    </row>
    <row r="1684" customFormat="false" ht="15" hidden="false" customHeight="true" outlineLevel="0" collapsed="false">
      <c r="A1684" s="455" t="s">
        <v>2038</v>
      </c>
      <c r="C1684" s="456" t="n">
        <v>45671</v>
      </c>
      <c r="D1684" s="456"/>
      <c r="E1684" s="57" t="n">
        <v>14519</v>
      </c>
      <c r="F1684" s="323" t="s">
        <v>175</v>
      </c>
      <c r="G1684" s="323" t="s">
        <v>6</v>
      </c>
      <c r="H1684" s="98" t="n">
        <v>4000</v>
      </c>
      <c r="I1684" s="457" t="n">
        <v>45</v>
      </c>
      <c r="J1684" s="313" t="s">
        <v>1652</v>
      </c>
      <c r="K1684" s="458" t="n">
        <f aca="false">I1684*H1684</f>
        <v>180000</v>
      </c>
      <c r="L1684" s="411" t="n">
        <v>51280</v>
      </c>
      <c r="M1684" s="459" t="n">
        <f aca="false">L1684/K1684</f>
        <v>0.284888888888889</v>
      </c>
      <c r="N1684" s="460" t="n">
        <f aca="false">I1684*M1684</f>
        <v>12.82</v>
      </c>
      <c r="O1684" s="461" t="n">
        <v>4000</v>
      </c>
      <c r="P1684" s="462" t="n">
        <f aca="false">H1684-O1684</f>
        <v>0</v>
      </c>
      <c r="Q1684" s="463" t="n">
        <f aca="false">O1684*I1684</f>
        <v>180000</v>
      </c>
      <c r="R1684" s="48" t="n">
        <f aca="false">K1684-Q1684</f>
        <v>0</v>
      </c>
      <c r="S1684" s="467"/>
      <c r="T1684" s="2" t="s">
        <v>1711</v>
      </c>
      <c r="V1684" s="464"/>
      <c r="W1684" s="464"/>
      <c r="X1684" s="464"/>
      <c r="Y1684" s="464"/>
      <c r="Z1684" s="464"/>
      <c r="AA1684" s="464"/>
      <c r="AB1684" s="464"/>
      <c r="AC1684" s="464"/>
      <c r="AD1684" s="464"/>
      <c r="AE1684" s="464"/>
      <c r="AF1684" s="464"/>
      <c r="AG1684" s="464"/>
      <c r="AH1684" s="465"/>
      <c r="AI1684" s="464"/>
    </row>
    <row r="1685" customFormat="false" ht="15" hidden="false" customHeight="true" outlineLevel="0" collapsed="false">
      <c r="A1685" s="455" t="s">
        <v>1900</v>
      </c>
      <c r="C1685" s="456" t="n">
        <v>45671</v>
      </c>
      <c r="D1685" s="456"/>
      <c r="E1685" s="57" t="n">
        <v>14520</v>
      </c>
      <c r="F1685" s="323" t="s">
        <v>175</v>
      </c>
      <c r="G1685" s="323" t="s">
        <v>6</v>
      </c>
      <c r="H1685" s="98" t="n">
        <v>24000</v>
      </c>
      <c r="I1685" s="457" t="n">
        <v>45</v>
      </c>
      <c r="J1685" s="313" t="s">
        <v>1652</v>
      </c>
      <c r="K1685" s="458" t="n">
        <f aca="false">I1685*H1685</f>
        <v>1080000</v>
      </c>
      <c r="L1685" s="411" t="n">
        <v>307680</v>
      </c>
      <c r="M1685" s="459" t="n">
        <f aca="false">L1685/K1685</f>
        <v>0.284888888888889</v>
      </c>
      <c r="N1685" s="460" t="n">
        <f aca="false">I1685*M1685</f>
        <v>12.82</v>
      </c>
      <c r="O1685" s="461" t="n">
        <v>24000</v>
      </c>
      <c r="P1685" s="462" t="n">
        <f aca="false">H1685-O1685</f>
        <v>0</v>
      </c>
      <c r="Q1685" s="463" t="n">
        <f aca="false">O1685*I1685</f>
        <v>1080000</v>
      </c>
      <c r="R1685" s="48" t="n">
        <f aca="false">K1685-Q1685</f>
        <v>0</v>
      </c>
      <c r="S1685" s="467"/>
      <c r="T1685" s="2" t="s">
        <v>1711</v>
      </c>
      <c r="V1685" s="464"/>
      <c r="W1685" s="464"/>
      <c r="X1685" s="464"/>
      <c r="Y1685" s="464"/>
      <c r="Z1685" s="464"/>
      <c r="AA1685" s="464"/>
      <c r="AB1685" s="464"/>
      <c r="AC1685" s="464"/>
      <c r="AD1685" s="464"/>
      <c r="AE1685" s="464"/>
      <c r="AF1685" s="464"/>
      <c r="AG1685" s="464"/>
      <c r="AH1685" s="465"/>
      <c r="AI1685" s="464"/>
    </row>
    <row r="1686" customFormat="false" ht="15" hidden="false" customHeight="true" outlineLevel="0" collapsed="false">
      <c r="A1686" s="455" t="s">
        <v>1900</v>
      </c>
      <c r="C1686" s="456" t="n">
        <v>45671</v>
      </c>
      <c r="D1686" s="456"/>
      <c r="E1686" s="57" t="n">
        <v>14521</v>
      </c>
      <c r="F1686" s="323" t="s">
        <v>175</v>
      </c>
      <c r="G1686" s="323" t="s">
        <v>6</v>
      </c>
      <c r="H1686" s="98" t="n">
        <v>50400</v>
      </c>
      <c r="I1686" s="457" t="n">
        <v>45</v>
      </c>
      <c r="J1686" s="313" t="s">
        <v>1652</v>
      </c>
      <c r="K1686" s="458" t="n">
        <f aca="false">I1686*H1686</f>
        <v>2268000</v>
      </c>
      <c r="L1686" s="411" t="n">
        <v>646128</v>
      </c>
      <c r="M1686" s="459" t="n">
        <f aca="false">L1686/K1686</f>
        <v>0.284888888888889</v>
      </c>
      <c r="N1686" s="460" t="n">
        <f aca="false">I1686*M1686</f>
        <v>12.82</v>
      </c>
      <c r="O1686" s="461" t="n">
        <v>50400</v>
      </c>
      <c r="P1686" s="462" t="n">
        <f aca="false">H1686-O1686</f>
        <v>0</v>
      </c>
      <c r="Q1686" s="463" t="n">
        <f aca="false">O1686*I1686</f>
        <v>2268000</v>
      </c>
      <c r="R1686" s="48" t="n">
        <f aca="false">K1686-Q1686</f>
        <v>0</v>
      </c>
      <c r="S1686" s="467"/>
      <c r="T1686" s="2" t="s">
        <v>1711</v>
      </c>
      <c r="V1686" s="464"/>
      <c r="W1686" s="464"/>
      <c r="X1686" s="464"/>
      <c r="Y1686" s="464"/>
      <c r="Z1686" s="464"/>
      <c r="AA1686" s="464"/>
      <c r="AB1686" s="464"/>
      <c r="AC1686" s="464"/>
      <c r="AD1686" s="464"/>
      <c r="AE1686" s="464"/>
      <c r="AF1686" s="464"/>
      <c r="AG1686" s="464"/>
      <c r="AH1686" s="465"/>
      <c r="AI1686" s="464"/>
    </row>
    <row r="1687" customFormat="false" ht="15" hidden="false" customHeight="true" outlineLevel="0" collapsed="false">
      <c r="A1687" s="455" t="s">
        <v>2039</v>
      </c>
      <c r="C1687" s="456" t="n">
        <v>45671</v>
      </c>
      <c r="D1687" s="456"/>
      <c r="E1687" s="57" t="n">
        <v>14522</v>
      </c>
      <c r="F1687" s="323" t="s">
        <v>175</v>
      </c>
      <c r="G1687" s="323" t="s">
        <v>10</v>
      </c>
      <c r="H1687" s="98" t="n">
        <v>1005</v>
      </c>
      <c r="I1687" s="457" t="n">
        <v>38.3</v>
      </c>
      <c r="J1687" s="313" t="s">
        <v>1652</v>
      </c>
      <c r="K1687" s="458" t="n">
        <f aca="false">I1687*H1687</f>
        <v>38491.5</v>
      </c>
      <c r="L1687" s="411" t="n">
        <v>13065</v>
      </c>
      <c r="M1687" s="459" t="n">
        <f aca="false">L1687/K1687</f>
        <v>0.339425587467363</v>
      </c>
      <c r="N1687" s="460" t="n">
        <f aca="false">I1687*M1687</f>
        <v>13</v>
      </c>
      <c r="O1687" s="461" t="n">
        <v>1005</v>
      </c>
      <c r="P1687" s="462" t="n">
        <f aca="false">H1687-O1687</f>
        <v>0</v>
      </c>
      <c r="Q1687" s="463" t="n">
        <f aca="false">O1687*I1687</f>
        <v>38491.5</v>
      </c>
      <c r="R1687" s="48" t="n">
        <f aca="false">K1687-Q1687</f>
        <v>0</v>
      </c>
      <c r="S1687" s="467"/>
      <c r="T1687" s="2" t="s">
        <v>1711</v>
      </c>
      <c r="V1687" s="464"/>
      <c r="W1687" s="464"/>
      <c r="X1687" s="464"/>
      <c r="Y1687" s="464"/>
      <c r="Z1687" s="464"/>
      <c r="AA1687" s="464"/>
      <c r="AB1687" s="464"/>
      <c r="AC1687" s="464"/>
      <c r="AD1687" s="464"/>
      <c r="AE1687" s="464"/>
      <c r="AF1687" s="464"/>
      <c r="AG1687" s="464"/>
      <c r="AH1687" s="465"/>
      <c r="AI1687" s="464"/>
    </row>
    <row r="1688" customFormat="false" ht="15" hidden="false" customHeight="true" outlineLevel="0" collapsed="false">
      <c r="A1688" s="455" t="s">
        <v>2040</v>
      </c>
      <c r="C1688" s="456" t="n">
        <v>45671</v>
      </c>
      <c r="D1688" s="456"/>
      <c r="E1688" s="57" t="n">
        <v>14523</v>
      </c>
      <c r="F1688" s="323" t="s">
        <v>175</v>
      </c>
      <c r="G1688" s="323" t="s">
        <v>10</v>
      </c>
      <c r="H1688" s="98" t="n">
        <v>1005</v>
      </c>
      <c r="I1688" s="457" t="n">
        <v>38.3</v>
      </c>
      <c r="J1688" s="313" t="s">
        <v>1652</v>
      </c>
      <c r="K1688" s="458" t="n">
        <f aca="false">I1688*H1688</f>
        <v>38491.5</v>
      </c>
      <c r="L1688" s="411" t="n">
        <v>13065</v>
      </c>
      <c r="M1688" s="459" t="n">
        <f aca="false">L1688/K1688</f>
        <v>0.339425587467363</v>
      </c>
      <c r="N1688" s="460" t="n">
        <f aca="false">I1688*M1688</f>
        <v>13</v>
      </c>
      <c r="O1688" s="461" t="n">
        <v>1005</v>
      </c>
      <c r="P1688" s="462" t="n">
        <f aca="false">H1688-O1688</f>
        <v>0</v>
      </c>
      <c r="Q1688" s="463" t="n">
        <f aca="false">O1688*I1688</f>
        <v>38491.5</v>
      </c>
      <c r="R1688" s="48" t="n">
        <f aca="false">K1688-Q1688</f>
        <v>0</v>
      </c>
      <c r="S1688" s="467"/>
      <c r="T1688" s="2" t="s">
        <v>1711</v>
      </c>
      <c r="V1688" s="464"/>
      <c r="W1688" s="464"/>
      <c r="X1688" s="464"/>
      <c r="Y1688" s="464"/>
      <c r="Z1688" s="464"/>
      <c r="AA1688" s="464"/>
      <c r="AB1688" s="464"/>
      <c r="AC1688" s="464"/>
      <c r="AD1688" s="464"/>
      <c r="AE1688" s="464"/>
      <c r="AF1688" s="464"/>
      <c r="AG1688" s="464"/>
      <c r="AH1688" s="465"/>
      <c r="AI1688" s="464"/>
    </row>
    <row r="1689" customFormat="false" ht="15" hidden="false" customHeight="true" outlineLevel="0" collapsed="false">
      <c r="A1689" s="455" t="s">
        <v>1753</v>
      </c>
      <c r="C1689" s="456" t="n">
        <v>45671</v>
      </c>
      <c r="D1689" s="456"/>
      <c r="E1689" s="57" t="n">
        <v>14526</v>
      </c>
      <c r="F1689" s="323" t="s">
        <v>175</v>
      </c>
      <c r="G1689" s="323" t="s">
        <v>6</v>
      </c>
      <c r="H1689" s="98" t="n">
        <v>5010</v>
      </c>
      <c r="I1689" s="457" t="n">
        <v>30</v>
      </c>
      <c r="J1689" s="313" t="s">
        <v>1651</v>
      </c>
      <c r="K1689" s="458" t="n">
        <f aca="false">I1689*H1689</f>
        <v>150300</v>
      </c>
      <c r="L1689" s="411" t="n">
        <v>56943</v>
      </c>
      <c r="M1689" s="459" t="n">
        <f aca="false">L1689/K1689</f>
        <v>0.378862275449102</v>
      </c>
      <c r="N1689" s="460" t="n">
        <f aca="false">I1689*M1689</f>
        <v>11.3658682634731</v>
      </c>
      <c r="O1689" s="461" t="n">
        <v>5010</v>
      </c>
      <c r="P1689" s="462" t="n">
        <f aca="false">H1689-O1689</f>
        <v>0</v>
      </c>
      <c r="Q1689" s="463" t="n">
        <f aca="false">O1689*I1689</f>
        <v>150300</v>
      </c>
      <c r="R1689" s="48" t="n">
        <f aca="false">K1689-Q1689</f>
        <v>0</v>
      </c>
      <c r="S1689" s="467"/>
      <c r="T1689" s="2" t="s">
        <v>1711</v>
      </c>
      <c r="V1689" s="464"/>
      <c r="W1689" s="464"/>
      <c r="X1689" s="464"/>
      <c r="Y1689" s="464"/>
      <c r="Z1689" s="464"/>
      <c r="AA1689" s="464"/>
      <c r="AB1689" s="464"/>
      <c r="AC1689" s="464"/>
      <c r="AD1689" s="464"/>
      <c r="AE1689" s="464"/>
      <c r="AF1689" s="464"/>
      <c r="AG1689" s="464"/>
      <c r="AH1689" s="465"/>
      <c r="AI1689" s="464"/>
    </row>
    <row r="1690" customFormat="false" ht="15" hidden="false" customHeight="true" outlineLevel="0" collapsed="false">
      <c r="A1690" s="455" t="s">
        <v>1753</v>
      </c>
      <c r="C1690" s="456" t="n">
        <v>45671</v>
      </c>
      <c r="D1690" s="456"/>
      <c r="E1690" s="57" t="n">
        <v>14526</v>
      </c>
      <c r="F1690" s="323" t="s">
        <v>175</v>
      </c>
      <c r="G1690" s="323" t="s">
        <v>17</v>
      </c>
      <c r="H1690" s="98" t="n">
        <v>1500</v>
      </c>
      <c r="I1690" s="457" t="n">
        <v>40</v>
      </c>
      <c r="J1690" s="313" t="s">
        <v>1653</v>
      </c>
      <c r="K1690" s="458" t="n">
        <f aca="false">I1690*H1690</f>
        <v>60000</v>
      </c>
      <c r="L1690" s="411" t="n">
        <v>21000</v>
      </c>
      <c r="M1690" s="459" t="n">
        <f aca="false">L1690/K1690</f>
        <v>0.35</v>
      </c>
      <c r="N1690" s="460" t="n">
        <f aca="false">I1690*M1690</f>
        <v>14</v>
      </c>
      <c r="O1690" s="461" t="n">
        <v>1500</v>
      </c>
      <c r="P1690" s="462" t="n">
        <f aca="false">H1690-O1690</f>
        <v>0</v>
      </c>
      <c r="Q1690" s="463" t="n">
        <f aca="false">O1690*I1690</f>
        <v>60000</v>
      </c>
      <c r="R1690" s="48" t="n">
        <f aca="false">K1690-Q1690</f>
        <v>0</v>
      </c>
      <c r="S1690" s="467"/>
      <c r="T1690" s="2" t="s">
        <v>1711</v>
      </c>
      <c r="V1690" s="464"/>
      <c r="W1690" s="464"/>
      <c r="X1690" s="464"/>
      <c r="Y1690" s="464"/>
      <c r="Z1690" s="464"/>
      <c r="AA1690" s="464"/>
      <c r="AB1690" s="464"/>
      <c r="AC1690" s="464"/>
      <c r="AD1690" s="464"/>
      <c r="AE1690" s="464"/>
      <c r="AF1690" s="464"/>
      <c r="AG1690" s="464"/>
      <c r="AH1690" s="465"/>
      <c r="AI1690" s="464"/>
    </row>
    <row r="1691" customFormat="false" ht="15" hidden="false" customHeight="true" outlineLevel="0" collapsed="false">
      <c r="A1691" s="455" t="s">
        <v>2041</v>
      </c>
      <c r="C1691" s="456" t="n">
        <v>45671</v>
      </c>
      <c r="D1691" s="456"/>
      <c r="E1691" s="57" t="n">
        <v>14530</v>
      </c>
      <c r="F1691" s="323" t="s">
        <v>175</v>
      </c>
      <c r="G1691" s="323" t="s">
        <v>10</v>
      </c>
      <c r="H1691" s="98" t="n">
        <v>705</v>
      </c>
      <c r="I1691" s="457" t="n">
        <v>38.3</v>
      </c>
      <c r="J1691" s="313" t="s">
        <v>1652</v>
      </c>
      <c r="K1691" s="458" t="n">
        <f aca="false">I1691*H1691</f>
        <v>27001.5</v>
      </c>
      <c r="L1691" s="411" t="n">
        <v>9870</v>
      </c>
      <c r="M1691" s="459" t="n">
        <f aca="false">L1691/K1691</f>
        <v>0.365535248041776</v>
      </c>
      <c r="N1691" s="460" t="n">
        <f aca="false">I1691*M1691</f>
        <v>14</v>
      </c>
      <c r="O1691" s="461" t="n">
        <v>705</v>
      </c>
      <c r="P1691" s="462" t="n">
        <f aca="false">H1691-O1691</f>
        <v>0</v>
      </c>
      <c r="Q1691" s="463" t="n">
        <f aca="false">O1691*I1691</f>
        <v>27001.5</v>
      </c>
      <c r="R1691" s="48" t="n">
        <f aca="false">K1691-Q1691</f>
        <v>0</v>
      </c>
      <c r="S1691" s="467"/>
      <c r="T1691" s="2" t="s">
        <v>1711</v>
      </c>
      <c r="V1691" s="464"/>
      <c r="W1691" s="464"/>
      <c r="X1691" s="464"/>
      <c r="Y1691" s="464"/>
      <c r="Z1691" s="464"/>
      <c r="AA1691" s="464"/>
      <c r="AB1691" s="464"/>
      <c r="AC1691" s="464"/>
      <c r="AD1691" s="464"/>
      <c r="AE1691" s="464"/>
      <c r="AF1691" s="464"/>
      <c r="AG1691" s="464"/>
      <c r="AH1691" s="465"/>
      <c r="AI1691" s="464"/>
    </row>
    <row r="1692" customFormat="false" ht="15" hidden="false" customHeight="true" outlineLevel="0" collapsed="false">
      <c r="A1692" s="455" t="s">
        <v>2042</v>
      </c>
      <c r="C1692" s="456" t="n">
        <v>45672</v>
      </c>
      <c r="D1692" s="456"/>
      <c r="E1692" s="57" t="n">
        <v>14531</v>
      </c>
      <c r="F1692" s="323" t="s">
        <v>175</v>
      </c>
      <c r="G1692" s="323" t="s">
        <v>19</v>
      </c>
      <c r="H1692" s="98" t="n">
        <v>240</v>
      </c>
      <c r="I1692" s="457" t="n">
        <v>22.5</v>
      </c>
      <c r="J1692" s="313" t="s">
        <v>1651</v>
      </c>
      <c r="K1692" s="458" t="n">
        <f aca="false">I1692*H1692</f>
        <v>5400</v>
      </c>
      <c r="L1692" s="411" t="n">
        <v>7224</v>
      </c>
      <c r="M1692" s="459" t="n">
        <f aca="false">L1692/K1692</f>
        <v>1.33777777777778</v>
      </c>
      <c r="N1692" s="460" t="n">
        <f aca="false">I1692*M1692</f>
        <v>30.1</v>
      </c>
      <c r="O1692" s="461" t="n">
        <v>240</v>
      </c>
      <c r="P1692" s="462" t="n">
        <f aca="false">H1692-O1692</f>
        <v>0</v>
      </c>
      <c r="Q1692" s="463" t="n">
        <f aca="false">O1692*I1692</f>
        <v>5400</v>
      </c>
      <c r="R1692" s="48" t="n">
        <f aca="false">K1692-Q1692</f>
        <v>0</v>
      </c>
      <c r="S1692" s="467"/>
      <c r="T1692" s="2" t="s">
        <v>1711</v>
      </c>
      <c r="V1692" s="464"/>
      <c r="W1692" s="464"/>
      <c r="X1692" s="464"/>
      <c r="Y1692" s="464"/>
      <c r="Z1692" s="464"/>
      <c r="AA1692" s="464"/>
      <c r="AB1692" s="464"/>
      <c r="AC1692" s="464"/>
      <c r="AD1692" s="464"/>
      <c r="AE1692" s="464"/>
      <c r="AF1692" s="464"/>
      <c r="AG1692" s="464"/>
      <c r="AH1692" s="465"/>
      <c r="AI1692" s="464"/>
    </row>
    <row r="1693" customFormat="false" ht="15" hidden="false" customHeight="true" outlineLevel="0" collapsed="false">
      <c r="A1693" s="455" t="s">
        <v>2043</v>
      </c>
      <c r="C1693" s="456" t="n">
        <v>45672</v>
      </c>
      <c r="D1693" s="456"/>
      <c r="E1693" s="57" t="n">
        <v>14534</v>
      </c>
      <c r="F1693" s="323" t="s">
        <v>175</v>
      </c>
      <c r="G1693" s="323" t="s">
        <v>10</v>
      </c>
      <c r="H1693" s="98" t="n">
        <v>360</v>
      </c>
      <c r="I1693" s="457" t="n">
        <v>38.3</v>
      </c>
      <c r="J1693" s="313" t="s">
        <v>1652</v>
      </c>
      <c r="K1693" s="458" t="n">
        <f aca="false">I1693*H1693</f>
        <v>13788</v>
      </c>
      <c r="L1693" s="411" t="n">
        <v>4885.2</v>
      </c>
      <c r="M1693" s="459" t="n">
        <f aca="false">L1693/K1693</f>
        <v>0.354308093994778</v>
      </c>
      <c r="N1693" s="460" t="n">
        <f aca="false">I1693*M1693</f>
        <v>13.57</v>
      </c>
      <c r="O1693" s="461" t="n">
        <v>360</v>
      </c>
      <c r="P1693" s="462" t="n">
        <f aca="false">H1693-O1693</f>
        <v>0</v>
      </c>
      <c r="Q1693" s="463" t="n">
        <f aca="false">O1693*I1693</f>
        <v>13788</v>
      </c>
      <c r="R1693" s="48" t="n">
        <f aca="false">K1693-Q1693</f>
        <v>0</v>
      </c>
      <c r="S1693" s="467"/>
      <c r="T1693" s="2" t="s">
        <v>1711</v>
      </c>
      <c r="V1693" s="464"/>
      <c r="W1693" s="464"/>
      <c r="X1693" s="464"/>
      <c r="Y1693" s="464"/>
      <c r="Z1693" s="464"/>
      <c r="AA1693" s="464"/>
      <c r="AB1693" s="464"/>
      <c r="AC1693" s="464"/>
      <c r="AD1693" s="464"/>
      <c r="AE1693" s="464"/>
      <c r="AF1693" s="464"/>
      <c r="AG1693" s="464"/>
      <c r="AH1693" s="465"/>
      <c r="AI1693" s="464"/>
    </row>
    <row r="1694" customFormat="false" ht="15" hidden="false" customHeight="true" outlineLevel="0" collapsed="false">
      <c r="A1694" s="455" t="s">
        <v>58</v>
      </c>
      <c r="C1694" s="456" t="n">
        <v>45672</v>
      </c>
      <c r="D1694" s="456"/>
      <c r="E1694" s="57" t="n">
        <v>14535</v>
      </c>
      <c r="F1694" s="323" t="s">
        <v>175</v>
      </c>
      <c r="G1694" s="323" t="s">
        <v>19</v>
      </c>
      <c r="H1694" s="98" t="n">
        <v>405</v>
      </c>
      <c r="I1694" s="457" t="n">
        <v>22.5</v>
      </c>
      <c r="J1694" s="313" t="s">
        <v>1651</v>
      </c>
      <c r="K1694" s="458" t="n">
        <f aca="false">I1694*H1694</f>
        <v>9112.5</v>
      </c>
      <c r="L1694" s="411" t="n">
        <v>8838.72</v>
      </c>
      <c r="M1694" s="459" t="n">
        <f aca="false">L1694/K1694</f>
        <v>0.969955555555556</v>
      </c>
      <c r="N1694" s="460" t="n">
        <f aca="false">I1694*M1694</f>
        <v>21.824</v>
      </c>
      <c r="O1694" s="461" t="n">
        <v>405</v>
      </c>
      <c r="P1694" s="462" t="n">
        <f aca="false">H1694-O1694</f>
        <v>0</v>
      </c>
      <c r="Q1694" s="463" t="n">
        <f aca="false">O1694*I1694</f>
        <v>9112.5</v>
      </c>
      <c r="R1694" s="48" t="n">
        <f aca="false">K1694-Q1694</f>
        <v>0</v>
      </c>
      <c r="S1694" s="467"/>
      <c r="T1694" s="2" t="s">
        <v>1711</v>
      </c>
      <c r="V1694" s="464"/>
      <c r="W1694" s="464"/>
      <c r="X1694" s="464"/>
      <c r="Y1694" s="464"/>
      <c r="Z1694" s="464"/>
      <c r="AA1694" s="464"/>
      <c r="AB1694" s="464"/>
      <c r="AC1694" s="464"/>
      <c r="AD1694" s="464"/>
      <c r="AE1694" s="464"/>
      <c r="AF1694" s="464"/>
      <c r="AG1694" s="464"/>
      <c r="AH1694" s="465"/>
      <c r="AI1694" s="464"/>
    </row>
    <row r="1695" customFormat="false" ht="15" hidden="false" customHeight="true" outlineLevel="0" collapsed="false">
      <c r="A1695" s="455" t="s">
        <v>1933</v>
      </c>
      <c r="C1695" s="456" t="n">
        <v>45672</v>
      </c>
      <c r="D1695" s="456"/>
      <c r="E1695" s="57" t="n">
        <v>14536</v>
      </c>
      <c r="F1695" s="323" t="s">
        <v>175</v>
      </c>
      <c r="G1695" s="323" t="s">
        <v>15</v>
      </c>
      <c r="H1695" s="98" t="n">
        <v>300</v>
      </c>
      <c r="I1695" s="457" t="n">
        <v>22.5</v>
      </c>
      <c r="J1695" s="313" t="s">
        <v>1651</v>
      </c>
      <c r="K1695" s="458" t="n">
        <f aca="false">I1695*H1695</f>
        <v>6750</v>
      </c>
      <c r="L1695" s="411" t="n">
        <v>5400</v>
      </c>
      <c r="M1695" s="459" t="n">
        <f aca="false">L1695/K1695</f>
        <v>0.8</v>
      </c>
      <c r="N1695" s="460" t="n">
        <f aca="false">I1695*M1695</f>
        <v>18</v>
      </c>
      <c r="O1695" s="461" t="n">
        <v>300</v>
      </c>
      <c r="P1695" s="462" t="n">
        <f aca="false">H1695-O1695</f>
        <v>0</v>
      </c>
      <c r="Q1695" s="463" t="n">
        <f aca="false">O1695*I1695</f>
        <v>6750</v>
      </c>
      <c r="R1695" s="48" t="n">
        <f aca="false">K1695-Q1695</f>
        <v>0</v>
      </c>
      <c r="S1695" s="467"/>
      <c r="T1695" s="2" t="s">
        <v>1711</v>
      </c>
      <c r="V1695" s="464"/>
      <c r="W1695" s="464"/>
      <c r="X1695" s="464"/>
      <c r="Y1695" s="464"/>
      <c r="Z1695" s="464"/>
      <c r="AA1695" s="464"/>
      <c r="AB1695" s="464"/>
      <c r="AC1695" s="464"/>
      <c r="AD1695" s="464"/>
      <c r="AE1695" s="464"/>
      <c r="AF1695" s="464"/>
      <c r="AG1695" s="464"/>
      <c r="AH1695" s="465"/>
      <c r="AI1695" s="464"/>
    </row>
    <row r="1696" customFormat="false" ht="15" hidden="false" customHeight="true" outlineLevel="0" collapsed="false">
      <c r="A1696" s="455" t="s">
        <v>1812</v>
      </c>
      <c r="C1696" s="456" t="n">
        <v>45673</v>
      </c>
      <c r="D1696" s="456"/>
      <c r="E1696" s="57" t="n">
        <v>14538</v>
      </c>
      <c r="F1696" s="323" t="s">
        <v>175</v>
      </c>
      <c r="G1696" s="323" t="s">
        <v>7</v>
      </c>
      <c r="H1696" s="98" t="n">
        <v>150</v>
      </c>
      <c r="I1696" s="457" t="n">
        <v>25.71</v>
      </c>
      <c r="J1696" s="313" t="s">
        <v>1651</v>
      </c>
      <c r="K1696" s="458" t="n">
        <f aca="false">I1696*H1696</f>
        <v>3856.5</v>
      </c>
      <c r="L1696" s="411" t="n">
        <v>1726.5</v>
      </c>
      <c r="M1696" s="459" t="n">
        <f aca="false">L1696/K1696</f>
        <v>0.447685725398678</v>
      </c>
      <c r="N1696" s="460" t="n">
        <f aca="false">I1696*M1696</f>
        <v>11.51</v>
      </c>
      <c r="O1696" s="461" t="n">
        <v>150</v>
      </c>
      <c r="P1696" s="462" t="n">
        <f aca="false">H1696-O1696</f>
        <v>0</v>
      </c>
      <c r="Q1696" s="463" t="n">
        <f aca="false">O1696*I1696</f>
        <v>3856.5</v>
      </c>
      <c r="R1696" s="48" t="n">
        <f aca="false">K1696-Q1696</f>
        <v>0</v>
      </c>
      <c r="S1696" s="467"/>
      <c r="T1696" s="2" t="s">
        <v>1711</v>
      </c>
      <c r="V1696" s="464"/>
      <c r="W1696" s="464"/>
      <c r="X1696" s="464"/>
      <c r="Y1696" s="464"/>
      <c r="Z1696" s="464"/>
      <c r="AA1696" s="464"/>
      <c r="AB1696" s="464"/>
      <c r="AC1696" s="464"/>
      <c r="AD1696" s="464"/>
      <c r="AE1696" s="464"/>
      <c r="AF1696" s="464"/>
      <c r="AG1696" s="464"/>
      <c r="AH1696" s="465"/>
      <c r="AI1696" s="464"/>
    </row>
    <row r="1697" customFormat="false" ht="15" hidden="false" customHeight="true" outlineLevel="0" collapsed="false">
      <c r="A1697" s="455" t="s">
        <v>1812</v>
      </c>
      <c r="C1697" s="456" t="n">
        <v>45673</v>
      </c>
      <c r="D1697" s="456"/>
      <c r="E1697" s="57" t="n">
        <v>14538</v>
      </c>
      <c r="F1697" s="323" t="s">
        <v>175</v>
      </c>
      <c r="G1697" s="323" t="s">
        <v>5</v>
      </c>
      <c r="H1697" s="98" t="n">
        <v>750</v>
      </c>
      <c r="I1697" s="457" t="n">
        <v>25.71</v>
      </c>
      <c r="J1697" s="313" t="s">
        <v>1651</v>
      </c>
      <c r="K1697" s="458" t="n">
        <f aca="false">I1697*H1697</f>
        <v>19282.5</v>
      </c>
      <c r="L1697" s="411" t="n">
        <v>9765</v>
      </c>
      <c r="M1697" s="459" t="n">
        <f aca="false">L1697/K1697</f>
        <v>0.506417736289382</v>
      </c>
      <c r="N1697" s="460" t="n">
        <f aca="false">I1697*M1697</f>
        <v>13.02</v>
      </c>
      <c r="O1697" s="461" t="n">
        <v>750</v>
      </c>
      <c r="P1697" s="462" t="n">
        <f aca="false">H1697-O1697</f>
        <v>0</v>
      </c>
      <c r="Q1697" s="463" t="n">
        <f aca="false">O1697*I1697</f>
        <v>19282.5</v>
      </c>
      <c r="R1697" s="48" t="n">
        <f aca="false">K1697-Q1697</f>
        <v>0</v>
      </c>
      <c r="S1697" s="467"/>
      <c r="T1697" s="2" t="s">
        <v>1711</v>
      </c>
      <c r="V1697" s="464"/>
      <c r="W1697" s="464"/>
      <c r="X1697" s="464"/>
      <c r="Y1697" s="464"/>
      <c r="Z1697" s="464"/>
      <c r="AA1697" s="464"/>
      <c r="AB1697" s="464"/>
      <c r="AC1697" s="464"/>
      <c r="AD1697" s="464"/>
      <c r="AE1697" s="464"/>
      <c r="AF1697" s="464"/>
      <c r="AG1697" s="464"/>
      <c r="AH1697" s="465"/>
      <c r="AI1697" s="464"/>
    </row>
    <row r="1698" customFormat="false" ht="15" hidden="false" customHeight="true" outlineLevel="0" collapsed="false">
      <c r="A1698" s="455" t="s">
        <v>1812</v>
      </c>
      <c r="C1698" s="456" t="n">
        <v>45673</v>
      </c>
      <c r="D1698" s="456"/>
      <c r="E1698" s="57" t="n">
        <v>14538</v>
      </c>
      <c r="F1698" s="323" t="s">
        <v>175</v>
      </c>
      <c r="G1698" s="323" t="s">
        <v>13</v>
      </c>
      <c r="H1698" s="98" t="n">
        <v>60</v>
      </c>
      <c r="I1698" s="457" t="n">
        <v>22.5</v>
      </c>
      <c r="J1698" s="313" t="s">
        <v>1651</v>
      </c>
      <c r="K1698" s="458" t="n">
        <f aca="false">I1698*H1698</f>
        <v>1350</v>
      </c>
      <c r="L1698" s="411" t="n">
        <v>631.2</v>
      </c>
      <c r="M1698" s="459" t="n">
        <f aca="false">L1698/K1698</f>
        <v>0.467555555555556</v>
      </c>
      <c r="N1698" s="460" t="n">
        <f aca="false">I1698*M1698</f>
        <v>10.52</v>
      </c>
      <c r="O1698" s="461" t="n">
        <v>60</v>
      </c>
      <c r="P1698" s="462" t="n">
        <f aca="false">H1698-O1698</f>
        <v>0</v>
      </c>
      <c r="Q1698" s="463" t="n">
        <f aca="false">O1698*I1698</f>
        <v>1350</v>
      </c>
      <c r="R1698" s="48" t="n">
        <f aca="false">K1698-Q1698</f>
        <v>0</v>
      </c>
      <c r="S1698" s="467"/>
      <c r="T1698" s="2" t="s">
        <v>1711</v>
      </c>
      <c r="V1698" s="464"/>
      <c r="W1698" s="464"/>
      <c r="X1698" s="464"/>
      <c r="Y1698" s="464"/>
      <c r="Z1698" s="464"/>
      <c r="AA1698" s="464"/>
      <c r="AB1698" s="464"/>
      <c r="AC1698" s="464"/>
      <c r="AD1698" s="464"/>
      <c r="AE1698" s="464"/>
      <c r="AF1698" s="464"/>
      <c r="AG1698" s="464"/>
      <c r="AH1698" s="465"/>
      <c r="AI1698" s="464"/>
    </row>
    <row r="1699" customFormat="false" ht="15" hidden="false" customHeight="true" outlineLevel="0" collapsed="false">
      <c r="A1699" s="455" t="s">
        <v>64</v>
      </c>
      <c r="C1699" s="456" t="n">
        <v>45673</v>
      </c>
      <c r="D1699" s="456"/>
      <c r="E1699" s="57" t="n">
        <v>14540</v>
      </c>
      <c r="F1699" s="323" t="s">
        <v>175</v>
      </c>
      <c r="G1699" s="323" t="s">
        <v>42</v>
      </c>
      <c r="H1699" s="98" t="n">
        <v>495</v>
      </c>
      <c r="I1699" s="457" t="n">
        <v>30</v>
      </c>
      <c r="J1699" s="313" t="s">
        <v>1651</v>
      </c>
      <c r="K1699" s="458" t="n">
        <f aca="false">I1699*H1699</f>
        <v>14850</v>
      </c>
      <c r="L1699" s="411" t="n">
        <v>6989.4</v>
      </c>
      <c r="M1699" s="459" t="n">
        <f aca="false">L1699/K1699</f>
        <v>0.470666666666667</v>
      </c>
      <c r="N1699" s="460" t="n">
        <f aca="false">I1699*M1699</f>
        <v>14.12</v>
      </c>
      <c r="O1699" s="461" t="n">
        <v>495</v>
      </c>
      <c r="P1699" s="462" t="n">
        <f aca="false">H1699-O1699</f>
        <v>0</v>
      </c>
      <c r="Q1699" s="463" t="n">
        <f aca="false">O1699*I1699</f>
        <v>14850</v>
      </c>
      <c r="R1699" s="48" t="n">
        <f aca="false">K1699-Q1699</f>
        <v>0</v>
      </c>
      <c r="S1699" s="467"/>
      <c r="T1699" s="2" t="s">
        <v>1711</v>
      </c>
      <c r="V1699" s="464"/>
      <c r="W1699" s="464"/>
      <c r="X1699" s="464"/>
      <c r="Y1699" s="464"/>
      <c r="Z1699" s="464"/>
      <c r="AA1699" s="464"/>
      <c r="AB1699" s="464"/>
      <c r="AC1699" s="464"/>
      <c r="AD1699" s="464"/>
      <c r="AE1699" s="464"/>
      <c r="AF1699" s="464"/>
      <c r="AG1699" s="464"/>
      <c r="AH1699" s="465"/>
      <c r="AI1699" s="464"/>
    </row>
    <row r="1700" customFormat="false" ht="15" hidden="false" customHeight="true" outlineLevel="0" collapsed="false">
      <c r="A1700" s="455" t="s">
        <v>64</v>
      </c>
      <c r="C1700" s="456" t="n">
        <v>45673</v>
      </c>
      <c r="D1700" s="456"/>
      <c r="E1700" s="57" t="n">
        <v>14540</v>
      </c>
      <c r="F1700" s="323" t="s">
        <v>175</v>
      </c>
      <c r="G1700" s="323" t="s">
        <v>13</v>
      </c>
      <c r="H1700" s="98" t="n">
        <v>5505</v>
      </c>
      <c r="I1700" s="457" t="n">
        <v>22.5</v>
      </c>
      <c r="J1700" s="313" t="s">
        <v>1651</v>
      </c>
      <c r="K1700" s="458" t="n">
        <f aca="false">I1700*H1700</f>
        <v>123862.5</v>
      </c>
      <c r="L1700" s="411" t="n">
        <v>63307.5</v>
      </c>
      <c r="M1700" s="459" t="n">
        <f aca="false">L1700/K1700</f>
        <v>0.511111111111111</v>
      </c>
      <c r="N1700" s="460" t="n">
        <f aca="false">I1700*M1700</f>
        <v>11.5</v>
      </c>
      <c r="O1700" s="461" t="n">
        <v>5505</v>
      </c>
      <c r="P1700" s="462" t="n">
        <f aca="false">H1700-O1700</f>
        <v>0</v>
      </c>
      <c r="Q1700" s="463" t="n">
        <f aca="false">O1700*I1700</f>
        <v>123862.5</v>
      </c>
      <c r="R1700" s="48" t="n">
        <f aca="false">K1700-Q1700</f>
        <v>0</v>
      </c>
      <c r="S1700" s="467"/>
      <c r="T1700" s="2" t="s">
        <v>1711</v>
      </c>
      <c r="V1700" s="464"/>
      <c r="W1700" s="464"/>
      <c r="X1700" s="464"/>
      <c r="Y1700" s="464"/>
      <c r="Z1700" s="464"/>
      <c r="AA1700" s="464"/>
      <c r="AB1700" s="464"/>
      <c r="AC1700" s="464"/>
      <c r="AD1700" s="464"/>
      <c r="AE1700" s="464"/>
      <c r="AF1700" s="464"/>
      <c r="AG1700" s="464"/>
      <c r="AH1700" s="465"/>
      <c r="AI1700" s="464"/>
    </row>
    <row r="1701" customFormat="false" ht="15" hidden="false" customHeight="true" outlineLevel="0" collapsed="false">
      <c r="A1701" s="455" t="s">
        <v>1868</v>
      </c>
      <c r="C1701" s="456" t="n">
        <v>45673</v>
      </c>
      <c r="D1701" s="456"/>
      <c r="E1701" s="323" t="n">
        <v>14542</v>
      </c>
      <c r="F1701" s="323" t="s">
        <v>175</v>
      </c>
      <c r="G1701" s="323" t="s">
        <v>7</v>
      </c>
      <c r="H1701" s="98" t="n">
        <v>450</v>
      </c>
      <c r="I1701" s="457" t="n">
        <v>25.71</v>
      </c>
      <c r="J1701" s="313" t="s">
        <v>1651</v>
      </c>
      <c r="K1701" s="458" t="n">
        <f aca="false">I1701*H1701</f>
        <v>11569.5</v>
      </c>
      <c r="L1701" s="411" t="n">
        <v>5179.5</v>
      </c>
      <c r="M1701" s="459" t="n">
        <f aca="false">L1701/K1701</f>
        <v>0.447685725398678</v>
      </c>
      <c r="N1701" s="460" t="n">
        <f aca="false">I1701*M1701</f>
        <v>11.51</v>
      </c>
      <c r="O1701" s="461" t="n">
        <v>450</v>
      </c>
      <c r="P1701" s="462" t="n">
        <f aca="false">H1701-O1701</f>
        <v>0</v>
      </c>
      <c r="Q1701" s="463" t="n">
        <f aca="false">O1701*I1701</f>
        <v>11569.5</v>
      </c>
      <c r="R1701" s="48" t="n">
        <f aca="false">K1701-Q1701</f>
        <v>0</v>
      </c>
      <c r="S1701" s="467"/>
      <c r="T1701" s="2" t="s">
        <v>1711</v>
      </c>
      <c r="V1701" s="464"/>
      <c r="W1701" s="464"/>
      <c r="X1701" s="464"/>
      <c r="Y1701" s="464"/>
      <c r="Z1701" s="464"/>
      <c r="AA1701" s="464"/>
      <c r="AB1701" s="464"/>
      <c r="AC1701" s="464"/>
      <c r="AD1701" s="464"/>
      <c r="AE1701" s="464"/>
      <c r="AF1701" s="464"/>
      <c r="AG1701" s="464"/>
      <c r="AH1701" s="465"/>
      <c r="AI1701" s="464"/>
    </row>
    <row r="1702" customFormat="false" ht="15" hidden="false" customHeight="true" outlineLevel="0" collapsed="false">
      <c r="A1702" s="455" t="s">
        <v>1868</v>
      </c>
      <c r="C1702" s="456" t="n">
        <v>45673</v>
      </c>
      <c r="D1702" s="456"/>
      <c r="E1702" s="323" t="n">
        <v>14542</v>
      </c>
      <c r="F1702" s="323" t="s">
        <v>175</v>
      </c>
      <c r="G1702" s="323" t="s">
        <v>19</v>
      </c>
      <c r="H1702" s="98" t="n">
        <v>45</v>
      </c>
      <c r="I1702" s="457" t="n">
        <v>22.5</v>
      </c>
      <c r="J1702" s="313" t="s">
        <v>1651</v>
      </c>
      <c r="K1702" s="458" t="n">
        <f aca="false">I1702*H1702</f>
        <v>1012.5</v>
      </c>
      <c r="L1702" s="411" t="n">
        <v>725.85</v>
      </c>
      <c r="M1702" s="459" t="n">
        <f aca="false">L1702/K1702</f>
        <v>0.716888888888889</v>
      </c>
      <c r="N1702" s="460" t="n">
        <f aca="false">I1702*M1702</f>
        <v>16.13</v>
      </c>
      <c r="O1702" s="461" t="n">
        <v>45</v>
      </c>
      <c r="P1702" s="462" t="n">
        <f aca="false">H1702-O1702</f>
        <v>0</v>
      </c>
      <c r="Q1702" s="463" t="n">
        <f aca="false">O1702*I1702</f>
        <v>1012.5</v>
      </c>
      <c r="R1702" s="48" t="n">
        <f aca="false">K1702-Q1702</f>
        <v>0</v>
      </c>
      <c r="S1702" s="467"/>
      <c r="T1702" s="2" t="s">
        <v>1711</v>
      </c>
      <c r="V1702" s="464"/>
      <c r="W1702" s="464"/>
      <c r="X1702" s="464"/>
      <c r="Y1702" s="464"/>
      <c r="Z1702" s="464"/>
      <c r="AA1702" s="464"/>
      <c r="AB1702" s="464"/>
      <c r="AC1702" s="464"/>
      <c r="AD1702" s="464"/>
      <c r="AE1702" s="464"/>
      <c r="AF1702" s="464"/>
      <c r="AG1702" s="464"/>
      <c r="AH1702" s="465"/>
      <c r="AI1702" s="464"/>
    </row>
    <row r="1703" customFormat="false" ht="15" hidden="false" customHeight="true" outlineLevel="0" collapsed="false">
      <c r="A1703" s="455" t="s">
        <v>1759</v>
      </c>
      <c r="C1703" s="456" t="n">
        <v>45673</v>
      </c>
      <c r="D1703" s="456"/>
      <c r="E1703" s="57" t="n">
        <v>14543</v>
      </c>
      <c r="F1703" s="323" t="s">
        <v>175</v>
      </c>
      <c r="G1703" s="323" t="s">
        <v>5</v>
      </c>
      <c r="H1703" s="98" t="n">
        <v>180</v>
      </c>
      <c r="I1703" s="457" t="n">
        <v>25.71</v>
      </c>
      <c r="J1703" s="313" t="s">
        <v>1651</v>
      </c>
      <c r="K1703" s="458" t="n">
        <f aca="false">I1703*H1703</f>
        <v>4627.8</v>
      </c>
      <c r="L1703" s="411" t="n">
        <v>1821.6</v>
      </c>
      <c r="M1703" s="459" t="n">
        <f aca="false">L1703/K1703</f>
        <v>0.393621159082069</v>
      </c>
      <c r="N1703" s="460" t="n">
        <f aca="false">I1703*M1703</f>
        <v>10.12</v>
      </c>
      <c r="O1703" s="461" t="n">
        <v>180</v>
      </c>
      <c r="P1703" s="462" t="n">
        <f aca="false">H1703-O1703</f>
        <v>0</v>
      </c>
      <c r="Q1703" s="463" t="n">
        <f aca="false">O1703*I1703</f>
        <v>4627.8</v>
      </c>
      <c r="R1703" s="48" t="n">
        <f aca="false">K1703-Q1703</f>
        <v>0</v>
      </c>
      <c r="S1703" s="467"/>
      <c r="T1703" s="2" t="s">
        <v>1711</v>
      </c>
      <c r="V1703" s="464"/>
      <c r="W1703" s="464"/>
      <c r="X1703" s="464"/>
      <c r="Y1703" s="464"/>
      <c r="Z1703" s="464"/>
      <c r="AA1703" s="464"/>
      <c r="AB1703" s="464"/>
      <c r="AC1703" s="464"/>
      <c r="AD1703" s="464"/>
      <c r="AE1703" s="464"/>
      <c r="AF1703" s="464"/>
      <c r="AG1703" s="464"/>
      <c r="AH1703" s="465"/>
      <c r="AI1703" s="464"/>
    </row>
    <row r="1704" customFormat="false" ht="15" hidden="false" customHeight="true" outlineLevel="0" collapsed="false">
      <c r="A1704" s="455" t="s">
        <v>1821</v>
      </c>
      <c r="C1704" s="456" t="n">
        <v>45673</v>
      </c>
      <c r="D1704" s="456"/>
      <c r="E1704" s="57" t="n">
        <v>14544</v>
      </c>
      <c r="F1704" s="323" t="s">
        <v>175</v>
      </c>
      <c r="G1704" s="323" t="s">
        <v>20</v>
      </c>
      <c r="H1704" s="98" t="n">
        <v>510</v>
      </c>
      <c r="I1704" s="457" t="n">
        <v>90</v>
      </c>
      <c r="J1704" s="313" t="s">
        <v>1653</v>
      </c>
      <c r="K1704" s="458" t="n">
        <f aca="false">I1704*H1704</f>
        <v>45900</v>
      </c>
      <c r="L1704" s="411" t="n">
        <v>13137.6</v>
      </c>
      <c r="M1704" s="459" t="n">
        <f aca="false">L1704/K1704</f>
        <v>0.286222222222222</v>
      </c>
      <c r="N1704" s="460" t="n">
        <f aca="false">I1704*M1704</f>
        <v>25.76</v>
      </c>
      <c r="O1704" s="461" t="n">
        <v>510</v>
      </c>
      <c r="P1704" s="462" t="n">
        <f aca="false">H1704-O1704</f>
        <v>0</v>
      </c>
      <c r="Q1704" s="463" t="n">
        <f aca="false">O1704*I1704</f>
        <v>45900</v>
      </c>
      <c r="R1704" s="48" t="n">
        <f aca="false">K1704-Q1704</f>
        <v>0</v>
      </c>
      <c r="S1704" s="467"/>
      <c r="T1704" s="2" t="s">
        <v>1711</v>
      </c>
      <c r="V1704" s="464"/>
      <c r="W1704" s="464"/>
      <c r="X1704" s="464"/>
      <c r="Y1704" s="464"/>
      <c r="Z1704" s="464"/>
      <c r="AA1704" s="464"/>
      <c r="AB1704" s="464"/>
      <c r="AC1704" s="464"/>
      <c r="AD1704" s="464"/>
      <c r="AE1704" s="464"/>
      <c r="AF1704" s="464"/>
      <c r="AG1704" s="464"/>
      <c r="AH1704" s="465"/>
      <c r="AI1704" s="464"/>
    </row>
    <row r="1705" customFormat="false" ht="15" hidden="false" customHeight="true" outlineLevel="0" collapsed="false">
      <c r="A1705" s="455" t="s">
        <v>2044</v>
      </c>
      <c r="C1705" s="456" t="n">
        <v>45673</v>
      </c>
      <c r="D1705" s="456"/>
      <c r="E1705" s="57" t="n">
        <v>14545</v>
      </c>
      <c r="F1705" s="323" t="s">
        <v>175</v>
      </c>
      <c r="G1705" s="323" t="s">
        <v>22</v>
      </c>
      <c r="H1705" s="98" t="n">
        <v>2475</v>
      </c>
      <c r="I1705" s="457" t="n">
        <v>22.5</v>
      </c>
      <c r="J1705" s="313" t="s">
        <v>1651</v>
      </c>
      <c r="K1705" s="458" t="n">
        <f aca="false">I1705*H1705</f>
        <v>55687.5</v>
      </c>
      <c r="L1705" s="411" t="n">
        <v>44550</v>
      </c>
      <c r="M1705" s="459" t="n">
        <f aca="false">L1705/K1705</f>
        <v>0.8</v>
      </c>
      <c r="N1705" s="460" t="n">
        <f aca="false">I1705*M1705</f>
        <v>18</v>
      </c>
      <c r="O1705" s="461" t="n">
        <v>2475</v>
      </c>
      <c r="P1705" s="462" t="n">
        <f aca="false">H1705-O1705</f>
        <v>0</v>
      </c>
      <c r="Q1705" s="463" t="n">
        <f aca="false">O1705*I1705</f>
        <v>55687.5</v>
      </c>
      <c r="R1705" s="48" t="n">
        <f aca="false">K1705-Q1705</f>
        <v>0</v>
      </c>
      <c r="S1705" s="467"/>
      <c r="T1705" s="2" t="s">
        <v>1711</v>
      </c>
      <c r="V1705" s="464"/>
      <c r="W1705" s="464"/>
      <c r="X1705" s="464"/>
      <c r="Y1705" s="464"/>
      <c r="Z1705" s="464"/>
      <c r="AA1705" s="464"/>
      <c r="AB1705" s="464"/>
      <c r="AC1705" s="464"/>
      <c r="AD1705" s="464"/>
      <c r="AE1705" s="464"/>
      <c r="AF1705" s="464"/>
      <c r="AG1705" s="464"/>
      <c r="AH1705" s="465"/>
      <c r="AI1705" s="464"/>
    </row>
    <row r="1706" customFormat="false" ht="15" hidden="false" customHeight="true" outlineLevel="0" collapsed="false">
      <c r="A1706" s="455" t="s">
        <v>1796</v>
      </c>
      <c r="C1706" s="456" t="n">
        <v>45673</v>
      </c>
      <c r="D1706" s="456"/>
      <c r="E1706" s="57" t="n">
        <v>14546</v>
      </c>
      <c r="F1706" s="323" t="s">
        <v>175</v>
      </c>
      <c r="G1706" s="323" t="s">
        <v>10</v>
      </c>
      <c r="H1706" s="98" t="n">
        <v>2400</v>
      </c>
      <c r="I1706" s="457" t="n">
        <v>38.3</v>
      </c>
      <c r="J1706" s="313" t="s">
        <v>1652</v>
      </c>
      <c r="K1706" s="458" t="n">
        <f aca="false">I1706*H1706</f>
        <v>91920</v>
      </c>
      <c r="L1706" s="411" t="n">
        <v>29520</v>
      </c>
      <c r="M1706" s="459" t="n">
        <f aca="false">L1706/K1706</f>
        <v>0.321148825065274</v>
      </c>
      <c r="N1706" s="460" t="n">
        <f aca="false">I1706*M1706</f>
        <v>12.3</v>
      </c>
      <c r="O1706" s="461" t="n">
        <v>2400</v>
      </c>
      <c r="P1706" s="462" t="n">
        <f aca="false">H1706-O1706</f>
        <v>0</v>
      </c>
      <c r="Q1706" s="463" t="n">
        <f aca="false">O1706*I1706</f>
        <v>91920</v>
      </c>
      <c r="R1706" s="48" t="n">
        <f aca="false">K1706-Q1706</f>
        <v>0</v>
      </c>
      <c r="S1706" s="467"/>
      <c r="T1706" s="2" t="s">
        <v>1797</v>
      </c>
      <c r="V1706" s="464"/>
      <c r="W1706" s="464"/>
      <c r="X1706" s="464"/>
      <c r="Y1706" s="464"/>
      <c r="Z1706" s="464"/>
      <c r="AA1706" s="464"/>
      <c r="AB1706" s="464"/>
      <c r="AC1706" s="464"/>
      <c r="AD1706" s="464"/>
      <c r="AE1706" s="464"/>
      <c r="AF1706" s="464"/>
      <c r="AG1706" s="464"/>
      <c r="AH1706" s="465"/>
      <c r="AI1706" s="464"/>
    </row>
    <row r="1707" customFormat="false" ht="15" hidden="false" customHeight="true" outlineLevel="0" collapsed="false">
      <c r="A1707" s="455" t="s">
        <v>2045</v>
      </c>
      <c r="C1707" s="456" t="n">
        <v>45674</v>
      </c>
      <c r="D1707" s="456"/>
      <c r="E1707" s="323" t="n">
        <v>14547</v>
      </c>
      <c r="F1707" s="323" t="s">
        <v>175</v>
      </c>
      <c r="G1707" s="323" t="s">
        <v>11</v>
      </c>
      <c r="H1707" s="98" t="n">
        <v>60</v>
      </c>
      <c r="I1707" s="457" t="n">
        <v>14</v>
      </c>
      <c r="J1707" s="313" t="s">
        <v>1651</v>
      </c>
      <c r="K1707" s="458" t="n">
        <f aca="false">I1707*H1707</f>
        <v>840</v>
      </c>
      <c r="L1707" s="411" t="n">
        <v>4080</v>
      </c>
      <c r="M1707" s="459" t="n">
        <f aca="false">L1707/K1707</f>
        <v>4.85714285714286</v>
      </c>
      <c r="N1707" s="460" t="n">
        <f aca="false">I1707*M1707</f>
        <v>68</v>
      </c>
      <c r="O1707" s="461" t="n">
        <v>60</v>
      </c>
      <c r="P1707" s="462" t="n">
        <f aca="false">H1707-O1707</f>
        <v>0</v>
      </c>
      <c r="Q1707" s="463" t="n">
        <f aca="false">O1707*I1707</f>
        <v>840</v>
      </c>
      <c r="R1707" s="48" t="n">
        <f aca="false">K1707-Q1707</f>
        <v>0</v>
      </c>
      <c r="S1707" s="467"/>
      <c r="T1707" s="2" t="s">
        <v>1711</v>
      </c>
      <c r="V1707" s="464"/>
      <c r="W1707" s="464"/>
      <c r="X1707" s="464"/>
      <c r="Y1707" s="464"/>
      <c r="Z1707" s="464"/>
      <c r="AA1707" s="464"/>
      <c r="AB1707" s="464"/>
      <c r="AC1707" s="464"/>
      <c r="AD1707" s="464"/>
      <c r="AE1707" s="464"/>
      <c r="AF1707" s="464"/>
      <c r="AG1707" s="464"/>
      <c r="AH1707" s="465"/>
      <c r="AI1707" s="464"/>
    </row>
    <row r="1708" customFormat="false" ht="15" hidden="false" customHeight="true" outlineLevel="0" collapsed="false">
      <c r="A1708" s="455" t="s">
        <v>1824</v>
      </c>
      <c r="C1708" s="456" t="n">
        <v>45674</v>
      </c>
      <c r="D1708" s="456"/>
      <c r="E1708" s="323" t="n">
        <v>14548</v>
      </c>
      <c r="F1708" s="323" t="s">
        <v>175</v>
      </c>
      <c r="G1708" s="323" t="s">
        <v>17</v>
      </c>
      <c r="H1708" s="98" t="n">
        <v>750</v>
      </c>
      <c r="I1708" s="457" t="n">
        <v>22.5</v>
      </c>
      <c r="J1708" s="313" t="s">
        <v>1651</v>
      </c>
      <c r="K1708" s="458" t="n">
        <f aca="false">I1708*H1708</f>
        <v>16875</v>
      </c>
      <c r="L1708" s="411" t="n">
        <v>8650</v>
      </c>
      <c r="M1708" s="459" t="n">
        <f aca="false">L1708/K1708</f>
        <v>0.512592592592593</v>
      </c>
      <c r="N1708" s="460" t="n">
        <f aca="false">I1708*M1708</f>
        <v>11.5333333333333</v>
      </c>
      <c r="O1708" s="461" t="n">
        <v>750</v>
      </c>
      <c r="P1708" s="462" t="n">
        <f aca="false">H1708-O1708</f>
        <v>0</v>
      </c>
      <c r="Q1708" s="463" t="n">
        <f aca="false">O1708*I1708</f>
        <v>16875</v>
      </c>
      <c r="R1708" s="48" t="n">
        <f aca="false">K1708-Q1708</f>
        <v>0</v>
      </c>
      <c r="S1708" s="467"/>
      <c r="T1708" s="2" t="s">
        <v>1711</v>
      </c>
      <c r="V1708" s="464"/>
      <c r="W1708" s="464"/>
      <c r="X1708" s="464"/>
      <c r="Y1708" s="464"/>
      <c r="Z1708" s="464"/>
      <c r="AA1708" s="464"/>
      <c r="AB1708" s="464"/>
      <c r="AC1708" s="464"/>
      <c r="AD1708" s="464"/>
      <c r="AE1708" s="464"/>
      <c r="AF1708" s="464"/>
      <c r="AG1708" s="464"/>
      <c r="AH1708" s="465"/>
      <c r="AI1708" s="464"/>
    </row>
    <row r="1709" customFormat="false" ht="15" hidden="false" customHeight="true" outlineLevel="0" collapsed="false">
      <c r="A1709" s="455" t="s">
        <v>1758</v>
      </c>
      <c r="C1709" s="456" t="n">
        <v>45674</v>
      </c>
      <c r="D1709" s="456"/>
      <c r="E1709" s="323" t="n">
        <v>14549</v>
      </c>
      <c r="F1709" s="323" t="s">
        <v>175</v>
      </c>
      <c r="G1709" s="323" t="s">
        <v>6</v>
      </c>
      <c r="H1709" s="98" t="n">
        <v>495</v>
      </c>
      <c r="I1709" s="457" t="n">
        <v>30</v>
      </c>
      <c r="J1709" s="313" t="s">
        <v>1651</v>
      </c>
      <c r="K1709" s="458" t="n">
        <f aca="false">I1709*H1709</f>
        <v>14850</v>
      </c>
      <c r="L1709" s="411" t="n">
        <v>5692.5</v>
      </c>
      <c r="M1709" s="459" t="n">
        <f aca="false">L1709/K1709</f>
        <v>0.383333333333333</v>
      </c>
      <c r="N1709" s="460" t="n">
        <f aca="false">I1709*M1709</f>
        <v>11.5</v>
      </c>
      <c r="O1709" s="461" t="n">
        <v>495</v>
      </c>
      <c r="P1709" s="462" t="n">
        <f aca="false">H1709-O1709</f>
        <v>0</v>
      </c>
      <c r="Q1709" s="463" t="n">
        <f aca="false">O1709*I1709</f>
        <v>14850</v>
      </c>
      <c r="R1709" s="48" t="n">
        <f aca="false">K1709-Q1709</f>
        <v>0</v>
      </c>
      <c r="S1709" s="467"/>
      <c r="T1709" s="2" t="s">
        <v>1711</v>
      </c>
      <c r="V1709" s="464"/>
      <c r="W1709" s="464"/>
      <c r="X1709" s="464"/>
      <c r="Y1709" s="464"/>
      <c r="Z1709" s="464"/>
      <c r="AA1709" s="464"/>
      <c r="AB1709" s="464"/>
      <c r="AC1709" s="464"/>
      <c r="AD1709" s="464"/>
      <c r="AE1709" s="464"/>
      <c r="AF1709" s="464"/>
      <c r="AG1709" s="464"/>
      <c r="AH1709" s="465"/>
      <c r="AI1709" s="464"/>
    </row>
    <row r="1710" customFormat="false" ht="15" hidden="false" customHeight="true" outlineLevel="0" collapsed="false">
      <c r="A1710" s="455" t="s">
        <v>1991</v>
      </c>
      <c r="C1710" s="456" t="n">
        <v>45674</v>
      </c>
      <c r="D1710" s="456"/>
      <c r="E1710" s="323" t="n">
        <v>14550</v>
      </c>
      <c r="F1710" s="323" t="s">
        <v>175</v>
      </c>
      <c r="G1710" s="323" t="s">
        <v>6</v>
      </c>
      <c r="H1710" s="98" t="n">
        <v>6000</v>
      </c>
      <c r="I1710" s="457" t="n">
        <v>45</v>
      </c>
      <c r="J1710" s="313" t="s">
        <v>1652</v>
      </c>
      <c r="K1710" s="458" t="n">
        <f aca="false">I1710*H1710</f>
        <v>270000</v>
      </c>
      <c r="L1710" s="411" t="n">
        <v>119040</v>
      </c>
      <c r="M1710" s="459" t="n">
        <f aca="false">L1710/K1710</f>
        <v>0.440888888888889</v>
      </c>
      <c r="N1710" s="460" t="n">
        <f aca="false">I1710*M1710</f>
        <v>19.84</v>
      </c>
      <c r="O1710" s="461" t="n">
        <v>6000</v>
      </c>
      <c r="P1710" s="462" t="n">
        <f aca="false">H1710-O1710</f>
        <v>0</v>
      </c>
      <c r="Q1710" s="463" t="n">
        <f aca="false">O1710*I1710</f>
        <v>270000</v>
      </c>
      <c r="R1710" s="48" t="n">
        <f aca="false">K1710-Q1710</f>
        <v>0</v>
      </c>
      <c r="S1710" s="467"/>
      <c r="T1710" s="2" t="s">
        <v>1711</v>
      </c>
      <c r="V1710" s="464"/>
      <c r="W1710" s="464"/>
      <c r="X1710" s="464"/>
      <c r="Y1710" s="464"/>
      <c r="Z1710" s="464"/>
      <c r="AA1710" s="464"/>
      <c r="AB1710" s="464"/>
      <c r="AC1710" s="464"/>
      <c r="AD1710" s="464"/>
      <c r="AE1710" s="464"/>
      <c r="AF1710" s="464"/>
      <c r="AG1710" s="464"/>
      <c r="AH1710" s="465"/>
      <c r="AI1710" s="464"/>
    </row>
    <row r="1711" customFormat="false" ht="15" hidden="false" customHeight="true" outlineLevel="0" collapsed="false">
      <c r="A1711" s="455" t="s">
        <v>1753</v>
      </c>
      <c r="C1711" s="456" t="n">
        <v>45674</v>
      </c>
      <c r="D1711" s="456"/>
      <c r="E1711" s="323" t="n">
        <v>14551</v>
      </c>
      <c r="F1711" s="323" t="s">
        <v>175</v>
      </c>
      <c r="G1711" s="323" t="s">
        <v>5</v>
      </c>
      <c r="H1711" s="98" t="n">
        <v>3000</v>
      </c>
      <c r="I1711" s="457" t="n">
        <v>25.71</v>
      </c>
      <c r="J1711" s="313" t="s">
        <v>1651</v>
      </c>
      <c r="K1711" s="458" t="n">
        <f aca="false">I1711*H1711</f>
        <v>77130</v>
      </c>
      <c r="L1711" s="411" t="n">
        <v>33600</v>
      </c>
      <c r="M1711" s="459" t="n">
        <f aca="false">L1711/K1711</f>
        <v>0.43562816024893</v>
      </c>
      <c r="N1711" s="460" t="n">
        <f aca="false">I1711*M1711</f>
        <v>11.2</v>
      </c>
      <c r="O1711" s="461" t="n">
        <v>3000</v>
      </c>
      <c r="P1711" s="462" t="n">
        <f aca="false">H1711-O1711</f>
        <v>0</v>
      </c>
      <c r="Q1711" s="463" t="n">
        <f aca="false">O1711*I1711</f>
        <v>77130</v>
      </c>
      <c r="R1711" s="48" t="n">
        <f aca="false">K1711-Q1711</f>
        <v>0</v>
      </c>
      <c r="S1711" s="467"/>
      <c r="T1711" s="2" t="s">
        <v>1711</v>
      </c>
      <c r="V1711" s="464"/>
      <c r="W1711" s="464"/>
      <c r="X1711" s="464"/>
      <c r="Y1711" s="464"/>
      <c r="Z1711" s="464"/>
      <c r="AA1711" s="464"/>
      <c r="AB1711" s="464"/>
      <c r="AC1711" s="464"/>
      <c r="AD1711" s="464"/>
      <c r="AE1711" s="464"/>
      <c r="AF1711" s="464"/>
      <c r="AG1711" s="464"/>
      <c r="AH1711" s="465"/>
      <c r="AI1711" s="464"/>
    </row>
    <row r="1712" customFormat="false" ht="15" hidden="false" customHeight="true" outlineLevel="0" collapsed="false">
      <c r="A1712" s="455" t="s">
        <v>1753</v>
      </c>
      <c r="C1712" s="456" t="n">
        <v>45674</v>
      </c>
      <c r="D1712" s="456"/>
      <c r="E1712" s="323" t="n">
        <v>14551</v>
      </c>
      <c r="F1712" s="323" t="s">
        <v>175</v>
      </c>
      <c r="G1712" s="323" t="s">
        <v>15</v>
      </c>
      <c r="H1712" s="98" t="n">
        <v>4020</v>
      </c>
      <c r="I1712" s="457" t="n">
        <v>22.5</v>
      </c>
      <c r="J1712" s="313" t="s">
        <v>1651</v>
      </c>
      <c r="K1712" s="458" t="n">
        <f aca="false">I1712*H1712</f>
        <v>90450</v>
      </c>
      <c r="L1712" s="411" t="n">
        <v>52260</v>
      </c>
      <c r="M1712" s="459" t="n">
        <f aca="false">L1712/K1712</f>
        <v>0.577777777777778</v>
      </c>
      <c r="N1712" s="460" t="n">
        <f aca="false">I1712*M1712</f>
        <v>13</v>
      </c>
      <c r="O1712" s="461" t="n">
        <v>4020</v>
      </c>
      <c r="P1712" s="462" t="n">
        <f aca="false">H1712-O1712</f>
        <v>0</v>
      </c>
      <c r="Q1712" s="463" t="n">
        <f aca="false">O1712*I1712</f>
        <v>90450</v>
      </c>
      <c r="R1712" s="48" t="n">
        <f aca="false">K1712-Q1712</f>
        <v>0</v>
      </c>
      <c r="S1712" s="467"/>
      <c r="T1712" s="2" t="s">
        <v>1711</v>
      </c>
      <c r="V1712" s="464"/>
      <c r="W1712" s="464"/>
      <c r="X1712" s="464"/>
      <c r="Y1712" s="464"/>
      <c r="Z1712" s="464"/>
      <c r="AA1712" s="464"/>
      <c r="AB1712" s="464"/>
      <c r="AC1712" s="464"/>
      <c r="AD1712" s="464"/>
      <c r="AE1712" s="464"/>
      <c r="AF1712" s="464"/>
      <c r="AG1712" s="464"/>
      <c r="AH1712" s="465"/>
      <c r="AI1712" s="464"/>
    </row>
    <row r="1713" customFormat="false" ht="15" hidden="false" customHeight="true" outlineLevel="0" collapsed="false">
      <c r="A1713" s="455" t="s">
        <v>1753</v>
      </c>
      <c r="C1713" s="456" t="n">
        <v>45674</v>
      </c>
      <c r="D1713" s="456"/>
      <c r="E1713" s="323" t="n">
        <v>14552</v>
      </c>
      <c r="F1713" s="323" t="s">
        <v>175</v>
      </c>
      <c r="G1713" s="323" t="s">
        <v>15</v>
      </c>
      <c r="H1713" s="98" t="n">
        <v>1500</v>
      </c>
      <c r="I1713" s="457" t="n">
        <v>22.5</v>
      </c>
      <c r="J1713" s="313" t="s">
        <v>1651</v>
      </c>
      <c r="K1713" s="458" t="n">
        <f aca="false">I1713*H1713</f>
        <v>33750</v>
      </c>
      <c r="L1713" s="411" t="n">
        <v>19500</v>
      </c>
      <c r="M1713" s="459" t="n">
        <f aca="false">L1713/K1713</f>
        <v>0.577777777777778</v>
      </c>
      <c r="N1713" s="460" t="n">
        <f aca="false">I1713*M1713</f>
        <v>13</v>
      </c>
      <c r="O1713" s="461" t="n">
        <v>1500</v>
      </c>
      <c r="P1713" s="462" t="n">
        <f aca="false">H1713-O1713</f>
        <v>0</v>
      </c>
      <c r="Q1713" s="463" t="n">
        <f aca="false">O1713*I1713</f>
        <v>33750</v>
      </c>
      <c r="R1713" s="48" t="n">
        <f aca="false">K1713-Q1713</f>
        <v>0</v>
      </c>
      <c r="S1713" s="467"/>
      <c r="T1713" s="2" t="s">
        <v>1711</v>
      </c>
      <c r="V1713" s="464"/>
      <c r="W1713" s="464"/>
      <c r="X1713" s="464"/>
      <c r="Y1713" s="464"/>
      <c r="Z1713" s="464"/>
      <c r="AA1713" s="464"/>
      <c r="AB1713" s="464"/>
      <c r="AC1713" s="464"/>
      <c r="AD1713" s="464"/>
      <c r="AE1713" s="464"/>
      <c r="AF1713" s="464"/>
      <c r="AG1713" s="464"/>
      <c r="AH1713" s="465"/>
      <c r="AI1713" s="464"/>
    </row>
    <row r="1714" customFormat="false" ht="15" hidden="false" customHeight="true" outlineLevel="0" collapsed="false">
      <c r="A1714" s="455" t="s">
        <v>1753</v>
      </c>
      <c r="C1714" s="456" t="n">
        <v>45674</v>
      </c>
      <c r="D1714" s="456"/>
      <c r="E1714" s="323" t="n">
        <v>14553</v>
      </c>
      <c r="F1714" s="323" t="s">
        <v>175</v>
      </c>
      <c r="G1714" s="323" t="s">
        <v>5</v>
      </c>
      <c r="H1714" s="98" t="n">
        <v>2010</v>
      </c>
      <c r="I1714" s="457" t="n">
        <v>25.71</v>
      </c>
      <c r="J1714" s="313" t="s">
        <v>1651</v>
      </c>
      <c r="K1714" s="458" t="n">
        <f aca="false">I1714*H1714</f>
        <v>51677.1</v>
      </c>
      <c r="L1714" s="411" t="n">
        <v>22512</v>
      </c>
      <c r="M1714" s="459" t="n">
        <f aca="false">L1714/K1714</f>
        <v>0.43562816024893</v>
      </c>
      <c r="N1714" s="460" t="n">
        <f aca="false">I1714*M1714</f>
        <v>11.2</v>
      </c>
      <c r="O1714" s="461" t="n">
        <v>2010</v>
      </c>
      <c r="P1714" s="462" t="n">
        <f aca="false">H1714-O1714</f>
        <v>0</v>
      </c>
      <c r="Q1714" s="463" t="n">
        <f aca="false">O1714*I1714</f>
        <v>51677.1</v>
      </c>
      <c r="R1714" s="48" t="n">
        <f aca="false">K1714-Q1714</f>
        <v>0</v>
      </c>
      <c r="S1714" s="467"/>
      <c r="T1714" s="2" t="s">
        <v>1711</v>
      </c>
      <c r="V1714" s="464"/>
      <c r="W1714" s="464"/>
      <c r="X1714" s="464"/>
      <c r="Y1714" s="464"/>
      <c r="Z1714" s="464"/>
      <c r="AA1714" s="464"/>
      <c r="AB1714" s="464"/>
      <c r="AC1714" s="464"/>
      <c r="AD1714" s="464"/>
      <c r="AE1714" s="464"/>
      <c r="AF1714" s="464"/>
      <c r="AG1714" s="464"/>
      <c r="AH1714" s="465"/>
      <c r="AI1714" s="464"/>
    </row>
    <row r="1715" customFormat="false" ht="15" hidden="false" customHeight="true" outlineLevel="0" collapsed="false">
      <c r="A1715" s="455" t="s">
        <v>1753</v>
      </c>
      <c r="C1715" s="456" t="n">
        <v>45674</v>
      </c>
      <c r="D1715" s="456"/>
      <c r="E1715" s="323" t="n">
        <v>14553</v>
      </c>
      <c r="F1715" s="323" t="s">
        <v>175</v>
      </c>
      <c r="G1715" s="323" t="s">
        <v>15</v>
      </c>
      <c r="H1715" s="98" t="n">
        <v>1005</v>
      </c>
      <c r="I1715" s="457" t="n">
        <v>22.5</v>
      </c>
      <c r="J1715" s="313" t="s">
        <v>1651</v>
      </c>
      <c r="K1715" s="458" t="n">
        <f aca="false">I1715*H1715</f>
        <v>22612.5</v>
      </c>
      <c r="L1715" s="411" t="n">
        <v>13065</v>
      </c>
      <c r="M1715" s="459" t="n">
        <f aca="false">L1715/K1715</f>
        <v>0.577777777777778</v>
      </c>
      <c r="N1715" s="460" t="n">
        <f aca="false">I1715*M1715</f>
        <v>13</v>
      </c>
      <c r="O1715" s="461" t="n">
        <v>1005</v>
      </c>
      <c r="P1715" s="462" t="n">
        <f aca="false">H1715-O1715</f>
        <v>0</v>
      </c>
      <c r="Q1715" s="463" t="n">
        <f aca="false">O1715*I1715</f>
        <v>22612.5</v>
      </c>
      <c r="R1715" s="48" t="n">
        <f aca="false">K1715-Q1715</f>
        <v>0</v>
      </c>
      <c r="S1715" s="467"/>
      <c r="T1715" s="2" t="s">
        <v>1711</v>
      </c>
      <c r="V1715" s="464"/>
      <c r="W1715" s="464"/>
      <c r="X1715" s="464"/>
      <c r="Y1715" s="464"/>
      <c r="Z1715" s="464"/>
      <c r="AA1715" s="464"/>
      <c r="AB1715" s="464"/>
      <c r="AC1715" s="464"/>
      <c r="AD1715" s="464"/>
      <c r="AE1715" s="464"/>
      <c r="AF1715" s="464"/>
      <c r="AG1715" s="464"/>
      <c r="AH1715" s="465"/>
      <c r="AI1715" s="464"/>
    </row>
    <row r="1716" customFormat="false" ht="15" hidden="false" customHeight="true" outlineLevel="0" collapsed="false">
      <c r="A1716" s="455" t="s">
        <v>63</v>
      </c>
      <c r="C1716" s="456" t="n">
        <v>45674</v>
      </c>
      <c r="D1716" s="456"/>
      <c r="E1716" s="323" t="n">
        <v>14554</v>
      </c>
      <c r="F1716" s="323" t="s">
        <v>175</v>
      </c>
      <c r="G1716" s="323" t="s">
        <v>7</v>
      </c>
      <c r="H1716" s="98" t="n">
        <v>7500</v>
      </c>
      <c r="I1716" s="457" t="n">
        <v>25.71</v>
      </c>
      <c r="J1716" s="313" t="s">
        <v>1651</v>
      </c>
      <c r="K1716" s="458" t="n">
        <f aca="false">I1716*H1716</f>
        <v>192825</v>
      </c>
      <c r="L1716" s="411" t="n">
        <v>90000</v>
      </c>
      <c r="M1716" s="459" t="n">
        <f aca="false">L1716/K1716</f>
        <v>0.466744457409568</v>
      </c>
      <c r="N1716" s="460" t="n">
        <f aca="false">I1716*M1716</f>
        <v>12</v>
      </c>
      <c r="O1716" s="461" t="n">
        <v>7500</v>
      </c>
      <c r="P1716" s="462" t="n">
        <f aca="false">H1716-O1716</f>
        <v>0</v>
      </c>
      <c r="Q1716" s="463" t="n">
        <f aca="false">O1716*I1716</f>
        <v>192825</v>
      </c>
      <c r="R1716" s="48" t="n">
        <f aca="false">K1716-Q1716</f>
        <v>0</v>
      </c>
      <c r="S1716" s="467"/>
      <c r="T1716" s="2" t="s">
        <v>1711</v>
      </c>
      <c r="V1716" s="464"/>
      <c r="W1716" s="464"/>
      <c r="X1716" s="464"/>
      <c r="Y1716" s="464"/>
      <c r="Z1716" s="464"/>
      <c r="AA1716" s="464"/>
      <c r="AB1716" s="464"/>
      <c r="AC1716" s="464"/>
      <c r="AD1716" s="464"/>
      <c r="AE1716" s="464"/>
      <c r="AF1716" s="464"/>
      <c r="AG1716" s="464"/>
      <c r="AH1716" s="465"/>
      <c r="AI1716" s="464"/>
    </row>
    <row r="1717" customFormat="false" ht="15" hidden="false" customHeight="true" outlineLevel="0" collapsed="false">
      <c r="A1717" s="455" t="s">
        <v>63</v>
      </c>
      <c r="C1717" s="456" t="n">
        <v>45674</v>
      </c>
      <c r="D1717" s="456"/>
      <c r="E1717" s="323" t="n">
        <v>14554</v>
      </c>
      <c r="F1717" s="323" t="s">
        <v>175</v>
      </c>
      <c r="G1717" s="323" t="s">
        <v>17</v>
      </c>
      <c r="H1717" s="98" t="n">
        <v>6000</v>
      </c>
      <c r="I1717" s="457" t="n">
        <v>22.5</v>
      </c>
      <c r="J1717" s="313" t="s">
        <v>1651</v>
      </c>
      <c r="K1717" s="458" t="n">
        <f aca="false">I1717*H1717</f>
        <v>135000</v>
      </c>
      <c r="L1717" s="411" t="n">
        <v>63000</v>
      </c>
      <c r="M1717" s="459" t="n">
        <f aca="false">L1717/K1717</f>
        <v>0.466666666666667</v>
      </c>
      <c r="N1717" s="460" t="n">
        <f aca="false">I1717*M1717</f>
        <v>10.5</v>
      </c>
      <c r="O1717" s="461" t="n">
        <v>6000</v>
      </c>
      <c r="P1717" s="462" t="n">
        <f aca="false">H1717-O1717</f>
        <v>0</v>
      </c>
      <c r="Q1717" s="463" t="n">
        <f aca="false">O1717*I1717</f>
        <v>135000</v>
      </c>
      <c r="R1717" s="48" t="n">
        <f aca="false">K1717-Q1717</f>
        <v>0</v>
      </c>
      <c r="S1717" s="467"/>
      <c r="T1717" s="2" t="s">
        <v>1711</v>
      </c>
      <c r="V1717" s="464"/>
      <c r="W1717" s="464"/>
      <c r="X1717" s="464"/>
      <c r="Y1717" s="464"/>
      <c r="Z1717" s="464"/>
      <c r="AA1717" s="464"/>
      <c r="AB1717" s="464"/>
      <c r="AC1717" s="464"/>
      <c r="AD1717" s="464"/>
      <c r="AE1717" s="464"/>
      <c r="AF1717" s="464"/>
      <c r="AG1717" s="464"/>
      <c r="AH1717" s="465"/>
      <c r="AI1717" s="464"/>
    </row>
    <row r="1718" customFormat="false" ht="15" hidden="false" customHeight="true" outlineLevel="0" collapsed="false">
      <c r="A1718" s="455" t="s">
        <v>63</v>
      </c>
      <c r="C1718" s="456" t="n">
        <v>45674</v>
      </c>
      <c r="D1718" s="456"/>
      <c r="E1718" s="323" t="n">
        <v>14554</v>
      </c>
      <c r="F1718" s="323" t="s">
        <v>175</v>
      </c>
      <c r="G1718" s="323" t="s">
        <v>5</v>
      </c>
      <c r="H1718" s="98" t="n">
        <v>12000</v>
      </c>
      <c r="I1718" s="457" t="n">
        <v>25.71</v>
      </c>
      <c r="J1718" s="313" t="s">
        <v>1651</v>
      </c>
      <c r="K1718" s="458" t="n">
        <f aca="false">I1718*H1718</f>
        <v>308520</v>
      </c>
      <c r="L1718" s="411" t="n">
        <v>129600</v>
      </c>
      <c r="M1718" s="459" t="n">
        <f aca="false">L1718/K1718</f>
        <v>0.420070011668611</v>
      </c>
      <c r="N1718" s="460" t="n">
        <f aca="false">I1718*M1718</f>
        <v>10.8</v>
      </c>
      <c r="O1718" s="461" t="n">
        <v>12000</v>
      </c>
      <c r="P1718" s="462" t="n">
        <f aca="false">H1718-O1718</f>
        <v>0</v>
      </c>
      <c r="Q1718" s="463" t="n">
        <f aca="false">O1718*I1718</f>
        <v>308520</v>
      </c>
      <c r="R1718" s="48" t="n">
        <f aca="false">K1718-Q1718</f>
        <v>0</v>
      </c>
      <c r="S1718" s="467"/>
      <c r="T1718" s="2" t="s">
        <v>1711</v>
      </c>
      <c r="V1718" s="464"/>
      <c r="W1718" s="464"/>
      <c r="X1718" s="464"/>
      <c r="Y1718" s="464"/>
      <c r="Z1718" s="464"/>
      <c r="AA1718" s="464"/>
      <c r="AB1718" s="464"/>
      <c r="AC1718" s="464"/>
      <c r="AD1718" s="464"/>
      <c r="AE1718" s="464"/>
      <c r="AF1718" s="464"/>
      <c r="AG1718" s="464"/>
      <c r="AH1718" s="465"/>
      <c r="AI1718" s="464"/>
    </row>
    <row r="1719" customFormat="false" ht="15" hidden="false" customHeight="true" outlineLevel="0" collapsed="false">
      <c r="A1719" s="455" t="s">
        <v>63</v>
      </c>
      <c r="C1719" s="456" t="n">
        <v>45674</v>
      </c>
      <c r="D1719" s="456"/>
      <c r="E1719" s="323" t="n">
        <v>14554</v>
      </c>
      <c r="F1719" s="323" t="s">
        <v>175</v>
      </c>
      <c r="G1719" s="323" t="s">
        <v>13</v>
      </c>
      <c r="H1719" s="98" t="n">
        <v>10500</v>
      </c>
      <c r="I1719" s="457" t="n">
        <v>22.5</v>
      </c>
      <c r="J1719" s="313" t="s">
        <v>1651</v>
      </c>
      <c r="K1719" s="458" t="n">
        <f aca="false">I1719*H1719</f>
        <v>236250</v>
      </c>
      <c r="L1719" s="411" t="n">
        <v>110250</v>
      </c>
      <c r="M1719" s="459" t="n">
        <f aca="false">L1719/K1719</f>
        <v>0.466666666666667</v>
      </c>
      <c r="N1719" s="460" t="n">
        <f aca="false">I1719*M1719</f>
        <v>10.5</v>
      </c>
      <c r="O1719" s="461" t="n">
        <v>6060</v>
      </c>
      <c r="P1719" s="468" t="n">
        <f aca="false">H1719-O1719</f>
        <v>4440</v>
      </c>
      <c r="Q1719" s="463" t="n">
        <f aca="false">O1719*I1719</f>
        <v>136350</v>
      </c>
      <c r="R1719" s="48" t="n">
        <f aca="false">K1719-Q1719</f>
        <v>99900</v>
      </c>
      <c r="S1719" s="467" t="n">
        <v>45674</v>
      </c>
      <c r="T1719" s="2" t="s">
        <v>1711</v>
      </c>
      <c r="V1719" s="464"/>
      <c r="W1719" s="464"/>
      <c r="X1719" s="464"/>
      <c r="Y1719" s="464"/>
      <c r="Z1719" s="464"/>
      <c r="AA1719" s="464"/>
      <c r="AB1719" s="464"/>
      <c r="AC1719" s="464"/>
      <c r="AD1719" s="464"/>
      <c r="AE1719" s="464"/>
      <c r="AF1719" s="464"/>
      <c r="AG1719" s="464"/>
      <c r="AH1719" s="465"/>
      <c r="AI1719" s="464"/>
    </row>
    <row r="1720" customFormat="false" ht="15" hidden="false" customHeight="true" outlineLevel="0" collapsed="false">
      <c r="A1720" s="455" t="s">
        <v>63</v>
      </c>
      <c r="C1720" s="456" t="n">
        <v>45674</v>
      </c>
      <c r="D1720" s="456"/>
      <c r="E1720" s="323" t="n">
        <v>14554</v>
      </c>
      <c r="F1720" s="323" t="s">
        <v>175</v>
      </c>
      <c r="G1720" s="323" t="s">
        <v>42</v>
      </c>
      <c r="H1720" s="98" t="n">
        <v>4500</v>
      </c>
      <c r="I1720" s="457" t="n">
        <v>30</v>
      </c>
      <c r="J1720" s="313" t="s">
        <v>1651</v>
      </c>
      <c r="K1720" s="458" t="n">
        <f aca="false">I1720*H1720</f>
        <v>135000</v>
      </c>
      <c r="L1720" s="411" t="n">
        <v>60750</v>
      </c>
      <c r="M1720" s="459" t="n">
        <f aca="false">L1720/K1720</f>
        <v>0.45</v>
      </c>
      <c r="N1720" s="460" t="n">
        <f aca="false">I1720*M1720</f>
        <v>13.5</v>
      </c>
      <c r="O1720" s="461" t="n">
        <v>4500</v>
      </c>
      <c r="P1720" s="462" t="n">
        <f aca="false">H1720-O1720</f>
        <v>0</v>
      </c>
      <c r="Q1720" s="463" t="n">
        <f aca="false">O1720*I1720</f>
        <v>135000</v>
      </c>
      <c r="R1720" s="48" t="n">
        <f aca="false">K1720-Q1720</f>
        <v>0</v>
      </c>
      <c r="S1720" s="467"/>
      <c r="T1720" s="2" t="s">
        <v>1711</v>
      </c>
      <c r="V1720" s="464"/>
      <c r="W1720" s="464"/>
      <c r="X1720" s="464"/>
      <c r="Y1720" s="464"/>
      <c r="Z1720" s="464"/>
      <c r="AA1720" s="464"/>
      <c r="AB1720" s="464"/>
      <c r="AC1720" s="464"/>
      <c r="AD1720" s="464"/>
      <c r="AE1720" s="464"/>
      <c r="AF1720" s="464"/>
      <c r="AG1720" s="464"/>
      <c r="AH1720" s="465"/>
      <c r="AI1720" s="464"/>
    </row>
    <row r="1721" customFormat="false" ht="15" hidden="false" customHeight="true" outlineLevel="0" collapsed="false">
      <c r="A1721" s="455" t="s">
        <v>239</v>
      </c>
      <c r="C1721" s="456" t="n">
        <v>45677</v>
      </c>
      <c r="D1721" s="456"/>
      <c r="E1721" s="323" t="s">
        <v>2046</v>
      </c>
      <c r="F1721" s="323" t="s">
        <v>175</v>
      </c>
      <c r="G1721" s="323" t="s">
        <v>5</v>
      </c>
      <c r="H1721" s="98" t="n">
        <v>22222.22</v>
      </c>
      <c r="I1721" s="457" t="n">
        <v>90</v>
      </c>
      <c r="J1721" s="313" t="s">
        <v>1653</v>
      </c>
      <c r="K1721" s="458" t="n">
        <f aca="false">I1721*H1721</f>
        <v>1999999.8</v>
      </c>
      <c r="L1721" s="411" t="n">
        <v>500000</v>
      </c>
      <c r="M1721" s="459" t="n">
        <f aca="false">L1721/K1721</f>
        <v>0.250000025000003</v>
      </c>
      <c r="N1721" s="460" t="n">
        <f aca="false">I1721*M1721</f>
        <v>22.5000022500002</v>
      </c>
      <c r="O1721" s="461" t="n">
        <v>22222.22</v>
      </c>
      <c r="P1721" s="462" t="n">
        <f aca="false">H1721-O1721</f>
        <v>0</v>
      </c>
      <c r="Q1721" s="463" t="n">
        <f aca="false">O1721*I1721</f>
        <v>1999999.8</v>
      </c>
      <c r="R1721" s="48" t="n">
        <f aca="false">K1721-Q1721</f>
        <v>0</v>
      </c>
      <c r="S1721" s="467"/>
      <c r="T1721" s="2" t="s">
        <v>1711</v>
      </c>
      <c r="V1721" s="464"/>
      <c r="W1721" s="464"/>
      <c r="X1721" s="464"/>
      <c r="Y1721" s="464"/>
      <c r="Z1721" s="464"/>
      <c r="AA1721" s="464"/>
      <c r="AB1721" s="464"/>
      <c r="AC1721" s="464"/>
      <c r="AD1721" s="464"/>
      <c r="AE1721" s="464"/>
      <c r="AF1721" s="464"/>
      <c r="AG1721" s="464"/>
      <c r="AH1721" s="465"/>
      <c r="AI1721" s="464"/>
    </row>
    <row r="1722" customFormat="false" ht="15" hidden="false" customHeight="true" outlineLevel="0" collapsed="false">
      <c r="A1722" s="455" t="s">
        <v>239</v>
      </c>
      <c r="C1722" s="456" t="n">
        <v>45677</v>
      </c>
      <c r="D1722" s="456"/>
      <c r="E1722" s="323" t="s">
        <v>2046</v>
      </c>
      <c r="F1722" s="323" t="s">
        <v>175</v>
      </c>
      <c r="G1722" s="323" t="s">
        <v>10</v>
      </c>
      <c r="H1722" s="98" t="n">
        <v>53444.44</v>
      </c>
      <c r="I1722" s="457" t="n">
        <v>90</v>
      </c>
      <c r="J1722" s="313" t="s">
        <v>1653</v>
      </c>
      <c r="K1722" s="458" t="n">
        <f aca="false">I1722*H1722</f>
        <v>4809999.6</v>
      </c>
      <c r="L1722" s="411" t="n">
        <v>432900</v>
      </c>
      <c r="M1722" s="459" t="n">
        <f aca="false">L1722/K1722</f>
        <v>0.0900000074844081</v>
      </c>
      <c r="N1722" s="460" t="n">
        <f aca="false">I1722*M1722</f>
        <v>8.10000067359673</v>
      </c>
      <c r="O1722" s="461" t="n">
        <v>53444.44</v>
      </c>
      <c r="P1722" s="462" t="n">
        <f aca="false">H1722-O1722</f>
        <v>0</v>
      </c>
      <c r="Q1722" s="463" t="n">
        <f aca="false">O1722*I1722</f>
        <v>4809999.6</v>
      </c>
      <c r="R1722" s="48" t="n">
        <f aca="false">K1722-Q1722</f>
        <v>0</v>
      </c>
      <c r="S1722" s="467"/>
      <c r="T1722" s="2" t="s">
        <v>1711</v>
      </c>
      <c r="V1722" s="464"/>
      <c r="W1722" s="464"/>
      <c r="X1722" s="464"/>
      <c r="Y1722" s="464"/>
      <c r="Z1722" s="464"/>
      <c r="AA1722" s="464"/>
      <c r="AB1722" s="464"/>
      <c r="AC1722" s="464"/>
      <c r="AD1722" s="464"/>
      <c r="AE1722" s="464"/>
      <c r="AF1722" s="464"/>
      <c r="AG1722" s="464"/>
      <c r="AH1722" s="465"/>
      <c r="AI1722" s="464"/>
    </row>
    <row r="1723" customFormat="false" ht="15" hidden="false" customHeight="true" outlineLevel="0" collapsed="false">
      <c r="A1723" s="455" t="s">
        <v>2047</v>
      </c>
      <c r="C1723" s="456" t="n">
        <v>45677</v>
      </c>
      <c r="D1723" s="456"/>
      <c r="E1723" s="57" t="n">
        <v>14555</v>
      </c>
      <c r="F1723" s="323" t="s">
        <v>175</v>
      </c>
      <c r="G1723" s="323" t="s">
        <v>10</v>
      </c>
      <c r="H1723" s="98" t="n">
        <v>1770</v>
      </c>
      <c r="I1723" s="457" t="n">
        <v>90</v>
      </c>
      <c r="J1723" s="313" t="s">
        <v>1653</v>
      </c>
      <c r="K1723" s="458" t="n">
        <f aca="false">I1723*H1723</f>
        <v>159300</v>
      </c>
      <c r="L1723" s="411" t="n">
        <v>19706</v>
      </c>
      <c r="M1723" s="459" t="n">
        <f aca="false">L1723/K1723</f>
        <v>0.123703703703704</v>
      </c>
      <c r="N1723" s="460" t="n">
        <f aca="false">I1723*M1723</f>
        <v>11.1333333333333</v>
      </c>
      <c r="O1723" s="461" t="n">
        <v>1770</v>
      </c>
      <c r="P1723" s="462" t="n">
        <f aca="false">H1723-O1723</f>
        <v>0</v>
      </c>
      <c r="Q1723" s="463" t="n">
        <f aca="false">O1723*I1723</f>
        <v>159300</v>
      </c>
      <c r="R1723" s="48" t="n">
        <f aca="false">K1723-Q1723</f>
        <v>0</v>
      </c>
      <c r="S1723" s="467"/>
      <c r="T1723" s="2" t="s">
        <v>1711</v>
      </c>
      <c r="V1723" s="464"/>
      <c r="W1723" s="464"/>
      <c r="X1723" s="464"/>
      <c r="Y1723" s="464"/>
      <c r="Z1723" s="464"/>
      <c r="AA1723" s="464"/>
      <c r="AB1723" s="464"/>
      <c r="AC1723" s="464"/>
      <c r="AD1723" s="464"/>
      <c r="AE1723" s="464"/>
      <c r="AF1723" s="464"/>
      <c r="AG1723" s="464"/>
      <c r="AH1723" s="465"/>
      <c r="AI1723" s="464"/>
    </row>
    <row r="1724" customFormat="false" ht="15" hidden="false" customHeight="true" outlineLevel="0" collapsed="false">
      <c r="A1724" s="455" t="s">
        <v>1821</v>
      </c>
      <c r="C1724" s="456" t="n">
        <v>45677</v>
      </c>
      <c r="D1724" s="456"/>
      <c r="E1724" s="323" t="n">
        <v>14558</v>
      </c>
      <c r="F1724" s="323" t="s">
        <v>175</v>
      </c>
      <c r="G1724" s="323" t="s">
        <v>19</v>
      </c>
      <c r="H1724" s="98" t="n">
        <v>270</v>
      </c>
      <c r="I1724" s="457" t="n">
        <v>37.5</v>
      </c>
      <c r="J1724" s="313" t="s">
        <v>1652</v>
      </c>
      <c r="K1724" s="458" t="n">
        <f aca="false">I1724*H1724</f>
        <v>10125</v>
      </c>
      <c r="L1724" s="411" t="n">
        <v>7425</v>
      </c>
      <c r="M1724" s="459" t="n">
        <f aca="false">L1724/K1724</f>
        <v>0.733333333333333</v>
      </c>
      <c r="N1724" s="460" t="n">
        <f aca="false">I1724*M1724</f>
        <v>27.5</v>
      </c>
      <c r="O1724" s="461" t="n">
        <v>270</v>
      </c>
      <c r="P1724" s="462" t="n">
        <f aca="false">H1724-O1724</f>
        <v>0</v>
      </c>
      <c r="Q1724" s="463" t="n">
        <f aca="false">O1724*I1724</f>
        <v>10125</v>
      </c>
      <c r="R1724" s="48" t="n">
        <f aca="false">K1724-Q1724</f>
        <v>0</v>
      </c>
      <c r="S1724" s="467"/>
      <c r="T1724" s="2" t="s">
        <v>1711</v>
      </c>
      <c r="V1724" s="464"/>
      <c r="W1724" s="464"/>
      <c r="X1724" s="464"/>
      <c r="Y1724" s="464"/>
      <c r="Z1724" s="464"/>
      <c r="AA1724" s="464"/>
      <c r="AB1724" s="464"/>
      <c r="AC1724" s="464"/>
      <c r="AD1724" s="464"/>
      <c r="AE1724" s="464"/>
      <c r="AF1724" s="464"/>
      <c r="AG1724" s="464"/>
      <c r="AH1724" s="465"/>
      <c r="AI1724" s="464"/>
    </row>
    <row r="1725" customFormat="false" ht="15" hidden="false" customHeight="true" outlineLevel="0" collapsed="false">
      <c r="A1725" s="455" t="s">
        <v>1796</v>
      </c>
      <c r="C1725" s="456" t="n">
        <v>45678</v>
      </c>
      <c r="D1725" s="456"/>
      <c r="E1725" s="323" t="n">
        <v>14559</v>
      </c>
      <c r="F1725" s="323" t="s">
        <v>175</v>
      </c>
      <c r="G1725" s="323" t="s">
        <v>17</v>
      </c>
      <c r="H1725" s="98" t="n">
        <v>435</v>
      </c>
      <c r="I1725" s="457" t="n">
        <v>22.5</v>
      </c>
      <c r="J1725" s="313" t="s">
        <v>1651</v>
      </c>
      <c r="K1725" s="458" t="n">
        <f aca="false">I1725*H1725</f>
        <v>9787.5</v>
      </c>
      <c r="L1725" s="411" t="n">
        <v>4785</v>
      </c>
      <c r="M1725" s="459" t="n">
        <f aca="false">L1725/K1725</f>
        <v>0.488888888888889</v>
      </c>
      <c r="N1725" s="460" t="n">
        <f aca="false">I1725*M1725</f>
        <v>11</v>
      </c>
      <c r="O1725" s="461" t="n">
        <v>435</v>
      </c>
      <c r="P1725" s="462" t="n">
        <f aca="false">H1725-O1725</f>
        <v>0</v>
      </c>
      <c r="Q1725" s="463" t="n">
        <f aca="false">O1725*I1725</f>
        <v>9787.5</v>
      </c>
      <c r="R1725" s="48" t="n">
        <f aca="false">K1725-Q1725</f>
        <v>0</v>
      </c>
      <c r="S1725" s="467"/>
      <c r="T1725" s="2" t="s">
        <v>1797</v>
      </c>
      <c r="V1725" s="464"/>
      <c r="W1725" s="464"/>
      <c r="X1725" s="464"/>
      <c r="Y1725" s="464"/>
      <c r="Z1725" s="464"/>
      <c r="AA1725" s="464"/>
      <c r="AB1725" s="464"/>
      <c r="AC1725" s="464"/>
      <c r="AD1725" s="464"/>
      <c r="AE1725" s="464"/>
      <c r="AF1725" s="464"/>
      <c r="AG1725" s="464"/>
      <c r="AH1725" s="465"/>
      <c r="AI1725" s="464"/>
    </row>
    <row r="1726" customFormat="false" ht="15" hidden="false" customHeight="true" outlineLevel="0" collapsed="false">
      <c r="A1726" s="455" t="s">
        <v>1795</v>
      </c>
      <c r="C1726" s="456" t="n">
        <v>45678</v>
      </c>
      <c r="D1726" s="456"/>
      <c r="E1726" s="57" t="n">
        <v>14560</v>
      </c>
      <c r="F1726" s="323" t="s">
        <v>175</v>
      </c>
      <c r="G1726" s="323" t="s">
        <v>19</v>
      </c>
      <c r="H1726" s="98" t="n">
        <v>510</v>
      </c>
      <c r="I1726" s="457" t="n">
        <v>37.5</v>
      </c>
      <c r="J1726" s="313" t="s">
        <v>1652</v>
      </c>
      <c r="K1726" s="458" t="n">
        <f aca="false">I1726*H1726</f>
        <v>19125</v>
      </c>
      <c r="L1726" s="411" t="n">
        <v>14025</v>
      </c>
      <c r="M1726" s="459" t="n">
        <f aca="false">L1726/K1726</f>
        <v>0.733333333333333</v>
      </c>
      <c r="N1726" s="460" t="n">
        <f aca="false">I1726*M1726</f>
        <v>27.5</v>
      </c>
      <c r="O1726" s="461" t="n">
        <v>510</v>
      </c>
      <c r="P1726" s="462" t="n">
        <f aca="false">H1726-O1726</f>
        <v>0</v>
      </c>
      <c r="Q1726" s="463" t="n">
        <f aca="false">O1726*I1726</f>
        <v>19125</v>
      </c>
      <c r="R1726" s="48" t="n">
        <f aca="false">K1726-Q1726</f>
        <v>0</v>
      </c>
      <c r="S1726" s="467"/>
      <c r="T1726" s="2" t="s">
        <v>1711</v>
      </c>
      <c r="V1726" s="464"/>
      <c r="W1726" s="464"/>
      <c r="X1726" s="464"/>
      <c r="Y1726" s="464"/>
      <c r="Z1726" s="464"/>
      <c r="AA1726" s="464"/>
      <c r="AB1726" s="464"/>
      <c r="AC1726" s="464"/>
      <c r="AD1726" s="464"/>
      <c r="AE1726" s="464"/>
      <c r="AF1726" s="464"/>
      <c r="AG1726" s="464"/>
      <c r="AH1726" s="465"/>
      <c r="AI1726" s="464"/>
    </row>
    <row r="1727" customFormat="false" ht="15" hidden="false" customHeight="true" outlineLevel="0" collapsed="false">
      <c r="A1727" s="455" t="s">
        <v>2037</v>
      </c>
      <c r="C1727" s="456" t="n">
        <v>45678</v>
      </c>
      <c r="D1727" s="456"/>
      <c r="E1727" s="57" t="n">
        <v>14561</v>
      </c>
      <c r="F1727" s="323" t="s">
        <v>175</v>
      </c>
      <c r="G1727" s="323" t="s">
        <v>16</v>
      </c>
      <c r="H1727" s="98" t="n">
        <v>150</v>
      </c>
      <c r="I1727" s="457" t="n">
        <v>22.5</v>
      </c>
      <c r="J1727" s="313" t="s">
        <v>1651</v>
      </c>
      <c r="K1727" s="458" t="n">
        <f aca="false">I1727*H1727</f>
        <v>3375</v>
      </c>
      <c r="L1727" s="411" t="n">
        <v>2775</v>
      </c>
      <c r="M1727" s="459" t="n">
        <f aca="false">L1727/K1727</f>
        <v>0.822222222222222</v>
      </c>
      <c r="N1727" s="460" t="n">
        <f aca="false">I1727*M1727</f>
        <v>18.5</v>
      </c>
      <c r="O1727" s="461" t="n">
        <v>150</v>
      </c>
      <c r="P1727" s="462" t="n">
        <f aca="false">H1727-O1727</f>
        <v>0</v>
      </c>
      <c r="Q1727" s="463" t="n">
        <f aca="false">O1727*I1727</f>
        <v>3375</v>
      </c>
      <c r="R1727" s="48" t="n">
        <f aca="false">K1727-Q1727</f>
        <v>0</v>
      </c>
      <c r="S1727" s="467"/>
      <c r="T1727" s="2" t="s">
        <v>1711</v>
      </c>
      <c r="V1727" s="464"/>
      <c r="W1727" s="464"/>
      <c r="X1727" s="464"/>
      <c r="Y1727" s="464"/>
      <c r="Z1727" s="464"/>
      <c r="AA1727" s="464"/>
      <c r="AB1727" s="464"/>
      <c r="AC1727" s="464"/>
      <c r="AD1727" s="464"/>
      <c r="AE1727" s="464"/>
      <c r="AF1727" s="464"/>
      <c r="AG1727" s="464"/>
      <c r="AH1727" s="465"/>
      <c r="AI1727" s="464"/>
    </row>
    <row r="1728" customFormat="false" ht="15" hidden="false" customHeight="true" outlineLevel="0" collapsed="false">
      <c r="A1728" s="455" t="s">
        <v>1753</v>
      </c>
      <c r="C1728" s="456" t="n">
        <v>45678</v>
      </c>
      <c r="D1728" s="456"/>
      <c r="E1728" s="57" t="n">
        <v>14562</v>
      </c>
      <c r="F1728" s="323" t="s">
        <v>175</v>
      </c>
      <c r="G1728" s="323" t="s">
        <v>17</v>
      </c>
      <c r="H1728" s="98" t="n">
        <v>705</v>
      </c>
      <c r="I1728" s="457" t="n">
        <v>22.5</v>
      </c>
      <c r="J1728" s="313" t="s">
        <v>1651</v>
      </c>
      <c r="K1728" s="458" t="n">
        <f aca="false">I1728*H1728</f>
        <v>15862.5</v>
      </c>
      <c r="L1728" s="411" t="n">
        <v>91650</v>
      </c>
      <c r="M1728" s="459" t="n">
        <f aca="false">L1728/K1728</f>
        <v>5.77777777777778</v>
      </c>
      <c r="N1728" s="460" t="n">
        <f aca="false">I1728*M1728</f>
        <v>130</v>
      </c>
      <c r="O1728" s="461" t="n">
        <v>705</v>
      </c>
      <c r="P1728" s="462" t="n">
        <f aca="false">H1728-O1728</f>
        <v>0</v>
      </c>
      <c r="Q1728" s="463" t="n">
        <f aca="false">O1728*I1728</f>
        <v>15862.5</v>
      </c>
      <c r="R1728" s="48" t="n">
        <f aca="false">K1728-Q1728</f>
        <v>0</v>
      </c>
      <c r="S1728" s="467"/>
      <c r="T1728" s="2" t="s">
        <v>1711</v>
      </c>
      <c r="V1728" s="464"/>
      <c r="W1728" s="464"/>
      <c r="X1728" s="464"/>
      <c r="Y1728" s="464"/>
      <c r="Z1728" s="464"/>
      <c r="AA1728" s="464"/>
      <c r="AB1728" s="464"/>
      <c r="AC1728" s="464"/>
      <c r="AD1728" s="464"/>
      <c r="AE1728" s="464"/>
      <c r="AF1728" s="464"/>
      <c r="AG1728" s="464"/>
      <c r="AH1728" s="465"/>
      <c r="AI1728" s="464"/>
    </row>
    <row r="1729" customFormat="false" ht="15" hidden="false" customHeight="true" outlineLevel="0" collapsed="false">
      <c r="A1729" s="455" t="s">
        <v>1947</v>
      </c>
      <c r="C1729" s="456" t="n">
        <v>45678</v>
      </c>
      <c r="D1729" s="456"/>
      <c r="E1729" s="57" t="n">
        <v>14563</v>
      </c>
      <c r="F1729" s="323" t="s">
        <v>175</v>
      </c>
      <c r="G1729" s="323" t="s">
        <v>10</v>
      </c>
      <c r="H1729" s="98" t="n">
        <v>600</v>
      </c>
      <c r="I1729" s="457" t="n">
        <v>90</v>
      </c>
      <c r="J1729" s="313" t="s">
        <v>1653</v>
      </c>
      <c r="K1729" s="458" t="n">
        <f aca="false">I1729*H1729</f>
        <v>54000</v>
      </c>
      <c r="L1729" s="411" t="n">
        <v>7800</v>
      </c>
      <c r="M1729" s="459" t="n">
        <f aca="false">L1729/K1729</f>
        <v>0.144444444444444</v>
      </c>
      <c r="N1729" s="460" t="n">
        <f aca="false">I1729*M1729</f>
        <v>13</v>
      </c>
      <c r="O1729" s="461" t="n">
        <v>600</v>
      </c>
      <c r="P1729" s="462" t="n">
        <f aca="false">H1729-O1729</f>
        <v>0</v>
      </c>
      <c r="Q1729" s="463" t="n">
        <f aca="false">O1729*I1729</f>
        <v>54000</v>
      </c>
      <c r="R1729" s="48" t="n">
        <f aca="false">K1729-Q1729</f>
        <v>0</v>
      </c>
      <c r="S1729" s="467"/>
      <c r="T1729" s="2" t="s">
        <v>1711</v>
      </c>
      <c r="V1729" s="464"/>
      <c r="W1729" s="464"/>
      <c r="X1729" s="464"/>
      <c r="Y1729" s="464"/>
      <c r="Z1729" s="464"/>
      <c r="AA1729" s="464"/>
      <c r="AB1729" s="464"/>
      <c r="AC1729" s="464"/>
      <c r="AD1729" s="464"/>
      <c r="AE1729" s="464"/>
      <c r="AF1729" s="464"/>
      <c r="AG1729" s="464"/>
      <c r="AH1729" s="465"/>
      <c r="AI1729" s="464"/>
    </row>
    <row r="1730" customFormat="false" ht="15" hidden="false" customHeight="true" outlineLevel="0" collapsed="false">
      <c r="A1730" s="455" t="s">
        <v>2048</v>
      </c>
      <c r="C1730" s="456" t="n">
        <v>45679</v>
      </c>
      <c r="D1730" s="456"/>
      <c r="E1730" s="57" t="n">
        <v>14564</v>
      </c>
      <c r="F1730" s="323" t="s">
        <v>175</v>
      </c>
      <c r="G1730" s="323" t="s">
        <v>20</v>
      </c>
      <c r="H1730" s="98" t="n">
        <v>2010</v>
      </c>
      <c r="I1730" s="457" t="n">
        <v>38.29</v>
      </c>
      <c r="J1730" s="313" t="s">
        <v>1652</v>
      </c>
      <c r="K1730" s="458" t="n">
        <f aca="false">I1730*H1730</f>
        <v>76962.9</v>
      </c>
      <c r="L1730" s="411" t="n">
        <v>43215</v>
      </c>
      <c r="M1730" s="459" t="n">
        <f aca="false">L1730/K1730</f>
        <v>0.561504309219117</v>
      </c>
      <c r="N1730" s="460" t="n">
        <f aca="false">I1730*M1730</f>
        <v>21.5</v>
      </c>
      <c r="O1730" s="461" t="n">
        <v>2010</v>
      </c>
      <c r="P1730" s="462" t="n">
        <f aca="false">H1730-O1730</f>
        <v>0</v>
      </c>
      <c r="Q1730" s="463" t="n">
        <f aca="false">O1730*I1730</f>
        <v>76962.9</v>
      </c>
      <c r="R1730" s="48" t="n">
        <f aca="false">K1730-Q1730</f>
        <v>0</v>
      </c>
      <c r="S1730" s="467"/>
      <c r="T1730" s="2" t="s">
        <v>1711</v>
      </c>
      <c r="V1730" s="464"/>
      <c r="W1730" s="464"/>
      <c r="X1730" s="464"/>
      <c r="Y1730" s="464"/>
      <c r="Z1730" s="464"/>
      <c r="AA1730" s="464"/>
      <c r="AB1730" s="464"/>
      <c r="AC1730" s="464"/>
      <c r="AD1730" s="464"/>
      <c r="AE1730" s="464"/>
      <c r="AF1730" s="464"/>
      <c r="AG1730" s="464"/>
      <c r="AH1730" s="465"/>
      <c r="AI1730" s="464"/>
    </row>
    <row r="1731" customFormat="false" ht="15" hidden="false" customHeight="true" outlineLevel="0" collapsed="false">
      <c r="A1731" s="455" t="s">
        <v>60</v>
      </c>
      <c r="C1731" s="456" t="n">
        <v>45679</v>
      </c>
      <c r="D1731" s="456"/>
      <c r="E1731" s="57" t="n">
        <v>14565</v>
      </c>
      <c r="F1731" s="323" t="s">
        <v>175</v>
      </c>
      <c r="G1731" s="323" t="s">
        <v>10</v>
      </c>
      <c r="H1731" s="98" t="n">
        <v>27200</v>
      </c>
      <c r="I1731" s="457" t="n">
        <v>38.3</v>
      </c>
      <c r="J1731" s="313" t="s">
        <v>1652</v>
      </c>
      <c r="K1731" s="458" t="n">
        <f aca="false">I1731*H1731</f>
        <v>1041760</v>
      </c>
      <c r="L1731" s="411" t="n">
        <v>286960</v>
      </c>
      <c r="M1731" s="459" t="n">
        <f aca="false">L1731/K1731</f>
        <v>0.275456919060052</v>
      </c>
      <c r="N1731" s="460" t="n">
        <f aca="false">I1731*M1731</f>
        <v>10.55</v>
      </c>
      <c r="O1731" s="461" t="n">
        <v>27200</v>
      </c>
      <c r="P1731" s="462" t="n">
        <f aca="false">H1731-O1731</f>
        <v>0</v>
      </c>
      <c r="Q1731" s="463" t="n">
        <f aca="false">O1731*I1731</f>
        <v>1041760</v>
      </c>
      <c r="R1731" s="48" t="n">
        <f aca="false">K1731-Q1731</f>
        <v>0</v>
      </c>
      <c r="S1731" s="467"/>
      <c r="T1731" s="2" t="s">
        <v>1711</v>
      </c>
      <c r="V1731" s="464"/>
      <c r="W1731" s="464"/>
      <c r="X1731" s="464"/>
      <c r="Y1731" s="464"/>
      <c r="Z1731" s="464"/>
      <c r="AA1731" s="464"/>
      <c r="AB1731" s="464"/>
      <c r="AC1731" s="464"/>
      <c r="AD1731" s="464"/>
      <c r="AE1731" s="464"/>
      <c r="AF1731" s="464"/>
      <c r="AG1731" s="464"/>
      <c r="AH1731" s="465"/>
      <c r="AI1731" s="464"/>
    </row>
    <row r="1732" customFormat="false" ht="15" hidden="false" customHeight="true" outlineLevel="0" collapsed="false">
      <c r="A1732" s="455" t="s">
        <v>60</v>
      </c>
      <c r="C1732" s="456" t="n">
        <v>45679</v>
      </c>
      <c r="D1732" s="456"/>
      <c r="E1732" s="57" t="n">
        <v>14565</v>
      </c>
      <c r="F1732" s="323" t="s">
        <v>175</v>
      </c>
      <c r="G1732" s="323" t="s">
        <v>20</v>
      </c>
      <c r="H1732" s="98" t="n">
        <v>1020</v>
      </c>
      <c r="I1732" s="457" t="n">
        <v>90</v>
      </c>
      <c r="J1732" s="313" t="s">
        <v>1653</v>
      </c>
      <c r="K1732" s="458" t="n">
        <f aca="false">I1732*H1732</f>
        <v>91800</v>
      </c>
      <c r="L1732" s="411" t="n">
        <v>18921</v>
      </c>
      <c r="M1732" s="459" t="n">
        <f aca="false">L1732/K1732</f>
        <v>0.206111111111111</v>
      </c>
      <c r="N1732" s="460" t="n">
        <f aca="false">I1732*M1732</f>
        <v>18.55</v>
      </c>
      <c r="O1732" s="461" t="n">
        <v>1020</v>
      </c>
      <c r="P1732" s="462" t="n">
        <f aca="false">H1732-O1732</f>
        <v>0</v>
      </c>
      <c r="Q1732" s="463" t="n">
        <f aca="false">O1732*I1732</f>
        <v>91800</v>
      </c>
      <c r="R1732" s="48" t="n">
        <f aca="false">K1732-Q1732</f>
        <v>0</v>
      </c>
      <c r="S1732" s="467"/>
      <c r="T1732" s="2" t="s">
        <v>1711</v>
      </c>
      <c r="V1732" s="464"/>
      <c r="W1732" s="464"/>
      <c r="X1732" s="464"/>
      <c r="Y1732" s="464"/>
      <c r="Z1732" s="464"/>
      <c r="AA1732" s="464"/>
      <c r="AB1732" s="464"/>
      <c r="AC1732" s="464"/>
      <c r="AD1732" s="464"/>
      <c r="AE1732" s="464"/>
      <c r="AF1732" s="464"/>
      <c r="AG1732" s="464"/>
      <c r="AH1732" s="465"/>
      <c r="AI1732" s="464"/>
    </row>
    <row r="1733" customFormat="false" ht="15" hidden="false" customHeight="true" outlineLevel="0" collapsed="false">
      <c r="A1733" s="455" t="s">
        <v>1804</v>
      </c>
      <c r="C1733" s="456" t="n">
        <v>45679</v>
      </c>
      <c r="D1733" s="456"/>
      <c r="E1733" s="57" t="n">
        <v>14566</v>
      </c>
      <c r="F1733" s="323" t="s">
        <v>175</v>
      </c>
      <c r="G1733" s="323" t="s">
        <v>10</v>
      </c>
      <c r="H1733" s="98" t="n">
        <v>510</v>
      </c>
      <c r="I1733" s="457" t="n">
        <v>38.3</v>
      </c>
      <c r="J1733" s="313" t="s">
        <v>1652</v>
      </c>
      <c r="K1733" s="458" t="n">
        <f aca="false">I1733*H1733</f>
        <v>19533</v>
      </c>
      <c r="L1733" s="411" t="n">
        <v>6094.5</v>
      </c>
      <c r="M1733" s="459" t="n">
        <f aca="false">L1733/K1733</f>
        <v>0.31201044386423</v>
      </c>
      <c r="N1733" s="460" t="n">
        <f aca="false">I1733*M1733</f>
        <v>11.95</v>
      </c>
      <c r="O1733" s="461" t="n">
        <v>510</v>
      </c>
      <c r="P1733" s="462" t="n">
        <f aca="false">H1733-O1733</f>
        <v>0</v>
      </c>
      <c r="Q1733" s="463" t="n">
        <f aca="false">O1733*I1733</f>
        <v>19533</v>
      </c>
      <c r="R1733" s="48" t="n">
        <f aca="false">K1733-Q1733</f>
        <v>0</v>
      </c>
      <c r="S1733" s="467"/>
      <c r="T1733" s="2" t="s">
        <v>1711</v>
      </c>
      <c r="V1733" s="464"/>
      <c r="W1733" s="464"/>
      <c r="X1733" s="464"/>
      <c r="Y1733" s="464"/>
      <c r="Z1733" s="464"/>
      <c r="AA1733" s="464"/>
      <c r="AB1733" s="464"/>
      <c r="AC1733" s="464"/>
      <c r="AD1733" s="464"/>
      <c r="AE1733" s="464"/>
      <c r="AF1733" s="464"/>
      <c r="AG1733" s="464"/>
      <c r="AH1733" s="465"/>
      <c r="AI1733" s="464"/>
    </row>
    <row r="1734" customFormat="false" ht="15" hidden="false" customHeight="true" outlineLevel="0" collapsed="false">
      <c r="A1734" s="455" t="s">
        <v>1804</v>
      </c>
      <c r="C1734" s="456" t="n">
        <v>45679</v>
      </c>
      <c r="D1734" s="456"/>
      <c r="E1734" s="57" t="n">
        <v>14566</v>
      </c>
      <c r="F1734" s="323" t="s">
        <v>175</v>
      </c>
      <c r="G1734" s="323" t="s">
        <v>10</v>
      </c>
      <c r="H1734" s="98" t="n">
        <v>8190</v>
      </c>
      <c r="I1734" s="457" t="n">
        <v>90</v>
      </c>
      <c r="J1734" s="313" t="s">
        <v>1653</v>
      </c>
      <c r="K1734" s="458" t="n">
        <f aca="false">I1734*H1734</f>
        <v>737100</v>
      </c>
      <c r="L1734" s="411" t="n">
        <v>110401.2</v>
      </c>
      <c r="M1734" s="459" t="n">
        <f aca="false">L1734/K1734</f>
        <v>0.149777777777778</v>
      </c>
      <c r="N1734" s="460" t="n">
        <f aca="false">I1734*M1734</f>
        <v>13.48</v>
      </c>
      <c r="O1734" s="461" t="n">
        <v>8190</v>
      </c>
      <c r="P1734" s="462" t="n">
        <f aca="false">H1734-O1734</f>
        <v>0</v>
      </c>
      <c r="Q1734" s="463" t="n">
        <f aca="false">O1734*I1734</f>
        <v>737100</v>
      </c>
      <c r="R1734" s="48" t="n">
        <f aca="false">K1734-Q1734</f>
        <v>0</v>
      </c>
      <c r="S1734" s="467"/>
      <c r="T1734" s="2" t="s">
        <v>1711</v>
      </c>
      <c r="V1734" s="464"/>
      <c r="W1734" s="464"/>
      <c r="X1734" s="464"/>
      <c r="Y1734" s="464"/>
      <c r="Z1734" s="464"/>
      <c r="AA1734" s="464"/>
      <c r="AB1734" s="464"/>
      <c r="AC1734" s="464"/>
      <c r="AD1734" s="464"/>
      <c r="AE1734" s="464"/>
      <c r="AF1734" s="464"/>
      <c r="AG1734" s="464"/>
      <c r="AH1734" s="465"/>
      <c r="AI1734" s="464"/>
    </row>
    <row r="1735" customFormat="false" ht="15" hidden="false" customHeight="true" outlineLevel="0" collapsed="false">
      <c r="A1735" s="455" t="s">
        <v>1913</v>
      </c>
      <c r="C1735" s="456" t="n">
        <v>45679</v>
      </c>
      <c r="D1735" s="456"/>
      <c r="E1735" s="57" t="n">
        <v>14567</v>
      </c>
      <c r="F1735" s="323" t="s">
        <v>175</v>
      </c>
      <c r="G1735" s="323" t="s">
        <v>17</v>
      </c>
      <c r="H1735" s="98" t="n">
        <v>600</v>
      </c>
      <c r="I1735" s="457" t="n">
        <v>22.5</v>
      </c>
      <c r="J1735" s="313" t="s">
        <v>1651</v>
      </c>
      <c r="K1735" s="458" t="n">
        <f aca="false">I1735*H1735</f>
        <v>13500</v>
      </c>
      <c r="L1735" s="411" t="n">
        <v>7068</v>
      </c>
      <c r="M1735" s="459" t="n">
        <f aca="false">L1735/K1735</f>
        <v>0.523555555555556</v>
      </c>
      <c r="N1735" s="460" t="n">
        <f aca="false">I1735*M1735</f>
        <v>11.78</v>
      </c>
      <c r="O1735" s="461" t="n">
        <v>600</v>
      </c>
      <c r="P1735" s="462" t="n">
        <f aca="false">H1735-O1735</f>
        <v>0</v>
      </c>
      <c r="Q1735" s="463" t="n">
        <f aca="false">O1735*I1735</f>
        <v>13500</v>
      </c>
      <c r="R1735" s="48" t="n">
        <f aca="false">K1735-Q1735</f>
        <v>0</v>
      </c>
      <c r="S1735" s="467"/>
      <c r="T1735" s="2" t="s">
        <v>1711</v>
      </c>
      <c r="V1735" s="464"/>
      <c r="W1735" s="464"/>
      <c r="X1735" s="464"/>
      <c r="Y1735" s="464"/>
      <c r="Z1735" s="464"/>
      <c r="AA1735" s="464"/>
      <c r="AB1735" s="464"/>
      <c r="AC1735" s="464"/>
      <c r="AD1735" s="464"/>
      <c r="AE1735" s="464"/>
      <c r="AF1735" s="464"/>
      <c r="AG1735" s="464"/>
      <c r="AH1735" s="465"/>
      <c r="AI1735" s="464"/>
    </row>
    <row r="1736" customFormat="false" ht="15" hidden="false" customHeight="true" outlineLevel="0" collapsed="false">
      <c r="A1736" s="455" t="s">
        <v>1913</v>
      </c>
      <c r="C1736" s="456" t="n">
        <v>45679</v>
      </c>
      <c r="D1736" s="456"/>
      <c r="E1736" s="57" t="n">
        <v>14567</v>
      </c>
      <c r="F1736" s="323" t="s">
        <v>175</v>
      </c>
      <c r="G1736" s="323" t="s">
        <v>5</v>
      </c>
      <c r="H1736" s="98" t="n">
        <v>4500</v>
      </c>
      <c r="I1736" s="457" t="n">
        <v>25.71</v>
      </c>
      <c r="J1736" s="313" t="s">
        <v>1651</v>
      </c>
      <c r="K1736" s="458" t="n">
        <f aca="false">I1736*H1736</f>
        <v>115695</v>
      </c>
      <c r="L1736" s="411" t="n">
        <v>56700</v>
      </c>
      <c r="M1736" s="459" t="n">
        <f aca="false">L1736/K1736</f>
        <v>0.490081680280047</v>
      </c>
      <c r="N1736" s="460" t="n">
        <f aca="false">I1736*M1736</f>
        <v>12.6</v>
      </c>
      <c r="O1736" s="461" t="n">
        <v>4500</v>
      </c>
      <c r="P1736" s="462" t="n">
        <f aca="false">H1736-O1736</f>
        <v>0</v>
      </c>
      <c r="Q1736" s="463" t="n">
        <f aca="false">O1736*I1736</f>
        <v>115695</v>
      </c>
      <c r="R1736" s="48" t="n">
        <f aca="false">K1736-Q1736</f>
        <v>0</v>
      </c>
      <c r="S1736" s="467"/>
      <c r="T1736" s="2" t="s">
        <v>1711</v>
      </c>
      <c r="V1736" s="464"/>
      <c r="W1736" s="464"/>
      <c r="X1736" s="464"/>
      <c r="Y1736" s="464"/>
      <c r="Z1736" s="464"/>
      <c r="AA1736" s="464"/>
      <c r="AB1736" s="464"/>
      <c r="AC1736" s="464"/>
      <c r="AD1736" s="464"/>
      <c r="AE1736" s="464"/>
      <c r="AF1736" s="464"/>
      <c r="AG1736" s="464"/>
      <c r="AH1736" s="465"/>
      <c r="AI1736" s="464"/>
    </row>
    <row r="1737" customFormat="false" ht="15" hidden="false" customHeight="true" outlineLevel="0" collapsed="false">
      <c r="A1737" s="455" t="s">
        <v>1913</v>
      </c>
      <c r="C1737" s="456" t="n">
        <v>45679</v>
      </c>
      <c r="D1737" s="456"/>
      <c r="E1737" s="57" t="n">
        <v>14567</v>
      </c>
      <c r="F1737" s="323" t="s">
        <v>175</v>
      </c>
      <c r="G1737" s="323" t="s">
        <v>5</v>
      </c>
      <c r="H1737" s="98" t="n">
        <v>2500</v>
      </c>
      <c r="I1737" s="457" t="n">
        <v>60</v>
      </c>
      <c r="J1737" s="313" t="s">
        <v>1653</v>
      </c>
      <c r="K1737" s="458" t="n">
        <f aca="false">I1737*H1737</f>
        <v>150000</v>
      </c>
      <c r="L1737" s="411" t="n">
        <v>37700</v>
      </c>
      <c r="M1737" s="459" t="n">
        <f aca="false">L1737/K1737</f>
        <v>0.251333333333333</v>
      </c>
      <c r="N1737" s="460" t="n">
        <f aca="false">I1737*M1737</f>
        <v>15.08</v>
      </c>
      <c r="O1737" s="461" t="n">
        <v>2500</v>
      </c>
      <c r="P1737" s="462" t="n">
        <f aca="false">H1737-O1737</f>
        <v>0</v>
      </c>
      <c r="Q1737" s="463" t="n">
        <f aca="false">O1737*I1737</f>
        <v>150000</v>
      </c>
      <c r="R1737" s="48" t="n">
        <f aca="false">K1737-Q1737</f>
        <v>0</v>
      </c>
      <c r="S1737" s="467"/>
      <c r="T1737" s="2" t="s">
        <v>1711</v>
      </c>
      <c r="V1737" s="464"/>
      <c r="W1737" s="464"/>
      <c r="X1737" s="464"/>
      <c r="Y1737" s="464"/>
      <c r="Z1737" s="464"/>
      <c r="AA1737" s="464"/>
      <c r="AB1737" s="464"/>
      <c r="AC1737" s="464"/>
      <c r="AD1737" s="464"/>
      <c r="AE1737" s="464"/>
      <c r="AF1737" s="464"/>
      <c r="AG1737" s="464"/>
      <c r="AH1737" s="465"/>
      <c r="AI1737" s="464"/>
    </row>
    <row r="1738" customFormat="false" ht="15" hidden="false" customHeight="true" outlineLevel="0" collapsed="false">
      <c r="A1738" s="455" t="s">
        <v>1913</v>
      </c>
      <c r="C1738" s="456" t="n">
        <v>45679</v>
      </c>
      <c r="D1738" s="456"/>
      <c r="E1738" s="57" t="n">
        <v>14567</v>
      </c>
      <c r="F1738" s="323" t="s">
        <v>175</v>
      </c>
      <c r="G1738" s="323" t="s">
        <v>15</v>
      </c>
      <c r="H1738" s="98" t="n">
        <v>300</v>
      </c>
      <c r="I1738" s="457" t="n">
        <v>22.5</v>
      </c>
      <c r="J1738" s="313" t="s">
        <v>1651</v>
      </c>
      <c r="K1738" s="458" t="n">
        <f aca="false">I1738*H1738</f>
        <v>6750</v>
      </c>
      <c r="L1738" s="411" t="n">
        <v>4977</v>
      </c>
      <c r="M1738" s="459" t="n">
        <f aca="false">L1738/K1738</f>
        <v>0.737333333333333</v>
      </c>
      <c r="N1738" s="460" t="n">
        <f aca="false">I1738*M1738</f>
        <v>16.59</v>
      </c>
      <c r="O1738" s="461" t="n">
        <v>300</v>
      </c>
      <c r="P1738" s="462" t="n">
        <f aca="false">H1738-O1738</f>
        <v>0</v>
      </c>
      <c r="Q1738" s="463" t="n">
        <f aca="false">O1738*I1738</f>
        <v>6750</v>
      </c>
      <c r="R1738" s="48" t="n">
        <f aca="false">K1738-Q1738</f>
        <v>0</v>
      </c>
      <c r="S1738" s="467"/>
      <c r="T1738" s="2" t="s">
        <v>1711</v>
      </c>
      <c r="V1738" s="464"/>
      <c r="W1738" s="464"/>
      <c r="X1738" s="464"/>
      <c r="Y1738" s="464"/>
      <c r="Z1738" s="464"/>
      <c r="AA1738" s="464"/>
      <c r="AB1738" s="464"/>
      <c r="AC1738" s="464"/>
      <c r="AD1738" s="464"/>
      <c r="AE1738" s="464"/>
      <c r="AF1738" s="464"/>
      <c r="AG1738" s="464"/>
      <c r="AH1738" s="465"/>
      <c r="AI1738" s="464"/>
    </row>
    <row r="1739" customFormat="false" ht="15" hidden="false" customHeight="true" outlineLevel="0" collapsed="false">
      <c r="A1739" s="455" t="s">
        <v>1913</v>
      </c>
      <c r="C1739" s="456" t="n">
        <v>45679</v>
      </c>
      <c r="D1739" s="456"/>
      <c r="E1739" s="57" t="n">
        <v>14567</v>
      </c>
      <c r="F1739" s="323" t="s">
        <v>175</v>
      </c>
      <c r="G1739" s="323" t="s">
        <v>13</v>
      </c>
      <c r="H1739" s="98" t="n">
        <v>1500</v>
      </c>
      <c r="I1739" s="457" t="n">
        <v>22.5</v>
      </c>
      <c r="J1739" s="313" t="s">
        <v>1651</v>
      </c>
      <c r="K1739" s="458" t="n">
        <f aca="false">I1739*H1739</f>
        <v>33750</v>
      </c>
      <c r="L1739" s="411" t="n">
        <v>16800</v>
      </c>
      <c r="M1739" s="459" t="n">
        <f aca="false">L1739/K1739</f>
        <v>0.497777777777778</v>
      </c>
      <c r="N1739" s="460" t="n">
        <f aca="false">I1739*M1739</f>
        <v>11.2</v>
      </c>
      <c r="O1739" s="461" t="n">
        <v>1500</v>
      </c>
      <c r="P1739" s="462" t="n">
        <f aca="false">H1739-O1739</f>
        <v>0</v>
      </c>
      <c r="Q1739" s="463" t="n">
        <f aca="false">O1739*I1739</f>
        <v>33750</v>
      </c>
      <c r="R1739" s="48" t="n">
        <f aca="false">K1739-Q1739</f>
        <v>0</v>
      </c>
      <c r="S1739" s="467"/>
      <c r="T1739" s="2" t="s">
        <v>1711</v>
      </c>
      <c r="V1739" s="464"/>
      <c r="W1739" s="464"/>
      <c r="X1739" s="464"/>
      <c r="Y1739" s="464"/>
      <c r="Z1739" s="464"/>
      <c r="AA1739" s="464"/>
      <c r="AB1739" s="464"/>
      <c r="AC1739" s="464"/>
      <c r="AD1739" s="464"/>
      <c r="AE1739" s="464"/>
      <c r="AF1739" s="464"/>
      <c r="AG1739" s="464"/>
      <c r="AH1739" s="465"/>
      <c r="AI1739" s="464"/>
    </row>
    <row r="1740" customFormat="false" ht="15" hidden="false" customHeight="true" outlineLevel="0" collapsed="false">
      <c r="A1740" s="455" t="s">
        <v>1913</v>
      </c>
      <c r="C1740" s="456" t="n">
        <v>45679</v>
      </c>
      <c r="D1740" s="456"/>
      <c r="E1740" s="57" t="n">
        <v>14568</v>
      </c>
      <c r="F1740" s="323" t="s">
        <v>175</v>
      </c>
      <c r="G1740" s="323" t="s">
        <v>17</v>
      </c>
      <c r="H1740" s="98" t="n">
        <v>600</v>
      </c>
      <c r="I1740" s="457" t="n">
        <v>22.5</v>
      </c>
      <c r="J1740" s="313" t="s">
        <v>1651</v>
      </c>
      <c r="K1740" s="458" t="n">
        <f aca="false">I1740*H1740</f>
        <v>13500</v>
      </c>
      <c r="L1740" s="411" t="n">
        <v>7068</v>
      </c>
      <c r="M1740" s="459" t="n">
        <f aca="false">L1740/K1740</f>
        <v>0.523555555555556</v>
      </c>
      <c r="N1740" s="460" t="n">
        <f aca="false">I1740*M1740</f>
        <v>11.78</v>
      </c>
      <c r="O1740" s="461" t="n">
        <v>600</v>
      </c>
      <c r="P1740" s="462" t="n">
        <f aca="false">H1740-O1740</f>
        <v>0</v>
      </c>
      <c r="Q1740" s="463" t="n">
        <f aca="false">O1740*I1740</f>
        <v>13500</v>
      </c>
      <c r="R1740" s="48" t="n">
        <f aca="false">K1740-Q1740</f>
        <v>0</v>
      </c>
      <c r="S1740" s="467"/>
      <c r="T1740" s="2" t="s">
        <v>1711</v>
      </c>
      <c r="V1740" s="464"/>
      <c r="W1740" s="464"/>
      <c r="X1740" s="464"/>
      <c r="Y1740" s="464"/>
      <c r="Z1740" s="464"/>
      <c r="AA1740" s="464"/>
      <c r="AB1740" s="464"/>
      <c r="AC1740" s="464"/>
      <c r="AD1740" s="464"/>
      <c r="AE1740" s="464"/>
      <c r="AF1740" s="464"/>
      <c r="AG1740" s="464"/>
      <c r="AH1740" s="465"/>
      <c r="AI1740" s="464"/>
    </row>
    <row r="1741" customFormat="false" ht="15" hidden="false" customHeight="true" outlineLevel="0" collapsed="false">
      <c r="A1741" s="455" t="s">
        <v>1913</v>
      </c>
      <c r="C1741" s="456" t="n">
        <v>45679</v>
      </c>
      <c r="D1741" s="456"/>
      <c r="E1741" s="57" t="n">
        <v>14568</v>
      </c>
      <c r="F1741" s="323" t="s">
        <v>175</v>
      </c>
      <c r="G1741" s="323" t="s">
        <v>5</v>
      </c>
      <c r="H1741" s="98" t="n">
        <v>1500</v>
      </c>
      <c r="I1741" s="457" t="n">
        <v>25.71</v>
      </c>
      <c r="J1741" s="313" t="s">
        <v>1651</v>
      </c>
      <c r="K1741" s="458" t="n">
        <f aca="false">I1741*H1741</f>
        <v>38565</v>
      </c>
      <c r="L1741" s="411" t="n">
        <v>18900</v>
      </c>
      <c r="M1741" s="459" t="n">
        <f aca="false">L1741/K1741</f>
        <v>0.490081680280047</v>
      </c>
      <c r="N1741" s="460" t="n">
        <f aca="false">I1741*M1741</f>
        <v>12.6</v>
      </c>
      <c r="O1741" s="461" t="n">
        <v>1500</v>
      </c>
      <c r="P1741" s="462" t="n">
        <f aca="false">H1741-O1741</f>
        <v>0</v>
      </c>
      <c r="Q1741" s="463" t="n">
        <f aca="false">O1741*I1741</f>
        <v>38565</v>
      </c>
      <c r="R1741" s="48" t="n">
        <f aca="false">K1741-Q1741</f>
        <v>0</v>
      </c>
      <c r="S1741" s="467"/>
      <c r="T1741" s="2" t="s">
        <v>1711</v>
      </c>
      <c r="V1741" s="464"/>
      <c r="W1741" s="464"/>
      <c r="X1741" s="464"/>
      <c r="Y1741" s="464"/>
      <c r="Z1741" s="464"/>
      <c r="AA1741" s="464"/>
      <c r="AB1741" s="464"/>
      <c r="AC1741" s="464"/>
      <c r="AD1741" s="464"/>
      <c r="AE1741" s="464"/>
      <c r="AF1741" s="464"/>
      <c r="AG1741" s="464"/>
      <c r="AH1741" s="465"/>
      <c r="AI1741" s="464"/>
    </row>
    <row r="1742" customFormat="false" ht="15" hidden="false" customHeight="true" outlineLevel="0" collapsed="false">
      <c r="A1742" s="455" t="s">
        <v>1913</v>
      </c>
      <c r="C1742" s="456" t="n">
        <v>45679</v>
      </c>
      <c r="D1742" s="456"/>
      <c r="E1742" s="57" t="n">
        <v>14568</v>
      </c>
      <c r="F1742" s="323" t="s">
        <v>175</v>
      </c>
      <c r="G1742" s="323" t="s">
        <v>5</v>
      </c>
      <c r="H1742" s="98" t="n">
        <v>1000</v>
      </c>
      <c r="I1742" s="457" t="n">
        <v>60</v>
      </c>
      <c r="J1742" s="313" t="s">
        <v>1653</v>
      </c>
      <c r="K1742" s="458" t="n">
        <f aca="false">I1742*H1742</f>
        <v>60000</v>
      </c>
      <c r="L1742" s="411" t="n">
        <v>15080</v>
      </c>
      <c r="M1742" s="459" t="n">
        <f aca="false">L1742/K1742</f>
        <v>0.251333333333333</v>
      </c>
      <c r="N1742" s="460" t="n">
        <f aca="false">I1742*M1742</f>
        <v>15.08</v>
      </c>
      <c r="O1742" s="461" t="n">
        <v>1000</v>
      </c>
      <c r="P1742" s="462" t="n">
        <f aca="false">H1742-O1742</f>
        <v>0</v>
      </c>
      <c r="Q1742" s="463" t="n">
        <f aca="false">O1742*I1742</f>
        <v>60000</v>
      </c>
      <c r="R1742" s="48" t="n">
        <f aca="false">K1742-Q1742</f>
        <v>0</v>
      </c>
      <c r="S1742" s="467"/>
      <c r="T1742" s="2" t="s">
        <v>1711</v>
      </c>
      <c r="V1742" s="464"/>
      <c r="W1742" s="464"/>
      <c r="X1742" s="464"/>
      <c r="Y1742" s="464"/>
      <c r="Z1742" s="464"/>
      <c r="AA1742" s="464"/>
      <c r="AB1742" s="464"/>
      <c r="AC1742" s="464"/>
      <c r="AD1742" s="464"/>
      <c r="AE1742" s="464"/>
      <c r="AF1742" s="464"/>
      <c r="AG1742" s="464"/>
      <c r="AH1742" s="465"/>
      <c r="AI1742" s="464"/>
    </row>
    <row r="1743" customFormat="false" ht="15" hidden="false" customHeight="true" outlineLevel="0" collapsed="false">
      <c r="A1743" s="455" t="s">
        <v>1913</v>
      </c>
      <c r="C1743" s="456" t="n">
        <v>45679</v>
      </c>
      <c r="D1743" s="456"/>
      <c r="E1743" s="57" t="n">
        <v>14568</v>
      </c>
      <c r="F1743" s="323" t="s">
        <v>175</v>
      </c>
      <c r="G1743" s="323" t="s">
        <v>15</v>
      </c>
      <c r="H1743" s="98" t="n">
        <v>450</v>
      </c>
      <c r="I1743" s="457" t="n">
        <v>22.5</v>
      </c>
      <c r="J1743" s="313" t="s">
        <v>1651</v>
      </c>
      <c r="K1743" s="458" t="n">
        <f aca="false">I1743*H1743</f>
        <v>10125</v>
      </c>
      <c r="L1743" s="411" t="n">
        <v>7465.5</v>
      </c>
      <c r="M1743" s="459" t="n">
        <f aca="false">L1743/K1743</f>
        <v>0.737333333333333</v>
      </c>
      <c r="N1743" s="460" t="n">
        <f aca="false">I1743*M1743</f>
        <v>16.59</v>
      </c>
      <c r="O1743" s="461" t="n">
        <v>450</v>
      </c>
      <c r="P1743" s="462" t="n">
        <f aca="false">H1743-O1743</f>
        <v>0</v>
      </c>
      <c r="Q1743" s="463" t="n">
        <f aca="false">O1743*I1743</f>
        <v>10125</v>
      </c>
      <c r="R1743" s="48" t="n">
        <f aca="false">K1743-Q1743</f>
        <v>0</v>
      </c>
      <c r="S1743" s="467"/>
      <c r="T1743" s="2" t="s">
        <v>1711</v>
      </c>
      <c r="V1743" s="464"/>
      <c r="W1743" s="464"/>
      <c r="X1743" s="464"/>
      <c r="Y1743" s="464"/>
      <c r="Z1743" s="464"/>
      <c r="AA1743" s="464"/>
      <c r="AB1743" s="464"/>
      <c r="AC1743" s="464"/>
      <c r="AD1743" s="464"/>
      <c r="AE1743" s="464"/>
      <c r="AF1743" s="464"/>
      <c r="AG1743" s="464"/>
      <c r="AH1743" s="465"/>
      <c r="AI1743" s="464"/>
    </row>
    <row r="1744" customFormat="false" ht="15" hidden="false" customHeight="true" outlineLevel="0" collapsed="false">
      <c r="A1744" s="455" t="s">
        <v>1913</v>
      </c>
      <c r="C1744" s="456" t="n">
        <v>45679</v>
      </c>
      <c r="D1744" s="456"/>
      <c r="E1744" s="57" t="n">
        <v>14568</v>
      </c>
      <c r="F1744" s="323" t="s">
        <v>175</v>
      </c>
      <c r="G1744" s="323" t="s">
        <v>13</v>
      </c>
      <c r="H1744" s="98" t="n">
        <v>3000</v>
      </c>
      <c r="I1744" s="457" t="n">
        <v>22.5</v>
      </c>
      <c r="J1744" s="313" t="s">
        <v>1651</v>
      </c>
      <c r="K1744" s="458" t="n">
        <f aca="false">I1744*H1744</f>
        <v>67500</v>
      </c>
      <c r="L1744" s="411" t="n">
        <v>33600</v>
      </c>
      <c r="M1744" s="459" t="n">
        <f aca="false">L1744/K1744</f>
        <v>0.497777777777778</v>
      </c>
      <c r="N1744" s="460" t="n">
        <f aca="false">I1744*M1744</f>
        <v>11.2</v>
      </c>
      <c r="O1744" s="461" t="n">
        <v>3000</v>
      </c>
      <c r="P1744" s="462" t="n">
        <f aca="false">H1744-O1744</f>
        <v>0</v>
      </c>
      <c r="Q1744" s="463" t="n">
        <f aca="false">O1744*I1744</f>
        <v>67500</v>
      </c>
      <c r="R1744" s="48" t="n">
        <f aca="false">K1744-Q1744</f>
        <v>0</v>
      </c>
      <c r="S1744" s="467"/>
      <c r="T1744" s="2" t="s">
        <v>1711</v>
      </c>
      <c r="V1744" s="464"/>
      <c r="W1744" s="464"/>
      <c r="X1744" s="464"/>
      <c r="Y1744" s="464"/>
      <c r="Z1744" s="464"/>
      <c r="AA1744" s="464"/>
      <c r="AB1744" s="464"/>
      <c r="AC1744" s="464"/>
      <c r="AD1744" s="464"/>
      <c r="AE1744" s="464"/>
      <c r="AF1744" s="464"/>
      <c r="AG1744" s="464"/>
      <c r="AH1744" s="465"/>
      <c r="AI1744" s="464"/>
    </row>
    <row r="1745" customFormat="false" ht="15" hidden="false" customHeight="true" outlineLevel="0" collapsed="false">
      <c r="A1745" s="455" t="s">
        <v>1913</v>
      </c>
      <c r="C1745" s="456" t="n">
        <v>45679</v>
      </c>
      <c r="D1745" s="456"/>
      <c r="E1745" s="57" t="n">
        <v>14569</v>
      </c>
      <c r="F1745" s="323" t="s">
        <v>175</v>
      </c>
      <c r="G1745" s="323" t="s">
        <v>17</v>
      </c>
      <c r="H1745" s="98" t="n">
        <v>450</v>
      </c>
      <c r="I1745" s="457" t="n">
        <v>22.5</v>
      </c>
      <c r="J1745" s="313" t="s">
        <v>1651</v>
      </c>
      <c r="K1745" s="458" t="n">
        <f aca="false">I1745*H1745</f>
        <v>10125</v>
      </c>
      <c r="L1745" s="411" t="n">
        <v>5301</v>
      </c>
      <c r="M1745" s="459" t="n">
        <f aca="false">L1745/K1745</f>
        <v>0.523555555555556</v>
      </c>
      <c r="N1745" s="460" t="n">
        <f aca="false">I1745*M1745</f>
        <v>11.78</v>
      </c>
      <c r="O1745" s="461" t="n">
        <v>450</v>
      </c>
      <c r="P1745" s="462" t="n">
        <f aca="false">H1745-O1745</f>
        <v>0</v>
      </c>
      <c r="Q1745" s="463" t="n">
        <f aca="false">O1745*I1745</f>
        <v>10125</v>
      </c>
      <c r="R1745" s="48" t="n">
        <f aca="false">K1745-Q1745</f>
        <v>0</v>
      </c>
      <c r="S1745" s="467"/>
      <c r="T1745" s="2" t="s">
        <v>1711</v>
      </c>
      <c r="V1745" s="464"/>
      <c r="W1745" s="464"/>
      <c r="X1745" s="464"/>
      <c r="Y1745" s="464"/>
      <c r="Z1745" s="464"/>
      <c r="AA1745" s="464"/>
      <c r="AB1745" s="464"/>
      <c r="AC1745" s="464"/>
      <c r="AD1745" s="464"/>
      <c r="AE1745" s="464"/>
      <c r="AF1745" s="464"/>
      <c r="AG1745" s="464"/>
      <c r="AH1745" s="465"/>
      <c r="AI1745" s="464"/>
    </row>
    <row r="1746" customFormat="false" ht="15" hidden="false" customHeight="true" outlineLevel="0" collapsed="false">
      <c r="A1746" s="455" t="s">
        <v>1913</v>
      </c>
      <c r="C1746" s="456" t="n">
        <v>45679</v>
      </c>
      <c r="D1746" s="456"/>
      <c r="E1746" s="57" t="n">
        <v>14569</v>
      </c>
      <c r="F1746" s="323" t="s">
        <v>175</v>
      </c>
      <c r="G1746" s="323" t="s">
        <v>5</v>
      </c>
      <c r="H1746" s="98" t="n">
        <v>4500</v>
      </c>
      <c r="I1746" s="457" t="n">
        <v>25.71</v>
      </c>
      <c r="J1746" s="313" t="s">
        <v>1651</v>
      </c>
      <c r="K1746" s="458" t="n">
        <f aca="false">I1746*H1746</f>
        <v>115695</v>
      </c>
      <c r="L1746" s="411" t="n">
        <v>56700</v>
      </c>
      <c r="M1746" s="459" t="n">
        <f aca="false">L1746/K1746</f>
        <v>0.490081680280047</v>
      </c>
      <c r="N1746" s="460" t="n">
        <f aca="false">I1746*M1746</f>
        <v>12.6</v>
      </c>
      <c r="O1746" s="461" t="n">
        <v>4500</v>
      </c>
      <c r="P1746" s="462" t="n">
        <f aca="false">H1746-O1746</f>
        <v>0</v>
      </c>
      <c r="Q1746" s="463" t="n">
        <f aca="false">O1746*I1746</f>
        <v>115695</v>
      </c>
      <c r="R1746" s="48" t="n">
        <f aca="false">K1746-Q1746</f>
        <v>0</v>
      </c>
      <c r="S1746" s="467"/>
      <c r="T1746" s="2" t="s">
        <v>1711</v>
      </c>
      <c r="V1746" s="464"/>
      <c r="W1746" s="464"/>
      <c r="X1746" s="464"/>
      <c r="Y1746" s="464"/>
      <c r="Z1746" s="464"/>
      <c r="AA1746" s="464"/>
      <c r="AB1746" s="464"/>
      <c r="AC1746" s="464"/>
      <c r="AD1746" s="464"/>
      <c r="AE1746" s="464"/>
      <c r="AF1746" s="464"/>
      <c r="AG1746" s="464"/>
      <c r="AH1746" s="465"/>
      <c r="AI1746" s="464"/>
    </row>
    <row r="1747" customFormat="false" ht="15" hidden="false" customHeight="true" outlineLevel="0" collapsed="false">
      <c r="A1747" s="455" t="s">
        <v>1913</v>
      </c>
      <c r="C1747" s="456" t="n">
        <v>45679</v>
      </c>
      <c r="D1747" s="456"/>
      <c r="E1747" s="57" t="n">
        <v>14569</v>
      </c>
      <c r="F1747" s="323" t="s">
        <v>175</v>
      </c>
      <c r="G1747" s="323" t="s">
        <v>5</v>
      </c>
      <c r="H1747" s="98" t="n">
        <v>2500</v>
      </c>
      <c r="I1747" s="457" t="n">
        <v>60</v>
      </c>
      <c r="J1747" s="313" t="s">
        <v>1653</v>
      </c>
      <c r="K1747" s="458" t="n">
        <f aca="false">I1747*H1747</f>
        <v>150000</v>
      </c>
      <c r="L1747" s="411" t="n">
        <v>37700</v>
      </c>
      <c r="M1747" s="459" t="n">
        <f aca="false">L1747/K1747</f>
        <v>0.251333333333333</v>
      </c>
      <c r="N1747" s="460" t="n">
        <f aca="false">I1747*M1747</f>
        <v>15.08</v>
      </c>
      <c r="O1747" s="461" t="n">
        <v>2500</v>
      </c>
      <c r="P1747" s="462" t="n">
        <f aca="false">H1747-O1747</f>
        <v>0</v>
      </c>
      <c r="Q1747" s="463" t="n">
        <f aca="false">O1747*I1747</f>
        <v>150000</v>
      </c>
      <c r="R1747" s="48" t="n">
        <f aca="false">K1747-Q1747</f>
        <v>0</v>
      </c>
      <c r="S1747" s="467"/>
      <c r="T1747" s="2" t="s">
        <v>1711</v>
      </c>
      <c r="V1747" s="464"/>
      <c r="W1747" s="464"/>
      <c r="X1747" s="464"/>
      <c r="Y1747" s="464"/>
      <c r="Z1747" s="464"/>
      <c r="AA1747" s="464"/>
      <c r="AB1747" s="464"/>
      <c r="AC1747" s="464"/>
      <c r="AD1747" s="464"/>
      <c r="AE1747" s="464"/>
      <c r="AF1747" s="464"/>
      <c r="AG1747" s="464"/>
      <c r="AH1747" s="465"/>
      <c r="AI1747" s="464"/>
    </row>
    <row r="1748" customFormat="false" ht="15" hidden="false" customHeight="true" outlineLevel="0" collapsed="false">
      <c r="A1748" s="455" t="s">
        <v>1913</v>
      </c>
      <c r="C1748" s="456" t="n">
        <v>45679</v>
      </c>
      <c r="D1748" s="456"/>
      <c r="E1748" s="57" t="n">
        <v>14569</v>
      </c>
      <c r="F1748" s="323" t="s">
        <v>175</v>
      </c>
      <c r="G1748" s="323" t="s">
        <v>15</v>
      </c>
      <c r="H1748" s="98" t="n">
        <v>1200</v>
      </c>
      <c r="I1748" s="457" t="n">
        <v>22.5</v>
      </c>
      <c r="J1748" s="313" t="s">
        <v>1651</v>
      </c>
      <c r="K1748" s="458" t="n">
        <f aca="false">I1748*H1748</f>
        <v>27000</v>
      </c>
      <c r="L1748" s="411" t="n">
        <v>19908</v>
      </c>
      <c r="M1748" s="459" t="n">
        <f aca="false">L1748/K1748</f>
        <v>0.737333333333333</v>
      </c>
      <c r="N1748" s="460" t="n">
        <f aca="false">I1748*M1748</f>
        <v>16.59</v>
      </c>
      <c r="O1748" s="461" t="n">
        <v>1200</v>
      </c>
      <c r="P1748" s="462" t="n">
        <f aca="false">H1748-O1748</f>
        <v>0</v>
      </c>
      <c r="Q1748" s="463" t="n">
        <f aca="false">O1748*I1748</f>
        <v>27000</v>
      </c>
      <c r="R1748" s="48" t="n">
        <f aca="false">K1748-Q1748</f>
        <v>0</v>
      </c>
      <c r="S1748" s="467"/>
      <c r="T1748" s="2" t="s">
        <v>1711</v>
      </c>
      <c r="V1748" s="464"/>
      <c r="W1748" s="464"/>
      <c r="X1748" s="464"/>
      <c r="Y1748" s="464"/>
      <c r="Z1748" s="464"/>
      <c r="AA1748" s="464"/>
      <c r="AB1748" s="464"/>
      <c r="AC1748" s="464"/>
      <c r="AD1748" s="464"/>
      <c r="AE1748" s="464"/>
      <c r="AF1748" s="464"/>
      <c r="AG1748" s="464"/>
      <c r="AH1748" s="465"/>
      <c r="AI1748" s="464"/>
    </row>
    <row r="1749" customFormat="false" ht="15" hidden="false" customHeight="true" outlineLevel="0" collapsed="false">
      <c r="A1749" s="455" t="s">
        <v>1913</v>
      </c>
      <c r="C1749" s="456" t="n">
        <v>45679</v>
      </c>
      <c r="D1749" s="456"/>
      <c r="E1749" s="57" t="n">
        <v>14569</v>
      </c>
      <c r="F1749" s="323" t="s">
        <v>175</v>
      </c>
      <c r="G1749" s="323" t="s">
        <v>13</v>
      </c>
      <c r="H1749" s="98" t="n">
        <v>1500</v>
      </c>
      <c r="I1749" s="457" t="n">
        <v>22.5</v>
      </c>
      <c r="J1749" s="313" t="s">
        <v>1651</v>
      </c>
      <c r="K1749" s="458" t="n">
        <f aca="false">I1749*H1749</f>
        <v>33750</v>
      </c>
      <c r="L1749" s="411" t="n">
        <v>16800</v>
      </c>
      <c r="M1749" s="459" t="n">
        <f aca="false">L1749/K1749</f>
        <v>0.497777777777778</v>
      </c>
      <c r="N1749" s="460" t="n">
        <f aca="false">I1749*M1749</f>
        <v>11.2</v>
      </c>
      <c r="O1749" s="461" t="n">
        <v>1500</v>
      </c>
      <c r="P1749" s="462" t="n">
        <f aca="false">H1749-O1749</f>
        <v>0</v>
      </c>
      <c r="Q1749" s="463" t="n">
        <f aca="false">O1749*I1749</f>
        <v>33750</v>
      </c>
      <c r="R1749" s="48" t="n">
        <f aca="false">K1749-Q1749</f>
        <v>0</v>
      </c>
      <c r="S1749" s="467"/>
      <c r="T1749" s="2" t="s">
        <v>1711</v>
      </c>
      <c r="V1749" s="464"/>
      <c r="W1749" s="464"/>
      <c r="X1749" s="464"/>
      <c r="Y1749" s="464"/>
      <c r="Z1749" s="464"/>
      <c r="AA1749" s="464"/>
      <c r="AB1749" s="464"/>
      <c r="AC1749" s="464"/>
      <c r="AD1749" s="464"/>
      <c r="AE1749" s="464"/>
      <c r="AF1749" s="464"/>
      <c r="AG1749" s="464"/>
      <c r="AH1749" s="465"/>
      <c r="AI1749" s="464"/>
    </row>
    <row r="1750" customFormat="false" ht="15" hidden="false" customHeight="true" outlineLevel="0" collapsed="false">
      <c r="A1750" s="455" t="s">
        <v>1913</v>
      </c>
      <c r="C1750" s="456" t="n">
        <v>45679</v>
      </c>
      <c r="D1750" s="456"/>
      <c r="E1750" s="57" t="n">
        <v>14569</v>
      </c>
      <c r="F1750" s="323" t="s">
        <v>175</v>
      </c>
      <c r="G1750" s="323" t="s">
        <v>13</v>
      </c>
      <c r="H1750" s="98" t="n">
        <v>2000</v>
      </c>
      <c r="I1750" s="457" t="n">
        <v>40</v>
      </c>
      <c r="J1750" s="313" t="s">
        <v>1653</v>
      </c>
      <c r="K1750" s="458" t="n">
        <f aca="false">I1750*H1750</f>
        <v>80000</v>
      </c>
      <c r="L1750" s="411" t="n">
        <v>26060</v>
      </c>
      <c r="M1750" s="459" t="n">
        <f aca="false">L1750/K1750</f>
        <v>0.32575</v>
      </c>
      <c r="N1750" s="460" t="n">
        <f aca="false">I1750*M1750</f>
        <v>13.03</v>
      </c>
      <c r="O1750" s="461" t="n">
        <v>2000</v>
      </c>
      <c r="P1750" s="462" t="n">
        <f aca="false">H1750-O1750</f>
        <v>0</v>
      </c>
      <c r="Q1750" s="463" t="n">
        <f aca="false">O1750*I1750</f>
        <v>80000</v>
      </c>
      <c r="R1750" s="48" t="n">
        <f aca="false">K1750-Q1750</f>
        <v>0</v>
      </c>
      <c r="S1750" s="467"/>
      <c r="T1750" s="2" t="s">
        <v>1711</v>
      </c>
      <c r="V1750" s="464"/>
      <c r="W1750" s="464"/>
      <c r="X1750" s="464"/>
      <c r="Y1750" s="464"/>
      <c r="Z1750" s="464"/>
      <c r="AA1750" s="464"/>
      <c r="AB1750" s="464"/>
      <c r="AC1750" s="464"/>
      <c r="AD1750" s="464"/>
      <c r="AE1750" s="464"/>
      <c r="AF1750" s="464"/>
      <c r="AG1750" s="464"/>
      <c r="AH1750" s="465"/>
      <c r="AI1750" s="464"/>
    </row>
    <row r="1751" customFormat="false" ht="15" hidden="false" customHeight="true" outlineLevel="0" collapsed="false">
      <c r="A1751" s="455" t="s">
        <v>1913</v>
      </c>
      <c r="C1751" s="456" t="n">
        <v>45679</v>
      </c>
      <c r="D1751" s="456"/>
      <c r="E1751" s="57" t="n">
        <v>14571</v>
      </c>
      <c r="F1751" s="323" t="s">
        <v>175</v>
      </c>
      <c r="G1751" s="323" t="s">
        <v>17</v>
      </c>
      <c r="H1751" s="98" t="n">
        <v>750</v>
      </c>
      <c r="I1751" s="457" t="n">
        <v>22.5</v>
      </c>
      <c r="J1751" s="313" t="s">
        <v>1651</v>
      </c>
      <c r="K1751" s="458" t="n">
        <f aca="false">I1751*H1751</f>
        <v>16875</v>
      </c>
      <c r="L1751" s="411" t="n">
        <v>8835</v>
      </c>
      <c r="M1751" s="459" t="n">
        <f aca="false">L1751/K1751</f>
        <v>0.523555555555556</v>
      </c>
      <c r="N1751" s="460" t="n">
        <f aca="false">I1751*M1751</f>
        <v>11.78</v>
      </c>
      <c r="O1751" s="461" t="n">
        <v>750</v>
      </c>
      <c r="P1751" s="462" t="n">
        <f aca="false">H1751-O1751</f>
        <v>0</v>
      </c>
      <c r="Q1751" s="463" t="n">
        <f aca="false">O1751*I1751</f>
        <v>16875</v>
      </c>
      <c r="R1751" s="48" t="n">
        <f aca="false">K1751-Q1751</f>
        <v>0</v>
      </c>
      <c r="S1751" s="467"/>
      <c r="T1751" s="2" t="s">
        <v>1711</v>
      </c>
      <c r="V1751" s="464"/>
      <c r="W1751" s="464"/>
      <c r="X1751" s="464"/>
      <c r="Y1751" s="464"/>
      <c r="Z1751" s="464"/>
      <c r="AA1751" s="464"/>
      <c r="AB1751" s="464"/>
      <c r="AC1751" s="464"/>
      <c r="AD1751" s="464"/>
      <c r="AE1751" s="464"/>
      <c r="AF1751" s="464"/>
      <c r="AG1751" s="464"/>
      <c r="AH1751" s="465"/>
      <c r="AI1751" s="464"/>
    </row>
    <row r="1752" customFormat="false" ht="15" hidden="false" customHeight="true" outlineLevel="0" collapsed="false">
      <c r="A1752" s="455" t="s">
        <v>1913</v>
      </c>
      <c r="C1752" s="456" t="n">
        <v>45679</v>
      </c>
      <c r="D1752" s="456"/>
      <c r="E1752" s="57" t="n">
        <v>14571</v>
      </c>
      <c r="F1752" s="323" t="s">
        <v>175</v>
      </c>
      <c r="G1752" s="323" t="s">
        <v>11</v>
      </c>
      <c r="H1752" s="98" t="n">
        <v>300</v>
      </c>
      <c r="I1752" s="457" t="n">
        <v>14</v>
      </c>
      <c r="J1752" s="313" t="s">
        <v>1651</v>
      </c>
      <c r="K1752" s="458" t="n">
        <f aca="false">I1752*H1752</f>
        <v>4200</v>
      </c>
      <c r="L1752" s="411" t="n">
        <v>20000</v>
      </c>
      <c r="M1752" s="459" t="n">
        <f aca="false">L1752/K1752</f>
        <v>4.76190476190476</v>
      </c>
      <c r="N1752" s="460" t="n">
        <f aca="false">I1752*M1752</f>
        <v>66.6666666666667</v>
      </c>
      <c r="O1752" s="461" t="n">
        <v>300</v>
      </c>
      <c r="P1752" s="462" t="n">
        <f aca="false">H1752-O1752</f>
        <v>0</v>
      </c>
      <c r="Q1752" s="463" t="n">
        <f aca="false">O1752*I1752</f>
        <v>4200</v>
      </c>
      <c r="R1752" s="48" t="n">
        <f aca="false">K1752-Q1752</f>
        <v>0</v>
      </c>
      <c r="S1752" s="467"/>
      <c r="T1752" s="2" t="s">
        <v>1711</v>
      </c>
      <c r="V1752" s="464"/>
      <c r="W1752" s="464"/>
      <c r="X1752" s="464"/>
      <c r="Y1752" s="464"/>
      <c r="Z1752" s="464"/>
      <c r="AA1752" s="464"/>
      <c r="AB1752" s="464"/>
      <c r="AC1752" s="464"/>
      <c r="AD1752" s="464"/>
      <c r="AE1752" s="464"/>
      <c r="AF1752" s="464"/>
      <c r="AG1752" s="464"/>
      <c r="AH1752" s="465"/>
      <c r="AI1752" s="464"/>
    </row>
    <row r="1753" customFormat="false" ht="15" hidden="false" customHeight="true" outlineLevel="0" collapsed="false">
      <c r="A1753" s="455" t="s">
        <v>1913</v>
      </c>
      <c r="C1753" s="456" t="n">
        <v>45679</v>
      </c>
      <c r="D1753" s="456"/>
      <c r="E1753" s="57" t="n">
        <v>14571</v>
      </c>
      <c r="F1753" s="323" t="s">
        <v>175</v>
      </c>
      <c r="G1753" s="323" t="s">
        <v>5</v>
      </c>
      <c r="H1753" s="98" t="n">
        <v>4500</v>
      </c>
      <c r="I1753" s="457" t="n">
        <v>25.71</v>
      </c>
      <c r="J1753" s="313" t="s">
        <v>1651</v>
      </c>
      <c r="K1753" s="458" t="n">
        <f aca="false">I1753*H1753</f>
        <v>115695</v>
      </c>
      <c r="L1753" s="411" t="n">
        <v>56700</v>
      </c>
      <c r="M1753" s="459" t="n">
        <f aca="false">L1753/K1753</f>
        <v>0.490081680280047</v>
      </c>
      <c r="N1753" s="460" t="n">
        <f aca="false">I1753*M1753</f>
        <v>12.6</v>
      </c>
      <c r="O1753" s="461" t="n">
        <v>4500</v>
      </c>
      <c r="P1753" s="462" t="n">
        <f aca="false">H1753-O1753</f>
        <v>0</v>
      </c>
      <c r="Q1753" s="463" t="n">
        <f aca="false">O1753*I1753</f>
        <v>115695</v>
      </c>
      <c r="R1753" s="48" t="n">
        <f aca="false">K1753-Q1753</f>
        <v>0</v>
      </c>
      <c r="S1753" s="467"/>
      <c r="T1753" s="2" t="s">
        <v>1711</v>
      </c>
      <c r="V1753" s="464"/>
      <c r="W1753" s="464"/>
      <c r="X1753" s="464"/>
      <c r="Y1753" s="464"/>
      <c r="Z1753" s="464"/>
      <c r="AA1753" s="464"/>
      <c r="AB1753" s="464"/>
      <c r="AC1753" s="464"/>
      <c r="AD1753" s="464"/>
      <c r="AE1753" s="464"/>
      <c r="AF1753" s="464"/>
      <c r="AG1753" s="464"/>
      <c r="AH1753" s="465"/>
      <c r="AI1753" s="464"/>
    </row>
    <row r="1754" customFormat="false" ht="15" hidden="false" customHeight="true" outlineLevel="0" collapsed="false">
      <c r="A1754" s="455" t="s">
        <v>1913</v>
      </c>
      <c r="C1754" s="456" t="n">
        <v>45679</v>
      </c>
      <c r="D1754" s="456"/>
      <c r="E1754" s="57" t="n">
        <v>14571</v>
      </c>
      <c r="F1754" s="323" t="s">
        <v>175</v>
      </c>
      <c r="G1754" s="323" t="s">
        <v>5</v>
      </c>
      <c r="H1754" s="98" t="n">
        <v>2500</v>
      </c>
      <c r="I1754" s="457" t="n">
        <v>60</v>
      </c>
      <c r="J1754" s="313" t="s">
        <v>1653</v>
      </c>
      <c r="K1754" s="458" t="n">
        <f aca="false">I1754*H1754</f>
        <v>150000</v>
      </c>
      <c r="L1754" s="411" t="n">
        <v>37700</v>
      </c>
      <c r="M1754" s="459" t="n">
        <f aca="false">L1754/K1754</f>
        <v>0.251333333333333</v>
      </c>
      <c r="N1754" s="460" t="n">
        <f aca="false">I1754*M1754</f>
        <v>15.08</v>
      </c>
      <c r="O1754" s="461" t="n">
        <v>2500</v>
      </c>
      <c r="P1754" s="462" t="n">
        <f aca="false">H1754-O1754</f>
        <v>0</v>
      </c>
      <c r="Q1754" s="463" t="n">
        <f aca="false">O1754*I1754</f>
        <v>150000</v>
      </c>
      <c r="R1754" s="48" t="n">
        <f aca="false">K1754-Q1754</f>
        <v>0</v>
      </c>
      <c r="S1754" s="467"/>
      <c r="T1754" s="2" t="s">
        <v>1711</v>
      </c>
      <c r="V1754" s="464"/>
      <c r="W1754" s="464"/>
      <c r="X1754" s="464"/>
      <c r="Y1754" s="464"/>
      <c r="Z1754" s="464"/>
      <c r="AA1754" s="464"/>
      <c r="AB1754" s="464"/>
      <c r="AC1754" s="464"/>
      <c r="AD1754" s="464"/>
      <c r="AE1754" s="464"/>
      <c r="AF1754" s="464"/>
      <c r="AG1754" s="464"/>
      <c r="AH1754" s="465"/>
      <c r="AI1754" s="464"/>
    </row>
    <row r="1755" customFormat="false" ht="15" hidden="false" customHeight="true" outlineLevel="0" collapsed="false">
      <c r="A1755" s="455" t="s">
        <v>1913</v>
      </c>
      <c r="C1755" s="456" t="n">
        <v>45679</v>
      </c>
      <c r="D1755" s="456"/>
      <c r="E1755" s="57" t="n">
        <v>14571</v>
      </c>
      <c r="F1755" s="323" t="s">
        <v>175</v>
      </c>
      <c r="G1755" s="323" t="s">
        <v>15</v>
      </c>
      <c r="H1755" s="98" t="n">
        <v>1200</v>
      </c>
      <c r="I1755" s="457" t="n">
        <v>22.5</v>
      </c>
      <c r="J1755" s="313" t="s">
        <v>1651</v>
      </c>
      <c r="K1755" s="458" t="n">
        <f aca="false">I1755*H1755</f>
        <v>27000</v>
      </c>
      <c r="L1755" s="411" t="n">
        <v>19908</v>
      </c>
      <c r="M1755" s="459" t="n">
        <f aca="false">L1755/K1755</f>
        <v>0.737333333333333</v>
      </c>
      <c r="N1755" s="460" t="n">
        <f aca="false">I1755*M1755</f>
        <v>16.59</v>
      </c>
      <c r="O1755" s="461" t="n">
        <v>1200</v>
      </c>
      <c r="P1755" s="462" t="n">
        <f aca="false">H1755-O1755</f>
        <v>0</v>
      </c>
      <c r="Q1755" s="463" t="n">
        <f aca="false">O1755*I1755</f>
        <v>27000</v>
      </c>
      <c r="R1755" s="48" t="n">
        <f aca="false">K1755-Q1755</f>
        <v>0</v>
      </c>
      <c r="S1755" s="467"/>
      <c r="T1755" s="2" t="s">
        <v>1711</v>
      </c>
      <c r="V1755" s="464"/>
      <c r="W1755" s="464"/>
      <c r="X1755" s="464"/>
      <c r="Y1755" s="464"/>
      <c r="Z1755" s="464"/>
      <c r="AA1755" s="464"/>
      <c r="AB1755" s="464"/>
      <c r="AC1755" s="464"/>
      <c r="AD1755" s="464"/>
      <c r="AE1755" s="464"/>
      <c r="AF1755" s="464"/>
      <c r="AG1755" s="464"/>
      <c r="AH1755" s="465"/>
      <c r="AI1755" s="464"/>
    </row>
    <row r="1756" customFormat="false" ht="15" hidden="false" customHeight="true" outlineLevel="0" collapsed="false">
      <c r="A1756" s="455" t="s">
        <v>1913</v>
      </c>
      <c r="C1756" s="456" t="n">
        <v>45679</v>
      </c>
      <c r="D1756" s="456"/>
      <c r="E1756" s="57" t="n">
        <v>14571</v>
      </c>
      <c r="F1756" s="323" t="s">
        <v>175</v>
      </c>
      <c r="G1756" s="323" t="s">
        <v>13</v>
      </c>
      <c r="H1756" s="98" t="n">
        <v>2700</v>
      </c>
      <c r="I1756" s="457" t="n">
        <v>22.5</v>
      </c>
      <c r="J1756" s="313" t="s">
        <v>1651</v>
      </c>
      <c r="K1756" s="458" t="n">
        <f aca="false">I1756*H1756</f>
        <v>60750</v>
      </c>
      <c r="L1756" s="411" t="n">
        <v>30240</v>
      </c>
      <c r="M1756" s="459" t="n">
        <f aca="false">L1756/K1756</f>
        <v>0.497777777777778</v>
      </c>
      <c r="N1756" s="460" t="n">
        <f aca="false">I1756*M1756</f>
        <v>11.2</v>
      </c>
      <c r="O1756" s="461" t="n">
        <v>2700</v>
      </c>
      <c r="P1756" s="462" t="n">
        <f aca="false">H1756-O1756</f>
        <v>0</v>
      </c>
      <c r="Q1756" s="463" t="n">
        <f aca="false">O1756*I1756</f>
        <v>60750</v>
      </c>
      <c r="R1756" s="48" t="n">
        <f aca="false">K1756-Q1756</f>
        <v>0</v>
      </c>
      <c r="S1756" s="467"/>
      <c r="T1756" s="2" t="s">
        <v>1711</v>
      </c>
      <c r="V1756" s="464"/>
      <c r="W1756" s="464"/>
      <c r="X1756" s="464"/>
      <c r="Y1756" s="464"/>
      <c r="Z1756" s="464"/>
      <c r="AA1756" s="464"/>
      <c r="AB1756" s="464"/>
      <c r="AC1756" s="464"/>
      <c r="AD1756" s="464"/>
      <c r="AE1756" s="464"/>
      <c r="AF1756" s="464"/>
      <c r="AG1756" s="464"/>
      <c r="AH1756" s="465"/>
      <c r="AI1756" s="464"/>
    </row>
    <row r="1757" customFormat="false" ht="15" hidden="false" customHeight="true" outlineLevel="0" collapsed="false">
      <c r="A1757" s="455" t="s">
        <v>1913</v>
      </c>
      <c r="C1757" s="456" t="n">
        <v>45679</v>
      </c>
      <c r="D1757" s="456"/>
      <c r="E1757" s="57" t="n">
        <v>14571</v>
      </c>
      <c r="F1757" s="323" t="s">
        <v>175</v>
      </c>
      <c r="G1757" s="323" t="s">
        <v>13</v>
      </c>
      <c r="H1757" s="98" t="n">
        <v>750</v>
      </c>
      <c r="I1757" s="457" t="n">
        <v>40</v>
      </c>
      <c r="J1757" s="313" t="s">
        <v>1653</v>
      </c>
      <c r="K1757" s="458" t="n">
        <f aca="false">I1757*H1757</f>
        <v>30000</v>
      </c>
      <c r="L1757" s="411" t="n">
        <v>9772.5</v>
      </c>
      <c r="M1757" s="459" t="n">
        <f aca="false">L1757/K1757</f>
        <v>0.32575</v>
      </c>
      <c r="N1757" s="460" t="n">
        <f aca="false">I1757*M1757</f>
        <v>13.03</v>
      </c>
      <c r="O1757" s="461" t="n">
        <v>750</v>
      </c>
      <c r="P1757" s="462" t="n">
        <f aca="false">H1757-O1757</f>
        <v>0</v>
      </c>
      <c r="Q1757" s="463" t="n">
        <f aca="false">O1757*I1757</f>
        <v>30000</v>
      </c>
      <c r="R1757" s="48" t="n">
        <f aca="false">K1757-Q1757</f>
        <v>0</v>
      </c>
      <c r="S1757" s="467"/>
      <c r="T1757" s="2" t="s">
        <v>1711</v>
      </c>
      <c r="V1757" s="464"/>
      <c r="W1757" s="464"/>
      <c r="X1757" s="464"/>
      <c r="Y1757" s="464"/>
      <c r="Z1757" s="464"/>
      <c r="AA1757" s="464"/>
      <c r="AB1757" s="464"/>
      <c r="AC1757" s="464"/>
      <c r="AD1757" s="464"/>
      <c r="AE1757" s="464"/>
      <c r="AF1757" s="464"/>
      <c r="AG1757" s="464"/>
      <c r="AH1757" s="465"/>
      <c r="AI1757" s="464"/>
    </row>
    <row r="1758" customFormat="false" ht="15" hidden="false" customHeight="true" outlineLevel="0" collapsed="false">
      <c r="A1758" s="455" t="s">
        <v>1913</v>
      </c>
      <c r="C1758" s="456" t="n">
        <v>45679</v>
      </c>
      <c r="D1758" s="456"/>
      <c r="E1758" s="57" t="n">
        <v>14572</v>
      </c>
      <c r="F1758" s="323" t="s">
        <v>175</v>
      </c>
      <c r="G1758" s="323" t="s">
        <v>17</v>
      </c>
      <c r="H1758" s="98" t="n">
        <v>1500</v>
      </c>
      <c r="I1758" s="457" t="n">
        <v>22.5</v>
      </c>
      <c r="J1758" s="313" t="s">
        <v>1651</v>
      </c>
      <c r="K1758" s="458" t="n">
        <f aca="false">I1758*H1758</f>
        <v>33750</v>
      </c>
      <c r="L1758" s="411" t="n">
        <v>17670</v>
      </c>
      <c r="M1758" s="459" t="n">
        <f aca="false">L1758/K1758</f>
        <v>0.523555555555556</v>
      </c>
      <c r="N1758" s="460" t="n">
        <f aca="false">I1758*M1758</f>
        <v>11.78</v>
      </c>
      <c r="O1758" s="461" t="n">
        <v>1500</v>
      </c>
      <c r="P1758" s="462" t="n">
        <f aca="false">H1758-O1758</f>
        <v>0</v>
      </c>
      <c r="Q1758" s="463" t="n">
        <f aca="false">O1758*I1758</f>
        <v>33750</v>
      </c>
      <c r="R1758" s="48" t="n">
        <f aca="false">K1758-Q1758</f>
        <v>0</v>
      </c>
      <c r="S1758" s="467"/>
      <c r="T1758" s="2" t="s">
        <v>1711</v>
      </c>
      <c r="V1758" s="464"/>
      <c r="W1758" s="464"/>
      <c r="X1758" s="464"/>
      <c r="Y1758" s="464"/>
      <c r="Z1758" s="464"/>
      <c r="AA1758" s="464"/>
      <c r="AB1758" s="464"/>
      <c r="AC1758" s="464"/>
      <c r="AD1758" s="464"/>
      <c r="AE1758" s="464"/>
      <c r="AF1758" s="464"/>
      <c r="AG1758" s="464"/>
      <c r="AH1758" s="465"/>
      <c r="AI1758" s="464"/>
    </row>
    <row r="1759" customFormat="false" ht="15" hidden="false" customHeight="true" outlineLevel="0" collapsed="false">
      <c r="A1759" s="455" t="s">
        <v>1913</v>
      </c>
      <c r="C1759" s="456" t="n">
        <v>45679</v>
      </c>
      <c r="D1759" s="456"/>
      <c r="E1759" s="57" t="n">
        <v>14572</v>
      </c>
      <c r="F1759" s="323" t="s">
        <v>175</v>
      </c>
      <c r="G1759" s="323" t="s">
        <v>5</v>
      </c>
      <c r="H1759" s="98" t="n">
        <v>4725</v>
      </c>
      <c r="I1759" s="457" t="n">
        <v>25.71</v>
      </c>
      <c r="J1759" s="313" t="s">
        <v>1651</v>
      </c>
      <c r="K1759" s="458" t="n">
        <f aca="false">I1759*H1759</f>
        <v>121479.75</v>
      </c>
      <c r="L1759" s="411" t="n">
        <v>59535</v>
      </c>
      <c r="M1759" s="459" t="n">
        <f aca="false">L1759/K1759</f>
        <v>0.490081680280047</v>
      </c>
      <c r="N1759" s="460" t="n">
        <f aca="false">I1759*M1759</f>
        <v>12.6</v>
      </c>
      <c r="O1759" s="461" t="n">
        <v>4725</v>
      </c>
      <c r="P1759" s="462" t="n">
        <f aca="false">H1759-O1759</f>
        <v>0</v>
      </c>
      <c r="Q1759" s="463" t="n">
        <f aca="false">O1759*I1759</f>
        <v>121479.75</v>
      </c>
      <c r="R1759" s="48" t="n">
        <f aca="false">K1759-Q1759</f>
        <v>0</v>
      </c>
      <c r="S1759" s="467"/>
      <c r="T1759" s="2" t="s">
        <v>1711</v>
      </c>
      <c r="V1759" s="464"/>
      <c r="W1759" s="464"/>
      <c r="X1759" s="464"/>
      <c r="Y1759" s="464"/>
      <c r="Z1759" s="464"/>
      <c r="AA1759" s="464"/>
      <c r="AB1759" s="464"/>
      <c r="AC1759" s="464"/>
      <c r="AD1759" s="464"/>
      <c r="AE1759" s="464"/>
      <c r="AF1759" s="464"/>
      <c r="AG1759" s="464"/>
      <c r="AH1759" s="465"/>
      <c r="AI1759" s="464"/>
    </row>
    <row r="1760" customFormat="false" ht="15" hidden="false" customHeight="true" outlineLevel="0" collapsed="false">
      <c r="A1760" s="455" t="s">
        <v>1913</v>
      </c>
      <c r="C1760" s="456" t="n">
        <v>45679</v>
      </c>
      <c r="D1760" s="456"/>
      <c r="E1760" s="57" t="n">
        <v>14572</v>
      </c>
      <c r="F1760" s="323" t="s">
        <v>175</v>
      </c>
      <c r="G1760" s="323" t="s">
        <v>5</v>
      </c>
      <c r="H1760" s="98" t="n">
        <v>7500</v>
      </c>
      <c r="I1760" s="457" t="n">
        <v>60</v>
      </c>
      <c r="J1760" s="313" t="s">
        <v>1653</v>
      </c>
      <c r="K1760" s="458" t="n">
        <f aca="false">I1760*H1760</f>
        <v>450000</v>
      </c>
      <c r="L1760" s="411" t="n">
        <v>113100</v>
      </c>
      <c r="M1760" s="459" t="n">
        <f aca="false">L1760/K1760</f>
        <v>0.251333333333333</v>
      </c>
      <c r="N1760" s="460" t="n">
        <f aca="false">I1760*M1760</f>
        <v>15.08</v>
      </c>
      <c r="O1760" s="461" t="n">
        <v>7500</v>
      </c>
      <c r="P1760" s="462" t="n">
        <f aca="false">H1760-O1760</f>
        <v>0</v>
      </c>
      <c r="Q1760" s="463" t="n">
        <f aca="false">O1760*I1760</f>
        <v>450000</v>
      </c>
      <c r="R1760" s="48" t="n">
        <f aca="false">K1760-Q1760</f>
        <v>0</v>
      </c>
      <c r="S1760" s="467"/>
      <c r="T1760" s="2" t="s">
        <v>1711</v>
      </c>
      <c r="V1760" s="464"/>
      <c r="W1760" s="464"/>
      <c r="X1760" s="464"/>
      <c r="Y1760" s="464"/>
      <c r="Z1760" s="464"/>
      <c r="AA1760" s="464"/>
      <c r="AB1760" s="464"/>
      <c r="AC1760" s="464"/>
      <c r="AD1760" s="464"/>
      <c r="AE1760" s="464"/>
      <c r="AF1760" s="464"/>
      <c r="AG1760" s="464"/>
      <c r="AH1760" s="465"/>
      <c r="AI1760" s="464"/>
    </row>
    <row r="1761" customFormat="false" ht="15" hidden="false" customHeight="true" outlineLevel="0" collapsed="false">
      <c r="A1761" s="455" t="s">
        <v>1913</v>
      </c>
      <c r="C1761" s="456" t="n">
        <v>45679</v>
      </c>
      <c r="D1761" s="456"/>
      <c r="E1761" s="57" t="n">
        <v>14572</v>
      </c>
      <c r="F1761" s="323" t="s">
        <v>175</v>
      </c>
      <c r="G1761" s="323" t="s">
        <v>15</v>
      </c>
      <c r="H1761" s="98" t="n">
        <v>2250</v>
      </c>
      <c r="I1761" s="457" t="n">
        <v>22.5</v>
      </c>
      <c r="J1761" s="313" t="s">
        <v>1651</v>
      </c>
      <c r="K1761" s="458" t="n">
        <f aca="false">I1761*H1761</f>
        <v>50625</v>
      </c>
      <c r="L1761" s="411" t="n">
        <v>37327.5</v>
      </c>
      <c r="M1761" s="459" t="n">
        <f aca="false">L1761/K1761</f>
        <v>0.737333333333333</v>
      </c>
      <c r="N1761" s="460" t="n">
        <f aca="false">I1761*M1761</f>
        <v>16.59</v>
      </c>
      <c r="O1761" s="461" t="n">
        <v>2250</v>
      </c>
      <c r="P1761" s="462" t="n">
        <f aca="false">H1761-O1761</f>
        <v>0</v>
      </c>
      <c r="Q1761" s="463" t="n">
        <f aca="false">O1761*I1761</f>
        <v>50625</v>
      </c>
      <c r="R1761" s="48" t="n">
        <f aca="false">K1761-Q1761</f>
        <v>0</v>
      </c>
      <c r="S1761" s="467"/>
      <c r="T1761" s="2" t="s">
        <v>1711</v>
      </c>
      <c r="V1761" s="464"/>
      <c r="W1761" s="464"/>
      <c r="X1761" s="464"/>
      <c r="Y1761" s="464"/>
      <c r="Z1761" s="464"/>
      <c r="AA1761" s="464"/>
      <c r="AB1761" s="464"/>
      <c r="AC1761" s="464"/>
      <c r="AD1761" s="464"/>
      <c r="AE1761" s="464"/>
      <c r="AF1761" s="464"/>
      <c r="AG1761" s="464"/>
      <c r="AH1761" s="465"/>
      <c r="AI1761" s="464"/>
    </row>
    <row r="1762" customFormat="false" ht="15" hidden="false" customHeight="true" outlineLevel="0" collapsed="false">
      <c r="A1762" s="455" t="s">
        <v>1913</v>
      </c>
      <c r="C1762" s="456" t="n">
        <v>45679</v>
      </c>
      <c r="D1762" s="456"/>
      <c r="E1762" s="57" t="n">
        <v>14572</v>
      </c>
      <c r="F1762" s="323" t="s">
        <v>175</v>
      </c>
      <c r="G1762" s="323" t="s">
        <v>13</v>
      </c>
      <c r="H1762" s="98" t="n">
        <v>2100</v>
      </c>
      <c r="I1762" s="457" t="n">
        <v>22.5</v>
      </c>
      <c r="J1762" s="313" t="s">
        <v>1651</v>
      </c>
      <c r="K1762" s="458" t="n">
        <f aca="false">I1762*H1762</f>
        <v>47250</v>
      </c>
      <c r="L1762" s="411" t="n">
        <v>23520</v>
      </c>
      <c r="M1762" s="459" t="n">
        <f aca="false">L1762/K1762</f>
        <v>0.497777777777778</v>
      </c>
      <c r="N1762" s="460" t="n">
        <f aca="false">I1762*M1762</f>
        <v>11.2</v>
      </c>
      <c r="O1762" s="461" t="n">
        <v>2100</v>
      </c>
      <c r="P1762" s="462" t="n">
        <f aca="false">H1762-O1762</f>
        <v>0</v>
      </c>
      <c r="Q1762" s="463" t="n">
        <f aca="false">O1762*I1762</f>
        <v>47250</v>
      </c>
      <c r="R1762" s="48" t="n">
        <f aca="false">K1762-Q1762</f>
        <v>0</v>
      </c>
      <c r="S1762" s="467"/>
      <c r="T1762" s="2" t="s">
        <v>1711</v>
      </c>
      <c r="V1762" s="464"/>
      <c r="W1762" s="464"/>
      <c r="X1762" s="464"/>
      <c r="Y1762" s="464"/>
      <c r="Z1762" s="464"/>
      <c r="AA1762" s="464"/>
      <c r="AB1762" s="464"/>
      <c r="AC1762" s="464"/>
      <c r="AD1762" s="464"/>
      <c r="AE1762" s="464"/>
      <c r="AF1762" s="464"/>
      <c r="AG1762" s="464"/>
      <c r="AH1762" s="465"/>
      <c r="AI1762" s="464"/>
    </row>
    <row r="1763" customFormat="false" ht="15" hidden="false" customHeight="true" outlineLevel="0" collapsed="false">
      <c r="A1763" s="455" t="s">
        <v>1913</v>
      </c>
      <c r="C1763" s="456" t="n">
        <v>45679</v>
      </c>
      <c r="D1763" s="456"/>
      <c r="E1763" s="57" t="n">
        <v>14572</v>
      </c>
      <c r="F1763" s="323" t="s">
        <v>175</v>
      </c>
      <c r="G1763" s="323" t="s">
        <v>13</v>
      </c>
      <c r="H1763" s="98" t="n">
        <v>3000</v>
      </c>
      <c r="I1763" s="457" t="n">
        <v>40</v>
      </c>
      <c r="J1763" s="313" t="s">
        <v>1653</v>
      </c>
      <c r="K1763" s="458" t="n">
        <f aca="false">I1763*H1763</f>
        <v>120000</v>
      </c>
      <c r="L1763" s="411" t="n">
        <v>39090</v>
      </c>
      <c r="M1763" s="459" t="n">
        <f aca="false">L1763/K1763</f>
        <v>0.32575</v>
      </c>
      <c r="N1763" s="460" t="n">
        <f aca="false">I1763*M1763</f>
        <v>13.03</v>
      </c>
      <c r="O1763" s="461" t="n">
        <v>3000</v>
      </c>
      <c r="P1763" s="462" t="n">
        <f aca="false">H1763-O1763</f>
        <v>0</v>
      </c>
      <c r="Q1763" s="463" t="n">
        <f aca="false">O1763*I1763</f>
        <v>120000</v>
      </c>
      <c r="R1763" s="48" t="n">
        <f aca="false">K1763-Q1763</f>
        <v>0</v>
      </c>
      <c r="S1763" s="467"/>
      <c r="T1763" s="2" t="s">
        <v>1711</v>
      </c>
      <c r="V1763" s="464"/>
      <c r="W1763" s="464"/>
      <c r="X1763" s="464"/>
      <c r="Y1763" s="464"/>
      <c r="Z1763" s="464"/>
      <c r="AA1763" s="464"/>
      <c r="AB1763" s="464"/>
      <c r="AC1763" s="464"/>
      <c r="AD1763" s="464"/>
      <c r="AE1763" s="464"/>
      <c r="AF1763" s="464"/>
      <c r="AG1763" s="464"/>
      <c r="AH1763" s="465"/>
      <c r="AI1763" s="464"/>
    </row>
    <row r="1764" customFormat="false" ht="15" hidden="false" customHeight="true" outlineLevel="0" collapsed="false">
      <c r="A1764" s="455" t="s">
        <v>1913</v>
      </c>
      <c r="C1764" s="456" t="n">
        <v>45679</v>
      </c>
      <c r="D1764" s="456"/>
      <c r="E1764" s="57" t="n">
        <v>14573</v>
      </c>
      <c r="F1764" s="323" t="s">
        <v>175</v>
      </c>
      <c r="G1764" s="323" t="s">
        <v>5</v>
      </c>
      <c r="H1764" s="98" t="n">
        <v>1275</v>
      </c>
      <c r="I1764" s="457" t="n">
        <v>25.71</v>
      </c>
      <c r="J1764" s="313" t="s">
        <v>1651</v>
      </c>
      <c r="K1764" s="458" t="n">
        <f aca="false">I1764*H1764</f>
        <v>32780.25</v>
      </c>
      <c r="L1764" s="411" t="n">
        <v>16065</v>
      </c>
      <c r="M1764" s="459" t="n">
        <f aca="false">L1764/K1764</f>
        <v>0.490081680280047</v>
      </c>
      <c r="N1764" s="460" t="n">
        <f aca="false">I1764*M1764</f>
        <v>12.6</v>
      </c>
      <c r="O1764" s="461" t="n">
        <v>1275</v>
      </c>
      <c r="P1764" s="462" t="n">
        <f aca="false">H1764-O1764</f>
        <v>0</v>
      </c>
      <c r="Q1764" s="463" t="n">
        <f aca="false">O1764*I1764</f>
        <v>32780.25</v>
      </c>
      <c r="R1764" s="48" t="n">
        <f aca="false">K1764-Q1764</f>
        <v>0</v>
      </c>
      <c r="S1764" s="467"/>
      <c r="T1764" s="2" t="s">
        <v>1711</v>
      </c>
      <c r="V1764" s="464"/>
      <c r="W1764" s="464"/>
      <c r="X1764" s="464"/>
      <c r="Y1764" s="464"/>
      <c r="Z1764" s="464"/>
      <c r="AA1764" s="464"/>
      <c r="AB1764" s="464"/>
      <c r="AC1764" s="464"/>
      <c r="AD1764" s="464"/>
      <c r="AE1764" s="464"/>
      <c r="AF1764" s="464"/>
      <c r="AG1764" s="464"/>
      <c r="AH1764" s="465"/>
      <c r="AI1764" s="464"/>
    </row>
    <row r="1765" customFormat="false" ht="15" hidden="false" customHeight="true" outlineLevel="0" collapsed="false">
      <c r="A1765" s="455" t="s">
        <v>2049</v>
      </c>
      <c r="C1765" s="456" t="n">
        <v>45679</v>
      </c>
      <c r="D1765" s="456"/>
      <c r="E1765" s="57" t="n">
        <v>14575</v>
      </c>
      <c r="F1765" s="57" t="s">
        <v>175</v>
      </c>
      <c r="G1765" s="323" t="s">
        <v>10</v>
      </c>
      <c r="H1765" s="98" t="n">
        <v>1020</v>
      </c>
      <c r="I1765" s="457" t="n">
        <v>90</v>
      </c>
      <c r="J1765" s="313" t="s">
        <v>1653</v>
      </c>
      <c r="K1765" s="458" t="n">
        <f aca="false">I1765*H1765</f>
        <v>91800</v>
      </c>
      <c r="L1765" s="411" t="n">
        <v>13260</v>
      </c>
      <c r="M1765" s="459" t="n">
        <f aca="false">L1765/K1765</f>
        <v>0.144444444444444</v>
      </c>
      <c r="N1765" s="460" t="n">
        <f aca="false">I1765*M1765</f>
        <v>13</v>
      </c>
      <c r="O1765" s="461" t="n">
        <v>1020</v>
      </c>
      <c r="P1765" s="462" t="n">
        <f aca="false">H1765-O1765</f>
        <v>0</v>
      </c>
      <c r="Q1765" s="463" t="n">
        <f aca="false">O1765*I1765</f>
        <v>91800</v>
      </c>
      <c r="R1765" s="48" t="n">
        <f aca="false">K1765-Q1765</f>
        <v>0</v>
      </c>
      <c r="S1765" s="467"/>
      <c r="T1765" s="2" t="s">
        <v>1711</v>
      </c>
      <c r="V1765" s="464"/>
      <c r="W1765" s="464"/>
      <c r="X1765" s="464"/>
      <c r="Y1765" s="464"/>
      <c r="Z1765" s="464"/>
      <c r="AA1765" s="464"/>
      <c r="AB1765" s="464"/>
      <c r="AC1765" s="464"/>
      <c r="AD1765" s="464"/>
      <c r="AE1765" s="464"/>
      <c r="AF1765" s="464"/>
      <c r="AG1765" s="464"/>
      <c r="AH1765" s="465"/>
      <c r="AI1765" s="464"/>
    </row>
    <row r="1766" customFormat="false" ht="15" hidden="false" customHeight="true" outlineLevel="0" collapsed="false">
      <c r="A1766" s="455" t="s">
        <v>2050</v>
      </c>
      <c r="C1766" s="456" t="n">
        <v>45679</v>
      </c>
      <c r="D1766" s="456"/>
      <c r="E1766" s="57" t="n">
        <v>14576</v>
      </c>
      <c r="F1766" s="57" t="s">
        <v>175</v>
      </c>
      <c r="G1766" s="323" t="s">
        <v>10</v>
      </c>
      <c r="H1766" s="98" t="n">
        <v>1410</v>
      </c>
      <c r="I1766" s="457" t="n">
        <v>90</v>
      </c>
      <c r="J1766" s="313" t="s">
        <v>1653</v>
      </c>
      <c r="K1766" s="458" t="n">
        <f aca="false">I1766*H1766</f>
        <v>126900</v>
      </c>
      <c r="L1766" s="411" t="n">
        <v>18330</v>
      </c>
      <c r="M1766" s="459" t="n">
        <f aca="false">L1766/K1766</f>
        <v>0.144444444444444</v>
      </c>
      <c r="N1766" s="460" t="n">
        <f aca="false">I1766*M1766</f>
        <v>13</v>
      </c>
      <c r="O1766" s="461" t="n">
        <v>1410</v>
      </c>
      <c r="P1766" s="462" t="n">
        <f aca="false">H1766-O1766</f>
        <v>0</v>
      </c>
      <c r="Q1766" s="463" t="n">
        <f aca="false">O1766*I1766</f>
        <v>126900</v>
      </c>
      <c r="R1766" s="48" t="n">
        <f aca="false">K1766-Q1766</f>
        <v>0</v>
      </c>
      <c r="S1766" s="467"/>
      <c r="T1766" s="2" t="s">
        <v>1711</v>
      </c>
      <c r="V1766" s="464"/>
      <c r="W1766" s="464"/>
      <c r="X1766" s="464"/>
      <c r="Y1766" s="464"/>
      <c r="Z1766" s="464"/>
      <c r="AA1766" s="464"/>
      <c r="AB1766" s="464"/>
      <c r="AC1766" s="464"/>
      <c r="AD1766" s="464"/>
      <c r="AE1766" s="464"/>
      <c r="AF1766" s="464"/>
      <c r="AG1766" s="464"/>
      <c r="AH1766" s="465"/>
      <c r="AI1766" s="464"/>
    </row>
    <row r="1767" customFormat="false" ht="15" hidden="false" customHeight="true" outlineLevel="0" collapsed="false">
      <c r="A1767" s="455" t="s">
        <v>2051</v>
      </c>
      <c r="C1767" s="456" t="n">
        <v>45679</v>
      </c>
      <c r="D1767" s="456"/>
      <c r="E1767" s="57" t="n">
        <v>14577</v>
      </c>
      <c r="F1767" s="57" t="s">
        <v>175</v>
      </c>
      <c r="G1767" s="323" t="s">
        <v>10</v>
      </c>
      <c r="H1767" s="98" t="n">
        <v>5010</v>
      </c>
      <c r="I1767" s="457" t="n">
        <v>90</v>
      </c>
      <c r="J1767" s="313" t="s">
        <v>1653</v>
      </c>
      <c r="K1767" s="458" t="n">
        <f aca="false">I1767*H1767</f>
        <v>450900</v>
      </c>
      <c r="L1767" s="411" t="n">
        <v>65130</v>
      </c>
      <c r="M1767" s="459" t="n">
        <f aca="false">L1767/K1767</f>
        <v>0.144444444444444</v>
      </c>
      <c r="N1767" s="460" t="n">
        <f aca="false">I1767*M1767</f>
        <v>13</v>
      </c>
      <c r="O1767" s="461" t="n">
        <v>5010</v>
      </c>
      <c r="P1767" s="462" t="n">
        <f aca="false">H1767-O1767</f>
        <v>0</v>
      </c>
      <c r="Q1767" s="463" t="n">
        <f aca="false">O1767*I1767</f>
        <v>450900</v>
      </c>
      <c r="R1767" s="48" t="n">
        <f aca="false">K1767-Q1767</f>
        <v>0</v>
      </c>
      <c r="S1767" s="467"/>
      <c r="T1767" s="2" t="s">
        <v>1711</v>
      </c>
      <c r="V1767" s="464"/>
      <c r="W1767" s="464"/>
      <c r="X1767" s="464"/>
      <c r="Y1767" s="464"/>
      <c r="Z1767" s="464"/>
      <c r="AA1767" s="464"/>
      <c r="AB1767" s="464"/>
      <c r="AC1767" s="464"/>
      <c r="AD1767" s="464"/>
      <c r="AE1767" s="464"/>
      <c r="AF1767" s="464"/>
      <c r="AG1767" s="464"/>
      <c r="AH1767" s="465"/>
      <c r="AI1767" s="464"/>
    </row>
    <row r="1768" customFormat="false" ht="15" hidden="false" customHeight="true" outlineLevel="0" collapsed="false">
      <c r="A1768" s="455" t="s">
        <v>2052</v>
      </c>
      <c r="C1768" s="456" t="n">
        <v>45679</v>
      </c>
      <c r="D1768" s="456"/>
      <c r="E1768" s="57" t="n">
        <v>14578</v>
      </c>
      <c r="F1768" s="323" t="s">
        <v>175</v>
      </c>
      <c r="G1768" s="323" t="s">
        <v>10</v>
      </c>
      <c r="H1768" s="98" t="n">
        <v>3000</v>
      </c>
      <c r="I1768" s="457" t="n">
        <v>90</v>
      </c>
      <c r="J1768" s="313" t="s">
        <v>1653</v>
      </c>
      <c r="K1768" s="458" t="n">
        <f aca="false">I1768*H1768</f>
        <v>270000</v>
      </c>
      <c r="L1768" s="411" t="n">
        <v>39000</v>
      </c>
      <c r="M1768" s="459" t="n">
        <f aca="false">L1768/K1768</f>
        <v>0.144444444444444</v>
      </c>
      <c r="N1768" s="460" t="n">
        <f aca="false">I1768*M1768</f>
        <v>13</v>
      </c>
      <c r="O1768" s="461" t="n">
        <v>3000</v>
      </c>
      <c r="P1768" s="462" t="n">
        <f aca="false">H1768-O1768</f>
        <v>0</v>
      </c>
      <c r="Q1768" s="463" t="n">
        <f aca="false">O1768*I1768</f>
        <v>270000</v>
      </c>
      <c r="R1768" s="48" t="n">
        <f aca="false">K1768-Q1768</f>
        <v>0</v>
      </c>
      <c r="S1768" s="467"/>
      <c r="T1768" s="2" t="s">
        <v>1711</v>
      </c>
      <c r="V1768" s="464"/>
      <c r="W1768" s="464"/>
      <c r="X1768" s="464"/>
      <c r="Y1768" s="464"/>
      <c r="Z1768" s="464"/>
      <c r="AA1768" s="464"/>
      <c r="AB1768" s="464"/>
      <c r="AC1768" s="464"/>
      <c r="AD1768" s="464"/>
      <c r="AE1768" s="464"/>
      <c r="AF1768" s="464"/>
      <c r="AG1768" s="464"/>
      <c r="AH1768" s="465"/>
      <c r="AI1768" s="464"/>
    </row>
    <row r="1769" customFormat="false" ht="15" hidden="false" customHeight="true" outlineLevel="0" collapsed="false">
      <c r="A1769" s="455" t="s">
        <v>2053</v>
      </c>
      <c r="C1769" s="456" t="n">
        <v>45679</v>
      </c>
      <c r="D1769" s="456"/>
      <c r="E1769" s="323" t="n">
        <v>14579</v>
      </c>
      <c r="F1769" s="323" t="s">
        <v>175</v>
      </c>
      <c r="G1769" s="323" t="s">
        <v>10</v>
      </c>
      <c r="H1769" s="98" t="n">
        <v>5010</v>
      </c>
      <c r="I1769" s="457" t="n">
        <v>90</v>
      </c>
      <c r="J1769" s="313" t="s">
        <v>1653</v>
      </c>
      <c r="K1769" s="458" t="n">
        <f aca="false">I1769*H1769</f>
        <v>450900</v>
      </c>
      <c r="L1769" s="411" t="n">
        <v>65130</v>
      </c>
      <c r="M1769" s="459" t="n">
        <f aca="false">L1769/K1769</f>
        <v>0.144444444444444</v>
      </c>
      <c r="N1769" s="460" t="n">
        <f aca="false">I1769*M1769</f>
        <v>13</v>
      </c>
      <c r="O1769" s="461" t="n">
        <v>5010</v>
      </c>
      <c r="P1769" s="462" t="n">
        <f aca="false">H1769-O1769</f>
        <v>0</v>
      </c>
      <c r="Q1769" s="463" t="n">
        <f aca="false">O1769*I1769</f>
        <v>450900</v>
      </c>
      <c r="R1769" s="48" t="n">
        <f aca="false">K1769-Q1769</f>
        <v>0</v>
      </c>
      <c r="S1769" s="467"/>
      <c r="T1769" s="2" t="s">
        <v>1711</v>
      </c>
      <c r="V1769" s="464"/>
      <c r="W1769" s="464"/>
      <c r="X1769" s="464"/>
      <c r="Y1769" s="464"/>
      <c r="Z1769" s="464"/>
      <c r="AA1769" s="464"/>
      <c r="AB1769" s="464"/>
      <c r="AC1769" s="464"/>
      <c r="AD1769" s="464"/>
      <c r="AE1769" s="464"/>
      <c r="AF1769" s="464"/>
      <c r="AG1769" s="464"/>
      <c r="AH1769" s="465"/>
      <c r="AI1769" s="464"/>
    </row>
    <row r="1770" customFormat="false" ht="15" hidden="false" customHeight="true" outlineLevel="0" collapsed="false">
      <c r="A1770" s="455" t="s">
        <v>2054</v>
      </c>
      <c r="C1770" s="456" t="n">
        <v>45679</v>
      </c>
      <c r="D1770" s="456"/>
      <c r="E1770" s="57" t="n">
        <v>14580</v>
      </c>
      <c r="F1770" s="323" t="s">
        <v>175</v>
      </c>
      <c r="G1770" s="323" t="s">
        <v>10</v>
      </c>
      <c r="H1770" s="98" t="n">
        <v>5520</v>
      </c>
      <c r="I1770" s="457" t="n">
        <v>90</v>
      </c>
      <c r="J1770" s="313" t="s">
        <v>1653</v>
      </c>
      <c r="K1770" s="458" t="n">
        <f aca="false">I1770*H1770</f>
        <v>496800</v>
      </c>
      <c r="L1770" s="411" t="n">
        <v>71760</v>
      </c>
      <c r="M1770" s="459" t="n">
        <f aca="false">L1770/K1770</f>
        <v>0.144444444444444</v>
      </c>
      <c r="N1770" s="460" t="n">
        <f aca="false">I1770*M1770</f>
        <v>13</v>
      </c>
      <c r="O1770" s="461" t="n">
        <v>5520</v>
      </c>
      <c r="P1770" s="462" t="n">
        <f aca="false">H1770-O1770</f>
        <v>0</v>
      </c>
      <c r="Q1770" s="463" t="n">
        <f aca="false">O1770*I1770</f>
        <v>496800</v>
      </c>
      <c r="R1770" s="48" t="n">
        <f aca="false">K1770-Q1770</f>
        <v>0</v>
      </c>
      <c r="S1770" s="467"/>
      <c r="T1770" s="2" t="s">
        <v>1711</v>
      </c>
      <c r="V1770" s="464"/>
      <c r="W1770" s="464"/>
      <c r="X1770" s="464"/>
      <c r="Y1770" s="464"/>
      <c r="Z1770" s="464"/>
      <c r="AA1770" s="464"/>
      <c r="AB1770" s="464"/>
      <c r="AC1770" s="464"/>
      <c r="AD1770" s="464"/>
      <c r="AE1770" s="464"/>
      <c r="AF1770" s="464"/>
      <c r="AG1770" s="464"/>
      <c r="AH1770" s="465"/>
      <c r="AI1770" s="464"/>
    </row>
    <row r="1771" customFormat="false" ht="15" hidden="false" customHeight="true" outlineLevel="0" collapsed="false">
      <c r="A1771" s="455" t="s">
        <v>2055</v>
      </c>
      <c r="C1771" s="456" t="n">
        <v>45679</v>
      </c>
      <c r="D1771" s="456"/>
      <c r="E1771" s="57" t="n">
        <v>14581</v>
      </c>
      <c r="F1771" s="323" t="s">
        <v>175</v>
      </c>
      <c r="G1771" s="323" t="s">
        <v>10</v>
      </c>
      <c r="H1771" s="98" t="n">
        <v>3000</v>
      </c>
      <c r="I1771" s="457" t="n">
        <v>90</v>
      </c>
      <c r="J1771" s="313" t="s">
        <v>1653</v>
      </c>
      <c r="K1771" s="458" t="n">
        <f aca="false">I1771*H1771</f>
        <v>270000</v>
      </c>
      <c r="L1771" s="411" t="n">
        <v>39000</v>
      </c>
      <c r="M1771" s="459" t="n">
        <f aca="false">L1771/K1771</f>
        <v>0.144444444444444</v>
      </c>
      <c r="N1771" s="460" t="n">
        <f aca="false">I1771*M1771</f>
        <v>13</v>
      </c>
      <c r="O1771" s="461" t="n">
        <v>3000</v>
      </c>
      <c r="P1771" s="462" t="n">
        <f aca="false">H1771-O1771</f>
        <v>0</v>
      </c>
      <c r="Q1771" s="463" t="n">
        <f aca="false">O1771*I1771</f>
        <v>270000</v>
      </c>
      <c r="R1771" s="48" t="n">
        <f aca="false">K1771-Q1771</f>
        <v>0</v>
      </c>
      <c r="S1771" s="467"/>
      <c r="T1771" s="2" t="s">
        <v>1711</v>
      </c>
      <c r="V1771" s="464"/>
      <c r="W1771" s="464"/>
      <c r="X1771" s="464"/>
      <c r="Y1771" s="464"/>
      <c r="Z1771" s="464"/>
      <c r="AA1771" s="464"/>
      <c r="AB1771" s="464"/>
      <c r="AC1771" s="464"/>
      <c r="AD1771" s="464"/>
      <c r="AE1771" s="464"/>
      <c r="AF1771" s="464"/>
      <c r="AG1771" s="464"/>
      <c r="AH1771" s="465"/>
      <c r="AI1771" s="464"/>
    </row>
    <row r="1772" customFormat="false" ht="15" hidden="false" customHeight="true" outlineLevel="0" collapsed="false">
      <c r="A1772" s="455" t="s">
        <v>2056</v>
      </c>
      <c r="C1772" s="456" t="n">
        <v>45679</v>
      </c>
      <c r="D1772" s="456"/>
      <c r="E1772" s="57" t="n">
        <v>14582</v>
      </c>
      <c r="F1772" s="323" t="s">
        <v>175</v>
      </c>
      <c r="G1772" s="323" t="s">
        <v>10</v>
      </c>
      <c r="H1772" s="98" t="n">
        <v>5520</v>
      </c>
      <c r="I1772" s="457" t="n">
        <v>90</v>
      </c>
      <c r="J1772" s="313" t="s">
        <v>1653</v>
      </c>
      <c r="K1772" s="458" t="n">
        <f aca="false">I1772*H1772</f>
        <v>496800</v>
      </c>
      <c r="L1772" s="411" t="n">
        <v>71760</v>
      </c>
      <c r="M1772" s="459" t="n">
        <f aca="false">L1772/K1772</f>
        <v>0.144444444444444</v>
      </c>
      <c r="N1772" s="460" t="n">
        <f aca="false">I1772*M1772</f>
        <v>13</v>
      </c>
      <c r="O1772" s="461" t="n">
        <v>5520</v>
      </c>
      <c r="P1772" s="462" t="n">
        <f aca="false">H1772-O1772</f>
        <v>0</v>
      </c>
      <c r="Q1772" s="463" t="n">
        <f aca="false">O1772*I1772</f>
        <v>496800</v>
      </c>
      <c r="R1772" s="48" t="n">
        <f aca="false">K1772-Q1772</f>
        <v>0</v>
      </c>
      <c r="S1772" s="467"/>
      <c r="T1772" s="2" t="s">
        <v>1711</v>
      </c>
      <c r="V1772" s="464"/>
      <c r="W1772" s="464"/>
      <c r="X1772" s="464"/>
      <c r="Y1772" s="464"/>
      <c r="Z1772" s="464"/>
      <c r="AA1772" s="464"/>
      <c r="AB1772" s="464"/>
      <c r="AC1772" s="464"/>
      <c r="AD1772" s="464"/>
      <c r="AE1772" s="464"/>
      <c r="AF1772" s="464"/>
      <c r="AG1772" s="464"/>
      <c r="AH1772" s="465"/>
      <c r="AI1772" s="464"/>
    </row>
    <row r="1773" customFormat="false" ht="15" hidden="false" customHeight="true" outlineLevel="0" collapsed="false">
      <c r="A1773" s="455" t="s">
        <v>1934</v>
      </c>
      <c r="C1773" s="456" t="n">
        <v>45680</v>
      </c>
      <c r="D1773" s="456"/>
      <c r="E1773" s="57" t="n">
        <v>14583</v>
      </c>
      <c r="F1773" s="323" t="s">
        <v>175</v>
      </c>
      <c r="G1773" s="323" t="s">
        <v>10</v>
      </c>
      <c r="H1773" s="98" t="n">
        <v>1260</v>
      </c>
      <c r="I1773" s="457" t="n">
        <v>90</v>
      </c>
      <c r="J1773" s="313" t="s">
        <v>1653</v>
      </c>
      <c r="K1773" s="458" t="n">
        <f aca="false">I1773*H1773</f>
        <v>113400</v>
      </c>
      <c r="L1773" s="411" t="n">
        <v>18018</v>
      </c>
      <c r="M1773" s="459" t="n">
        <f aca="false">L1773/K1773</f>
        <v>0.158888888888889</v>
      </c>
      <c r="N1773" s="460" t="n">
        <f aca="false">I1773*M1773</f>
        <v>14.3</v>
      </c>
      <c r="O1773" s="461" t="n">
        <v>1260</v>
      </c>
      <c r="P1773" s="462" t="n">
        <f aca="false">H1773-O1773</f>
        <v>0</v>
      </c>
      <c r="Q1773" s="463" t="n">
        <f aca="false">O1773*I1773</f>
        <v>113400</v>
      </c>
      <c r="R1773" s="48" t="n">
        <f aca="false">K1773-Q1773</f>
        <v>0</v>
      </c>
      <c r="S1773" s="467"/>
      <c r="T1773" s="2" t="s">
        <v>1711</v>
      </c>
      <c r="V1773" s="464"/>
      <c r="W1773" s="464"/>
      <c r="X1773" s="464"/>
      <c r="Y1773" s="464"/>
      <c r="Z1773" s="464"/>
      <c r="AA1773" s="464"/>
      <c r="AB1773" s="464"/>
      <c r="AC1773" s="464"/>
      <c r="AD1773" s="464"/>
      <c r="AE1773" s="464"/>
      <c r="AF1773" s="464"/>
      <c r="AG1773" s="464"/>
      <c r="AH1773" s="465"/>
      <c r="AI1773" s="464"/>
    </row>
    <row r="1774" customFormat="false" ht="15" hidden="false" customHeight="true" outlineLevel="0" collapsed="false">
      <c r="A1774" s="455" t="s">
        <v>1934</v>
      </c>
      <c r="C1774" s="456" t="n">
        <v>45680</v>
      </c>
      <c r="D1774" s="456"/>
      <c r="E1774" s="57" t="n">
        <v>14583</v>
      </c>
      <c r="F1774" s="323" t="s">
        <v>175</v>
      </c>
      <c r="G1774" s="323" t="s">
        <v>6</v>
      </c>
      <c r="H1774" s="98" t="n">
        <v>1080</v>
      </c>
      <c r="I1774" s="457" t="n">
        <v>90</v>
      </c>
      <c r="J1774" s="313" t="s">
        <v>1653</v>
      </c>
      <c r="K1774" s="458" t="n">
        <f aca="false">I1774*H1774</f>
        <v>97200</v>
      </c>
      <c r="L1774" s="411" t="n">
        <v>30024</v>
      </c>
      <c r="M1774" s="459" t="n">
        <f aca="false">L1774/K1774</f>
        <v>0.308888888888889</v>
      </c>
      <c r="N1774" s="460" t="n">
        <f aca="false">I1774*M1774</f>
        <v>27.8</v>
      </c>
      <c r="O1774" s="461" t="n">
        <v>1080</v>
      </c>
      <c r="P1774" s="462" t="n">
        <f aca="false">H1774-O1774</f>
        <v>0</v>
      </c>
      <c r="Q1774" s="463" t="n">
        <f aca="false">O1774*I1774</f>
        <v>97200</v>
      </c>
      <c r="R1774" s="48" t="n">
        <f aca="false">K1774-Q1774</f>
        <v>0</v>
      </c>
      <c r="S1774" s="467"/>
      <c r="T1774" s="2" t="s">
        <v>1711</v>
      </c>
      <c r="V1774" s="464"/>
      <c r="W1774" s="464"/>
      <c r="X1774" s="464"/>
      <c r="Y1774" s="464"/>
      <c r="Z1774" s="464"/>
      <c r="AA1774" s="464"/>
      <c r="AB1774" s="464"/>
      <c r="AC1774" s="464"/>
      <c r="AD1774" s="464"/>
      <c r="AE1774" s="464"/>
      <c r="AF1774" s="464"/>
      <c r="AG1774" s="464"/>
      <c r="AH1774" s="465"/>
      <c r="AI1774" s="464"/>
    </row>
    <row r="1775" customFormat="false" ht="15" hidden="false" customHeight="true" outlineLevel="0" collapsed="false">
      <c r="A1775" s="455" t="s">
        <v>1934</v>
      </c>
      <c r="C1775" s="456" t="n">
        <v>45680</v>
      </c>
      <c r="D1775" s="456"/>
      <c r="E1775" s="57" t="n">
        <v>14583</v>
      </c>
      <c r="F1775" s="323" t="s">
        <v>175</v>
      </c>
      <c r="G1775" s="323" t="s">
        <v>19</v>
      </c>
      <c r="H1775" s="98" t="n">
        <v>480</v>
      </c>
      <c r="I1775" s="457" t="n">
        <v>37.5</v>
      </c>
      <c r="J1775" s="313" t="s">
        <v>1652</v>
      </c>
      <c r="K1775" s="458" t="n">
        <f aca="false">I1775*H1775</f>
        <v>18000</v>
      </c>
      <c r="L1775" s="411" t="n">
        <v>14400</v>
      </c>
      <c r="M1775" s="459" t="n">
        <f aca="false">L1775/K1775</f>
        <v>0.8</v>
      </c>
      <c r="N1775" s="460" t="n">
        <f aca="false">I1775*M1775</f>
        <v>30</v>
      </c>
      <c r="O1775" s="461" t="n">
        <v>480</v>
      </c>
      <c r="P1775" s="462" t="n">
        <f aca="false">H1775-O1775</f>
        <v>0</v>
      </c>
      <c r="Q1775" s="463" t="n">
        <f aca="false">O1775*I1775</f>
        <v>18000</v>
      </c>
      <c r="R1775" s="48" t="n">
        <f aca="false">K1775-Q1775</f>
        <v>0</v>
      </c>
      <c r="S1775" s="467"/>
      <c r="T1775" s="2" t="s">
        <v>1711</v>
      </c>
      <c r="V1775" s="464"/>
      <c r="W1775" s="464"/>
      <c r="X1775" s="464"/>
      <c r="Y1775" s="464"/>
      <c r="Z1775" s="464"/>
      <c r="AA1775" s="464"/>
      <c r="AB1775" s="464"/>
      <c r="AC1775" s="464"/>
      <c r="AD1775" s="464"/>
      <c r="AE1775" s="464"/>
      <c r="AF1775" s="464"/>
      <c r="AG1775" s="464"/>
      <c r="AH1775" s="465"/>
      <c r="AI1775" s="464"/>
    </row>
    <row r="1776" customFormat="false" ht="15" hidden="false" customHeight="true" outlineLevel="0" collapsed="false">
      <c r="A1776" s="455" t="s">
        <v>1934</v>
      </c>
      <c r="C1776" s="456" t="n">
        <v>45680</v>
      </c>
      <c r="D1776" s="456"/>
      <c r="E1776" s="57" t="n">
        <v>14583</v>
      </c>
      <c r="F1776" s="323" t="s">
        <v>175</v>
      </c>
      <c r="G1776" s="323" t="s">
        <v>5</v>
      </c>
      <c r="H1776" s="98" t="n">
        <v>3870</v>
      </c>
      <c r="I1776" s="457" t="n">
        <v>90</v>
      </c>
      <c r="J1776" s="313" t="s">
        <v>1653</v>
      </c>
      <c r="K1776" s="458" t="n">
        <f aca="false">I1776*H1776</f>
        <v>348300</v>
      </c>
      <c r="L1776" s="411" t="n">
        <v>107586</v>
      </c>
      <c r="M1776" s="459" t="n">
        <f aca="false">L1776/K1776</f>
        <v>0.308888888888889</v>
      </c>
      <c r="N1776" s="460" t="n">
        <f aca="false">I1776*M1776</f>
        <v>27.8</v>
      </c>
      <c r="O1776" s="461" t="n">
        <v>3870</v>
      </c>
      <c r="P1776" s="462" t="n">
        <f aca="false">H1776-O1776</f>
        <v>0</v>
      </c>
      <c r="Q1776" s="463" t="n">
        <f aca="false">O1776*I1776</f>
        <v>348300</v>
      </c>
      <c r="R1776" s="48" t="n">
        <f aca="false">K1776-Q1776</f>
        <v>0</v>
      </c>
      <c r="S1776" s="467"/>
      <c r="T1776" s="2" t="s">
        <v>1711</v>
      </c>
      <c r="V1776" s="464"/>
      <c r="W1776" s="464"/>
      <c r="X1776" s="464"/>
      <c r="Y1776" s="464"/>
      <c r="Z1776" s="464"/>
      <c r="AA1776" s="464"/>
      <c r="AB1776" s="464"/>
      <c r="AC1776" s="464"/>
      <c r="AD1776" s="464"/>
      <c r="AE1776" s="464"/>
      <c r="AF1776" s="464"/>
      <c r="AG1776" s="464"/>
      <c r="AH1776" s="465"/>
      <c r="AI1776" s="464"/>
    </row>
    <row r="1777" customFormat="false" ht="15" hidden="false" customHeight="true" outlineLevel="0" collapsed="false">
      <c r="A1777" s="455" t="s">
        <v>1933</v>
      </c>
      <c r="C1777" s="456" t="n">
        <v>45680</v>
      </c>
      <c r="D1777" s="456"/>
      <c r="E1777" s="57" t="n">
        <v>14584</v>
      </c>
      <c r="F1777" s="323" t="s">
        <v>175</v>
      </c>
      <c r="G1777" s="323" t="s">
        <v>5</v>
      </c>
      <c r="H1777" s="98" t="n">
        <v>510</v>
      </c>
      <c r="I1777" s="457" t="n">
        <v>25.71</v>
      </c>
      <c r="J1777" s="313" t="s">
        <v>1651</v>
      </c>
      <c r="K1777" s="458" t="n">
        <f aca="false">I1777*H1777</f>
        <v>13112.1</v>
      </c>
      <c r="L1777" s="411" t="n">
        <v>7395</v>
      </c>
      <c r="M1777" s="459" t="n">
        <f aca="false">L1777/K1777</f>
        <v>0.563982886036562</v>
      </c>
      <c r="N1777" s="460" t="n">
        <f aca="false">I1777*M1777</f>
        <v>14.5</v>
      </c>
      <c r="O1777" s="461" t="n">
        <v>510</v>
      </c>
      <c r="P1777" s="462" t="n">
        <f aca="false">H1777-O1777</f>
        <v>0</v>
      </c>
      <c r="Q1777" s="463" t="n">
        <f aca="false">O1777*I1777</f>
        <v>13112.1</v>
      </c>
      <c r="R1777" s="48" t="n">
        <f aca="false">K1777-Q1777</f>
        <v>0</v>
      </c>
      <c r="S1777" s="467"/>
      <c r="T1777" s="2" t="s">
        <v>1711</v>
      </c>
      <c r="V1777" s="464"/>
      <c r="W1777" s="464"/>
      <c r="X1777" s="464"/>
      <c r="Y1777" s="464"/>
      <c r="Z1777" s="464"/>
      <c r="AA1777" s="464"/>
      <c r="AB1777" s="464"/>
      <c r="AC1777" s="464"/>
      <c r="AD1777" s="464"/>
      <c r="AE1777" s="464"/>
      <c r="AF1777" s="464"/>
      <c r="AG1777" s="464"/>
      <c r="AH1777" s="465"/>
      <c r="AI1777" s="464"/>
    </row>
    <row r="1778" customFormat="false" ht="15" hidden="false" customHeight="true" outlineLevel="0" collapsed="false">
      <c r="A1778" s="455" t="s">
        <v>1758</v>
      </c>
      <c r="C1778" s="456" t="n">
        <v>45680</v>
      </c>
      <c r="D1778" s="456"/>
      <c r="E1778" s="57" t="n">
        <v>14585</v>
      </c>
      <c r="F1778" s="323" t="s">
        <v>175</v>
      </c>
      <c r="G1778" s="323" t="s">
        <v>42</v>
      </c>
      <c r="H1778" s="98" t="n">
        <v>10</v>
      </c>
      <c r="I1778" s="457" t="n">
        <v>30</v>
      </c>
      <c r="J1778" s="313" t="s">
        <v>1651</v>
      </c>
      <c r="K1778" s="458" t="n">
        <f aca="false">I1778*H1778</f>
        <v>300</v>
      </c>
      <c r="L1778" s="411" t="n">
        <v>124.2</v>
      </c>
      <c r="M1778" s="459" t="n">
        <f aca="false">L1778/K1778</f>
        <v>0.414</v>
      </c>
      <c r="N1778" s="460" t="n">
        <f aca="false">I1778*M1778</f>
        <v>12.42</v>
      </c>
      <c r="O1778" s="461" t="n">
        <v>10</v>
      </c>
      <c r="P1778" s="462" t="n">
        <f aca="false">H1778-O1778</f>
        <v>0</v>
      </c>
      <c r="Q1778" s="463" t="n">
        <f aca="false">O1778*I1778</f>
        <v>300</v>
      </c>
      <c r="R1778" s="48" t="n">
        <f aca="false">K1778-Q1778</f>
        <v>0</v>
      </c>
      <c r="S1778" s="467"/>
      <c r="T1778" s="2" t="s">
        <v>1711</v>
      </c>
      <c r="V1778" s="464"/>
      <c r="W1778" s="464"/>
      <c r="X1778" s="464"/>
      <c r="Y1778" s="464"/>
      <c r="Z1778" s="464"/>
      <c r="AA1778" s="464"/>
      <c r="AB1778" s="464"/>
      <c r="AC1778" s="464"/>
      <c r="AD1778" s="464"/>
      <c r="AE1778" s="464"/>
      <c r="AF1778" s="464"/>
      <c r="AG1778" s="464"/>
      <c r="AH1778" s="465"/>
      <c r="AI1778" s="464"/>
    </row>
    <row r="1779" customFormat="false" ht="15" hidden="false" customHeight="true" outlineLevel="0" collapsed="false">
      <c r="A1779" s="455" t="s">
        <v>1719</v>
      </c>
      <c r="C1779" s="456" t="n">
        <v>45680</v>
      </c>
      <c r="D1779" s="456"/>
      <c r="E1779" s="57" t="n">
        <v>14586</v>
      </c>
      <c r="F1779" s="323" t="s">
        <v>175</v>
      </c>
      <c r="G1779" s="323" t="s">
        <v>10</v>
      </c>
      <c r="H1779" s="98" t="n">
        <v>3000</v>
      </c>
      <c r="I1779" s="457" t="n">
        <v>38.3</v>
      </c>
      <c r="J1779" s="313" t="s">
        <v>1652</v>
      </c>
      <c r="K1779" s="458" t="n">
        <f aca="false">I1779*H1779</f>
        <v>114900</v>
      </c>
      <c r="L1779" s="411" t="n">
        <v>46500</v>
      </c>
      <c r="M1779" s="459" t="n">
        <f aca="false">L1779/K1779</f>
        <v>0.404699738903394</v>
      </c>
      <c r="N1779" s="460" t="n">
        <f aca="false">I1779*M1779</f>
        <v>15.5</v>
      </c>
      <c r="O1779" s="461" t="n">
        <v>3000</v>
      </c>
      <c r="P1779" s="462" t="n">
        <f aca="false">H1779-O1779</f>
        <v>0</v>
      </c>
      <c r="Q1779" s="463" t="n">
        <f aca="false">O1779*I1779</f>
        <v>114900</v>
      </c>
      <c r="R1779" s="48" t="n">
        <f aca="false">K1779-Q1779</f>
        <v>0</v>
      </c>
      <c r="S1779" s="467"/>
      <c r="T1779" s="2" t="s">
        <v>1711</v>
      </c>
      <c r="V1779" s="464"/>
      <c r="W1779" s="464"/>
      <c r="X1779" s="464"/>
      <c r="Y1779" s="464"/>
      <c r="Z1779" s="464"/>
      <c r="AA1779" s="464"/>
      <c r="AB1779" s="464"/>
      <c r="AC1779" s="464"/>
      <c r="AD1779" s="464"/>
      <c r="AE1779" s="464"/>
      <c r="AF1779" s="464"/>
      <c r="AG1779" s="464"/>
      <c r="AH1779" s="465"/>
      <c r="AI1779" s="464"/>
    </row>
    <row r="1780" customFormat="false" ht="15" hidden="false" customHeight="true" outlineLevel="0" collapsed="false">
      <c r="A1780" s="455" t="s">
        <v>1796</v>
      </c>
      <c r="C1780" s="456" t="n">
        <v>45680</v>
      </c>
      <c r="D1780" s="456"/>
      <c r="E1780" s="57" t="n">
        <v>14587</v>
      </c>
      <c r="F1780" s="323" t="s">
        <v>175</v>
      </c>
      <c r="G1780" s="323" t="s">
        <v>17</v>
      </c>
      <c r="H1780" s="98" t="n">
        <v>1005</v>
      </c>
      <c r="I1780" s="457" t="n">
        <v>22.5</v>
      </c>
      <c r="J1780" s="313" t="s">
        <v>1651</v>
      </c>
      <c r="K1780" s="458" t="n">
        <f aca="false">I1780*H1780</f>
        <v>22612.5</v>
      </c>
      <c r="L1780" s="411" t="n">
        <v>11055</v>
      </c>
      <c r="M1780" s="459" t="n">
        <f aca="false">L1780/K1780</f>
        <v>0.488888888888889</v>
      </c>
      <c r="N1780" s="460" t="n">
        <f aca="false">I1780*M1780</f>
        <v>11</v>
      </c>
      <c r="O1780" s="461" t="n">
        <v>1005</v>
      </c>
      <c r="P1780" s="462" t="n">
        <f aca="false">H1780-O1780</f>
        <v>0</v>
      </c>
      <c r="Q1780" s="463" t="n">
        <f aca="false">O1780*I1780</f>
        <v>22612.5</v>
      </c>
      <c r="R1780" s="48" t="n">
        <f aca="false">K1780-Q1780</f>
        <v>0</v>
      </c>
      <c r="S1780" s="467"/>
      <c r="T1780" s="2" t="s">
        <v>1797</v>
      </c>
      <c r="V1780" s="464"/>
      <c r="W1780" s="464"/>
      <c r="X1780" s="464"/>
      <c r="Y1780" s="464"/>
      <c r="Z1780" s="464"/>
      <c r="AA1780" s="464"/>
      <c r="AB1780" s="464"/>
      <c r="AC1780" s="464"/>
      <c r="AD1780" s="464"/>
      <c r="AE1780" s="464"/>
      <c r="AF1780" s="464"/>
      <c r="AG1780" s="464"/>
      <c r="AH1780" s="465"/>
      <c r="AI1780" s="464"/>
    </row>
    <row r="1781" customFormat="false" ht="15" hidden="false" customHeight="true" outlineLevel="0" collapsed="false">
      <c r="A1781" s="455" t="s">
        <v>1723</v>
      </c>
      <c r="C1781" s="456" t="n">
        <v>45680</v>
      </c>
      <c r="D1781" s="456"/>
      <c r="E1781" s="57" t="n">
        <v>14588</v>
      </c>
      <c r="F1781" s="323" t="s">
        <v>175</v>
      </c>
      <c r="G1781" s="323" t="s">
        <v>18</v>
      </c>
      <c r="H1781" s="98" t="n">
        <v>360</v>
      </c>
      <c r="I1781" s="457" t="n">
        <v>25.71</v>
      </c>
      <c r="J1781" s="313" t="s">
        <v>1651</v>
      </c>
      <c r="K1781" s="458" t="n">
        <f aca="false">I1781*H1781</f>
        <v>9255.6</v>
      </c>
      <c r="L1781" s="411" t="n">
        <v>4608</v>
      </c>
      <c r="M1781" s="459" t="n">
        <f aca="false">L1781/K1781</f>
        <v>0.497860754570206</v>
      </c>
      <c r="N1781" s="460" t="n">
        <f aca="false">I1781*M1781</f>
        <v>12.8</v>
      </c>
      <c r="O1781" s="461"/>
      <c r="P1781" s="468" t="n">
        <f aca="false">H1781-O1781</f>
        <v>360</v>
      </c>
      <c r="Q1781" s="463" t="n">
        <f aca="false">O1781*I1781</f>
        <v>0</v>
      </c>
      <c r="R1781" s="48" t="n">
        <f aca="false">K1781-Q1781</f>
        <v>9255.6</v>
      </c>
      <c r="S1781" s="467" t="n">
        <v>45680</v>
      </c>
      <c r="T1781" s="2" t="s">
        <v>1711</v>
      </c>
      <c r="V1781" s="464"/>
      <c r="W1781" s="464"/>
      <c r="X1781" s="464"/>
      <c r="Y1781" s="464"/>
      <c r="Z1781" s="464"/>
      <c r="AA1781" s="464"/>
      <c r="AB1781" s="464"/>
      <c r="AC1781" s="464"/>
      <c r="AD1781" s="464"/>
      <c r="AE1781" s="464"/>
      <c r="AF1781" s="464"/>
      <c r="AG1781" s="464"/>
      <c r="AH1781" s="465"/>
      <c r="AI1781" s="464"/>
    </row>
    <row r="1782" customFormat="false" ht="15" hidden="false" customHeight="true" outlineLevel="0" collapsed="false">
      <c r="A1782" s="455" t="s">
        <v>1802</v>
      </c>
      <c r="C1782" s="456" t="n">
        <v>45681</v>
      </c>
      <c r="D1782" s="456"/>
      <c r="E1782" s="57" t="n">
        <v>14589</v>
      </c>
      <c r="F1782" s="323" t="s">
        <v>175</v>
      </c>
      <c r="G1782" s="323" t="s">
        <v>17</v>
      </c>
      <c r="H1782" s="98" t="n">
        <v>350</v>
      </c>
      <c r="I1782" s="457" t="n">
        <v>40</v>
      </c>
      <c r="J1782" s="313" t="s">
        <v>1653</v>
      </c>
      <c r="K1782" s="458" t="n">
        <f aca="false">I1782*H1782</f>
        <v>14000</v>
      </c>
      <c r="L1782" s="411" t="n">
        <v>5075</v>
      </c>
      <c r="M1782" s="459" t="n">
        <f aca="false">L1782/K1782</f>
        <v>0.3625</v>
      </c>
      <c r="N1782" s="460" t="n">
        <f aca="false">I1782*M1782</f>
        <v>14.5</v>
      </c>
      <c r="O1782" s="461" t="n">
        <v>350</v>
      </c>
      <c r="P1782" s="462" t="n">
        <f aca="false">H1782-O1782</f>
        <v>0</v>
      </c>
      <c r="Q1782" s="463" t="n">
        <f aca="false">O1782*I1782</f>
        <v>14000</v>
      </c>
      <c r="R1782" s="48" t="n">
        <f aca="false">K1782-Q1782</f>
        <v>0</v>
      </c>
      <c r="S1782" s="467"/>
      <c r="T1782" s="2" t="s">
        <v>1711</v>
      </c>
      <c r="V1782" s="464"/>
      <c r="W1782" s="464"/>
      <c r="X1782" s="464"/>
      <c r="Y1782" s="464"/>
      <c r="Z1782" s="464"/>
      <c r="AA1782" s="464"/>
      <c r="AB1782" s="464"/>
      <c r="AC1782" s="464"/>
      <c r="AD1782" s="464"/>
      <c r="AE1782" s="464"/>
      <c r="AF1782" s="464"/>
      <c r="AG1782" s="464"/>
      <c r="AH1782" s="465"/>
      <c r="AI1782" s="464"/>
    </row>
    <row r="1783" customFormat="false" ht="15" hidden="false" customHeight="true" outlineLevel="0" collapsed="false">
      <c r="A1783" s="455" t="s">
        <v>2057</v>
      </c>
      <c r="C1783" s="456" t="n">
        <v>45681</v>
      </c>
      <c r="D1783" s="456"/>
      <c r="E1783" s="57" t="n">
        <v>14590</v>
      </c>
      <c r="F1783" s="323" t="s">
        <v>175</v>
      </c>
      <c r="G1783" s="323" t="s">
        <v>10</v>
      </c>
      <c r="H1783" s="98" t="n">
        <v>5610</v>
      </c>
      <c r="I1783" s="457" t="n">
        <v>90</v>
      </c>
      <c r="J1783" s="313" t="s">
        <v>1653</v>
      </c>
      <c r="K1783" s="458" t="n">
        <f aca="false">I1783*H1783</f>
        <v>504900</v>
      </c>
      <c r="L1783" s="411" t="n">
        <v>75735</v>
      </c>
      <c r="M1783" s="459" t="n">
        <f aca="false">L1783/K1783</f>
        <v>0.15</v>
      </c>
      <c r="N1783" s="460" t="n">
        <f aca="false">I1783*M1783</f>
        <v>13.5</v>
      </c>
      <c r="O1783" s="461" t="n">
        <v>5610</v>
      </c>
      <c r="P1783" s="462" t="n">
        <f aca="false">H1783-O1783</f>
        <v>0</v>
      </c>
      <c r="Q1783" s="463" t="n">
        <f aca="false">O1783*I1783</f>
        <v>504900</v>
      </c>
      <c r="R1783" s="48" t="n">
        <f aca="false">K1783-Q1783</f>
        <v>0</v>
      </c>
      <c r="S1783" s="467"/>
      <c r="T1783" s="2" t="s">
        <v>1711</v>
      </c>
      <c r="V1783" s="464"/>
      <c r="W1783" s="464"/>
      <c r="X1783" s="464"/>
      <c r="Y1783" s="464"/>
      <c r="Z1783" s="464"/>
      <c r="AA1783" s="464"/>
      <c r="AB1783" s="464"/>
      <c r="AC1783" s="464"/>
      <c r="AD1783" s="464"/>
      <c r="AE1783" s="464"/>
      <c r="AF1783" s="464"/>
      <c r="AG1783" s="464"/>
      <c r="AH1783" s="465"/>
      <c r="AI1783" s="464"/>
    </row>
    <row r="1784" customFormat="false" ht="15" hidden="false" customHeight="true" outlineLevel="0" collapsed="false">
      <c r="A1784" s="455" t="s">
        <v>2058</v>
      </c>
      <c r="C1784" s="456" t="n">
        <v>45681</v>
      </c>
      <c r="D1784" s="456"/>
      <c r="E1784" s="57" t="n">
        <v>14591</v>
      </c>
      <c r="F1784" s="323" t="s">
        <v>175</v>
      </c>
      <c r="G1784" s="323" t="s">
        <v>10</v>
      </c>
      <c r="H1784" s="98" t="n">
        <v>810</v>
      </c>
      <c r="I1784" s="457" t="n">
        <v>38.3</v>
      </c>
      <c r="J1784" s="313" t="s">
        <v>1652</v>
      </c>
      <c r="K1784" s="458" t="n">
        <f aca="false">I1784*H1784</f>
        <v>31023</v>
      </c>
      <c r="L1784" s="411" t="n">
        <v>23133.6</v>
      </c>
      <c r="M1784" s="459" t="n">
        <f aca="false">L1784/K1784</f>
        <v>0.745691906005222</v>
      </c>
      <c r="N1784" s="460" t="n">
        <f aca="false">I1784*M1784</f>
        <v>28.56</v>
      </c>
      <c r="O1784" s="461" t="n">
        <v>810</v>
      </c>
      <c r="P1784" s="462" t="n">
        <f aca="false">H1784-O1784</f>
        <v>0</v>
      </c>
      <c r="Q1784" s="463" t="n">
        <f aca="false">O1784*I1784</f>
        <v>31023</v>
      </c>
      <c r="R1784" s="48" t="n">
        <f aca="false">K1784-Q1784</f>
        <v>0</v>
      </c>
      <c r="S1784" s="467"/>
      <c r="T1784" s="2" t="s">
        <v>1711</v>
      </c>
      <c r="V1784" s="464"/>
      <c r="W1784" s="464"/>
      <c r="X1784" s="464"/>
      <c r="Y1784" s="464"/>
      <c r="Z1784" s="464"/>
      <c r="AA1784" s="464"/>
      <c r="AB1784" s="464"/>
      <c r="AC1784" s="464"/>
      <c r="AD1784" s="464"/>
      <c r="AE1784" s="464"/>
      <c r="AF1784" s="464"/>
      <c r="AG1784" s="464"/>
      <c r="AH1784" s="465"/>
      <c r="AI1784" s="464"/>
    </row>
    <row r="1785" customFormat="false" ht="15" hidden="false" customHeight="true" outlineLevel="0" collapsed="false">
      <c r="A1785" s="455" t="s">
        <v>1796</v>
      </c>
      <c r="C1785" s="456" t="n">
        <v>45681</v>
      </c>
      <c r="D1785" s="456"/>
      <c r="E1785" s="57" t="n">
        <v>14592</v>
      </c>
      <c r="F1785" s="323" t="s">
        <v>175</v>
      </c>
      <c r="G1785" s="323" t="s">
        <v>5</v>
      </c>
      <c r="H1785" s="98" t="n">
        <v>630</v>
      </c>
      <c r="I1785" s="457" t="n">
        <v>25.71</v>
      </c>
      <c r="J1785" s="313" t="s">
        <v>1651</v>
      </c>
      <c r="K1785" s="458" t="n">
        <f aca="false">I1785*H1785</f>
        <v>16197.3</v>
      </c>
      <c r="L1785" s="411" t="n">
        <v>7308</v>
      </c>
      <c r="M1785" s="459" t="n">
        <f aca="false">L1785/K1785</f>
        <v>0.451186308829249</v>
      </c>
      <c r="N1785" s="460" t="n">
        <f aca="false">I1785*M1785</f>
        <v>11.6</v>
      </c>
      <c r="O1785" s="461" t="n">
        <v>630</v>
      </c>
      <c r="P1785" s="462" t="n">
        <f aca="false">H1785-O1785</f>
        <v>0</v>
      </c>
      <c r="Q1785" s="463" t="n">
        <f aca="false">O1785*I1785</f>
        <v>16197.3</v>
      </c>
      <c r="R1785" s="48" t="n">
        <f aca="false">K1785-Q1785</f>
        <v>0</v>
      </c>
      <c r="S1785" s="467"/>
      <c r="T1785" s="2" t="s">
        <v>1711</v>
      </c>
      <c r="V1785" s="464"/>
      <c r="W1785" s="464"/>
      <c r="X1785" s="464"/>
      <c r="Y1785" s="464"/>
      <c r="Z1785" s="464"/>
      <c r="AA1785" s="464"/>
      <c r="AB1785" s="464"/>
      <c r="AC1785" s="464"/>
      <c r="AD1785" s="464"/>
      <c r="AE1785" s="464"/>
      <c r="AF1785" s="464"/>
      <c r="AG1785" s="464"/>
      <c r="AH1785" s="465"/>
      <c r="AI1785" s="464"/>
    </row>
    <row r="1786" customFormat="false" ht="15" hidden="false" customHeight="true" outlineLevel="0" collapsed="false">
      <c r="A1786" s="455" t="s">
        <v>2059</v>
      </c>
      <c r="C1786" s="456" t="n">
        <v>45681</v>
      </c>
      <c r="D1786" s="456"/>
      <c r="E1786" s="57" t="n">
        <v>14593</v>
      </c>
      <c r="F1786" s="323" t="s">
        <v>175</v>
      </c>
      <c r="G1786" s="323" t="s">
        <v>19</v>
      </c>
      <c r="H1786" s="98" t="n">
        <v>15</v>
      </c>
      <c r="I1786" s="457" t="n">
        <v>22.5</v>
      </c>
      <c r="J1786" s="313" t="s">
        <v>1651</v>
      </c>
      <c r="K1786" s="458" t="n">
        <f aca="false">I1786*H1786</f>
        <v>337.5</v>
      </c>
      <c r="L1786" s="411" t="n">
        <v>225</v>
      </c>
      <c r="M1786" s="459" t="n">
        <f aca="false">L1786/K1786</f>
        <v>0.666666666666667</v>
      </c>
      <c r="N1786" s="460" t="n">
        <f aca="false">I1786*M1786</f>
        <v>15</v>
      </c>
      <c r="O1786" s="461" t="n">
        <v>15</v>
      </c>
      <c r="P1786" s="462" t="n">
        <f aca="false">H1786-O1786</f>
        <v>0</v>
      </c>
      <c r="Q1786" s="463" t="n">
        <f aca="false">O1786*I1786</f>
        <v>337.5</v>
      </c>
      <c r="R1786" s="48" t="n">
        <f aca="false">K1786-Q1786</f>
        <v>0</v>
      </c>
      <c r="S1786" s="467"/>
      <c r="T1786" s="2" t="s">
        <v>1711</v>
      </c>
      <c r="V1786" s="464"/>
      <c r="W1786" s="464"/>
      <c r="X1786" s="464"/>
      <c r="Y1786" s="464"/>
      <c r="Z1786" s="464"/>
      <c r="AA1786" s="464"/>
      <c r="AB1786" s="464"/>
      <c r="AC1786" s="464"/>
      <c r="AD1786" s="464"/>
      <c r="AE1786" s="464"/>
      <c r="AF1786" s="464"/>
      <c r="AG1786" s="464"/>
      <c r="AH1786" s="465"/>
      <c r="AI1786" s="464"/>
    </row>
    <row r="1787" customFormat="false" ht="15" hidden="false" customHeight="true" outlineLevel="0" collapsed="false">
      <c r="A1787" s="455" t="s">
        <v>2060</v>
      </c>
      <c r="C1787" s="456" t="n">
        <v>45681</v>
      </c>
      <c r="D1787" s="456"/>
      <c r="E1787" s="57" t="n">
        <v>14594</v>
      </c>
      <c r="F1787" s="323" t="s">
        <v>175</v>
      </c>
      <c r="G1787" s="323" t="s">
        <v>6</v>
      </c>
      <c r="H1787" s="98" t="n">
        <v>1200</v>
      </c>
      <c r="I1787" s="457" t="n">
        <v>45</v>
      </c>
      <c r="J1787" s="313" t="s">
        <v>1652</v>
      </c>
      <c r="K1787" s="458" t="n">
        <f aca="false">I1787*H1787</f>
        <v>54000</v>
      </c>
      <c r="L1787" s="411" t="n">
        <v>15384</v>
      </c>
      <c r="M1787" s="459" t="n">
        <f aca="false">L1787/K1787</f>
        <v>0.284888888888889</v>
      </c>
      <c r="N1787" s="460" t="n">
        <f aca="false">I1787*M1787</f>
        <v>12.82</v>
      </c>
      <c r="O1787" s="461" t="n">
        <v>1200</v>
      </c>
      <c r="P1787" s="462" t="n">
        <f aca="false">H1787-O1787</f>
        <v>0</v>
      </c>
      <c r="Q1787" s="463" t="n">
        <f aca="false">O1787*I1787</f>
        <v>54000</v>
      </c>
      <c r="R1787" s="48" t="n">
        <f aca="false">K1787-Q1787</f>
        <v>0</v>
      </c>
      <c r="S1787" s="467"/>
      <c r="T1787" s="2" t="s">
        <v>1711</v>
      </c>
      <c r="V1787" s="464"/>
      <c r="W1787" s="464"/>
      <c r="X1787" s="464"/>
      <c r="Y1787" s="464"/>
      <c r="Z1787" s="464"/>
      <c r="AA1787" s="464"/>
      <c r="AB1787" s="464"/>
      <c r="AC1787" s="464"/>
      <c r="AD1787" s="464"/>
      <c r="AE1787" s="464"/>
      <c r="AF1787" s="464"/>
      <c r="AG1787" s="464"/>
      <c r="AH1787" s="465"/>
      <c r="AI1787" s="464"/>
    </row>
    <row r="1788" customFormat="false" ht="15" hidden="false" customHeight="true" outlineLevel="0" collapsed="false">
      <c r="A1788" s="455" t="s">
        <v>2060</v>
      </c>
      <c r="C1788" s="456" t="n">
        <v>45681</v>
      </c>
      <c r="D1788" s="456"/>
      <c r="E1788" s="57" t="n">
        <v>15595</v>
      </c>
      <c r="F1788" s="323" t="s">
        <v>175</v>
      </c>
      <c r="G1788" s="323" t="s">
        <v>6</v>
      </c>
      <c r="H1788" s="98" t="n">
        <v>2505</v>
      </c>
      <c r="I1788" s="457" t="n">
        <v>45</v>
      </c>
      <c r="J1788" s="313" t="s">
        <v>1652</v>
      </c>
      <c r="K1788" s="458" t="n">
        <f aca="false">I1788*H1788</f>
        <v>112725</v>
      </c>
      <c r="L1788" s="411" t="n">
        <v>32114.1</v>
      </c>
      <c r="M1788" s="459" t="n">
        <f aca="false">L1788/K1788</f>
        <v>0.284888888888889</v>
      </c>
      <c r="N1788" s="460" t="n">
        <f aca="false">I1788*M1788</f>
        <v>12.82</v>
      </c>
      <c r="O1788" s="461" t="n">
        <v>2505</v>
      </c>
      <c r="P1788" s="462" t="n">
        <f aca="false">H1788-O1788</f>
        <v>0</v>
      </c>
      <c r="Q1788" s="463" t="n">
        <f aca="false">O1788*I1788</f>
        <v>112725</v>
      </c>
      <c r="R1788" s="48" t="n">
        <f aca="false">K1788-Q1788</f>
        <v>0</v>
      </c>
      <c r="S1788" s="467"/>
      <c r="T1788" s="2" t="s">
        <v>1711</v>
      </c>
      <c r="V1788" s="464"/>
      <c r="W1788" s="464"/>
      <c r="X1788" s="464"/>
      <c r="Y1788" s="464"/>
      <c r="Z1788" s="464"/>
      <c r="AA1788" s="464"/>
      <c r="AB1788" s="464"/>
      <c r="AC1788" s="464"/>
      <c r="AD1788" s="464"/>
      <c r="AE1788" s="464"/>
      <c r="AF1788" s="464"/>
      <c r="AG1788" s="464"/>
      <c r="AH1788" s="465"/>
      <c r="AI1788" s="464"/>
    </row>
    <row r="1789" customFormat="false" ht="15" hidden="false" customHeight="true" outlineLevel="0" collapsed="false">
      <c r="A1789" s="455" t="s">
        <v>1759</v>
      </c>
      <c r="C1789" s="456" t="n">
        <v>45681</v>
      </c>
      <c r="D1789" s="456"/>
      <c r="E1789" s="57" t="n">
        <v>14596</v>
      </c>
      <c r="F1789" s="323" t="s">
        <v>175</v>
      </c>
      <c r="G1789" s="323" t="s">
        <v>5</v>
      </c>
      <c r="H1789" s="98" t="n">
        <v>30</v>
      </c>
      <c r="I1789" s="457" t="n">
        <v>25.71</v>
      </c>
      <c r="J1789" s="313" t="s">
        <v>1651</v>
      </c>
      <c r="K1789" s="458" t="n">
        <f aca="false">I1789*H1789</f>
        <v>771.3</v>
      </c>
      <c r="L1789" s="411" t="n">
        <v>303.6</v>
      </c>
      <c r="M1789" s="459" t="n">
        <f aca="false">L1789/K1789</f>
        <v>0.393621159082069</v>
      </c>
      <c r="N1789" s="460" t="n">
        <f aca="false">I1789*M1789</f>
        <v>10.12</v>
      </c>
      <c r="O1789" s="461" t="n">
        <v>30</v>
      </c>
      <c r="P1789" s="462" t="n">
        <f aca="false">H1789-O1789</f>
        <v>0</v>
      </c>
      <c r="Q1789" s="463" t="n">
        <f aca="false">O1789*I1789</f>
        <v>771.3</v>
      </c>
      <c r="R1789" s="48" t="n">
        <f aca="false">K1789-Q1789</f>
        <v>0</v>
      </c>
      <c r="S1789" s="467"/>
      <c r="T1789" s="2" t="s">
        <v>1711</v>
      </c>
      <c r="V1789" s="464"/>
      <c r="W1789" s="464"/>
      <c r="X1789" s="464"/>
      <c r="Y1789" s="464"/>
      <c r="Z1789" s="464"/>
      <c r="AA1789" s="464"/>
      <c r="AB1789" s="464"/>
      <c r="AC1789" s="464"/>
      <c r="AD1789" s="464"/>
      <c r="AE1789" s="464"/>
      <c r="AF1789" s="464"/>
      <c r="AG1789" s="464"/>
      <c r="AH1789" s="465"/>
      <c r="AI1789" s="464"/>
    </row>
    <row r="1790" customFormat="false" ht="15" hidden="false" customHeight="true" outlineLevel="0" collapsed="false">
      <c r="A1790" s="455" t="s">
        <v>2037</v>
      </c>
      <c r="C1790" s="456" t="n">
        <v>45684</v>
      </c>
      <c r="D1790" s="456"/>
      <c r="E1790" s="57" t="n">
        <v>14597</v>
      </c>
      <c r="F1790" s="323" t="s">
        <v>175</v>
      </c>
      <c r="G1790" s="323" t="s">
        <v>16</v>
      </c>
      <c r="H1790" s="98" t="n">
        <v>1008</v>
      </c>
      <c r="I1790" s="457" t="n">
        <v>22.5</v>
      </c>
      <c r="J1790" s="313" t="s">
        <v>1651</v>
      </c>
      <c r="K1790" s="458" t="n">
        <f aca="false">I1790*H1790</f>
        <v>22680</v>
      </c>
      <c r="L1790" s="411" t="n">
        <v>18648</v>
      </c>
      <c r="M1790" s="459" t="n">
        <f aca="false">L1790/K1790</f>
        <v>0.822222222222222</v>
      </c>
      <c r="N1790" s="460" t="n">
        <f aca="false">I1790*M1790</f>
        <v>18.5</v>
      </c>
      <c r="O1790" s="461" t="n">
        <v>1008</v>
      </c>
      <c r="P1790" s="462" t="n">
        <f aca="false">H1790-O1790</f>
        <v>0</v>
      </c>
      <c r="Q1790" s="463" t="n">
        <f aca="false">O1790*I1790</f>
        <v>22680</v>
      </c>
      <c r="R1790" s="48" t="n">
        <f aca="false">K1790-Q1790</f>
        <v>0</v>
      </c>
      <c r="S1790" s="467"/>
      <c r="T1790" s="2" t="s">
        <v>1711</v>
      </c>
      <c r="V1790" s="464"/>
      <c r="W1790" s="464"/>
      <c r="X1790" s="464"/>
      <c r="Y1790" s="464"/>
      <c r="Z1790" s="464"/>
      <c r="AA1790" s="464"/>
      <c r="AB1790" s="464"/>
      <c r="AC1790" s="464"/>
      <c r="AD1790" s="464"/>
      <c r="AE1790" s="464"/>
      <c r="AF1790" s="464"/>
      <c r="AG1790" s="464"/>
      <c r="AH1790" s="465"/>
      <c r="AI1790" s="464"/>
    </row>
    <row r="1791" customFormat="false" ht="15" hidden="false" customHeight="true" outlineLevel="0" collapsed="false">
      <c r="A1791" s="455" t="s">
        <v>2043</v>
      </c>
      <c r="C1791" s="456" t="n">
        <v>45684</v>
      </c>
      <c r="D1791" s="456"/>
      <c r="E1791" s="57" t="n">
        <v>14599</v>
      </c>
      <c r="F1791" s="323" t="s">
        <v>175</v>
      </c>
      <c r="G1791" s="323" t="s">
        <v>10</v>
      </c>
      <c r="H1791" s="98" t="n">
        <v>705</v>
      </c>
      <c r="I1791" s="457" t="n">
        <v>38.3</v>
      </c>
      <c r="J1791" s="313" t="s">
        <v>1652</v>
      </c>
      <c r="K1791" s="458" t="n">
        <f aca="false">I1791*H1791</f>
        <v>27001.5</v>
      </c>
      <c r="L1791" s="411" t="n">
        <v>9658.5</v>
      </c>
      <c r="M1791" s="459" t="n">
        <f aca="false">L1791/K1791</f>
        <v>0.357702349869452</v>
      </c>
      <c r="N1791" s="460" t="n">
        <f aca="false">I1791*M1791</f>
        <v>13.7</v>
      </c>
      <c r="O1791" s="461" t="n">
        <v>705</v>
      </c>
      <c r="P1791" s="462" t="n">
        <f aca="false">H1791-O1791</f>
        <v>0</v>
      </c>
      <c r="Q1791" s="463" t="n">
        <f aca="false">O1791*I1791</f>
        <v>27001.5</v>
      </c>
      <c r="R1791" s="48" t="n">
        <f aca="false">K1791-Q1791</f>
        <v>0</v>
      </c>
      <c r="S1791" s="467"/>
      <c r="T1791" s="2" t="s">
        <v>1711</v>
      </c>
      <c r="V1791" s="464"/>
      <c r="W1791" s="464"/>
      <c r="X1791" s="464"/>
      <c r="Y1791" s="464"/>
      <c r="Z1791" s="464"/>
      <c r="AA1791" s="464"/>
      <c r="AB1791" s="464"/>
      <c r="AC1791" s="464"/>
      <c r="AD1791" s="464"/>
      <c r="AE1791" s="464"/>
      <c r="AF1791" s="464"/>
      <c r="AG1791" s="464"/>
      <c r="AH1791" s="465"/>
      <c r="AI1791" s="464"/>
    </row>
    <row r="1792" customFormat="false" ht="15" hidden="false" customHeight="true" outlineLevel="0" collapsed="false">
      <c r="A1792" s="455" t="s">
        <v>2043</v>
      </c>
      <c r="C1792" s="456" t="n">
        <v>45684</v>
      </c>
      <c r="D1792" s="456"/>
      <c r="E1792" s="57" t="n">
        <v>14599</v>
      </c>
      <c r="F1792" s="323" t="s">
        <v>175</v>
      </c>
      <c r="G1792" s="323" t="s">
        <v>6</v>
      </c>
      <c r="H1792" s="98" t="n">
        <v>300</v>
      </c>
      <c r="I1792" s="457" t="n">
        <v>45</v>
      </c>
      <c r="J1792" s="313" t="s">
        <v>1652</v>
      </c>
      <c r="K1792" s="458" t="n">
        <f aca="false">I1792*H1792</f>
        <v>13500</v>
      </c>
      <c r="L1792" s="411" t="n">
        <v>6024</v>
      </c>
      <c r="M1792" s="459" t="n">
        <f aca="false">L1792/K1792</f>
        <v>0.446222222222222</v>
      </c>
      <c r="N1792" s="460" t="n">
        <f aca="false">I1792*M1792</f>
        <v>20.08</v>
      </c>
      <c r="O1792" s="461" t="n">
        <v>300</v>
      </c>
      <c r="P1792" s="462" t="n">
        <f aca="false">H1792-O1792</f>
        <v>0</v>
      </c>
      <c r="Q1792" s="463" t="n">
        <f aca="false">O1792*I1792</f>
        <v>13500</v>
      </c>
      <c r="R1792" s="48" t="n">
        <f aca="false">K1792-Q1792</f>
        <v>0</v>
      </c>
      <c r="S1792" s="467"/>
      <c r="T1792" s="2" t="s">
        <v>1711</v>
      </c>
      <c r="V1792" s="464"/>
      <c r="W1792" s="464"/>
      <c r="X1792" s="464"/>
      <c r="Y1792" s="464"/>
      <c r="Z1792" s="464"/>
      <c r="AA1792" s="464"/>
      <c r="AB1792" s="464"/>
      <c r="AC1792" s="464"/>
      <c r="AD1792" s="464"/>
      <c r="AE1792" s="464"/>
      <c r="AF1792" s="464"/>
      <c r="AG1792" s="464"/>
      <c r="AH1792" s="465"/>
      <c r="AI1792" s="464"/>
    </row>
    <row r="1793" customFormat="false" ht="15" hidden="false" customHeight="true" outlineLevel="0" collapsed="false">
      <c r="A1793" s="455" t="s">
        <v>1967</v>
      </c>
      <c r="C1793" s="456" t="n">
        <v>45684</v>
      </c>
      <c r="D1793" s="456"/>
      <c r="E1793" s="57" t="n">
        <v>14600</v>
      </c>
      <c r="F1793" s="323" t="s">
        <v>175</v>
      </c>
      <c r="G1793" s="323" t="s">
        <v>19</v>
      </c>
      <c r="H1793" s="98" t="n">
        <v>150</v>
      </c>
      <c r="I1793" s="457" t="n">
        <v>22.5</v>
      </c>
      <c r="J1793" s="313" t="s">
        <v>1651</v>
      </c>
      <c r="K1793" s="458" t="n">
        <f aca="false">I1793*H1793</f>
        <v>3375</v>
      </c>
      <c r="L1793" s="411" t="n">
        <v>3409.5</v>
      </c>
      <c r="M1793" s="459" t="n">
        <f aca="false">L1793/K1793</f>
        <v>1.01022222222222</v>
      </c>
      <c r="N1793" s="460" t="n">
        <f aca="false">I1793*M1793</f>
        <v>22.73</v>
      </c>
      <c r="O1793" s="461" t="n">
        <v>150</v>
      </c>
      <c r="P1793" s="462" t="n">
        <f aca="false">H1793-O1793</f>
        <v>0</v>
      </c>
      <c r="Q1793" s="463" t="n">
        <f aca="false">O1793*I1793</f>
        <v>3375</v>
      </c>
      <c r="R1793" s="48" t="n">
        <f aca="false">K1793-Q1793</f>
        <v>0</v>
      </c>
      <c r="S1793" s="467"/>
      <c r="T1793" s="2" t="s">
        <v>1711</v>
      </c>
      <c r="V1793" s="464"/>
      <c r="W1793" s="464"/>
      <c r="X1793" s="464"/>
      <c r="Y1793" s="464"/>
      <c r="Z1793" s="464"/>
      <c r="AA1793" s="464"/>
      <c r="AB1793" s="464"/>
      <c r="AC1793" s="464"/>
      <c r="AD1793" s="464"/>
      <c r="AE1793" s="464"/>
      <c r="AF1793" s="464"/>
      <c r="AG1793" s="464"/>
      <c r="AH1793" s="465"/>
      <c r="AI1793" s="464"/>
    </row>
    <row r="1794" customFormat="false" ht="15" hidden="false" customHeight="true" outlineLevel="0" collapsed="false">
      <c r="A1794" s="455" t="s">
        <v>2061</v>
      </c>
      <c r="C1794" s="456" t="n">
        <v>45684</v>
      </c>
      <c r="D1794" s="456"/>
      <c r="E1794" s="57" t="n">
        <v>14601</v>
      </c>
      <c r="F1794" s="323" t="s">
        <v>175</v>
      </c>
      <c r="G1794" s="323" t="s">
        <v>10</v>
      </c>
      <c r="H1794" s="98" t="n">
        <v>4020</v>
      </c>
      <c r="I1794" s="457" t="n">
        <v>90</v>
      </c>
      <c r="J1794" s="313" t="s">
        <v>1653</v>
      </c>
      <c r="K1794" s="458" t="n">
        <f aca="false">I1794*H1794</f>
        <v>361800</v>
      </c>
      <c r="L1794" s="411" t="n">
        <v>60300</v>
      </c>
      <c r="M1794" s="459" t="n">
        <f aca="false">L1794/K1794</f>
        <v>0.166666666666667</v>
      </c>
      <c r="N1794" s="460" t="n">
        <f aca="false">I1794*M1794</f>
        <v>15</v>
      </c>
      <c r="O1794" s="461" t="n">
        <v>4020</v>
      </c>
      <c r="P1794" s="462" t="n">
        <f aca="false">H1794-O1794</f>
        <v>0</v>
      </c>
      <c r="Q1794" s="463" t="n">
        <f aca="false">O1794*I1794</f>
        <v>361800</v>
      </c>
      <c r="R1794" s="48" t="n">
        <f aca="false">K1794-Q1794</f>
        <v>0</v>
      </c>
      <c r="S1794" s="467"/>
      <c r="T1794" s="2" t="s">
        <v>1711</v>
      </c>
      <c r="V1794" s="464"/>
      <c r="W1794" s="464"/>
      <c r="X1794" s="464"/>
      <c r="Y1794" s="464"/>
      <c r="Z1794" s="464"/>
      <c r="AA1794" s="464"/>
      <c r="AB1794" s="464"/>
      <c r="AC1794" s="464"/>
      <c r="AD1794" s="464"/>
      <c r="AE1794" s="464"/>
      <c r="AF1794" s="464"/>
      <c r="AG1794" s="464"/>
      <c r="AH1794" s="465"/>
      <c r="AI1794" s="464"/>
    </row>
    <row r="1795" customFormat="false" ht="15" hidden="false" customHeight="true" outlineLevel="0" collapsed="false">
      <c r="A1795" s="455" t="s">
        <v>1758</v>
      </c>
      <c r="C1795" s="456" t="n">
        <v>45684</v>
      </c>
      <c r="D1795" s="456"/>
      <c r="E1795" s="323" t="n">
        <v>14602</v>
      </c>
      <c r="F1795" s="323" t="s">
        <v>175</v>
      </c>
      <c r="G1795" s="323" t="s">
        <v>5</v>
      </c>
      <c r="H1795" s="98" t="n">
        <v>90</v>
      </c>
      <c r="I1795" s="457" t="n">
        <v>25.71</v>
      </c>
      <c r="J1795" s="313" t="s">
        <v>1651</v>
      </c>
      <c r="K1795" s="458" t="n">
        <f aca="false">I1795*H1795</f>
        <v>2313.9</v>
      </c>
      <c r="L1795" s="411" t="n">
        <v>910.8</v>
      </c>
      <c r="M1795" s="459" t="n">
        <f aca="false">L1795/K1795</f>
        <v>0.393621159082069</v>
      </c>
      <c r="N1795" s="460" t="n">
        <f aca="false">I1795*M1795</f>
        <v>10.12</v>
      </c>
      <c r="O1795" s="461" t="n">
        <v>90</v>
      </c>
      <c r="P1795" s="462" t="n">
        <f aca="false">H1795-O1795</f>
        <v>0</v>
      </c>
      <c r="Q1795" s="463" t="n">
        <f aca="false">O1795*I1795</f>
        <v>2313.9</v>
      </c>
      <c r="R1795" s="48" t="n">
        <f aca="false">K1795-Q1795</f>
        <v>0</v>
      </c>
      <c r="S1795" s="467"/>
      <c r="T1795" s="2" t="s">
        <v>1711</v>
      </c>
      <c r="V1795" s="464"/>
      <c r="W1795" s="464"/>
      <c r="X1795" s="464"/>
      <c r="Y1795" s="464"/>
      <c r="Z1795" s="464"/>
      <c r="AA1795" s="464"/>
      <c r="AB1795" s="464"/>
      <c r="AC1795" s="464"/>
      <c r="AD1795" s="464"/>
      <c r="AE1795" s="464"/>
      <c r="AF1795" s="464"/>
      <c r="AG1795" s="464"/>
      <c r="AH1795" s="465"/>
      <c r="AI1795" s="464"/>
    </row>
    <row r="1796" customFormat="false" ht="15" hidden="false" customHeight="true" outlineLevel="0" collapsed="false">
      <c r="A1796" s="455" t="s">
        <v>1824</v>
      </c>
      <c r="C1796" s="456" t="n">
        <v>45684</v>
      </c>
      <c r="D1796" s="456"/>
      <c r="E1796" s="323" t="n">
        <v>14603</v>
      </c>
      <c r="F1796" s="323" t="s">
        <v>175</v>
      </c>
      <c r="G1796" s="323" t="s">
        <v>20</v>
      </c>
      <c r="H1796" s="98" t="n">
        <v>210</v>
      </c>
      <c r="I1796" s="457" t="n">
        <v>38.29</v>
      </c>
      <c r="J1796" s="313" t="s">
        <v>1652</v>
      </c>
      <c r="K1796" s="458" t="n">
        <f aca="false">I1796*H1796</f>
        <v>8040.9</v>
      </c>
      <c r="L1796" s="411" t="n">
        <v>7116.9</v>
      </c>
      <c r="M1796" s="459" t="n">
        <f aca="false">L1796/K1796</f>
        <v>0.88508749020632</v>
      </c>
      <c r="N1796" s="460" t="n">
        <f aca="false">I1796*M1796</f>
        <v>33.89</v>
      </c>
      <c r="O1796" s="461" t="n">
        <v>210</v>
      </c>
      <c r="P1796" s="462" t="n">
        <f aca="false">H1796-O1796</f>
        <v>0</v>
      </c>
      <c r="Q1796" s="463" t="n">
        <f aca="false">O1796*I1796</f>
        <v>8040.9</v>
      </c>
      <c r="R1796" s="48" t="n">
        <f aca="false">K1796-Q1796</f>
        <v>0</v>
      </c>
      <c r="S1796" s="467"/>
      <c r="T1796" s="2" t="s">
        <v>1711</v>
      </c>
      <c r="V1796" s="464"/>
      <c r="W1796" s="464"/>
      <c r="X1796" s="464"/>
      <c r="Y1796" s="464"/>
      <c r="Z1796" s="464"/>
      <c r="AA1796" s="464"/>
      <c r="AB1796" s="464"/>
      <c r="AC1796" s="464"/>
      <c r="AD1796" s="464"/>
      <c r="AE1796" s="464"/>
      <c r="AF1796" s="464"/>
      <c r="AG1796" s="464"/>
      <c r="AH1796" s="465"/>
      <c r="AI1796" s="464"/>
    </row>
    <row r="1797" customFormat="false" ht="15" hidden="false" customHeight="true" outlineLevel="0" collapsed="false">
      <c r="A1797" s="455" t="s">
        <v>1955</v>
      </c>
      <c r="C1797" s="456" t="n">
        <v>45685</v>
      </c>
      <c r="D1797" s="456"/>
      <c r="E1797" s="57" t="n">
        <v>14606</v>
      </c>
      <c r="F1797" s="323" t="s">
        <v>175</v>
      </c>
      <c r="G1797" s="323" t="s">
        <v>15</v>
      </c>
      <c r="H1797" s="98" t="n">
        <v>1500</v>
      </c>
      <c r="I1797" s="457" t="n">
        <v>22.5</v>
      </c>
      <c r="J1797" s="313" t="s">
        <v>1651</v>
      </c>
      <c r="K1797" s="458" t="n">
        <f aca="false">I1797*H1797</f>
        <v>33750</v>
      </c>
      <c r="L1797" s="411" t="n">
        <v>23730</v>
      </c>
      <c r="M1797" s="459" t="n">
        <f aca="false">L1797/K1797</f>
        <v>0.703111111111111</v>
      </c>
      <c r="N1797" s="460" t="n">
        <f aca="false">I1797*M1797</f>
        <v>15.82</v>
      </c>
      <c r="O1797" s="461" t="n">
        <v>1500</v>
      </c>
      <c r="P1797" s="462" t="n">
        <f aca="false">H1797-O1797</f>
        <v>0</v>
      </c>
      <c r="Q1797" s="463" t="n">
        <f aca="false">O1797*I1797</f>
        <v>33750</v>
      </c>
      <c r="R1797" s="48" t="n">
        <f aca="false">K1797-Q1797</f>
        <v>0</v>
      </c>
      <c r="S1797" s="467"/>
      <c r="T1797" s="2" t="s">
        <v>1711</v>
      </c>
      <c r="V1797" s="464"/>
      <c r="W1797" s="464"/>
      <c r="X1797" s="464"/>
      <c r="Y1797" s="464"/>
      <c r="Z1797" s="464"/>
      <c r="AA1797" s="464"/>
      <c r="AB1797" s="464"/>
      <c r="AC1797" s="464"/>
      <c r="AD1797" s="464"/>
      <c r="AE1797" s="464"/>
      <c r="AF1797" s="464"/>
      <c r="AG1797" s="464"/>
      <c r="AH1797" s="465"/>
      <c r="AI1797" s="464"/>
    </row>
    <row r="1798" customFormat="false" ht="15" hidden="false" customHeight="true" outlineLevel="0" collapsed="false">
      <c r="A1798" s="455" t="s">
        <v>2012</v>
      </c>
      <c r="C1798" s="456" t="n">
        <v>45685</v>
      </c>
      <c r="D1798" s="456"/>
      <c r="E1798" s="323" t="n">
        <v>14607</v>
      </c>
      <c r="F1798" s="323" t="s">
        <v>175</v>
      </c>
      <c r="G1798" s="323" t="s">
        <v>19</v>
      </c>
      <c r="H1798" s="98" t="n">
        <v>660</v>
      </c>
      <c r="I1798" s="457" t="n">
        <v>22.5</v>
      </c>
      <c r="J1798" s="313" t="s">
        <v>1651</v>
      </c>
      <c r="K1798" s="458" t="n">
        <f aca="false">I1798*H1798</f>
        <v>14850</v>
      </c>
      <c r="L1798" s="411" t="n">
        <v>14520</v>
      </c>
      <c r="M1798" s="459" t="n">
        <f aca="false">L1798/K1798</f>
        <v>0.977777777777778</v>
      </c>
      <c r="N1798" s="460" t="n">
        <f aca="false">I1798*M1798</f>
        <v>22</v>
      </c>
      <c r="O1798" s="461" t="n">
        <v>660</v>
      </c>
      <c r="P1798" s="462" t="n">
        <f aca="false">H1798-O1798</f>
        <v>0</v>
      </c>
      <c r="Q1798" s="463" t="n">
        <f aca="false">O1798*I1798</f>
        <v>14850</v>
      </c>
      <c r="R1798" s="48" t="n">
        <f aca="false">K1798-Q1798</f>
        <v>0</v>
      </c>
      <c r="S1798" s="467"/>
      <c r="T1798" s="2" t="s">
        <v>1711</v>
      </c>
      <c r="V1798" s="464"/>
      <c r="W1798" s="464"/>
      <c r="X1798" s="464"/>
      <c r="Y1798" s="464"/>
      <c r="Z1798" s="464"/>
      <c r="AA1798" s="464"/>
      <c r="AB1798" s="464"/>
      <c r="AC1798" s="464"/>
      <c r="AD1798" s="464"/>
      <c r="AE1798" s="464"/>
      <c r="AF1798" s="464"/>
      <c r="AG1798" s="464"/>
      <c r="AH1798" s="465"/>
      <c r="AI1798" s="464"/>
    </row>
    <row r="1799" customFormat="false" ht="15" hidden="false" customHeight="true" outlineLevel="0" collapsed="false">
      <c r="A1799" s="455" t="s">
        <v>58</v>
      </c>
      <c r="C1799" s="456" t="n">
        <v>45686</v>
      </c>
      <c r="D1799" s="456"/>
      <c r="E1799" s="57" t="n">
        <v>14609</v>
      </c>
      <c r="F1799" s="323" t="s">
        <v>175</v>
      </c>
      <c r="G1799" s="323" t="s">
        <v>5</v>
      </c>
      <c r="H1799" s="98" t="n">
        <v>15</v>
      </c>
      <c r="I1799" s="457" t="n">
        <v>37.5</v>
      </c>
      <c r="J1799" s="313" t="s">
        <v>1652</v>
      </c>
      <c r="K1799" s="458" t="n">
        <f aca="false">I1799*H1799</f>
        <v>562.5</v>
      </c>
      <c r="L1799" s="411" t="n">
        <v>421.95</v>
      </c>
      <c r="M1799" s="459" t="n">
        <f aca="false">L1799/K1799</f>
        <v>0.750133333333333</v>
      </c>
      <c r="N1799" s="460" t="n">
        <f aca="false">I1799*M1799</f>
        <v>28.13</v>
      </c>
      <c r="O1799" s="461" t="n">
        <v>15</v>
      </c>
      <c r="P1799" s="462" t="n">
        <f aca="false">H1799-O1799</f>
        <v>0</v>
      </c>
      <c r="Q1799" s="463" t="n">
        <f aca="false">O1799*I1799</f>
        <v>562.5</v>
      </c>
      <c r="R1799" s="48" t="n">
        <f aca="false">K1799-Q1799</f>
        <v>0</v>
      </c>
      <c r="S1799" s="467"/>
      <c r="T1799" s="2" t="s">
        <v>1711</v>
      </c>
      <c r="V1799" s="464"/>
      <c r="W1799" s="464"/>
      <c r="X1799" s="464"/>
      <c r="Y1799" s="464"/>
      <c r="Z1799" s="464"/>
      <c r="AA1799" s="464"/>
      <c r="AB1799" s="464"/>
      <c r="AC1799" s="464"/>
      <c r="AD1799" s="464"/>
      <c r="AE1799" s="464"/>
      <c r="AF1799" s="464"/>
      <c r="AG1799" s="464"/>
      <c r="AH1799" s="465"/>
      <c r="AI1799" s="464"/>
    </row>
    <row r="1800" customFormat="false" ht="15" hidden="false" customHeight="true" outlineLevel="0" collapsed="false">
      <c r="A1800" s="455" t="s">
        <v>1804</v>
      </c>
      <c r="C1800" s="456" t="n">
        <v>45686</v>
      </c>
      <c r="D1800" s="456"/>
      <c r="E1800" s="323" t="n">
        <v>14610</v>
      </c>
      <c r="F1800" s="323" t="s">
        <v>175</v>
      </c>
      <c r="G1800" s="323" t="s">
        <v>10</v>
      </c>
      <c r="H1800" s="98" t="n">
        <v>495</v>
      </c>
      <c r="I1800" s="457" t="n">
        <v>38.3</v>
      </c>
      <c r="J1800" s="313" t="s">
        <v>1652</v>
      </c>
      <c r="K1800" s="458" t="n">
        <f aca="false">I1800*H1800</f>
        <v>18958.5</v>
      </c>
      <c r="L1800" s="411" t="n">
        <v>5915.25</v>
      </c>
      <c r="M1800" s="459" t="n">
        <f aca="false">L1800/K1800</f>
        <v>0.31201044386423</v>
      </c>
      <c r="N1800" s="460" t="n">
        <f aca="false">I1800*M1800</f>
        <v>11.95</v>
      </c>
      <c r="O1800" s="461" t="n">
        <v>495</v>
      </c>
      <c r="P1800" s="462" t="n">
        <f aca="false">H1800-O1800</f>
        <v>0</v>
      </c>
      <c r="Q1800" s="463" t="n">
        <f aca="false">O1800*I1800</f>
        <v>18958.5</v>
      </c>
      <c r="R1800" s="48" t="n">
        <f aca="false">K1800-Q1800</f>
        <v>0</v>
      </c>
      <c r="S1800" s="467"/>
      <c r="T1800" s="2" t="s">
        <v>1711</v>
      </c>
      <c r="V1800" s="464"/>
      <c r="W1800" s="464"/>
      <c r="X1800" s="464"/>
      <c r="Y1800" s="464"/>
      <c r="Z1800" s="464"/>
      <c r="AA1800" s="464"/>
      <c r="AB1800" s="464"/>
      <c r="AC1800" s="464"/>
      <c r="AD1800" s="464"/>
      <c r="AE1800" s="464"/>
      <c r="AF1800" s="464"/>
      <c r="AG1800" s="464"/>
      <c r="AH1800" s="465"/>
      <c r="AI1800" s="464"/>
    </row>
    <row r="1801" customFormat="false" ht="15" hidden="false" customHeight="true" outlineLevel="0" collapsed="false">
      <c r="A1801" s="455" t="s">
        <v>2013</v>
      </c>
      <c r="C1801" s="456" t="n">
        <v>45686</v>
      </c>
      <c r="D1801" s="456"/>
      <c r="E1801" s="323" t="n">
        <v>14611</v>
      </c>
      <c r="F1801" s="323" t="s">
        <v>175</v>
      </c>
      <c r="G1801" s="323" t="s">
        <v>17</v>
      </c>
      <c r="H1801" s="98" t="n">
        <v>600</v>
      </c>
      <c r="I1801" s="457" t="n">
        <v>22.5</v>
      </c>
      <c r="J1801" s="313" t="s">
        <v>1651</v>
      </c>
      <c r="K1801" s="458" t="n">
        <f aca="false">I1801*H1801</f>
        <v>13500</v>
      </c>
      <c r="L1801" s="411" t="n">
        <v>6660</v>
      </c>
      <c r="M1801" s="459" t="n">
        <f aca="false">L1801/K1801</f>
        <v>0.493333333333333</v>
      </c>
      <c r="N1801" s="460" t="n">
        <f aca="false">I1801*M1801</f>
        <v>11.1</v>
      </c>
      <c r="O1801" s="461" t="n">
        <v>600</v>
      </c>
      <c r="P1801" s="462" t="n">
        <f aca="false">H1801-O1801</f>
        <v>0</v>
      </c>
      <c r="Q1801" s="463" t="n">
        <f aca="false">O1801*I1801</f>
        <v>13500</v>
      </c>
      <c r="R1801" s="48" t="n">
        <f aca="false">K1801-Q1801</f>
        <v>0</v>
      </c>
      <c r="S1801" s="467"/>
      <c r="T1801" s="2" t="s">
        <v>1711</v>
      </c>
      <c r="V1801" s="464"/>
      <c r="W1801" s="464"/>
      <c r="X1801" s="464"/>
      <c r="Y1801" s="464"/>
      <c r="Z1801" s="464"/>
      <c r="AA1801" s="464"/>
      <c r="AB1801" s="464"/>
      <c r="AC1801" s="464"/>
      <c r="AD1801" s="464"/>
      <c r="AE1801" s="464"/>
      <c r="AF1801" s="464"/>
      <c r="AG1801" s="464"/>
      <c r="AH1801" s="465"/>
      <c r="AI1801" s="464"/>
    </row>
    <row r="1802" customFormat="false" ht="15" hidden="false" customHeight="true" outlineLevel="0" collapsed="false">
      <c r="A1802" s="455" t="s">
        <v>2013</v>
      </c>
      <c r="C1802" s="456" t="n">
        <v>45686</v>
      </c>
      <c r="D1802" s="456"/>
      <c r="E1802" s="323" t="n">
        <v>14611</v>
      </c>
      <c r="F1802" s="323" t="s">
        <v>175</v>
      </c>
      <c r="G1802" s="323" t="s">
        <v>17</v>
      </c>
      <c r="H1802" s="98" t="n">
        <v>465</v>
      </c>
      <c r="I1802" s="457" t="n">
        <v>37.5</v>
      </c>
      <c r="J1802" s="313" t="s">
        <v>1652</v>
      </c>
      <c r="K1802" s="458" t="n">
        <f aca="false">I1802*H1802</f>
        <v>17437.5</v>
      </c>
      <c r="L1802" s="411" t="n">
        <v>8602.5</v>
      </c>
      <c r="M1802" s="459" t="n">
        <f aca="false">L1802/K1802</f>
        <v>0.493333333333333</v>
      </c>
      <c r="N1802" s="460" t="n">
        <f aca="false">I1802*M1802</f>
        <v>18.5</v>
      </c>
      <c r="O1802" s="461" t="n">
        <v>465</v>
      </c>
      <c r="P1802" s="462" t="n">
        <f aca="false">H1802-O1802</f>
        <v>0</v>
      </c>
      <c r="Q1802" s="463" t="n">
        <f aca="false">O1802*I1802</f>
        <v>17437.5</v>
      </c>
      <c r="R1802" s="48" t="n">
        <f aca="false">K1802-Q1802</f>
        <v>0</v>
      </c>
      <c r="S1802" s="467"/>
      <c r="T1802" s="2" t="s">
        <v>1711</v>
      </c>
      <c r="V1802" s="464"/>
      <c r="W1802" s="464"/>
      <c r="X1802" s="464"/>
      <c r="Y1802" s="464"/>
      <c r="Z1802" s="464"/>
      <c r="AA1802" s="464"/>
      <c r="AB1802" s="464"/>
      <c r="AC1802" s="464"/>
      <c r="AD1802" s="464"/>
      <c r="AE1802" s="464"/>
      <c r="AF1802" s="464"/>
      <c r="AG1802" s="464"/>
      <c r="AH1802" s="465"/>
      <c r="AI1802" s="464"/>
    </row>
    <row r="1803" customFormat="false" ht="15" hidden="false" customHeight="true" outlineLevel="0" collapsed="false">
      <c r="A1803" s="455" t="s">
        <v>1753</v>
      </c>
      <c r="C1803" s="456" t="n">
        <v>45686</v>
      </c>
      <c r="D1803" s="456"/>
      <c r="E1803" s="323" t="n">
        <v>14612</v>
      </c>
      <c r="F1803" s="323" t="s">
        <v>175</v>
      </c>
      <c r="G1803" s="323" t="s">
        <v>10</v>
      </c>
      <c r="H1803" s="98" t="n">
        <v>3780</v>
      </c>
      <c r="I1803" s="457" t="n">
        <v>25.71</v>
      </c>
      <c r="J1803" s="313" t="s">
        <v>1651</v>
      </c>
      <c r="K1803" s="458" t="n">
        <f aca="false">I1803*H1803</f>
        <v>97183.8</v>
      </c>
      <c r="L1803" s="411" t="n">
        <v>35910</v>
      </c>
      <c r="M1803" s="459" t="n">
        <f aca="false">L1803/K1803</f>
        <v>0.369506028782575</v>
      </c>
      <c r="N1803" s="460" t="n">
        <f aca="false">I1803*M1803</f>
        <v>9.5</v>
      </c>
      <c r="O1803" s="461" t="n">
        <v>3780</v>
      </c>
      <c r="P1803" s="462" t="n">
        <f aca="false">H1803-O1803</f>
        <v>0</v>
      </c>
      <c r="Q1803" s="463" t="n">
        <f aca="false">O1803*I1803</f>
        <v>97183.8</v>
      </c>
      <c r="R1803" s="48" t="n">
        <f aca="false">K1803-Q1803</f>
        <v>0</v>
      </c>
      <c r="S1803" s="467"/>
      <c r="T1803" s="2" t="s">
        <v>1711</v>
      </c>
      <c r="V1803" s="464"/>
      <c r="W1803" s="464"/>
      <c r="X1803" s="464"/>
      <c r="Y1803" s="464"/>
      <c r="Z1803" s="464"/>
      <c r="AA1803" s="464"/>
      <c r="AB1803" s="464"/>
      <c r="AC1803" s="464"/>
      <c r="AD1803" s="464"/>
      <c r="AE1803" s="464"/>
      <c r="AF1803" s="464"/>
      <c r="AG1803" s="464"/>
      <c r="AH1803" s="465"/>
      <c r="AI1803" s="464"/>
    </row>
    <row r="1804" customFormat="false" ht="15" hidden="false" customHeight="true" outlineLevel="0" collapsed="false">
      <c r="A1804" s="455" t="s">
        <v>2041</v>
      </c>
      <c r="C1804" s="456" t="n">
        <v>45686</v>
      </c>
      <c r="D1804" s="456"/>
      <c r="E1804" s="323" t="n">
        <v>14614</v>
      </c>
      <c r="F1804" s="323" t="s">
        <v>175</v>
      </c>
      <c r="G1804" s="323" t="s">
        <v>5</v>
      </c>
      <c r="H1804" s="98" t="n">
        <v>900</v>
      </c>
      <c r="I1804" s="457" t="n">
        <v>37.5</v>
      </c>
      <c r="J1804" s="313" t="s">
        <v>1652</v>
      </c>
      <c r="K1804" s="458" t="n">
        <f aca="false">I1804*H1804</f>
        <v>33750</v>
      </c>
      <c r="L1804" s="411" t="n">
        <v>21463.8</v>
      </c>
      <c r="M1804" s="459" t="n">
        <f aca="false">L1804/K1804</f>
        <v>0.635964444444444</v>
      </c>
      <c r="N1804" s="460" t="n">
        <f aca="false">I1804*M1804</f>
        <v>23.8486666666667</v>
      </c>
      <c r="O1804" s="461" t="n">
        <v>900</v>
      </c>
      <c r="P1804" s="462" t="n">
        <f aca="false">H1804-O1804</f>
        <v>0</v>
      </c>
      <c r="Q1804" s="463" t="n">
        <f aca="false">O1804*I1804</f>
        <v>33750</v>
      </c>
      <c r="R1804" s="48" t="n">
        <f aca="false">K1804-Q1804</f>
        <v>0</v>
      </c>
      <c r="S1804" s="467"/>
      <c r="T1804" s="2" t="s">
        <v>1711</v>
      </c>
      <c r="V1804" s="464"/>
      <c r="W1804" s="464"/>
      <c r="X1804" s="464"/>
      <c r="Y1804" s="464"/>
      <c r="Z1804" s="464"/>
      <c r="AA1804" s="464"/>
      <c r="AB1804" s="464"/>
      <c r="AC1804" s="464"/>
      <c r="AD1804" s="464"/>
      <c r="AE1804" s="464"/>
      <c r="AF1804" s="464"/>
      <c r="AG1804" s="464"/>
      <c r="AH1804" s="465"/>
      <c r="AI1804" s="464"/>
    </row>
    <row r="1805" customFormat="false" ht="15" hidden="false" customHeight="true" outlineLevel="0" collapsed="false">
      <c r="A1805" s="455" t="s">
        <v>2041</v>
      </c>
      <c r="C1805" s="456" t="n">
        <v>45686</v>
      </c>
      <c r="D1805" s="456"/>
      <c r="E1805" s="323" t="n">
        <v>14615</v>
      </c>
      <c r="F1805" s="323" t="s">
        <v>175</v>
      </c>
      <c r="G1805" s="323" t="s">
        <v>5</v>
      </c>
      <c r="H1805" s="98" t="n">
        <v>945</v>
      </c>
      <c r="I1805" s="457" t="n">
        <v>37.5</v>
      </c>
      <c r="J1805" s="313" t="s">
        <v>1652</v>
      </c>
      <c r="K1805" s="458" t="n">
        <f aca="false">I1805*H1805</f>
        <v>35437.5</v>
      </c>
      <c r="L1805" s="411" t="n">
        <v>22536.99</v>
      </c>
      <c r="M1805" s="459" t="n">
        <f aca="false">L1805/K1805</f>
        <v>0.635964444444444</v>
      </c>
      <c r="N1805" s="460" t="n">
        <f aca="false">I1805*M1805</f>
        <v>23.8486666666667</v>
      </c>
      <c r="O1805" s="461" t="n">
        <v>945</v>
      </c>
      <c r="P1805" s="462" t="n">
        <f aca="false">H1805-O1805</f>
        <v>0</v>
      </c>
      <c r="Q1805" s="463" t="n">
        <f aca="false">O1805*I1805</f>
        <v>35437.5</v>
      </c>
      <c r="R1805" s="48" t="n">
        <f aca="false">K1805-Q1805</f>
        <v>0</v>
      </c>
      <c r="S1805" s="467"/>
      <c r="T1805" s="2" t="s">
        <v>1711</v>
      </c>
      <c r="V1805" s="464"/>
      <c r="W1805" s="464"/>
      <c r="X1805" s="464"/>
      <c r="Y1805" s="464"/>
      <c r="Z1805" s="464"/>
      <c r="AA1805" s="464"/>
      <c r="AB1805" s="464"/>
      <c r="AC1805" s="464"/>
      <c r="AD1805" s="464"/>
      <c r="AE1805" s="464"/>
      <c r="AF1805" s="464"/>
      <c r="AG1805" s="464"/>
      <c r="AH1805" s="465"/>
      <c r="AI1805" s="464"/>
    </row>
    <row r="1806" customFormat="false" ht="15" hidden="false" customHeight="true" outlineLevel="0" collapsed="false">
      <c r="A1806" s="455" t="s">
        <v>1824</v>
      </c>
      <c r="C1806" s="456" t="n">
        <v>45686</v>
      </c>
      <c r="D1806" s="456"/>
      <c r="E1806" s="323" t="n">
        <v>14616</v>
      </c>
      <c r="F1806" s="323" t="s">
        <v>175</v>
      </c>
      <c r="G1806" s="323" t="s">
        <v>19</v>
      </c>
      <c r="H1806" s="98" t="n">
        <v>660</v>
      </c>
      <c r="I1806" s="457" t="n">
        <v>22.5</v>
      </c>
      <c r="J1806" s="313" t="s">
        <v>1651</v>
      </c>
      <c r="K1806" s="458" t="n">
        <f aca="false">I1806*H1806</f>
        <v>14850</v>
      </c>
      <c r="L1806" s="411" t="n">
        <v>11220</v>
      </c>
      <c r="M1806" s="459" t="n">
        <f aca="false">L1806/K1806</f>
        <v>0.755555555555556</v>
      </c>
      <c r="N1806" s="460" t="n">
        <f aca="false">I1806*M1806</f>
        <v>17</v>
      </c>
      <c r="O1806" s="461" t="n">
        <v>660</v>
      </c>
      <c r="P1806" s="462" t="n">
        <f aca="false">H1806-O1806</f>
        <v>0</v>
      </c>
      <c r="Q1806" s="463" t="n">
        <f aca="false">O1806*I1806</f>
        <v>14850</v>
      </c>
      <c r="R1806" s="48" t="n">
        <f aca="false">K1806-Q1806</f>
        <v>0</v>
      </c>
      <c r="S1806" s="467"/>
      <c r="T1806" s="2" t="s">
        <v>1711</v>
      </c>
      <c r="V1806" s="464"/>
      <c r="W1806" s="464"/>
      <c r="X1806" s="464"/>
      <c r="Y1806" s="464"/>
      <c r="Z1806" s="464"/>
      <c r="AA1806" s="464"/>
      <c r="AB1806" s="464"/>
      <c r="AC1806" s="464"/>
      <c r="AD1806" s="464"/>
      <c r="AE1806" s="464"/>
      <c r="AF1806" s="464"/>
      <c r="AG1806" s="464"/>
      <c r="AH1806" s="465"/>
      <c r="AI1806" s="464"/>
    </row>
    <row r="1807" customFormat="false" ht="15" hidden="false" customHeight="true" outlineLevel="0" collapsed="false">
      <c r="A1807" s="455" t="s">
        <v>1824</v>
      </c>
      <c r="C1807" s="456" t="n">
        <v>45686</v>
      </c>
      <c r="D1807" s="456"/>
      <c r="E1807" s="323" t="n">
        <v>14616</v>
      </c>
      <c r="F1807" s="323" t="s">
        <v>175</v>
      </c>
      <c r="G1807" s="323" t="s">
        <v>17</v>
      </c>
      <c r="H1807" s="98" t="n">
        <v>1500</v>
      </c>
      <c r="I1807" s="457" t="n">
        <v>22.5</v>
      </c>
      <c r="J1807" s="313" t="s">
        <v>1651</v>
      </c>
      <c r="K1807" s="458" t="n">
        <f aca="false">I1807*H1807</f>
        <v>33750</v>
      </c>
      <c r="L1807" s="411" t="n">
        <v>17250</v>
      </c>
      <c r="M1807" s="459" t="n">
        <f aca="false">L1807/K1807</f>
        <v>0.511111111111111</v>
      </c>
      <c r="N1807" s="460" t="n">
        <f aca="false">I1807*M1807</f>
        <v>11.5</v>
      </c>
      <c r="O1807" s="461" t="n">
        <v>1500</v>
      </c>
      <c r="P1807" s="462" t="n">
        <f aca="false">H1807-O1807</f>
        <v>0</v>
      </c>
      <c r="Q1807" s="463" t="n">
        <f aca="false">O1807*I1807</f>
        <v>33750</v>
      </c>
      <c r="R1807" s="48" t="n">
        <f aca="false">K1807-Q1807</f>
        <v>0</v>
      </c>
      <c r="S1807" s="467"/>
      <c r="T1807" s="2" t="s">
        <v>1711</v>
      </c>
      <c r="V1807" s="464"/>
      <c r="W1807" s="464"/>
      <c r="X1807" s="464"/>
      <c r="Y1807" s="464"/>
      <c r="Z1807" s="464"/>
      <c r="AA1807" s="464"/>
      <c r="AB1807" s="464"/>
      <c r="AC1807" s="464"/>
      <c r="AD1807" s="464"/>
      <c r="AE1807" s="464"/>
      <c r="AF1807" s="464"/>
      <c r="AG1807" s="464"/>
      <c r="AH1807" s="465"/>
      <c r="AI1807" s="464"/>
    </row>
    <row r="1808" customFormat="false" ht="15" hidden="false" customHeight="true" outlineLevel="0" collapsed="false">
      <c r="A1808" s="455" t="s">
        <v>1824</v>
      </c>
      <c r="C1808" s="456" t="n">
        <v>45687</v>
      </c>
      <c r="D1808" s="456"/>
      <c r="E1808" s="323" t="n">
        <v>14617</v>
      </c>
      <c r="F1808" s="323" t="s">
        <v>175</v>
      </c>
      <c r="G1808" s="323" t="s">
        <v>19</v>
      </c>
      <c r="H1808" s="98" t="n">
        <v>15</v>
      </c>
      <c r="I1808" s="457" t="n">
        <v>22.5</v>
      </c>
      <c r="J1808" s="313" t="s">
        <v>1651</v>
      </c>
      <c r="K1808" s="458" t="n">
        <f aca="false">I1808*H1808</f>
        <v>337.5</v>
      </c>
      <c r="L1808" s="411" t="n">
        <v>225</v>
      </c>
      <c r="M1808" s="459" t="n">
        <f aca="false">L1808/K1808</f>
        <v>0.666666666666667</v>
      </c>
      <c r="N1808" s="460" t="n">
        <f aca="false">I1808*M1808</f>
        <v>15</v>
      </c>
      <c r="O1808" s="461" t="n">
        <v>15</v>
      </c>
      <c r="P1808" s="462" t="n">
        <f aca="false">H1808-O1808</f>
        <v>0</v>
      </c>
      <c r="Q1808" s="463" t="n">
        <f aca="false">O1808*I1808</f>
        <v>337.5</v>
      </c>
      <c r="R1808" s="48" t="n">
        <f aca="false">K1808-Q1808</f>
        <v>0</v>
      </c>
      <c r="S1808" s="467"/>
      <c r="T1808" s="2" t="s">
        <v>1711</v>
      </c>
      <c r="V1808" s="464"/>
      <c r="W1808" s="464"/>
      <c r="X1808" s="464"/>
      <c r="Y1808" s="464"/>
      <c r="Z1808" s="464"/>
      <c r="AA1808" s="464"/>
      <c r="AB1808" s="464"/>
      <c r="AC1808" s="464"/>
      <c r="AD1808" s="464"/>
      <c r="AE1808" s="464"/>
      <c r="AF1808" s="464"/>
      <c r="AG1808" s="464"/>
      <c r="AH1808" s="465"/>
      <c r="AI1808" s="464"/>
    </row>
    <row r="1809" customFormat="false" ht="15" hidden="false" customHeight="true" outlineLevel="0" collapsed="false">
      <c r="A1809" s="455" t="s">
        <v>2056</v>
      </c>
      <c r="C1809" s="456" t="n">
        <v>45687</v>
      </c>
      <c r="D1809" s="456"/>
      <c r="E1809" s="323" t="n">
        <v>14619</v>
      </c>
      <c r="F1809" s="323" t="s">
        <v>175</v>
      </c>
      <c r="G1809" s="323" t="s">
        <v>10</v>
      </c>
      <c r="H1809" s="98" t="n">
        <v>300</v>
      </c>
      <c r="I1809" s="457" t="n">
        <v>90</v>
      </c>
      <c r="J1809" s="313" t="s">
        <v>1653</v>
      </c>
      <c r="K1809" s="458" t="n">
        <f aca="false">I1809*H1809</f>
        <v>27000</v>
      </c>
      <c r="L1809" s="411" t="n">
        <v>3900</v>
      </c>
      <c r="M1809" s="459" t="n">
        <f aca="false">L1809/K1809</f>
        <v>0.144444444444444</v>
      </c>
      <c r="N1809" s="460" t="n">
        <f aca="false">I1809*M1809</f>
        <v>13</v>
      </c>
      <c r="O1809" s="461" t="n">
        <v>300</v>
      </c>
      <c r="P1809" s="462" t="n">
        <f aca="false">H1809-O1809</f>
        <v>0</v>
      </c>
      <c r="Q1809" s="463" t="n">
        <f aca="false">O1809*I1809</f>
        <v>27000</v>
      </c>
      <c r="R1809" s="48" t="n">
        <f aca="false">K1809-Q1809</f>
        <v>0</v>
      </c>
      <c r="S1809" s="467"/>
      <c r="T1809" s="2" t="s">
        <v>1711</v>
      </c>
      <c r="V1809" s="464"/>
      <c r="W1809" s="464"/>
      <c r="X1809" s="464"/>
      <c r="Y1809" s="464"/>
      <c r="Z1809" s="464"/>
      <c r="AA1809" s="464"/>
      <c r="AB1809" s="464"/>
      <c r="AC1809" s="464"/>
      <c r="AD1809" s="464"/>
      <c r="AE1809" s="464"/>
      <c r="AF1809" s="464"/>
      <c r="AG1809" s="464"/>
      <c r="AH1809" s="465"/>
      <c r="AI1809" s="464"/>
    </row>
    <row r="1810" customFormat="false" ht="15" hidden="false" customHeight="true" outlineLevel="0" collapsed="false">
      <c r="A1810" s="455" t="s">
        <v>2055</v>
      </c>
      <c r="C1810" s="456" t="n">
        <v>45687</v>
      </c>
      <c r="D1810" s="456"/>
      <c r="E1810" s="57" t="n">
        <v>14620</v>
      </c>
      <c r="F1810" s="323" t="s">
        <v>175</v>
      </c>
      <c r="G1810" s="323" t="s">
        <v>10</v>
      </c>
      <c r="H1810" s="98" t="n">
        <v>150</v>
      </c>
      <c r="I1810" s="457" t="n">
        <v>90</v>
      </c>
      <c r="J1810" s="313" t="s">
        <v>1653</v>
      </c>
      <c r="K1810" s="458" t="n">
        <f aca="false">I1810*H1810</f>
        <v>13500</v>
      </c>
      <c r="L1810" s="411" t="n">
        <v>1950</v>
      </c>
      <c r="M1810" s="459" t="n">
        <f aca="false">L1810/K1810</f>
        <v>0.144444444444444</v>
      </c>
      <c r="N1810" s="460" t="n">
        <f aca="false">I1810*M1810</f>
        <v>13</v>
      </c>
      <c r="O1810" s="461" t="n">
        <v>150</v>
      </c>
      <c r="P1810" s="462" t="n">
        <f aca="false">H1810-O1810</f>
        <v>0</v>
      </c>
      <c r="Q1810" s="463" t="n">
        <f aca="false">O1810*I1810</f>
        <v>13500</v>
      </c>
      <c r="R1810" s="48" t="n">
        <f aca="false">K1810-Q1810</f>
        <v>0</v>
      </c>
      <c r="S1810" s="467"/>
      <c r="T1810" s="2" t="s">
        <v>1711</v>
      </c>
      <c r="V1810" s="464"/>
      <c r="W1810" s="464"/>
      <c r="X1810" s="464"/>
      <c r="Y1810" s="464"/>
      <c r="Z1810" s="464"/>
      <c r="AA1810" s="464"/>
      <c r="AB1810" s="464"/>
      <c r="AC1810" s="464"/>
      <c r="AD1810" s="464"/>
      <c r="AE1810" s="464"/>
      <c r="AF1810" s="464"/>
      <c r="AG1810" s="464"/>
      <c r="AH1810" s="465"/>
      <c r="AI1810" s="464"/>
    </row>
    <row r="1811" customFormat="false" ht="15" hidden="false" customHeight="true" outlineLevel="0" collapsed="false">
      <c r="A1811" s="455" t="s">
        <v>1812</v>
      </c>
      <c r="C1811" s="456" t="n">
        <v>45687</v>
      </c>
      <c r="D1811" s="456"/>
      <c r="E1811" s="57" t="n">
        <v>14621</v>
      </c>
      <c r="F1811" s="323" t="s">
        <v>175</v>
      </c>
      <c r="G1811" s="323" t="s">
        <v>7</v>
      </c>
      <c r="H1811" s="98" t="n">
        <v>45</v>
      </c>
      <c r="I1811" s="457" t="n">
        <v>25.71</v>
      </c>
      <c r="J1811" s="313" t="s">
        <v>1651</v>
      </c>
      <c r="K1811" s="458" t="n">
        <f aca="false">I1811*H1811</f>
        <v>1156.95</v>
      </c>
      <c r="L1811" s="411" t="n">
        <v>517.95</v>
      </c>
      <c r="M1811" s="459" t="n">
        <f aca="false">L1811/K1811</f>
        <v>0.447685725398678</v>
      </c>
      <c r="N1811" s="460" t="n">
        <f aca="false">I1811*M1811</f>
        <v>11.51</v>
      </c>
      <c r="O1811" s="461" t="n">
        <v>45</v>
      </c>
      <c r="P1811" s="462" t="n">
        <f aca="false">H1811-O1811</f>
        <v>0</v>
      </c>
      <c r="Q1811" s="463" t="n">
        <f aca="false">O1811*I1811</f>
        <v>1156.95</v>
      </c>
      <c r="R1811" s="48" t="n">
        <f aca="false">K1811-Q1811</f>
        <v>0</v>
      </c>
      <c r="S1811" s="467"/>
      <c r="T1811" s="2" t="s">
        <v>1711</v>
      </c>
      <c r="V1811" s="464"/>
      <c r="W1811" s="464"/>
      <c r="X1811" s="464"/>
      <c r="Y1811" s="464"/>
      <c r="Z1811" s="464"/>
      <c r="AA1811" s="464"/>
      <c r="AB1811" s="464"/>
      <c r="AC1811" s="464"/>
      <c r="AD1811" s="464"/>
      <c r="AE1811" s="464"/>
      <c r="AF1811" s="464"/>
      <c r="AG1811" s="464"/>
      <c r="AH1811" s="465"/>
      <c r="AI1811" s="464"/>
    </row>
    <row r="1812" customFormat="false" ht="15" hidden="false" customHeight="true" outlineLevel="0" collapsed="false">
      <c r="A1812" s="455" t="s">
        <v>1855</v>
      </c>
      <c r="C1812" s="456" t="n">
        <v>45687</v>
      </c>
      <c r="D1812" s="456"/>
      <c r="E1812" s="57" t="n">
        <v>14622</v>
      </c>
      <c r="F1812" s="323" t="s">
        <v>175</v>
      </c>
      <c r="G1812" s="323" t="s">
        <v>5</v>
      </c>
      <c r="H1812" s="98" t="n">
        <v>1800</v>
      </c>
      <c r="I1812" s="457" t="n">
        <v>25.71</v>
      </c>
      <c r="J1812" s="313" t="s">
        <v>1651</v>
      </c>
      <c r="K1812" s="458" t="n">
        <f aca="false">I1812*H1812</f>
        <v>46278</v>
      </c>
      <c r="L1812" s="411" t="n">
        <v>25020</v>
      </c>
      <c r="M1812" s="459" t="n">
        <f aca="false">L1812/K1812</f>
        <v>0.540645663166083</v>
      </c>
      <c r="N1812" s="460" t="n">
        <f aca="false">I1812*M1812</f>
        <v>13.9</v>
      </c>
      <c r="O1812" s="461" t="n">
        <v>1800</v>
      </c>
      <c r="P1812" s="462" t="n">
        <f aca="false">H1812-O1812</f>
        <v>0</v>
      </c>
      <c r="Q1812" s="463" t="n">
        <f aca="false">O1812*I1812</f>
        <v>46278</v>
      </c>
      <c r="R1812" s="48" t="n">
        <f aca="false">K1812-Q1812</f>
        <v>0</v>
      </c>
      <c r="S1812" s="467"/>
      <c r="T1812" s="2" t="s">
        <v>1711</v>
      </c>
      <c r="V1812" s="464"/>
      <c r="W1812" s="464"/>
      <c r="X1812" s="464"/>
      <c r="Y1812" s="464"/>
      <c r="Z1812" s="464"/>
      <c r="AA1812" s="464"/>
      <c r="AB1812" s="464"/>
      <c r="AC1812" s="464"/>
      <c r="AD1812" s="464"/>
      <c r="AE1812" s="464"/>
      <c r="AF1812" s="464"/>
      <c r="AG1812" s="464"/>
      <c r="AH1812" s="465"/>
      <c r="AI1812" s="464"/>
    </row>
    <row r="1813" customFormat="false" ht="15" hidden="false" customHeight="true" outlineLevel="0" collapsed="false">
      <c r="A1813" s="455" t="s">
        <v>1855</v>
      </c>
      <c r="C1813" s="456" t="n">
        <v>45687</v>
      </c>
      <c r="D1813" s="456"/>
      <c r="E1813" s="57" t="n">
        <v>14622</v>
      </c>
      <c r="F1813" s="323" t="s">
        <v>175</v>
      </c>
      <c r="G1813" s="323" t="s">
        <v>13</v>
      </c>
      <c r="H1813" s="98" t="n">
        <v>510</v>
      </c>
      <c r="I1813" s="457" t="n">
        <v>22.5</v>
      </c>
      <c r="J1813" s="313" t="s">
        <v>1651</v>
      </c>
      <c r="K1813" s="458" t="n">
        <f aca="false">I1813*H1813</f>
        <v>11475</v>
      </c>
      <c r="L1813" s="411" t="n">
        <v>6885</v>
      </c>
      <c r="M1813" s="459" t="n">
        <f aca="false">L1813/K1813</f>
        <v>0.6</v>
      </c>
      <c r="N1813" s="460" t="n">
        <f aca="false">I1813*M1813</f>
        <v>13.5</v>
      </c>
      <c r="O1813" s="461" t="n">
        <v>510</v>
      </c>
      <c r="P1813" s="462" t="n">
        <f aca="false">H1813-O1813</f>
        <v>0</v>
      </c>
      <c r="Q1813" s="463" t="n">
        <f aca="false">O1813*I1813</f>
        <v>11475</v>
      </c>
      <c r="R1813" s="48" t="n">
        <f aca="false">K1813-Q1813</f>
        <v>0</v>
      </c>
      <c r="S1813" s="467"/>
      <c r="T1813" s="2" t="s">
        <v>1711</v>
      </c>
      <c r="V1813" s="464"/>
      <c r="W1813" s="464"/>
      <c r="X1813" s="464"/>
      <c r="Y1813" s="464"/>
      <c r="Z1813" s="464"/>
      <c r="AA1813" s="464"/>
      <c r="AB1813" s="464"/>
      <c r="AC1813" s="464"/>
      <c r="AD1813" s="464"/>
      <c r="AE1813" s="464"/>
      <c r="AF1813" s="464"/>
      <c r="AG1813" s="464"/>
      <c r="AH1813" s="465"/>
      <c r="AI1813" s="464"/>
    </row>
    <row r="1814" customFormat="false" ht="15" hidden="false" customHeight="true" outlineLevel="0" collapsed="false">
      <c r="A1814" s="455" t="s">
        <v>1718</v>
      </c>
      <c r="C1814" s="456" t="n">
        <v>45687</v>
      </c>
      <c r="D1814" s="456"/>
      <c r="E1814" s="57" t="n">
        <v>14623</v>
      </c>
      <c r="F1814" s="323" t="s">
        <v>175</v>
      </c>
      <c r="G1814" s="323" t="s">
        <v>10</v>
      </c>
      <c r="H1814" s="98" t="n">
        <v>240</v>
      </c>
      <c r="I1814" s="457" t="n">
        <v>38.3</v>
      </c>
      <c r="J1814" s="313" t="s">
        <v>1652</v>
      </c>
      <c r="K1814" s="458" t="n">
        <f aca="false">I1814*H1814</f>
        <v>9192</v>
      </c>
      <c r="L1814" s="411" t="n">
        <v>2208</v>
      </c>
      <c r="M1814" s="459" t="n">
        <f aca="false">L1814/K1814</f>
        <v>0.240208877284595</v>
      </c>
      <c r="N1814" s="460" t="n">
        <f aca="false">I1814*M1814</f>
        <v>9.2</v>
      </c>
      <c r="O1814" s="461" t="n">
        <v>240</v>
      </c>
      <c r="P1814" s="462" t="n">
        <f aca="false">H1814-O1814</f>
        <v>0</v>
      </c>
      <c r="Q1814" s="463" t="n">
        <f aca="false">O1814*I1814</f>
        <v>9192</v>
      </c>
      <c r="R1814" s="48" t="n">
        <f aca="false">K1814-Q1814</f>
        <v>0</v>
      </c>
      <c r="S1814" s="467"/>
      <c r="T1814" s="2" t="s">
        <v>1711</v>
      </c>
      <c r="V1814" s="464"/>
      <c r="W1814" s="464"/>
      <c r="X1814" s="464"/>
      <c r="Y1814" s="464"/>
      <c r="Z1814" s="464"/>
      <c r="AA1814" s="464"/>
      <c r="AB1814" s="464"/>
      <c r="AC1814" s="464"/>
      <c r="AD1814" s="464"/>
      <c r="AE1814" s="464"/>
      <c r="AF1814" s="464"/>
      <c r="AG1814" s="464"/>
      <c r="AH1814" s="465"/>
      <c r="AI1814" s="464"/>
    </row>
    <row r="1815" customFormat="false" ht="15" hidden="false" customHeight="true" outlineLevel="0" collapsed="false">
      <c r="A1815" s="455" t="s">
        <v>1804</v>
      </c>
      <c r="C1815" s="456" t="n">
        <v>45688</v>
      </c>
      <c r="D1815" s="456"/>
      <c r="E1815" s="323" t="n">
        <v>14626</v>
      </c>
      <c r="F1815" s="323" t="s">
        <v>175</v>
      </c>
      <c r="G1815" s="323" t="s">
        <v>10</v>
      </c>
      <c r="H1815" s="98" t="n">
        <v>6990</v>
      </c>
      <c r="I1815" s="457" t="n">
        <v>38.3</v>
      </c>
      <c r="J1815" s="313" t="s">
        <v>1652</v>
      </c>
      <c r="K1815" s="458" t="n">
        <f aca="false">I1815*H1815</f>
        <v>267717</v>
      </c>
      <c r="L1815" s="411" t="n">
        <v>83530.5</v>
      </c>
      <c r="M1815" s="459" t="n">
        <f aca="false">L1815/K1815</f>
        <v>0.31201044386423</v>
      </c>
      <c r="N1815" s="460" t="n">
        <f aca="false">I1815*M1815</f>
        <v>11.95</v>
      </c>
      <c r="O1815" s="461" t="n">
        <v>6990</v>
      </c>
      <c r="P1815" s="462" t="n">
        <f aca="false">H1815-O1815</f>
        <v>0</v>
      </c>
      <c r="Q1815" s="463" t="n">
        <f aca="false">O1815*I1815</f>
        <v>267717</v>
      </c>
      <c r="R1815" s="48" t="n">
        <f aca="false">K1815-Q1815</f>
        <v>0</v>
      </c>
      <c r="S1815" s="467"/>
      <c r="T1815" s="2" t="s">
        <v>1711</v>
      </c>
      <c r="V1815" s="464"/>
      <c r="W1815" s="464"/>
      <c r="X1815" s="464"/>
      <c r="Y1815" s="464"/>
      <c r="Z1815" s="464"/>
      <c r="AA1815" s="464"/>
      <c r="AB1815" s="464"/>
      <c r="AC1815" s="464"/>
      <c r="AD1815" s="464"/>
      <c r="AE1815" s="464"/>
      <c r="AF1815" s="464"/>
      <c r="AG1815" s="464"/>
      <c r="AH1815" s="465"/>
      <c r="AI1815" s="464"/>
    </row>
    <row r="1816" customFormat="false" ht="15" hidden="false" customHeight="true" outlineLevel="0" collapsed="false">
      <c r="A1816" s="455" t="s">
        <v>1955</v>
      </c>
      <c r="C1816" s="456" t="n">
        <v>45688</v>
      </c>
      <c r="D1816" s="456"/>
      <c r="E1816" s="323" t="n">
        <v>14625</v>
      </c>
      <c r="F1816" s="323" t="s">
        <v>175</v>
      </c>
      <c r="G1816" s="323" t="s">
        <v>13</v>
      </c>
      <c r="H1816" s="98" t="n">
        <v>1500</v>
      </c>
      <c r="I1816" s="457" t="n">
        <v>22.5</v>
      </c>
      <c r="J1816" s="313" t="s">
        <v>1651</v>
      </c>
      <c r="K1816" s="458" t="n">
        <f aca="false">I1816*H1816</f>
        <v>33750</v>
      </c>
      <c r="L1816" s="411" t="n">
        <v>16800</v>
      </c>
      <c r="M1816" s="459" t="n">
        <f aca="false">L1816/K1816</f>
        <v>0.497777777777778</v>
      </c>
      <c r="N1816" s="460" t="n">
        <f aca="false">I1816*M1816</f>
        <v>11.2</v>
      </c>
      <c r="O1816" s="461" t="n">
        <v>1500</v>
      </c>
      <c r="P1816" s="462" t="n">
        <f aca="false">H1816-O1816</f>
        <v>0</v>
      </c>
      <c r="Q1816" s="463" t="n">
        <f aca="false">O1816*I1816</f>
        <v>33750</v>
      </c>
      <c r="R1816" s="48" t="n">
        <f aca="false">K1816-Q1816</f>
        <v>0</v>
      </c>
      <c r="S1816" s="467"/>
      <c r="T1816" s="2" t="s">
        <v>1711</v>
      </c>
      <c r="V1816" s="464"/>
      <c r="W1816" s="464"/>
      <c r="X1816" s="464"/>
      <c r="Y1816" s="464"/>
      <c r="Z1816" s="464"/>
      <c r="AA1816" s="464"/>
      <c r="AB1816" s="464"/>
      <c r="AC1816" s="464"/>
      <c r="AD1816" s="464"/>
      <c r="AE1816" s="464"/>
      <c r="AF1816" s="464"/>
      <c r="AG1816" s="464"/>
      <c r="AH1816" s="465"/>
      <c r="AI1816" s="464"/>
    </row>
    <row r="1817" customFormat="false" ht="15" hidden="false" customHeight="true" outlineLevel="0" collapsed="false">
      <c r="A1817" s="455" t="s">
        <v>1804</v>
      </c>
      <c r="C1817" s="456" t="n">
        <v>45691</v>
      </c>
      <c r="D1817" s="456"/>
      <c r="E1817" s="57" t="n">
        <v>14630</v>
      </c>
      <c r="F1817" s="323" t="s">
        <v>175</v>
      </c>
      <c r="G1817" s="323" t="s">
        <v>10</v>
      </c>
      <c r="H1817" s="98" t="n">
        <v>1500</v>
      </c>
      <c r="I1817" s="457" t="n">
        <v>38.3</v>
      </c>
      <c r="J1817" s="313" t="s">
        <v>1652</v>
      </c>
      <c r="K1817" s="458" t="n">
        <f aca="false">I1817*H1817</f>
        <v>57450</v>
      </c>
      <c r="L1817" s="411" t="n">
        <v>17925</v>
      </c>
      <c r="M1817" s="459" t="n">
        <f aca="false">L1817/K1817</f>
        <v>0.31201044386423</v>
      </c>
      <c r="N1817" s="460" t="n">
        <f aca="false">I1817*M1817</f>
        <v>11.95</v>
      </c>
      <c r="O1817" s="461" t="n">
        <v>1500</v>
      </c>
      <c r="P1817" s="462" t="n">
        <f aca="false">H1817-O1817</f>
        <v>0</v>
      </c>
      <c r="Q1817" s="463" t="n">
        <f aca="false">O1817*I1817</f>
        <v>57450</v>
      </c>
      <c r="R1817" s="48" t="n">
        <f aca="false">K1817-Q1817</f>
        <v>0</v>
      </c>
      <c r="S1817" s="467"/>
      <c r="T1817" s="2" t="s">
        <v>1711</v>
      </c>
      <c r="V1817" s="464"/>
      <c r="W1817" s="464"/>
      <c r="X1817" s="464"/>
      <c r="Y1817" s="464"/>
      <c r="Z1817" s="464"/>
      <c r="AA1817" s="464"/>
      <c r="AB1817" s="464"/>
      <c r="AC1817" s="464"/>
      <c r="AD1817" s="464"/>
      <c r="AE1817" s="464"/>
      <c r="AF1817" s="464"/>
      <c r="AG1817" s="464"/>
      <c r="AH1817" s="465"/>
      <c r="AI1817" s="464"/>
    </row>
    <row r="1818" customFormat="false" ht="15" hidden="false" customHeight="true" outlineLevel="0" collapsed="false">
      <c r="A1818" s="455" t="s">
        <v>1830</v>
      </c>
      <c r="C1818" s="456" t="n">
        <v>45691</v>
      </c>
      <c r="D1818" s="456"/>
      <c r="E1818" s="57" t="n">
        <v>14631</v>
      </c>
      <c r="F1818" s="323" t="s">
        <v>175</v>
      </c>
      <c r="G1818" s="323" t="s">
        <v>10</v>
      </c>
      <c r="H1818" s="98" t="n">
        <v>2820</v>
      </c>
      <c r="I1818" s="457" t="n">
        <v>38.3</v>
      </c>
      <c r="J1818" s="313" t="s">
        <v>1652</v>
      </c>
      <c r="K1818" s="458" t="n">
        <f aca="false">I1818*H1818</f>
        <v>108006</v>
      </c>
      <c r="L1818" s="411" t="n">
        <v>30597</v>
      </c>
      <c r="M1818" s="459" t="n">
        <f aca="false">L1818/K1818</f>
        <v>0.283289817232376</v>
      </c>
      <c r="N1818" s="460" t="n">
        <f aca="false">I1818*M1818</f>
        <v>10.85</v>
      </c>
      <c r="O1818" s="461" t="n">
        <v>2820</v>
      </c>
      <c r="P1818" s="462" t="n">
        <f aca="false">H1818-O1818</f>
        <v>0</v>
      </c>
      <c r="Q1818" s="463" t="n">
        <f aca="false">O1818*I1818</f>
        <v>108006</v>
      </c>
      <c r="R1818" s="48" t="n">
        <f aca="false">K1818-Q1818</f>
        <v>0</v>
      </c>
      <c r="S1818" s="467"/>
      <c r="T1818" s="2" t="s">
        <v>1711</v>
      </c>
      <c r="V1818" s="464"/>
      <c r="W1818" s="464"/>
      <c r="X1818" s="464"/>
      <c r="Y1818" s="464"/>
      <c r="Z1818" s="464"/>
      <c r="AA1818" s="464"/>
      <c r="AB1818" s="464"/>
      <c r="AC1818" s="464"/>
      <c r="AD1818" s="464"/>
      <c r="AE1818" s="464"/>
      <c r="AF1818" s="464"/>
      <c r="AG1818" s="464"/>
      <c r="AH1818" s="465"/>
      <c r="AI1818" s="464"/>
    </row>
    <row r="1819" customFormat="false" ht="15" hidden="false" customHeight="true" outlineLevel="0" collapsed="false">
      <c r="A1819" s="455" t="s">
        <v>2062</v>
      </c>
      <c r="C1819" s="456" t="n">
        <v>45691</v>
      </c>
      <c r="D1819" s="456"/>
      <c r="E1819" s="57" t="n">
        <v>14632</v>
      </c>
      <c r="F1819" s="323" t="s">
        <v>175</v>
      </c>
      <c r="G1819" s="323" t="s">
        <v>19</v>
      </c>
      <c r="H1819" s="98" t="n">
        <v>900</v>
      </c>
      <c r="I1819" s="457" t="n">
        <v>22.5</v>
      </c>
      <c r="J1819" s="313" t="s">
        <v>1651</v>
      </c>
      <c r="K1819" s="458" t="n">
        <f aca="false">I1819*H1819</f>
        <v>20250</v>
      </c>
      <c r="L1819" s="411" t="n">
        <v>24750</v>
      </c>
      <c r="M1819" s="459" t="n">
        <f aca="false">L1819/K1819</f>
        <v>1.22222222222222</v>
      </c>
      <c r="N1819" s="460" t="n">
        <f aca="false">I1819*M1819</f>
        <v>27.5</v>
      </c>
      <c r="O1819" s="461" t="n">
        <v>900</v>
      </c>
      <c r="P1819" s="462" t="n">
        <f aca="false">H1819-O1819</f>
        <v>0</v>
      </c>
      <c r="Q1819" s="463" t="n">
        <f aca="false">O1819*I1819</f>
        <v>20250</v>
      </c>
      <c r="R1819" s="48" t="n">
        <f aca="false">K1819-Q1819</f>
        <v>0</v>
      </c>
      <c r="S1819" s="467"/>
      <c r="T1819" s="2" t="s">
        <v>1711</v>
      </c>
      <c r="V1819" s="464"/>
      <c r="W1819" s="464"/>
      <c r="X1819" s="464"/>
      <c r="Y1819" s="464"/>
      <c r="Z1819" s="464"/>
      <c r="AA1819" s="464"/>
      <c r="AB1819" s="464"/>
      <c r="AC1819" s="464"/>
      <c r="AD1819" s="464"/>
      <c r="AE1819" s="464"/>
      <c r="AF1819" s="464"/>
      <c r="AG1819" s="464"/>
      <c r="AH1819" s="465"/>
      <c r="AI1819" s="464"/>
    </row>
    <row r="1820" customFormat="false" ht="15" hidden="false" customHeight="true" outlineLevel="0" collapsed="false">
      <c r="A1820" s="455" t="s">
        <v>2063</v>
      </c>
      <c r="C1820" s="456" t="n">
        <v>45691</v>
      </c>
      <c r="D1820" s="456"/>
      <c r="E1820" s="57" t="n">
        <v>14633</v>
      </c>
      <c r="F1820" s="323" t="s">
        <v>175</v>
      </c>
      <c r="G1820" s="323" t="s">
        <v>21</v>
      </c>
      <c r="H1820" s="98" t="n">
        <v>200</v>
      </c>
      <c r="I1820" s="457" t="n">
        <v>1</v>
      </c>
      <c r="J1820" s="313" t="s">
        <v>1653</v>
      </c>
      <c r="K1820" s="458" t="n">
        <f aca="false">I1820*H1820</f>
        <v>200</v>
      </c>
      <c r="L1820" s="411" t="n">
        <v>11000</v>
      </c>
      <c r="M1820" s="459" t="n">
        <f aca="false">L1820/K1820</f>
        <v>55</v>
      </c>
      <c r="N1820" s="460" t="n">
        <f aca="false">I1820*M1820</f>
        <v>55</v>
      </c>
      <c r="O1820" s="461" t="n">
        <v>200</v>
      </c>
      <c r="P1820" s="462" t="n">
        <f aca="false">H1820-O1820</f>
        <v>0</v>
      </c>
      <c r="Q1820" s="463" t="n">
        <f aca="false">O1820*I1820</f>
        <v>200</v>
      </c>
      <c r="R1820" s="48" t="n">
        <f aca="false">K1820-Q1820</f>
        <v>0</v>
      </c>
      <c r="S1820" s="467"/>
      <c r="T1820" s="2" t="s">
        <v>1711</v>
      </c>
      <c r="V1820" s="464"/>
      <c r="W1820" s="464"/>
      <c r="X1820" s="464"/>
      <c r="Y1820" s="464"/>
      <c r="Z1820" s="464"/>
      <c r="AA1820" s="464"/>
      <c r="AB1820" s="464"/>
      <c r="AC1820" s="464"/>
      <c r="AD1820" s="464"/>
      <c r="AE1820" s="464"/>
      <c r="AF1820" s="464"/>
      <c r="AG1820" s="464"/>
      <c r="AH1820" s="465"/>
      <c r="AI1820" s="464"/>
    </row>
    <row r="1821" customFormat="false" ht="15" hidden="false" customHeight="true" outlineLevel="0" collapsed="false">
      <c r="A1821" s="455" t="s">
        <v>2063</v>
      </c>
      <c r="C1821" s="456" t="n">
        <v>45691</v>
      </c>
      <c r="D1821" s="456"/>
      <c r="E1821" s="57" t="n">
        <v>14633</v>
      </c>
      <c r="F1821" s="323" t="s">
        <v>175</v>
      </c>
      <c r="G1821" s="323" t="s">
        <v>5</v>
      </c>
      <c r="H1821" s="98" t="n">
        <v>1095</v>
      </c>
      <c r="I1821" s="457" t="n">
        <v>37.5</v>
      </c>
      <c r="J1821" s="313" t="s">
        <v>1652</v>
      </c>
      <c r="K1821" s="458" t="n">
        <f aca="false">I1821*H1821</f>
        <v>41062.5</v>
      </c>
      <c r="L1821" s="411" t="n">
        <v>22995</v>
      </c>
      <c r="M1821" s="459" t="n">
        <f aca="false">L1821/K1821</f>
        <v>0.56</v>
      </c>
      <c r="N1821" s="460" t="n">
        <f aca="false">I1821*M1821</f>
        <v>21</v>
      </c>
      <c r="O1821" s="461" t="n">
        <v>1095</v>
      </c>
      <c r="P1821" s="462" t="n">
        <f aca="false">H1821-O1821</f>
        <v>0</v>
      </c>
      <c r="Q1821" s="463" t="n">
        <f aca="false">O1821*I1821</f>
        <v>41062.5</v>
      </c>
      <c r="R1821" s="48" t="n">
        <f aca="false">K1821-Q1821</f>
        <v>0</v>
      </c>
      <c r="S1821" s="467"/>
      <c r="T1821" s="2" t="s">
        <v>1711</v>
      </c>
      <c r="V1821" s="464"/>
      <c r="W1821" s="464"/>
      <c r="X1821" s="464"/>
      <c r="Y1821" s="464"/>
      <c r="Z1821" s="464"/>
      <c r="AA1821" s="464"/>
      <c r="AB1821" s="464"/>
      <c r="AC1821" s="464"/>
      <c r="AD1821" s="464"/>
      <c r="AE1821" s="464"/>
      <c r="AF1821" s="464"/>
      <c r="AG1821" s="464"/>
      <c r="AH1821" s="465"/>
      <c r="AI1821" s="464"/>
    </row>
    <row r="1822" customFormat="false" ht="15" hidden="false" customHeight="true" outlineLevel="0" collapsed="false">
      <c r="A1822" s="455" t="s">
        <v>1998</v>
      </c>
      <c r="C1822" s="456" t="n">
        <v>45691</v>
      </c>
      <c r="D1822" s="456"/>
      <c r="E1822" s="323" t="n">
        <v>14634</v>
      </c>
      <c r="F1822" s="323" t="s">
        <v>175</v>
      </c>
      <c r="G1822" s="323" t="s">
        <v>10</v>
      </c>
      <c r="H1822" s="98" t="n">
        <v>4500</v>
      </c>
      <c r="I1822" s="457" t="n">
        <v>25.71</v>
      </c>
      <c r="J1822" s="313" t="s">
        <v>1651</v>
      </c>
      <c r="K1822" s="458" t="n">
        <f aca="false">I1822*H1822</f>
        <v>115695</v>
      </c>
      <c r="L1822" s="411" t="n">
        <v>44010</v>
      </c>
      <c r="M1822" s="459" t="n">
        <f aca="false">L1822/K1822</f>
        <v>0.380396732788798</v>
      </c>
      <c r="N1822" s="460" t="n">
        <f aca="false">I1822*M1822</f>
        <v>9.78</v>
      </c>
      <c r="O1822" s="461" t="n">
        <v>4500</v>
      </c>
      <c r="P1822" s="462" t="n">
        <f aca="false">H1822-O1822</f>
        <v>0</v>
      </c>
      <c r="Q1822" s="463" t="n">
        <f aca="false">O1822*I1822</f>
        <v>115695</v>
      </c>
      <c r="R1822" s="48" t="n">
        <f aca="false">K1822-Q1822</f>
        <v>0</v>
      </c>
      <c r="S1822" s="467"/>
      <c r="T1822" s="2" t="s">
        <v>1711</v>
      </c>
      <c r="V1822" s="464"/>
      <c r="W1822" s="464"/>
      <c r="X1822" s="464"/>
      <c r="Y1822" s="464"/>
      <c r="Z1822" s="464"/>
      <c r="AA1822" s="464"/>
      <c r="AB1822" s="464"/>
      <c r="AC1822" s="464"/>
      <c r="AD1822" s="464"/>
      <c r="AE1822" s="464"/>
      <c r="AF1822" s="464"/>
      <c r="AG1822" s="464"/>
      <c r="AH1822" s="465"/>
      <c r="AI1822" s="464"/>
    </row>
    <row r="1823" customFormat="false" ht="15" hidden="false" customHeight="true" outlineLevel="0" collapsed="false">
      <c r="A1823" s="455" t="s">
        <v>1821</v>
      </c>
      <c r="C1823" s="456" t="n">
        <v>45691</v>
      </c>
      <c r="D1823" s="456"/>
      <c r="E1823" s="323" t="n">
        <v>14635</v>
      </c>
      <c r="F1823" s="323" t="s">
        <v>175</v>
      </c>
      <c r="G1823" s="323" t="s">
        <v>75</v>
      </c>
      <c r="H1823" s="98" t="n">
        <v>195</v>
      </c>
      <c r="I1823" s="457" t="n">
        <v>1</v>
      </c>
      <c r="J1823" s="313" t="s">
        <v>1653</v>
      </c>
      <c r="K1823" s="458" t="n">
        <f aca="false">I1823*H1823</f>
        <v>195</v>
      </c>
      <c r="L1823" s="411" t="n">
        <v>7800</v>
      </c>
      <c r="M1823" s="459" t="n">
        <f aca="false">L1823/K1823</f>
        <v>40</v>
      </c>
      <c r="N1823" s="460" t="n">
        <f aca="false">I1823*M1823</f>
        <v>40</v>
      </c>
      <c r="O1823" s="461" t="n">
        <v>195</v>
      </c>
      <c r="P1823" s="462" t="n">
        <f aca="false">H1823-O1823</f>
        <v>0</v>
      </c>
      <c r="Q1823" s="463" t="n">
        <f aca="false">O1823*I1823</f>
        <v>195</v>
      </c>
      <c r="R1823" s="48" t="n">
        <f aca="false">K1823-Q1823</f>
        <v>0</v>
      </c>
      <c r="S1823" s="467"/>
      <c r="T1823" s="2" t="s">
        <v>1711</v>
      </c>
      <c r="V1823" s="464"/>
      <c r="W1823" s="464"/>
      <c r="X1823" s="464"/>
      <c r="Y1823" s="464"/>
      <c r="Z1823" s="464"/>
      <c r="AA1823" s="464"/>
      <c r="AB1823" s="464"/>
      <c r="AC1823" s="464"/>
      <c r="AD1823" s="464"/>
      <c r="AE1823" s="464"/>
      <c r="AF1823" s="464"/>
      <c r="AG1823" s="464"/>
      <c r="AH1823" s="465"/>
      <c r="AI1823" s="464"/>
    </row>
    <row r="1824" customFormat="false" ht="15" hidden="false" customHeight="true" outlineLevel="0" collapsed="false">
      <c r="A1824" s="455" t="s">
        <v>1868</v>
      </c>
      <c r="C1824" s="456" t="n">
        <v>45692</v>
      </c>
      <c r="D1824" s="456"/>
      <c r="E1824" s="323" t="n">
        <v>14636</v>
      </c>
      <c r="F1824" s="323" t="s">
        <v>175</v>
      </c>
      <c r="G1824" s="323" t="s">
        <v>7</v>
      </c>
      <c r="H1824" s="98" t="n">
        <v>300</v>
      </c>
      <c r="I1824" s="457" t="n">
        <v>25.71</v>
      </c>
      <c r="J1824" s="313" t="s">
        <v>1651</v>
      </c>
      <c r="K1824" s="458" t="n">
        <f aca="false">I1824*H1824</f>
        <v>7713</v>
      </c>
      <c r="L1824" s="411" t="n">
        <v>3453</v>
      </c>
      <c r="M1824" s="459" t="n">
        <f aca="false">L1824/K1824</f>
        <v>0.447685725398678</v>
      </c>
      <c r="N1824" s="460" t="n">
        <f aca="false">I1824*M1824</f>
        <v>11.51</v>
      </c>
      <c r="O1824" s="461" t="n">
        <v>300</v>
      </c>
      <c r="P1824" s="462" t="n">
        <f aca="false">H1824-O1824</f>
        <v>0</v>
      </c>
      <c r="Q1824" s="463" t="n">
        <f aca="false">O1824*I1824</f>
        <v>7713</v>
      </c>
      <c r="R1824" s="48" t="n">
        <f aca="false">K1824-Q1824</f>
        <v>0</v>
      </c>
      <c r="S1824" s="467"/>
      <c r="T1824" s="2" t="s">
        <v>1711</v>
      </c>
      <c r="V1824" s="464"/>
      <c r="W1824" s="464"/>
      <c r="X1824" s="464"/>
      <c r="Y1824" s="464"/>
      <c r="Z1824" s="464"/>
      <c r="AA1824" s="464"/>
      <c r="AB1824" s="464"/>
      <c r="AC1824" s="464"/>
      <c r="AD1824" s="464"/>
      <c r="AE1824" s="464"/>
      <c r="AF1824" s="464"/>
      <c r="AG1824" s="464"/>
      <c r="AH1824" s="465"/>
      <c r="AI1824" s="464"/>
    </row>
    <row r="1825" customFormat="false" ht="15" hidden="false" customHeight="true" outlineLevel="0" collapsed="false">
      <c r="A1825" s="455" t="s">
        <v>1859</v>
      </c>
      <c r="C1825" s="456" t="n">
        <v>45692</v>
      </c>
      <c r="D1825" s="456"/>
      <c r="E1825" s="323" t="n">
        <v>14637</v>
      </c>
      <c r="F1825" s="323" t="s">
        <v>175</v>
      </c>
      <c r="G1825" s="323" t="s">
        <v>16</v>
      </c>
      <c r="H1825" s="98" t="n">
        <v>90</v>
      </c>
      <c r="I1825" s="457" t="n">
        <v>22.5</v>
      </c>
      <c r="J1825" s="313" t="s">
        <v>1651</v>
      </c>
      <c r="K1825" s="458" t="n">
        <f aca="false">I1825*H1825</f>
        <v>2025</v>
      </c>
      <c r="L1825" s="411" t="n">
        <v>1350</v>
      </c>
      <c r="M1825" s="459" t="n">
        <f aca="false">L1825/K1825</f>
        <v>0.666666666666667</v>
      </c>
      <c r="N1825" s="460" t="n">
        <f aca="false">I1825*M1825</f>
        <v>15</v>
      </c>
      <c r="O1825" s="461" t="n">
        <v>90</v>
      </c>
      <c r="P1825" s="462" t="n">
        <f aca="false">H1825-O1825</f>
        <v>0</v>
      </c>
      <c r="Q1825" s="463" t="n">
        <f aca="false">O1825*I1825</f>
        <v>2025</v>
      </c>
      <c r="R1825" s="48" t="n">
        <f aca="false">K1825-Q1825</f>
        <v>0</v>
      </c>
      <c r="S1825" s="467"/>
      <c r="T1825" s="2" t="s">
        <v>1711</v>
      </c>
      <c r="V1825" s="464"/>
      <c r="W1825" s="464"/>
      <c r="X1825" s="464"/>
      <c r="Y1825" s="464"/>
      <c r="Z1825" s="464"/>
      <c r="AA1825" s="464"/>
      <c r="AB1825" s="464"/>
      <c r="AC1825" s="464"/>
      <c r="AD1825" s="464"/>
      <c r="AE1825" s="464"/>
      <c r="AF1825" s="464"/>
      <c r="AG1825" s="464"/>
      <c r="AH1825" s="465"/>
      <c r="AI1825" s="464"/>
    </row>
    <row r="1826" customFormat="false" ht="15" hidden="false" customHeight="true" outlineLevel="0" collapsed="false">
      <c r="A1826" s="455" t="s">
        <v>2064</v>
      </c>
      <c r="C1826" s="456" t="n">
        <v>45692</v>
      </c>
      <c r="D1826" s="456"/>
      <c r="E1826" s="323" t="n">
        <v>14638</v>
      </c>
      <c r="F1826" s="323" t="s">
        <v>175</v>
      </c>
      <c r="G1826" s="323" t="s">
        <v>10</v>
      </c>
      <c r="H1826" s="98" t="n">
        <v>450</v>
      </c>
      <c r="I1826" s="457" t="n">
        <v>25.71</v>
      </c>
      <c r="J1826" s="313" t="s">
        <v>1651</v>
      </c>
      <c r="K1826" s="458" t="n">
        <f aca="false">I1826*H1826</f>
        <v>11569.5</v>
      </c>
      <c r="L1826" s="411" t="n">
        <v>4612.5</v>
      </c>
      <c r="M1826" s="459" t="n">
        <f aca="false">L1826/K1826</f>
        <v>0.398677557370673</v>
      </c>
      <c r="N1826" s="460" t="n">
        <f aca="false">I1826*M1826</f>
        <v>10.25</v>
      </c>
      <c r="O1826" s="461" t="n">
        <v>450</v>
      </c>
      <c r="P1826" s="462" t="n">
        <f aca="false">H1826-O1826</f>
        <v>0</v>
      </c>
      <c r="Q1826" s="463" t="n">
        <f aca="false">O1826*I1826</f>
        <v>11569.5</v>
      </c>
      <c r="R1826" s="48" t="n">
        <f aca="false">K1826-Q1826</f>
        <v>0</v>
      </c>
      <c r="S1826" s="467"/>
      <c r="T1826" s="2" t="s">
        <v>1711</v>
      </c>
      <c r="V1826" s="464"/>
      <c r="W1826" s="464"/>
      <c r="X1826" s="464"/>
      <c r="Y1826" s="464"/>
      <c r="Z1826" s="464"/>
      <c r="AA1826" s="464"/>
      <c r="AB1826" s="464"/>
      <c r="AC1826" s="464"/>
      <c r="AD1826" s="464"/>
      <c r="AE1826" s="464"/>
      <c r="AF1826" s="464"/>
      <c r="AG1826" s="464"/>
      <c r="AH1826" s="465"/>
      <c r="AI1826" s="464"/>
    </row>
    <row r="1827" customFormat="false" ht="15" hidden="false" customHeight="true" outlineLevel="0" collapsed="false">
      <c r="A1827" s="455" t="s">
        <v>2065</v>
      </c>
      <c r="C1827" s="456" t="n">
        <v>45692</v>
      </c>
      <c r="D1827" s="456"/>
      <c r="E1827" s="323" t="n">
        <v>14639</v>
      </c>
      <c r="F1827" s="323" t="s">
        <v>175</v>
      </c>
      <c r="G1827" s="323" t="s">
        <v>6</v>
      </c>
      <c r="H1827" s="98" t="n">
        <v>2100</v>
      </c>
      <c r="I1827" s="457" t="n">
        <v>90</v>
      </c>
      <c r="J1827" s="313" t="s">
        <v>1653</v>
      </c>
      <c r="K1827" s="458" t="n">
        <f aca="false">I1827*H1827</f>
        <v>189000</v>
      </c>
      <c r="L1827" s="411" t="n">
        <v>67200</v>
      </c>
      <c r="M1827" s="459" t="n">
        <f aca="false">L1827/K1827</f>
        <v>0.355555555555556</v>
      </c>
      <c r="N1827" s="460" t="n">
        <f aca="false">I1827*M1827</f>
        <v>32</v>
      </c>
      <c r="O1827" s="461" t="n">
        <v>2100</v>
      </c>
      <c r="P1827" s="462" t="n">
        <f aca="false">H1827-O1827</f>
        <v>0</v>
      </c>
      <c r="Q1827" s="463" t="n">
        <f aca="false">O1827*I1827</f>
        <v>189000</v>
      </c>
      <c r="R1827" s="48" t="n">
        <f aca="false">K1827-Q1827</f>
        <v>0</v>
      </c>
      <c r="S1827" s="467"/>
      <c r="T1827" s="2" t="s">
        <v>1711</v>
      </c>
      <c r="V1827" s="464"/>
      <c r="W1827" s="464"/>
      <c r="X1827" s="464"/>
      <c r="Y1827" s="464"/>
      <c r="Z1827" s="464"/>
      <c r="AA1827" s="464"/>
      <c r="AB1827" s="464"/>
      <c r="AC1827" s="464"/>
      <c r="AD1827" s="464"/>
      <c r="AE1827" s="464"/>
      <c r="AF1827" s="464"/>
      <c r="AG1827" s="464"/>
      <c r="AH1827" s="465"/>
      <c r="AI1827" s="464"/>
    </row>
    <row r="1828" customFormat="false" ht="15" hidden="false" customHeight="true" outlineLevel="0" collapsed="false">
      <c r="A1828" s="455" t="s">
        <v>2066</v>
      </c>
      <c r="C1828" s="456" t="n">
        <v>45692</v>
      </c>
      <c r="D1828" s="456"/>
      <c r="E1828" s="323" t="n">
        <v>14640</v>
      </c>
      <c r="F1828" s="323" t="s">
        <v>175</v>
      </c>
      <c r="G1828" s="323" t="s">
        <v>18</v>
      </c>
      <c r="H1828" s="98" t="n">
        <v>270</v>
      </c>
      <c r="I1828" s="457" t="n">
        <v>25.71</v>
      </c>
      <c r="J1828" s="313" t="s">
        <v>1651</v>
      </c>
      <c r="K1828" s="458" t="n">
        <f aca="false">I1828*H1828</f>
        <v>6941.7</v>
      </c>
      <c r="L1828" s="411" t="n">
        <v>5421.6</v>
      </c>
      <c r="M1828" s="459" t="n">
        <f aca="false">L1828/K1828</f>
        <v>0.781019058732011</v>
      </c>
      <c r="N1828" s="460" t="n">
        <f aca="false">I1828*M1828</f>
        <v>20.08</v>
      </c>
      <c r="O1828" s="461" t="n">
        <v>270</v>
      </c>
      <c r="P1828" s="462" t="n">
        <f aca="false">H1828-O1828</f>
        <v>0</v>
      </c>
      <c r="Q1828" s="463" t="n">
        <f aca="false">O1828*I1828</f>
        <v>6941.7</v>
      </c>
      <c r="R1828" s="48" t="n">
        <f aca="false">K1828-Q1828</f>
        <v>0</v>
      </c>
      <c r="S1828" s="467"/>
      <c r="T1828" s="2" t="s">
        <v>1711</v>
      </c>
      <c r="V1828" s="464"/>
      <c r="W1828" s="464"/>
      <c r="X1828" s="464"/>
      <c r="Y1828" s="464"/>
      <c r="Z1828" s="464"/>
      <c r="AA1828" s="464"/>
      <c r="AB1828" s="464"/>
      <c r="AC1828" s="464"/>
      <c r="AD1828" s="464"/>
      <c r="AE1828" s="464"/>
      <c r="AF1828" s="464"/>
      <c r="AG1828" s="464"/>
      <c r="AH1828" s="465"/>
      <c r="AI1828" s="464"/>
    </row>
    <row r="1829" customFormat="false" ht="15" hidden="false" customHeight="true" outlineLevel="0" collapsed="false">
      <c r="A1829" s="455" t="s">
        <v>1798</v>
      </c>
      <c r="C1829" s="456" t="n">
        <v>45692</v>
      </c>
      <c r="D1829" s="456"/>
      <c r="E1829" s="57" t="n">
        <v>14642</v>
      </c>
      <c r="F1829" s="323" t="s">
        <v>175</v>
      </c>
      <c r="G1829" s="323" t="s">
        <v>13</v>
      </c>
      <c r="H1829" s="98" t="n">
        <v>600</v>
      </c>
      <c r="I1829" s="457" t="n">
        <v>22.5</v>
      </c>
      <c r="J1829" s="313" t="s">
        <v>1651</v>
      </c>
      <c r="K1829" s="458" t="n">
        <f aca="false">I1829*H1829</f>
        <v>13500</v>
      </c>
      <c r="L1829" s="411" t="n">
        <v>6000</v>
      </c>
      <c r="M1829" s="459" t="n">
        <f aca="false">L1829/K1829</f>
        <v>0.444444444444444</v>
      </c>
      <c r="N1829" s="460" t="n">
        <f aca="false">I1829*M1829</f>
        <v>10</v>
      </c>
      <c r="O1829" s="461" t="n">
        <v>600</v>
      </c>
      <c r="P1829" s="462" t="n">
        <f aca="false">H1829-O1829</f>
        <v>0</v>
      </c>
      <c r="Q1829" s="463" t="n">
        <f aca="false">O1829*I1829</f>
        <v>13500</v>
      </c>
      <c r="R1829" s="48" t="n">
        <f aca="false">K1829-Q1829</f>
        <v>0</v>
      </c>
      <c r="S1829" s="467"/>
      <c r="T1829" s="2" t="s">
        <v>1711</v>
      </c>
      <c r="V1829" s="464"/>
      <c r="W1829" s="464"/>
      <c r="X1829" s="464"/>
      <c r="Y1829" s="464"/>
      <c r="Z1829" s="464"/>
      <c r="AA1829" s="464"/>
      <c r="AB1829" s="464"/>
      <c r="AC1829" s="464"/>
      <c r="AD1829" s="464"/>
      <c r="AE1829" s="464"/>
      <c r="AF1829" s="464"/>
      <c r="AG1829" s="464"/>
      <c r="AH1829" s="465"/>
      <c r="AI1829" s="464"/>
    </row>
    <row r="1830" customFormat="false" ht="15" hidden="false" customHeight="true" outlineLevel="0" collapsed="false">
      <c r="A1830" s="455" t="s">
        <v>1755</v>
      </c>
      <c r="C1830" s="456" t="n">
        <v>45693</v>
      </c>
      <c r="D1830" s="456"/>
      <c r="E1830" s="57" t="n">
        <v>14644</v>
      </c>
      <c r="F1830" s="323" t="s">
        <v>175</v>
      </c>
      <c r="G1830" s="323" t="s">
        <v>6</v>
      </c>
      <c r="H1830" s="98" t="n">
        <v>15</v>
      </c>
      <c r="I1830" s="457" t="n">
        <v>45</v>
      </c>
      <c r="J1830" s="313" t="s">
        <v>1652</v>
      </c>
      <c r="K1830" s="458" t="n">
        <f aca="false">I1830*H1830</f>
        <v>675</v>
      </c>
      <c r="L1830" s="411" t="n">
        <v>150</v>
      </c>
      <c r="M1830" s="459" t="n">
        <f aca="false">L1830/K1830</f>
        <v>0.222222222222222</v>
      </c>
      <c r="N1830" s="460" t="n">
        <f aca="false">I1830*M1830</f>
        <v>10</v>
      </c>
      <c r="O1830" s="461" t="n">
        <v>15</v>
      </c>
      <c r="P1830" s="462" t="n">
        <f aca="false">H1830-O1830</f>
        <v>0</v>
      </c>
      <c r="Q1830" s="463" t="n">
        <f aca="false">O1830*I1830</f>
        <v>675</v>
      </c>
      <c r="R1830" s="48" t="n">
        <f aca="false">K1830-Q1830</f>
        <v>0</v>
      </c>
      <c r="S1830" s="467"/>
      <c r="T1830" s="2" t="s">
        <v>1711</v>
      </c>
      <c r="V1830" s="464"/>
      <c r="W1830" s="464"/>
      <c r="X1830" s="464"/>
      <c r="Y1830" s="464"/>
      <c r="Z1830" s="464"/>
      <c r="AA1830" s="464"/>
      <c r="AB1830" s="464"/>
      <c r="AC1830" s="464"/>
      <c r="AD1830" s="464"/>
      <c r="AE1830" s="464"/>
      <c r="AF1830" s="464"/>
      <c r="AG1830" s="464"/>
      <c r="AH1830" s="465"/>
      <c r="AI1830" s="464"/>
    </row>
    <row r="1831" customFormat="false" ht="15" hidden="false" customHeight="true" outlineLevel="0" collapsed="false">
      <c r="A1831" s="455" t="s">
        <v>1718</v>
      </c>
      <c r="C1831" s="456" t="n">
        <v>45693</v>
      </c>
      <c r="D1831" s="456"/>
      <c r="E1831" s="57" t="n">
        <v>14645</v>
      </c>
      <c r="F1831" s="323" t="s">
        <v>175</v>
      </c>
      <c r="G1831" s="323" t="s">
        <v>6</v>
      </c>
      <c r="H1831" s="98" t="n">
        <v>7515</v>
      </c>
      <c r="I1831" s="457" t="n">
        <v>45</v>
      </c>
      <c r="J1831" s="313" t="s">
        <v>1652</v>
      </c>
      <c r="K1831" s="458" t="n">
        <f aca="false">I1831*H1831</f>
        <v>338175</v>
      </c>
      <c r="L1831" s="411" t="n">
        <v>142409.25</v>
      </c>
      <c r="M1831" s="459" t="n">
        <f aca="false">L1831/K1831</f>
        <v>0.421111111111111</v>
      </c>
      <c r="N1831" s="460" t="n">
        <f aca="false">I1831*M1831</f>
        <v>18.95</v>
      </c>
      <c r="O1831" s="461" t="n">
        <v>7515</v>
      </c>
      <c r="P1831" s="462" t="n">
        <f aca="false">H1831-O1831</f>
        <v>0</v>
      </c>
      <c r="Q1831" s="463" t="n">
        <f aca="false">O1831*I1831</f>
        <v>338175</v>
      </c>
      <c r="R1831" s="48" t="n">
        <f aca="false">K1831-Q1831</f>
        <v>0</v>
      </c>
      <c r="S1831" s="467"/>
      <c r="T1831" s="2" t="s">
        <v>1711</v>
      </c>
      <c r="V1831" s="464"/>
      <c r="W1831" s="464"/>
      <c r="X1831" s="464"/>
      <c r="Y1831" s="464"/>
      <c r="Z1831" s="464"/>
      <c r="AA1831" s="464"/>
      <c r="AB1831" s="464"/>
      <c r="AC1831" s="464"/>
      <c r="AD1831" s="464"/>
      <c r="AE1831" s="464"/>
      <c r="AF1831" s="464"/>
      <c r="AG1831" s="464"/>
      <c r="AH1831" s="465"/>
      <c r="AI1831" s="464"/>
    </row>
    <row r="1832" customFormat="false" ht="15" hidden="false" customHeight="true" outlineLevel="0" collapsed="false">
      <c r="A1832" s="455" t="s">
        <v>1753</v>
      </c>
      <c r="C1832" s="456" t="n">
        <v>45693</v>
      </c>
      <c r="D1832" s="456"/>
      <c r="E1832" s="57" t="n">
        <v>14646</v>
      </c>
      <c r="F1832" s="323" t="s">
        <v>175</v>
      </c>
      <c r="G1832" s="323" t="s">
        <v>17</v>
      </c>
      <c r="H1832" s="98" t="n">
        <v>100</v>
      </c>
      <c r="I1832" s="457" t="n">
        <v>55</v>
      </c>
      <c r="J1832" s="313" t="s">
        <v>1653</v>
      </c>
      <c r="K1832" s="458" t="n">
        <f aca="false">I1832*H1832</f>
        <v>5500</v>
      </c>
      <c r="L1832" s="411" t="n">
        <v>1900</v>
      </c>
      <c r="M1832" s="459" t="n">
        <f aca="false">L1832/K1832</f>
        <v>0.345454545454545</v>
      </c>
      <c r="N1832" s="460" t="n">
        <f aca="false">I1832*M1832</f>
        <v>19</v>
      </c>
      <c r="O1832" s="461" t="n">
        <v>100</v>
      </c>
      <c r="P1832" s="462" t="n">
        <f aca="false">H1832-O1832</f>
        <v>0</v>
      </c>
      <c r="Q1832" s="463" t="n">
        <f aca="false">O1832*I1832</f>
        <v>5500</v>
      </c>
      <c r="R1832" s="48" t="n">
        <f aca="false">K1832-Q1832</f>
        <v>0</v>
      </c>
      <c r="S1832" s="467"/>
      <c r="T1832" s="2" t="s">
        <v>1711</v>
      </c>
      <c r="V1832" s="464"/>
      <c r="W1832" s="464"/>
      <c r="X1832" s="464"/>
      <c r="Y1832" s="464"/>
      <c r="Z1832" s="464"/>
      <c r="AA1832" s="464"/>
      <c r="AB1832" s="464"/>
      <c r="AC1832" s="464"/>
      <c r="AD1832" s="464"/>
      <c r="AE1832" s="464"/>
      <c r="AF1832" s="464"/>
      <c r="AG1832" s="464"/>
      <c r="AH1832" s="465"/>
      <c r="AI1832" s="464"/>
    </row>
    <row r="1833" customFormat="false" ht="15" hidden="false" customHeight="true" outlineLevel="0" collapsed="false">
      <c r="A1833" s="455" t="s">
        <v>1859</v>
      </c>
      <c r="C1833" s="456" t="n">
        <v>45693</v>
      </c>
      <c r="D1833" s="456"/>
      <c r="E1833" s="57" t="n">
        <v>14647</v>
      </c>
      <c r="F1833" s="323" t="s">
        <v>175</v>
      </c>
      <c r="G1833" s="323" t="s">
        <v>12</v>
      </c>
      <c r="H1833" s="98" t="n">
        <v>30</v>
      </c>
      <c r="I1833" s="457" t="n">
        <v>25.71</v>
      </c>
      <c r="J1833" s="313" t="s">
        <v>1652</v>
      </c>
      <c r="K1833" s="458" t="n">
        <f aca="false">I1833*H1833</f>
        <v>771.3</v>
      </c>
      <c r="L1833" s="411" t="n">
        <v>1800</v>
      </c>
      <c r="M1833" s="459" t="n">
        <f aca="false">L1833/K1833</f>
        <v>2.33372228704784</v>
      </c>
      <c r="N1833" s="460" t="n">
        <f aca="false">I1833*M1833</f>
        <v>60</v>
      </c>
      <c r="O1833" s="461" t="n">
        <v>30</v>
      </c>
      <c r="P1833" s="462" t="n">
        <f aca="false">H1833-O1833</f>
        <v>0</v>
      </c>
      <c r="Q1833" s="463" t="n">
        <f aca="false">O1833*I1833</f>
        <v>771.3</v>
      </c>
      <c r="R1833" s="48" t="n">
        <f aca="false">K1833-Q1833</f>
        <v>0</v>
      </c>
      <c r="S1833" s="467"/>
      <c r="T1833" s="2" t="s">
        <v>1711</v>
      </c>
      <c r="V1833" s="464"/>
      <c r="W1833" s="464"/>
      <c r="X1833" s="464"/>
      <c r="Y1833" s="464"/>
      <c r="Z1833" s="464"/>
      <c r="AA1833" s="464"/>
      <c r="AB1833" s="464"/>
      <c r="AC1833" s="464"/>
      <c r="AD1833" s="464"/>
      <c r="AE1833" s="464"/>
      <c r="AF1833" s="464"/>
      <c r="AG1833" s="464"/>
      <c r="AH1833" s="465"/>
      <c r="AI1833" s="464"/>
    </row>
    <row r="1834" customFormat="false" ht="15" hidden="false" customHeight="true" outlineLevel="0" collapsed="false">
      <c r="A1834" s="455" t="s">
        <v>1859</v>
      </c>
      <c r="C1834" s="456" t="n">
        <v>45693</v>
      </c>
      <c r="D1834" s="456"/>
      <c r="E1834" s="57" t="n">
        <v>14647</v>
      </c>
      <c r="F1834" s="323" t="s">
        <v>175</v>
      </c>
      <c r="G1834" s="323" t="s">
        <v>5</v>
      </c>
      <c r="H1834" s="98" t="n">
        <v>250</v>
      </c>
      <c r="I1834" s="457" t="n">
        <v>60</v>
      </c>
      <c r="J1834" s="313" t="s">
        <v>1653</v>
      </c>
      <c r="K1834" s="458" t="n">
        <f aca="false">I1834*H1834</f>
        <v>15000</v>
      </c>
      <c r="L1834" s="411" t="n">
        <v>4600</v>
      </c>
      <c r="M1834" s="459" t="n">
        <f aca="false">L1834/K1834</f>
        <v>0.306666666666667</v>
      </c>
      <c r="N1834" s="460" t="n">
        <f aca="false">I1834*M1834</f>
        <v>18.4</v>
      </c>
      <c r="O1834" s="461" t="n">
        <v>250</v>
      </c>
      <c r="P1834" s="462" t="n">
        <f aca="false">H1834-O1834</f>
        <v>0</v>
      </c>
      <c r="Q1834" s="463" t="n">
        <f aca="false">O1834*I1834</f>
        <v>15000</v>
      </c>
      <c r="R1834" s="48" t="n">
        <f aca="false">K1834-Q1834</f>
        <v>0</v>
      </c>
      <c r="S1834" s="467"/>
      <c r="T1834" s="2" t="s">
        <v>1711</v>
      </c>
      <c r="V1834" s="464"/>
      <c r="W1834" s="464"/>
      <c r="X1834" s="464"/>
      <c r="Y1834" s="464"/>
      <c r="Z1834" s="464"/>
      <c r="AA1834" s="464"/>
      <c r="AB1834" s="464"/>
      <c r="AC1834" s="464"/>
      <c r="AD1834" s="464"/>
      <c r="AE1834" s="464"/>
      <c r="AF1834" s="464"/>
      <c r="AG1834" s="464"/>
      <c r="AH1834" s="465"/>
      <c r="AI1834" s="464"/>
    </row>
    <row r="1835" customFormat="false" ht="15" hidden="false" customHeight="true" outlineLevel="0" collapsed="false">
      <c r="A1835" s="455" t="s">
        <v>2067</v>
      </c>
      <c r="C1835" s="456" t="n">
        <v>45694</v>
      </c>
      <c r="D1835" s="456"/>
      <c r="E1835" s="57" t="n">
        <v>14648</v>
      </c>
      <c r="F1835" s="323" t="s">
        <v>175</v>
      </c>
      <c r="G1835" s="323" t="s">
        <v>10</v>
      </c>
      <c r="H1835" s="98" t="n">
        <v>300</v>
      </c>
      <c r="I1835" s="457" t="n">
        <v>38.3</v>
      </c>
      <c r="J1835" s="313" t="s">
        <v>1652</v>
      </c>
      <c r="K1835" s="458" t="n">
        <f aca="false">I1835*H1835</f>
        <v>11490</v>
      </c>
      <c r="L1835" s="411" t="n">
        <v>5178</v>
      </c>
      <c r="M1835" s="459" t="n">
        <f aca="false">L1835/K1835</f>
        <v>0.45065274151436</v>
      </c>
      <c r="N1835" s="460" t="n">
        <f aca="false">I1835*M1835</f>
        <v>17.26</v>
      </c>
      <c r="O1835" s="461" t="n">
        <v>300</v>
      </c>
      <c r="P1835" s="462" t="n">
        <f aca="false">H1835-O1835</f>
        <v>0</v>
      </c>
      <c r="Q1835" s="463" t="n">
        <f aca="false">O1835*I1835</f>
        <v>11490</v>
      </c>
      <c r="R1835" s="48" t="n">
        <f aca="false">K1835-Q1835</f>
        <v>0</v>
      </c>
      <c r="S1835" s="467"/>
      <c r="T1835" s="2" t="s">
        <v>1711</v>
      </c>
      <c r="V1835" s="464"/>
      <c r="W1835" s="464"/>
      <c r="X1835" s="464"/>
      <c r="Y1835" s="464"/>
      <c r="Z1835" s="464"/>
      <c r="AA1835" s="464"/>
      <c r="AB1835" s="464"/>
      <c r="AC1835" s="464"/>
      <c r="AD1835" s="464"/>
      <c r="AE1835" s="464"/>
      <c r="AF1835" s="464"/>
      <c r="AG1835" s="464"/>
      <c r="AH1835" s="465"/>
      <c r="AI1835" s="464"/>
    </row>
    <row r="1836" customFormat="false" ht="15" hidden="false" customHeight="true" outlineLevel="0" collapsed="false">
      <c r="A1836" s="455" t="s">
        <v>1753</v>
      </c>
      <c r="C1836" s="456" t="n">
        <v>45694</v>
      </c>
      <c r="D1836" s="456"/>
      <c r="E1836" s="57" t="n">
        <v>14649</v>
      </c>
      <c r="F1836" s="323" t="s">
        <v>175</v>
      </c>
      <c r="G1836" s="323" t="s">
        <v>5</v>
      </c>
      <c r="H1836" s="98" t="n">
        <v>175</v>
      </c>
      <c r="I1836" s="457" t="n">
        <v>60</v>
      </c>
      <c r="J1836" s="313" t="s">
        <v>1653</v>
      </c>
      <c r="K1836" s="458" t="n">
        <f aca="false">I1836*H1836</f>
        <v>10500</v>
      </c>
      <c r="L1836" s="411" t="n">
        <v>3220</v>
      </c>
      <c r="M1836" s="459" t="n">
        <f aca="false">L1836/K1836</f>
        <v>0.306666666666667</v>
      </c>
      <c r="N1836" s="460" t="n">
        <f aca="false">I1836*M1836</f>
        <v>18.4</v>
      </c>
      <c r="O1836" s="461" t="n">
        <v>175</v>
      </c>
      <c r="P1836" s="462" t="n">
        <f aca="false">H1836-O1836</f>
        <v>0</v>
      </c>
      <c r="Q1836" s="463" t="n">
        <f aca="false">O1836*I1836</f>
        <v>10500</v>
      </c>
      <c r="R1836" s="48" t="n">
        <f aca="false">K1836-Q1836</f>
        <v>0</v>
      </c>
      <c r="S1836" s="467"/>
      <c r="T1836" s="2" t="s">
        <v>1711</v>
      </c>
      <c r="V1836" s="464"/>
      <c r="W1836" s="464"/>
      <c r="X1836" s="464"/>
      <c r="Y1836" s="464"/>
      <c r="Z1836" s="464"/>
      <c r="AA1836" s="464"/>
      <c r="AB1836" s="464"/>
      <c r="AC1836" s="464"/>
      <c r="AD1836" s="464"/>
      <c r="AE1836" s="464"/>
      <c r="AF1836" s="464"/>
      <c r="AG1836" s="464"/>
      <c r="AH1836" s="465"/>
      <c r="AI1836" s="464"/>
    </row>
    <row r="1837" customFormat="false" ht="15" hidden="false" customHeight="true" outlineLevel="0" collapsed="false">
      <c r="A1837" s="455" t="s">
        <v>1933</v>
      </c>
      <c r="C1837" s="456" t="n">
        <v>45694</v>
      </c>
      <c r="D1837" s="456"/>
      <c r="E1837" s="323" t="n">
        <v>14650</v>
      </c>
      <c r="F1837" s="323" t="s">
        <v>175</v>
      </c>
      <c r="G1837" s="323" t="s">
        <v>5</v>
      </c>
      <c r="H1837" s="98" t="n">
        <v>1500</v>
      </c>
      <c r="I1837" s="457" t="n">
        <v>25.71</v>
      </c>
      <c r="J1837" s="313" t="s">
        <v>1651</v>
      </c>
      <c r="K1837" s="458" t="n">
        <f aca="false">I1837*H1837</f>
        <v>38565</v>
      </c>
      <c r="L1837" s="411" t="n">
        <v>21000</v>
      </c>
      <c r="M1837" s="459" t="n">
        <f aca="false">L1837/K1837</f>
        <v>0.544535200311163</v>
      </c>
      <c r="N1837" s="460" t="n">
        <f aca="false">I1837*M1837</f>
        <v>14</v>
      </c>
      <c r="O1837" s="461" t="n">
        <v>1500</v>
      </c>
      <c r="P1837" s="462" t="n">
        <f aca="false">H1837-O1837</f>
        <v>0</v>
      </c>
      <c r="Q1837" s="463" t="n">
        <f aca="false">O1837*I1837</f>
        <v>38565</v>
      </c>
      <c r="R1837" s="48" t="n">
        <f aca="false">K1837-Q1837</f>
        <v>0</v>
      </c>
      <c r="S1837" s="467"/>
      <c r="T1837" s="2" t="s">
        <v>1711</v>
      </c>
      <c r="V1837" s="464"/>
      <c r="W1837" s="464"/>
      <c r="X1837" s="464"/>
      <c r="Y1837" s="464"/>
      <c r="Z1837" s="464"/>
      <c r="AA1837" s="464"/>
      <c r="AB1837" s="464"/>
      <c r="AC1837" s="464"/>
      <c r="AD1837" s="464"/>
      <c r="AE1837" s="464"/>
      <c r="AF1837" s="464"/>
      <c r="AG1837" s="464"/>
      <c r="AH1837" s="465"/>
      <c r="AI1837" s="464"/>
    </row>
    <row r="1838" customFormat="false" ht="15" hidden="false" customHeight="true" outlineLevel="0" collapsed="false">
      <c r="A1838" s="455" t="s">
        <v>1759</v>
      </c>
      <c r="C1838" s="456" t="n">
        <v>45694</v>
      </c>
      <c r="D1838" s="456"/>
      <c r="E1838" s="323" t="n">
        <v>14651</v>
      </c>
      <c r="F1838" s="323" t="s">
        <v>175</v>
      </c>
      <c r="G1838" s="323" t="s">
        <v>6</v>
      </c>
      <c r="H1838" s="98" t="n">
        <v>10</v>
      </c>
      <c r="I1838" s="457" t="n">
        <v>30</v>
      </c>
      <c r="J1838" s="313" t="s">
        <v>1651</v>
      </c>
      <c r="K1838" s="458" t="n">
        <f aca="false">I1838*H1838</f>
        <v>300</v>
      </c>
      <c r="L1838" s="411" t="n">
        <v>160</v>
      </c>
      <c r="M1838" s="459" t="n">
        <f aca="false">L1838/K1838</f>
        <v>0.533333333333333</v>
      </c>
      <c r="N1838" s="460" t="n">
        <f aca="false">I1838*M1838</f>
        <v>16</v>
      </c>
      <c r="O1838" s="461"/>
      <c r="P1838" s="468" t="n">
        <f aca="false">H1838-O1838</f>
        <v>10</v>
      </c>
      <c r="Q1838" s="463" t="n">
        <f aca="false">O1838*I1838</f>
        <v>0</v>
      </c>
      <c r="R1838" s="48" t="n">
        <f aca="false">K1838-Q1838</f>
        <v>300</v>
      </c>
      <c r="S1838" s="467" t="n">
        <v>45694</v>
      </c>
      <c r="T1838" s="2" t="s">
        <v>1711</v>
      </c>
      <c r="V1838" s="464"/>
      <c r="W1838" s="464"/>
      <c r="X1838" s="464"/>
      <c r="Y1838" s="464"/>
      <c r="Z1838" s="464"/>
      <c r="AA1838" s="464"/>
      <c r="AB1838" s="464"/>
      <c r="AC1838" s="464"/>
      <c r="AD1838" s="464"/>
      <c r="AE1838" s="464"/>
      <c r="AF1838" s="464"/>
      <c r="AG1838" s="464"/>
      <c r="AH1838" s="465"/>
      <c r="AI1838" s="464"/>
    </row>
    <row r="1839" customFormat="false" ht="15" hidden="false" customHeight="true" outlineLevel="0" collapsed="false">
      <c r="A1839" s="455" t="s">
        <v>2068</v>
      </c>
      <c r="C1839" s="456" t="n">
        <v>45694</v>
      </c>
      <c r="D1839" s="456"/>
      <c r="E1839" s="323" t="n">
        <v>14652</v>
      </c>
      <c r="F1839" s="323" t="s">
        <v>175</v>
      </c>
      <c r="G1839" s="323" t="s">
        <v>10</v>
      </c>
      <c r="H1839" s="98" t="n">
        <v>11010</v>
      </c>
      <c r="I1839" s="457" t="n">
        <v>90</v>
      </c>
      <c r="J1839" s="313" t="s">
        <v>1653</v>
      </c>
      <c r="K1839" s="458" t="n">
        <f aca="false">I1839*H1839</f>
        <v>990900</v>
      </c>
      <c r="L1839" s="411" t="n">
        <v>140928</v>
      </c>
      <c r="M1839" s="459" t="n">
        <f aca="false">L1839/K1839</f>
        <v>0.142222222222222</v>
      </c>
      <c r="N1839" s="460" t="n">
        <f aca="false">I1839*M1839</f>
        <v>12.8</v>
      </c>
      <c r="O1839" s="461" t="n">
        <v>11010</v>
      </c>
      <c r="P1839" s="462" t="n">
        <f aca="false">H1839-O1839</f>
        <v>0</v>
      </c>
      <c r="Q1839" s="463" t="n">
        <f aca="false">O1839*I1839</f>
        <v>990900</v>
      </c>
      <c r="R1839" s="48" t="n">
        <f aca="false">K1839-Q1839</f>
        <v>0</v>
      </c>
      <c r="S1839" s="467"/>
      <c r="T1839" s="2" t="s">
        <v>1711</v>
      </c>
      <c r="V1839" s="464"/>
      <c r="W1839" s="464"/>
      <c r="X1839" s="464"/>
      <c r="Y1839" s="464"/>
      <c r="Z1839" s="464"/>
      <c r="AA1839" s="464"/>
      <c r="AB1839" s="464"/>
      <c r="AC1839" s="464"/>
      <c r="AD1839" s="464"/>
      <c r="AE1839" s="464"/>
      <c r="AF1839" s="464"/>
      <c r="AG1839" s="464"/>
      <c r="AH1839" s="465"/>
      <c r="AI1839" s="464"/>
    </row>
    <row r="1840" customFormat="false" ht="15" hidden="false" customHeight="true" outlineLevel="0" collapsed="false">
      <c r="A1840" s="455" t="s">
        <v>2053</v>
      </c>
      <c r="C1840" s="456" t="n">
        <v>45694</v>
      </c>
      <c r="D1840" s="456"/>
      <c r="E1840" s="323" t="n">
        <v>14653</v>
      </c>
      <c r="F1840" s="323" t="s">
        <v>175</v>
      </c>
      <c r="G1840" s="323" t="s">
        <v>10</v>
      </c>
      <c r="H1840" s="98" t="n">
        <v>240</v>
      </c>
      <c r="I1840" s="457" t="n">
        <v>90</v>
      </c>
      <c r="J1840" s="313" t="s">
        <v>1653</v>
      </c>
      <c r="K1840" s="458" t="n">
        <f aca="false">I1840*H1840</f>
        <v>21600</v>
      </c>
      <c r="L1840" s="411" t="n">
        <v>2880</v>
      </c>
      <c r="M1840" s="459" t="n">
        <f aca="false">L1840/K1840</f>
        <v>0.133333333333333</v>
      </c>
      <c r="N1840" s="460" t="n">
        <f aca="false">I1840*M1840</f>
        <v>12</v>
      </c>
      <c r="O1840" s="461" t="n">
        <v>240</v>
      </c>
      <c r="P1840" s="462" t="n">
        <f aca="false">H1840-O1840</f>
        <v>0</v>
      </c>
      <c r="Q1840" s="463" t="n">
        <f aca="false">O1840*I1840</f>
        <v>21600</v>
      </c>
      <c r="R1840" s="48" t="n">
        <f aca="false">K1840-Q1840</f>
        <v>0</v>
      </c>
      <c r="S1840" s="467"/>
      <c r="T1840" s="2" t="s">
        <v>1711</v>
      </c>
      <c r="V1840" s="464"/>
      <c r="W1840" s="464"/>
      <c r="X1840" s="464"/>
      <c r="Y1840" s="464"/>
      <c r="Z1840" s="464"/>
      <c r="AA1840" s="464"/>
      <c r="AB1840" s="464"/>
      <c r="AC1840" s="464"/>
      <c r="AD1840" s="464"/>
      <c r="AE1840" s="464"/>
      <c r="AF1840" s="464"/>
      <c r="AG1840" s="464"/>
      <c r="AH1840" s="465"/>
      <c r="AI1840" s="464"/>
    </row>
    <row r="1841" customFormat="false" ht="15" hidden="false" customHeight="true" outlineLevel="0" collapsed="false">
      <c r="A1841" s="455" t="s">
        <v>2052</v>
      </c>
      <c r="C1841" s="456" t="n">
        <v>45694</v>
      </c>
      <c r="D1841" s="456"/>
      <c r="E1841" s="323" t="n">
        <v>14654</v>
      </c>
      <c r="F1841" s="323" t="s">
        <v>175</v>
      </c>
      <c r="G1841" s="323" t="s">
        <v>10</v>
      </c>
      <c r="H1841" s="98" t="n">
        <v>150</v>
      </c>
      <c r="I1841" s="457" t="n">
        <v>90</v>
      </c>
      <c r="J1841" s="313" t="s">
        <v>1653</v>
      </c>
      <c r="K1841" s="458" t="n">
        <f aca="false">I1841*H1841</f>
        <v>13500</v>
      </c>
      <c r="L1841" s="411" t="n">
        <v>1800</v>
      </c>
      <c r="M1841" s="459" t="n">
        <f aca="false">L1841/K1841</f>
        <v>0.133333333333333</v>
      </c>
      <c r="N1841" s="460" t="n">
        <f aca="false">I1841*M1841</f>
        <v>12</v>
      </c>
      <c r="O1841" s="461" t="n">
        <v>150</v>
      </c>
      <c r="P1841" s="462" t="n">
        <f aca="false">H1841-O1841</f>
        <v>0</v>
      </c>
      <c r="Q1841" s="463" t="n">
        <f aca="false">O1841*I1841</f>
        <v>13500</v>
      </c>
      <c r="R1841" s="48" t="n">
        <f aca="false">K1841-Q1841</f>
        <v>0</v>
      </c>
      <c r="S1841" s="467"/>
      <c r="T1841" s="2" t="s">
        <v>1711</v>
      </c>
      <c r="V1841" s="464"/>
      <c r="W1841" s="464"/>
      <c r="X1841" s="464"/>
      <c r="Y1841" s="464"/>
      <c r="Z1841" s="464"/>
      <c r="AA1841" s="464"/>
      <c r="AB1841" s="464"/>
      <c r="AC1841" s="464"/>
      <c r="AD1841" s="464"/>
      <c r="AE1841" s="464"/>
      <c r="AF1841" s="464"/>
      <c r="AG1841" s="464"/>
      <c r="AH1841" s="465"/>
      <c r="AI1841" s="464"/>
    </row>
    <row r="1842" customFormat="false" ht="15" hidden="false" customHeight="true" outlineLevel="0" collapsed="false">
      <c r="A1842" s="455" t="s">
        <v>2050</v>
      </c>
      <c r="C1842" s="456" t="n">
        <v>45694</v>
      </c>
      <c r="D1842" s="456"/>
      <c r="E1842" s="323" t="n">
        <v>14655</v>
      </c>
      <c r="F1842" s="323" t="s">
        <v>175</v>
      </c>
      <c r="G1842" s="323" t="s">
        <v>10</v>
      </c>
      <c r="H1842" s="98" t="n">
        <v>60</v>
      </c>
      <c r="I1842" s="457" t="n">
        <v>90</v>
      </c>
      <c r="J1842" s="313" t="s">
        <v>1653</v>
      </c>
      <c r="K1842" s="458" t="n">
        <f aca="false">I1842*H1842</f>
        <v>5400</v>
      </c>
      <c r="L1842" s="411" t="n">
        <v>720</v>
      </c>
      <c r="M1842" s="459" t="n">
        <f aca="false">L1842/K1842</f>
        <v>0.133333333333333</v>
      </c>
      <c r="N1842" s="460" t="n">
        <f aca="false">I1842*M1842</f>
        <v>12</v>
      </c>
      <c r="O1842" s="461" t="n">
        <v>60</v>
      </c>
      <c r="P1842" s="462" t="n">
        <f aca="false">H1842-O1842</f>
        <v>0</v>
      </c>
      <c r="Q1842" s="463" t="n">
        <f aca="false">O1842*I1842</f>
        <v>5400</v>
      </c>
      <c r="R1842" s="48" t="n">
        <f aca="false">K1842-Q1842</f>
        <v>0</v>
      </c>
      <c r="S1842" s="467"/>
      <c r="T1842" s="2" t="s">
        <v>1711</v>
      </c>
      <c r="V1842" s="464"/>
      <c r="W1842" s="464"/>
      <c r="X1842" s="464"/>
      <c r="Y1842" s="464"/>
      <c r="Z1842" s="464"/>
      <c r="AA1842" s="464"/>
      <c r="AB1842" s="464"/>
      <c r="AC1842" s="464"/>
      <c r="AD1842" s="464"/>
      <c r="AE1842" s="464"/>
      <c r="AF1842" s="464"/>
      <c r="AG1842" s="464"/>
      <c r="AH1842" s="465"/>
      <c r="AI1842" s="464"/>
    </row>
    <row r="1843" customFormat="false" ht="15" hidden="false" customHeight="true" outlineLevel="0" collapsed="false">
      <c r="A1843" s="455" t="s">
        <v>2049</v>
      </c>
      <c r="C1843" s="456" t="n">
        <v>45694</v>
      </c>
      <c r="D1843" s="456"/>
      <c r="E1843" s="323" t="n">
        <v>14656</v>
      </c>
      <c r="F1843" s="323" t="s">
        <v>175</v>
      </c>
      <c r="G1843" s="323" t="s">
        <v>10</v>
      </c>
      <c r="H1843" s="98" t="n">
        <v>60</v>
      </c>
      <c r="I1843" s="457" t="n">
        <v>90</v>
      </c>
      <c r="J1843" s="313" t="s">
        <v>1653</v>
      </c>
      <c r="K1843" s="458" t="n">
        <f aca="false">I1843*H1843</f>
        <v>5400</v>
      </c>
      <c r="L1843" s="411" t="n">
        <v>720</v>
      </c>
      <c r="M1843" s="459" t="n">
        <f aca="false">L1843/K1843</f>
        <v>0.133333333333333</v>
      </c>
      <c r="N1843" s="460" t="n">
        <f aca="false">I1843*M1843</f>
        <v>12</v>
      </c>
      <c r="O1843" s="461" t="n">
        <v>60</v>
      </c>
      <c r="P1843" s="462" t="n">
        <f aca="false">H1843-O1843</f>
        <v>0</v>
      </c>
      <c r="Q1843" s="463" t="n">
        <f aca="false">O1843*I1843</f>
        <v>5400</v>
      </c>
      <c r="R1843" s="48" t="n">
        <f aca="false">K1843-Q1843</f>
        <v>0</v>
      </c>
      <c r="S1843" s="467"/>
      <c r="T1843" s="2" t="s">
        <v>1711</v>
      </c>
      <c r="V1843" s="464"/>
      <c r="W1843" s="464"/>
      <c r="X1843" s="464"/>
      <c r="Y1843" s="464"/>
      <c r="Z1843" s="464"/>
      <c r="AA1843" s="464"/>
      <c r="AB1843" s="464"/>
      <c r="AC1843" s="464"/>
      <c r="AD1843" s="464"/>
      <c r="AE1843" s="464"/>
      <c r="AF1843" s="464"/>
      <c r="AG1843" s="464"/>
      <c r="AH1843" s="465"/>
      <c r="AI1843" s="464"/>
    </row>
    <row r="1844" customFormat="false" ht="15" hidden="false" customHeight="true" outlineLevel="0" collapsed="false">
      <c r="A1844" s="455" t="s">
        <v>2054</v>
      </c>
      <c r="C1844" s="456" t="n">
        <v>45694</v>
      </c>
      <c r="D1844" s="456"/>
      <c r="E1844" s="323" t="n">
        <v>14657</v>
      </c>
      <c r="F1844" s="323" t="s">
        <v>175</v>
      </c>
      <c r="G1844" s="323" t="s">
        <v>10</v>
      </c>
      <c r="H1844" s="98" t="n">
        <v>270</v>
      </c>
      <c r="I1844" s="457" t="n">
        <v>90</v>
      </c>
      <c r="J1844" s="313" t="s">
        <v>1653</v>
      </c>
      <c r="K1844" s="458" t="n">
        <f aca="false">I1844*H1844</f>
        <v>24300</v>
      </c>
      <c r="L1844" s="411" t="n">
        <v>3240</v>
      </c>
      <c r="M1844" s="459" t="n">
        <f aca="false">L1844/K1844</f>
        <v>0.133333333333333</v>
      </c>
      <c r="N1844" s="460" t="n">
        <f aca="false">I1844*M1844</f>
        <v>12</v>
      </c>
      <c r="O1844" s="461" t="n">
        <v>270</v>
      </c>
      <c r="P1844" s="462" t="n">
        <f aca="false">H1844-O1844</f>
        <v>0</v>
      </c>
      <c r="Q1844" s="463" t="n">
        <f aca="false">O1844*I1844</f>
        <v>24300</v>
      </c>
      <c r="R1844" s="48" t="n">
        <f aca="false">K1844-Q1844</f>
        <v>0</v>
      </c>
      <c r="S1844" s="467"/>
      <c r="T1844" s="2" t="s">
        <v>1711</v>
      </c>
      <c r="V1844" s="464"/>
      <c r="W1844" s="464"/>
      <c r="X1844" s="464"/>
      <c r="Y1844" s="464"/>
      <c r="Z1844" s="464"/>
      <c r="AA1844" s="464"/>
      <c r="AB1844" s="464"/>
      <c r="AC1844" s="464"/>
      <c r="AD1844" s="464"/>
      <c r="AE1844" s="464"/>
      <c r="AF1844" s="464"/>
      <c r="AG1844" s="464"/>
      <c r="AH1844" s="465"/>
      <c r="AI1844" s="464"/>
    </row>
    <row r="1845" customFormat="false" ht="15" hidden="false" customHeight="true" outlineLevel="0" collapsed="false">
      <c r="A1845" s="455" t="s">
        <v>2051</v>
      </c>
      <c r="C1845" s="456" t="n">
        <v>45694</v>
      </c>
      <c r="D1845" s="456"/>
      <c r="E1845" s="57" t="n">
        <v>14658</v>
      </c>
      <c r="F1845" s="323" t="s">
        <v>175</v>
      </c>
      <c r="G1845" s="323" t="s">
        <v>10</v>
      </c>
      <c r="H1845" s="98" t="n">
        <v>240</v>
      </c>
      <c r="I1845" s="457" t="n">
        <v>90</v>
      </c>
      <c r="J1845" s="313" t="s">
        <v>1653</v>
      </c>
      <c r="K1845" s="458" t="n">
        <f aca="false">I1845*H1845</f>
        <v>21600</v>
      </c>
      <c r="L1845" s="411" t="n">
        <v>2880</v>
      </c>
      <c r="M1845" s="459" t="n">
        <f aca="false">L1845/K1845</f>
        <v>0.133333333333333</v>
      </c>
      <c r="N1845" s="460" t="n">
        <f aca="false">I1845*M1845</f>
        <v>12</v>
      </c>
      <c r="O1845" s="461" t="n">
        <v>240</v>
      </c>
      <c r="P1845" s="462" t="n">
        <f aca="false">H1845-O1845</f>
        <v>0</v>
      </c>
      <c r="Q1845" s="463" t="n">
        <f aca="false">O1845*I1845</f>
        <v>21600</v>
      </c>
      <c r="R1845" s="48" t="n">
        <f aca="false">K1845-Q1845</f>
        <v>0</v>
      </c>
      <c r="S1845" s="467"/>
      <c r="T1845" s="2" t="s">
        <v>1711</v>
      </c>
      <c r="V1845" s="464"/>
      <c r="W1845" s="464"/>
      <c r="X1845" s="464"/>
      <c r="Y1845" s="464"/>
      <c r="Z1845" s="464"/>
      <c r="AA1845" s="464"/>
      <c r="AB1845" s="464"/>
      <c r="AC1845" s="464"/>
      <c r="AD1845" s="464"/>
      <c r="AE1845" s="464"/>
      <c r="AF1845" s="464"/>
      <c r="AG1845" s="464"/>
      <c r="AH1845" s="465"/>
      <c r="AI1845" s="464"/>
    </row>
    <row r="1846" customFormat="false" ht="15" hidden="false" customHeight="true" outlineLevel="0" collapsed="false">
      <c r="A1846" s="455" t="s">
        <v>2023</v>
      </c>
      <c r="C1846" s="456" t="n">
        <v>45694</v>
      </c>
      <c r="D1846" s="456"/>
      <c r="E1846" s="57" t="n">
        <v>14659</v>
      </c>
      <c r="F1846" s="323" t="s">
        <v>175</v>
      </c>
      <c r="G1846" s="323" t="s">
        <v>75</v>
      </c>
      <c r="H1846" s="98" t="n">
        <v>15</v>
      </c>
      <c r="I1846" s="457" t="n">
        <v>1</v>
      </c>
      <c r="J1846" s="313" t="s">
        <v>1653</v>
      </c>
      <c r="K1846" s="458" t="n">
        <f aca="false">I1846*H1846</f>
        <v>15</v>
      </c>
      <c r="L1846" s="411" t="n">
        <v>600</v>
      </c>
      <c r="M1846" s="459" t="n">
        <f aca="false">L1846/K1846</f>
        <v>40</v>
      </c>
      <c r="N1846" s="460" t="n">
        <f aca="false">I1846*M1846</f>
        <v>40</v>
      </c>
      <c r="O1846" s="461" t="n">
        <v>15</v>
      </c>
      <c r="P1846" s="462" t="n">
        <f aca="false">H1846-O1846</f>
        <v>0</v>
      </c>
      <c r="Q1846" s="463" t="n">
        <f aca="false">O1846*I1846</f>
        <v>15</v>
      </c>
      <c r="R1846" s="48" t="n">
        <f aca="false">K1846-Q1846</f>
        <v>0</v>
      </c>
      <c r="S1846" s="467"/>
      <c r="T1846" s="2" t="s">
        <v>1711</v>
      </c>
      <c r="V1846" s="464"/>
      <c r="W1846" s="464"/>
      <c r="X1846" s="464"/>
      <c r="Y1846" s="464"/>
      <c r="Z1846" s="464"/>
      <c r="AA1846" s="464"/>
      <c r="AB1846" s="464"/>
      <c r="AC1846" s="464"/>
      <c r="AD1846" s="464"/>
      <c r="AE1846" s="464"/>
      <c r="AF1846" s="464"/>
      <c r="AG1846" s="464"/>
      <c r="AH1846" s="465"/>
      <c r="AI1846" s="464"/>
    </row>
    <row r="1847" customFormat="false" ht="15" hidden="false" customHeight="true" outlineLevel="0" collapsed="false">
      <c r="A1847" s="455" t="s">
        <v>2023</v>
      </c>
      <c r="C1847" s="456" t="n">
        <v>45694</v>
      </c>
      <c r="D1847" s="456"/>
      <c r="E1847" s="57" t="n">
        <v>14659</v>
      </c>
      <c r="F1847" s="323" t="s">
        <v>175</v>
      </c>
      <c r="G1847" s="323" t="s">
        <v>20</v>
      </c>
      <c r="H1847" s="98" t="n">
        <v>15</v>
      </c>
      <c r="I1847" s="457" t="n">
        <v>38.29</v>
      </c>
      <c r="J1847" s="313" t="s">
        <v>1652</v>
      </c>
      <c r="K1847" s="458" t="n">
        <f aca="false">I1847*H1847</f>
        <v>574.35</v>
      </c>
      <c r="L1847" s="411" t="n">
        <v>264</v>
      </c>
      <c r="M1847" s="459" t="n">
        <f aca="false">L1847/K1847</f>
        <v>0.459650039174719</v>
      </c>
      <c r="N1847" s="460" t="n">
        <f aca="false">I1847*M1847</f>
        <v>17.6</v>
      </c>
      <c r="O1847" s="461" t="n">
        <v>15</v>
      </c>
      <c r="P1847" s="462" t="n">
        <f aca="false">H1847-O1847</f>
        <v>0</v>
      </c>
      <c r="Q1847" s="463" t="n">
        <f aca="false">O1847*I1847</f>
        <v>574.35</v>
      </c>
      <c r="R1847" s="48" t="n">
        <f aca="false">K1847-Q1847</f>
        <v>0</v>
      </c>
      <c r="S1847" s="467"/>
      <c r="T1847" s="2" t="s">
        <v>1711</v>
      </c>
      <c r="V1847" s="464"/>
      <c r="W1847" s="464"/>
      <c r="X1847" s="464"/>
      <c r="Y1847" s="464"/>
      <c r="Z1847" s="464"/>
      <c r="AA1847" s="464"/>
      <c r="AB1847" s="464"/>
      <c r="AC1847" s="464"/>
      <c r="AD1847" s="464"/>
      <c r="AE1847" s="464"/>
      <c r="AF1847" s="464"/>
      <c r="AG1847" s="464"/>
      <c r="AH1847" s="465"/>
      <c r="AI1847" s="464"/>
    </row>
    <row r="1848" customFormat="false" ht="15" hidden="false" customHeight="true" outlineLevel="0" collapsed="false">
      <c r="A1848" s="455" t="s">
        <v>2023</v>
      </c>
      <c r="C1848" s="456" t="n">
        <v>45694</v>
      </c>
      <c r="D1848" s="456"/>
      <c r="E1848" s="57" t="n">
        <v>14659</v>
      </c>
      <c r="F1848" s="323" t="s">
        <v>175</v>
      </c>
      <c r="G1848" s="323" t="s">
        <v>18</v>
      </c>
      <c r="H1848" s="98" t="n">
        <v>15</v>
      </c>
      <c r="I1848" s="457" t="n">
        <v>25.71</v>
      </c>
      <c r="J1848" s="313" t="s">
        <v>1651</v>
      </c>
      <c r="K1848" s="458" t="n">
        <f aca="false">I1848*H1848</f>
        <v>385.65</v>
      </c>
      <c r="L1848" s="411" t="n">
        <v>300</v>
      </c>
      <c r="M1848" s="459" t="n">
        <f aca="false">L1848/K1848</f>
        <v>0.777907429015947</v>
      </c>
      <c r="N1848" s="460" t="n">
        <f aca="false">I1848*M1848</f>
        <v>20</v>
      </c>
      <c r="O1848" s="461" t="n">
        <v>15</v>
      </c>
      <c r="P1848" s="462" t="n">
        <f aca="false">H1848-O1848</f>
        <v>0</v>
      </c>
      <c r="Q1848" s="463" t="n">
        <f aca="false">O1848*I1848</f>
        <v>385.65</v>
      </c>
      <c r="R1848" s="48" t="n">
        <f aca="false">K1848-Q1848</f>
        <v>0</v>
      </c>
      <c r="S1848" s="467"/>
      <c r="T1848" s="2" t="s">
        <v>1711</v>
      </c>
      <c r="V1848" s="464"/>
      <c r="W1848" s="464"/>
      <c r="X1848" s="464"/>
      <c r="Y1848" s="464"/>
      <c r="Z1848" s="464"/>
      <c r="AA1848" s="464"/>
      <c r="AB1848" s="464"/>
      <c r="AC1848" s="464"/>
      <c r="AD1848" s="464"/>
      <c r="AE1848" s="464"/>
      <c r="AF1848" s="464"/>
      <c r="AG1848" s="464"/>
      <c r="AH1848" s="465"/>
      <c r="AI1848" s="464"/>
    </row>
    <row r="1849" customFormat="false" ht="15" hidden="false" customHeight="true" outlineLevel="0" collapsed="false">
      <c r="A1849" s="455" t="s">
        <v>2023</v>
      </c>
      <c r="C1849" s="456" t="n">
        <v>45694</v>
      </c>
      <c r="D1849" s="456"/>
      <c r="E1849" s="57" t="n">
        <v>14659</v>
      </c>
      <c r="F1849" s="323" t="s">
        <v>175</v>
      </c>
      <c r="G1849" s="323" t="s">
        <v>19</v>
      </c>
      <c r="H1849" s="98" t="n">
        <v>15</v>
      </c>
      <c r="I1849" s="457" t="n">
        <v>22.5</v>
      </c>
      <c r="J1849" s="313" t="s">
        <v>1651</v>
      </c>
      <c r="K1849" s="458" t="n">
        <f aca="false">I1849*H1849</f>
        <v>337.5</v>
      </c>
      <c r="L1849" s="411" t="n">
        <v>320</v>
      </c>
      <c r="M1849" s="459" t="n">
        <f aca="false">L1849/K1849</f>
        <v>0.948148148148148</v>
      </c>
      <c r="N1849" s="460" t="n">
        <f aca="false">I1849*M1849</f>
        <v>21.3333333333333</v>
      </c>
      <c r="O1849" s="461" t="n">
        <v>15</v>
      </c>
      <c r="P1849" s="462" t="n">
        <f aca="false">H1849-O1849</f>
        <v>0</v>
      </c>
      <c r="Q1849" s="463" t="n">
        <f aca="false">O1849*I1849</f>
        <v>337.5</v>
      </c>
      <c r="R1849" s="48" t="n">
        <f aca="false">K1849-Q1849</f>
        <v>0</v>
      </c>
      <c r="S1849" s="467"/>
      <c r="T1849" s="2" t="s">
        <v>1711</v>
      </c>
      <c r="V1849" s="464"/>
      <c r="W1849" s="464"/>
      <c r="X1849" s="464"/>
      <c r="Y1849" s="464"/>
      <c r="Z1849" s="464"/>
      <c r="AA1849" s="464"/>
      <c r="AB1849" s="464"/>
      <c r="AC1849" s="464"/>
      <c r="AD1849" s="464"/>
      <c r="AE1849" s="464"/>
      <c r="AF1849" s="464"/>
      <c r="AG1849" s="464"/>
      <c r="AH1849" s="465"/>
      <c r="AI1849" s="464"/>
    </row>
    <row r="1850" customFormat="false" ht="15" hidden="false" customHeight="true" outlineLevel="0" collapsed="false">
      <c r="A1850" s="455" t="s">
        <v>2023</v>
      </c>
      <c r="C1850" s="456" t="n">
        <v>45694</v>
      </c>
      <c r="D1850" s="456"/>
      <c r="E1850" s="57" t="n">
        <v>14659</v>
      </c>
      <c r="F1850" s="323" t="s">
        <v>175</v>
      </c>
      <c r="G1850" s="323" t="s">
        <v>17</v>
      </c>
      <c r="H1850" s="98" t="n">
        <v>15</v>
      </c>
      <c r="I1850" s="457" t="n">
        <v>22.5</v>
      </c>
      <c r="J1850" s="313" t="s">
        <v>1651</v>
      </c>
      <c r="K1850" s="458" t="n">
        <f aca="false">I1850*H1850</f>
        <v>337.5</v>
      </c>
      <c r="L1850" s="411" t="n">
        <v>213</v>
      </c>
      <c r="M1850" s="459" t="n">
        <f aca="false">L1850/K1850</f>
        <v>0.631111111111111</v>
      </c>
      <c r="N1850" s="460" t="n">
        <f aca="false">I1850*M1850</f>
        <v>14.2</v>
      </c>
      <c r="O1850" s="461" t="n">
        <v>15</v>
      </c>
      <c r="P1850" s="462" t="n">
        <f aca="false">H1850-O1850</f>
        <v>0</v>
      </c>
      <c r="Q1850" s="463" t="n">
        <f aca="false">O1850*I1850</f>
        <v>337.5</v>
      </c>
      <c r="R1850" s="48" t="n">
        <f aca="false">K1850-Q1850</f>
        <v>0</v>
      </c>
      <c r="S1850" s="467"/>
      <c r="T1850" s="2" t="s">
        <v>1711</v>
      </c>
      <c r="V1850" s="464"/>
      <c r="W1850" s="464"/>
      <c r="X1850" s="464"/>
      <c r="Y1850" s="464"/>
      <c r="Z1850" s="464"/>
      <c r="AA1850" s="464"/>
      <c r="AB1850" s="464"/>
      <c r="AC1850" s="464"/>
      <c r="AD1850" s="464"/>
      <c r="AE1850" s="464"/>
      <c r="AF1850" s="464"/>
      <c r="AG1850" s="464"/>
      <c r="AH1850" s="465"/>
      <c r="AI1850" s="464"/>
    </row>
    <row r="1851" customFormat="false" ht="15" hidden="false" customHeight="true" outlineLevel="0" collapsed="false">
      <c r="A1851" s="455" t="s">
        <v>2065</v>
      </c>
      <c r="C1851" s="456" t="n">
        <v>45694</v>
      </c>
      <c r="D1851" s="456"/>
      <c r="E1851" s="57" t="n">
        <v>14660</v>
      </c>
      <c r="F1851" s="323" t="s">
        <v>175</v>
      </c>
      <c r="G1851" s="323" t="s">
        <v>6</v>
      </c>
      <c r="H1851" s="98" t="n">
        <v>120</v>
      </c>
      <c r="I1851" s="457" t="n">
        <v>90</v>
      </c>
      <c r="J1851" s="313" t="s">
        <v>1653</v>
      </c>
      <c r="K1851" s="458" t="n">
        <f aca="false">I1851*H1851</f>
        <v>10800</v>
      </c>
      <c r="L1851" s="411" t="n">
        <v>1800</v>
      </c>
      <c r="M1851" s="459" t="n">
        <f aca="false">L1851/K1851</f>
        <v>0.166666666666667</v>
      </c>
      <c r="N1851" s="460" t="n">
        <f aca="false">I1851*M1851</f>
        <v>15</v>
      </c>
      <c r="O1851" s="461" t="n">
        <v>120</v>
      </c>
      <c r="P1851" s="462" t="n">
        <f aca="false">H1851-O1851</f>
        <v>0</v>
      </c>
      <c r="Q1851" s="463" t="n">
        <f aca="false">O1851*I1851</f>
        <v>10800</v>
      </c>
      <c r="R1851" s="48" t="n">
        <f aca="false">K1851-Q1851</f>
        <v>0</v>
      </c>
      <c r="S1851" s="467"/>
      <c r="T1851" s="2" t="s">
        <v>1711</v>
      </c>
      <c r="V1851" s="464"/>
      <c r="W1851" s="464"/>
      <c r="X1851" s="464"/>
      <c r="Y1851" s="464"/>
      <c r="Z1851" s="464"/>
      <c r="AA1851" s="464"/>
      <c r="AB1851" s="464"/>
      <c r="AC1851" s="464"/>
      <c r="AD1851" s="464"/>
      <c r="AE1851" s="464"/>
      <c r="AF1851" s="464"/>
      <c r="AG1851" s="464"/>
      <c r="AH1851" s="465"/>
      <c r="AI1851" s="464"/>
    </row>
    <row r="1852" customFormat="false" ht="15" hidden="false" customHeight="true" outlineLevel="0" collapsed="false">
      <c r="A1852" s="455" t="s">
        <v>1838</v>
      </c>
      <c r="C1852" s="456" t="n">
        <v>45694</v>
      </c>
      <c r="D1852" s="456"/>
      <c r="E1852" s="57" t="n">
        <v>14661</v>
      </c>
      <c r="F1852" s="323" t="s">
        <v>175</v>
      </c>
      <c r="G1852" s="323" t="s">
        <v>6</v>
      </c>
      <c r="H1852" s="98" t="n">
        <v>30</v>
      </c>
      <c r="I1852" s="457" t="n">
        <v>90</v>
      </c>
      <c r="J1852" s="313" t="s">
        <v>1653</v>
      </c>
      <c r="K1852" s="458" t="n">
        <f aca="false">I1852*H1852</f>
        <v>2700</v>
      </c>
      <c r="L1852" s="411" t="n">
        <v>450</v>
      </c>
      <c r="M1852" s="459" t="n">
        <f aca="false">L1852/K1852</f>
        <v>0.166666666666667</v>
      </c>
      <c r="N1852" s="460" t="n">
        <f aca="false">I1852*M1852</f>
        <v>15</v>
      </c>
      <c r="O1852" s="461" t="n">
        <v>30</v>
      </c>
      <c r="P1852" s="462" t="n">
        <f aca="false">H1852-O1852</f>
        <v>0</v>
      </c>
      <c r="Q1852" s="463" t="n">
        <f aca="false">O1852*I1852</f>
        <v>2700</v>
      </c>
      <c r="R1852" s="48" t="n">
        <f aca="false">K1852-Q1852</f>
        <v>0</v>
      </c>
      <c r="S1852" s="467"/>
      <c r="T1852" s="2" t="s">
        <v>1711</v>
      </c>
      <c r="V1852" s="464"/>
      <c r="W1852" s="464"/>
      <c r="X1852" s="464"/>
      <c r="Y1852" s="464"/>
      <c r="Z1852" s="464"/>
      <c r="AA1852" s="464"/>
      <c r="AB1852" s="464"/>
      <c r="AC1852" s="464"/>
      <c r="AD1852" s="464"/>
      <c r="AE1852" s="464"/>
      <c r="AF1852" s="464"/>
      <c r="AG1852" s="464"/>
      <c r="AH1852" s="465"/>
      <c r="AI1852" s="464"/>
    </row>
    <row r="1853" customFormat="false" ht="15" hidden="false" customHeight="true" outlineLevel="0" collapsed="false">
      <c r="A1853" s="455" t="s">
        <v>2069</v>
      </c>
      <c r="C1853" s="456" t="n">
        <v>45695</v>
      </c>
      <c r="D1853" s="456"/>
      <c r="E1853" s="57" t="n">
        <v>14664</v>
      </c>
      <c r="F1853" s="323" t="s">
        <v>175</v>
      </c>
      <c r="G1853" s="323" t="s">
        <v>10</v>
      </c>
      <c r="H1853" s="98" t="n">
        <v>2280</v>
      </c>
      <c r="I1853" s="457" t="n">
        <v>90</v>
      </c>
      <c r="J1853" s="313" t="s">
        <v>1653</v>
      </c>
      <c r="K1853" s="458" t="n">
        <f aca="false">I1853*H1853</f>
        <v>205200</v>
      </c>
      <c r="L1853" s="411" t="n">
        <v>31692</v>
      </c>
      <c r="M1853" s="459" t="n">
        <f aca="false">L1853/K1853</f>
        <v>0.154444444444444</v>
      </c>
      <c r="N1853" s="460" t="n">
        <f aca="false">I1853*M1853</f>
        <v>13.9</v>
      </c>
      <c r="O1853" s="461" t="n">
        <v>2280</v>
      </c>
      <c r="P1853" s="462" t="n">
        <f aca="false">H1853-O1853</f>
        <v>0</v>
      </c>
      <c r="Q1853" s="463" t="n">
        <f aca="false">O1853*I1853</f>
        <v>205200</v>
      </c>
      <c r="R1853" s="48" t="n">
        <f aca="false">K1853-Q1853</f>
        <v>0</v>
      </c>
      <c r="S1853" s="467"/>
      <c r="T1853" s="2" t="s">
        <v>1711</v>
      </c>
      <c r="V1853" s="464"/>
      <c r="W1853" s="464"/>
      <c r="X1853" s="464"/>
      <c r="Y1853" s="464"/>
      <c r="Z1853" s="464"/>
      <c r="AA1853" s="464"/>
      <c r="AB1853" s="464"/>
      <c r="AC1853" s="464"/>
      <c r="AD1853" s="464"/>
      <c r="AE1853" s="464"/>
      <c r="AF1853" s="464"/>
      <c r="AG1853" s="464"/>
      <c r="AH1853" s="465"/>
      <c r="AI1853" s="464"/>
    </row>
    <row r="1854" customFormat="false" ht="15" hidden="false" customHeight="true" outlineLevel="0" collapsed="false">
      <c r="A1854" s="455" t="s">
        <v>2070</v>
      </c>
      <c r="C1854" s="456" t="n">
        <v>45695</v>
      </c>
      <c r="D1854" s="456"/>
      <c r="E1854" s="57" t="n">
        <v>14665</v>
      </c>
      <c r="F1854" s="323" t="s">
        <v>175</v>
      </c>
      <c r="G1854" s="323" t="s">
        <v>16</v>
      </c>
      <c r="H1854" s="98" t="n">
        <v>30</v>
      </c>
      <c r="I1854" s="457" t="n">
        <v>22.5</v>
      </c>
      <c r="J1854" s="313" t="s">
        <v>1651</v>
      </c>
      <c r="K1854" s="458" t="n">
        <f aca="false">I1854*H1854</f>
        <v>675</v>
      </c>
      <c r="L1854" s="411" t="n">
        <v>450</v>
      </c>
      <c r="M1854" s="459" t="n">
        <f aca="false">L1854/K1854</f>
        <v>0.666666666666667</v>
      </c>
      <c r="N1854" s="460" t="n">
        <f aca="false">I1854*M1854</f>
        <v>15</v>
      </c>
      <c r="O1854" s="461" t="n">
        <v>30</v>
      </c>
      <c r="P1854" s="462" t="n">
        <f aca="false">H1854-O1854</f>
        <v>0</v>
      </c>
      <c r="Q1854" s="463" t="n">
        <f aca="false">O1854*I1854</f>
        <v>675</v>
      </c>
      <c r="R1854" s="48" t="n">
        <f aca="false">K1854-Q1854</f>
        <v>0</v>
      </c>
      <c r="S1854" s="467"/>
      <c r="T1854" s="2" t="s">
        <v>1711</v>
      </c>
      <c r="V1854" s="464"/>
      <c r="W1854" s="464"/>
      <c r="X1854" s="464"/>
      <c r="Y1854" s="464"/>
      <c r="Z1854" s="464"/>
      <c r="AA1854" s="464"/>
      <c r="AB1854" s="464"/>
      <c r="AC1854" s="464"/>
      <c r="AD1854" s="464"/>
      <c r="AE1854" s="464"/>
      <c r="AF1854" s="464"/>
      <c r="AG1854" s="464"/>
      <c r="AH1854" s="465"/>
      <c r="AI1854" s="464"/>
    </row>
    <row r="1855" customFormat="false" ht="15" hidden="false" customHeight="true" outlineLevel="0" collapsed="false">
      <c r="A1855" s="455" t="s">
        <v>2070</v>
      </c>
      <c r="C1855" s="456" t="n">
        <v>45695</v>
      </c>
      <c r="D1855" s="456"/>
      <c r="E1855" s="57" t="n">
        <v>14665</v>
      </c>
      <c r="F1855" s="323" t="s">
        <v>175</v>
      </c>
      <c r="G1855" s="323" t="s">
        <v>6</v>
      </c>
      <c r="H1855" s="98" t="n">
        <v>15</v>
      </c>
      <c r="I1855" s="457" t="n">
        <v>45</v>
      </c>
      <c r="J1855" s="313" t="s">
        <v>1652</v>
      </c>
      <c r="K1855" s="458" t="n">
        <f aca="false">I1855*H1855</f>
        <v>675</v>
      </c>
      <c r="L1855" s="411" t="n">
        <v>253.65</v>
      </c>
      <c r="M1855" s="459" t="n">
        <f aca="false">L1855/K1855</f>
        <v>0.375777777777778</v>
      </c>
      <c r="N1855" s="460" t="n">
        <f aca="false">I1855*M1855</f>
        <v>16.91</v>
      </c>
      <c r="O1855" s="461" t="n">
        <v>15</v>
      </c>
      <c r="P1855" s="462" t="n">
        <f aca="false">H1855-O1855</f>
        <v>0</v>
      </c>
      <c r="Q1855" s="463" t="n">
        <f aca="false">O1855*I1855</f>
        <v>675</v>
      </c>
      <c r="R1855" s="48" t="n">
        <f aca="false">K1855-Q1855</f>
        <v>0</v>
      </c>
      <c r="S1855" s="467"/>
      <c r="T1855" s="2" t="s">
        <v>1711</v>
      </c>
      <c r="V1855" s="464"/>
      <c r="W1855" s="464"/>
      <c r="X1855" s="464"/>
      <c r="Y1855" s="464"/>
      <c r="Z1855" s="464"/>
      <c r="AA1855" s="464"/>
      <c r="AB1855" s="464"/>
      <c r="AC1855" s="464"/>
      <c r="AD1855" s="464"/>
      <c r="AE1855" s="464"/>
      <c r="AF1855" s="464"/>
      <c r="AG1855" s="464"/>
      <c r="AH1855" s="465"/>
      <c r="AI1855" s="464"/>
    </row>
    <row r="1856" customFormat="false" ht="15" hidden="false" customHeight="true" outlineLevel="0" collapsed="false">
      <c r="A1856" s="455" t="s">
        <v>2070</v>
      </c>
      <c r="C1856" s="456" t="n">
        <v>45695</v>
      </c>
      <c r="D1856" s="456"/>
      <c r="E1856" s="57" t="n">
        <v>14665</v>
      </c>
      <c r="F1856" s="323" t="s">
        <v>175</v>
      </c>
      <c r="G1856" s="323" t="s">
        <v>5</v>
      </c>
      <c r="H1856" s="98" t="n">
        <v>100</v>
      </c>
      <c r="I1856" s="457" t="n">
        <v>60</v>
      </c>
      <c r="J1856" s="313" t="s">
        <v>1653</v>
      </c>
      <c r="K1856" s="458" t="n">
        <f aca="false">I1856*H1856</f>
        <v>6000</v>
      </c>
      <c r="L1856" s="411" t="n">
        <v>900</v>
      </c>
      <c r="M1856" s="459" t="n">
        <f aca="false">L1856/K1856</f>
        <v>0.15</v>
      </c>
      <c r="N1856" s="460" t="n">
        <f aca="false">I1856*M1856</f>
        <v>9</v>
      </c>
      <c r="O1856" s="461" t="n">
        <v>100</v>
      </c>
      <c r="P1856" s="462" t="n">
        <f aca="false">H1856-O1856</f>
        <v>0</v>
      </c>
      <c r="Q1856" s="463" t="n">
        <f aca="false">O1856*I1856</f>
        <v>6000</v>
      </c>
      <c r="R1856" s="48" t="n">
        <f aca="false">K1856-Q1856</f>
        <v>0</v>
      </c>
      <c r="S1856" s="467"/>
      <c r="T1856" s="2" t="s">
        <v>1711</v>
      </c>
      <c r="V1856" s="464"/>
      <c r="W1856" s="464"/>
      <c r="X1856" s="464"/>
      <c r="Y1856" s="464"/>
      <c r="Z1856" s="464"/>
      <c r="AA1856" s="464"/>
      <c r="AB1856" s="464"/>
      <c r="AC1856" s="464"/>
      <c r="AD1856" s="464"/>
      <c r="AE1856" s="464"/>
      <c r="AF1856" s="464"/>
      <c r="AG1856" s="464"/>
      <c r="AH1856" s="465"/>
      <c r="AI1856" s="464"/>
    </row>
    <row r="1857" customFormat="false" ht="15" hidden="false" customHeight="true" outlineLevel="0" collapsed="false">
      <c r="A1857" s="455" t="s">
        <v>2070</v>
      </c>
      <c r="C1857" s="456" t="n">
        <v>45695</v>
      </c>
      <c r="D1857" s="456"/>
      <c r="E1857" s="57" t="n">
        <v>14665</v>
      </c>
      <c r="F1857" s="323" t="s">
        <v>175</v>
      </c>
      <c r="G1857" s="323" t="s">
        <v>15</v>
      </c>
      <c r="H1857" s="98" t="n">
        <v>15</v>
      </c>
      <c r="I1857" s="457" t="n">
        <v>22.5</v>
      </c>
      <c r="J1857" s="313" t="s">
        <v>1651</v>
      </c>
      <c r="K1857" s="458" t="n">
        <f aca="false">I1857*H1857</f>
        <v>337.5</v>
      </c>
      <c r="L1857" s="411" t="n">
        <v>185</v>
      </c>
      <c r="M1857" s="459" t="n">
        <f aca="false">L1857/K1857</f>
        <v>0.548148148148148</v>
      </c>
      <c r="N1857" s="460" t="n">
        <f aca="false">I1857*M1857</f>
        <v>12.3333333333333</v>
      </c>
      <c r="O1857" s="461" t="n">
        <v>15</v>
      </c>
      <c r="P1857" s="462" t="n">
        <f aca="false">H1857-O1857</f>
        <v>0</v>
      </c>
      <c r="Q1857" s="463" t="n">
        <f aca="false">O1857*I1857</f>
        <v>337.5</v>
      </c>
      <c r="R1857" s="48" t="n">
        <f aca="false">K1857-Q1857</f>
        <v>0</v>
      </c>
      <c r="S1857" s="467"/>
      <c r="T1857" s="2" t="s">
        <v>1711</v>
      </c>
      <c r="V1857" s="464"/>
      <c r="W1857" s="464"/>
      <c r="X1857" s="464"/>
      <c r="Y1857" s="464"/>
      <c r="Z1857" s="464"/>
      <c r="AA1857" s="464"/>
      <c r="AB1857" s="464"/>
      <c r="AC1857" s="464"/>
      <c r="AD1857" s="464"/>
      <c r="AE1857" s="464"/>
      <c r="AF1857" s="464"/>
      <c r="AG1857" s="464"/>
      <c r="AH1857" s="465"/>
      <c r="AI1857" s="464"/>
    </row>
    <row r="1858" customFormat="false" ht="15" hidden="false" customHeight="true" outlineLevel="0" collapsed="false">
      <c r="A1858" s="455" t="s">
        <v>2070</v>
      </c>
      <c r="C1858" s="456" t="n">
        <v>45695</v>
      </c>
      <c r="D1858" s="456"/>
      <c r="E1858" s="57" t="n">
        <v>14665</v>
      </c>
      <c r="F1858" s="323" t="s">
        <v>175</v>
      </c>
      <c r="G1858" s="323" t="s">
        <v>15</v>
      </c>
      <c r="H1858" s="98" t="n">
        <v>50</v>
      </c>
      <c r="I1858" s="457" t="n">
        <v>40</v>
      </c>
      <c r="J1858" s="313" t="s">
        <v>1653</v>
      </c>
      <c r="K1858" s="458" t="n">
        <f aca="false">I1858*H1858</f>
        <v>2000</v>
      </c>
      <c r="L1858" s="411" t="n">
        <v>760</v>
      </c>
      <c r="M1858" s="459" t="n">
        <f aca="false">L1858/K1858</f>
        <v>0.38</v>
      </c>
      <c r="N1858" s="460" t="n">
        <f aca="false">I1858*M1858</f>
        <v>15.2</v>
      </c>
      <c r="O1858" s="461" t="n">
        <v>50</v>
      </c>
      <c r="P1858" s="462" t="n">
        <f aca="false">H1858-O1858</f>
        <v>0</v>
      </c>
      <c r="Q1858" s="463" t="n">
        <f aca="false">O1858*I1858</f>
        <v>2000</v>
      </c>
      <c r="R1858" s="48" t="n">
        <f aca="false">K1858-Q1858</f>
        <v>0</v>
      </c>
      <c r="S1858" s="467"/>
      <c r="T1858" s="2" t="s">
        <v>1711</v>
      </c>
      <c r="V1858" s="464"/>
      <c r="W1858" s="464"/>
      <c r="X1858" s="464"/>
      <c r="Y1858" s="464"/>
      <c r="Z1858" s="464"/>
      <c r="AA1858" s="464"/>
      <c r="AB1858" s="464"/>
      <c r="AC1858" s="464"/>
      <c r="AD1858" s="464"/>
      <c r="AE1858" s="464"/>
      <c r="AF1858" s="464"/>
      <c r="AG1858" s="464"/>
      <c r="AH1858" s="465"/>
      <c r="AI1858" s="464"/>
    </row>
    <row r="1859" customFormat="false" ht="15" hidden="false" customHeight="true" outlineLevel="0" collapsed="false">
      <c r="A1859" s="455" t="s">
        <v>2070</v>
      </c>
      <c r="C1859" s="456" t="n">
        <v>45695</v>
      </c>
      <c r="D1859" s="456"/>
      <c r="E1859" s="57" t="n">
        <v>14665</v>
      </c>
      <c r="F1859" s="323" t="s">
        <v>175</v>
      </c>
      <c r="G1859" s="323" t="s">
        <v>15</v>
      </c>
      <c r="H1859" s="98" t="n">
        <v>50</v>
      </c>
      <c r="I1859" s="457" t="n">
        <v>40</v>
      </c>
      <c r="J1859" s="313" t="s">
        <v>1653</v>
      </c>
      <c r="K1859" s="458" t="n">
        <f aca="false">I1859*H1859</f>
        <v>2000</v>
      </c>
      <c r="L1859" s="411" t="n">
        <v>760</v>
      </c>
      <c r="M1859" s="459" t="n">
        <f aca="false">L1859/K1859</f>
        <v>0.38</v>
      </c>
      <c r="N1859" s="460" t="n">
        <f aca="false">I1859*M1859</f>
        <v>15.2</v>
      </c>
      <c r="O1859" s="461" t="n">
        <v>50</v>
      </c>
      <c r="P1859" s="462" t="n">
        <f aca="false">H1859-O1859</f>
        <v>0</v>
      </c>
      <c r="Q1859" s="463" t="n">
        <f aca="false">O1859*I1859</f>
        <v>2000</v>
      </c>
      <c r="R1859" s="48" t="n">
        <f aca="false">K1859-Q1859</f>
        <v>0</v>
      </c>
      <c r="S1859" s="467"/>
      <c r="T1859" s="2" t="s">
        <v>1711</v>
      </c>
      <c r="V1859" s="464"/>
      <c r="W1859" s="464"/>
      <c r="X1859" s="464"/>
      <c r="Y1859" s="464"/>
      <c r="Z1859" s="464"/>
      <c r="AA1859" s="464"/>
      <c r="AB1859" s="464"/>
      <c r="AC1859" s="464"/>
      <c r="AD1859" s="464"/>
      <c r="AE1859" s="464"/>
      <c r="AF1859" s="464"/>
      <c r="AG1859" s="464"/>
      <c r="AH1859" s="465"/>
      <c r="AI1859" s="464"/>
    </row>
    <row r="1860" customFormat="false" ht="15" hidden="false" customHeight="true" outlineLevel="0" collapsed="false">
      <c r="A1860" s="455" t="s">
        <v>2071</v>
      </c>
      <c r="C1860" s="456" t="n">
        <v>45695</v>
      </c>
      <c r="D1860" s="456"/>
      <c r="E1860" s="57" t="n">
        <v>14666</v>
      </c>
      <c r="F1860" s="323" t="s">
        <v>175</v>
      </c>
      <c r="G1860" s="323" t="s">
        <v>10</v>
      </c>
      <c r="H1860" s="98" t="n">
        <v>4020</v>
      </c>
      <c r="I1860" s="457" t="n">
        <v>90</v>
      </c>
      <c r="J1860" s="313" t="s">
        <v>1653</v>
      </c>
      <c r="K1860" s="458" t="n">
        <f aca="false">I1860*H1860</f>
        <v>361800</v>
      </c>
      <c r="L1860" s="411" t="n">
        <v>56280</v>
      </c>
      <c r="M1860" s="459" t="n">
        <f aca="false">L1860/K1860</f>
        <v>0.155555555555556</v>
      </c>
      <c r="N1860" s="460" t="n">
        <f aca="false">I1860*M1860</f>
        <v>14</v>
      </c>
      <c r="O1860" s="461" t="n">
        <v>4020</v>
      </c>
      <c r="P1860" s="462" t="n">
        <f aca="false">H1860-O1860</f>
        <v>0</v>
      </c>
      <c r="Q1860" s="463" t="n">
        <f aca="false">O1860*I1860</f>
        <v>361800</v>
      </c>
      <c r="R1860" s="48" t="n">
        <f aca="false">K1860-Q1860</f>
        <v>0</v>
      </c>
      <c r="S1860" s="467"/>
      <c r="T1860" s="2" t="s">
        <v>1711</v>
      </c>
      <c r="V1860" s="464"/>
      <c r="W1860" s="464"/>
      <c r="X1860" s="464"/>
      <c r="Y1860" s="464"/>
      <c r="Z1860" s="464"/>
      <c r="AA1860" s="464"/>
      <c r="AB1860" s="464"/>
      <c r="AC1860" s="464"/>
      <c r="AD1860" s="464"/>
      <c r="AE1860" s="464"/>
      <c r="AF1860" s="464"/>
      <c r="AG1860" s="464"/>
      <c r="AH1860" s="465"/>
      <c r="AI1860" s="464"/>
    </row>
    <row r="1861" customFormat="false" ht="15" hidden="false" customHeight="true" outlineLevel="0" collapsed="false">
      <c r="A1861" s="455" t="s">
        <v>1760</v>
      </c>
      <c r="C1861" s="456" t="n">
        <v>45695</v>
      </c>
      <c r="D1861" s="456"/>
      <c r="E1861" s="57" t="n">
        <v>14667</v>
      </c>
      <c r="F1861" s="323" t="s">
        <v>175</v>
      </c>
      <c r="G1861" s="323" t="s">
        <v>5</v>
      </c>
      <c r="H1861" s="98" t="n">
        <v>9990</v>
      </c>
      <c r="I1861" s="457" t="n">
        <v>25.71</v>
      </c>
      <c r="J1861" s="313" t="s">
        <v>1651</v>
      </c>
      <c r="K1861" s="458" t="n">
        <f aca="false">I1861*H1861</f>
        <v>256842.9</v>
      </c>
      <c r="L1861" s="411" t="n">
        <v>100997.6</v>
      </c>
      <c r="M1861" s="459" t="n">
        <f aca="false">L1861/K1861</f>
        <v>0.393227143907813</v>
      </c>
      <c r="N1861" s="460" t="n">
        <f aca="false">I1861*M1861</f>
        <v>10.1098698698699</v>
      </c>
      <c r="O1861" s="461" t="n">
        <v>9990</v>
      </c>
      <c r="P1861" s="462" t="n">
        <f aca="false">H1861-O1861</f>
        <v>0</v>
      </c>
      <c r="Q1861" s="463" t="n">
        <f aca="false">O1861*I1861</f>
        <v>256842.9</v>
      </c>
      <c r="R1861" s="48" t="n">
        <f aca="false">K1861-Q1861</f>
        <v>0</v>
      </c>
      <c r="S1861" s="467"/>
      <c r="T1861" s="2" t="s">
        <v>1711</v>
      </c>
      <c r="V1861" s="464"/>
      <c r="W1861" s="464"/>
      <c r="X1861" s="464"/>
      <c r="Y1861" s="464"/>
      <c r="Z1861" s="464"/>
      <c r="AA1861" s="464"/>
      <c r="AB1861" s="464"/>
      <c r="AC1861" s="464"/>
      <c r="AD1861" s="464"/>
      <c r="AE1861" s="464"/>
      <c r="AF1861" s="464"/>
      <c r="AG1861" s="464"/>
      <c r="AH1861" s="465"/>
      <c r="AI1861" s="464"/>
    </row>
    <row r="1862" customFormat="false" ht="15" hidden="false" customHeight="true" outlineLevel="0" collapsed="false">
      <c r="A1862" s="455" t="s">
        <v>1760</v>
      </c>
      <c r="C1862" s="456" t="n">
        <v>45695</v>
      </c>
      <c r="D1862" s="456"/>
      <c r="E1862" s="57" t="n">
        <v>14667</v>
      </c>
      <c r="F1862" s="323" t="s">
        <v>175</v>
      </c>
      <c r="G1862" s="323" t="s">
        <v>13</v>
      </c>
      <c r="H1862" s="98" t="n">
        <v>4995</v>
      </c>
      <c r="I1862" s="457" t="n">
        <v>22.5</v>
      </c>
      <c r="J1862" s="313" t="s">
        <v>1651</v>
      </c>
      <c r="K1862" s="458" t="n">
        <f aca="false">I1862*H1862</f>
        <v>112387.5</v>
      </c>
      <c r="L1862" s="411" t="n">
        <v>52794.2</v>
      </c>
      <c r="M1862" s="459" t="n">
        <f aca="false">L1862/K1862</f>
        <v>0.469751529307085</v>
      </c>
      <c r="N1862" s="460" t="n">
        <f aca="false">I1862*M1862</f>
        <v>10.5694094094094</v>
      </c>
      <c r="O1862" s="461" t="n">
        <v>4995</v>
      </c>
      <c r="P1862" s="462" t="n">
        <f aca="false">H1862-O1862</f>
        <v>0</v>
      </c>
      <c r="Q1862" s="463" t="n">
        <f aca="false">O1862*I1862</f>
        <v>112387.5</v>
      </c>
      <c r="R1862" s="48" t="n">
        <f aca="false">K1862-Q1862</f>
        <v>0</v>
      </c>
      <c r="S1862" s="467"/>
      <c r="T1862" s="2" t="s">
        <v>1711</v>
      </c>
      <c r="V1862" s="464"/>
      <c r="W1862" s="464"/>
      <c r="X1862" s="464"/>
      <c r="Y1862" s="464"/>
      <c r="Z1862" s="464"/>
      <c r="AA1862" s="464"/>
      <c r="AB1862" s="464"/>
      <c r="AC1862" s="464"/>
      <c r="AD1862" s="464"/>
      <c r="AE1862" s="464"/>
      <c r="AF1862" s="464"/>
      <c r="AG1862" s="464"/>
      <c r="AH1862" s="465"/>
      <c r="AI1862" s="464"/>
    </row>
    <row r="1863" customFormat="false" ht="15" hidden="false" customHeight="true" outlineLevel="0" collapsed="false">
      <c r="A1863" s="455" t="s">
        <v>1755</v>
      </c>
      <c r="C1863" s="456" t="n">
        <v>45695</v>
      </c>
      <c r="D1863" s="456"/>
      <c r="E1863" s="57" t="n">
        <v>14668</v>
      </c>
      <c r="F1863" s="323" t="s">
        <v>175</v>
      </c>
      <c r="G1863" s="323" t="s">
        <v>10</v>
      </c>
      <c r="H1863" s="98" t="n">
        <v>9630</v>
      </c>
      <c r="I1863" s="457" t="n">
        <v>90</v>
      </c>
      <c r="J1863" s="313" t="s">
        <v>1653</v>
      </c>
      <c r="K1863" s="458" t="n">
        <f aca="false">I1863*H1863</f>
        <v>866700</v>
      </c>
      <c r="L1863" s="411" t="n">
        <v>130944</v>
      </c>
      <c r="M1863" s="459" t="n">
        <f aca="false">L1863/K1863</f>
        <v>0.151083419868467</v>
      </c>
      <c r="N1863" s="460" t="n">
        <f aca="false">I1863*M1863</f>
        <v>13.597507788162</v>
      </c>
      <c r="O1863" s="461" t="n">
        <v>9630</v>
      </c>
      <c r="P1863" s="462" t="n">
        <f aca="false">H1863-O1863</f>
        <v>0</v>
      </c>
      <c r="Q1863" s="463" t="n">
        <f aca="false">O1863*I1863</f>
        <v>866700</v>
      </c>
      <c r="R1863" s="48" t="n">
        <f aca="false">K1863-Q1863</f>
        <v>0</v>
      </c>
      <c r="S1863" s="467"/>
      <c r="T1863" s="2" t="s">
        <v>1711</v>
      </c>
      <c r="V1863" s="464"/>
      <c r="W1863" s="464"/>
      <c r="X1863" s="464"/>
      <c r="Y1863" s="464"/>
      <c r="Z1863" s="464"/>
      <c r="AA1863" s="464"/>
      <c r="AB1863" s="464"/>
      <c r="AC1863" s="464"/>
      <c r="AD1863" s="464"/>
      <c r="AE1863" s="464"/>
      <c r="AF1863" s="464"/>
      <c r="AG1863" s="464"/>
      <c r="AH1863" s="465"/>
      <c r="AI1863" s="464"/>
    </row>
    <row r="1864" customFormat="false" ht="15" hidden="false" customHeight="true" outlineLevel="0" collapsed="false">
      <c r="A1864" s="455" t="s">
        <v>2070</v>
      </c>
      <c r="C1864" s="456" t="n">
        <v>45695</v>
      </c>
      <c r="D1864" s="456"/>
      <c r="E1864" s="57" t="n">
        <v>14669</v>
      </c>
      <c r="F1864" s="323" t="s">
        <v>175</v>
      </c>
      <c r="G1864" s="323" t="s">
        <v>7</v>
      </c>
      <c r="H1864" s="98" t="n">
        <v>75</v>
      </c>
      <c r="I1864" s="457" t="n">
        <v>25.71</v>
      </c>
      <c r="J1864" s="313" t="s">
        <v>1651</v>
      </c>
      <c r="K1864" s="458" t="n">
        <f aca="false">I1864*H1864</f>
        <v>1928.25</v>
      </c>
      <c r="L1864" s="411" t="n">
        <v>825</v>
      </c>
      <c r="M1864" s="459" t="n">
        <f aca="false">L1864/K1864</f>
        <v>0.427849085958771</v>
      </c>
      <c r="N1864" s="460" t="n">
        <f aca="false">I1864*M1864</f>
        <v>11</v>
      </c>
      <c r="O1864" s="461" t="n">
        <v>75</v>
      </c>
      <c r="P1864" s="462" t="n">
        <f aca="false">H1864-O1864</f>
        <v>0</v>
      </c>
      <c r="Q1864" s="463" t="n">
        <f aca="false">O1864*I1864</f>
        <v>1928.25</v>
      </c>
      <c r="R1864" s="48" t="n">
        <f aca="false">K1864-Q1864</f>
        <v>0</v>
      </c>
      <c r="S1864" s="467"/>
      <c r="T1864" s="2" t="s">
        <v>1711</v>
      </c>
      <c r="V1864" s="464"/>
      <c r="W1864" s="464"/>
      <c r="X1864" s="464"/>
      <c r="Y1864" s="464"/>
      <c r="Z1864" s="464"/>
      <c r="AA1864" s="464"/>
      <c r="AB1864" s="464"/>
      <c r="AC1864" s="464"/>
      <c r="AD1864" s="464"/>
      <c r="AE1864" s="464"/>
      <c r="AF1864" s="464"/>
      <c r="AG1864" s="464"/>
      <c r="AH1864" s="465"/>
      <c r="AI1864" s="464"/>
    </row>
    <row r="1865" customFormat="false" ht="15" hidden="false" customHeight="true" outlineLevel="0" collapsed="false">
      <c r="A1865" s="455" t="s">
        <v>2070</v>
      </c>
      <c r="C1865" s="456" t="n">
        <v>45695</v>
      </c>
      <c r="D1865" s="456"/>
      <c r="E1865" s="57" t="n">
        <v>14669</v>
      </c>
      <c r="F1865" s="323" t="s">
        <v>175</v>
      </c>
      <c r="G1865" s="323" t="s">
        <v>6</v>
      </c>
      <c r="H1865" s="98" t="n">
        <v>125</v>
      </c>
      <c r="I1865" s="457" t="n">
        <v>60</v>
      </c>
      <c r="J1865" s="313" t="s">
        <v>1653</v>
      </c>
      <c r="K1865" s="458" t="n">
        <f aca="false">I1865*H1865</f>
        <v>7500</v>
      </c>
      <c r="L1865" s="411" t="n">
        <v>2250</v>
      </c>
      <c r="M1865" s="459" t="n">
        <f aca="false">L1865/K1865</f>
        <v>0.3</v>
      </c>
      <c r="N1865" s="460" t="n">
        <f aca="false">I1865*M1865</f>
        <v>18</v>
      </c>
      <c r="O1865" s="461" t="n">
        <v>125</v>
      </c>
      <c r="P1865" s="462" t="n">
        <f aca="false">H1865-O1865</f>
        <v>0</v>
      </c>
      <c r="Q1865" s="463" t="n">
        <f aca="false">O1865*I1865</f>
        <v>7500</v>
      </c>
      <c r="R1865" s="48" t="n">
        <f aca="false">K1865-Q1865</f>
        <v>0</v>
      </c>
      <c r="S1865" s="467"/>
      <c r="T1865" s="2" t="s">
        <v>1711</v>
      </c>
      <c r="V1865" s="464"/>
      <c r="W1865" s="464"/>
      <c r="X1865" s="464"/>
      <c r="Y1865" s="464"/>
      <c r="Z1865" s="464"/>
      <c r="AA1865" s="464"/>
      <c r="AB1865" s="464"/>
      <c r="AC1865" s="464"/>
      <c r="AD1865" s="464"/>
      <c r="AE1865" s="464"/>
      <c r="AF1865" s="464"/>
      <c r="AG1865" s="464"/>
      <c r="AH1865" s="465"/>
      <c r="AI1865" s="464"/>
    </row>
    <row r="1866" customFormat="false" ht="15" hidden="false" customHeight="true" outlineLevel="0" collapsed="false">
      <c r="A1866" s="455" t="s">
        <v>2070</v>
      </c>
      <c r="C1866" s="456" t="n">
        <v>45695</v>
      </c>
      <c r="D1866" s="456"/>
      <c r="E1866" s="57" t="n">
        <v>14669</v>
      </c>
      <c r="F1866" s="323" t="s">
        <v>175</v>
      </c>
      <c r="G1866" s="323" t="s">
        <v>42</v>
      </c>
      <c r="H1866" s="98" t="n">
        <v>60</v>
      </c>
      <c r="I1866" s="457" t="n">
        <v>45</v>
      </c>
      <c r="J1866" s="313" t="s">
        <v>1652</v>
      </c>
      <c r="K1866" s="458" t="n">
        <f aca="false">I1866*H1866</f>
        <v>2700</v>
      </c>
      <c r="L1866" s="411" t="n">
        <v>1120</v>
      </c>
      <c r="M1866" s="459" t="n">
        <f aca="false">L1866/K1866</f>
        <v>0.414814814814815</v>
      </c>
      <c r="N1866" s="460" t="n">
        <f aca="false">I1866*M1866</f>
        <v>18.6666666666667</v>
      </c>
      <c r="O1866" s="461" t="n">
        <v>60</v>
      </c>
      <c r="P1866" s="462" t="n">
        <f aca="false">H1866-O1866</f>
        <v>0</v>
      </c>
      <c r="Q1866" s="463" t="n">
        <f aca="false">O1866*I1866</f>
        <v>2700</v>
      </c>
      <c r="R1866" s="48" t="n">
        <f aca="false">K1866-Q1866</f>
        <v>0</v>
      </c>
      <c r="S1866" s="467"/>
      <c r="T1866" s="2" t="s">
        <v>1711</v>
      </c>
      <c r="V1866" s="464"/>
      <c r="W1866" s="464"/>
      <c r="X1866" s="464"/>
      <c r="Y1866" s="464"/>
      <c r="Z1866" s="464"/>
      <c r="AA1866" s="464"/>
      <c r="AB1866" s="464"/>
      <c r="AC1866" s="464"/>
      <c r="AD1866" s="464"/>
      <c r="AE1866" s="464"/>
      <c r="AF1866" s="464"/>
      <c r="AG1866" s="464"/>
      <c r="AH1866" s="465"/>
      <c r="AI1866" s="464"/>
    </row>
    <row r="1867" customFormat="false" ht="15" hidden="false" customHeight="true" outlineLevel="0" collapsed="false">
      <c r="A1867" s="455" t="s">
        <v>2070</v>
      </c>
      <c r="C1867" s="456" t="n">
        <v>45695</v>
      </c>
      <c r="D1867" s="456"/>
      <c r="E1867" s="57" t="n">
        <v>14670</v>
      </c>
      <c r="F1867" s="323" t="s">
        <v>175</v>
      </c>
      <c r="G1867" s="323" t="s">
        <v>13</v>
      </c>
      <c r="H1867" s="98" t="n">
        <v>90</v>
      </c>
      <c r="I1867" s="457" t="n">
        <v>37.5</v>
      </c>
      <c r="J1867" s="313" t="s">
        <v>1652</v>
      </c>
      <c r="K1867" s="458" t="n">
        <f aca="false">I1867*H1867</f>
        <v>3375</v>
      </c>
      <c r="L1867" s="411" t="n">
        <v>1701</v>
      </c>
      <c r="M1867" s="459" t="n">
        <f aca="false">L1867/K1867</f>
        <v>0.504</v>
      </c>
      <c r="N1867" s="460" t="n">
        <f aca="false">I1867*M1867</f>
        <v>18.9</v>
      </c>
      <c r="O1867" s="461" t="n">
        <v>90</v>
      </c>
      <c r="P1867" s="462" t="n">
        <f aca="false">H1867-O1867</f>
        <v>0</v>
      </c>
      <c r="Q1867" s="463" t="n">
        <f aca="false">O1867*I1867</f>
        <v>3375</v>
      </c>
      <c r="R1867" s="48" t="n">
        <f aca="false">K1867-Q1867</f>
        <v>0</v>
      </c>
      <c r="S1867" s="467"/>
      <c r="T1867" s="2" t="s">
        <v>1711</v>
      </c>
      <c r="V1867" s="464"/>
      <c r="W1867" s="464"/>
      <c r="X1867" s="464"/>
      <c r="Y1867" s="464"/>
      <c r="Z1867" s="464"/>
      <c r="AA1867" s="464"/>
      <c r="AB1867" s="464"/>
      <c r="AC1867" s="464"/>
      <c r="AD1867" s="464"/>
      <c r="AE1867" s="464"/>
      <c r="AF1867" s="464"/>
      <c r="AG1867" s="464"/>
      <c r="AH1867" s="465"/>
      <c r="AI1867" s="464"/>
    </row>
    <row r="1868" customFormat="false" ht="15" hidden="false" customHeight="true" outlineLevel="0" collapsed="false">
      <c r="A1868" s="455" t="s">
        <v>1883</v>
      </c>
      <c r="C1868" s="456" t="n">
        <v>45698</v>
      </c>
      <c r="D1868" s="456"/>
      <c r="E1868" s="57" t="n">
        <v>14671</v>
      </c>
      <c r="F1868" s="323" t="s">
        <v>175</v>
      </c>
      <c r="G1868" s="323" t="s">
        <v>19</v>
      </c>
      <c r="H1868" s="98" t="n">
        <v>1005</v>
      </c>
      <c r="I1868" s="457" t="n">
        <v>22.5</v>
      </c>
      <c r="J1868" s="313" t="s">
        <v>1651</v>
      </c>
      <c r="K1868" s="458" t="n">
        <f aca="false">I1868*H1868</f>
        <v>22612.5</v>
      </c>
      <c r="L1868" s="411" t="n">
        <v>27848.55</v>
      </c>
      <c r="M1868" s="459" t="n">
        <f aca="false">L1868/K1868</f>
        <v>1.23155555555556</v>
      </c>
      <c r="N1868" s="460" t="n">
        <f aca="false">I1868*M1868</f>
        <v>27.71</v>
      </c>
      <c r="O1868" s="461" t="n">
        <v>1005</v>
      </c>
      <c r="P1868" s="462" t="n">
        <f aca="false">H1868-O1868</f>
        <v>0</v>
      </c>
      <c r="Q1868" s="463" t="n">
        <f aca="false">O1868*I1868</f>
        <v>22612.5</v>
      </c>
      <c r="R1868" s="48" t="n">
        <f aca="false">K1868-Q1868</f>
        <v>0</v>
      </c>
      <c r="S1868" s="467"/>
      <c r="T1868" s="2" t="s">
        <v>1711</v>
      </c>
      <c r="V1868" s="464"/>
      <c r="W1868" s="464"/>
      <c r="X1868" s="464"/>
      <c r="Y1868" s="464"/>
      <c r="Z1868" s="464"/>
      <c r="AA1868" s="464"/>
      <c r="AB1868" s="464"/>
      <c r="AC1868" s="464"/>
      <c r="AD1868" s="464"/>
      <c r="AE1868" s="464"/>
      <c r="AF1868" s="464"/>
      <c r="AG1868" s="464"/>
      <c r="AH1868" s="465"/>
      <c r="AI1868" s="464"/>
    </row>
    <row r="1869" customFormat="false" ht="15" hidden="false" customHeight="true" outlineLevel="0" collapsed="false">
      <c r="A1869" s="455" t="s">
        <v>2072</v>
      </c>
      <c r="C1869" s="456" t="n">
        <v>45698</v>
      </c>
      <c r="D1869" s="456"/>
      <c r="E1869" s="57" t="n">
        <v>14673</v>
      </c>
      <c r="F1869" s="57" t="s">
        <v>175</v>
      </c>
      <c r="G1869" s="323" t="s">
        <v>19</v>
      </c>
      <c r="H1869" s="98" t="n">
        <v>1880</v>
      </c>
      <c r="I1869" s="457" t="n">
        <v>22.5</v>
      </c>
      <c r="J1869" s="313" t="s">
        <v>1651</v>
      </c>
      <c r="K1869" s="458" t="n">
        <f aca="false">I1869*H1869</f>
        <v>42300</v>
      </c>
      <c r="L1869" s="411" t="n">
        <v>33840</v>
      </c>
      <c r="M1869" s="459" t="n">
        <f aca="false">L1869/K1869</f>
        <v>0.8</v>
      </c>
      <c r="N1869" s="460" t="n">
        <f aca="false">I1869*M1869</f>
        <v>18</v>
      </c>
      <c r="O1869" s="461" t="n">
        <v>1880</v>
      </c>
      <c r="P1869" s="462" t="n">
        <f aca="false">H1869-O1869</f>
        <v>0</v>
      </c>
      <c r="Q1869" s="463" t="n">
        <f aca="false">O1869*I1869</f>
        <v>42300</v>
      </c>
      <c r="R1869" s="48" t="n">
        <f aca="false">K1869-Q1869</f>
        <v>0</v>
      </c>
      <c r="S1869" s="467"/>
      <c r="T1869" s="2" t="s">
        <v>1711</v>
      </c>
      <c r="V1869" s="464"/>
      <c r="W1869" s="464"/>
      <c r="X1869" s="464"/>
      <c r="Y1869" s="464"/>
      <c r="Z1869" s="464"/>
      <c r="AA1869" s="464"/>
      <c r="AB1869" s="464"/>
      <c r="AC1869" s="464"/>
      <c r="AD1869" s="464"/>
      <c r="AE1869" s="464"/>
      <c r="AF1869" s="464"/>
      <c r="AG1869" s="464"/>
      <c r="AH1869" s="465"/>
      <c r="AI1869" s="464"/>
    </row>
    <row r="1870" customFormat="false" ht="15" hidden="false" customHeight="true" outlineLevel="0" collapsed="false">
      <c r="A1870" s="455" t="s">
        <v>2072</v>
      </c>
      <c r="C1870" s="456" t="n">
        <v>45698</v>
      </c>
      <c r="D1870" s="456"/>
      <c r="E1870" s="57" t="n">
        <v>14673</v>
      </c>
      <c r="F1870" s="57" t="s">
        <v>175</v>
      </c>
      <c r="G1870" s="323" t="s">
        <v>19</v>
      </c>
      <c r="H1870" s="98" t="n">
        <v>330</v>
      </c>
      <c r="I1870" s="457" t="n">
        <v>22.5</v>
      </c>
      <c r="J1870" s="313" t="s">
        <v>1651</v>
      </c>
      <c r="K1870" s="458" t="n">
        <f aca="false">I1870*H1870</f>
        <v>7425</v>
      </c>
      <c r="L1870" s="411" t="n">
        <v>5940</v>
      </c>
      <c r="M1870" s="459" t="n">
        <f aca="false">L1870/K1870</f>
        <v>0.8</v>
      </c>
      <c r="N1870" s="460" t="n">
        <f aca="false">I1870*M1870</f>
        <v>18</v>
      </c>
      <c r="O1870" s="461" t="n">
        <v>330</v>
      </c>
      <c r="P1870" s="462" t="n">
        <f aca="false">H1870-O1870</f>
        <v>0</v>
      </c>
      <c r="Q1870" s="463" t="n">
        <f aca="false">O1870*I1870</f>
        <v>7425</v>
      </c>
      <c r="R1870" s="48" t="n">
        <f aca="false">K1870-Q1870</f>
        <v>0</v>
      </c>
      <c r="S1870" s="467"/>
      <c r="T1870" s="2" t="s">
        <v>1711</v>
      </c>
      <c r="V1870" s="464"/>
      <c r="W1870" s="464"/>
      <c r="X1870" s="464"/>
      <c r="Y1870" s="464"/>
      <c r="Z1870" s="464"/>
      <c r="AA1870" s="464"/>
      <c r="AB1870" s="464"/>
      <c r="AC1870" s="464"/>
      <c r="AD1870" s="464"/>
      <c r="AE1870" s="464"/>
      <c r="AF1870" s="464"/>
      <c r="AG1870" s="464"/>
      <c r="AH1870" s="465"/>
      <c r="AI1870" s="464"/>
    </row>
    <row r="1871" customFormat="false" ht="15" hidden="false" customHeight="true" outlineLevel="0" collapsed="false">
      <c r="A1871" s="455" t="s">
        <v>2073</v>
      </c>
      <c r="C1871" s="456" t="n">
        <v>45698</v>
      </c>
      <c r="D1871" s="456"/>
      <c r="E1871" s="57" t="n">
        <v>14674</v>
      </c>
      <c r="F1871" s="57" t="s">
        <v>175</v>
      </c>
      <c r="G1871" s="323" t="s">
        <v>13</v>
      </c>
      <c r="H1871" s="98" t="n">
        <v>270</v>
      </c>
      <c r="I1871" s="457" t="n">
        <v>22.5</v>
      </c>
      <c r="J1871" s="313" t="s">
        <v>1651</v>
      </c>
      <c r="K1871" s="458" t="n">
        <f aca="false">I1871*H1871</f>
        <v>6075</v>
      </c>
      <c r="L1871" s="411" t="n">
        <v>3024</v>
      </c>
      <c r="M1871" s="459" t="n">
        <f aca="false">L1871/K1871</f>
        <v>0.497777777777778</v>
      </c>
      <c r="N1871" s="460" t="n">
        <f aca="false">I1871*M1871</f>
        <v>11.2</v>
      </c>
      <c r="O1871" s="461" t="n">
        <v>270</v>
      </c>
      <c r="P1871" s="462" t="n">
        <f aca="false">H1871-O1871</f>
        <v>0</v>
      </c>
      <c r="Q1871" s="463" t="n">
        <f aca="false">O1871*I1871</f>
        <v>6075</v>
      </c>
      <c r="R1871" s="48" t="n">
        <f aca="false">K1871-Q1871</f>
        <v>0</v>
      </c>
      <c r="S1871" s="467"/>
      <c r="T1871" s="2" t="s">
        <v>1711</v>
      </c>
      <c r="V1871" s="464"/>
      <c r="W1871" s="464"/>
      <c r="X1871" s="464"/>
      <c r="Y1871" s="464"/>
      <c r="Z1871" s="464"/>
      <c r="AA1871" s="464"/>
      <c r="AB1871" s="464"/>
      <c r="AC1871" s="464"/>
      <c r="AD1871" s="464"/>
      <c r="AE1871" s="464"/>
      <c r="AF1871" s="464"/>
      <c r="AG1871" s="464"/>
      <c r="AH1871" s="465"/>
      <c r="AI1871" s="464"/>
    </row>
    <row r="1872" customFormat="false" ht="15" hidden="false" customHeight="true" outlineLevel="0" collapsed="false">
      <c r="A1872" s="455" t="s">
        <v>2074</v>
      </c>
      <c r="C1872" s="456" t="n">
        <v>45699</v>
      </c>
      <c r="D1872" s="456"/>
      <c r="E1872" s="57" t="n">
        <v>14675</v>
      </c>
      <c r="F1872" s="57" t="s">
        <v>175</v>
      </c>
      <c r="G1872" s="323" t="s">
        <v>10</v>
      </c>
      <c r="H1872" s="98" t="n">
        <v>510</v>
      </c>
      <c r="I1872" s="457" t="n">
        <v>38.3</v>
      </c>
      <c r="J1872" s="313" t="s">
        <v>1652</v>
      </c>
      <c r="K1872" s="458" t="n">
        <f aca="false">I1872*H1872</f>
        <v>19533</v>
      </c>
      <c r="L1872" s="411" t="n">
        <v>5865</v>
      </c>
      <c r="M1872" s="459" t="n">
        <f aca="false">L1872/K1872</f>
        <v>0.300261096605744</v>
      </c>
      <c r="N1872" s="460" t="n">
        <f aca="false">I1872*M1872</f>
        <v>11.5</v>
      </c>
      <c r="O1872" s="461" t="n">
        <v>510</v>
      </c>
      <c r="P1872" s="462" t="n">
        <f aca="false">H1872-O1872</f>
        <v>0</v>
      </c>
      <c r="Q1872" s="463" t="n">
        <f aca="false">O1872*I1872</f>
        <v>19533</v>
      </c>
      <c r="R1872" s="48" t="n">
        <f aca="false">K1872-Q1872</f>
        <v>0</v>
      </c>
      <c r="S1872" s="467"/>
      <c r="T1872" s="2" t="s">
        <v>1711</v>
      </c>
      <c r="V1872" s="464"/>
      <c r="W1872" s="464"/>
      <c r="X1872" s="464"/>
      <c r="Y1872" s="464"/>
      <c r="Z1872" s="464"/>
      <c r="AA1872" s="464"/>
      <c r="AB1872" s="464"/>
      <c r="AC1872" s="464"/>
      <c r="AD1872" s="464"/>
      <c r="AE1872" s="464"/>
      <c r="AF1872" s="464"/>
      <c r="AG1872" s="464"/>
      <c r="AH1872" s="465"/>
      <c r="AI1872" s="464"/>
    </row>
    <row r="1873" customFormat="false" ht="15" hidden="false" customHeight="true" outlineLevel="0" collapsed="false">
      <c r="A1873" s="455" t="s">
        <v>2037</v>
      </c>
      <c r="C1873" s="456" t="n">
        <v>45699</v>
      </c>
      <c r="D1873" s="456"/>
      <c r="E1873" s="57" t="n">
        <v>14676</v>
      </c>
      <c r="F1873" s="323" t="s">
        <v>175</v>
      </c>
      <c r="G1873" s="323" t="s">
        <v>17</v>
      </c>
      <c r="H1873" s="98" t="n">
        <v>3000</v>
      </c>
      <c r="I1873" s="457" t="n">
        <v>22.5</v>
      </c>
      <c r="J1873" s="313" t="s">
        <v>1651</v>
      </c>
      <c r="K1873" s="458" t="n">
        <f aca="false">I1873*H1873</f>
        <v>67500</v>
      </c>
      <c r="L1873" s="411" t="n">
        <v>36000</v>
      </c>
      <c r="M1873" s="459" t="n">
        <f aca="false">L1873/K1873</f>
        <v>0.533333333333333</v>
      </c>
      <c r="N1873" s="460" t="n">
        <f aca="false">I1873*M1873</f>
        <v>12</v>
      </c>
      <c r="O1873" s="461" t="n">
        <v>1650</v>
      </c>
      <c r="P1873" s="468" t="n">
        <f aca="false">H1873-O1873</f>
        <v>1350</v>
      </c>
      <c r="Q1873" s="463" t="n">
        <f aca="false">O1873*I1873</f>
        <v>37125</v>
      </c>
      <c r="R1873" s="48" t="n">
        <f aca="false">K1873-Q1873</f>
        <v>30375</v>
      </c>
      <c r="S1873" s="467" t="n">
        <v>45699</v>
      </c>
      <c r="T1873" s="2" t="s">
        <v>1711</v>
      </c>
      <c r="V1873" s="464"/>
      <c r="W1873" s="464"/>
      <c r="X1873" s="464"/>
      <c r="Y1873" s="464"/>
      <c r="Z1873" s="464"/>
      <c r="AA1873" s="464"/>
      <c r="AB1873" s="464"/>
      <c r="AC1873" s="464"/>
      <c r="AD1873" s="464"/>
      <c r="AE1873" s="464"/>
      <c r="AF1873" s="464"/>
      <c r="AG1873" s="464"/>
      <c r="AH1873" s="465"/>
      <c r="AI1873" s="464"/>
    </row>
    <row r="1874" customFormat="false" ht="15" hidden="false" customHeight="true" outlineLevel="0" collapsed="false">
      <c r="A1874" s="455" t="s">
        <v>2037</v>
      </c>
      <c r="C1874" s="456" t="n">
        <v>45699</v>
      </c>
      <c r="D1874" s="456"/>
      <c r="E1874" s="57" t="n">
        <v>14676</v>
      </c>
      <c r="F1874" s="323" t="s">
        <v>175</v>
      </c>
      <c r="G1874" s="323" t="s">
        <v>42</v>
      </c>
      <c r="H1874" s="98" t="n">
        <v>5004</v>
      </c>
      <c r="I1874" s="457" t="n">
        <v>30</v>
      </c>
      <c r="J1874" s="313" t="s">
        <v>1651</v>
      </c>
      <c r="K1874" s="458" t="n">
        <f aca="false">I1874*H1874</f>
        <v>150120</v>
      </c>
      <c r="L1874" s="411" t="n">
        <v>65052</v>
      </c>
      <c r="M1874" s="459" t="n">
        <f aca="false">L1874/K1874</f>
        <v>0.433333333333333</v>
      </c>
      <c r="N1874" s="460" t="n">
        <f aca="false">I1874*M1874</f>
        <v>13</v>
      </c>
      <c r="O1874" s="461" t="n">
        <v>5004</v>
      </c>
      <c r="P1874" s="462" t="n">
        <f aca="false">H1874-O1874</f>
        <v>0</v>
      </c>
      <c r="Q1874" s="463" t="n">
        <f aca="false">O1874*I1874</f>
        <v>150120</v>
      </c>
      <c r="R1874" s="48" t="n">
        <f aca="false">K1874-Q1874</f>
        <v>0</v>
      </c>
      <c r="S1874" s="467"/>
      <c r="T1874" s="2" t="s">
        <v>1711</v>
      </c>
      <c r="V1874" s="464"/>
      <c r="W1874" s="464"/>
      <c r="X1874" s="464"/>
      <c r="Y1874" s="464"/>
      <c r="Z1874" s="464"/>
      <c r="AA1874" s="464"/>
      <c r="AB1874" s="464"/>
      <c r="AC1874" s="464"/>
      <c r="AD1874" s="464"/>
      <c r="AE1874" s="464"/>
      <c r="AF1874" s="464"/>
      <c r="AG1874" s="464"/>
      <c r="AH1874" s="465"/>
      <c r="AI1874" s="464"/>
    </row>
    <row r="1875" customFormat="false" ht="15" hidden="false" customHeight="true" outlineLevel="0" collapsed="false">
      <c r="A1875" s="455" t="s">
        <v>2037</v>
      </c>
      <c r="C1875" s="456" t="n">
        <v>45699</v>
      </c>
      <c r="D1875" s="456"/>
      <c r="E1875" s="57" t="n">
        <v>14676</v>
      </c>
      <c r="F1875" s="323" t="s">
        <v>175</v>
      </c>
      <c r="G1875" s="323" t="s">
        <v>5</v>
      </c>
      <c r="H1875" s="98" t="n">
        <v>10008</v>
      </c>
      <c r="I1875" s="457" t="n">
        <v>25.71</v>
      </c>
      <c r="J1875" s="313" t="s">
        <v>1651</v>
      </c>
      <c r="K1875" s="458" t="n">
        <f aca="false">I1875*H1875</f>
        <v>257305.68</v>
      </c>
      <c r="L1875" s="411" t="n">
        <v>130104</v>
      </c>
      <c r="M1875" s="459" t="n">
        <f aca="false">L1875/K1875</f>
        <v>0.505639828860366</v>
      </c>
      <c r="N1875" s="460" t="n">
        <f aca="false">I1875*M1875</f>
        <v>13</v>
      </c>
      <c r="O1875" s="461" t="n">
        <v>10008</v>
      </c>
      <c r="P1875" s="462" t="n">
        <f aca="false">H1875-O1875</f>
        <v>0</v>
      </c>
      <c r="Q1875" s="463" t="n">
        <f aca="false">O1875*I1875</f>
        <v>257305.68</v>
      </c>
      <c r="R1875" s="48" t="n">
        <f aca="false">K1875-Q1875</f>
        <v>0</v>
      </c>
      <c r="S1875" s="467"/>
      <c r="T1875" s="2" t="s">
        <v>1711</v>
      </c>
      <c r="V1875" s="464"/>
      <c r="W1875" s="464"/>
      <c r="X1875" s="464"/>
      <c r="Y1875" s="464"/>
      <c r="Z1875" s="464"/>
      <c r="AA1875" s="464"/>
      <c r="AB1875" s="464"/>
      <c r="AC1875" s="464"/>
      <c r="AD1875" s="464"/>
      <c r="AE1875" s="464"/>
      <c r="AF1875" s="464"/>
      <c r="AG1875" s="464"/>
      <c r="AH1875" s="465"/>
      <c r="AI1875" s="464"/>
    </row>
    <row r="1876" customFormat="false" ht="15" hidden="false" customHeight="true" outlineLevel="0" collapsed="false">
      <c r="A1876" s="455" t="s">
        <v>2037</v>
      </c>
      <c r="C1876" s="456" t="n">
        <v>45699</v>
      </c>
      <c r="D1876" s="456"/>
      <c r="E1876" s="57" t="n">
        <v>14676</v>
      </c>
      <c r="F1876" s="323" t="s">
        <v>175</v>
      </c>
      <c r="G1876" s="323" t="s">
        <v>6</v>
      </c>
      <c r="H1876" s="98" t="n">
        <v>15000</v>
      </c>
      <c r="I1876" s="457" t="n">
        <v>30</v>
      </c>
      <c r="J1876" s="313" t="s">
        <v>1651</v>
      </c>
      <c r="K1876" s="458" t="n">
        <f aca="false">I1876*H1876</f>
        <v>450000</v>
      </c>
      <c r="L1876" s="411" t="n">
        <v>225000</v>
      </c>
      <c r="M1876" s="459" t="n">
        <f aca="false">L1876/K1876</f>
        <v>0.5</v>
      </c>
      <c r="N1876" s="460" t="n">
        <f aca="false">I1876*M1876</f>
        <v>15</v>
      </c>
      <c r="O1876" s="461"/>
      <c r="P1876" s="468" t="n">
        <f aca="false">H1876-O1876</f>
        <v>15000</v>
      </c>
      <c r="Q1876" s="463" t="n">
        <f aca="false">O1876*I1876</f>
        <v>0</v>
      </c>
      <c r="R1876" s="48" t="n">
        <f aca="false">K1876-Q1876</f>
        <v>450000</v>
      </c>
      <c r="S1876" s="467" t="n">
        <v>45699</v>
      </c>
      <c r="T1876" s="2" t="s">
        <v>1711</v>
      </c>
      <c r="V1876" s="464"/>
      <c r="W1876" s="464"/>
      <c r="X1876" s="464"/>
      <c r="Y1876" s="464"/>
      <c r="Z1876" s="464"/>
      <c r="AA1876" s="464"/>
      <c r="AB1876" s="464"/>
      <c r="AC1876" s="464"/>
      <c r="AD1876" s="464"/>
      <c r="AE1876" s="464"/>
      <c r="AF1876" s="464"/>
      <c r="AG1876" s="464"/>
      <c r="AH1876" s="465"/>
      <c r="AI1876" s="464"/>
    </row>
    <row r="1877" customFormat="false" ht="15" hidden="false" customHeight="true" outlineLevel="0" collapsed="false">
      <c r="A1877" s="455" t="s">
        <v>2075</v>
      </c>
      <c r="C1877" s="456" t="n">
        <v>45699</v>
      </c>
      <c r="D1877" s="456"/>
      <c r="E1877" s="57" t="n">
        <v>14678</v>
      </c>
      <c r="F1877" s="323" t="s">
        <v>175</v>
      </c>
      <c r="G1877" s="323" t="s">
        <v>5</v>
      </c>
      <c r="H1877" s="98" t="n">
        <v>1575</v>
      </c>
      <c r="I1877" s="457" t="n">
        <v>25.71</v>
      </c>
      <c r="J1877" s="313" t="s">
        <v>1651</v>
      </c>
      <c r="K1877" s="458" t="n">
        <f aca="false">I1877*H1877</f>
        <v>40493.25</v>
      </c>
      <c r="L1877" s="411" t="n">
        <v>22050</v>
      </c>
      <c r="M1877" s="459" t="n">
        <f aca="false">L1877/K1877</f>
        <v>0.544535200311163</v>
      </c>
      <c r="N1877" s="460" t="n">
        <f aca="false">I1877*M1877</f>
        <v>14</v>
      </c>
      <c r="O1877" s="461" t="n">
        <v>1575</v>
      </c>
      <c r="P1877" s="462" t="n">
        <f aca="false">H1877-O1877</f>
        <v>0</v>
      </c>
      <c r="Q1877" s="463" t="n">
        <f aca="false">O1877*I1877</f>
        <v>40493.25</v>
      </c>
      <c r="R1877" s="48" t="n">
        <f aca="false">K1877-Q1877</f>
        <v>0</v>
      </c>
      <c r="S1877" s="467"/>
      <c r="T1877" s="2" t="s">
        <v>1711</v>
      </c>
      <c r="V1877" s="464"/>
      <c r="W1877" s="464"/>
      <c r="X1877" s="464"/>
      <c r="Y1877" s="464"/>
      <c r="Z1877" s="464"/>
      <c r="AA1877" s="464"/>
      <c r="AB1877" s="464"/>
      <c r="AC1877" s="464"/>
      <c r="AD1877" s="464"/>
      <c r="AE1877" s="464"/>
      <c r="AF1877" s="464"/>
      <c r="AG1877" s="464"/>
      <c r="AH1877" s="465"/>
      <c r="AI1877" s="464"/>
    </row>
    <row r="1878" customFormat="false" ht="15" hidden="false" customHeight="true" outlineLevel="0" collapsed="false">
      <c r="A1878" s="455" t="s">
        <v>2057</v>
      </c>
      <c r="C1878" s="456" t="n">
        <v>45699</v>
      </c>
      <c r="D1878" s="456"/>
      <c r="E1878" s="57" t="n">
        <v>14679</v>
      </c>
      <c r="F1878" s="323" t="s">
        <v>175</v>
      </c>
      <c r="G1878" s="323" t="s">
        <v>10</v>
      </c>
      <c r="H1878" s="98" t="n">
        <v>300</v>
      </c>
      <c r="I1878" s="457" t="n">
        <v>90</v>
      </c>
      <c r="J1878" s="313" t="s">
        <v>1653</v>
      </c>
      <c r="K1878" s="458" t="n">
        <f aca="false">I1878*H1878</f>
        <v>27000</v>
      </c>
      <c r="L1878" s="411" t="n">
        <v>4050</v>
      </c>
      <c r="M1878" s="459" t="n">
        <f aca="false">L1878/K1878</f>
        <v>0.15</v>
      </c>
      <c r="N1878" s="460" t="n">
        <f aca="false">I1878*M1878</f>
        <v>13.5</v>
      </c>
      <c r="O1878" s="461" t="n">
        <v>300</v>
      </c>
      <c r="P1878" s="462" t="n">
        <f aca="false">H1878-O1878</f>
        <v>0</v>
      </c>
      <c r="Q1878" s="463" t="n">
        <f aca="false">O1878*I1878</f>
        <v>27000</v>
      </c>
      <c r="R1878" s="48" t="n">
        <f aca="false">K1878-Q1878</f>
        <v>0</v>
      </c>
      <c r="S1878" s="467"/>
      <c r="T1878" s="2" t="s">
        <v>1711</v>
      </c>
      <c r="V1878" s="464"/>
      <c r="W1878" s="464"/>
      <c r="X1878" s="464"/>
      <c r="Y1878" s="464"/>
      <c r="Z1878" s="464"/>
      <c r="AA1878" s="464"/>
      <c r="AB1878" s="464"/>
      <c r="AC1878" s="464"/>
      <c r="AD1878" s="464"/>
      <c r="AE1878" s="464"/>
      <c r="AF1878" s="464"/>
      <c r="AG1878" s="464"/>
      <c r="AH1878" s="465"/>
      <c r="AI1878" s="464"/>
    </row>
    <row r="1879" customFormat="false" ht="15" hidden="false" customHeight="true" outlineLevel="0" collapsed="false">
      <c r="A1879" s="455" t="s">
        <v>62</v>
      </c>
      <c r="C1879" s="456" t="n">
        <v>45699</v>
      </c>
      <c r="D1879" s="456"/>
      <c r="E1879" s="57" t="n">
        <v>14680</v>
      </c>
      <c r="F1879" s="323" t="s">
        <v>175</v>
      </c>
      <c r="G1879" s="323" t="s">
        <v>10</v>
      </c>
      <c r="H1879" s="98" t="n">
        <v>1260</v>
      </c>
      <c r="I1879" s="457" t="n">
        <v>90</v>
      </c>
      <c r="J1879" s="313" t="s">
        <v>1653</v>
      </c>
      <c r="K1879" s="458" t="n">
        <f aca="false">I1879*H1879</f>
        <v>113400</v>
      </c>
      <c r="L1879" s="411" t="n">
        <v>15120</v>
      </c>
      <c r="M1879" s="459" t="n">
        <f aca="false">L1879/K1879</f>
        <v>0.133333333333333</v>
      </c>
      <c r="N1879" s="460" t="n">
        <f aca="false">I1879*M1879</f>
        <v>12</v>
      </c>
      <c r="O1879" s="461" t="n">
        <v>1260</v>
      </c>
      <c r="P1879" s="462" t="n">
        <f aca="false">H1879-O1879</f>
        <v>0</v>
      </c>
      <c r="Q1879" s="463" t="n">
        <f aca="false">O1879*I1879</f>
        <v>113400</v>
      </c>
      <c r="R1879" s="48" t="n">
        <f aca="false">K1879-Q1879</f>
        <v>0</v>
      </c>
      <c r="S1879" s="467"/>
      <c r="T1879" s="2" t="s">
        <v>1711</v>
      </c>
      <c r="V1879" s="464"/>
      <c r="W1879" s="464"/>
      <c r="X1879" s="464"/>
      <c r="Y1879" s="464"/>
      <c r="Z1879" s="464"/>
      <c r="AA1879" s="464"/>
      <c r="AB1879" s="464"/>
      <c r="AC1879" s="464"/>
      <c r="AD1879" s="464"/>
      <c r="AE1879" s="464"/>
      <c r="AF1879" s="464"/>
      <c r="AG1879" s="464"/>
      <c r="AH1879" s="465"/>
      <c r="AI1879" s="464"/>
    </row>
    <row r="1880" customFormat="false" ht="15" hidden="false" customHeight="true" outlineLevel="0" collapsed="false">
      <c r="A1880" s="455" t="s">
        <v>1753</v>
      </c>
      <c r="C1880" s="456" t="n">
        <v>45699</v>
      </c>
      <c r="D1880" s="456"/>
      <c r="E1880" s="323" t="n">
        <v>14681</v>
      </c>
      <c r="F1880" s="323" t="s">
        <v>175</v>
      </c>
      <c r="G1880" s="323" t="s">
        <v>6</v>
      </c>
      <c r="H1880" s="98" t="n">
        <v>2670</v>
      </c>
      <c r="I1880" s="457" t="n">
        <v>30</v>
      </c>
      <c r="J1880" s="313" t="s">
        <v>1651</v>
      </c>
      <c r="K1880" s="458" t="n">
        <f aca="false">I1880*H1880</f>
        <v>80100</v>
      </c>
      <c r="L1880" s="411" t="n">
        <v>30438</v>
      </c>
      <c r="M1880" s="459" t="n">
        <f aca="false">L1880/K1880</f>
        <v>0.38</v>
      </c>
      <c r="N1880" s="460" t="n">
        <f aca="false">I1880*M1880</f>
        <v>11.4</v>
      </c>
      <c r="O1880" s="461" t="n">
        <v>2670</v>
      </c>
      <c r="P1880" s="462" t="n">
        <f aca="false">H1880-O1880</f>
        <v>0</v>
      </c>
      <c r="Q1880" s="463" t="n">
        <f aca="false">O1880*I1880</f>
        <v>80100</v>
      </c>
      <c r="R1880" s="48" t="n">
        <f aca="false">K1880-Q1880</f>
        <v>0</v>
      </c>
      <c r="S1880" s="467"/>
      <c r="T1880" s="2" t="s">
        <v>1711</v>
      </c>
      <c r="V1880" s="464"/>
      <c r="W1880" s="464"/>
      <c r="X1880" s="464"/>
      <c r="Y1880" s="464"/>
      <c r="Z1880" s="464"/>
      <c r="AA1880" s="464"/>
      <c r="AB1880" s="464"/>
      <c r="AC1880" s="464"/>
      <c r="AD1880" s="464"/>
      <c r="AE1880" s="464"/>
      <c r="AF1880" s="464"/>
      <c r="AG1880" s="464"/>
      <c r="AH1880" s="465"/>
      <c r="AI1880" s="464"/>
    </row>
    <row r="1881" customFormat="false" ht="15" hidden="false" customHeight="true" outlineLevel="0" collapsed="false">
      <c r="A1881" s="455" t="s">
        <v>2076</v>
      </c>
      <c r="C1881" s="456" t="n">
        <v>45700</v>
      </c>
      <c r="D1881" s="456"/>
      <c r="E1881" s="323" t="n">
        <v>14682</v>
      </c>
      <c r="F1881" s="323" t="s">
        <v>175</v>
      </c>
      <c r="G1881" s="323" t="s">
        <v>12</v>
      </c>
      <c r="H1881" s="98" t="n">
        <v>240</v>
      </c>
      <c r="I1881" s="457" t="n">
        <v>25.71</v>
      </c>
      <c r="J1881" s="313" t="s">
        <v>1652</v>
      </c>
      <c r="K1881" s="458" t="n">
        <f aca="false">I1881*H1881</f>
        <v>6170.4</v>
      </c>
      <c r="L1881" s="411" t="n">
        <v>16800</v>
      </c>
      <c r="M1881" s="459" t="n">
        <f aca="false">L1881/K1881</f>
        <v>2.72267600155581</v>
      </c>
      <c r="N1881" s="460" t="n">
        <f aca="false">I1881*M1881</f>
        <v>70</v>
      </c>
      <c r="O1881" s="461" t="n">
        <v>240</v>
      </c>
      <c r="P1881" s="462" t="n">
        <f aca="false">H1881-O1881</f>
        <v>0</v>
      </c>
      <c r="Q1881" s="463" t="n">
        <f aca="false">O1881*I1881</f>
        <v>6170.4</v>
      </c>
      <c r="R1881" s="48" t="n">
        <f aca="false">K1881-Q1881</f>
        <v>0</v>
      </c>
      <c r="S1881" s="467"/>
      <c r="T1881" s="2" t="s">
        <v>1711</v>
      </c>
      <c r="V1881" s="464"/>
      <c r="W1881" s="464"/>
      <c r="X1881" s="464"/>
      <c r="Y1881" s="464"/>
      <c r="Z1881" s="464"/>
      <c r="AA1881" s="464"/>
      <c r="AB1881" s="464"/>
      <c r="AC1881" s="464"/>
      <c r="AD1881" s="464"/>
      <c r="AE1881" s="464"/>
      <c r="AF1881" s="464"/>
      <c r="AG1881" s="464"/>
      <c r="AH1881" s="465"/>
      <c r="AI1881" s="464"/>
    </row>
    <row r="1882" customFormat="false" ht="15" hidden="false" customHeight="true" outlineLevel="0" collapsed="false">
      <c r="A1882" s="455" t="s">
        <v>2076</v>
      </c>
      <c r="C1882" s="456" t="n">
        <v>45700</v>
      </c>
      <c r="D1882" s="456"/>
      <c r="E1882" s="57" t="n">
        <v>14683</v>
      </c>
      <c r="F1882" s="323" t="s">
        <v>175</v>
      </c>
      <c r="G1882" s="323" t="s">
        <v>6</v>
      </c>
      <c r="H1882" s="98" t="n">
        <v>855</v>
      </c>
      <c r="I1882" s="457" t="n">
        <v>45</v>
      </c>
      <c r="J1882" s="313" t="s">
        <v>1652</v>
      </c>
      <c r="K1882" s="458" t="n">
        <f aca="false">I1882*H1882</f>
        <v>38475</v>
      </c>
      <c r="L1882" s="411" t="n">
        <v>19237.5</v>
      </c>
      <c r="M1882" s="459" t="n">
        <f aca="false">L1882/K1882</f>
        <v>0.5</v>
      </c>
      <c r="N1882" s="460" t="n">
        <f aca="false">I1882*M1882</f>
        <v>22.5</v>
      </c>
      <c r="O1882" s="461" t="n">
        <v>855</v>
      </c>
      <c r="P1882" s="462" t="n">
        <f aca="false">H1882-O1882</f>
        <v>0</v>
      </c>
      <c r="Q1882" s="463" t="n">
        <f aca="false">O1882*I1882</f>
        <v>38475</v>
      </c>
      <c r="R1882" s="48" t="n">
        <f aca="false">K1882-Q1882</f>
        <v>0</v>
      </c>
      <c r="S1882" s="467"/>
      <c r="T1882" s="2" t="s">
        <v>1711</v>
      </c>
      <c r="V1882" s="464"/>
      <c r="W1882" s="464"/>
      <c r="X1882" s="464"/>
      <c r="Y1882" s="464"/>
      <c r="Z1882" s="464"/>
      <c r="AA1882" s="464"/>
      <c r="AB1882" s="464"/>
      <c r="AC1882" s="464"/>
      <c r="AD1882" s="464"/>
      <c r="AE1882" s="464"/>
      <c r="AF1882" s="464"/>
      <c r="AG1882" s="464"/>
      <c r="AH1882" s="465"/>
      <c r="AI1882" s="464"/>
    </row>
    <row r="1883" customFormat="false" ht="15" hidden="false" customHeight="true" outlineLevel="0" collapsed="false">
      <c r="A1883" s="455" t="s">
        <v>2011</v>
      </c>
      <c r="C1883" s="456" t="n">
        <v>45700</v>
      </c>
      <c r="D1883" s="456"/>
      <c r="E1883" s="57" t="n">
        <v>14684</v>
      </c>
      <c r="F1883" s="323" t="s">
        <v>175</v>
      </c>
      <c r="G1883" s="323" t="s">
        <v>10</v>
      </c>
      <c r="H1883" s="98" t="n">
        <v>4950</v>
      </c>
      <c r="I1883" s="457" t="n">
        <v>38.3</v>
      </c>
      <c r="J1883" s="313" t="s">
        <v>1652</v>
      </c>
      <c r="K1883" s="458" t="n">
        <f aca="false">I1883*H1883</f>
        <v>189585</v>
      </c>
      <c r="L1883" s="411" t="n">
        <v>54450</v>
      </c>
      <c r="M1883" s="459" t="n">
        <f aca="false">L1883/K1883</f>
        <v>0.287206266318538</v>
      </c>
      <c r="N1883" s="460" t="n">
        <f aca="false">I1883*M1883</f>
        <v>11</v>
      </c>
      <c r="O1883" s="461" t="n">
        <v>4950</v>
      </c>
      <c r="P1883" s="462" t="n">
        <f aca="false">H1883-O1883</f>
        <v>0</v>
      </c>
      <c r="Q1883" s="463" t="n">
        <f aca="false">O1883*I1883</f>
        <v>189585</v>
      </c>
      <c r="R1883" s="48" t="n">
        <f aca="false">K1883-Q1883</f>
        <v>0</v>
      </c>
      <c r="S1883" s="467"/>
      <c r="T1883" s="2" t="s">
        <v>1711</v>
      </c>
      <c r="V1883" s="464"/>
      <c r="W1883" s="464"/>
      <c r="X1883" s="464"/>
      <c r="Y1883" s="464"/>
      <c r="Z1883" s="464"/>
      <c r="AA1883" s="464"/>
      <c r="AB1883" s="464"/>
      <c r="AC1883" s="464"/>
      <c r="AD1883" s="464"/>
      <c r="AE1883" s="464"/>
      <c r="AF1883" s="464"/>
      <c r="AG1883" s="464"/>
      <c r="AH1883" s="465"/>
      <c r="AI1883" s="464"/>
    </row>
    <row r="1884" customFormat="false" ht="15" hidden="false" customHeight="true" outlineLevel="0" collapsed="false">
      <c r="A1884" s="455" t="s">
        <v>1753</v>
      </c>
      <c r="C1884" s="456" t="n">
        <v>45700</v>
      </c>
      <c r="D1884" s="456"/>
      <c r="E1884" s="57" t="n">
        <v>14685</v>
      </c>
      <c r="F1884" s="323" t="s">
        <v>175</v>
      </c>
      <c r="G1884" s="323" t="s">
        <v>15</v>
      </c>
      <c r="H1884" s="98" t="n">
        <v>4005</v>
      </c>
      <c r="I1884" s="457" t="n">
        <v>22.5</v>
      </c>
      <c r="J1884" s="313" t="s">
        <v>1651</v>
      </c>
      <c r="K1884" s="458" t="n">
        <f aca="false">I1884*H1884</f>
        <v>90112.5</v>
      </c>
      <c r="L1884" s="411" t="n">
        <v>52065</v>
      </c>
      <c r="M1884" s="459" t="n">
        <f aca="false">L1884/K1884</f>
        <v>0.577777777777778</v>
      </c>
      <c r="N1884" s="460" t="n">
        <f aca="false">I1884*M1884</f>
        <v>13</v>
      </c>
      <c r="O1884" s="461" t="n">
        <v>4005</v>
      </c>
      <c r="P1884" s="462" t="n">
        <f aca="false">H1884-O1884</f>
        <v>0</v>
      </c>
      <c r="Q1884" s="463" t="n">
        <f aca="false">O1884*I1884</f>
        <v>90112.5</v>
      </c>
      <c r="R1884" s="48" t="n">
        <f aca="false">K1884-Q1884</f>
        <v>0</v>
      </c>
      <c r="S1884" s="467"/>
      <c r="T1884" s="2" t="s">
        <v>1711</v>
      </c>
      <c r="V1884" s="464"/>
      <c r="W1884" s="464"/>
      <c r="X1884" s="464"/>
      <c r="Y1884" s="464"/>
      <c r="Z1884" s="464"/>
      <c r="AA1884" s="464"/>
      <c r="AB1884" s="464"/>
      <c r="AC1884" s="464"/>
      <c r="AD1884" s="464"/>
      <c r="AE1884" s="464"/>
      <c r="AF1884" s="464"/>
      <c r="AG1884" s="464"/>
      <c r="AH1884" s="465"/>
      <c r="AI1884" s="464"/>
    </row>
    <row r="1885" customFormat="false" ht="15" hidden="false" customHeight="true" outlineLevel="0" collapsed="false">
      <c r="A1885" s="455" t="s">
        <v>60</v>
      </c>
      <c r="C1885" s="456" t="n">
        <v>45700</v>
      </c>
      <c r="D1885" s="456"/>
      <c r="E1885" s="57" t="n">
        <v>14686</v>
      </c>
      <c r="F1885" s="57" t="s">
        <v>175</v>
      </c>
      <c r="G1885" s="323" t="s">
        <v>10</v>
      </c>
      <c r="H1885" s="98" t="n">
        <v>120</v>
      </c>
      <c r="I1885" s="457" t="n">
        <v>90</v>
      </c>
      <c r="J1885" s="313" t="s">
        <v>1653</v>
      </c>
      <c r="K1885" s="458" t="n">
        <f aca="false">I1885*H1885</f>
        <v>10800</v>
      </c>
      <c r="L1885" s="411" t="n">
        <v>1800</v>
      </c>
      <c r="M1885" s="459" t="n">
        <f aca="false">L1885/K1885</f>
        <v>0.166666666666667</v>
      </c>
      <c r="N1885" s="460" t="n">
        <f aca="false">I1885*M1885</f>
        <v>15</v>
      </c>
      <c r="O1885" s="461" t="n">
        <v>120</v>
      </c>
      <c r="P1885" s="462" t="n">
        <f aca="false">H1885-O1885</f>
        <v>0</v>
      </c>
      <c r="Q1885" s="463" t="n">
        <f aca="false">O1885*I1885</f>
        <v>10800</v>
      </c>
      <c r="R1885" s="48" t="n">
        <f aca="false">K1885-Q1885</f>
        <v>0</v>
      </c>
      <c r="S1885" s="467"/>
      <c r="T1885" s="2" t="s">
        <v>1711</v>
      </c>
      <c r="V1885" s="464"/>
      <c r="W1885" s="464"/>
      <c r="X1885" s="464"/>
      <c r="Y1885" s="464"/>
      <c r="Z1885" s="464"/>
      <c r="AA1885" s="464"/>
      <c r="AB1885" s="464"/>
      <c r="AC1885" s="464"/>
      <c r="AD1885" s="464"/>
      <c r="AE1885" s="464"/>
      <c r="AF1885" s="464"/>
      <c r="AG1885" s="464"/>
      <c r="AH1885" s="465"/>
      <c r="AI1885" s="464"/>
    </row>
    <row r="1886" customFormat="false" ht="15" hidden="false" customHeight="true" outlineLevel="0" collapsed="false">
      <c r="A1886" s="455" t="s">
        <v>1753</v>
      </c>
      <c r="C1886" s="456" t="n">
        <v>45700</v>
      </c>
      <c r="D1886" s="456"/>
      <c r="E1886" s="57" t="n">
        <v>14688</v>
      </c>
      <c r="F1886" s="57" t="s">
        <v>175</v>
      </c>
      <c r="G1886" s="323" t="s">
        <v>17</v>
      </c>
      <c r="H1886" s="98" t="n">
        <v>660</v>
      </c>
      <c r="I1886" s="457" t="n">
        <v>22.5</v>
      </c>
      <c r="J1886" s="313" t="s">
        <v>1651</v>
      </c>
      <c r="K1886" s="458" t="n">
        <f aca="false">I1886*H1886</f>
        <v>14850</v>
      </c>
      <c r="L1886" s="411" t="n">
        <v>7392</v>
      </c>
      <c r="M1886" s="459" t="n">
        <f aca="false">L1886/K1886</f>
        <v>0.497777777777778</v>
      </c>
      <c r="N1886" s="460" t="n">
        <f aca="false">I1886*M1886</f>
        <v>11.2</v>
      </c>
      <c r="O1886" s="461" t="n">
        <v>660</v>
      </c>
      <c r="P1886" s="462" t="n">
        <f aca="false">H1886-O1886</f>
        <v>0</v>
      </c>
      <c r="Q1886" s="463" t="n">
        <f aca="false">O1886*I1886</f>
        <v>14850</v>
      </c>
      <c r="R1886" s="48" t="n">
        <f aca="false">K1886-Q1886</f>
        <v>0</v>
      </c>
      <c r="S1886" s="467"/>
      <c r="T1886" s="2" t="s">
        <v>1711</v>
      </c>
      <c r="V1886" s="464"/>
      <c r="W1886" s="464"/>
      <c r="X1886" s="464"/>
      <c r="Y1886" s="464"/>
      <c r="Z1886" s="464"/>
      <c r="AA1886" s="464"/>
      <c r="AB1886" s="464"/>
      <c r="AC1886" s="464"/>
      <c r="AD1886" s="464"/>
      <c r="AE1886" s="464"/>
      <c r="AF1886" s="464"/>
      <c r="AG1886" s="464"/>
      <c r="AH1886" s="465"/>
      <c r="AI1886" s="464"/>
    </row>
    <row r="1887" customFormat="false" ht="15" hidden="false" customHeight="true" outlineLevel="0" collapsed="false">
      <c r="A1887" s="455" t="s">
        <v>1753</v>
      </c>
      <c r="C1887" s="456" t="n">
        <v>45700</v>
      </c>
      <c r="D1887" s="456"/>
      <c r="E1887" s="57" t="n">
        <v>14688</v>
      </c>
      <c r="F1887" s="323" t="s">
        <v>175</v>
      </c>
      <c r="G1887" s="323" t="s">
        <v>5</v>
      </c>
      <c r="H1887" s="98" t="n">
        <v>1125</v>
      </c>
      <c r="I1887" s="457" t="n">
        <v>25.71</v>
      </c>
      <c r="J1887" s="313" t="s">
        <v>1651</v>
      </c>
      <c r="K1887" s="458" t="n">
        <f aca="false">I1887*H1887</f>
        <v>28923.75</v>
      </c>
      <c r="L1887" s="411" t="n">
        <v>12600</v>
      </c>
      <c r="M1887" s="459" t="n">
        <f aca="false">L1887/K1887</f>
        <v>0.43562816024893</v>
      </c>
      <c r="N1887" s="460" t="n">
        <f aca="false">I1887*M1887</f>
        <v>11.2</v>
      </c>
      <c r="O1887" s="461" t="n">
        <v>1125</v>
      </c>
      <c r="P1887" s="462" t="n">
        <f aca="false">H1887-O1887</f>
        <v>0</v>
      </c>
      <c r="Q1887" s="463" t="n">
        <f aca="false">O1887*I1887</f>
        <v>28923.75</v>
      </c>
      <c r="R1887" s="48" t="n">
        <f aca="false">K1887-Q1887</f>
        <v>0</v>
      </c>
      <c r="S1887" s="467"/>
      <c r="T1887" s="2" t="s">
        <v>1711</v>
      </c>
      <c r="V1887" s="464"/>
      <c r="W1887" s="464"/>
      <c r="X1887" s="464"/>
      <c r="Y1887" s="464"/>
      <c r="Z1887" s="464"/>
      <c r="AA1887" s="464"/>
      <c r="AB1887" s="464"/>
      <c r="AC1887" s="464"/>
      <c r="AD1887" s="464"/>
      <c r="AE1887" s="464"/>
      <c r="AF1887" s="464"/>
      <c r="AG1887" s="464"/>
      <c r="AH1887" s="465"/>
      <c r="AI1887" s="464"/>
    </row>
    <row r="1888" customFormat="false" ht="15" hidden="false" customHeight="true" outlineLevel="0" collapsed="false">
      <c r="A1888" s="455" t="s">
        <v>1753</v>
      </c>
      <c r="C1888" s="456" t="n">
        <v>45700</v>
      </c>
      <c r="D1888" s="456"/>
      <c r="E1888" s="57" t="n">
        <v>14688</v>
      </c>
      <c r="F1888" s="323" t="s">
        <v>175</v>
      </c>
      <c r="G1888" s="323" t="s">
        <v>13</v>
      </c>
      <c r="H1888" s="98" t="n">
        <v>375</v>
      </c>
      <c r="I1888" s="457" t="n">
        <v>22.5</v>
      </c>
      <c r="J1888" s="313" t="s">
        <v>1651</v>
      </c>
      <c r="K1888" s="458" t="n">
        <f aca="false">I1888*H1888</f>
        <v>8437.5</v>
      </c>
      <c r="L1888" s="411" t="n">
        <v>4200</v>
      </c>
      <c r="M1888" s="459" t="n">
        <f aca="false">L1888/K1888</f>
        <v>0.497777777777778</v>
      </c>
      <c r="N1888" s="460" t="n">
        <f aca="false">I1888*M1888</f>
        <v>11.2</v>
      </c>
      <c r="O1888" s="461" t="n">
        <v>375</v>
      </c>
      <c r="P1888" s="462" t="n">
        <f aca="false">H1888-O1888</f>
        <v>0</v>
      </c>
      <c r="Q1888" s="463" t="n">
        <f aca="false">O1888*I1888</f>
        <v>8437.5</v>
      </c>
      <c r="R1888" s="48" t="n">
        <f aca="false">K1888-Q1888</f>
        <v>0</v>
      </c>
      <c r="S1888" s="467"/>
      <c r="T1888" s="2" t="s">
        <v>1711</v>
      </c>
      <c r="V1888" s="464"/>
      <c r="W1888" s="464"/>
      <c r="X1888" s="464"/>
      <c r="Y1888" s="464"/>
      <c r="Z1888" s="464"/>
      <c r="AA1888" s="464"/>
      <c r="AB1888" s="464"/>
      <c r="AC1888" s="464"/>
      <c r="AD1888" s="464"/>
      <c r="AE1888" s="464"/>
      <c r="AF1888" s="464"/>
      <c r="AG1888" s="464"/>
      <c r="AH1888" s="465"/>
      <c r="AI1888" s="464"/>
    </row>
    <row r="1889" customFormat="false" ht="15" hidden="false" customHeight="true" outlineLevel="0" collapsed="false">
      <c r="A1889" s="455" t="s">
        <v>1760</v>
      </c>
      <c r="C1889" s="456" t="n">
        <v>45700</v>
      </c>
      <c r="D1889" s="456"/>
      <c r="E1889" s="57" t="n">
        <v>14689</v>
      </c>
      <c r="F1889" s="323" t="s">
        <v>175</v>
      </c>
      <c r="G1889" s="323" t="s">
        <v>16</v>
      </c>
      <c r="H1889" s="98" t="n">
        <v>2010</v>
      </c>
      <c r="I1889" s="457" t="n">
        <v>22.5</v>
      </c>
      <c r="J1889" s="313" t="s">
        <v>1651</v>
      </c>
      <c r="K1889" s="458" t="n">
        <f aca="false">I1889*H1889</f>
        <v>45225</v>
      </c>
      <c r="L1889" s="411" t="n">
        <v>33285.6</v>
      </c>
      <c r="M1889" s="459" t="n">
        <f aca="false">L1889/K1889</f>
        <v>0.736</v>
      </c>
      <c r="N1889" s="460" t="n">
        <f aca="false">I1889*M1889</f>
        <v>16.56</v>
      </c>
      <c r="O1889" s="461" t="n">
        <v>2010</v>
      </c>
      <c r="P1889" s="462" t="n">
        <f aca="false">H1889-O1889</f>
        <v>0</v>
      </c>
      <c r="Q1889" s="463" t="n">
        <f aca="false">O1889*I1889</f>
        <v>45225</v>
      </c>
      <c r="R1889" s="48" t="n">
        <f aca="false">K1889-Q1889</f>
        <v>0</v>
      </c>
      <c r="S1889" s="467"/>
      <c r="T1889" s="2" t="s">
        <v>1711</v>
      </c>
      <c r="V1889" s="464"/>
      <c r="W1889" s="464"/>
      <c r="X1889" s="464"/>
      <c r="Y1889" s="464"/>
      <c r="Z1889" s="464"/>
      <c r="AA1889" s="464"/>
      <c r="AB1889" s="464"/>
      <c r="AC1889" s="464"/>
      <c r="AD1889" s="464"/>
      <c r="AE1889" s="464"/>
      <c r="AF1889" s="464"/>
      <c r="AG1889" s="464"/>
      <c r="AH1889" s="465"/>
      <c r="AI1889" s="464"/>
    </row>
    <row r="1890" customFormat="false" ht="15" hidden="false" customHeight="true" outlineLevel="0" collapsed="false">
      <c r="A1890" s="455" t="s">
        <v>2077</v>
      </c>
      <c r="C1890" s="456" t="n">
        <v>45701</v>
      </c>
      <c r="D1890" s="456"/>
      <c r="E1890" s="57" t="n">
        <v>14690</v>
      </c>
      <c r="F1890" s="323" t="s">
        <v>175</v>
      </c>
      <c r="G1890" s="323" t="s">
        <v>22</v>
      </c>
      <c r="H1890" s="98" t="n">
        <v>15</v>
      </c>
      <c r="I1890" s="457" t="n">
        <v>22.5</v>
      </c>
      <c r="J1890" s="313" t="s">
        <v>1651</v>
      </c>
      <c r="K1890" s="458" t="n">
        <f aca="false">I1890*H1890</f>
        <v>337.5</v>
      </c>
      <c r="L1890" s="411" t="n">
        <v>300</v>
      </c>
      <c r="M1890" s="459" t="n">
        <f aca="false">L1890/K1890</f>
        <v>0.888888888888889</v>
      </c>
      <c r="N1890" s="460" t="n">
        <f aca="false">I1890*M1890</f>
        <v>20</v>
      </c>
      <c r="O1890" s="461" t="n">
        <v>15</v>
      </c>
      <c r="P1890" s="462" t="n">
        <f aca="false">H1890-O1890</f>
        <v>0</v>
      </c>
      <c r="Q1890" s="463" t="n">
        <f aca="false">O1890*I1890</f>
        <v>337.5</v>
      </c>
      <c r="R1890" s="48" t="n">
        <f aca="false">K1890-Q1890</f>
        <v>0</v>
      </c>
      <c r="S1890" s="467"/>
      <c r="T1890" s="2" t="s">
        <v>1711</v>
      </c>
      <c r="V1890" s="464"/>
      <c r="W1890" s="464"/>
      <c r="X1890" s="464"/>
      <c r="Y1890" s="464"/>
      <c r="Z1890" s="464"/>
      <c r="AA1890" s="464"/>
      <c r="AB1890" s="464"/>
      <c r="AC1890" s="464"/>
      <c r="AD1890" s="464"/>
      <c r="AE1890" s="464"/>
      <c r="AF1890" s="464"/>
      <c r="AG1890" s="464"/>
      <c r="AH1890" s="465"/>
      <c r="AI1890" s="464"/>
    </row>
    <row r="1891" customFormat="false" ht="15" hidden="false" customHeight="true" outlineLevel="0" collapsed="false">
      <c r="A1891" s="455" t="s">
        <v>2077</v>
      </c>
      <c r="C1891" s="456" t="n">
        <v>45701</v>
      </c>
      <c r="D1891" s="456"/>
      <c r="E1891" s="57" t="n">
        <v>14691</v>
      </c>
      <c r="F1891" s="323" t="s">
        <v>175</v>
      </c>
      <c r="G1891" s="323" t="s">
        <v>22</v>
      </c>
      <c r="H1891" s="98" t="n">
        <v>1125</v>
      </c>
      <c r="I1891" s="457" t="n">
        <v>22.5</v>
      </c>
      <c r="J1891" s="313" t="s">
        <v>1651</v>
      </c>
      <c r="K1891" s="458" t="n">
        <f aca="false">I1891*H1891</f>
        <v>25312.5</v>
      </c>
      <c r="L1891" s="411" t="n">
        <v>22500</v>
      </c>
      <c r="M1891" s="459" t="n">
        <f aca="false">L1891/K1891</f>
        <v>0.888888888888889</v>
      </c>
      <c r="N1891" s="460" t="n">
        <f aca="false">I1891*M1891</f>
        <v>20</v>
      </c>
      <c r="O1891" s="461" t="n">
        <v>1125</v>
      </c>
      <c r="P1891" s="462" t="n">
        <f aca="false">H1891-O1891</f>
        <v>0</v>
      </c>
      <c r="Q1891" s="463" t="n">
        <f aca="false">O1891*I1891</f>
        <v>25312.5</v>
      </c>
      <c r="R1891" s="48" t="n">
        <f aca="false">K1891-Q1891</f>
        <v>0</v>
      </c>
      <c r="S1891" s="467"/>
      <c r="T1891" s="2" t="s">
        <v>1711</v>
      </c>
      <c r="V1891" s="464"/>
      <c r="W1891" s="464"/>
      <c r="X1891" s="464"/>
      <c r="Y1891" s="464"/>
      <c r="Z1891" s="464"/>
      <c r="AA1891" s="464"/>
      <c r="AB1891" s="464"/>
      <c r="AC1891" s="464"/>
      <c r="AD1891" s="464"/>
      <c r="AE1891" s="464"/>
      <c r="AF1891" s="464"/>
      <c r="AG1891" s="464"/>
      <c r="AH1891" s="465"/>
      <c r="AI1891" s="464"/>
    </row>
    <row r="1892" customFormat="false" ht="15" hidden="false" customHeight="true" outlineLevel="0" collapsed="false">
      <c r="A1892" s="455" t="s">
        <v>1819</v>
      </c>
      <c r="C1892" s="456" t="n">
        <v>45701</v>
      </c>
      <c r="D1892" s="456"/>
      <c r="E1892" s="57" t="n">
        <v>14693</v>
      </c>
      <c r="F1892" s="323" t="s">
        <v>175</v>
      </c>
      <c r="G1892" s="323" t="s">
        <v>16</v>
      </c>
      <c r="H1892" s="98" t="n">
        <v>750</v>
      </c>
      <c r="I1892" s="457" t="n">
        <v>22.5</v>
      </c>
      <c r="J1892" s="313" t="s">
        <v>1651</v>
      </c>
      <c r="K1892" s="458" t="n">
        <f aca="false">I1892*H1892</f>
        <v>16875</v>
      </c>
      <c r="L1892" s="411" t="n">
        <v>15375</v>
      </c>
      <c r="M1892" s="459" t="n">
        <f aca="false">L1892/K1892</f>
        <v>0.911111111111111</v>
      </c>
      <c r="N1892" s="460" t="n">
        <f aca="false">I1892*M1892</f>
        <v>20.5</v>
      </c>
      <c r="O1892" s="461" t="n">
        <v>750</v>
      </c>
      <c r="P1892" s="462" t="n">
        <f aca="false">H1892-O1892</f>
        <v>0</v>
      </c>
      <c r="Q1892" s="463" t="n">
        <f aca="false">O1892*I1892</f>
        <v>16875</v>
      </c>
      <c r="R1892" s="48" t="n">
        <f aca="false">K1892-Q1892</f>
        <v>0</v>
      </c>
      <c r="S1892" s="467"/>
      <c r="T1892" s="2" t="s">
        <v>1711</v>
      </c>
      <c r="V1892" s="464"/>
      <c r="W1892" s="464"/>
      <c r="X1892" s="464"/>
      <c r="Y1892" s="464"/>
      <c r="Z1892" s="464"/>
      <c r="AA1892" s="464"/>
      <c r="AB1892" s="464"/>
      <c r="AC1892" s="464"/>
      <c r="AD1892" s="464"/>
      <c r="AE1892" s="464"/>
      <c r="AF1892" s="464"/>
      <c r="AG1892" s="464"/>
      <c r="AH1892" s="465"/>
      <c r="AI1892" s="464"/>
    </row>
    <row r="1893" customFormat="false" ht="15" hidden="false" customHeight="true" outlineLevel="0" collapsed="false">
      <c r="A1893" s="455" t="s">
        <v>1758</v>
      </c>
      <c r="C1893" s="456" t="n">
        <v>45701</v>
      </c>
      <c r="D1893" s="456"/>
      <c r="E1893" s="57" t="n">
        <v>14694</v>
      </c>
      <c r="F1893" s="323" t="s">
        <v>175</v>
      </c>
      <c r="G1893" s="323" t="s">
        <v>5</v>
      </c>
      <c r="H1893" s="98" t="n">
        <v>1500</v>
      </c>
      <c r="I1893" s="457" t="n">
        <v>25.71</v>
      </c>
      <c r="J1893" s="313" t="s">
        <v>1651</v>
      </c>
      <c r="K1893" s="458" t="n">
        <f aca="false">I1893*H1893</f>
        <v>38565</v>
      </c>
      <c r="L1893" s="411" t="n">
        <v>15180</v>
      </c>
      <c r="M1893" s="459" t="n">
        <f aca="false">L1893/K1893</f>
        <v>0.393621159082069</v>
      </c>
      <c r="N1893" s="460" t="n">
        <f aca="false">I1893*M1893</f>
        <v>10.12</v>
      </c>
      <c r="O1893" s="461" t="n">
        <v>1500</v>
      </c>
      <c r="P1893" s="462" t="n">
        <f aca="false">H1893-O1893</f>
        <v>0</v>
      </c>
      <c r="Q1893" s="463" t="n">
        <f aca="false">O1893*I1893</f>
        <v>38565</v>
      </c>
      <c r="R1893" s="48" t="n">
        <f aca="false">K1893-Q1893</f>
        <v>0</v>
      </c>
      <c r="S1893" s="467"/>
      <c r="T1893" s="2" t="s">
        <v>1711</v>
      </c>
      <c r="V1893" s="464"/>
      <c r="W1893" s="464"/>
      <c r="X1893" s="464"/>
      <c r="Y1893" s="464"/>
      <c r="Z1893" s="464"/>
      <c r="AA1893" s="464"/>
      <c r="AB1893" s="464"/>
      <c r="AC1893" s="464"/>
      <c r="AD1893" s="464"/>
      <c r="AE1893" s="464"/>
      <c r="AF1893" s="464"/>
      <c r="AG1893" s="464"/>
      <c r="AH1893" s="465"/>
      <c r="AI1893" s="464"/>
    </row>
    <row r="1894" customFormat="false" ht="15" hidden="false" customHeight="true" outlineLevel="0" collapsed="false">
      <c r="A1894" s="455" t="s">
        <v>1758</v>
      </c>
      <c r="C1894" s="456" t="n">
        <v>45701</v>
      </c>
      <c r="D1894" s="456"/>
      <c r="E1894" s="57" t="n">
        <v>14694</v>
      </c>
      <c r="F1894" s="323" t="s">
        <v>175</v>
      </c>
      <c r="G1894" s="323" t="s">
        <v>42</v>
      </c>
      <c r="H1894" s="98" t="n">
        <v>1050</v>
      </c>
      <c r="I1894" s="457" t="n">
        <v>30</v>
      </c>
      <c r="J1894" s="313" t="s">
        <v>1651</v>
      </c>
      <c r="K1894" s="458" t="n">
        <f aca="false">I1894*H1894</f>
        <v>31500</v>
      </c>
      <c r="L1894" s="411" t="n">
        <v>13274.1</v>
      </c>
      <c r="M1894" s="459" t="n">
        <f aca="false">L1894/K1894</f>
        <v>0.4214</v>
      </c>
      <c r="N1894" s="460" t="n">
        <f aca="false">I1894*M1894</f>
        <v>12.642</v>
      </c>
      <c r="O1894" s="461" t="n">
        <v>1050</v>
      </c>
      <c r="P1894" s="462" t="n">
        <f aca="false">H1894-O1894</f>
        <v>0</v>
      </c>
      <c r="Q1894" s="463" t="n">
        <f aca="false">O1894*I1894</f>
        <v>31500</v>
      </c>
      <c r="R1894" s="48" t="n">
        <f aca="false">K1894-Q1894</f>
        <v>0</v>
      </c>
      <c r="S1894" s="467"/>
      <c r="T1894" s="2" t="s">
        <v>1711</v>
      </c>
      <c r="V1894" s="464"/>
      <c r="W1894" s="464"/>
      <c r="X1894" s="464"/>
      <c r="Y1894" s="464"/>
      <c r="Z1894" s="464"/>
      <c r="AA1894" s="464"/>
      <c r="AB1894" s="464"/>
      <c r="AC1894" s="464"/>
      <c r="AD1894" s="464"/>
      <c r="AE1894" s="464"/>
      <c r="AF1894" s="464"/>
      <c r="AG1894" s="464"/>
      <c r="AH1894" s="465"/>
      <c r="AI1894" s="464"/>
    </row>
    <row r="1895" customFormat="false" ht="15" hidden="false" customHeight="true" outlineLevel="0" collapsed="false">
      <c r="A1895" s="455" t="s">
        <v>1760</v>
      </c>
      <c r="C1895" s="456" t="n">
        <v>45701</v>
      </c>
      <c r="D1895" s="456"/>
      <c r="E1895" s="57" t="n">
        <v>14695</v>
      </c>
      <c r="F1895" s="323" t="s">
        <v>175</v>
      </c>
      <c r="G1895" s="323" t="s">
        <v>7</v>
      </c>
      <c r="H1895" s="98" t="n">
        <v>150</v>
      </c>
      <c r="I1895" s="457" t="n">
        <v>25.71</v>
      </c>
      <c r="J1895" s="313" t="s">
        <v>1651</v>
      </c>
      <c r="K1895" s="458" t="n">
        <f aca="false">I1895*H1895</f>
        <v>3856.5</v>
      </c>
      <c r="L1895" s="411" t="n">
        <v>2134.8</v>
      </c>
      <c r="M1895" s="459" t="n">
        <f aca="false">L1895/K1895</f>
        <v>0.553558926487748</v>
      </c>
      <c r="N1895" s="460" t="n">
        <f aca="false">I1895*M1895</f>
        <v>14.232</v>
      </c>
      <c r="O1895" s="461" t="n">
        <v>150</v>
      </c>
      <c r="P1895" s="462" t="n">
        <f aca="false">H1895-O1895</f>
        <v>0</v>
      </c>
      <c r="Q1895" s="463" t="n">
        <f aca="false">O1895*I1895</f>
        <v>3856.5</v>
      </c>
      <c r="R1895" s="48" t="n">
        <f aca="false">K1895-Q1895</f>
        <v>0</v>
      </c>
      <c r="S1895" s="467"/>
      <c r="T1895" s="2" t="s">
        <v>1711</v>
      </c>
      <c r="V1895" s="464"/>
      <c r="W1895" s="464"/>
      <c r="X1895" s="464"/>
      <c r="Y1895" s="464"/>
      <c r="Z1895" s="464"/>
      <c r="AA1895" s="464"/>
      <c r="AB1895" s="464"/>
      <c r="AC1895" s="464"/>
      <c r="AD1895" s="464"/>
      <c r="AE1895" s="464"/>
      <c r="AF1895" s="464"/>
      <c r="AG1895" s="464"/>
      <c r="AH1895" s="465"/>
      <c r="AI1895" s="464"/>
    </row>
    <row r="1896" customFormat="false" ht="15" hidden="false" customHeight="true" outlineLevel="0" collapsed="false">
      <c r="A1896" s="455" t="s">
        <v>1759</v>
      </c>
      <c r="C1896" s="456" t="n">
        <v>45701</v>
      </c>
      <c r="D1896" s="456"/>
      <c r="E1896" s="323" t="n">
        <v>14695</v>
      </c>
      <c r="F1896" s="323" t="s">
        <v>175</v>
      </c>
      <c r="G1896" s="323" t="s">
        <v>15</v>
      </c>
      <c r="H1896" s="98" t="n">
        <v>750</v>
      </c>
      <c r="I1896" s="457" t="n">
        <v>22.5</v>
      </c>
      <c r="J1896" s="313" t="s">
        <v>1651</v>
      </c>
      <c r="K1896" s="458" t="n">
        <f aca="false">I1896*H1896</f>
        <v>16875</v>
      </c>
      <c r="L1896" s="411" t="n">
        <v>13125</v>
      </c>
      <c r="M1896" s="459" t="n">
        <f aca="false">L1896/K1896</f>
        <v>0.777777777777778</v>
      </c>
      <c r="N1896" s="460" t="n">
        <f aca="false">I1896*M1896</f>
        <v>17.5</v>
      </c>
      <c r="O1896" s="461" t="n">
        <v>750</v>
      </c>
      <c r="P1896" s="462" t="n">
        <f aca="false">H1896-O1896</f>
        <v>0</v>
      </c>
      <c r="Q1896" s="463" t="n">
        <f aca="false">O1896*I1896</f>
        <v>16875</v>
      </c>
      <c r="R1896" s="48" t="n">
        <f aca="false">K1896-Q1896</f>
        <v>0</v>
      </c>
      <c r="S1896" s="467"/>
      <c r="T1896" s="2" t="s">
        <v>1711</v>
      </c>
      <c r="V1896" s="464"/>
      <c r="W1896" s="464"/>
      <c r="X1896" s="464"/>
      <c r="Y1896" s="464"/>
      <c r="Z1896" s="464"/>
      <c r="AA1896" s="464"/>
      <c r="AB1896" s="464"/>
      <c r="AC1896" s="464"/>
      <c r="AD1896" s="464"/>
      <c r="AE1896" s="464"/>
      <c r="AF1896" s="464"/>
      <c r="AG1896" s="464"/>
      <c r="AH1896" s="465"/>
      <c r="AI1896" s="464"/>
    </row>
    <row r="1897" customFormat="false" ht="15" hidden="false" customHeight="true" outlineLevel="0" collapsed="false">
      <c r="A1897" s="455" t="s">
        <v>1760</v>
      </c>
      <c r="C1897" s="456" t="n">
        <v>45701</v>
      </c>
      <c r="D1897" s="456"/>
      <c r="E1897" s="323" t="n">
        <v>14696</v>
      </c>
      <c r="F1897" s="323" t="s">
        <v>175</v>
      </c>
      <c r="G1897" s="323" t="s">
        <v>6</v>
      </c>
      <c r="H1897" s="98" t="n">
        <v>750</v>
      </c>
      <c r="I1897" s="457" t="n">
        <v>30</v>
      </c>
      <c r="J1897" s="313" t="s">
        <v>1651</v>
      </c>
      <c r="K1897" s="458" t="n">
        <f aca="false">I1897*H1897</f>
        <v>22500</v>
      </c>
      <c r="L1897" s="411" t="n">
        <v>12000</v>
      </c>
      <c r="M1897" s="459" t="n">
        <f aca="false">L1897/K1897</f>
        <v>0.533333333333333</v>
      </c>
      <c r="N1897" s="460" t="n">
        <f aca="false">I1897*M1897</f>
        <v>16</v>
      </c>
      <c r="O1897" s="461" t="n">
        <v>645</v>
      </c>
      <c r="P1897" s="468" t="n">
        <f aca="false">H1897-O1897</f>
        <v>105</v>
      </c>
      <c r="Q1897" s="463" t="n">
        <f aca="false">O1897*I1897</f>
        <v>19350</v>
      </c>
      <c r="R1897" s="48" t="n">
        <f aca="false">K1897-Q1897</f>
        <v>3150</v>
      </c>
      <c r="S1897" s="467" t="n">
        <v>45701</v>
      </c>
      <c r="T1897" s="2" t="s">
        <v>1711</v>
      </c>
      <c r="V1897" s="464"/>
      <c r="W1897" s="464"/>
      <c r="X1897" s="464"/>
      <c r="Y1897" s="464"/>
      <c r="Z1897" s="464"/>
      <c r="AA1897" s="464"/>
      <c r="AB1897" s="464"/>
      <c r="AC1897" s="464"/>
      <c r="AD1897" s="464"/>
      <c r="AE1897" s="464"/>
      <c r="AF1897" s="464"/>
      <c r="AG1897" s="464"/>
      <c r="AH1897" s="465"/>
      <c r="AI1897" s="464"/>
    </row>
    <row r="1898" customFormat="false" ht="15" hidden="false" customHeight="true" outlineLevel="0" collapsed="false">
      <c r="A1898" s="455" t="s">
        <v>1760</v>
      </c>
      <c r="C1898" s="456" t="n">
        <v>45701</v>
      </c>
      <c r="D1898" s="456"/>
      <c r="E1898" s="323" t="s">
        <v>2078</v>
      </c>
      <c r="F1898" s="323" t="s">
        <v>175</v>
      </c>
      <c r="G1898" s="323" t="s">
        <v>19</v>
      </c>
      <c r="H1898" s="98" t="n">
        <v>290</v>
      </c>
      <c r="I1898" s="457" t="n">
        <v>22.5</v>
      </c>
      <c r="J1898" s="313" t="s">
        <v>1651</v>
      </c>
      <c r="K1898" s="458" t="n">
        <f aca="false">I1898*H1898</f>
        <v>6525</v>
      </c>
      <c r="L1898" s="411" t="n">
        <v>5469.4</v>
      </c>
      <c r="M1898" s="459" t="n">
        <f aca="false">L1898/K1898</f>
        <v>0.838222222222222</v>
      </c>
      <c r="N1898" s="460" t="n">
        <f aca="false">I1898*M1898</f>
        <v>18.86</v>
      </c>
      <c r="O1898" s="461" t="n">
        <v>290</v>
      </c>
      <c r="P1898" s="462" t="n">
        <f aca="false">H1898-O1898</f>
        <v>0</v>
      </c>
      <c r="Q1898" s="463" t="n">
        <f aca="false">O1898*I1898</f>
        <v>6525</v>
      </c>
      <c r="R1898" s="48" t="n">
        <f aca="false">K1898-Q1898</f>
        <v>0</v>
      </c>
      <c r="S1898" s="467"/>
      <c r="T1898" s="2" t="s">
        <v>1711</v>
      </c>
      <c r="V1898" s="464"/>
      <c r="W1898" s="464"/>
      <c r="X1898" s="464"/>
      <c r="Y1898" s="464"/>
      <c r="Z1898" s="464"/>
      <c r="AA1898" s="464"/>
      <c r="AB1898" s="464"/>
      <c r="AC1898" s="464"/>
      <c r="AD1898" s="464"/>
      <c r="AE1898" s="464"/>
      <c r="AF1898" s="464"/>
      <c r="AG1898" s="464"/>
      <c r="AH1898" s="465"/>
      <c r="AI1898" s="464"/>
    </row>
    <row r="1899" customFormat="false" ht="15" hidden="false" customHeight="true" outlineLevel="0" collapsed="false">
      <c r="A1899" s="455" t="s">
        <v>1760</v>
      </c>
      <c r="C1899" s="456" t="n">
        <v>45701</v>
      </c>
      <c r="D1899" s="456"/>
      <c r="E1899" s="323" t="n">
        <v>14696</v>
      </c>
      <c r="F1899" s="323" t="s">
        <v>175</v>
      </c>
      <c r="G1899" s="323" t="s">
        <v>17</v>
      </c>
      <c r="H1899" s="98" t="n">
        <v>750</v>
      </c>
      <c r="I1899" s="457" t="n">
        <v>22.5</v>
      </c>
      <c r="J1899" s="313" t="s">
        <v>1651</v>
      </c>
      <c r="K1899" s="458" t="n">
        <f aca="false">I1899*H1899</f>
        <v>16875</v>
      </c>
      <c r="L1899" s="411" t="n">
        <v>7935</v>
      </c>
      <c r="M1899" s="459" t="n">
        <f aca="false">L1899/K1899</f>
        <v>0.470222222222222</v>
      </c>
      <c r="N1899" s="460" t="n">
        <f aca="false">I1899*M1899</f>
        <v>10.58</v>
      </c>
      <c r="O1899" s="461"/>
      <c r="P1899" s="468" t="n">
        <f aca="false">H1899-O1899</f>
        <v>750</v>
      </c>
      <c r="Q1899" s="463" t="n">
        <f aca="false">O1899*I1899</f>
        <v>0</v>
      </c>
      <c r="R1899" s="48" t="n">
        <f aca="false">K1899-Q1899</f>
        <v>16875</v>
      </c>
      <c r="S1899" s="467" t="n">
        <v>45701</v>
      </c>
      <c r="T1899" s="2" t="s">
        <v>1711</v>
      </c>
      <c r="V1899" s="464"/>
      <c r="W1899" s="464"/>
      <c r="X1899" s="464"/>
      <c r="Y1899" s="464"/>
      <c r="Z1899" s="464"/>
      <c r="AA1899" s="464"/>
      <c r="AB1899" s="464"/>
      <c r="AC1899" s="464"/>
      <c r="AD1899" s="464"/>
      <c r="AE1899" s="464"/>
      <c r="AF1899" s="464"/>
      <c r="AG1899" s="464"/>
      <c r="AH1899" s="465"/>
      <c r="AI1899" s="464"/>
    </row>
    <row r="1900" customFormat="false" ht="15" hidden="false" customHeight="true" outlineLevel="0" collapsed="false">
      <c r="A1900" s="455" t="s">
        <v>1760</v>
      </c>
      <c r="C1900" s="456" t="n">
        <v>45701</v>
      </c>
      <c r="D1900" s="456"/>
      <c r="E1900" s="323" t="n">
        <v>14696</v>
      </c>
      <c r="F1900" s="323" t="s">
        <v>175</v>
      </c>
      <c r="G1900" s="323" t="s">
        <v>11</v>
      </c>
      <c r="H1900" s="98" t="n">
        <v>150</v>
      </c>
      <c r="I1900" s="457" t="n">
        <v>14</v>
      </c>
      <c r="J1900" s="313" t="s">
        <v>1651</v>
      </c>
      <c r="K1900" s="458" t="n">
        <f aca="false">I1900*H1900</f>
        <v>2100</v>
      </c>
      <c r="L1900" s="411" t="n">
        <v>8211</v>
      </c>
      <c r="M1900" s="459" t="n">
        <f aca="false">L1900/K1900</f>
        <v>3.91</v>
      </c>
      <c r="N1900" s="460" t="n">
        <f aca="false">I1900*M1900</f>
        <v>54.74</v>
      </c>
      <c r="O1900" s="461" t="n">
        <v>150</v>
      </c>
      <c r="P1900" s="462" t="n">
        <f aca="false">H1900-O1900</f>
        <v>0</v>
      </c>
      <c r="Q1900" s="463" t="n">
        <f aca="false">O1900*I1900</f>
        <v>2100</v>
      </c>
      <c r="R1900" s="48" t="n">
        <f aca="false">K1900-Q1900</f>
        <v>0</v>
      </c>
      <c r="S1900" s="467"/>
      <c r="T1900" s="2" t="s">
        <v>1711</v>
      </c>
      <c r="V1900" s="464"/>
      <c r="W1900" s="464"/>
      <c r="X1900" s="464"/>
      <c r="Y1900" s="464"/>
      <c r="Z1900" s="464"/>
      <c r="AA1900" s="464"/>
      <c r="AB1900" s="464"/>
      <c r="AC1900" s="464"/>
      <c r="AD1900" s="464"/>
      <c r="AE1900" s="464"/>
      <c r="AF1900" s="464"/>
      <c r="AG1900" s="464"/>
      <c r="AH1900" s="465"/>
      <c r="AI1900" s="464"/>
    </row>
    <row r="1901" customFormat="false" ht="15" hidden="false" customHeight="true" outlineLevel="0" collapsed="false">
      <c r="A1901" s="455" t="s">
        <v>1760</v>
      </c>
      <c r="C1901" s="456" t="n">
        <v>45701</v>
      </c>
      <c r="D1901" s="456"/>
      <c r="E1901" s="323" t="n">
        <v>14696</v>
      </c>
      <c r="F1901" s="323" t="s">
        <v>175</v>
      </c>
      <c r="G1901" s="323" t="s">
        <v>13</v>
      </c>
      <c r="H1901" s="98" t="n">
        <v>2250</v>
      </c>
      <c r="I1901" s="457" t="n">
        <v>22.5</v>
      </c>
      <c r="J1901" s="313" t="s">
        <v>1651</v>
      </c>
      <c r="K1901" s="458" t="n">
        <f aca="false">I1901*H1901</f>
        <v>50625</v>
      </c>
      <c r="L1901" s="411" t="n">
        <v>23805</v>
      </c>
      <c r="M1901" s="459" t="n">
        <f aca="false">L1901/K1901</f>
        <v>0.470222222222222</v>
      </c>
      <c r="N1901" s="460" t="n">
        <f aca="false">I1901*M1901</f>
        <v>10.58</v>
      </c>
      <c r="O1901" s="461" t="n">
        <v>2250</v>
      </c>
      <c r="P1901" s="462" t="n">
        <f aca="false">H1901-O1901</f>
        <v>0</v>
      </c>
      <c r="Q1901" s="463" t="n">
        <f aca="false">O1901*I1901</f>
        <v>50625</v>
      </c>
      <c r="R1901" s="48" t="n">
        <f aca="false">K1901-Q1901</f>
        <v>0</v>
      </c>
      <c r="S1901" s="467"/>
      <c r="T1901" s="2" t="s">
        <v>1711</v>
      </c>
      <c r="V1901" s="464"/>
      <c r="W1901" s="464"/>
      <c r="X1901" s="464"/>
      <c r="Y1901" s="464"/>
      <c r="Z1901" s="464"/>
      <c r="AA1901" s="464"/>
      <c r="AB1901" s="464"/>
      <c r="AC1901" s="464"/>
      <c r="AD1901" s="464"/>
      <c r="AE1901" s="464"/>
      <c r="AF1901" s="464"/>
      <c r="AG1901" s="464"/>
      <c r="AH1901" s="465"/>
      <c r="AI1901" s="464"/>
    </row>
    <row r="1902" customFormat="false" ht="15" hidden="false" customHeight="true" outlineLevel="0" collapsed="false">
      <c r="A1902" s="455" t="s">
        <v>1781</v>
      </c>
      <c r="C1902" s="456" t="n">
        <v>45701</v>
      </c>
      <c r="D1902" s="456"/>
      <c r="E1902" s="323" t="n">
        <v>14697</v>
      </c>
      <c r="F1902" s="323" t="s">
        <v>175</v>
      </c>
      <c r="G1902" s="323" t="s">
        <v>10</v>
      </c>
      <c r="H1902" s="98" t="n">
        <v>750</v>
      </c>
      <c r="I1902" s="457" t="n">
        <v>38.3</v>
      </c>
      <c r="J1902" s="313" t="s">
        <v>1652</v>
      </c>
      <c r="K1902" s="458" t="n">
        <f aca="false">I1902*H1902</f>
        <v>28725</v>
      </c>
      <c r="L1902" s="411" t="n">
        <v>8625</v>
      </c>
      <c r="M1902" s="459" t="n">
        <f aca="false">L1902/K1902</f>
        <v>0.300261096605744</v>
      </c>
      <c r="N1902" s="460" t="n">
        <f aca="false">I1902*M1902</f>
        <v>11.5</v>
      </c>
      <c r="O1902" s="461" t="n">
        <v>750</v>
      </c>
      <c r="P1902" s="462" t="n">
        <f aca="false">H1902-O1902</f>
        <v>0</v>
      </c>
      <c r="Q1902" s="463" t="n">
        <f aca="false">O1902*I1902</f>
        <v>28725</v>
      </c>
      <c r="R1902" s="48" t="n">
        <f aca="false">K1902-Q1902</f>
        <v>0</v>
      </c>
      <c r="S1902" s="467"/>
      <c r="T1902" s="2" t="s">
        <v>1711</v>
      </c>
      <c r="V1902" s="464"/>
      <c r="W1902" s="464"/>
      <c r="X1902" s="464"/>
      <c r="Y1902" s="464"/>
      <c r="Z1902" s="464"/>
      <c r="AA1902" s="464"/>
      <c r="AB1902" s="464"/>
      <c r="AC1902" s="464"/>
      <c r="AD1902" s="464"/>
      <c r="AE1902" s="464"/>
      <c r="AF1902" s="464"/>
      <c r="AG1902" s="464"/>
      <c r="AH1902" s="465"/>
      <c r="AI1902" s="464"/>
    </row>
    <row r="1903" customFormat="false" ht="15" hidden="false" customHeight="true" outlineLevel="0" collapsed="false">
      <c r="A1903" s="455" t="s">
        <v>239</v>
      </c>
      <c r="C1903" s="456" t="n">
        <v>45701</v>
      </c>
      <c r="D1903" s="456"/>
      <c r="E1903" s="323" t="s">
        <v>2046</v>
      </c>
      <c r="F1903" s="323" t="s">
        <v>175</v>
      </c>
      <c r="G1903" s="323" t="s">
        <v>18</v>
      </c>
      <c r="H1903" s="98" t="n">
        <v>5157.4</v>
      </c>
      <c r="I1903" s="457" t="n">
        <v>90</v>
      </c>
      <c r="J1903" s="313" t="s">
        <v>1653</v>
      </c>
      <c r="K1903" s="458" t="n">
        <f aca="false">I1903*H1903</f>
        <v>464166</v>
      </c>
      <c r="L1903" s="411" t="n">
        <v>116000.09</v>
      </c>
      <c r="M1903" s="459" t="n">
        <f aca="false">L1903/K1903</f>
        <v>0.249910786227341</v>
      </c>
      <c r="N1903" s="460" t="n">
        <f aca="false">I1903*M1903</f>
        <v>22.4919707604607</v>
      </c>
      <c r="O1903" s="461" t="n">
        <v>5157.4</v>
      </c>
      <c r="P1903" s="462" t="n">
        <f aca="false">H1903-O1903</f>
        <v>0</v>
      </c>
      <c r="Q1903" s="463" t="n">
        <f aca="false">O1903*I1903</f>
        <v>464166</v>
      </c>
      <c r="R1903" s="48" t="n">
        <f aca="false">K1903-Q1903</f>
        <v>0</v>
      </c>
      <c r="S1903" s="467"/>
      <c r="T1903" s="2" t="s">
        <v>1711</v>
      </c>
      <c r="V1903" s="464"/>
      <c r="W1903" s="464"/>
      <c r="X1903" s="464"/>
      <c r="Y1903" s="464"/>
      <c r="Z1903" s="464"/>
      <c r="AA1903" s="464"/>
      <c r="AB1903" s="464"/>
      <c r="AC1903" s="464"/>
      <c r="AD1903" s="464"/>
      <c r="AE1903" s="464"/>
      <c r="AF1903" s="464"/>
      <c r="AG1903" s="464"/>
      <c r="AH1903" s="465"/>
      <c r="AI1903" s="464"/>
    </row>
    <row r="1904" customFormat="false" ht="15" hidden="false" customHeight="true" outlineLevel="0" collapsed="false">
      <c r="A1904" s="455" t="s">
        <v>2079</v>
      </c>
      <c r="C1904" s="456" t="n">
        <v>45702</v>
      </c>
      <c r="D1904" s="456"/>
      <c r="E1904" s="57" t="n">
        <v>14699</v>
      </c>
      <c r="F1904" s="57" t="s">
        <v>175</v>
      </c>
      <c r="G1904" s="323" t="s">
        <v>7</v>
      </c>
      <c r="H1904" s="98" t="n">
        <v>210</v>
      </c>
      <c r="I1904" s="457" t="n">
        <v>25.71</v>
      </c>
      <c r="J1904" s="313" t="s">
        <v>1651</v>
      </c>
      <c r="K1904" s="458" t="n">
        <f aca="false">I1904*H1904</f>
        <v>5399.1</v>
      </c>
      <c r="L1904" s="411" t="n">
        <v>3675</v>
      </c>
      <c r="M1904" s="459" t="n">
        <f aca="false">L1904/K1904</f>
        <v>0.680669000388954</v>
      </c>
      <c r="N1904" s="460" t="n">
        <f aca="false">I1904*M1904</f>
        <v>17.5</v>
      </c>
      <c r="O1904" s="461" t="n">
        <v>210</v>
      </c>
      <c r="P1904" s="462" t="n">
        <f aca="false">H1904-O1904</f>
        <v>0</v>
      </c>
      <c r="Q1904" s="463" t="n">
        <f aca="false">O1904*I1904</f>
        <v>5399.1</v>
      </c>
      <c r="R1904" s="48" t="n">
        <f aca="false">K1904-Q1904</f>
        <v>0</v>
      </c>
      <c r="S1904" s="467"/>
      <c r="T1904" s="2" t="s">
        <v>1711</v>
      </c>
      <c r="V1904" s="464"/>
      <c r="W1904" s="464"/>
      <c r="X1904" s="464"/>
      <c r="Y1904" s="464"/>
      <c r="Z1904" s="464"/>
      <c r="AA1904" s="464"/>
      <c r="AB1904" s="464"/>
      <c r="AC1904" s="464"/>
      <c r="AD1904" s="464"/>
      <c r="AE1904" s="464"/>
      <c r="AF1904" s="464"/>
      <c r="AG1904" s="464"/>
      <c r="AH1904" s="465"/>
      <c r="AI1904" s="464"/>
    </row>
    <row r="1905" customFormat="false" ht="15" hidden="false" customHeight="true" outlineLevel="0" collapsed="false">
      <c r="A1905" s="455" t="s">
        <v>2079</v>
      </c>
      <c r="C1905" s="456" t="n">
        <v>45702</v>
      </c>
      <c r="D1905" s="456"/>
      <c r="E1905" s="57" t="n">
        <v>14699</v>
      </c>
      <c r="F1905" s="57" t="s">
        <v>175</v>
      </c>
      <c r="G1905" s="323" t="s">
        <v>5</v>
      </c>
      <c r="H1905" s="98" t="n">
        <v>705</v>
      </c>
      <c r="I1905" s="457" t="n">
        <v>37.5</v>
      </c>
      <c r="J1905" s="313" t="s">
        <v>1652</v>
      </c>
      <c r="K1905" s="458" t="n">
        <f aca="false">I1905*H1905</f>
        <v>26437.5</v>
      </c>
      <c r="L1905" s="411" t="n">
        <v>16567.5</v>
      </c>
      <c r="M1905" s="459" t="n">
        <f aca="false">L1905/K1905</f>
        <v>0.626666666666667</v>
      </c>
      <c r="N1905" s="460" t="n">
        <f aca="false">I1905*M1905</f>
        <v>23.5</v>
      </c>
      <c r="O1905" s="461" t="n">
        <v>705</v>
      </c>
      <c r="P1905" s="462" t="n">
        <f aca="false">H1905-O1905</f>
        <v>0</v>
      </c>
      <c r="Q1905" s="463" t="n">
        <f aca="false">O1905*I1905</f>
        <v>26437.5</v>
      </c>
      <c r="R1905" s="48" t="n">
        <f aca="false">K1905-Q1905</f>
        <v>0</v>
      </c>
      <c r="S1905" s="467"/>
      <c r="T1905" s="2" t="s">
        <v>1711</v>
      </c>
      <c r="V1905" s="464"/>
      <c r="W1905" s="464"/>
      <c r="X1905" s="464"/>
      <c r="Y1905" s="464"/>
      <c r="Z1905" s="464"/>
      <c r="AA1905" s="464"/>
      <c r="AB1905" s="464"/>
      <c r="AC1905" s="464"/>
      <c r="AD1905" s="464"/>
      <c r="AE1905" s="464"/>
      <c r="AF1905" s="464"/>
      <c r="AG1905" s="464"/>
      <c r="AH1905" s="465"/>
      <c r="AI1905" s="464"/>
    </row>
    <row r="1906" customFormat="false" ht="15" hidden="false" customHeight="true" outlineLevel="0" collapsed="false">
      <c r="A1906" s="455" t="s">
        <v>1950</v>
      </c>
      <c r="C1906" s="456" t="n">
        <v>45702</v>
      </c>
      <c r="D1906" s="456"/>
      <c r="E1906" s="57" t="n">
        <v>14700</v>
      </c>
      <c r="F1906" s="57" t="s">
        <v>175</v>
      </c>
      <c r="G1906" s="323" t="s">
        <v>5</v>
      </c>
      <c r="H1906" s="98" t="n">
        <v>750</v>
      </c>
      <c r="I1906" s="457" t="n">
        <v>25.71</v>
      </c>
      <c r="J1906" s="313" t="s">
        <v>1651</v>
      </c>
      <c r="K1906" s="458" t="n">
        <f aca="false">I1906*H1906</f>
        <v>19282.5</v>
      </c>
      <c r="L1906" s="411" t="n">
        <v>8565</v>
      </c>
      <c r="M1906" s="459" t="n">
        <f aca="false">L1906/K1906</f>
        <v>0.444185141968106</v>
      </c>
      <c r="N1906" s="460" t="n">
        <f aca="false">I1906*M1906</f>
        <v>11.42</v>
      </c>
      <c r="O1906" s="461" t="n">
        <v>750</v>
      </c>
      <c r="P1906" s="462" t="n">
        <f aca="false">H1906-O1906</f>
        <v>0</v>
      </c>
      <c r="Q1906" s="463" t="n">
        <f aca="false">O1906*I1906</f>
        <v>19282.5</v>
      </c>
      <c r="R1906" s="48" t="n">
        <f aca="false">K1906-Q1906</f>
        <v>0</v>
      </c>
      <c r="S1906" s="467"/>
      <c r="T1906" s="2" t="s">
        <v>1711</v>
      </c>
      <c r="V1906" s="464"/>
      <c r="W1906" s="464"/>
      <c r="X1906" s="464"/>
      <c r="Y1906" s="464"/>
      <c r="Z1906" s="464"/>
      <c r="AA1906" s="464"/>
      <c r="AB1906" s="464"/>
      <c r="AC1906" s="464"/>
      <c r="AD1906" s="464"/>
      <c r="AE1906" s="464"/>
      <c r="AF1906" s="464"/>
      <c r="AG1906" s="464"/>
      <c r="AH1906" s="465"/>
      <c r="AI1906" s="464"/>
    </row>
    <row r="1907" customFormat="false" ht="15" hidden="false" customHeight="true" outlineLevel="0" collapsed="false">
      <c r="A1907" s="455" t="s">
        <v>1950</v>
      </c>
      <c r="C1907" s="456" t="n">
        <v>45702</v>
      </c>
      <c r="D1907" s="456"/>
      <c r="E1907" s="57" t="n">
        <v>14700</v>
      </c>
      <c r="F1907" s="57" t="s">
        <v>175</v>
      </c>
      <c r="G1907" s="323" t="s">
        <v>15</v>
      </c>
      <c r="H1907" s="98" t="n">
        <v>1500</v>
      </c>
      <c r="I1907" s="457" t="n">
        <v>22.5</v>
      </c>
      <c r="J1907" s="313" t="s">
        <v>1651</v>
      </c>
      <c r="K1907" s="458" t="n">
        <f aca="false">I1907*H1907</f>
        <v>33750</v>
      </c>
      <c r="L1907" s="411" t="n">
        <v>23775</v>
      </c>
      <c r="M1907" s="459" t="n">
        <f aca="false">L1907/K1907</f>
        <v>0.704444444444444</v>
      </c>
      <c r="N1907" s="460" t="n">
        <f aca="false">I1907*M1907</f>
        <v>15.85</v>
      </c>
      <c r="O1907" s="461" t="n">
        <v>1500</v>
      </c>
      <c r="P1907" s="462" t="n">
        <f aca="false">H1907-O1907</f>
        <v>0</v>
      </c>
      <c r="Q1907" s="463" t="n">
        <f aca="false">O1907*I1907</f>
        <v>33750</v>
      </c>
      <c r="R1907" s="48" t="n">
        <f aca="false">K1907-Q1907</f>
        <v>0</v>
      </c>
      <c r="S1907" s="467"/>
      <c r="T1907" s="2" t="s">
        <v>1711</v>
      </c>
      <c r="V1907" s="464"/>
      <c r="W1907" s="464"/>
      <c r="X1907" s="464"/>
      <c r="Y1907" s="464"/>
      <c r="Z1907" s="464"/>
      <c r="AA1907" s="464"/>
      <c r="AB1907" s="464"/>
      <c r="AC1907" s="464"/>
      <c r="AD1907" s="464"/>
      <c r="AE1907" s="464"/>
      <c r="AF1907" s="464"/>
      <c r="AG1907" s="464"/>
      <c r="AH1907" s="465"/>
      <c r="AI1907" s="464"/>
    </row>
    <row r="1908" customFormat="false" ht="15" hidden="false" customHeight="true" outlineLevel="0" collapsed="false">
      <c r="A1908" s="455" t="s">
        <v>1950</v>
      </c>
      <c r="C1908" s="456" t="n">
        <v>45702</v>
      </c>
      <c r="D1908" s="456"/>
      <c r="E1908" s="57" t="n">
        <v>14700</v>
      </c>
      <c r="F1908" s="57" t="s">
        <v>175</v>
      </c>
      <c r="G1908" s="323" t="s">
        <v>13</v>
      </c>
      <c r="H1908" s="98" t="n">
        <v>750</v>
      </c>
      <c r="I1908" s="457" t="n">
        <v>22.5</v>
      </c>
      <c r="J1908" s="313" t="s">
        <v>1651</v>
      </c>
      <c r="K1908" s="458" t="n">
        <f aca="false">I1908*H1908</f>
        <v>16875</v>
      </c>
      <c r="L1908" s="411" t="n">
        <v>8400</v>
      </c>
      <c r="M1908" s="459" t="n">
        <f aca="false">L1908/K1908</f>
        <v>0.497777777777778</v>
      </c>
      <c r="N1908" s="460" t="n">
        <f aca="false">I1908*M1908</f>
        <v>11.2</v>
      </c>
      <c r="O1908" s="461" t="n">
        <v>750</v>
      </c>
      <c r="P1908" s="462" t="n">
        <f aca="false">H1908-O1908</f>
        <v>0</v>
      </c>
      <c r="Q1908" s="463" t="n">
        <f aca="false">O1908*I1908</f>
        <v>16875</v>
      </c>
      <c r="R1908" s="48" t="n">
        <f aca="false">K1908-Q1908</f>
        <v>0</v>
      </c>
      <c r="S1908" s="467"/>
      <c r="T1908" s="2" t="s">
        <v>1711</v>
      </c>
      <c r="V1908" s="464"/>
      <c r="W1908" s="464"/>
      <c r="X1908" s="464"/>
      <c r="Y1908" s="464"/>
      <c r="Z1908" s="464"/>
      <c r="AA1908" s="464"/>
      <c r="AB1908" s="464"/>
      <c r="AC1908" s="464"/>
      <c r="AD1908" s="464"/>
      <c r="AE1908" s="464"/>
      <c r="AF1908" s="464"/>
      <c r="AG1908" s="464"/>
      <c r="AH1908" s="465"/>
      <c r="AI1908" s="464"/>
    </row>
    <row r="1909" customFormat="false" ht="15" hidden="false" customHeight="true" outlineLevel="0" collapsed="false">
      <c r="A1909" s="455" t="s">
        <v>1947</v>
      </c>
      <c r="C1909" s="456" t="n">
        <v>45702</v>
      </c>
      <c r="D1909" s="456"/>
      <c r="E1909" s="57" t="n">
        <v>14701</v>
      </c>
      <c r="F1909" s="57" t="s">
        <v>175</v>
      </c>
      <c r="G1909" s="323" t="s">
        <v>10</v>
      </c>
      <c r="H1909" s="98" t="n">
        <v>12000</v>
      </c>
      <c r="I1909" s="457" t="n">
        <v>25.71</v>
      </c>
      <c r="J1909" s="313" t="s">
        <v>1651</v>
      </c>
      <c r="K1909" s="458" t="n">
        <f aca="false">I1909*H1909</f>
        <v>308520</v>
      </c>
      <c r="L1909" s="411" t="n">
        <v>114000</v>
      </c>
      <c r="M1909" s="459" t="n">
        <f aca="false">L1909/K1909</f>
        <v>0.369506028782575</v>
      </c>
      <c r="N1909" s="460" t="n">
        <f aca="false">I1909*M1909</f>
        <v>9.5</v>
      </c>
      <c r="O1909" s="461" t="n">
        <v>12000</v>
      </c>
      <c r="P1909" s="462" t="n">
        <f aca="false">H1909-O1909</f>
        <v>0</v>
      </c>
      <c r="Q1909" s="463" t="n">
        <f aca="false">O1909*I1909</f>
        <v>308520</v>
      </c>
      <c r="R1909" s="48" t="n">
        <f aca="false">K1909-Q1909</f>
        <v>0</v>
      </c>
      <c r="S1909" s="467"/>
      <c r="T1909" s="2" t="s">
        <v>1711</v>
      </c>
      <c r="V1909" s="464"/>
      <c r="W1909" s="464"/>
      <c r="X1909" s="464"/>
      <c r="Y1909" s="464"/>
      <c r="Z1909" s="464"/>
      <c r="AA1909" s="464"/>
      <c r="AB1909" s="464"/>
      <c r="AC1909" s="464"/>
      <c r="AD1909" s="464"/>
      <c r="AE1909" s="464"/>
      <c r="AF1909" s="464"/>
      <c r="AG1909" s="464"/>
      <c r="AH1909" s="465"/>
      <c r="AI1909" s="464"/>
    </row>
    <row r="1910" customFormat="false" ht="15" hidden="false" customHeight="true" outlineLevel="0" collapsed="false">
      <c r="A1910" s="455" t="s">
        <v>1947</v>
      </c>
      <c r="C1910" s="456" t="n">
        <v>45702</v>
      </c>
      <c r="D1910" s="456"/>
      <c r="E1910" s="57" t="n">
        <v>14701</v>
      </c>
      <c r="F1910" s="57" t="s">
        <v>175</v>
      </c>
      <c r="G1910" s="323" t="s">
        <v>10</v>
      </c>
      <c r="H1910" s="98" t="n">
        <v>7020</v>
      </c>
      <c r="I1910" s="457" t="n">
        <v>90</v>
      </c>
      <c r="J1910" s="313" t="s">
        <v>1653</v>
      </c>
      <c r="K1910" s="458" t="n">
        <f aca="false">I1910*H1910</f>
        <v>631800</v>
      </c>
      <c r="L1910" s="411" t="n">
        <v>91260</v>
      </c>
      <c r="M1910" s="459" t="n">
        <f aca="false">L1910/K1910</f>
        <v>0.144444444444444</v>
      </c>
      <c r="N1910" s="460" t="n">
        <f aca="false">I1910*M1910</f>
        <v>13</v>
      </c>
      <c r="O1910" s="461" t="n">
        <v>7020</v>
      </c>
      <c r="P1910" s="462" t="n">
        <f aca="false">H1910-O1910</f>
        <v>0</v>
      </c>
      <c r="Q1910" s="463" t="n">
        <f aca="false">O1910*I1910</f>
        <v>631800</v>
      </c>
      <c r="R1910" s="48" t="n">
        <f aca="false">K1910-Q1910</f>
        <v>0</v>
      </c>
      <c r="S1910" s="467"/>
      <c r="T1910" s="2" t="s">
        <v>1711</v>
      </c>
      <c r="V1910" s="464"/>
      <c r="W1910" s="464"/>
      <c r="X1910" s="464"/>
      <c r="Y1910" s="464"/>
      <c r="Z1910" s="464"/>
      <c r="AA1910" s="464"/>
      <c r="AB1910" s="464"/>
      <c r="AC1910" s="464"/>
      <c r="AD1910" s="464"/>
      <c r="AE1910" s="464"/>
      <c r="AF1910" s="464"/>
      <c r="AG1910" s="464"/>
      <c r="AH1910" s="465"/>
      <c r="AI1910" s="464"/>
    </row>
    <row r="1911" customFormat="false" ht="15" hidden="false" customHeight="true" outlineLevel="0" collapsed="false">
      <c r="A1911" s="455" t="s">
        <v>1859</v>
      </c>
      <c r="C1911" s="456" t="n">
        <v>45702</v>
      </c>
      <c r="D1911" s="456"/>
      <c r="E1911" s="57" t="n">
        <v>14702</v>
      </c>
      <c r="F1911" s="57" t="s">
        <v>175</v>
      </c>
      <c r="G1911" s="323" t="s">
        <v>12</v>
      </c>
      <c r="H1911" s="98" t="n">
        <v>150</v>
      </c>
      <c r="I1911" s="457" t="n">
        <v>25.71</v>
      </c>
      <c r="J1911" s="313" t="s">
        <v>1652</v>
      </c>
      <c r="K1911" s="458" t="n">
        <f aca="false">I1911*H1911</f>
        <v>3856.5</v>
      </c>
      <c r="L1911" s="411" t="n">
        <v>7800</v>
      </c>
      <c r="M1911" s="459" t="n">
        <f aca="false">L1911/K1911</f>
        <v>2.02255931544146</v>
      </c>
      <c r="N1911" s="460" t="n">
        <f aca="false">I1911*M1911</f>
        <v>52</v>
      </c>
      <c r="O1911" s="461" t="n">
        <v>150</v>
      </c>
      <c r="P1911" s="462" t="n">
        <f aca="false">H1911-O1911</f>
        <v>0</v>
      </c>
      <c r="Q1911" s="463" t="n">
        <f aca="false">O1911*I1911</f>
        <v>3856.5</v>
      </c>
      <c r="R1911" s="48" t="n">
        <f aca="false">K1911-Q1911</f>
        <v>0</v>
      </c>
      <c r="S1911" s="467"/>
      <c r="T1911" s="2" t="s">
        <v>1711</v>
      </c>
      <c r="V1911" s="464"/>
      <c r="W1911" s="464"/>
      <c r="X1911" s="464"/>
      <c r="Y1911" s="464"/>
      <c r="Z1911" s="464"/>
      <c r="AA1911" s="464"/>
      <c r="AB1911" s="464"/>
      <c r="AC1911" s="464"/>
      <c r="AD1911" s="464"/>
      <c r="AE1911" s="464"/>
      <c r="AF1911" s="464"/>
      <c r="AG1911" s="464"/>
      <c r="AH1911" s="465"/>
      <c r="AI1911" s="464"/>
    </row>
    <row r="1912" customFormat="false" ht="15" hidden="false" customHeight="true" outlineLevel="0" collapsed="false">
      <c r="A1912" s="455" t="s">
        <v>1859</v>
      </c>
      <c r="C1912" s="456" t="n">
        <v>45702</v>
      </c>
      <c r="D1912" s="456"/>
      <c r="E1912" s="57" t="n">
        <v>14702</v>
      </c>
      <c r="F1912" s="57" t="s">
        <v>175</v>
      </c>
      <c r="G1912" s="323" t="s">
        <v>5</v>
      </c>
      <c r="H1912" s="98" t="n">
        <v>25</v>
      </c>
      <c r="I1912" s="457" t="n">
        <v>60</v>
      </c>
      <c r="J1912" s="313" t="s">
        <v>1653</v>
      </c>
      <c r="K1912" s="458" t="n">
        <f aca="false">I1912*H1912</f>
        <v>1500</v>
      </c>
      <c r="L1912" s="411" t="n">
        <v>460</v>
      </c>
      <c r="M1912" s="459" t="n">
        <f aca="false">L1912/K1912</f>
        <v>0.306666666666667</v>
      </c>
      <c r="N1912" s="460" t="n">
        <f aca="false">I1912*M1912</f>
        <v>18.4</v>
      </c>
      <c r="O1912" s="461" t="n">
        <v>25</v>
      </c>
      <c r="P1912" s="462" t="n">
        <f aca="false">H1912-O1912</f>
        <v>0</v>
      </c>
      <c r="Q1912" s="463" t="n">
        <f aca="false">O1912*I1912</f>
        <v>1500</v>
      </c>
      <c r="R1912" s="48" t="n">
        <f aca="false">K1912-Q1912</f>
        <v>0</v>
      </c>
      <c r="S1912" s="467"/>
      <c r="T1912" s="2" t="s">
        <v>1711</v>
      </c>
      <c r="V1912" s="464"/>
      <c r="W1912" s="464"/>
      <c r="X1912" s="464"/>
      <c r="Y1912" s="464"/>
      <c r="Z1912" s="464"/>
      <c r="AA1912" s="464"/>
      <c r="AB1912" s="464"/>
      <c r="AC1912" s="464"/>
      <c r="AD1912" s="464"/>
      <c r="AE1912" s="464"/>
      <c r="AF1912" s="464"/>
      <c r="AG1912" s="464"/>
      <c r="AH1912" s="465"/>
      <c r="AI1912" s="464"/>
    </row>
    <row r="1913" customFormat="false" ht="15" hidden="false" customHeight="true" outlineLevel="0" collapsed="false">
      <c r="A1913" s="455" t="s">
        <v>1859</v>
      </c>
      <c r="C1913" s="456" t="n">
        <v>45702</v>
      </c>
      <c r="D1913" s="456"/>
      <c r="E1913" s="57" t="n">
        <v>14702</v>
      </c>
      <c r="F1913" s="57" t="s">
        <v>175</v>
      </c>
      <c r="G1913" s="323" t="s">
        <v>42</v>
      </c>
      <c r="H1913" s="98" t="n">
        <v>225</v>
      </c>
      <c r="I1913" s="457" t="n">
        <v>45</v>
      </c>
      <c r="J1913" s="313" t="s">
        <v>1652</v>
      </c>
      <c r="K1913" s="458" t="n">
        <f aca="false">I1913*H1913</f>
        <v>10125</v>
      </c>
      <c r="L1913" s="411" t="n">
        <v>3450</v>
      </c>
      <c r="M1913" s="459" t="n">
        <f aca="false">L1913/K1913</f>
        <v>0.340740740740741</v>
      </c>
      <c r="N1913" s="460" t="n">
        <f aca="false">I1913*M1913</f>
        <v>15.3333333333333</v>
      </c>
      <c r="O1913" s="461" t="n">
        <v>225</v>
      </c>
      <c r="P1913" s="462" t="n">
        <f aca="false">H1913-O1913</f>
        <v>0</v>
      </c>
      <c r="Q1913" s="463" t="n">
        <f aca="false">O1913*I1913</f>
        <v>10125</v>
      </c>
      <c r="R1913" s="48" t="n">
        <f aca="false">K1913-Q1913</f>
        <v>0</v>
      </c>
      <c r="S1913" s="467"/>
      <c r="T1913" s="2" t="s">
        <v>1711</v>
      </c>
      <c r="V1913" s="464"/>
      <c r="W1913" s="464"/>
      <c r="X1913" s="464"/>
      <c r="Y1913" s="464"/>
      <c r="Z1913" s="464"/>
      <c r="AA1913" s="464"/>
      <c r="AB1913" s="464"/>
      <c r="AC1913" s="464"/>
      <c r="AD1913" s="464"/>
      <c r="AE1913" s="464"/>
      <c r="AF1913" s="464"/>
      <c r="AG1913" s="464"/>
      <c r="AH1913" s="465"/>
      <c r="AI1913" s="464"/>
    </row>
    <row r="1914" customFormat="false" ht="15" hidden="false" customHeight="true" outlineLevel="0" collapsed="false">
      <c r="A1914" s="455" t="s">
        <v>2080</v>
      </c>
      <c r="C1914" s="456" t="n">
        <v>45702</v>
      </c>
      <c r="D1914" s="456"/>
      <c r="E1914" s="57" t="n">
        <v>14703</v>
      </c>
      <c r="F1914" s="57" t="s">
        <v>175</v>
      </c>
      <c r="G1914" s="323" t="s">
        <v>10</v>
      </c>
      <c r="H1914" s="98" t="n">
        <v>4965</v>
      </c>
      <c r="I1914" s="457" t="n">
        <v>25.71</v>
      </c>
      <c r="J1914" s="313" t="s">
        <v>1651</v>
      </c>
      <c r="K1914" s="458" t="n">
        <f aca="false">I1914*H1914</f>
        <v>127650.15</v>
      </c>
      <c r="L1914" s="411" t="n">
        <v>42794.99</v>
      </c>
      <c r="M1914" s="459" t="n">
        <f aca="false">L1914/K1914</f>
        <v>0.335252171658239</v>
      </c>
      <c r="N1914" s="460" t="n">
        <f aca="false">I1914*M1914</f>
        <v>8.61933333333333</v>
      </c>
      <c r="O1914" s="461" t="n">
        <v>4965</v>
      </c>
      <c r="P1914" s="462" t="n">
        <f aca="false">H1914-O1914</f>
        <v>0</v>
      </c>
      <c r="Q1914" s="463" t="n">
        <f aca="false">O1914*I1914</f>
        <v>127650.15</v>
      </c>
      <c r="R1914" s="48" t="n">
        <f aca="false">K1914-Q1914</f>
        <v>0</v>
      </c>
      <c r="S1914" s="467"/>
      <c r="T1914" s="2" t="s">
        <v>1711</v>
      </c>
      <c r="V1914" s="464"/>
      <c r="W1914" s="464"/>
      <c r="X1914" s="464"/>
      <c r="Y1914" s="464"/>
      <c r="Z1914" s="464"/>
      <c r="AA1914" s="464"/>
      <c r="AB1914" s="464"/>
      <c r="AC1914" s="464"/>
      <c r="AD1914" s="464"/>
      <c r="AE1914" s="464"/>
      <c r="AF1914" s="464"/>
      <c r="AG1914" s="464"/>
      <c r="AH1914" s="465"/>
      <c r="AI1914" s="464"/>
    </row>
    <row r="1915" customFormat="false" ht="15" hidden="false" customHeight="true" outlineLevel="0" collapsed="false">
      <c r="A1915" s="455" t="s">
        <v>2080</v>
      </c>
      <c r="C1915" s="456" t="n">
        <v>45702</v>
      </c>
      <c r="D1915" s="456"/>
      <c r="E1915" s="57" t="n">
        <v>14703</v>
      </c>
      <c r="F1915" s="57" t="s">
        <v>175</v>
      </c>
      <c r="G1915" s="323" t="s">
        <v>21</v>
      </c>
      <c r="H1915" s="98" t="n">
        <v>1700</v>
      </c>
      <c r="I1915" s="457" t="n">
        <v>1</v>
      </c>
      <c r="J1915" s="313" t="s">
        <v>1653</v>
      </c>
      <c r="K1915" s="458" t="n">
        <f aca="false">I1915*H1915</f>
        <v>1700</v>
      </c>
      <c r="L1915" s="411" t="n">
        <v>8840</v>
      </c>
      <c r="M1915" s="459" t="n">
        <f aca="false">L1915/K1915</f>
        <v>5.2</v>
      </c>
      <c r="N1915" s="460" t="n">
        <f aca="false">I1915*M1915</f>
        <v>5.2</v>
      </c>
      <c r="O1915" s="461" t="n">
        <v>1700</v>
      </c>
      <c r="P1915" s="462" t="n">
        <f aca="false">H1915-O1915</f>
        <v>0</v>
      </c>
      <c r="Q1915" s="463" t="n">
        <f aca="false">O1915*I1915</f>
        <v>1700</v>
      </c>
      <c r="R1915" s="48" t="n">
        <f aca="false">K1915-Q1915</f>
        <v>0</v>
      </c>
      <c r="S1915" s="467"/>
      <c r="T1915" s="2" t="s">
        <v>1711</v>
      </c>
      <c r="V1915" s="464"/>
      <c r="W1915" s="464"/>
      <c r="X1915" s="464"/>
      <c r="Y1915" s="464"/>
      <c r="Z1915" s="464"/>
      <c r="AA1915" s="464"/>
      <c r="AB1915" s="464"/>
      <c r="AC1915" s="464"/>
      <c r="AD1915" s="464"/>
      <c r="AE1915" s="464"/>
      <c r="AF1915" s="464"/>
      <c r="AG1915" s="464"/>
      <c r="AH1915" s="465"/>
      <c r="AI1915" s="464"/>
    </row>
    <row r="1916" customFormat="false" ht="15" hidden="false" customHeight="true" outlineLevel="0" collapsed="false">
      <c r="A1916" s="455" t="s">
        <v>1819</v>
      </c>
      <c r="C1916" s="456" t="n">
        <v>45702</v>
      </c>
      <c r="D1916" s="456"/>
      <c r="E1916" s="57" t="n">
        <v>14704</v>
      </c>
      <c r="F1916" s="57" t="s">
        <v>175</v>
      </c>
      <c r="G1916" s="323" t="s">
        <v>10</v>
      </c>
      <c r="H1916" s="98" t="n">
        <v>45</v>
      </c>
      <c r="I1916" s="457" t="n">
        <v>25.71</v>
      </c>
      <c r="J1916" s="313" t="s">
        <v>1651</v>
      </c>
      <c r="K1916" s="458" t="n">
        <f aca="false">I1916*H1916</f>
        <v>1156.95</v>
      </c>
      <c r="L1916" s="411" t="n">
        <v>360</v>
      </c>
      <c r="M1916" s="459" t="n">
        <f aca="false">L1916/K1916</f>
        <v>0.311162971606379</v>
      </c>
      <c r="N1916" s="460" t="n">
        <f aca="false">I1916*M1916</f>
        <v>8</v>
      </c>
      <c r="O1916" s="461" t="n">
        <v>45</v>
      </c>
      <c r="P1916" s="462" t="n">
        <f aca="false">H1916-O1916</f>
        <v>0</v>
      </c>
      <c r="Q1916" s="463" t="n">
        <f aca="false">O1916*I1916</f>
        <v>1156.95</v>
      </c>
      <c r="R1916" s="48" t="n">
        <f aca="false">K1916-Q1916</f>
        <v>0</v>
      </c>
      <c r="S1916" s="467"/>
      <c r="T1916" s="2" t="s">
        <v>1711</v>
      </c>
      <c r="V1916" s="464"/>
      <c r="W1916" s="464"/>
      <c r="X1916" s="464"/>
      <c r="Y1916" s="464"/>
      <c r="Z1916" s="464"/>
      <c r="AA1916" s="464"/>
      <c r="AB1916" s="464"/>
      <c r="AC1916" s="464"/>
      <c r="AD1916" s="464"/>
      <c r="AE1916" s="464"/>
      <c r="AF1916" s="464"/>
      <c r="AG1916" s="464"/>
      <c r="AH1916" s="465"/>
      <c r="AI1916" s="464"/>
    </row>
    <row r="1917" customFormat="false" ht="15" hidden="false" customHeight="true" outlineLevel="0" collapsed="false">
      <c r="A1917" s="455" t="s">
        <v>1715</v>
      </c>
      <c r="C1917" s="456" t="n">
        <v>45702</v>
      </c>
      <c r="D1917" s="456"/>
      <c r="E1917" s="57" t="n">
        <v>14705</v>
      </c>
      <c r="F1917" s="323" t="s">
        <v>175</v>
      </c>
      <c r="G1917" s="323" t="s">
        <v>13</v>
      </c>
      <c r="H1917" s="98" t="n">
        <v>180</v>
      </c>
      <c r="I1917" s="457" t="n">
        <v>22.5</v>
      </c>
      <c r="J1917" s="313" t="s">
        <v>1651</v>
      </c>
      <c r="K1917" s="458" t="n">
        <f aca="false">I1917*H1917</f>
        <v>4050</v>
      </c>
      <c r="L1917" s="411" t="n">
        <v>2870.4</v>
      </c>
      <c r="M1917" s="459" t="n">
        <f aca="false">L1917/K1917</f>
        <v>0.708740740740741</v>
      </c>
      <c r="N1917" s="460" t="n">
        <f aca="false">I1917*M1917</f>
        <v>15.9466666666667</v>
      </c>
      <c r="O1917" s="461" t="n">
        <v>180</v>
      </c>
      <c r="P1917" s="462" t="n">
        <f aca="false">H1917-O1917</f>
        <v>0</v>
      </c>
      <c r="Q1917" s="463" t="n">
        <f aca="false">O1917*I1917</f>
        <v>4050</v>
      </c>
      <c r="R1917" s="48" t="n">
        <f aca="false">K1917-Q1917</f>
        <v>0</v>
      </c>
      <c r="S1917" s="467"/>
      <c r="T1917" s="2" t="s">
        <v>1711</v>
      </c>
      <c r="V1917" s="464"/>
      <c r="W1917" s="464"/>
      <c r="X1917" s="464"/>
      <c r="Y1917" s="464"/>
      <c r="Z1917" s="464"/>
      <c r="AA1917" s="464"/>
      <c r="AB1917" s="464"/>
      <c r="AC1917" s="464"/>
      <c r="AD1917" s="464"/>
      <c r="AE1917" s="464"/>
      <c r="AF1917" s="464"/>
      <c r="AG1917" s="464"/>
      <c r="AH1917" s="465"/>
      <c r="AI1917" s="464"/>
    </row>
    <row r="1918" customFormat="false" ht="15" hidden="false" customHeight="true" outlineLevel="0" collapsed="false">
      <c r="A1918" s="455" t="s">
        <v>1997</v>
      </c>
      <c r="C1918" s="456" t="n">
        <v>45702</v>
      </c>
      <c r="D1918" s="456"/>
      <c r="E1918" s="57" t="n">
        <v>14706</v>
      </c>
      <c r="F1918" s="323" t="s">
        <v>175</v>
      </c>
      <c r="G1918" s="323" t="s">
        <v>5</v>
      </c>
      <c r="H1918" s="98" t="n">
        <v>180</v>
      </c>
      <c r="I1918" s="457" t="n">
        <v>90</v>
      </c>
      <c r="J1918" s="313" t="s">
        <v>1653</v>
      </c>
      <c r="K1918" s="458" t="n">
        <f aca="false">I1918*H1918</f>
        <v>16200</v>
      </c>
      <c r="L1918" s="411" t="n">
        <v>5850</v>
      </c>
      <c r="M1918" s="459" t="n">
        <f aca="false">L1918/K1918</f>
        <v>0.361111111111111</v>
      </c>
      <c r="N1918" s="460" t="n">
        <f aca="false">I1918*M1918</f>
        <v>32.5</v>
      </c>
      <c r="O1918" s="461" t="n">
        <v>180</v>
      </c>
      <c r="P1918" s="462" t="n">
        <f aca="false">H1918-O1918</f>
        <v>0</v>
      </c>
      <c r="Q1918" s="463" t="n">
        <f aca="false">O1918*I1918</f>
        <v>16200</v>
      </c>
      <c r="R1918" s="48" t="n">
        <f aca="false">K1918-Q1918</f>
        <v>0</v>
      </c>
      <c r="S1918" s="467"/>
      <c r="T1918" s="2" t="s">
        <v>1711</v>
      </c>
      <c r="V1918" s="464"/>
      <c r="W1918" s="464"/>
      <c r="X1918" s="464"/>
      <c r="Y1918" s="464"/>
      <c r="Z1918" s="464"/>
      <c r="AA1918" s="464"/>
      <c r="AB1918" s="464"/>
      <c r="AC1918" s="464"/>
      <c r="AD1918" s="464"/>
      <c r="AE1918" s="464"/>
      <c r="AF1918" s="464"/>
      <c r="AG1918" s="464"/>
      <c r="AH1918" s="465"/>
      <c r="AI1918" s="464"/>
    </row>
    <row r="1919" customFormat="false" ht="15" hidden="false" customHeight="true" outlineLevel="0" collapsed="false">
      <c r="A1919" s="455" t="s">
        <v>1824</v>
      </c>
      <c r="C1919" s="456" t="n">
        <v>45702</v>
      </c>
      <c r="D1919" s="456"/>
      <c r="E1919" s="57" t="n">
        <v>14707</v>
      </c>
      <c r="F1919" s="323" t="s">
        <v>175</v>
      </c>
      <c r="G1919" s="323" t="s">
        <v>20</v>
      </c>
      <c r="H1919" s="98" t="n">
        <v>1110</v>
      </c>
      <c r="I1919" s="457" t="n">
        <v>38.29</v>
      </c>
      <c r="J1919" s="313" t="s">
        <v>1652</v>
      </c>
      <c r="K1919" s="458" t="n">
        <f aca="false">I1919*H1919</f>
        <v>42501.9</v>
      </c>
      <c r="L1919" s="411" t="n">
        <v>13320</v>
      </c>
      <c r="M1919" s="459" t="n">
        <f aca="false">L1919/K1919</f>
        <v>0.313397753982763</v>
      </c>
      <c r="N1919" s="460" t="n">
        <f aca="false">I1919*M1919</f>
        <v>12</v>
      </c>
      <c r="O1919" s="461" t="n">
        <v>1110</v>
      </c>
      <c r="P1919" s="462" t="n">
        <f aca="false">H1919-O1919</f>
        <v>0</v>
      </c>
      <c r="Q1919" s="463" t="n">
        <f aca="false">O1919*I1919</f>
        <v>42501.9</v>
      </c>
      <c r="R1919" s="48" t="n">
        <f aca="false">K1919-Q1919</f>
        <v>0</v>
      </c>
      <c r="S1919" s="467"/>
      <c r="T1919" s="2" t="s">
        <v>1711</v>
      </c>
      <c r="V1919" s="464"/>
      <c r="W1919" s="464"/>
      <c r="X1919" s="464"/>
      <c r="Y1919" s="464"/>
      <c r="Z1919" s="464"/>
      <c r="AA1919" s="464"/>
      <c r="AB1919" s="464"/>
      <c r="AC1919" s="464"/>
      <c r="AD1919" s="464"/>
      <c r="AE1919" s="464"/>
      <c r="AF1919" s="464"/>
      <c r="AG1919" s="464"/>
      <c r="AH1919" s="465"/>
      <c r="AI1919" s="464"/>
    </row>
    <row r="1920" customFormat="false" ht="15" hidden="false" customHeight="true" outlineLevel="0" collapsed="false">
      <c r="A1920" s="455" t="s">
        <v>1722</v>
      </c>
      <c r="C1920" s="456" t="n">
        <v>45705</v>
      </c>
      <c r="D1920" s="456"/>
      <c r="E1920" s="57" t="n">
        <v>14708</v>
      </c>
      <c r="F1920" s="323" t="s">
        <v>175</v>
      </c>
      <c r="G1920" s="323" t="s">
        <v>15</v>
      </c>
      <c r="H1920" s="98" t="n">
        <v>255</v>
      </c>
      <c r="I1920" s="457" t="n">
        <v>22.5</v>
      </c>
      <c r="J1920" s="313" t="s">
        <v>1651</v>
      </c>
      <c r="K1920" s="458" t="n">
        <f aca="false">I1920*H1920</f>
        <v>5737.5</v>
      </c>
      <c r="L1920" s="411" t="n">
        <v>4462.5</v>
      </c>
      <c r="M1920" s="459" t="n">
        <f aca="false">L1920/K1920</f>
        <v>0.777777777777778</v>
      </c>
      <c r="N1920" s="460" t="n">
        <f aca="false">I1920*M1920</f>
        <v>17.5</v>
      </c>
      <c r="O1920" s="461" t="n">
        <v>255</v>
      </c>
      <c r="P1920" s="462" t="n">
        <f aca="false">H1920-O1920</f>
        <v>0</v>
      </c>
      <c r="Q1920" s="463" t="n">
        <f aca="false">O1920*I1920</f>
        <v>5737.5</v>
      </c>
      <c r="R1920" s="48" t="n">
        <f aca="false">K1920-Q1920</f>
        <v>0</v>
      </c>
      <c r="S1920" s="467"/>
      <c r="T1920" s="2" t="s">
        <v>1711</v>
      </c>
      <c r="V1920" s="464"/>
      <c r="W1920" s="464"/>
      <c r="X1920" s="464"/>
      <c r="Y1920" s="464"/>
      <c r="Z1920" s="464"/>
      <c r="AA1920" s="464"/>
      <c r="AB1920" s="464"/>
      <c r="AC1920" s="464"/>
      <c r="AD1920" s="464"/>
      <c r="AE1920" s="464"/>
      <c r="AF1920" s="464"/>
      <c r="AG1920" s="464"/>
      <c r="AH1920" s="465"/>
      <c r="AI1920" s="464"/>
    </row>
    <row r="1921" customFormat="false" ht="15" hidden="false" customHeight="true" outlineLevel="0" collapsed="false">
      <c r="A1921" s="455" t="s">
        <v>1824</v>
      </c>
      <c r="C1921" s="456" t="n">
        <v>45705</v>
      </c>
      <c r="D1921" s="456"/>
      <c r="E1921" s="57" t="n">
        <v>14709</v>
      </c>
      <c r="F1921" s="323" t="s">
        <v>175</v>
      </c>
      <c r="G1921" s="323" t="s">
        <v>10</v>
      </c>
      <c r="H1921" s="98" t="n">
        <v>2475</v>
      </c>
      <c r="I1921" s="457" t="n">
        <v>38.3</v>
      </c>
      <c r="J1921" s="313" t="s">
        <v>1652</v>
      </c>
      <c r="K1921" s="458" t="n">
        <f aca="false">I1921*H1921</f>
        <v>94792.5</v>
      </c>
      <c r="L1921" s="411" t="n">
        <v>23512.5</v>
      </c>
      <c r="M1921" s="459" t="n">
        <f aca="false">L1921/K1921</f>
        <v>0.248041775456919</v>
      </c>
      <c r="N1921" s="460" t="n">
        <f aca="false">I1921*M1921</f>
        <v>9.5</v>
      </c>
      <c r="O1921" s="461" t="n">
        <v>2475</v>
      </c>
      <c r="P1921" s="462" t="n">
        <f aca="false">H1921-O1921</f>
        <v>0</v>
      </c>
      <c r="Q1921" s="463" t="n">
        <f aca="false">O1921*I1921</f>
        <v>94792.5</v>
      </c>
      <c r="R1921" s="48" t="n">
        <f aca="false">K1921-Q1921</f>
        <v>0</v>
      </c>
      <c r="S1921" s="467"/>
      <c r="T1921" s="2" t="s">
        <v>1711</v>
      </c>
      <c r="V1921" s="464"/>
      <c r="W1921" s="464"/>
      <c r="X1921" s="464"/>
      <c r="Y1921" s="464"/>
      <c r="Z1921" s="464"/>
      <c r="AA1921" s="464"/>
      <c r="AB1921" s="464"/>
      <c r="AC1921" s="464"/>
      <c r="AD1921" s="464"/>
      <c r="AE1921" s="464"/>
      <c r="AF1921" s="464"/>
      <c r="AG1921" s="464"/>
      <c r="AH1921" s="465"/>
      <c r="AI1921" s="464"/>
    </row>
    <row r="1922" customFormat="false" ht="15" hidden="false" customHeight="true" outlineLevel="0" collapsed="false">
      <c r="A1922" s="455" t="s">
        <v>1824</v>
      </c>
      <c r="C1922" s="456" t="n">
        <v>45705</v>
      </c>
      <c r="D1922" s="456"/>
      <c r="E1922" s="57" t="n">
        <v>14709</v>
      </c>
      <c r="F1922" s="323" t="s">
        <v>175</v>
      </c>
      <c r="G1922" s="323" t="s">
        <v>10</v>
      </c>
      <c r="H1922" s="98" t="n">
        <v>3000</v>
      </c>
      <c r="I1922" s="457" t="n">
        <v>38.3</v>
      </c>
      <c r="J1922" s="313" t="s">
        <v>1652</v>
      </c>
      <c r="K1922" s="458" t="n">
        <f aca="false">I1922*H1922</f>
        <v>114900</v>
      </c>
      <c r="L1922" s="411" t="n">
        <v>22500</v>
      </c>
      <c r="M1922" s="459" t="n">
        <f aca="false">L1922/K1922</f>
        <v>0.195822454308094</v>
      </c>
      <c r="N1922" s="460" t="n">
        <f aca="false">I1922*M1922</f>
        <v>7.5</v>
      </c>
      <c r="O1922" s="461" t="n">
        <v>3000</v>
      </c>
      <c r="P1922" s="462" t="n">
        <f aca="false">H1922-O1922</f>
        <v>0</v>
      </c>
      <c r="Q1922" s="463" t="n">
        <f aca="false">O1922*I1922</f>
        <v>114900</v>
      </c>
      <c r="R1922" s="48" t="n">
        <f aca="false">K1922-Q1922</f>
        <v>0</v>
      </c>
      <c r="S1922" s="467"/>
      <c r="T1922" s="2" t="s">
        <v>1711</v>
      </c>
      <c r="V1922" s="464"/>
      <c r="W1922" s="464"/>
      <c r="X1922" s="464"/>
      <c r="Y1922" s="464"/>
      <c r="Z1922" s="464"/>
      <c r="AA1922" s="464"/>
      <c r="AB1922" s="464"/>
      <c r="AC1922" s="464"/>
      <c r="AD1922" s="464"/>
      <c r="AE1922" s="464"/>
      <c r="AF1922" s="464"/>
      <c r="AG1922" s="464"/>
      <c r="AH1922" s="465"/>
      <c r="AI1922" s="464"/>
    </row>
    <row r="1923" customFormat="false" ht="15" hidden="false" customHeight="true" outlineLevel="0" collapsed="false">
      <c r="A1923" s="455" t="s">
        <v>58</v>
      </c>
      <c r="C1923" s="456" t="n">
        <v>45706</v>
      </c>
      <c r="D1923" s="456"/>
      <c r="E1923" s="57" t="n">
        <v>14710</v>
      </c>
      <c r="F1923" s="323" t="s">
        <v>175</v>
      </c>
      <c r="G1923" s="323" t="s">
        <v>19</v>
      </c>
      <c r="H1923" s="98" t="n">
        <v>180</v>
      </c>
      <c r="I1923" s="457" t="n">
        <v>37.5</v>
      </c>
      <c r="J1923" s="313" t="s">
        <v>1652</v>
      </c>
      <c r="K1923" s="458" t="n">
        <f aca="false">I1923*H1923</f>
        <v>6750</v>
      </c>
      <c r="L1923" s="411" t="n">
        <v>3330</v>
      </c>
      <c r="M1923" s="459" t="n">
        <f aca="false">L1923/K1923</f>
        <v>0.493333333333333</v>
      </c>
      <c r="N1923" s="460" t="n">
        <f aca="false">I1923*M1923</f>
        <v>18.5</v>
      </c>
      <c r="O1923" s="461" t="n">
        <v>180</v>
      </c>
      <c r="P1923" s="462" t="n">
        <f aca="false">H1923-O1923</f>
        <v>0</v>
      </c>
      <c r="Q1923" s="463" t="n">
        <f aca="false">O1923*I1923</f>
        <v>6750</v>
      </c>
      <c r="R1923" s="48" t="n">
        <f aca="false">K1923-Q1923</f>
        <v>0</v>
      </c>
      <c r="S1923" s="108"/>
      <c r="T1923" s="2" t="s">
        <v>1711</v>
      </c>
      <c r="V1923" s="464"/>
      <c r="W1923" s="464"/>
      <c r="X1923" s="464"/>
      <c r="Y1923" s="464"/>
      <c r="Z1923" s="464"/>
      <c r="AA1923" s="464"/>
      <c r="AB1923" s="464"/>
      <c r="AC1923" s="464"/>
      <c r="AD1923" s="464"/>
      <c r="AE1923" s="464"/>
      <c r="AF1923" s="464"/>
      <c r="AG1923" s="464"/>
      <c r="AH1923" s="465"/>
      <c r="AI1923" s="464"/>
    </row>
    <row r="1924" customFormat="false" ht="15" hidden="false" customHeight="true" outlineLevel="0" collapsed="false">
      <c r="A1924" s="455" t="s">
        <v>1871</v>
      </c>
      <c r="C1924" s="456" t="n">
        <v>45706</v>
      </c>
      <c r="D1924" s="456"/>
      <c r="E1924" s="57" t="n">
        <v>14712</v>
      </c>
      <c r="F1924" s="323" t="s">
        <v>175</v>
      </c>
      <c r="G1924" s="323" t="s">
        <v>10</v>
      </c>
      <c r="H1924" s="98" t="n">
        <v>5025</v>
      </c>
      <c r="I1924" s="457" t="n">
        <v>25.71</v>
      </c>
      <c r="J1924" s="313" t="s">
        <v>1651</v>
      </c>
      <c r="K1924" s="458" t="n">
        <f aca="false">I1924*H1924</f>
        <v>129192.75</v>
      </c>
      <c r="L1924" s="411" t="n">
        <v>32511.75</v>
      </c>
      <c r="M1924" s="459" t="n">
        <f aca="false">L1924/K1924</f>
        <v>0.251653053286659</v>
      </c>
      <c r="N1924" s="460" t="n">
        <f aca="false">I1924*M1924</f>
        <v>6.47</v>
      </c>
      <c r="O1924" s="461" t="n">
        <v>5025</v>
      </c>
      <c r="P1924" s="462" t="n">
        <f aca="false">H1924-O1924</f>
        <v>0</v>
      </c>
      <c r="Q1924" s="463" t="n">
        <f aca="false">O1924*I1924</f>
        <v>129192.75</v>
      </c>
      <c r="R1924" s="48" t="n">
        <f aca="false">K1924-Q1924</f>
        <v>0</v>
      </c>
      <c r="S1924" s="467"/>
      <c r="T1924" s="2" t="s">
        <v>1711</v>
      </c>
      <c r="V1924" s="464"/>
      <c r="W1924" s="464"/>
      <c r="X1924" s="464"/>
      <c r="Y1924" s="464"/>
      <c r="Z1924" s="464"/>
      <c r="AA1924" s="464"/>
      <c r="AB1924" s="464"/>
      <c r="AC1924" s="464"/>
      <c r="AD1924" s="464"/>
      <c r="AE1924" s="464"/>
      <c r="AF1924" s="464"/>
      <c r="AG1924" s="464"/>
      <c r="AH1924" s="465"/>
      <c r="AI1924" s="464"/>
    </row>
    <row r="1925" customFormat="false" ht="15" hidden="false" customHeight="true" outlineLevel="0" collapsed="false">
      <c r="A1925" s="455" t="s">
        <v>1806</v>
      </c>
      <c r="C1925" s="456" t="n">
        <v>45706</v>
      </c>
      <c r="D1925" s="456"/>
      <c r="E1925" s="57" t="n">
        <v>14713</v>
      </c>
      <c r="F1925" s="323" t="s">
        <v>175</v>
      </c>
      <c r="G1925" s="323" t="s">
        <v>5</v>
      </c>
      <c r="H1925" s="98" t="n">
        <v>120</v>
      </c>
      <c r="I1925" s="457" t="n">
        <v>25.71</v>
      </c>
      <c r="J1925" s="313" t="s">
        <v>1651</v>
      </c>
      <c r="K1925" s="458" t="n">
        <f aca="false">I1925*H1925</f>
        <v>3085.2</v>
      </c>
      <c r="L1925" s="411" t="n">
        <v>3000</v>
      </c>
      <c r="M1925" s="459" t="n">
        <f aca="false">L1925/K1925</f>
        <v>0.972384286269934</v>
      </c>
      <c r="N1925" s="460" t="n">
        <f aca="false">I1925*M1925</f>
        <v>25</v>
      </c>
      <c r="O1925" s="461" t="n">
        <v>120</v>
      </c>
      <c r="P1925" s="462" t="n">
        <f aca="false">H1925-O1925</f>
        <v>0</v>
      </c>
      <c r="Q1925" s="463" t="n">
        <f aca="false">O1925*I1925</f>
        <v>3085.2</v>
      </c>
      <c r="R1925" s="48" t="n">
        <f aca="false">K1925-Q1925</f>
        <v>0</v>
      </c>
      <c r="S1925" s="467"/>
      <c r="T1925" s="2" t="s">
        <v>1711</v>
      </c>
      <c r="V1925" s="464"/>
      <c r="W1925" s="464"/>
      <c r="X1925" s="464"/>
      <c r="Y1925" s="464"/>
      <c r="Z1925" s="464"/>
      <c r="AA1925" s="464"/>
      <c r="AB1925" s="464"/>
      <c r="AC1925" s="464"/>
      <c r="AD1925" s="464"/>
      <c r="AE1925" s="464"/>
      <c r="AF1925" s="464"/>
      <c r="AG1925" s="464"/>
      <c r="AH1925" s="465"/>
      <c r="AI1925" s="464"/>
    </row>
    <row r="1926" customFormat="false" ht="15" hidden="false" customHeight="true" outlineLevel="0" collapsed="false">
      <c r="A1926" s="455" t="s">
        <v>63</v>
      </c>
      <c r="C1926" s="456" t="n">
        <v>45707</v>
      </c>
      <c r="D1926" s="456"/>
      <c r="E1926" s="323" t="n">
        <v>14714</v>
      </c>
      <c r="F1926" s="323" t="s">
        <v>175</v>
      </c>
      <c r="G1926" s="323" t="s">
        <v>19</v>
      </c>
      <c r="H1926" s="98" t="n">
        <v>300</v>
      </c>
      <c r="I1926" s="457" t="n">
        <v>37.5</v>
      </c>
      <c r="J1926" s="313" t="s">
        <v>1652</v>
      </c>
      <c r="K1926" s="458" t="n">
        <f aca="false">I1926*H1926</f>
        <v>11250</v>
      </c>
      <c r="L1926" s="411" t="n">
        <v>7500</v>
      </c>
      <c r="M1926" s="459" t="n">
        <f aca="false">L1926/K1926</f>
        <v>0.666666666666667</v>
      </c>
      <c r="N1926" s="460" t="n">
        <f aca="false">I1926*M1926</f>
        <v>25</v>
      </c>
      <c r="O1926" s="461" t="n">
        <v>300</v>
      </c>
      <c r="P1926" s="462" t="n">
        <f aca="false">H1926-O1926</f>
        <v>0</v>
      </c>
      <c r="Q1926" s="463" t="n">
        <f aca="false">O1926*I1926</f>
        <v>11250</v>
      </c>
      <c r="R1926" s="48" t="n">
        <f aca="false">K1926-Q1926</f>
        <v>0</v>
      </c>
      <c r="S1926" s="108"/>
      <c r="T1926" s="2" t="s">
        <v>1711</v>
      </c>
      <c r="V1926" s="464"/>
      <c r="W1926" s="464"/>
      <c r="X1926" s="464"/>
      <c r="Y1926" s="464"/>
      <c r="Z1926" s="464"/>
      <c r="AA1926" s="464"/>
      <c r="AB1926" s="464"/>
      <c r="AC1926" s="464"/>
      <c r="AD1926" s="464"/>
      <c r="AE1926" s="464"/>
      <c r="AF1926" s="464"/>
      <c r="AG1926" s="464"/>
      <c r="AH1926" s="465"/>
      <c r="AI1926" s="464"/>
    </row>
    <row r="1927" customFormat="false" ht="15" hidden="false" customHeight="true" outlineLevel="0" collapsed="false">
      <c r="A1927" s="455" t="s">
        <v>1976</v>
      </c>
      <c r="C1927" s="456" t="n">
        <v>45707</v>
      </c>
      <c r="D1927" s="456"/>
      <c r="E1927" s="57" t="n">
        <v>14716</v>
      </c>
      <c r="F1927" s="323" t="s">
        <v>175</v>
      </c>
      <c r="G1927" s="323" t="s">
        <v>42</v>
      </c>
      <c r="H1927" s="98" t="n">
        <v>30</v>
      </c>
      <c r="I1927" s="457" t="n">
        <v>90</v>
      </c>
      <c r="J1927" s="313" t="s">
        <v>1653</v>
      </c>
      <c r="K1927" s="458" t="n">
        <f aca="false">I1927*H1927</f>
        <v>2700</v>
      </c>
      <c r="L1927" s="411" t="n">
        <v>750</v>
      </c>
      <c r="M1927" s="459" t="n">
        <f aca="false">L1927/K1927</f>
        <v>0.277777777777778</v>
      </c>
      <c r="N1927" s="460" t="n">
        <f aca="false">I1927*M1927</f>
        <v>25</v>
      </c>
      <c r="O1927" s="461" t="n">
        <v>30</v>
      </c>
      <c r="P1927" s="462" t="n">
        <f aca="false">H1927-O1927</f>
        <v>0</v>
      </c>
      <c r="Q1927" s="463" t="n">
        <f aca="false">O1927*I1927</f>
        <v>2700</v>
      </c>
      <c r="R1927" s="48" t="n">
        <f aca="false">K1927-Q1927</f>
        <v>0</v>
      </c>
      <c r="S1927" s="108"/>
      <c r="T1927" s="2" t="s">
        <v>1711</v>
      </c>
      <c r="V1927" s="464"/>
      <c r="W1927" s="464"/>
      <c r="X1927" s="464"/>
      <c r="Y1927" s="464"/>
      <c r="Z1927" s="464"/>
      <c r="AA1927" s="464"/>
      <c r="AB1927" s="464"/>
      <c r="AC1927" s="464"/>
      <c r="AD1927" s="464"/>
      <c r="AE1927" s="464"/>
      <c r="AF1927" s="464"/>
      <c r="AG1927" s="464"/>
      <c r="AH1927" s="465"/>
      <c r="AI1927" s="464"/>
    </row>
    <row r="1928" customFormat="false" ht="15" hidden="false" customHeight="true" outlineLevel="0" collapsed="false">
      <c r="A1928" s="455" t="s">
        <v>1824</v>
      </c>
      <c r="C1928" s="456" t="n">
        <v>45707</v>
      </c>
      <c r="D1928" s="456"/>
      <c r="E1928" s="57" t="n">
        <v>14717</v>
      </c>
      <c r="F1928" s="323" t="s">
        <v>175</v>
      </c>
      <c r="G1928" s="323" t="s">
        <v>10</v>
      </c>
      <c r="H1928" s="98" t="n">
        <v>90</v>
      </c>
      <c r="I1928" s="457" t="n">
        <v>38.3</v>
      </c>
      <c r="J1928" s="313" t="s">
        <v>1652</v>
      </c>
      <c r="K1928" s="458" t="n">
        <f aca="false">I1928*H1928</f>
        <v>3447</v>
      </c>
      <c r="L1928" s="411" t="n">
        <v>855</v>
      </c>
      <c r="M1928" s="459" t="n">
        <f aca="false">L1928/K1928</f>
        <v>0.248041775456919</v>
      </c>
      <c r="N1928" s="460" t="n">
        <f aca="false">I1928*M1928</f>
        <v>9.5</v>
      </c>
      <c r="O1928" s="461" t="n">
        <v>90</v>
      </c>
      <c r="P1928" s="462" t="n">
        <f aca="false">H1928-O1928</f>
        <v>0</v>
      </c>
      <c r="Q1928" s="463" t="n">
        <f aca="false">O1928*I1928</f>
        <v>3447</v>
      </c>
      <c r="R1928" s="48" t="n">
        <f aca="false">K1928-Q1928</f>
        <v>0</v>
      </c>
      <c r="S1928" s="467"/>
      <c r="T1928" s="2" t="s">
        <v>1711</v>
      </c>
      <c r="V1928" s="464"/>
      <c r="W1928" s="464"/>
      <c r="X1928" s="464"/>
      <c r="Y1928" s="464"/>
      <c r="Z1928" s="464"/>
      <c r="AA1928" s="464"/>
      <c r="AB1928" s="464"/>
      <c r="AC1928" s="464"/>
      <c r="AD1928" s="464"/>
      <c r="AE1928" s="464"/>
      <c r="AF1928" s="464"/>
      <c r="AG1928" s="464"/>
      <c r="AH1928" s="465"/>
      <c r="AI1928" s="464"/>
    </row>
    <row r="1929" customFormat="false" ht="15" hidden="false" customHeight="true" outlineLevel="0" collapsed="false">
      <c r="A1929" s="455" t="s">
        <v>1824</v>
      </c>
      <c r="C1929" s="456" t="n">
        <v>45707</v>
      </c>
      <c r="D1929" s="456"/>
      <c r="E1929" s="57" t="n">
        <v>14717</v>
      </c>
      <c r="F1929" s="323" t="s">
        <v>175</v>
      </c>
      <c r="G1929" s="323" t="s">
        <v>10</v>
      </c>
      <c r="H1929" s="98" t="n">
        <v>675</v>
      </c>
      <c r="I1929" s="457" t="n">
        <v>25.71</v>
      </c>
      <c r="J1929" s="313" t="s">
        <v>1651</v>
      </c>
      <c r="K1929" s="458" t="n">
        <f aca="false">I1929*H1929</f>
        <v>17354.25</v>
      </c>
      <c r="L1929" s="411" t="n">
        <v>5062.5</v>
      </c>
      <c r="M1929" s="459" t="n">
        <f aca="false">L1929/K1929</f>
        <v>0.29171528588098</v>
      </c>
      <c r="N1929" s="460" t="n">
        <f aca="false">I1929*M1929</f>
        <v>7.5</v>
      </c>
      <c r="O1929" s="461" t="n">
        <v>675</v>
      </c>
      <c r="P1929" s="462" t="n">
        <f aca="false">H1929-O1929</f>
        <v>0</v>
      </c>
      <c r="Q1929" s="463" t="n">
        <f aca="false">O1929*I1929</f>
        <v>17354.25</v>
      </c>
      <c r="R1929" s="48" t="n">
        <f aca="false">K1929-Q1929</f>
        <v>0</v>
      </c>
      <c r="S1929" s="467"/>
      <c r="T1929" s="2" t="s">
        <v>1711</v>
      </c>
      <c r="V1929" s="464"/>
      <c r="W1929" s="464"/>
      <c r="X1929" s="464"/>
      <c r="Y1929" s="464"/>
      <c r="Z1929" s="464"/>
      <c r="AA1929" s="464"/>
      <c r="AB1929" s="464"/>
      <c r="AC1929" s="464"/>
      <c r="AD1929" s="464"/>
      <c r="AE1929" s="464"/>
      <c r="AF1929" s="464"/>
      <c r="AG1929" s="464"/>
      <c r="AH1929" s="465"/>
      <c r="AI1929" s="464"/>
    </row>
    <row r="1930" customFormat="false" ht="15" hidden="false" customHeight="true" outlineLevel="0" collapsed="false">
      <c r="A1930" s="455" t="s">
        <v>2081</v>
      </c>
      <c r="C1930" s="456" t="n">
        <v>45707</v>
      </c>
      <c r="D1930" s="456"/>
      <c r="E1930" s="57" t="n">
        <v>14718</v>
      </c>
      <c r="F1930" s="323" t="s">
        <v>175</v>
      </c>
      <c r="G1930" s="323" t="s">
        <v>10</v>
      </c>
      <c r="H1930" s="98" t="n">
        <v>3225</v>
      </c>
      <c r="I1930" s="457" t="n">
        <v>38.3</v>
      </c>
      <c r="J1930" s="313" t="s">
        <v>1652</v>
      </c>
      <c r="K1930" s="458" t="n">
        <f aca="false">I1930*H1930</f>
        <v>123517.5</v>
      </c>
      <c r="L1930" s="411" t="n">
        <v>41925</v>
      </c>
      <c r="M1930" s="459" t="n">
        <f aca="false">L1930/K1930</f>
        <v>0.339425587467363</v>
      </c>
      <c r="N1930" s="460" t="n">
        <f aca="false">I1930*M1930</f>
        <v>13</v>
      </c>
      <c r="O1930" s="461" t="n">
        <v>3225</v>
      </c>
      <c r="P1930" s="462" t="n">
        <f aca="false">H1930-O1930</f>
        <v>0</v>
      </c>
      <c r="Q1930" s="463" t="n">
        <f aca="false">O1930*I1930</f>
        <v>123517.5</v>
      </c>
      <c r="R1930" s="48" t="n">
        <f aca="false">K1930-Q1930</f>
        <v>0</v>
      </c>
      <c r="S1930" s="467"/>
      <c r="T1930" s="2" t="s">
        <v>1711</v>
      </c>
      <c r="V1930" s="464"/>
      <c r="W1930" s="464"/>
      <c r="X1930" s="464"/>
      <c r="Y1930" s="464"/>
      <c r="Z1930" s="464"/>
      <c r="AA1930" s="464"/>
      <c r="AB1930" s="464"/>
      <c r="AC1930" s="464"/>
      <c r="AD1930" s="464"/>
      <c r="AE1930" s="464"/>
      <c r="AF1930" s="464"/>
      <c r="AG1930" s="464"/>
      <c r="AH1930" s="465"/>
      <c r="AI1930" s="464"/>
    </row>
    <row r="1931" customFormat="false" ht="15" hidden="false" customHeight="true" outlineLevel="0" collapsed="false">
      <c r="A1931" s="455" t="s">
        <v>1760</v>
      </c>
      <c r="C1931" s="456" t="n">
        <v>45707</v>
      </c>
      <c r="D1931" s="456"/>
      <c r="E1931" s="57" t="n">
        <v>14719</v>
      </c>
      <c r="F1931" s="323" t="s">
        <v>175</v>
      </c>
      <c r="G1931" s="323" t="s">
        <v>17</v>
      </c>
      <c r="H1931" s="98" t="n">
        <v>750</v>
      </c>
      <c r="I1931" s="457" t="n">
        <v>22.5</v>
      </c>
      <c r="J1931" s="313" t="s">
        <v>1651</v>
      </c>
      <c r="K1931" s="458" t="n">
        <f aca="false">I1931*H1931</f>
        <v>16875</v>
      </c>
      <c r="L1931" s="411" t="n">
        <v>10425</v>
      </c>
      <c r="M1931" s="459" t="n">
        <f aca="false">L1931/K1931</f>
        <v>0.617777777777778</v>
      </c>
      <c r="N1931" s="460" t="n">
        <f aca="false">I1931*M1931</f>
        <v>13.9</v>
      </c>
      <c r="O1931" s="461"/>
      <c r="P1931" s="468" t="n">
        <f aca="false">H1931-O1931</f>
        <v>750</v>
      </c>
      <c r="Q1931" s="463" t="n">
        <f aca="false">O1931*I1931</f>
        <v>0</v>
      </c>
      <c r="R1931" s="48" t="n">
        <f aca="false">K1931-Q1931</f>
        <v>16875</v>
      </c>
      <c r="S1931" s="467" t="n">
        <v>45707</v>
      </c>
      <c r="T1931" s="2" t="s">
        <v>1711</v>
      </c>
      <c r="V1931" s="464"/>
      <c r="W1931" s="464"/>
      <c r="X1931" s="464"/>
      <c r="Y1931" s="464"/>
      <c r="Z1931" s="464"/>
      <c r="AA1931" s="464"/>
      <c r="AB1931" s="464"/>
      <c r="AC1931" s="464"/>
      <c r="AD1931" s="464"/>
      <c r="AE1931" s="464"/>
      <c r="AF1931" s="464"/>
      <c r="AG1931" s="464"/>
      <c r="AH1931" s="465"/>
      <c r="AI1931" s="464"/>
    </row>
    <row r="1932" customFormat="false" ht="15" hidden="false" customHeight="true" outlineLevel="0" collapsed="false">
      <c r="A1932" s="455" t="s">
        <v>1963</v>
      </c>
      <c r="C1932" s="456" t="n">
        <v>45708</v>
      </c>
      <c r="D1932" s="456"/>
      <c r="E1932" s="57" t="n">
        <v>14720</v>
      </c>
      <c r="F1932" s="323" t="s">
        <v>175</v>
      </c>
      <c r="G1932" s="323" t="s">
        <v>6</v>
      </c>
      <c r="H1932" s="98" t="n">
        <v>500</v>
      </c>
      <c r="I1932" s="457" t="n">
        <v>60</v>
      </c>
      <c r="J1932" s="313" t="s">
        <v>1653</v>
      </c>
      <c r="K1932" s="458" t="n">
        <f aca="false">I1932*H1932</f>
        <v>30000</v>
      </c>
      <c r="L1932" s="411" t="n">
        <v>6750</v>
      </c>
      <c r="M1932" s="459" t="n">
        <f aca="false">L1932/K1932</f>
        <v>0.225</v>
      </c>
      <c r="N1932" s="460" t="n">
        <f aca="false">I1932*M1932</f>
        <v>13.5</v>
      </c>
      <c r="O1932" s="461" t="n">
        <v>500</v>
      </c>
      <c r="P1932" s="462" t="n">
        <f aca="false">H1932-O1932</f>
        <v>0</v>
      </c>
      <c r="Q1932" s="463" t="n">
        <f aca="false">O1932*I1932</f>
        <v>30000</v>
      </c>
      <c r="R1932" s="48" t="n">
        <f aca="false">K1932-Q1932</f>
        <v>0</v>
      </c>
      <c r="S1932" s="467"/>
      <c r="T1932" s="2" t="s">
        <v>1711</v>
      </c>
      <c r="V1932" s="464"/>
      <c r="W1932" s="464"/>
      <c r="X1932" s="464"/>
      <c r="Y1932" s="464"/>
      <c r="Z1932" s="464"/>
      <c r="AA1932" s="464"/>
      <c r="AB1932" s="464"/>
      <c r="AC1932" s="464"/>
      <c r="AD1932" s="464"/>
      <c r="AE1932" s="464"/>
      <c r="AF1932" s="464"/>
      <c r="AG1932" s="464"/>
      <c r="AH1932" s="465"/>
      <c r="AI1932" s="464"/>
    </row>
    <row r="1933" customFormat="false" ht="15" hidden="false" customHeight="true" outlineLevel="0" collapsed="false">
      <c r="A1933" s="455" t="s">
        <v>2082</v>
      </c>
      <c r="C1933" s="456" t="n">
        <v>45708</v>
      </c>
      <c r="D1933" s="456"/>
      <c r="E1933" s="57" t="n">
        <v>14721</v>
      </c>
      <c r="F1933" s="323" t="s">
        <v>175</v>
      </c>
      <c r="G1933" s="323" t="s">
        <v>7</v>
      </c>
      <c r="H1933" s="98" t="n">
        <v>60</v>
      </c>
      <c r="I1933" s="457" t="n">
        <v>90</v>
      </c>
      <c r="J1933" s="313" t="s">
        <v>1653</v>
      </c>
      <c r="K1933" s="458" t="n">
        <f aca="false">I1933*H1933</f>
        <v>5400</v>
      </c>
      <c r="L1933" s="411" t="n">
        <v>720</v>
      </c>
      <c r="M1933" s="459" t="n">
        <f aca="false">L1933/K1933</f>
        <v>0.133333333333333</v>
      </c>
      <c r="N1933" s="460" t="n">
        <f aca="false">I1933*M1933</f>
        <v>12</v>
      </c>
      <c r="O1933" s="461" t="n">
        <v>60</v>
      </c>
      <c r="P1933" s="462" t="n">
        <f aca="false">H1933-O1933</f>
        <v>0</v>
      </c>
      <c r="Q1933" s="463" t="n">
        <f aca="false">O1933*I1933</f>
        <v>5400</v>
      </c>
      <c r="R1933" s="48" t="n">
        <f aca="false">K1933-Q1933</f>
        <v>0</v>
      </c>
      <c r="S1933" s="108"/>
      <c r="T1933" s="2" t="s">
        <v>1711</v>
      </c>
      <c r="V1933" s="464"/>
      <c r="W1933" s="464"/>
      <c r="X1933" s="464"/>
      <c r="Y1933" s="464"/>
      <c r="Z1933" s="464"/>
      <c r="AA1933" s="464"/>
      <c r="AB1933" s="464"/>
      <c r="AC1933" s="464"/>
      <c r="AD1933" s="464"/>
      <c r="AE1933" s="464"/>
      <c r="AF1933" s="464"/>
      <c r="AG1933" s="464"/>
      <c r="AH1933" s="465"/>
      <c r="AI1933" s="464"/>
    </row>
    <row r="1934" customFormat="false" ht="15" hidden="false" customHeight="true" outlineLevel="0" collapsed="false">
      <c r="A1934" s="455" t="s">
        <v>1955</v>
      </c>
      <c r="C1934" s="456" t="n">
        <v>45708</v>
      </c>
      <c r="D1934" s="456"/>
      <c r="E1934" s="57" t="n">
        <v>14722</v>
      </c>
      <c r="F1934" s="323" t="s">
        <v>175</v>
      </c>
      <c r="G1934" s="323" t="s">
        <v>13</v>
      </c>
      <c r="H1934" s="98" t="n">
        <v>1110</v>
      </c>
      <c r="I1934" s="457" t="n">
        <v>22.5</v>
      </c>
      <c r="J1934" s="313" t="s">
        <v>1651</v>
      </c>
      <c r="K1934" s="458" t="n">
        <f aca="false">I1934*H1934</f>
        <v>24975</v>
      </c>
      <c r="L1934" s="411" t="n">
        <v>12432</v>
      </c>
      <c r="M1934" s="459" t="n">
        <f aca="false">L1934/K1934</f>
        <v>0.497777777777778</v>
      </c>
      <c r="N1934" s="460" t="n">
        <f aca="false">I1934*M1934</f>
        <v>11.2</v>
      </c>
      <c r="O1934" s="461" t="n">
        <v>1110</v>
      </c>
      <c r="P1934" s="462" t="n">
        <f aca="false">H1934-O1934</f>
        <v>0</v>
      </c>
      <c r="Q1934" s="463" t="n">
        <f aca="false">O1934*I1934</f>
        <v>24975</v>
      </c>
      <c r="R1934" s="48" t="n">
        <f aca="false">K1934-Q1934</f>
        <v>0</v>
      </c>
      <c r="S1934" s="108"/>
      <c r="T1934" s="2" t="s">
        <v>1711</v>
      </c>
      <c r="V1934" s="464"/>
      <c r="W1934" s="464"/>
      <c r="X1934" s="464"/>
      <c r="Y1934" s="464"/>
      <c r="Z1934" s="464"/>
      <c r="AA1934" s="464"/>
      <c r="AB1934" s="464"/>
      <c r="AC1934" s="464"/>
      <c r="AD1934" s="464"/>
      <c r="AE1934" s="464"/>
      <c r="AF1934" s="464"/>
      <c r="AG1934" s="464"/>
      <c r="AH1934" s="465"/>
      <c r="AI1934" s="464"/>
    </row>
    <row r="1935" customFormat="false" ht="15" hidden="false" customHeight="true" outlineLevel="0" collapsed="false">
      <c r="A1935" s="455" t="s">
        <v>1824</v>
      </c>
      <c r="C1935" s="456" t="n">
        <v>45709</v>
      </c>
      <c r="D1935" s="456"/>
      <c r="E1935" s="57" t="n">
        <v>14723</v>
      </c>
      <c r="F1935" s="323" t="s">
        <v>175</v>
      </c>
      <c r="G1935" s="323" t="s">
        <v>18</v>
      </c>
      <c r="H1935" s="98" t="n">
        <v>45</v>
      </c>
      <c r="I1935" s="457" t="n">
        <v>25.71</v>
      </c>
      <c r="J1935" s="313" t="s">
        <v>1651</v>
      </c>
      <c r="K1935" s="458" t="n">
        <f aca="false">I1935*H1935</f>
        <v>1156.95</v>
      </c>
      <c r="L1935" s="411" t="n">
        <v>810</v>
      </c>
      <c r="M1935" s="459" t="n">
        <f aca="false">L1935/K1935</f>
        <v>0.700116686114352</v>
      </c>
      <c r="N1935" s="460" t="n">
        <f aca="false">I1935*M1935</f>
        <v>18</v>
      </c>
      <c r="O1935" s="461" t="n">
        <v>45</v>
      </c>
      <c r="P1935" s="462" t="n">
        <f aca="false">H1935-O1935</f>
        <v>0</v>
      </c>
      <c r="Q1935" s="463" t="n">
        <f aca="false">O1935*I1935</f>
        <v>1156.95</v>
      </c>
      <c r="R1935" s="48" t="n">
        <f aca="false">K1935-Q1935</f>
        <v>0</v>
      </c>
      <c r="S1935" s="467"/>
      <c r="T1935" s="2" t="s">
        <v>1711</v>
      </c>
      <c r="V1935" s="464"/>
      <c r="W1935" s="464"/>
      <c r="X1935" s="464"/>
      <c r="Y1935" s="464"/>
      <c r="Z1935" s="464"/>
      <c r="AA1935" s="464"/>
      <c r="AB1935" s="464"/>
      <c r="AC1935" s="464"/>
      <c r="AD1935" s="464"/>
      <c r="AE1935" s="464"/>
      <c r="AF1935" s="464"/>
      <c r="AG1935" s="464"/>
      <c r="AH1935" s="465"/>
      <c r="AI1935" s="464"/>
    </row>
    <row r="1936" customFormat="false" ht="15" hidden="false" customHeight="true" outlineLevel="0" collapsed="false">
      <c r="A1936" s="455" t="s">
        <v>2083</v>
      </c>
      <c r="C1936" s="456" t="n">
        <v>45709</v>
      </c>
      <c r="D1936" s="456"/>
      <c r="E1936" s="57" t="n">
        <v>14724</v>
      </c>
      <c r="F1936" s="323" t="s">
        <v>175</v>
      </c>
      <c r="G1936" s="323" t="s">
        <v>18</v>
      </c>
      <c r="H1936" s="98" t="n">
        <v>6666.6666</v>
      </c>
      <c r="I1936" s="457" t="n">
        <v>90</v>
      </c>
      <c r="J1936" s="313" t="s">
        <v>1653</v>
      </c>
      <c r="K1936" s="458" t="n">
        <f aca="false">I1936*H1936</f>
        <v>599999.994</v>
      </c>
      <c r="L1936" s="411" t="n">
        <v>149999.86</v>
      </c>
      <c r="M1936" s="459" t="n">
        <f aca="false">L1936/K1936</f>
        <v>0.249999769166664</v>
      </c>
      <c r="N1936" s="460" t="n">
        <f aca="false">I1936*M1936</f>
        <v>22.4999792249998</v>
      </c>
      <c r="O1936" s="461" t="n">
        <v>6666.6666</v>
      </c>
      <c r="P1936" s="462" t="n">
        <f aca="false">H1936-O1936</f>
        <v>0</v>
      </c>
      <c r="Q1936" s="463" t="n">
        <f aca="false">O1936*I1936</f>
        <v>599999.994</v>
      </c>
      <c r="R1936" s="48" t="n">
        <f aca="false">K1936-Q1936</f>
        <v>0</v>
      </c>
      <c r="S1936" s="467"/>
      <c r="T1936" s="2" t="s">
        <v>1711</v>
      </c>
      <c r="V1936" s="464"/>
      <c r="W1936" s="464"/>
      <c r="X1936" s="464"/>
      <c r="Y1936" s="464"/>
      <c r="Z1936" s="464"/>
      <c r="AA1936" s="464"/>
      <c r="AB1936" s="464"/>
      <c r="AC1936" s="464"/>
      <c r="AD1936" s="464"/>
      <c r="AE1936" s="464"/>
      <c r="AF1936" s="464"/>
      <c r="AG1936" s="464"/>
      <c r="AH1936" s="465"/>
      <c r="AI1936" s="464"/>
    </row>
    <row r="1937" customFormat="false" ht="15" hidden="false" customHeight="true" outlineLevel="0" collapsed="false">
      <c r="A1937" s="455" t="s">
        <v>2033</v>
      </c>
      <c r="C1937" s="456" t="n">
        <v>45712</v>
      </c>
      <c r="D1937" s="456"/>
      <c r="E1937" s="57" t="n">
        <v>14725</v>
      </c>
      <c r="F1937" s="323" t="s">
        <v>175</v>
      </c>
      <c r="G1937" s="323" t="s">
        <v>5</v>
      </c>
      <c r="H1937" s="98" t="n">
        <v>150</v>
      </c>
      <c r="I1937" s="457" t="n">
        <v>25.71</v>
      </c>
      <c r="J1937" s="313" t="s">
        <v>1651</v>
      </c>
      <c r="K1937" s="458" t="n">
        <f aca="false">I1937*H1937</f>
        <v>3856.5</v>
      </c>
      <c r="L1937" s="411" t="n">
        <v>2250</v>
      </c>
      <c r="M1937" s="459" t="n">
        <f aca="false">L1937/K1937</f>
        <v>0.58343057176196</v>
      </c>
      <c r="N1937" s="460" t="n">
        <f aca="false">I1937*M1937</f>
        <v>15</v>
      </c>
      <c r="O1937" s="461" t="n">
        <v>150</v>
      </c>
      <c r="P1937" s="462" t="n">
        <f aca="false">H1937-O1937</f>
        <v>0</v>
      </c>
      <c r="Q1937" s="463" t="n">
        <f aca="false">O1937*I1937</f>
        <v>3856.5</v>
      </c>
      <c r="R1937" s="48" t="n">
        <f aca="false">K1937-Q1937</f>
        <v>0</v>
      </c>
      <c r="S1937" s="108"/>
      <c r="T1937" s="2" t="s">
        <v>1711</v>
      </c>
      <c r="V1937" s="464"/>
      <c r="W1937" s="464"/>
      <c r="X1937" s="464"/>
      <c r="Y1937" s="464"/>
      <c r="Z1937" s="464"/>
      <c r="AA1937" s="464"/>
      <c r="AB1937" s="464"/>
      <c r="AC1937" s="464"/>
      <c r="AD1937" s="464"/>
      <c r="AE1937" s="464"/>
      <c r="AF1937" s="464"/>
      <c r="AG1937" s="464"/>
      <c r="AH1937" s="465"/>
      <c r="AI1937" s="464"/>
    </row>
    <row r="1938" customFormat="false" ht="15" hidden="false" customHeight="true" outlineLevel="0" collapsed="false">
      <c r="A1938" s="455" t="s">
        <v>1871</v>
      </c>
      <c r="C1938" s="456" t="n">
        <v>45712</v>
      </c>
      <c r="D1938" s="456"/>
      <c r="E1938" s="57" t="n">
        <v>14726</v>
      </c>
      <c r="F1938" s="323" t="s">
        <v>175</v>
      </c>
      <c r="G1938" s="323" t="s">
        <v>10</v>
      </c>
      <c r="H1938" s="98" t="n">
        <v>2025</v>
      </c>
      <c r="I1938" s="457" t="n">
        <v>25.71</v>
      </c>
      <c r="J1938" s="313" t="s">
        <v>1651</v>
      </c>
      <c r="K1938" s="458" t="n">
        <f aca="false">I1938*H1938</f>
        <v>52062.75</v>
      </c>
      <c r="L1938" s="411" t="n">
        <v>13101.75</v>
      </c>
      <c r="M1938" s="459" t="n">
        <f aca="false">L1938/K1938</f>
        <v>0.251653053286659</v>
      </c>
      <c r="N1938" s="460" t="n">
        <f aca="false">I1938*M1938</f>
        <v>6.47</v>
      </c>
      <c r="O1938" s="461" t="n">
        <v>2025</v>
      </c>
      <c r="P1938" s="462" t="n">
        <f aca="false">H1938-O1938</f>
        <v>0</v>
      </c>
      <c r="Q1938" s="463" t="n">
        <f aca="false">O1938*I1938</f>
        <v>52062.75</v>
      </c>
      <c r="R1938" s="48" t="n">
        <f aca="false">K1938-Q1938</f>
        <v>0</v>
      </c>
      <c r="S1938" s="467"/>
      <c r="T1938" s="2" t="s">
        <v>1711</v>
      </c>
      <c r="V1938" s="464"/>
      <c r="W1938" s="464"/>
      <c r="X1938" s="464"/>
      <c r="Y1938" s="464"/>
      <c r="Z1938" s="464"/>
      <c r="AA1938" s="464"/>
      <c r="AB1938" s="464"/>
      <c r="AC1938" s="464"/>
      <c r="AD1938" s="464"/>
      <c r="AE1938" s="464"/>
      <c r="AF1938" s="464"/>
      <c r="AG1938" s="464"/>
      <c r="AH1938" s="465"/>
      <c r="AI1938" s="464"/>
    </row>
    <row r="1939" customFormat="false" ht="15" hidden="false" customHeight="true" outlineLevel="0" collapsed="false">
      <c r="A1939" s="455" t="s">
        <v>2060</v>
      </c>
      <c r="C1939" s="456" t="n">
        <v>45712</v>
      </c>
      <c r="D1939" s="456"/>
      <c r="E1939" s="57" t="n">
        <v>14727</v>
      </c>
      <c r="F1939" s="323" t="s">
        <v>175</v>
      </c>
      <c r="G1939" s="323" t="s">
        <v>6</v>
      </c>
      <c r="H1939" s="98" t="n">
        <v>450</v>
      </c>
      <c r="I1939" s="457" t="n">
        <v>45</v>
      </c>
      <c r="J1939" s="313" t="s">
        <v>1652</v>
      </c>
      <c r="K1939" s="458" t="n">
        <f aca="false">I1939*H1939</f>
        <v>20250</v>
      </c>
      <c r="L1939" s="411" t="n">
        <v>5769</v>
      </c>
      <c r="M1939" s="459" t="n">
        <f aca="false">L1939/K1939</f>
        <v>0.284888888888889</v>
      </c>
      <c r="N1939" s="460" t="n">
        <f aca="false">I1939*M1939</f>
        <v>12.82</v>
      </c>
      <c r="O1939" s="461" t="n">
        <v>450</v>
      </c>
      <c r="P1939" s="462" t="n">
        <f aca="false">H1939-O1939</f>
        <v>0</v>
      </c>
      <c r="Q1939" s="463" t="n">
        <f aca="false">O1939*I1939</f>
        <v>20250</v>
      </c>
      <c r="R1939" s="48" t="n">
        <f aca="false">K1939-Q1939</f>
        <v>0</v>
      </c>
      <c r="S1939" s="108"/>
      <c r="T1939" s="2" t="s">
        <v>1711</v>
      </c>
      <c r="V1939" s="464"/>
      <c r="W1939" s="464"/>
      <c r="X1939" s="464"/>
      <c r="Y1939" s="464"/>
      <c r="Z1939" s="464"/>
      <c r="AA1939" s="464"/>
      <c r="AB1939" s="464"/>
      <c r="AC1939" s="464"/>
      <c r="AD1939" s="464"/>
      <c r="AE1939" s="464"/>
      <c r="AF1939" s="464"/>
      <c r="AG1939" s="464"/>
      <c r="AH1939" s="465"/>
      <c r="AI1939" s="464"/>
    </row>
    <row r="1940" customFormat="false" ht="15" hidden="false" customHeight="true" outlineLevel="0" collapsed="false">
      <c r="A1940" s="455" t="s">
        <v>2084</v>
      </c>
      <c r="C1940" s="456" t="n">
        <v>45712</v>
      </c>
      <c r="D1940" s="456"/>
      <c r="E1940" s="57" t="n">
        <v>14728</v>
      </c>
      <c r="F1940" s="323" t="s">
        <v>175</v>
      </c>
      <c r="G1940" s="323" t="s">
        <v>10</v>
      </c>
      <c r="H1940" s="98" t="n">
        <v>1050</v>
      </c>
      <c r="I1940" s="457" t="n">
        <v>90</v>
      </c>
      <c r="J1940" s="313" t="s">
        <v>1653</v>
      </c>
      <c r="K1940" s="458" t="n">
        <f aca="false">I1940*H1940</f>
        <v>94500</v>
      </c>
      <c r="L1940" s="411" t="n">
        <v>15750</v>
      </c>
      <c r="M1940" s="459" t="n">
        <f aca="false">L1940/K1940</f>
        <v>0.166666666666667</v>
      </c>
      <c r="N1940" s="460" t="n">
        <f aca="false">I1940*M1940</f>
        <v>15</v>
      </c>
      <c r="O1940" s="461" t="n">
        <v>1050</v>
      </c>
      <c r="P1940" s="462" t="n">
        <f aca="false">H1940-O1940</f>
        <v>0</v>
      </c>
      <c r="Q1940" s="463" t="n">
        <f aca="false">O1940*I1940</f>
        <v>94500</v>
      </c>
      <c r="R1940" s="48" t="n">
        <f aca="false">K1940-Q1940</f>
        <v>0</v>
      </c>
      <c r="S1940" s="467"/>
      <c r="T1940" s="2" t="s">
        <v>1711</v>
      </c>
      <c r="V1940" s="464"/>
      <c r="W1940" s="464"/>
      <c r="X1940" s="464"/>
      <c r="Y1940" s="464"/>
      <c r="Z1940" s="464"/>
      <c r="AA1940" s="464"/>
      <c r="AB1940" s="464"/>
      <c r="AC1940" s="464"/>
      <c r="AD1940" s="464"/>
      <c r="AE1940" s="464"/>
      <c r="AF1940" s="464"/>
      <c r="AG1940" s="464"/>
      <c r="AH1940" s="465"/>
      <c r="AI1940" s="464"/>
    </row>
    <row r="1941" customFormat="false" ht="15" hidden="false" customHeight="true" outlineLevel="0" collapsed="false">
      <c r="A1941" s="455" t="s">
        <v>2085</v>
      </c>
      <c r="C1941" s="456" t="n">
        <v>45712</v>
      </c>
      <c r="D1941" s="456"/>
      <c r="E1941" s="57" t="n">
        <v>14729</v>
      </c>
      <c r="F1941" s="323" t="s">
        <v>175</v>
      </c>
      <c r="G1941" s="323" t="s">
        <v>6</v>
      </c>
      <c r="H1941" s="98" t="n">
        <v>450</v>
      </c>
      <c r="I1941" s="457" t="n">
        <v>45</v>
      </c>
      <c r="J1941" s="313" t="s">
        <v>1652</v>
      </c>
      <c r="K1941" s="458" t="n">
        <f aca="false">I1941*H1941</f>
        <v>20250</v>
      </c>
      <c r="L1941" s="411" t="n">
        <v>11250</v>
      </c>
      <c r="M1941" s="459" t="n">
        <f aca="false">L1941/K1941</f>
        <v>0.555555555555556</v>
      </c>
      <c r="N1941" s="460" t="n">
        <f aca="false">I1941*M1941</f>
        <v>25</v>
      </c>
      <c r="O1941" s="461" t="n">
        <v>450</v>
      </c>
      <c r="P1941" s="462" t="n">
        <f aca="false">H1941-O1941</f>
        <v>0</v>
      </c>
      <c r="Q1941" s="463" t="n">
        <f aca="false">O1941*I1941</f>
        <v>20250</v>
      </c>
      <c r="R1941" s="48" t="n">
        <f aca="false">K1941-Q1941</f>
        <v>0</v>
      </c>
      <c r="S1941" s="467"/>
      <c r="T1941" s="2" t="s">
        <v>1711</v>
      </c>
      <c r="V1941" s="464"/>
      <c r="W1941" s="464"/>
      <c r="X1941" s="464"/>
      <c r="Y1941" s="464"/>
      <c r="Z1941" s="464"/>
      <c r="AA1941" s="464"/>
      <c r="AB1941" s="464"/>
      <c r="AC1941" s="464"/>
      <c r="AD1941" s="464"/>
      <c r="AE1941" s="464"/>
      <c r="AF1941" s="464"/>
      <c r="AG1941" s="464"/>
      <c r="AH1941" s="465"/>
      <c r="AI1941" s="464"/>
    </row>
    <row r="1942" customFormat="false" ht="15" hidden="false" customHeight="true" outlineLevel="0" collapsed="false">
      <c r="A1942" s="455" t="s">
        <v>2086</v>
      </c>
      <c r="C1942" s="456" t="n">
        <v>45713</v>
      </c>
      <c r="D1942" s="456"/>
      <c r="E1942" s="57" t="n">
        <v>14730</v>
      </c>
      <c r="F1942" s="323" t="s">
        <v>175</v>
      </c>
      <c r="G1942" s="323" t="s">
        <v>10</v>
      </c>
      <c r="H1942" s="98" t="n">
        <v>810</v>
      </c>
      <c r="I1942" s="457" t="n">
        <v>38.3</v>
      </c>
      <c r="J1942" s="313" t="s">
        <v>1652</v>
      </c>
      <c r="K1942" s="458" t="n">
        <f aca="false">I1942*H1942</f>
        <v>31023</v>
      </c>
      <c r="L1942" s="411" t="n">
        <v>9720</v>
      </c>
      <c r="M1942" s="459" t="n">
        <f aca="false">L1942/K1942</f>
        <v>0.31331592689295</v>
      </c>
      <c r="N1942" s="460" t="n">
        <f aca="false">I1942*M1942</f>
        <v>12</v>
      </c>
      <c r="O1942" s="461" t="n">
        <v>810</v>
      </c>
      <c r="P1942" s="462" t="n">
        <f aca="false">H1942-O1942</f>
        <v>0</v>
      </c>
      <c r="Q1942" s="463" t="n">
        <f aca="false">O1942*I1942</f>
        <v>31023</v>
      </c>
      <c r="R1942" s="48" t="n">
        <f aca="false">K1942-Q1942</f>
        <v>0</v>
      </c>
      <c r="S1942" s="467"/>
      <c r="T1942" s="2" t="s">
        <v>1711</v>
      </c>
      <c r="V1942" s="464"/>
      <c r="W1942" s="464"/>
      <c r="X1942" s="464"/>
      <c r="Y1942" s="464"/>
      <c r="Z1942" s="464"/>
      <c r="AA1942" s="464"/>
      <c r="AB1942" s="464"/>
      <c r="AC1942" s="464"/>
      <c r="AD1942" s="464"/>
      <c r="AE1942" s="464"/>
      <c r="AF1942" s="464"/>
      <c r="AG1942" s="464"/>
      <c r="AH1942" s="465"/>
      <c r="AI1942" s="464"/>
    </row>
    <row r="1943" customFormat="false" ht="15" hidden="false" customHeight="true" outlineLevel="0" collapsed="false">
      <c r="A1943" s="455" t="s">
        <v>2037</v>
      </c>
      <c r="C1943" s="456" t="n">
        <v>45714</v>
      </c>
      <c r="D1943" s="456"/>
      <c r="E1943" s="57" t="n">
        <v>14731</v>
      </c>
      <c r="F1943" s="323" t="s">
        <v>175</v>
      </c>
      <c r="G1943" s="323" t="s">
        <v>13</v>
      </c>
      <c r="H1943" s="98" t="n">
        <v>1025</v>
      </c>
      <c r="I1943" s="457" t="n">
        <v>90</v>
      </c>
      <c r="J1943" s="313" t="s">
        <v>1653</v>
      </c>
      <c r="K1943" s="458" t="n">
        <f aca="false">I1943*H1943</f>
        <v>92250</v>
      </c>
      <c r="L1943" s="411" t="n">
        <v>41000</v>
      </c>
      <c r="M1943" s="459" t="n">
        <f aca="false">L1943/K1943</f>
        <v>0.444444444444444</v>
      </c>
      <c r="N1943" s="460" t="n">
        <f aca="false">I1943*M1943</f>
        <v>40</v>
      </c>
      <c r="O1943" s="461" t="n">
        <v>1025</v>
      </c>
      <c r="P1943" s="462" t="n">
        <f aca="false">H1943-O1943</f>
        <v>0</v>
      </c>
      <c r="Q1943" s="463" t="n">
        <f aca="false">O1943*I1943</f>
        <v>92250</v>
      </c>
      <c r="R1943" s="48" t="n">
        <f aca="false">K1943-Q1943</f>
        <v>0</v>
      </c>
      <c r="S1943" s="467"/>
      <c r="T1943" s="2" t="s">
        <v>1711</v>
      </c>
      <c r="V1943" s="464"/>
      <c r="W1943" s="464"/>
      <c r="X1943" s="464"/>
      <c r="Y1943" s="464"/>
      <c r="Z1943" s="464"/>
      <c r="AA1943" s="464"/>
      <c r="AB1943" s="464"/>
      <c r="AC1943" s="464"/>
      <c r="AD1943" s="464"/>
      <c r="AE1943" s="464"/>
      <c r="AF1943" s="464"/>
      <c r="AG1943" s="464"/>
      <c r="AH1943" s="465"/>
      <c r="AI1943" s="464"/>
    </row>
    <row r="1944" customFormat="false" ht="15" hidden="false" customHeight="true" outlineLevel="0" collapsed="false">
      <c r="A1944" s="455" t="s">
        <v>2087</v>
      </c>
      <c r="C1944" s="456" t="n">
        <v>45714</v>
      </c>
      <c r="D1944" s="456"/>
      <c r="E1944" s="57" t="n">
        <v>14733</v>
      </c>
      <c r="F1944" s="323" t="s">
        <v>175</v>
      </c>
      <c r="G1944" s="323" t="s">
        <v>10</v>
      </c>
      <c r="H1944" s="98" t="n">
        <v>2010</v>
      </c>
      <c r="I1944" s="457" t="n">
        <v>38.3</v>
      </c>
      <c r="J1944" s="313" t="s">
        <v>1652</v>
      </c>
      <c r="K1944" s="458" t="n">
        <f aca="false">I1944*H1944</f>
        <v>76983</v>
      </c>
      <c r="L1944" s="411" t="n">
        <v>27858.6</v>
      </c>
      <c r="M1944" s="459" t="n">
        <f aca="false">L1944/K1944</f>
        <v>0.361879895561358</v>
      </c>
      <c r="N1944" s="460" t="n">
        <f aca="false">I1944*M1944</f>
        <v>13.86</v>
      </c>
      <c r="O1944" s="461" t="n">
        <v>2010</v>
      </c>
      <c r="P1944" s="462" t="n">
        <f aca="false">H1944-O1944</f>
        <v>0</v>
      </c>
      <c r="Q1944" s="463" t="n">
        <f aca="false">O1944*I1944</f>
        <v>76983</v>
      </c>
      <c r="R1944" s="48" t="n">
        <f aca="false">K1944-Q1944</f>
        <v>0</v>
      </c>
      <c r="S1944" s="467"/>
      <c r="T1944" s="2" t="s">
        <v>1711</v>
      </c>
      <c r="V1944" s="464"/>
      <c r="W1944" s="464"/>
      <c r="X1944" s="464"/>
      <c r="Y1944" s="464"/>
      <c r="Z1944" s="464"/>
      <c r="AA1944" s="464"/>
      <c r="AB1944" s="464"/>
      <c r="AC1944" s="464"/>
      <c r="AD1944" s="464"/>
      <c r="AE1944" s="464"/>
      <c r="AF1944" s="464"/>
      <c r="AG1944" s="464"/>
      <c r="AH1944" s="465"/>
      <c r="AI1944" s="464"/>
    </row>
    <row r="1945" customFormat="false" ht="15" hidden="false" customHeight="true" outlineLevel="0" collapsed="false">
      <c r="A1945" s="455" t="s">
        <v>1802</v>
      </c>
      <c r="C1945" s="456" t="n">
        <v>45714</v>
      </c>
      <c r="D1945" s="456"/>
      <c r="E1945" s="323" t="n">
        <v>14734</v>
      </c>
      <c r="F1945" s="323" t="s">
        <v>175</v>
      </c>
      <c r="G1945" s="323" t="s">
        <v>6</v>
      </c>
      <c r="H1945" s="98" t="n">
        <v>2400</v>
      </c>
      <c r="I1945" s="457" t="n">
        <v>45</v>
      </c>
      <c r="J1945" s="313" t="s">
        <v>1652</v>
      </c>
      <c r="K1945" s="458" t="n">
        <f aca="false">I1945*H1945</f>
        <v>108000</v>
      </c>
      <c r="L1945" s="411" t="n">
        <v>46800</v>
      </c>
      <c r="M1945" s="459" t="n">
        <f aca="false">L1945/K1945</f>
        <v>0.433333333333333</v>
      </c>
      <c r="N1945" s="460" t="n">
        <f aca="false">I1945*M1945</f>
        <v>19.5</v>
      </c>
      <c r="O1945" s="461" t="n">
        <v>2400</v>
      </c>
      <c r="P1945" s="462" t="n">
        <f aca="false">H1945-O1945</f>
        <v>0</v>
      </c>
      <c r="Q1945" s="463" t="n">
        <f aca="false">O1945*I1945</f>
        <v>108000</v>
      </c>
      <c r="R1945" s="48" t="n">
        <f aca="false">K1945-Q1945</f>
        <v>0</v>
      </c>
      <c r="S1945" s="108"/>
      <c r="T1945" s="2" t="s">
        <v>1711</v>
      </c>
      <c r="V1945" s="464"/>
      <c r="W1945" s="464"/>
      <c r="X1945" s="464"/>
      <c r="Y1945" s="464"/>
      <c r="Z1945" s="464"/>
      <c r="AA1945" s="464"/>
      <c r="AB1945" s="464"/>
      <c r="AC1945" s="464"/>
      <c r="AD1945" s="464"/>
      <c r="AE1945" s="464"/>
      <c r="AF1945" s="464"/>
      <c r="AG1945" s="464"/>
      <c r="AH1945" s="465"/>
      <c r="AI1945" s="464"/>
    </row>
    <row r="1946" customFormat="false" ht="15" hidden="false" customHeight="true" outlineLevel="0" collapsed="false">
      <c r="A1946" s="455" t="s">
        <v>1753</v>
      </c>
      <c r="C1946" s="456" t="n">
        <v>45714</v>
      </c>
      <c r="D1946" s="456"/>
      <c r="E1946" s="323" t="n">
        <v>14735</v>
      </c>
      <c r="F1946" s="323" t="s">
        <v>175</v>
      </c>
      <c r="G1946" s="323" t="s">
        <v>15</v>
      </c>
      <c r="H1946" s="98" t="n">
        <v>100</v>
      </c>
      <c r="I1946" s="457" t="n">
        <v>40</v>
      </c>
      <c r="J1946" s="313" t="s">
        <v>1653</v>
      </c>
      <c r="K1946" s="458" t="n">
        <f aca="false">I1946*H1946</f>
        <v>4000</v>
      </c>
      <c r="L1946" s="411" t="n">
        <v>1850</v>
      </c>
      <c r="M1946" s="459" t="n">
        <f aca="false">L1946/K1946</f>
        <v>0.4625</v>
      </c>
      <c r="N1946" s="460" t="n">
        <f aca="false">I1946*M1946</f>
        <v>18.5</v>
      </c>
      <c r="O1946" s="461" t="n">
        <v>100</v>
      </c>
      <c r="P1946" s="462" t="n">
        <f aca="false">H1946-O1946</f>
        <v>0</v>
      </c>
      <c r="Q1946" s="463" t="n">
        <f aca="false">O1946*I1946</f>
        <v>4000</v>
      </c>
      <c r="R1946" s="48" t="n">
        <f aca="false">K1946-Q1946</f>
        <v>0</v>
      </c>
      <c r="S1946" s="108"/>
      <c r="T1946" s="2" t="s">
        <v>1711</v>
      </c>
      <c r="V1946" s="464"/>
      <c r="W1946" s="464"/>
      <c r="X1946" s="464"/>
      <c r="Y1946" s="464"/>
      <c r="Z1946" s="464"/>
      <c r="AA1946" s="464"/>
      <c r="AB1946" s="464"/>
      <c r="AC1946" s="464"/>
      <c r="AD1946" s="464"/>
      <c r="AE1946" s="464"/>
      <c r="AF1946" s="464"/>
      <c r="AG1946" s="464"/>
      <c r="AH1946" s="465"/>
      <c r="AI1946" s="464"/>
    </row>
    <row r="1947" customFormat="false" ht="15" hidden="false" customHeight="true" outlineLevel="0" collapsed="false">
      <c r="A1947" s="455" t="s">
        <v>2088</v>
      </c>
      <c r="C1947" s="456" t="n">
        <v>45714</v>
      </c>
      <c r="D1947" s="456"/>
      <c r="E1947" s="323" t="n">
        <v>14736</v>
      </c>
      <c r="F1947" s="323" t="s">
        <v>175</v>
      </c>
      <c r="G1947" s="323" t="s">
        <v>5</v>
      </c>
      <c r="H1947" s="98" t="n">
        <v>780</v>
      </c>
      <c r="I1947" s="457" t="n">
        <v>25.71</v>
      </c>
      <c r="J1947" s="313" t="s">
        <v>1651</v>
      </c>
      <c r="K1947" s="458" t="n">
        <f aca="false">I1947*H1947</f>
        <v>20053.8</v>
      </c>
      <c r="L1947" s="411" t="n">
        <v>10920</v>
      </c>
      <c r="M1947" s="459" t="n">
        <f aca="false">L1947/K1947</f>
        <v>0.544535200311163</v>
      </c>
      <c r="N1947" s="460" t="n">
        <f aca="false">I1947*M1947</f>
        <v>14</v>
      </c>
      <c r="O1947" s="461" t="n">
        <v>780</v>
      </c>
      <c r="P1947" s="462" t="n">
        <f aca="false">H1947-O1947</f>
        <v>0</v>
      </c>
      <c r="Q1947" s="463" t="n">
        <f aca="false">O1947*I1947</f>
        <v>20053.8</v>
      </c>
      <c r="R1947" s="48" t="n">
        <f aca="false">K1947-Q1947</f>
        <v>0</v>
      </c>
      <c r="S1947" s="108"/>
      <c r="T1947" s="2" t="s">
        <v>1711</v>
      </c>
      <c r="V1947" s="464"/>
      <c r="W1947" s="464"/>
      <c r="X1947" s="464"/>
      <c r="Y1947" s="464"/>
      <c r="Z1947" s="464"/>
      <c r="AA1947" s="464"/>
      <c r="AB1947" s="464"/>
      <c r="AC1947" s="464"/>
      <c r="AD1947" s="464"/>
      <c r="AE1947" s="464"/>
      <c r="AF1947" s="464"/>
      <c r="AG1947" s="464"/>
      <c r="AH1947" s="465"/>
      <c r="AI1947" s="464"/>
    </row>
    <row r="1948" customFormat="false" ht="15" hidden="false" customHeight="true" outlineLevel="0" collapsed="false">
      <c r="A1948" s="455" t="s">
        <v>2088</v>
      </c>
      <c r="C1948" s="456" t="n">
        <v>45714</v>
      </c>
      <c r="D1948" s="456"/>
      <c r="E1948" s="323" t="n">
        <v>14736</v>
      </c>
      <c r="F1948" s="323" t="s">
        <v>175</v>
      </c>
      <c r="G1948" s="323" t="s">
        <v>15</v>
      </c>
      <c r="H1948" s="98" t="n">
        <v>75</v>
      </c>
      <c r="I1948" s="457" t="n">
        <v>22.5</v>
      </c>
      <c r="J1948" s="313" t="s">
        <v>1651</v>
      </c>
      <c r="K1948" s="458" t="n">
        <f aca="false">I1948*H1948</f>
        <v>1687.5</v>
      </c>
      <c r="L1948" s="411" t="n">
        <v>1650</v>
      </c>
      <c r="M1948" s="459" t="n">
        <f aca="false">L1948/K1948</f>
        <v>0.977777777777778</v>
      </c>
      <c r="N1948" s="460" t="n">
        <f aca="false">I1948*M1948</f>
        <v>22</v>
      </c>
      <c r="O1948" s="461"/>
      <c r="P1948" s="468" t="n">
        <f aca="false">H1948-O1948</f>
        <v>75</v>
      </c>
      <c r="Q1948" s="463" t="n">
        <f aca="false">O1948*I1948</f>
        <v>0</v>
      </c>
      <c r="R1948" s="48" t="n">
        <f aca="false">K1948-Q1948</f>
        <v>1687.5</v>
      </c>
      <c r="S1948" s="467" t="n">
        <v>45714</v>
      </c>
      <c r="T1948" s="2" t="s">
        <v>1711</v>
      </c>
      <c r="V1948" s="464"/>
      <c r="W1948" s="464"/>
      <c r="X1948" s="464"/>
      <c r="Y1948" s="464"/>
      <c r="Z1948" s="464"/>
      <c r="AA1948" s="464"/>
      <c r="AB1948" s="464"/>
      <c r="AC1948" s="464"/>
      <c r="AD1948" s="464"/>
      <c r="AE1948" s="464"/>
      <c r="AF1948" s="464"/>
      <c r="AG1948" s="464"/>
      <c r="AH1948" s="465"/>
      <c r="AI1948" s="464"/>
    </row>
    <row r="1949" customFormat="false" ht="15" hidden="false" customHeight="true" outlineLevel="0" collapsed="false">
      <c r="A1949" s="455" t="s">
        <v>1871</v>
      </c>
      <c r="C1949" s="456" t="n">
        <v>45715</v>
      </c>
      <c r="D1949" s="456"/>
      <c r="E1949" s="323" t="n">
        <v>14737</v>
      </c>
      <c r="F1949" s="323" t="s">
        <v>175</v>
      </c>
      <c r="G1949" s="323" t="s">
        <v>10</v>
      </c>
      <c r="H1949" s="98" t="n">
        <v>3000</v>
      </c>
      <c r="I1949" s="457" t="n">
        <v>25.71</v>
      </c>
      <c r="J1949" s="313" t="s">
        <v>1651</v>
      </c>
      <c r="K1949" s="458" t="n">
        <f aca="false">I1949*H1949</f>
        <v>77130</v>
      </c>
      <c r="L1949" s="411" t="n">
        <v>19410</v>
      </c>
      <c r="M1949" s="459" t="n">
        <f aca="false">L1949/K1949</f>
        <v>0.251653053286659</v>
      </c>
      <c r="N1949" s="460" t="n">
        <f aca="false">I1949*M1949</f>
        <v>6.47</v>
      </c>
      <c r="O1949" s="461" t="n">
        <v>3000</v>
      </c>
      <c r="P1949" s="462" t="n">
        <f aca="false">H1949-O1949</f>
        <v>0</v>
      </c>
      <c r="Q1949" s="463" t="n">
        <f aca="false">O1949*I1949</f>
        <v>77130</v>
      </c>
      <c r="R1949" s="48" t="n">
        <f aca="false">K1949-Q1949</f>
        <v>0</v>
      </c>
      <c r="S1949" s="108"/>
      <c r="T1949" s="2" t="s">
        <v>1711</v>
      </c>
      <c r="V1949" s="464"/>
      <c r="W1949" s="464"/>
      <c r="X1949" s="464"/>
      <c r="Y1949" s="464"/>
      <c r="Z1949" s="464"/>
      <c r="AA1949" s="464"/>
      <c r="AB1949" s="464"/>
      <c r="AC1949" s="464"/>
      <c r="AD1949" s="464"/>
      <c r="AE1949" s="464"/>
      <c r="AF1949" s="464"/>
      <c r="AG1949" s="464"/>
      <c r="AH1949" s="465"/>
      <c r="AI1949" s="464"/>
    </row>
    <row r="1950" customFormat="false" ht="15" hidden="false" customHeight="true" outlineLevel="0" collapsed="false">
      <c r="A1950" s="455" t="s">
        <v>1753</v>
      </c>
      <c r="C1950" s="456" t="n">
        <v>45715</v>
      </c>
      <c r="D1950" s="456"/>
      <c r="E1950" s="323" t="n">
        <v>14738</v>
      </c>
      <c r="F1950" s="323" t="s">
        <v>175</v>
      </c>
      <c r="G1950" s="323" t="s">
        <v>5</v>
      </c>
      <c r="H1950" s="98" t="n">
        <v>3000</v>
      </c>
      <c r="I1950" s="457" t="n">
        <v>60</v>
      </c>
      <c r="J1950" s="313" t="s">
        <v>1653</v>
      </c>
      <c r="K1950" s="458" t="n">
        <f aca="false">I1950*H1950</f>
        <v>180000</v>
      </c>
      <c r="L1950" s="411" t="n">
        <v>45000</v>
      </c>
      <c r="M1950" s="459" t="n">
        <f aca="false">L1950/K1950</f>
        <v>0.25</v>
      </c>
      <c r="N1950" s="460" t="n">
        <f aca="false">I1950*M1950</f>
        <v>15</v>
      </c>
      <c r="O1950" s="461" t="n">
        <v>3000</v>
      </c>
      <c r="P1950" s="462" t="n">
        <f aca="false">H1950-O1950</f>
        <v>0</v>
      </c>
      <c r="Q1950" s="463" t="n">
        <f aca="false">O1950*I1950</f>
        <v>180000</v>
      </c>
      <c r="R1950" s="48" t="n">
        <f aca="false">K1950-Q1950</f>
        <v>0</v>
      </c>
      <c r="S1950" s="467"/>
      <c r="T1950" s="2" t="s">
        <v>1711</v>
      </c>
      <c r="V1950" s="464"/>
      <c r="W1950" s="464"/>
      <c r="X1950" s="464"/>
      <c r="Y1950" s="464"/>
      <c r="Z1950" s="464"/>
      <c r="AA1950" s="464"/>
      <c r="AB1950" s="464"/>
      <c r="AC1950" s="464"/>
      <c r="AD1950" s="464"/>
      <c r="AE1950" s="464"/>
      <c r="AF1950" s="464"/>
      <c r="AG1950" s="464"/>
      <c r="AH1950" s="465"/>
      <c r="AI1950" s="464"/>
    </row>
    <row r="1951" customFormat="false" ht="15" hidden="false" customHeight="true" outlineLevel="0" collapsed="false">
      <c r="A1951" s="455" t="s">
        <v>2071</v>
      </c>
      <c r="C1951" s="456" t="n">
        <v>45715</v>
      </c>
      <c r="D1951" s="456"/>
      <c r="E1951" s="323" t="n">
        <v>14739</v>
      </c>
      <c r="F1951" s="323" t="s">
        <v>175</v>
      </c>
      <c r="G1951" s="323" t="s">
        <v>10</v>
      </c>
      <c r="H1951" s="98" t="n">
        <v>4920</v>
      </c>
      <c r="I1951" s="457" t="n">
        <v>90</v>
      </c>
      <c r="J1951" s="313" t="s">
        <v>1653</v>
      </c>
      <c r="K1951" s="458" t="n">
        <f aca="false">I1951*H1951</f>
        <v>442800</v>
      </c>
      <c r="L1951" s="411" t="n">
        <v>59040</v>
      </c>
      <c r="M1951" s="459" t="n">
        <f aca="false">L1951/K1951</f>
        <v>0.133333333333333</v>
      </c>
      <c r="N1951" s="460" t="n">
        <f aca="false">I1951*M1951</f>
        <v>12</v>
      </c>
      <c r="O1951" s="461" t="n">
        <v>4920</v>
      </c>
      <c r="P1951" s="462" t="n">
        <f aca="false">H1951-O1951</f>
        <v>0</v>
      </c>
      <c r="Q1951" s="463" t="n">
        <f aca="false">O1951*I1951</f>
        <v>442800</v>
      </c>
      <c r="R1951" s="48" t="n">
        <f aca="false">K1951-Q1951</f>
        <v>0</v>
      </c>
      <c r="S1951" s="467"/>
      <c r="T1951" s="2" t="s">
        <v>1711</v>
      </c>
      <c r="V1951" s="464"/>
      <c r="W1951" s="464"/>
      <c r="X1951" s="464"/>
      <c r="Y1951" s="464"/>
      <c r="Z1951" s="464"/>
      <c r="AA1951" s="464"/>
      <c r="AB1951" s="464"/>
      <c r="AC1951" s="464"/>
      <c r="AD1951" s="464"/>
      <c r="AE1951" s="464"/>
      <c r="AF1951" s="464"/>
      <c r="AG1951" s="464"/>
      <c r="AH1951" s="465"/>
      <c r="AI1951" s="464"/>
    </row>
    <row r="1952" customFormat="false" ht="15" hidden="false" customHeight="true" outlineLevel="0" collapsed="false">
      <c r="A1952" s="455" t="s">
        <v>2071</v>
      </c>
      <c r="C1952" s="456" t="n">
        <v>45715</v>
      </c>
      <c r="D1952" s="456"/>
      <c r="E1952" s="323" t="n">
        <v>14739</v>
      </c>
      <c r="F1952" s="323" t="s">
        <v>175</v>
      </c>
      <c r="G1952" s="323" t="s">
        <v>42</v>
      </c>
      <c r="H1952" s="98" t="n">
        <v>630</v>
      </c>
      <c r="I1952" s="457" t="n">
        <v>30</v>
      </c>
      <c r="J1952" s="313" t="s">
        <v>1651</v>
      </c>
      <c r="K1952" s="458" t="n">
        <f aca="false">I1952*H1952</f>
        <v>18900</v>
      </c>
      <c r="L1952" s="411" t="n">
        <v>8568</v>
      </c>
      <c r="M1952" s="459" t="n">
        <f aca="false">L1952/K1952</f>
        <v>0.453333333333333</v>
      </c>
      <c r="N1952" s="460" t="n">
        <f aca="false">I1952*M1952</f>
        <v>13.6</v>
      </c>
      <c r="O1952" s="461" t="n">
        <v>510</v>
      </c>
      <c r="P1952" s="468" t="n">
        <f aca="false">H1952-O1952</f>
        <v>120</v>
      </c>
      <c r="Q1952" s="463" t="n">
        <f aca="false">O1952*I1952</f>
        <v>15300</v>
      </c>
      <c r="R1952" s="48" t="n">
        <f aca="false">K1952-Q1952</f>
        <v>3600</v>
      </c>
      <c r="S1952" s="467" t="n">
        <v>45715</v>
      </c>
      <c r="T1952" s="2" t="s">
        <v>1711</v>
      </c>
      <c r="V1952" s="464"/>
      <c r="W1952" s="464"/>
      <c r="X1952" s="464"/>
      <c r="Y1952" s="464"/>
      <c r="Z1952" s="464"/>
      <c r="AA1952" s="464"/>
      <c r="AB1952" s="464"/>
      <c r="AC1952" s="464"/>
      <c r="AD1952" s="464"/>
      <c r="AE1952" s="464"/>
      <c r="AF1952" s="464"/>
      <c r="AG1952" s="464"/>
      <c r="AH1952" s="465"/>
      <c r="AI1952" s="464"/>
    </row>
    <row r="1953" customFormat="false" ht="15" hidden="false" customHeight="true" outlineLevel="0" collapsed="false">
      <c r="A1953" s="455" t="s">
        <v>1952</v>
      </c>
      <c r="C1953" s="456" t="n">
        <v>45715</v>
      </c>
      <c r="D1953" s="456"/>
      <c r="E1953" s="323" t="n">
        <v>14740</v>
      </c>
      <c r="F1953" s="323" t="s">
        <v>175</v>
      </c>
      <c r="G1953" s="323" t="s">
        <v>10</v>
      </c>
      <c r="H1953" s="98" t="n">
        <v>240</v>
      </c>
      <c r="I1953" s="457" t="n">
        <v>90</v>
      </c>
      <c r="J1953" s="313" t="s">
        <v>1653</v>
      </c>
      <c r="K1953" s="458" t="n">
        <f aca="false">I1953*H1953</f>
        <v>21600</v>
      </c>
      <c r="L1953" s="411" t="n">
        <v>6136.8</v>
      </c>
      <c r="M1953" s="459" t="n">
        <f aca="false">L1953/K1953</f>
        <v>0.284111111111111</v>
      </c>
      <c r="N1953" s="460" t="n">
        <f aca="false">I1953*M1953</f>
        <v>25.57</v>
      </c>
      <c r="O1953" s="461" t="n">
        <v>240</v>
      </c>
      <c r="P1953" s="462" t="n">
        <f aca="false">H1953-O1953</f>
        <v>0</v>
      </c>
      <c r="Q1953" s="463" t="n">
        <f aca="false">O1953*I1953</f>
        <v>21600</v>
      </c>
      <c r="R1953" s="48" t="n">
        <f aca="false">K1953-Q1953</f>
        <v>0</v>
      </c>
      <c r="S1953" s="467"/>
      <c r="T1953" s="2" t="s">
        <v>1711</v>
      </c>
      <c r="V1953" s="464"/>
      <c r="W1953" s="464"/>
      <c r="X1953" s="464"/>
      <c r="Y1953" s="464"/>
      <c r="Z1953" s="464"/>
      <c r="AA1953" s="464"/>
      <c r="AB1953" s="464"/>
      <c r="AC1953" s="464"/>
      <c r="AD1953" s="464"/>
      <c r="AE1953" s="464"/>
      <c r="AF1953" s="464"/>
      <c r="AG1953" s="464"/>
      <c r="AH1953" s="465"/>
      <c r="AI1953" s="464"/>
    </row>
    <row r="1954" customFormat="false" ht="15" hidden="false" customHeight="true" outlineLevel="0" collapsed="false">
      <c r="A1954" s="455" t="s">
        <v>1952</v>
      </c>
      <c r="C1954" s="456" t="n">
        <v>45715</v>
      </c>
      <c r="D1954" s="456"/>
      <c r="E1954" s="57" t="n">
        <v>14741</v>
      </c>
      <c r="F1954" s="323" t="s">
        <v>175</v>
      </c>
      <c r="G1954" s="323" t="s">
        <v>5</v>
      </c>
      <c r="H1954" s="98" t="n">
        <v>405</v>
      </c>
      <c r="I1954" s="457" t="n">
        <v>25.71</v>
      </c>
      <c r="J1954" s="313" t="s">
        <v>1651</v>
      </c>
      <c r="K1954" s="458" t="n">
        <f aca="false">I1954*H1954</f>
        <v>10412.55</v>
      </c>
      <c r="L1954" s="411" t="n">
        <v>11060.55</v>
      </c>
      <c r="M1954" s="459" t="n">
        <f aca="false">L1954/K1954</f>
        <v>1.06223259432128</v>
      </c>
      <c r="N1954" s="460" t="n">
        <f aca="false">I1954*M1954</f>
        <v>27.31</v>
      </c>
      <c r="O1954" s="461" t="n">
        <v>405</v>
      </c>
      <c r="P1954" s="462" t="n">
        <f aca="false">H1954-O1954</f>
        <v>0</v>
      </c>
      <c r="Q1954" s="463" t="n">
        <f aca="false">O1954*I1954</f>
        <v>10412.55</v>
      </c>
      <c r="R1954" s="48" t="n">
        <f aca="false">K1954-Q1954</f>
        <v>0</v>
      </c>
      <c r="S1954" s="467"/>
      <c r="T1954" s="2" t="s">
        <v>1711</v>
      </c>
      <c r="V1954" s="464"/>
      <c r="W1954" s="464"/>
      <c r="X1954" s="464"/>
      <c r="Y1954" s="464"/>
      <c r="Z1954" s="464"/>
      <c r="AA1954" s="464"/>
      <c r="AB1954" s="464"/>
      <c r="AC1954" s="464"/>
      <c r="AD1954" s="464"/>
      <c r="AE1954" s="464"/>
      <c r="AF1954" s="464"/>
      <c r="AG1954" s="464"/>
      <c r="AH1954" s="465"/>
      <c r="AI1954" s="464"/>
    </row>
    <row r="1955" customFormat="false" ht="15" hidden="false" customHeight="true" outlineLevel="0" collapsed="false">
      <c r="A1955" s="455" t="s">
        <v>58</v>
      </c>
      <c r="C1955" s="456" t="n">
        <v>45715</v>
      </c>
      <c r="D1955" s="456"/>
      <c r="E1955" s="323" t="n">
        <v>14742</v>
      </c>
      <c r="F1955" s="323" t="s">
        <v>175</v>
      </c>
      <c r="G1955" s="323" t="s">
        <v>19</v>
      </c>
      <c r="H1955" s="98" t="n">
        <v>150</v>
      </c>
      <c r="I1955" s="457" t="n">
        <v>22.5</v>
      </c>
      <c r="J1955" s="313" t="s">
        <v>1651</v>
      </c>
      <c r="K1955" s="458" t="n">
        <f aca="false">I1955*H1955</f>
        <v>3375</v>
      </c>
      <c r="L1955" s="411" t="n">
        <v>3273</v>
      </c>
      <c r="M1955" s="459" t="n">
        <f aca="false">L1955/K1955</f>
        <v>0.969777777777778</v>
      </c>
      <c r="N1955" s="460" t="n">
        <f aca="false">I1955*M1955</f>
        <v>21.82</v>
      </c>
      <c r="O1955" s="461" t="n">
        <v>150</v>
      </c>
      <c r="P1955" s="462" t="n">
        <f aca="false">H1955-O1955</f>
        <v>0</v>
      </c>
      <c r="Q1955" s="463" t="n">
        <f aca="false">O1955*I1955</f>
        <v>3375</v>
      </c>
      <c r="R1955" s="48" t="n">
        <f aca="false">K1955-Q1955</f>
        <v>0</v>
      </c>
      <c r="S1955" s="108"/>
      <c r="T1955" s="2" t="s">
        <v>1711</v>
      </c>
      <c r="V1955" s="464"/>
      <c r="W1955" s="464"/>
      <c r="X1955" s="464"/>
      <c r="Y1955" s="464"/>
      <c r="Z1955" s="464"/>
      <c r="AA1955" s="464"/>
      <c r="AB1955" s="464"/>
      <c r="AC1955" s="464"/>
      <c r="AD1955" s="464"/>
      <c r="AE1955" s="464"/>
      <c r="AF1955" s="464"/>
      <c r="AG1955" s="464"/>
      <c r="AH1955" s="465"/>
      <c r="AI1955" s="464"/>
    </row>
    <row r="1956" customFormat="false" ht="15" hidden="false" customHeight="true" outlineLevel="0" collapsed="false">
      <c r="A1956" s="455" t="s">
        <v>1755</v>
      </c>
      <c r="C1956" s="456" t="n">
        <v>45715</v>
      </c>
      <c r="D1956" s="456"/>
      <c r="E1956" s="323" t="n">
        <v>14744</v>
      </c>
      <c r="F1956" s="323" t="s">
        <v>175</v>
      </c>
      <c r="G1956" s="323" t="s">
        <v>10</v>
      </c>
      <c r="H1956" s="98" t="n">
        <v>1440</v>
      </c>
      <c r="I1956" s="457" t="n">
        <v>38.3</v>
      </c>
      <c r="J1956" s="313" t="s">
        <v>1652</v>
      </c>
      <c r="K1956" s="458" t="n">
        <f aca="false">I1956*H1956</f>
        <v>55152</v>
      </c>
      <c r="L1956" s="411" t="n">
        <v>15350.4</v>
      </c>
      <c r="M1956" s="459" t="n">
        <f aca="false">L1956/K1956</f>
        <v>0.278328981723238</v>
      </c>
      <c r="N1956" s="460" t="n">
        <f aca="false">I1956*M1956</f>
        <v>10.66</v>
      </c>
      <c r="O1956" s="461" t="n">
        <v>1440</v>
      </c>
      <c r="P1956" s="462" t="n">
        <f aca="false">H1956-O1956</f>
        <v>0</v>
      </c>
      <c r="Q1956" s="463" t="n">
        <f aca="false">O1956*I1956</f>
        <v>55152</v>
      </c>
      <c r="R1956" s="48" t="n">
        <f aca="false">K1956-Q1956</f>
        <v>0</v>
      </c>
      <c r="S1956" s="467"/>
      <c r="T1956" s="2" t="s">
        <v>1711</v>
      </c>
      <c r="V1956" s="464"/>
      <c r="W1956" s="464"/>
      <c r="X1956" s="464"/>
      <c r="Y1956" s="464"/>
      <c r="Z1956" s="464"/>
      <c r="AA1956" s="464"/>
      <c r="AB1956" s="464"/>
      <c r="AC1956" s="464"/>
      <c r="AD1956" s="464"/>
      <c r="AE1956" s="464"/>
      <c r="AF1956" s="464"/>
      <c r="AG1956" s="464"/>
      <c r="AH1956" s="465"/>
      <c r="AI1956" s="464"/>
    </row>
    <row r="1957" customFormat="false" ht="15" hidden="false" customHeight="true" outlineLevel="0" collapsed="false">
      <c r="A1957" s="455" t="s">
        <v>1753</v>
      </c>
      <c r="C1957" s="456" t="n">
        <v>45715</v>
      </c>
      <c r="D1957" s="456"/>
      <c r="E1957" s="323" t="n">
        <v>14745</v>
      </c>
      <c r="F1957" s="323" t="s">
        <v>175</v>
      </c>
      <c r="G1957" s="323" t="s">
        <v>15</v>
      </c>
      <c r="H1957" s="98" t="n">
        <v>120</v>
      </c>
      <c r="I1957" s="457" t="n">
        <v>22.5</v>
      </c>
      <c r="J1957" s="313" t="s">
        <v>1651</v>
      </c>
      <c r="K1957" s="458" t="n">
        <f aca="false">I1957*H1957</f>
        <v>2700</v>
      </c>
      <c r="L1957" s="411" t="n">
        <v>1560</v>
      </c>
      <c r="M1957" s="459" t="n">
        <f aca="false">L1957/K1957</f>
        <v>0.577777777777778</v>
      </c>
      <c r="N1957" s="460" t="n">
        <f aca="false">I1957*M1957</f>
        <v>13</v>
      </c>
      <c r="O1957" s="461" t="n">
        <v>120</v>
      </c>
      <c r="P1957" s="462" t="n">
        <f aca="false">H1957-O1957</f>
        <v>0</v>
      </c>
      <c r="Q1957" s="463" t="n">
        <f aca="false">O1957*I1957</f>
        <v>2700</v>
      </c>
      <c r="R1957" s="48" t="n">
        <f aca="false">K1957-Q1957</f>
        <v>0</v>
      </c>
      <c r="S1957" s="108"/>
      <c r="T1957" s="2" t="s">
        <v>1711</v>
      </c>
      <c r="V1957" s="464"/>
      <c r="W1957" s="464"/>
      <c r="X1957" s="464"/>
      <c r="Y1957" s="464"/>
      <c r="Z1957" s="464"/>
      <c r="AA1957" s="464"/>
      <c r="AB1957" s="464"/>
      <c r="AC1957" s="464"/>
      <c r="AD1957" s="464"/>
      <c r="AE1957" s="464"/>
      <c r="AF1957" s="464"/>
      <c r="AG1957" s="464"/>
      <c r="AH1957" s="465"/>
      <c r="AI1957" s="464"/>
    </row>
    <row r="1958" customFormat="false" ht="15" hidden="false" customHeight="true" outlineLevel="0" collapsed="false">
      <c r="A1958" s="455" t="s">
        <v>2089</v>
      </c>
      <c r="C1958" s="456" t="n">
        <v>45716</v>
      </c>
      <c r="D1958" s="456"/>
      <c r="E1958" s="323" t="n">
        <v>14747</v>
      </c>
      <c r="F1958" s="323" t="s">
        <v>175</v>
      </c>
      <c r="G1958" s="323" t="s">
        <v>6</v>
      </c>
      <c r="H1958" s="98" t="n">
        <v>165</v>
      </c>
      <c r="I1958" s="457" t="n">
        <v>45</v>
      </c>
      <c r="J1958" s="313" t="s">
        <v>1652</v>
      </c>
      <c r="K1958" s="458" t="n">
        <f aca="false">I1958*H1958</f>
        <v>7425</v>
      </c>
      <c r="L1958" s="411" t="n">
        <v>4290</v>
      </c>
      <c r="M1958" s="459" t="n">
        <f aca="false">L1958/K1958</f>
        <v>0.577777777777778</v>
      </c>
      <c r="N1958" s="460" t="n">
        <f aca="false">I1958*M1958</f>
        <v>26</v>
      </c>
      <c r="O1958" s="461" t="n">
        <v>165</v>
      </c>
      <c r="P1958" s="462" t="n">
        <f aca="false">H1958-O1958</f>
        <v>0</v>
      </c>
      <c r="Q1958" s="463" t="n">
        <f aca="false">O1958*I1958</f>
        <v>7425</v>
      </c>
      <c r="R1958" s="48" t="n">
        <f aca="false">K1958-Q1958</f>
        <v>0</v>
      </c>
      <c r="S1958" s="108"/>
      <c r="T1958" s="2" t="s">
        <v>1711</v>
      </c>
      <c r="V1958" s="464"/>
      <c r="W1958" s="464"/>
      <c r="X1958" s="464"/>
      <c r="Y1958" s="464"/>
      <c r="Z1958" s="464"/>
      <c r="AA1958" s="464"/>
      <c r="AB1958" s="464"/>
      <c r="AC1958" s="464"/>
      <c r="AD1958" s="464"/>
      <c r="AE1958" s="464"/>
      <c r="AF1958" s="464"/>
      <c r="AG1958" s="464"/>
      <c r="AH1958" s="465"/>
      <c r="AI1958" s="464"/>
    </row>
    <row r="1959" customFormat="false" ht="15" hidden="false" customHeight="true" outlineLevel="0" collapsed="false">
      <c r="A1959" s="455" t="s">
        <v>2089</v>
      </c>
      <c r="C1959" s="456" t="n">
        <v>45716</v>
      </c>
      <c r="D1959" s="456"/>
      <c r="E1959" s="323" t="n">
        <v>14747</v>
      </c>
      <c r="F1959" s="323" t="s">
        <v>175</v>
      </c>
      <c r="G1959" s="323" t="s">
        <v>10</v>
      </c>
      <c r="H1959" s="98" t="n">
        <v>1005</v>
      </c>
      <c r="I1959" s="457" t="n">
        <v>38.3</v>
      </c>
      <c r="J1959" s="313" t="s">
        <v>1652</v>
      </c>
      <c r="K1959" s="458" t="n">
        <f aca="false">I1959*H1959</f>
        <v>38491.5</v>
      </c>
      <c r="L1959" s="411" t="n">
        <v>11055</v>
      </c>
      <c r="M1959" s="459" t="n">
        <f aca="false">L1959/K1959</f>
        <v>0.287206266318538</v>
      </c>
      <c r="N1959" s="460" t="n">
        <f aca="false">I1959*M1959</f>
        <v>11</v>
      </c>
      <c r="O1959" s="461" t="n">
        <v>1005</v>
      </c>
      <c r="P1959" s="462" t="n">
        <f aca="false">H1959-O1959</f>
        <v>0</v>
      </c>
      <c r="Q1959" s="463" t="n">
        <f aca="false">O1959*I1959</f>
        <v>38491.5</v>
      </c>
      <c r="R1959" s="48" t="n">
        <f aca="false">K1959-Q1959</f>
        <v>0</v>
      </c>
      <c r="S1959" s="467"/>
      <c r="T1959" s="2" t="s">
        <v>1711</v>
      </c>
      <c r="V1959" s="464"/>
      <c r="W1959" s="464"/>
      <c r="X1959" s="464"/>
      <c r="Y1959" s="464"/>
      <c r="Z1959" s="464"/>
      <c r="AA1959" s="464"/>
      <c r="AB1959" s="464"/>
      <c r="AC1959" s="464"/>
      <c r="AD1959" s="464"/>
      <c r="AE1959" s="464"/>
      <c r="AF1959" s="464"/>
      <c r="AG1959" s="464"/>
      <c r="AH1959" s="465"/>
      <c r="AI1959" s="464"/>
    </row>
    <row r="1960" customFormat="false" ht="15" hidden="false" customHeight="true" outlineLevel="0" collapsed="false">
      <c r="A1960" s="455" t="s">
        <v>2090</v>
      </c>
      <c r="C1960" s="456" t="n">
        <v>45716</v>
      </c>
      <c r="D1960" s="456"/>
      <c r="E1960" s="57" t="n">
        <v>14748</v>
      </c>
      <c r="F1960" s="323" t="s">
        <v>175</v>
      </c>
      <c r="G1960" s="323" t="s">
        <v>6</v>
      </c>
      <c r="H1960" s="98" t="n">
        <v>165</v>
      </c>
      <c r="I1960" s="457" t="n">
        <v>45</v>
      </c>
      <c r="J1960" s="313" t="s">
        <v>1652</v>
      </c>
      <c r="K1960" s="458" t="n">
        <f aca="false">I1960*H1960</f>
        <v>7425</v>
      </c>
      <c r="L1960" s="411" t="n">
        <v>4290</v>
      </c>
      <c r="M1960" s="459" t="n">
        <f aca="false">L1960/K1960</f>
        <v>0.577777777777778</v>
      </c>
      <c r="N1960" s="460" t="n">
        <f aca="false">I1960*M1960</f>
        <v>26</v>
      </c>
      <c r="O1960" s="461" t="n">
        <v>165</v>
      </c>
      <c r="P1960" s="462" t="n">
        <f aca="false">H1960-O1960</f>
        <v>0</v>
      </c>
      <c r="Q1960" s="463" t="n">
        <f aca="false">O1960*I1960</f>
        <v>7425</v>
      </c>
      <c r="R1960" s="48" t="n">
        <f aca="false">K1960-Q1960</f>
        <v>0</v>
      </c>
      <c r="S1960" s="108"/>
      <c r="T1960" s="2" t="s">
        <v>1711</v>
      </c>
      <c r="V1960" s="464"/>
      <c r="W1960" s="464"/>
      <c r="X1960" s="464"/>
      <c r="Y1960" s="464"/>
      <c r="Z1960" s="464"/>
      <c r="AA1960" s="464"/>
      <c r="AB1960" s="464"/>
      <c r="AC1960" s="464"/>
      <c r="AD1960" s="464"/>
      <c r="AE1960" s="464"/>
      <c r="AF1960" s="464"/>
      <c r="AG1960" s="464"/>
      <c r="AH1960" s="465"/>
      <c r="AI1960" s="464"/>
    </row>
    <row r="1961" customFormat="false" ht="15" hidden="false" customHeight="true" outlineLevel="0" collapsed="false">
      <c r="A1961" s="455" t="s">
        <v>2090</v>
      </c>
      <c r="C1961" s="456" t="n">
        <v>45716</v>
      </c>
      <c r="D1961" s="456"/>
      <c r="E1961" s="57" t="n">
        <v>14748</v>
      </c>
      <c r="F1961" s="323" t="s">
        <v>175</v>
      </c>
      <c r="G1961" s="323" t="s">
        <v>10</v>
      </c>
      <c r="H1961" s="98" t="n">
        <v>1005</v>
      </c>
      <c r="I1961" s="457" t="n">
        <v>38.3</v>
      </c>
      <c r="J1961" s="313" t="s">
        <v>1652</v>
      </c>
      <c r="K1961" s="458" t="n">
        <f aca="false">I1961*H1961</f>
        <v>38491.5</v>
      </c>
      <c r="L1961" s="411" t="n">
        <v>11055</v>
      </c>
      <c r="M1961" s="459" t="n">
        <f aca="false">L1961/K1961</f>
        <v>0.287206266318538</v>
      </c>
      <c r="N1961" s="460" t="n">
        <f aca="false">I1961*M1961</f>
        <v>11</v>
      </c>
      <c r="O1961" s="461" t="n">
        <v>1005</v>
      </c>
      <c r="P1961" s="462" t="n">
        <f aca="false">H1961-O1961</f>
        <v>0</v>
      </c>
      <c r="Q1961" s="463" t="n">
        <f aca="false">O1961*I1961</f>
        <v>38491.5</v>
      </c>
      <c r="R1961" s="48" t="n">
        <f aca="false">K1961-Q1961</f>
        <v>0</v>
      </c>
      <c r="S1961" s="467"/>
      <c r="T1961" s="2" t="s">
        <v>1711</v>
      </c>
      <c r="V1961" s="464"/>
      <c r="W1961" s="464"/>
      <c r="X1961" s="464"/>
      <c r="Y1961" s="464"/>
      <c r="Z1961" s="464"/>
      <c r="AA1961" s="464"/>
      <c r="AB1961" s="464"/>
      <c r="AC1961" s="464"/>
      <c r="AD1961" s="464"/>
      <c r="AE1961" s="464"/>
      <c r="AF1961" s="464"/>
      <c r="AG1961" s="464"/>
      <c r="AH1961" s="465"/>
      <c r="AI1961" s="464"/>
    </row>
    <row r="1962" customFormat="false" ht="15" hidden="false" customHeight="true" outlineLevel="0" collapsed="false">
      <c r="A1962" s="455" t="s">
        <v>1871</v>
      </c>
      <c r="C1962" s="456" t="n">
        <v>45716</v>
      </c>
      <c r="D1962" s="456"/>
      <c r="E1962" s="57" t="n">
        <v>14749</v>
      </c>
      <c r="F1962" s="323" t="s">
        <v>175</v>
      </c>
      <c r="G1962" s="323" t="s">
        <v>10</v>
      </c>
      <c r="H1962" s="98" t="n">
        <v>30</v>
      </c>
      <c r="I1962" s="457" t="n">
        <v>25.71</v>
      </c>
      <c r="J1962" s="313" t="s">
        <v>1651</v>
      </c>
      <c r="K1962" s="458" t="n">
        <f aca="false">I1962*H1962</f>
        <v>771.3</v>
      </c>
      <c r="L1962" s="411" t="n">
        <v>194.1</v>
      </c>
      <c r="M1962" s="459" t="n">
        <f aca="false">L1962/K1962</f>
        <v>0.251653053286659</v>
      </c>
      <c r="N1962" s="460" t="n">
        <f aca="false">I1962*M1962</f>
        <v>6.47</v>
      </c>
      <c r="O1962" s="461" t="n">
        <v>30</v>
      </c>
      <c r="P1962" s="462" t="n">
        <f aca="false">H1962-O1962</f>
        <v>0</v>
      </c>
      <c r="Q1962" s="463" t="n">
        <f aca="false">O1962*I1962</f>
        <v>771.3</v>
      </c>
      <c r="R1962" s="48" t="n">
        <f aca="false">K1962-Q1962</f>
        <v>0</v>
      </c>
      <c r="S1962" s="108"/>
      <c r="T1962" s="2" t="s">
        <v>1711</v>
      </c>
      <c r="V1962" s="464"/>
      <c r="W1962" s="464"/>
      <c r="X1962" s="464"/>
      <c r="Y1962" s="464"/>
      <c r="Z1962" s="464"/>
      <c r="AA1962" s="464"/>
      <c r="AB1962" s="464"/>
      <c r="AC1962" s="464"/>
      <c r="AD1962" s="464"/>
      <c r="AE1962" s="464"/>
      <c r="AF1962" s="464"/>
      <c r="AG1962" s="464"/>
      <c r="AH1962" s="465"/>
      <c r="AI1962" s="464"/>
    </row>
    <row r="1963" customFormat="false" ht="15" hidden="false" customHeight="true" outlineLevel="0" collapsed="false">
      <c r="A1963" s="455" t="s">
        <v>1795</v>
      </c>
      <c r="C1963" s="456" t="n">
        <v>45716</v>
      </c>
      <c r="D1963" s="456"/>
      <c r="E1963" s="57" t="n">
        <v>14750</v>
      </c>
      <c r="F1963" s="323" t="s">
        <v>175</v>
      </c>
      <c r="G1963" s="323" t="s">
        <v>6</v>
      </c>
      <c r="H1963" s="98" t="n">
        <v>1800</v>
      </c>
      <c r="I1963" s="457" t="n">
        <v>45</v>
      </c>
      <c r="J1963" s="313" t="s">
        <v>1652</v>
      </c>
      <c r="K1963" s="458" t="n">
        <f aca="false">I1963*H1963</f>
        <v>81000</v>
      </c>
      <c r="L1963" s="411" t="n">
        <v>17400</v>
      </c>
      <c r="M1963" s="459" t="n">
        <f aca="false">L1963/K1963</f>
        <v>0.214814814814815</v>
      </c>
      <c r="N1963" s="460" t="n">
        <f aca="false">I1963*M1963</f>
        <v>9.66666666666667</v>
      </c>
      <c r="O1963" s="461" t="n">
        <v>1800</v>
      </c>
      <c r="P1963" s="462" t="n">
        <f aca="false">H1963-O1963</f>
        <v>0</v>
      </c>
      <c r="Q1963" s="463" t="n">
        <f aca="false">O1963*I1963</f>
        <v>81000</v>
      </c>
      <c r="R1963" s="48" t="n">
        <f aca="false">K1963-Q1963</f>
        <v>0</v>
      </c>
      <c r="S1963" s="467"/>
      <c r="T1963" s="2" t="s">
        <v>1711</v>
      </c>
      <c r="V1963" s="464"/>
      <c r="W1963" s="464"/>
      <c r="X1963" s="464"/>
      <c r="Y1963" s="464"/>
      <c r="Z1963" s="464"/>
      <c r="AA1963" s="464"/>
      <c r="AB1963" s="464"/>
      <c r="AC1963" s="464"/>
      <c r="AD1963" s="464"/>
      <c r="AE1963" s="464"/>
      <c r="AF1963" s="464"/>
      <c r="AG1963" s="464"/>
      <c r="AH1963" s="465"/>
      <c r="AI1963" s="464"/>
    </row>
    <row r="1964" customFormat="false" ht="15" hidden="false" customHeight="true" outlineLevel="0" collapsed="false">
      <c r="A1964" s="455" t="s">
        <v>60</v>
      </c>
      <c r="C1964" s="456" t="n">
        <v>45716</v>
      </c>
      <c r="D1964" s="456"/>
      <c r="E1964" s="57" t="n">
        <v>14751</v>
      </c>
      <c r="F1964" s="57" t="s">
        <v>175</v>
      </c>
      <c r="G1964" s="323" t="s">
        <v>19</v>
      </c>
      <c r="H1964" s="98" t="n">
        <v>135</v>
      </c>
      <c r="I1964" s="457" t="n">
        <v>37.5</v>
      </c>
      <c r="J1964" s="313" t="s">
        <v>1652</v>
      </c>
      <c r="K1964" s="458" t="n">
        <f aca="false">I1964*H1964</f>
        <v>5062.5</v>
      </c>
      <c r="L1964" s="411" t="n">
        <v>2654.1</v>
      </c>
      <c r="M1964" s="459" t="n">
        <f aca="false">L1964/K1964</f>
        <v>0.524266666666667</v>
      </c>
      <c r="N1964" s="460" t="n">
        <f aca="false">I1964*M1964</f>
        <v>19.66</v>
      </c>
      <c r="O1964" s="461" t="n">
        <v>135</v>
      </c>
      <c r="P1964" s="462" t="n">
        <f aca="false">H1964-O1964</f>
        <v>0</v>
      </c>
      <c r="Q1964" s="463" t="n">
        <f aca="false">O1964*I1964</f>
        <v>5062.5</v>
      </c>
      <c r="R1964" s="48" t="n">
        <f aca="false">K1964-Q1964</f>
        <v>0</v>
      </c>
      <c r="S1964" s="108"/>
      <c r="T1964" s="2" t="s">
        <v>1711</v>
      </c>
      <c r="V1964" s="464"/>
      <c r="W1964" s="464"/>
      <c r="X1964" s="464"/>
      <c r="Y1964" s="464"/>
      <c r="Z1964" s="464"/>
      <c r="AA1964" s="464"/>
      <c r="AB1964" s="464"/>
      <c r="AC1964" s="464"/>
      <c r="AD1964" s="464"/>
      <c r="AE1964" s="464"/>
      <c r="AF1964" s="464"/>
      <c r="AG1964" s="464"/>
      <c r="AH1964" s="465"/>
      <c r="AI1964" s="464"/>
    </row>
    <row r="1965" customFormat="false" ht="15" hidden="false" customHeight="true" outlineLevel="0" collapsed="false">
      <c r="A1965" s="455" t="s">
        <v>1824</v>
      </c>
      <c r="C1965" s="456" t="n">
        <v>45716</v>
      </c>
      <c r="D1965" s="456"/>
      <c r="E1965" s="57" t="n">
        <v>14752</v>
      </c>
      <c r="F1965" s="57" t="s">
        <v>175</v>
      </c>
      <c r="G1965" s="323" t="s">
        <v>5</v>
      </c>
      <c r="H1965" s="98" t="n">
        <v>240</v>
      </c>
      <c r="I1965" s="457" t="n">
        <v>25.71</v>
      </c>
      <c r="J1965" s="313" t="s">
        <v>1651</v>
      </c>
      <c r="K1965" s="458" t="n">
        <f aca="false">I1965*H1965</f>
        <v>6170.4</v>
      </c>
      <c r="L1965" s="411" t="n">
        <v>3200</v>
      </c>
      <c r="M1965" s="459" t="n">
        <f aca="false">L1965/K1965</f>
        <v>0.518604952677298</v>
      </c>
      <c r="N1965" s="460" t="n">
        <f aca="false">I1965*M1965</f>
        <v>13.3333333333333</v>
      </c>
      <c r="O1965" s="461" t="n">
        <v>240</v>
      </c>
      <c r="P1965" s="462" t="n">
        <f aca="false">H1965-O1965</f>
        <v>0</v>
      </c>
      <c r="Q1965" s="463" t="n">
        <f aca="false">O1965*I1965</f>
        <v>6170.4</v>
      </c>
      <c r="R1965" s="48" t="n">
        <f aca="false">K1965-Q1965</f>
        <v>0</v>
      </c>
      <c r="S1965" s="467"/>
      <c r="T1965" s="2" t="s">
        <v>1711</v>
      </c>
      <c r="V1965" s="464"/>
      <c r="W1965" s="464"/>
      <c r="X1965" s="464"/>
      <c r="Y1965" s="464"/>
      <c r="Z1965" s="464"/>
      <c r="AA1965" s="464"/>
      <c r="AB1965" s="464"/>
      <c r="AC1965" s="464"/>
      <c r="AD1965" s="464"/>
      <c r="AE1965" s="464"/>
      <c r="AF1965" s="464"/>
      <c r="AG1965" s="464"/>
      <c r="AH1965" s="465"/>
      <c r="AI1965" s="464"/>
    </row>
    <row r="1966" customFormat="false" ht="15" hidden="false" customHeight="true" outlineLevel="0" collapsed="false">
      <c r="A1966" s="455" t="s">
        <v>2037</v>
      </c>
      <c r="C1966" s="456" t="n">
        <v>45721</v>
      </c>
      <c r="D1966" s="456"/>
      <c r="E1966" s="57" t="n">
        <v>14753</v>
      </c>
      <c r="F1966" s="323" t="s">
        <v>175</v>
      </c>
      <c r="G1966" s="323" t="s">
        <v>19</v>
      </c>
      <c r="H1966" s="98" t="n">
        <v>255</v>
      </c>
      <c r="I1966" s="457" t="n">
        <v>22.5</v>
      </c>
      <c r="J1966" s="313" t="s">
        <v>1651</v>
      </c>
      <c r="K1966" s="458" t="n">
        <f aca="false">I1966*H1966</f>
        <v>5737.5</v>
      </c>
      <c r="L1966" s="411" t="n">
        <v>6043.5</v>
      </c>
      <c r="M1966" s="459" t="n">
        <f aca="false">L1966/K1966</f>
        <v>1.05333333333333</v>
      </c>
      <c r="N1966" s="460" t="n">
        <f aca="false">I1966*M1966</f>
        <v>23.7</v>
      </c>
      <c r="O1966" s="461" t="n">
        <v>255</v>
      </c>
      <c r="P1966" s="462" t="n">
        <f aca="false">H1966-O1966</f>
        <v>0</v>
      </c>
      <c r="Q1966" s="463" t="n">
        <f aca="false">O1966*I1966</f>
        <v>5737.5</v>
      </c>
      <c r="R1966" s="48" t="n">
        <f aca="false">K1966-Q1966</f>
        <v>0</v>
      </c>
      <c r="S1966" s="108"/>
      <c r="T1966" s="2" t="s">
        <v>1711</v>
      </c>
      <c r="V1966" s="464"/>
      <c r="W1966" s="464"/>
      <c r="X1966" s="464"/>
      <c r="Y1966" s="464"/>
      <c r="Z1966" s="464"/>
      <c r="AA1966" s="464"/>
      <c r="AB1966" s="464"/>
      <c r="AC1966" s="464"/>
      <c r="AD1966" s="464"/>
      <c r="AE1966" s="464"/>
      <c r="AF1966" s="464"/>
      <c r="AG1966" s="464"/>
      <c r="AH1966" s="465"/>
      <c r="AI1966" s="464"/>
    </row>
    <row r="1967" customFormat="false" ht="15" hidden="false" customHeight="true" outlineLevel="0" collapsed="false">
      <c r="A1967" s="455" t="s">
        <v>2037</v>
      </c>
      <c r="C1967" s="456" t="n">
        <v>45721</v>
      </c>
      <c r="D1967" s="456"/>
      <c r="E1967" s="57" t="n">
        <v>14753</v>
      </c>
      <c r="F1967" s="323" t="s">
        <v>175</v>
      </c>
      <c r="G1967" s="323" t="s">
        <v>19</v>
      </c>
      <c r="H1967" s="98" t="n">
        <v>2745</v>
      </c>
      <c r="I1967" s="457" t="n">
        <v>37.5</v>
      </c>
      <c r="J1967" s="313" t="s">
        <v>1652</v>
      </c>
      <c r="K1967" s="458" t="n">
        <f aca="false">I1967*H1967</f>
        <v>102937.5</v>
      </c>
      <c r="L1967" s="411" t="n">
        <v>81334.35</v>
      </c>
      <c r="M1967" s="459" t="n">
        <f aca="false">L1967/K1967</f>
        <v>0.790133333333333</v>
      </c>
      <c r="N1967" s="460" t="n">
        <f aca="false">I1967*M1967</f>
        <v>29.63</v>
      </c>
      <c r="O1967" s="461" t="n">
        <v>2745</v>
      </c>
      <c r="P1967" s="462" t="n">
        <f aca="false">H1967-O1967</f>
        <v>0</v>
      </c>
      <c r="Q1967" s="463" t="n">
        <f aca="false">O1967*I1967</f>
        <v>102937.5</v>
      </c>
      <c r="R1967" s="48" t="n">
        <f aca="false">K1967-Q1967</f>
        <v>0</v>
      </c>
      <c r="S1967" s="108"/>
      <c r="T1967" s="2" t="s">
        <v>1711</v>
      </c>
      <c r="V1967" s="464"/>
      <c r="W1967" s="464"/>
      <c r="X1967" s="464"/>
      <c r="Y1967" s="464"/>
      <c r="Z1967" s="464"/>
      <c r="AA1967" s="464"/>
      <c r="AB1967" s="464"/>
      <c r="AC1967" s="464"/>
      <c r="AD1967" s="464"/>
      <c r="AE1967" s="464"/>
      <c r="AF1967" s="464"/>
      <c r="AG1967" s="464"/>
      <c r="AH1967" s="465"/>
      <c r="AI1967" s="464"/>
    </row>
    <row r="1968" customFormat="false" ht="15" hidden="false" customHeight="true" outlineLevel="0" collapsed="false">
      <c r="A1968" s="455" t="s">
        <v>2037</v>
      </c>
      <c r="C1968" s="456" t="n">
        <v>45721</v>
      </c>
      <c r="D1968" s="456"/>
      <c r="E1968" s="323" t="n">
        <v>14753</v>
      </c>
      <c r="F1968" s="323" t="s">
        <v>175</v>
      </c>
      <c r="G1968" s="323" t="s">
        <v>13</v>
      </c>
      <c r="H1968" s="98" t="n">
        <v>4230</v>
      </c>
      <c r="I1968" s="457" t="n">
        <v>22.5</v>
      </c>
      <c r="J1968" s="313" t="s">
        <v>1651</v>
      </c>
      <c r="K1968" s="458" t="n">
        <f aca="false">I1968*H1968</f>
        <v>95175</v>
      </c>
      <c r="L1968" s="411" t="n">
        <v>50760</v>
      </c>
      <c r="M1968" s="459" t="n">
        <f aca="false">L1968/K1968</f>
        <v>0.533333333333333</v>
      </c>
      <c r="N1968" s="460" t="n">
        <f aca="false">I1968*M1968</f>
        <v>12</v>
      </c>
      <c r="O1968" s="461" t="n">
        <v>4230</v>
      </c>
      <c r="P1968" s="462" t="n">
        <f aca="false">H1968-O1968</f>
        <v>0</v>
      </c>
      <c r="Q1968" s="463" t="n">
        <f aca="false">O1968*I1968</f>
        <v>95175</v>
      </c>
      <c r="R1968" s="48" t="n">
        <f aca="false">K1968-Q1968</f>
        <v>0</v>
      </c>
      <c r="S1968" s="108"/>
      <c r="T1968" s="2" t="s">
        <v>1711</v>
      </c>
      <c r="V1968" s="464"/>
      <c r="W1968" s="464"/>
      <c r="X1968" s="464"/>
      <c r="Y1968" s="464"/>
      <c r="Z1968" s="464"/>
      <c r="AA1968" s="464"/>
      <c r="AB1968" s="464"/>
      <c r="AC1968" s="464"/>
      <c r="AD1968" s="464"/>
      <c r="AE1968" s="464"/>
      <c r="AF1968" s="464"/>
      <c r="AG1968" s="464"/>
      <c r="AH1968" s="465"/>
      <c r="AI1968" s="464"/>
    </row>
    <row r="1969" customFormat="false" ht="15" hidden="false" customHeight="true" outlineLevel="0" collapsed="false">
      <c r="A1969" s="455" t="s">
        <v>1852</v>
      </c>
      <c r="C1969" s="456" t="n">
        <v>45721</v>
      </c>
      <c r="D1969" s="456"/>
      <c r="E1969" s="323" t="n">
        <v>14754</v>
      </c>
      <c r="F1969" s="323" t="s">
        <v>175</v>
      </c>
      <c r="G1969" s="323" t="s">
        <v>10</v>
      </c>
      <c r="H1969" s="98" t="n">
        <v>300</v>
      </c>
      <c r="I1969" s="457" t="n">
        <v>25.71</v>
      </c>
      <c r="J1969" s="313" t="s">
        <v>1651</v>
      </c>
      <c r="K1969" s="458" t="n">
        <f aca="false">I1969*H1969</f>
        <v>7713</v>
      </c>
      <c r="L1969" s="411" t="n">
        <v>3407.2</v>
      </c>
      <c r="M1969" s="459" t="n">
        <f aca="false">L1969/K1969</f>
        <v>0.441747698690523</v>
      </c>
      <c r="N1969" s="460" t="n">
        <f aca="false">I1969*M1969</f>
        <v>11.3573333333333</v>
      </c>
      <c r="O1969" s="461" t="n">
        <v>300</v>
      </c>
      <c r="P1969" s="462" t="n">
        <f aca="false">H1969-O1969</f>
        <v>0</v>
      </c>
      <c r="Q1969" s="463" t="n">
        <f aca="false">O1969*I1969</f>
        <v>7713</v>
      </c>
      <c r="R1969" s="48" t="n">
        <f aca="false">K1969-Q1969</f>
        <v>0</v>
      </c>
      <c r="S1969" s="108"/>
      <c r="T1969" s="2" t="s">
        <v>1711</v>
      </c>
      <c r="V1969" s="464"/>
      <c r="W1969" s="464"/>
      <c r="X1969" s="464"/>
      <c r="Y1969" s="464"/>
      <c r="Z1969" s="464"/>
      <c r="AA1969" s="464"/>
      <c r="AB1969" s="464"/>
      <c r="AC1969" s="464"/>
      <c r="AD1969" s="464"/>
      <c r="AE1969" s="464"/>
      <c r="AF1969" s="464"/>
      <c r="AG1969" s="464"/>
      <c r="AH1969" s="465"/>
      <c r="AI1969" s="464"/>
    </row>
    <row r="1970" customFormat="false" ht="15" hidden="false" customHeight="true" outlineLevel="0" collapsed="false">
      <c r="A1970" s="455" t="s">
        <v>1950</v>
      </c>
      <c r="C1970" s="456" t="n">
        <v>45721</v>
      </c>
      <c r="D1970" s="456"/>
      <c r="E1970" s="323" t="n">
        <v>14755</v>
      </c>
      <c r="F1970" s="323" t="s">
        <v>175</v>
      </c>
      <c r="G1970" s="323" t="s">
        <v>15</v>
      </c>
      <c r="H1970" s="98" t="n">
        <v>1125</v>
      </c>
      <c r="I1970" s="457" t="n">
        <v>22.5</v>
      </c>
      <c r="J1970" s="313" t="s">
        <v>1651</v>
      </c>
      <c r="K1970" s="458" t="n">
        <f aca="false">I1970*H1970</f>
        <v>25312.5</v>
      </c>
      <c r="L1970" s="411" t="n">
        <v>17831.25</v>
      </c>
      <c r="M1970" s="459" t="n">
        <f aca="false">L1970/K1970</f>
        <v>0.704444444444444</v>
      </c>
      <c r="N1970" s="460" t="n">
        <f aca="false">I1970*M1970</f>
        <v>15.85</v>
      </c>
      <c r="O1970" s="461" t="n">
        <v>1125</v>
      </c>
      <c r="P1970" s="462" t="n">
        <f aca="false">H1970-O1970</f>
        <v>0</v>
      </c>
      <c r="Q1970" s="463" t="n">
        <f aca="false">O1970*I1970</f>
        <v>25312.5</v>
      </c>
      <c r="R1970" s="48" t="n">
        <f aca="false">K1970-Q1970</f>
        <v>0</v>
      </c>
      <c r="S1970" s="108"/>
      <c r="T1970" s="2" t="s">
        <v>1711</v>
      </c>
      <c r="V1970" s="464"/>
      <c r="W1970" s="464"/>
      <c r="X1970" s="464"/>
      <c r="Y1970" s="464"/>
      <c r="Z1970" s="464"/>
      <c r="AA1970" s="464"/>
      <c r="AB1970" s="464"/>
      <c r="AC1970" s="464"/>
      <c r="AD1970" s="464"/>
      <c r="AE1970" s="464"/>
      <c r="AF1970" s="464"/>
      <c r="AG1970" s="464"/>
      <c r="AH1970" s="465"/>
      <c r="AI1970" s="464"/>
    </row>
    <row r="1971" customFormat="false" ht="15" hidden="false" customHeight="true" outlineLevel="0" collapsed="false">
      <c r="A1971" s="455" t="s">
        <v>2010</v>
      </c>
      <c r="C1971" s="456" t="n">
        <v>45722</v>
      </c>
      <c r="D1971" s="456"/>
      <c r="E1971" s="323" t="n">
        <v>14756</v>
      </c>
      <c r="F1971" s="323" t="s">
        <v>175</v>
      </c>
      <c r="G1971" s="323" t="s">
        <v>5</v>
      </c>
      <c r="H1971" s="98" t="n">
        <v>100</v>
      </c>
      <c r="I1971" s="457" t="n">
        <v>60</v>
      </c>
      <c r="J1971" s="313" t="s">
        <v>1653</v>
      </c>
      <c r="K1971" s="458" t="n">
        <f aca="false">I1971*H1971</f>
        <v>6000</v>
      </c>
      <c r="L1971" s="411" t="n">
        <v>2200</v>
      </c>
      <c r="M1971" s="459" t="n">
        <f aca="false">L1971/K1971</f>
        <v>0.366666666666667</v>
      </c>
      <c r="N1971" s="460" t="n">
        <f aca="false">I1971*M1971</f>
        <v>22</v>
      </c>
      <c r="O1971" s="461" t="n">
        <v>100</v>
      </c>
      <c r="P1971" s="462" t="n">
        <f aca="false">H1971-O1971</f>
        <v>0</v>
      </c>
      <c r="Q1971" s="463" t="n">
        <f aca="false">O1971*I1971</f>
        <v>6000</v>
      </c>
      <c r="R1971" s="48" t="n">
        <f aca="false">K1971-Q1971</f>
        <v>0</v>
      </c>
      <c r="S1971" s="467"/>
      <c r="T1971" s="2" t="s">
        <v>1711</v>
      </c>
      <c r="V1971" s="464"/>
      <c r="W1971" s="464"/>
      <c r="X1971" s="464"/>
      <c r="Y1971" s="464"/>
      <c r="Z1971" s="464"/>
      <c r="AA1971" s="464"/>
      <c r="AB1971" s="464"/>
      <c r="AC1971" s="464"/>
      <c r="AD1971" s="464"/>
      <c r="AE1971" s="464"/>
      <c r="AF1971" s="464"/>
      <c r="AG1971" s="464"/>
      <c r="AH1971" s="465"/>
      <c r="AI1971" s="464"/>
    </row>
    <row r="1972" customFormat="false" ht="15" hidden="false" customHeight="true" outlineLevel="0" collapsed="false">
      <c r="A1972" s="455" t="s">
        <v>2091</v>
      </c>
      <c r="C1972" s="456" t="n">
        <v>45722</v>
      </c>
      <c r="D1972" s="456"/>
      <c r="E1972" s="323" t="n">
        <v>14757</v>
      </c>
      <c r="F1972" s="323" t="s">
        <v>175</v>
      </c>
      <c r="G1972" s="323" t="s">
        <v>5</v>
      </c>
      <c r="H1972" s="98" t="n">
        <v>250</v>
      </c>
      <c r="I1972" s="457" t="n">
        <v>60</v>
      </c>
      <c r="J1972" s="313" t="s">
        <v>1653</v>
      </c>
      <c r="K1972" s="458" t="n">
        <f aca="false">I1972*H1972</f>
        <v>15000</v>
      </c>
      <c r="L1972" s="411" t="n">
        <v>3750</v>
      </c>
      <c r="M1972" s="459" t="n">
        <f aca="false">L1972/K1972</f>
        <v>0.25</v>
      </c>
      <c r="N1972" s="460" t="n">
        <f aca="false">I1972*M1972</f>
        <v>15</v>
      </c>
      <c r="O1972" s="461" t="n">
        <v>250</v>
      </c>
      <c r="P1972" s="462" t="n">
        <f aca="false">H1972-O1972</f>
        <v>0</v>
      </c>
      <c r="Q1972" s="463" t="n">
        <f aca="false">O1972*I1972</f>
        <v>15000</v>
      </c>
      <c r="R1972" s="48" t="n">
        <f aca="false">K1972-Q1972</f>
        <v>0</v>
      </c>
      <c r="S1972" s="467"/>
      <c r="T1972" s="2" t="s">
        <v>1711</v>
      </c>
      <c r="V1972" s="464"/>
      <c r="W1972" s="464"/>
      <c r="X1972" s="464"/>
      <c r="Y1972" s="464"/>
      <c r="Z1972" s="464"/>
      <c r="AA1972" s="464"/>
      <c r="AB1972" s="464"/>
      <c r="AC1972" s="464"/>
      <c r="AD1972" s="464"/>
      <c r="AE1972" s="464"/>
      <c r="AF1972" s="464"/>
      <c r="AG1972" s="464"/>
      <c r="AH1972" s="465"/>
      <c r="AI1972" s="464"/>
    </row>
    <row r="1973" customFormat="false" ht="15" hidden="false" customHeight="true" outlineLevel="0" collapsed="false">
      <c r="A1973" s="455" t="s">
        <v>1764</v>
      </c>
      <c r="C1973" s="456" t="n">
        <v>45722</v>
      </c>
      <c r="D1973" s="456"/>
      <c r="E1973" s="57" t="n">
        <v>14758</v>
      </c>
      <c r="F1973" s="323" t="s">
        <v>175</v>
      </c>
      <c r="G1973" s="323" t="s">
        <v>10</v>
      </c>
      <c r="H1973" s="98" t="n">
        <v>2505</v>
      </c>
      <c r="I1973" s="457" t="n">
        <v>38.3</v>
      </c>
      <c r="J1973" s="313" t="s">
        <v>1652</v>
      </c>
      <c r="K1973" s="458" t="n">
        <f aca="false">I1973*H1973</f>
        <v>95941.5</v>
      </c>
      <c r="L1973" s="411" t="n">
        <v>30000</v>
      </c>
      <c r="M1973" s="459" t="n">
        <f aca="false">L1973/K1973</f>
        <v>0.312690545801348</v>
      </c>
      <c r="N1973" s="460" t="n">
        <f aca="false">I1973*M1973</f>
        <v>11.9760479041916</v>
      </c>
      <c r="O1973" s="461" t="n">
        <v>1005</v>
      </c>
      <c r="P1973" s="468" t="n">
        <f aca="false">H1973-O1973</f>
        <v>1500</v>
      </c>
      <c r="Q1973" s="463" t="n">
        <f aca="false">O1973*I1973</f>
        <v>38491.5</v>
      </c>
      <c r="R1973" s="48" t="n">
        <f aca="false">K1973-Q1973</f>
        <v>57450</v>
      </c>
      <c r="S1973" s="467" t="n">
        <v>45722</v>
      </c>
      <c r="T1973" s="2" t="s">
        <v>1711</v>
      </c>
      <c r="V1973" s="464"/>
      <c r="W1973" s="464"/>
      <c r="X1973" s="464"/>
      <c r="Y1973" s="464"/>
      <c r="Z1973" s="464"/>
      <c r="AA1973" s="464"/>
      <c r="AB1973" s="464"/>
      <c r="AC1973" s="464"/>
      <c r="AD1973" s="464"/>
      <c r="AE1973" s="464"/>
      <c r="AF1973" s="464"/>
      <c r="AG1973" s="464"/>
      <c r="AH1973" s="465"/>
      <c r="AI1973" s="464"/>
    </row>
    <row r="1974" customFormat="false" ht="15" hidden="false" customHeight="true" outlineLevel="0" collapsed="false">
      <c r="A1974" s="455" t="s">
        <v>1824</v>
      </c>
      <c r="C1974" s="456" t="n">
        <v>45722</v>
      </c>
      <c r="D1974" s="456"/>
      <c r="E1974" s="57" t="n">
        <v>14759</v>
      </c>
      <c r="F1974" s="57" t="s">
        <v>175</v>
      </c>
      <c r="G1974" s="323" t="s">
        <v>18</v>
      </c>
      <c r="H1974" s="98" t="n">
        <v>45</v>
      </c>
      <c r="I1974" s="457" t="n">
        <v>25.71</v>
      </c>
      <c r="J1974" s="313" t="s">
        <v>1651</v>
      </c>
      <c r="K1974" s="458" t="n">
        <f aca="false">I1974*H1974</f>
        <v>1156.95</v>
      </c>
      <c r="L1974" s="411" t="n">
        <v>834</v>
      </c>
      <c r="M1974" s="459" t="n">
        <f aca="false">L1974/K1974</f>
        <v>0.720860884221444</v>
      </c>
      <c r="N1974" s="460" t="n">
        <f aca="false">I1974*M1974</f>
        <v>18.5333333333333</v>
      </c>
      <c r="O1974" s="461" t="n">
        <v>45</v>
      </c>
      <c r="P1974" s="462" t="n">
        <f aca="false">H1974-O1974</f>
        <v>0</v>
      </c>
      <c r="Q1974" s="463" t="n">
        <f aca="false">O1974*I1974</f>
        <v>1156.95</v>
      </c>
      <c r="R1974" s="48" t="n">
        <f aca="false">K1974-Q1974</f>
        <v>0</v>
      </c>
      <c r="S1974" s="108"/>
      <c r="T1974" s="2" t="s">
        <v>1711</v>
      </c>
      <c r="V1974" s="464"/>
      <c r="W1974" s="464"/>
      <c r="X1974" s="464"/>
      <c r="Y1974" s="464"/>
      <c r="Z1974" s="464"/>
      <c r="AA1974" s="464"/>
      <c r="AB1974" s="464"/>
      <c r="AC1974" s="464"/>
      <c r="AD1974" s="464"/>
      <c r="AE1974" s="464"/>
      <c r="AF1974" s="464"/>
      <c r="AG1974" s="464"/>
      <c r="AH1974" s="465"/>
      <c r="AI1974" s="464"/>
    </row>
    <row r="1975" customFormat="false" ht="15" hidden="false" customHeight="true" outlineLevel="0" collapsed="false">
      <c r="A1975" s="455" t="s">
        <v>1916</v>
      </c>
      <c r="C1975" s="456" t="n">
        <v>45723</v>
      </c>
      <c r="D1975" s="456"/>
      <c r="E1975" s="57" t="n">
        <v>14760</v>
      </c>
      <c r="F1975" s="57" t="s">
        <v>175</v>
      </c>
      <c r="G1975" s="323" t="s">
        <v>42</v>
      </c>
      <c r="H1975" s="98" t="n">
        <v>1000</v>
      </c>
      <c r="I1975" s="457" t="n">
        <v>60</v>
      </c>
      <c r="J1975" s="313" t="s">
        <v>1653</v>
      </c>
      <c r="K1975" s="458" t="n">
        <f aca="false">I1975*H1975</f>
        <v>60000</v>
      </c>
      <c r="L1975" s="411" t="n">
        <v>20000</v>
      </c>
      <c r="M1975" s="459" t="n">
        <f aca="false">L1975/K1975</f>
        <v>0.333333333333333</v>
      </c>
      <c r="N1975" s="460" t="n">
        <f aca="false">I1975*M1975</f>
        <v>20</v>
      </c>
      <c r="O1975" s="461" t="n">
        <v>1000</v>
      </c>
      <c r="P1975" s="462" t="n">
        <f aca="false">H1975-O1975</f>
        <v>0</v>
      </c>
      <c r="Q1975" s="463" t="n">
        <f aca="false">O1975*I1975</f>
        <v>60000</v>
      </c>
      <c r="R1975" s="48" t="n">
        <f aca="false">K1975-Q1975</f>
        <v>0</v>
      </c>
      <c r="S1975" s="108"/>
      <c r="T1975" s="2" t="s">
        <v>1711</v>
      </c>
      <c r="V1975" s="464"/>
      <c r="W1975" s="464"/>
      <c r="X1975" s="464"/>
      <c r="Y1975" s="464"/>
      <c r="Z1975" s="464"/>
      <c r="AA1975" s="464"/>
      <c r="AB1975" s="464"/>
      <c r="AC1975" s="464"/>
      <c r="AD1975" s="464"/>
      <c r="AE1975" s="464"/>
      <c r="AF1975" s="464"/>
      <c r="AG1975" s="464"/>
      <c r="AH1975" s="465"/>
      <c r="AI1975" s="464"/>
    </row>
    <row r="1976" customFormat="false" ht="15" hidden="false" customHeight="true" outlineLevel="0" collapsed="false">
      <c r="A1976" s="455" t="s">
        <v>1916</v>
      </c>
      <c r="C1976" s="456" t="n">
        <v>45723</v>
      </c>
      <c r="D1976" s="456"/>
      <c r="E1976" s="57" t="n">
        <v>14760</v>
      </c>
      <c r="F1976" s="57" t="s">
        <v>175</v>
      </c>
      <c r="G1976" s="323" t="s">
        <v>17</v>
      </c>
      <c r="H1976" s="98" t="n">
        <v>1000</v>
      </c>
      <c r="I1976" s="457" t="n">
        <v>40</v>
      </c>
      <c r="J1976" s="313" t="s">
        <v>1653</v>
      </c>
      <c r="K1976" s="458" t="n">
        <f aca="false">I1976*H1976</f>
        <v>40000</v>
      </c>
      <c r="L1976" s="411" t="n">
        <v>17000</v>
      </c>
      <c r="M1976" s="459" t="n">
        <f aca="false">L1976/K1976</f>
        <v>0.425</v>
      </c>
      <c r="N1976" s="460" t="n">
        <f aca="false">I1976*M1976</f>
        <v>17</v>
      </c>
      <c r="O1976" s="461" t="n">
        <v>1000</v>
      </c>
      <c r="P1976" s="462" t="n">
        <f aca="false">H1976-O1976</f>
        <v>0</v>
      </c>
      <c r="Q1976" s="463" t="n">
        <f aca="false">O1976*I1976</f>
        <v>40000</v>
      </c>
      <c r="R1976" s="48" t="n">
        <f aca="false">K1976-Q1976</f>
        <v>0</v>
      </c>
      <c r="S1976" s="108"/>
      <c r="T1976" s="2" t="s">
        <v>1711</v>
      </c>
      <c r="V1976" s="464"/>
      <c r="W1976" s="464"/>
      <c r="X1976" s="464"/>
      <c r="Y1976" s="464"/>
      <c r="Z1976" s="464"/>
      <c r="AA1976" s="464"/>
      <c r="AB1976" s="464"/>
      <c r="AC1976" s="464"/>
      <c r="AD1976" s="464"/>
      <c r="AE1976" s="464"/>
      <c r="AF1976" s="464"/>
      <c r="AG1976" s="464"/>
      <c r="AH1976" s="465"/>
      <c r="AI1976" s="464"/>
    </row>
    <row r="1977" customFormat="false" ht="15" hidden="false" customHeight="true" outlineLevel="0" collapsed="false">
      <c r="A1977" s="455" t="s">
        <v>1753</v>
      </c>
      <c r="C1977" s="456" t="n">
        <v>45723</v>
      </c>
      <c r="D1977" s="456"/>
      <c r="E1977" s="323" t="n">
        <v>14761</v>
      </c>
      <c r="F1977" s="323" t="s">
        <v>175</v>
      </c>
      <c r="G1977" s="323" t="s">
        <v>15</v>
      </c>
      <c r="H1977" s="98" t="n">
        <v>300</v>
      </c>
      <c r="I1977" s="457" t="n">
        <v>22.5</v>
      </c>
      <c r="J1977" s="313" t="s">
        <v>1651</v>
      </c>
      <c r="K1977" s="458" t="n">
        <f aca="false">I1977*H1977</f>
        <v>6750</v>
      </c>
      <c r="L1977" s="411" t="n">
        <v>3900</v>
      </c>
      <c r="M1977" s="459" t="n">
        <f aca="false">L1977/K1977</f>
        <v>0.577777777777778</v>
      </c>
      <c r="N1977" s="460" t="n">
        <f aca="false">I1977*M1977</f>
        <v>13</v>
      </c>
      <c r="O1977" s="461" t="n">
        <v>300</v>
      </c>
      <c r="P1977" s="462" t="n">
        <f aca="false">H1977-O1977</f>
        <v>0</v>
      </c>
      <c r="Q1977" s="463" t="n">
        <f aca="false">O1977*I1977</f>
        <v>6750</v>
      </c>
      <c r="R1977" s="48" t="n">
        <f aca="false">K1977-Q1977</f>
        <v>0</v>
      </c>
      <c r="S1977" s="467"/>
      <c r="T1977" s="2" t="s">
        <v>1711</v>
      </c>
      <c r="V1977" s="464"/>
      <c r="W1977" s="464"/>
      <c r="X1977" s="464"/>
      <c r="Y1977" s="464"/>
      <c r="Z1977" s="464"/>
      <c r="AA1977" s="464"/>
      <c r="AB1977" s="464"/>
      <c r="AC1977" s="464"/>
      <c r="AD1977" s="464"/>
      <c r="AE1977" s="464"/>
      <c r="AF1977" s="464"/>
      <c r="AG1977" s="464"/>
      <c r="AH1977" s="465"/>
      <c r="AI1977" s="464"/>
    </row>
    <row r="1978" customFormat="false" ht="15" hidden="false" customHeight="true" outlineLevel="0" collapsed="false">
      <c r="A1978" s="455" t="s">
        <v>1970</v>
      </c>
      <c r="C1978" s="456" t="n">
        <v>45723</v>
      </c>
      <c r="D1978" s="456"/>
      <c r="E1978" s="323" t="n">
        <v>14762</v>
      </c>
      <c r="F1978" s="323" t="s">
        <v>175</v>
      </c>
      <c r="G1978" s="323" t="s">
        <v>18</v>
      </c>
      <c r="H1978" s="98" t="n">
        <v>1260</v>
      </c>
      <c r="I1978" s="457" t="n">
        <v>90</v>
      </c>
      <c r="J1978" s="313" t="s">
        <v>1653</v>
      </c>
      <c r="K1978" s="458" t="n">
        <f aca="false">I1978*H1978</f>
        <v>113400</v>
      </c>
      <c r="L1978" s="411" t="n">
        <v>47880</v>
      </c>
      <c r="M1978" s="459" t="n">
        <f aca="false">L1978/K1978</f>
        <v>0.422222222222222</v>
      </c>
      <c r="N1978" s="460" t="n">
        <f aca="false">I1978*M1978</f>
        <v>38</v>
      </c>
      <c r="O1978" s="461" t="n">
        <v>1260</v>
      </c>
      <c r="P1978" s="462" t="n">
        <f aca="false">H1978-O1978</f>
        <v>0</v>
      </c>
      <c r="Q1978" s="463" t="n">
        <f aca="false">O1978*I1978</f>
        <v>113400</v>
      </c>
      <c r="R1978" s="48" t="n">
        <f aca="false">K1978-Q1978</f>
        <v>0</v>
      </c>
      <c r="S1978" s="467"/>
      <c r="T1978" s="2" t="s">
        <v>1711</v>
      </c>
      <c r="V1978" s="464"/>
      <c r="W1978" s="464"/>
      <c r="X1978" s="464"/>
      <c r="Y1978" s="464"/>
      <c r="Z1978" s="464"/>
      <c r="AA1978" s="464"/>
      <c r="AB1978" s="464"/>
      <c r="AC1978" s="464"/>
      <c r="AD1978" s="464"/>
      <c r="AE1978" s="464"/>
      <c r="AF1978" s="464"/>
      <c r="AG1978" s="464"/>
      <c r="AH1978" s="465"/>
      <c r="AI1978" s="464"/>
    </row>
    <row r="1979" customFormat="false" ht="15" hidden="false" customHeight="true" outlineLevel="0" collapsed="false">
      <c r="A1979" s="455" t="s">
        <v>1819</v>
      </c>
      <c r="C1979" s="456" t="n">
        <v>45723</v>
      </c>
      <c r="D1979" s="456"/>
      <c r="E1979" s="323" t="n">
        <v>14763</v>
      </c>
      <c r="F1979" s="323" t="s">
        <v>175</v>
      </c>
      <c r="G1979" s="323" t="s">
        <v>6</v>
      </c>
      <c r="H1979" s="98" t="n">
        <v>20</v>
      </c>
      <c r="I1979" s="457" t="n">
        <v>30</v>
      </c>
      <c r="J1979" s="313" t="s">
        <v>1651</v>
      </c>
      <c r="K1979" s="458" t="n">
        <f aca="false">I1979*H1979</f>
        <v>600</v>
      </c>
      <c r="L1979" s="411" t="n">
        <v>230</v>
      </c>
      <c r="M1979" s="459" t="n">
        <f aca="false">L1979/K1979</f>
        <v>0.383333333333333</v>
      </c>
      <c r="N1979" s="460" t="n">
        <f aca="false">I1979*M1979</f>
        <v>11.5</v>
      </c>
      <c r="O1979" s="461" t="n">
        <v>20</v>
      </c>
      <c r="P1979" s="462" t="n">
        <f aca="false">H1979-O1979</f>
        <v>0</v>
      </c>
      <c r="Q1979" s="463" t="n">
        <f aca="false">O1979*I1979</f>
        <v>600</v>
      </c>
      <c r="R1979" s="48" t="n">
        <f aca="false">K1979-Q1979</f>
        <v>0</v>
      </c>
      <c r="S1979" s="467"/>
      <c r="T1979" s="2" t="s">
        <v>1711</v>
      </c>
      <c r="V1979" s="464"/>
      <c r="W1979" s="464"/>
      <c r="X1979" s="464"/>
      <c r="Y1979" s="464"/>
      <c r="Z1979" s="464"/>
      <c r="AA1979" s="464"/>
      <c r="AB1979" s="464"/>
      <c r="AC1979" s="464"/>
      <c r="AD1979" s="464"/>
      <c r="AE1979" s="464"/>
      <c r="AF1979" s="464"/>
      <c r="AG1979" s="464"/>
      <c r="AH1979" s="465"/>
      <c r="AI1979" s="464"/>
    </row>
    <row r="1980" customFormat="false" ht="15" hidden="false" customHeight="true" outlineLevel="0" collapsed="false">
      <c r="A1980" s="455" t="s">
        <v>2092</v>
      </c>
      <c r="C1980" s="456" t="n">
        <v>45723</v>
      </c>
      <c r="D1980" s="456"/>
      <c r="E1980" s="323" t="n">
        <v>14764</v>
      </c>
      <c r="F1980" s="323" t="s">
        <v>175</v>
      </c>
      <c r="G1980" s="323" t="s">
        <v>15</v>
      </c>
      <c r="H1980" s="98" t="n">
        <v>135</v>
      </c>
      <c r="I1980" s="457" t="n">
        <v>22.5</v>
      </c>
      <c r="J1980" s="313" t="s">
        <v>1651</v>
      </c>
      <c r="K1980" s="458" t="n">
        <f aca="false">I1980*H1980</f>
        <v>3037.5</v>
      </c>
      <c r="L1980" s="411" t="n">
        <v>2160</v>
      </c>
      <c r="M1980" s="459" t="n">
        <f aca="false">L1980/K1980</f>
        <v>0.711111111111111</v>
      </c>
      <c r="N1980" s="460" t="n">
        <f aca="false">I1980*M1980</f>
        <v>16</v>
      </c>
      <c r="O1980" s="461" t="n">
        <v>135</v>
      </c>
      <c r="P1980" s="462" t="n">
        <f aca="false">H1980-O1980</f>
        <v>0</v>
      </c>
      <c r="Q1980" s="463" t="n">
        <f aca="false">O1980*I1980</f>
        <v>3037.5</v>
      </c>
      <c r="R1980" s="48" t="n">
        <f aca="false">K1980-Q1980</f>
        <v>0</v>
      </c>
      <c r="S1980" s="467"/>
      <c r="T1980" s="2" t="s">
        <v>1711</v>
      </c>
      <c r="V1980" s="464"/>
      <c r="W1980" s="464"/>
      <c r="X1980" s="464"/>
      <c r="Y1980" s="464"/>
      <c r="Z1980" s="464"/>
      <c r="AA1980" s="464"/>
      <c r="AB1980" s="464"/>
      <c r="AC1980" s="464"/>
      <c r="AD1980" s="464"/>
      <c r="AE1980" s="464"/>
      <c r="AF1980" s="464"/>
      <c r="AG1980" s="464"/>
      <c r="AH1980" s="465"/>
      <c r="AI1980" s="464"/>
    </row>
    <row r="1981" customFormat="false" ht="15" hidden="false" customHeight="true" outlineLevel="0" collapsed="false">
      <c r="A1981" s="455" t="s">
        <v>1759</v>
      </c>
      <c r="C1981" s="456" t="n">
        <v>45723</v>
      </c>
      <c r="D1981" s="456"/>
      <c r="E1981" s="57" t="n">
        <v>14767</v>
      </c>
      <c r="F1981" s="323" t="s">
        <v>175</v>
      </c>
      <c r="G1981" s="323" t="s">
        <v>17</v>
      </c>
      <c r="H1981" s="98" t="n">
        <v>1500</v>
      </c>
      <c r="I1981" s="457" t="n">
        <v>22.5</v>
      </c>
      <c r="J1981" s="313" t="s">
        <v>1651</v>
      </c>
      <c r="K1981" s="458" t="n">
        <f aca="false">I1981*H1981</f>
        <v>33750</v>
      </c>
      <c r="L1981" s="411" t="n">
        <v>17250</v>
      </c>
      <c r="M1981" s="459" t="n">
        <f aca="false">L1981/K1981</f>
        <v>0.511111111111111</v>
      </c>
      <c r="N1981" s="460" t="n">
        <f aca="false">I1981*M1981</f>
        <v>11.5</v>
      </c>
      <c r="O1981" s="461" t="n">
        <v>1500</v>
      </c>
      <c r="P1981" s="462" t="n">
        <f aca="false">H1981-O1981</f>
        <v>0</v>
      </c>
      <c r="Q1981" s="463" t="n">
        <f aca="false">O1981*I1981</f>
        <v>33750</v>
      </c>
      <c r="R1981" s="48" t="n">
        <f aca="false">K1981-Q1981</f>
        <v>0</v>
      </c>
      <c r="S1981" s="467"/>
      <c r="T1981" s="2" t="s">
        <v>1711</v>
      </c>
      <c r="V1981" s="464"/>
      <c r="W1981" s="464"/>
      <c r="X1981" s="464"/>
      <c r="Y1981" s="464"/>
      <c r="Z1981" s="464"/>
      <c r="AA1981" s="464"/>
      <c r="AB1981" s="464"/>
      <c r="AC1981" s="464"/>
      <c r="AD1981" s="464"/>
      <c r="AE1981" s="464"/>
      <c r="AF1981" s="464"/>
      <c r="AG1981" s="464"/>
      <c r="AH1981" s="465"/>
      <c r="AI1981" s="464"/>
    </row>
    <row r="1982" customFormat="false" ht="15" hidden="false" customHeight="true" outlineLevel="0" collapsed="false">
      <c r="A1982" s="455" t="s">
        <v>1759</v>
      </c>
      <c r="C1982" s="456" t="n">
        <v>45723</v>
      </c>
      <c r="D1982" s="456"/>
      <c r="E1982" s="323" t="n">
        <v>14767</v>
      </c>
      <c r="F1982" s="323" t="s">
        <v>175</v>
      </c>
      <c r="G1982" s="323" t="s">
        <v>13</v>
      </c>
      <c r="H1982" s="98" t="n">
        <v>1500</v>
      </c>
      <c r="I1982" s="457" t="n">
        <v>22.5</v>
      </c>
      <c r="J1982" s="313" t="s">
        <v>1651</v>
      </c>
      <c r="K1982" s="458" t="n">
        <f aca="false">I1982*H1982</f>
        <v>33750</v>
      </c>
      <c r="L1982" s="411" t="n">
        <v>17250</v>
      </c>
      <c r="M1982" s="459" t="n">
        <f aca="false">L1982/K1982</f>
        <v>0.511111111111111</v>
      </c>
      <c r="N1982" s="460" t="n">
        <f aca="false">I1982*M1982</f>
        <v>11.5</v>
      </c>
      <c r="O1982" s="461"/>
      <c r="P1982" s="468" t="n">
        <f aca="false">H1982-O1982</f>
        <v>1500</v>
      </c>
      <c r="Q1982" s="463" t="n">
        <f aca="false">O1982*I1982</f>
        <v>0</v>
      </c>
      <c r="R1982" s="48" t="n">
        <f aca="false">K1982-Q1982</f>
        <v>33750</v>
      </c>
      <c r="S1982" s="467" t="n">
        <v>45723</v>
      </c>
      <c r="T1982" s="2" t="s">
        <v>1711</v>
      </c>
      <c r="V1982" s="464"/>
      <c r="W1982" s="464"/>
      <c r="X1982" s="464"/>
      <c r="Y1982" s="464"/>
      <c r="Z1982" s="464"/>
      <c r="AA1982" s="464"/>
      <c r="AB1982" s="464"/>
      <c r="AC1982" s="464"/>
      <c r="AD1982" s="464"/>
      <c r="AE1982" s="464"/>
      <c r="AF1982" s="464"/>
      <c r="AG1982" s="464"/>
      <c r="AH1982" s="465"/>
      <c r="AI1982" s="464"/>
    </row>
    <row r="1983" customFormat="false" ht="15" hidden="false" customHeight="true" outlineLevel="0" collapsed="false">
      <c r="A1983" s="455" t="s">
        <v>1760</v>
      </c>
      <c r="C1983" s="456" t="n">
        <v>45723</v>
      </c>
      <c r="D1983" s="456"/>
      <c r="E1983" s="323" t="n">
        <v>14768</v>
      </c>
      <c r="F1983" s="323" t="s">
        <v>175</v>
      </c>
      <c r="G1983" s="323" t="s">
        <v>16</v>
      </c>
      <c r="H1983" s="98" t="n">
        <v>3000</v>
      </c>
      <c r="I1983" s="457" t="n">
        <v>22.5</v>
      </c>
      <c r="J1983" s="313" t="s">
        <v>1651</v>
      </c>
      <c r="K1983" s="458" t="n">
        <f aca="false">I1983*H1983</f>
        <v>67500</v>
      </c>
      <c r="L1983" s="411" t="n">
        <v>49680</v>
      </c>
      <c r="M1983" s="459" t="n">
        <f aca="false">L1983/K1983</f>
        <v>0.736</v>
      </c>
      <c r="N1983" s="460" t="n">
        <f aca="false">I1983*M1983</f>
        <v>16.56</v>
      </c>
      <c r="O1983" s="461" t="n">
        <v>3000</v>
      </c>
      <c r="P1983" s="462" t="n">
        <f aca="false">H1983-O1983</f>
        <v>0</v>
      </c>
      <c r="Q1983" s="463" t="n">
        <f aca="false">O1983*I1983</f>
        <v>67500</v>
      </c>
      <c r="R1983" s="48" t="n">
        <f aca="false">K1983-Q1983</f>
        <v>0</v>
      </c>
      <c r="S1983" s="467"/>
      <c r="T1983" s="2" t="s">
        <v>1711</v>
      </c>
      <c r="V1983" s="464"/>
      <c r="W1983" s="464"/>
      <c r="X1983" s="464"/>
      <c r="Y1983" s="464"/>
      <c r="Z1983" s="464"/>
      <c r="AA1983" s="464"/>
      <c r="AB1983" s="464"/>
      <c r="AC1983" s="464"/>
      <c r="AD1983" s="464"/>
      <c r="AE1983" s="464"/>
      <c r="AF1983" s="464"/>
      <c r="AG1983" s="464"/>
      <c r="AH1983" s="465"/>
      <c r="AI1983" s="464"/>
    </row>
    <row r="1984" customFormat="false" ht="15" hidden="false" customHeight="true" outlineLevel="0" collapsed="false">
      <c r="A1984" s="455" t="s">
        <v>1760</v>
      </c>
      <c r="C1984" s="456" t="n">
        <v>45723</v>
      </c>
      <c r="D1984" s="456"/>
      <c r="E1984" s="323" t="n">
        <v>14768</v>
      </c>
      <c r="F1984" s="323" t="s">
        <v>175</v>
      </c>
      <c r="G1984" s="323" t="s">
        <v>7</v>
      </c>
      <c r="H1984" s="98" t="n">
        <v>6000</v>
      </c>
      <c r="I1984" s="457" t="n">
        <v>25.71</v>
      </c>
      <c r="J1984" s="313" t="s">
        <v>1651</v>
      </c>
      <c r="K1984" s="458" t="n">
        <f aca="false">I1984*H1984</f>
        <v>154260</v>
      </c>
      <c r="L1984" s="411" t="n">
        <v>88200</v>
      </c>
      <c r="M1984" s="459" t="n">
        <f aca="false">L1984/K1984</f>
        <v>0.571761960326721</v>
      </c>
      <c r="N1984" s="460" t="n">
        <f aca="false">I1984*M1984</f>
        <v>14.7</v>
      </c>
      <c r="O1984" s="461" t="n">
        <v>6000</v>
      </c>
      <c r="P1984" s="462" t="n">
        <f aca="false">H1984-O1984</f>
        <v>0</v>
      </c>
      <c r="Q1984" s="463" t="n">
        <f aca="false">O1984*I1984</f>
        <v>154260</v>
      </c>
      <c r="R1984" s="48" t="n">
        <f aca="false">K1984-Q1984</f>
        <v>0</v>
      </c>
      <c r="S1984" s="467"/>
      <c r="T1984" s="2" t="s">
        <v>1711</v>
      </c>
      <c r="V1984" s="464"/>
      <c r="W1984" s="464"/>
      <c r="X1984" s="464"/>
      <c r="Y1984" s="464"/>
      <c r="Z1984" s="464"/>
      <c r="AA1984" s="464"/>
      <c r="AB1984" s="464"/>
      <c r="AC1984" s="464"/>
      <c r="AD1984" s="464"/>
      <c r="AE1984" s="464"/>
      <c r="AF1984" s="464"/>
      <c r="AG1984" s="464"/>
      <c r="AH1984" s="465"/>
      <c r="AI1984" s="464"/>
    </row>
    <row r="1985" customFormat="false" ht="15" hidden="false" customHeight="true" outlineLevel="0" collapsed="false">
      <c r="A1985" s="455" t="s">
        <v>1760</v>
      </c>
      <c r="C1985" s="456" t="n">
        <v>45723</v>
      </c>
      <c r="D1985" s="456"/>
      <c r="E1985" s="323" t="n">
        <v>14768</v>
      </c>
      <c r="F1985" s="323" t="s">
        <v>175</v>
      </c>
      <c r="G1985" s="323" t="s">
        <v>19</v>
      </c>
      <c r="H1985" s="98" t="n">
        <v>150</v>
      </c>
      <c r="I1985" s="457" t="n">
        <v>22.5</v>
      </c>
      <c r="J1985" s="313" t="s">
        <v>1651</v>
      </c>
      <c r="K1985" s="458" t="n">
        <f aca="false">I1985*H1985</f>
        <v>3375</v>
      </c>
      <c r="L1985" s="411" t="n">
        <v>2829</v>
      </c>
      <c r="M1985" s="459" t="n">
        <f aca="false">L1985/K1985</f>
        <v>0.838222222222222</v>
      </c>
      <c r="N1985" s="460" t="n">
        <f aca="false">I1985*M1985</f>
        <v>18.86</v>
      </c>
      <c r="O1985" s="461" t="n">
        <v>150</v>
      </c>
      <c r="P1985" s="462" t="n">
        <f aca="false">H1985-O1985</f>
        <v>0</v>
      </c>
      <c r="Q1985" s="463" t="n">
        <f aca="false">O1985*I1985</f>
        <v>3375</v>
      </c>
      <c r="R1985" s="48" t="n">
        <f aca="false">K1985-Q1985</f>
        <v>0</v>
      </c>
      <c r="S1985" s="467"/>
      <c r="T1985" s="2" t="s">
        <v>1711</v>
      </c>
      <c r="V1985" s="464"/>
      <c r="W1985" s="464"/>
      <c r="X1985" s="464"/>
      <c r="Y1985" s="464"/>
      <c r="Z1985" s="464"/>
      <c r="AA1985" s="464"/>
      <c r="AB1985" s="464"/>
      <c r="AC1985" s="464"/>
      <c r="AD1985" s="464"/>
      <c r="AE1985" s="464"/>
      <c r="AF1985" s="464"/>
      <c r="AG1985" s="464"/>
      <c r="AH1985" s="465"/>
      <c r="AI1985" s="464"/>
    </row>
    <row r="1986" customFormat="false" ht="15" hidden="false" customHeight="true" outlineLevel="0" collapsed="false">
      <c r="A1986" s="455" t="s">
        <v>1760</v>
      </c>
      <c r="C1986" s="456" t="n">
        <v>45723</v>
      </c>
      <c r="D1986" s="456"/>
      <c r="E1986" s="323" t="n">
        <v>14768</v>
      </c>
      <c r="F1986" s="323" t="s">
        <v>175</v>
      </c>
      <c r="G1986" s="323" t="s">
        <v>15</v>
      </c>
      <c r="H1986" s="98" t="n">
        <v>750</v>
      </c>
      <c r="I1986" s="457" t="n">
        <v>22.5</v>
      </c>
      <c r="J1986" s="313" t="s">
        <v>1651</v>
      </c>
      <c r="K1986" s="458" t="n">
        <f aca="false">I1986*H1986</f>
        <v>16875</v>
      </c>
      <c r="L1986" s="411" t="n">
        <v>13125</v>
      </c>
      <c r="M1986" s="459" t="n">
        <f aca="false">L1986/K1986</f>
        <v>0.777777777777778</v>
      </c>
      <c r="N1986" s="460" t="n">
        <f aca="false">I1986*M1986</f>
        <v>17.5</v>
      </c>
      <c r="O1986" s="461"/>
      <c r="P1986" s="468" t="n">
        <f aca="false">H1986-O1986</f>
        <v>750</v>
      </c>
      <c r="Q1986" s="463" t="n">
        <f aca="false">O1986*I1986</f>
        <v>0</v>
      </c>
      <c r="R1986" s="48" t="n">
        <f aca="false">K1986-Q1986</f>
        <v>16875</v>
      </c>
      <c r="S1986" s="467" t="n">
        <v>45723</v>
      </c>
      <c r="T1986" s="2" t="s">
        <v>1711</v>
      </c>
      <c r="V1986" s="464"/>
      <c r="W1986" s="464"/>
      <c r="X1986" s="464"/>
      <c r="Y1986" s="464"/>
      <c r="Z1986" s="464"/>
      <c r="AA1986" s="464"/>
      <c r="AB1986" s="464"/>
      <c r="AC1986" s="464"/>
      <c r="AD1986" s="464"/>
      <c r="AE1986" s="464"/>
      <c r="AF1986" s="464"/>
      <c r="AG1986" s="464"/>
      <c r="AH1986" s="465"/>
      <c r="AI1986" s="464"/>
    </row>
    <row r="1987" customFormat="false" ht="15" hidden="false" customHeight="true" outlineLevel="0" collapsed="false">
      <c r="A1987" s="455" t="s">
        <v>1760</v>
      </c>
      <c r="C1987" s="456" t="n">
        <v>45723</v>
      </c>
      <c r="D1987" s="456"/>
      <c r="E1987" s="323" t="n">
        <v>14768</v>
      </c>
      <c r="F1987" s="323" t="s">
        <v>175</v>
      </c>
      <c r="G1987" s="323" t="s">
        <v>13</v>
      </c>
      <c r="H1987" s="98" t="n">
        <v>3000</v>
      </c>
      <c r="I1987" s="457" t="n">
        <v>22.5</v>
      </c>
      <c r="J1987" s="313" t="s">
        <v>1651</v>
      </c>
      <c r="K1987" s="458" t="n">
        <f aca="false">I1987*H1987</f>
        <v>67500</v>
      </c>
      <c r="L1987" s="411" t="n">
        <v>34500</v>
      </c>
      <c r="M1987" s="459" t="n">
        <f aca="false">L1987/K1987</f>
        <v>0.511111111111111</v>
      </c>
      <c r="N1987" s="460" t="n">
        <f aca="false">I1987*M1987</f>
        <v>11.5</v>
      </c>
      <c r="O1987" s="461" t="n">
        <v>3000</v>
      </c>
      <c r="P1987" s="462" t="n">
        <f aca="false">H1987-O1987</f>
        <v>0</v>
      </c>
      <c r="Q1987" s="463" t="n">
        <f aca="false">O1987*I1987</f>
        <v>67500</v>
      </c>
      <c r="R1987" s="48" t="n">
        <f aca="false">K1987-Q1987</f>
        <v>0</v>
      </c>
      <c r="S1987" s="467"/>
      <c r="T1987" s="2" t="s">
        <v>1711</v>
      </c>
      <c r="V1987" s="464"/>
      <c r="W1987" s="464"/>
      <c r="X1987" s="464"/>
      <c r="Y1987" s="464"/>
      <c r="Z1987" s="464"/>
      <c r="AA1987" s="464"/>
      <c r="AB1987" s="464"/>
      <c r="AC1987" s="464"/>
      <c r="AD1987" s="464"/>
      <c r="AE1987" s="464"/>
      <c r="AF1987" s="464"/>
      <c r="AG1987" s="464"/>
      <c r="AH1987" s="465"/>
      <c r="AI1987" s="464"/>
    </row>
    <row r="1988" customFormat="false" ht="15" hidden="false" customHeight="true" outlineLevel="0" collapsed="false">
      <c r="A1988" s="455" t="s">
        <v>1852</v>
      </c>
      <c r="C1988" s="456" t="n">
        <v>45726</v>
      </c>
      <c r="D1988" s="456"/>
      <c r="E1988" s="57" t="n">
        <v>14769</v>
      </c>
      <c r="F1988" s="57" t="s">
        <v>175</v>
      </c>
      <c r="G1988" s="323" t="s">
        <v>16</v>
      </c>
      <c r="H1988" s="98" t="n">
        <v>45</v>
      </c>
      <c r="I1988" s="457" t="n">
        <v>22.5</v>
      </c>
      <c r="J1988" s="313" t="s">
        <v>1651</v>
      </c>
      <c r="K1988" s="458" t="n">
        <f aca="false">I1988*H1988</f>
        <v>1012.5</v>
      </c>
      <c r="L1988" s="411" t="n">
        <v>1048.5</v>
      </c>
      <c r="M1988" s="459" t="n">
        <f aca="false">L1988/K1988</f>
        <v>1.03555555555556</v>
      </c>
      <c r="N1988" s="460" t="n">
        <f aca="false">I1988*M1988</f>
        <v>23.3</v>
      </c>
      <c r="O1988" s="461" t="n">
        <v>45</v>
      </c>
      <c r="P1988" s="462" t="n">
        <f aca="false">H1988-O1988</f>
        <v>0</v>
      </c>
      <c r="Q1988" s="463" t="n">
        <f aca="false">O1988*I1988</f>
        <v>1012.5</v>
      </c>
      <c r="R1988" s="48" t="n">
        <f aca="false">K1988-Q1988</f>
        <v>0</v>
      </c>
      <c r="S1988" s="467"/>
      <c r="T1988" s="2" t="s">
        <v>1711</v>
      </c>
      <c r="V1988" s="464"/>
      <c r="W1988" s="464"/>
      <c r="X1988" s="464"/>
      <c r="Y1988" s="464"/>
      <c r="Z1988" s="464"/>
      <c r="AA1988" s="464"/>
      <c r="AB1988" s="464"/>
      <c r="AC1988" s="464"/>
      <c r="AD1988" s="464"/>
      <c r="AE1988" s="464"/>
      <c r="AF1988" s="464"/>
      <c r="AG1988" s="464"/>
      <c r="AH1988" s="465"/>
      <c r="AI1988" s="464"/>
    </row>
    <row r="1989" customFormat="false" ht="15" hidden="false" customHeight="true" outlineLevel="0" collapsed="false">
      <c r="A1989" s="455" t="s">
        <v>1758</v>
      </c>
      <c r="C1989" s="456" t="n">
        <v>45726</v>
      </c>
      <c r="D1989" s="456"/>
      <c r="E1989" s="57" t="n">
        <v>14770</v>
      </c>
      <c r="F1989" s="57" t="s">
        <v>175</v>
      </c>
      <c r="G1989" s="323" t="s">
        <v>5</v>
      </c>
      <c r="H1989" s="98" t="n">
        <v>225</v>
      </c>
      <c r="I1989" s="457" t="n">
        <v>25.71</v>
      </c>
      <c r="J1989" s="313" t="s">
        <v>1651</v>
      </c>
      <c r="K1989" s="458" t="n">
        <f aca="false">I1989*H1989</f>
        <v>5784.75</v>
      </c>
      <c r="L1989" s="411" t="n">
        <v>2475</v>
      </c>
      <c r="M1989" s="459" t="n">
        <f aca="false">L1989/K1989</f>
        <v>0.427849085958771</v>
      </c>
      <c r="N1989" s="460" t="n">
        <f aca="false">I1989*M1989</f>
        <v>11</v>
      </c>
      <c r="O1989" s="461" t="n">
        <v>225</v>
      </c>
      <c r="P1989" s="462" t="n">
        <f aca="false">H1989-O1989</f>
        <v>0</v>
      </c>
      <c r="Q1989" s="463" t="n">
        <f aca="false">O1989*I1989</f>
        <v>5784.75</v>
      </c>
      <c r="R1989" s="48" t="n">
        <f aca="false">K1989-Q1989</f>
        <v>0</v>
      </c>
      <c r="S1989" s="467"/>
      <c r="T1989" s="2" t="s">
        <v>1711</v>
      </c>
      <c r="V1989" s="464"/>
      <c r="W1989" s="464"/>
      <c r="X1989" s="464"/>
      <c r="Y1989" s="464"/>
      <c r="Z1989" s="464"/>
      <c r="AA1989" s="464"/>
      <c r="AB1989" s="464"/>
      <c r="AC1989" s="464"/>
      <c r="AD1989" s="464"/>
      <c r="AE1989" s="464"/>
      <c r="AF1989" s="464"/>
      <c r="AG1989" s="464"/>
      <c r="AH1989" s="465"/>
      <c r="AI1989" s="464"/>
    </row>
    <row r="1990" customFormat="false" ht="15" hidden="false" customHeight="true" outlineLevel="0" collapsed="false">
      <c r="A1990" s="455" t="s">
        <v>1718</v>
      </c>
      <c r="C1990" s="456" t="n">
        <v>45726</v>
      </c>
      <c r="D1990" s="456"/>
      <c r="E1990" s="57" t="n">
        <v>14771</v>
      </c>
      <c r="F1990" s="57" t="s">
        <v>175</v>
      </c>
      <c r="G1990" s="323" t="s">
        <v>18</v>
      </c>
      <c r="H1990" s="98" t="n">
        <v>1140</v>
      </c>
      <c r="I1990" s="457" t="n">
        <v>25.71</v>
      </c>
      <c r="J1990" s="313" t="s">
        <v>1651</v>
      </c>
      <c r="K1990" s="458" t="n">
        <f aca="false">I1990*H1990</f>
        <v>29309.4</v>
      </c>
      <c r="L1990" s="411" t="n">
        <v>19266</v>
      </c>
      <c r="M1990" s="459" t="n">
        <f aca="false">L1990/K1990</f>
        <v>0.657331777518475</v>
      </c>
      <c r="N1990" s="460" t="n">
        <f aca="false">I1990*M1990</f>
        <v>16.9</v>
      </c>
      <c r="O1990" s="461" t="n">
        <v>1140</v>
      </c>
      <c r="P1990" s="462" t="n">
        <f aca="false">H1990-O1990</f>
        <v>0</v>
      </c>
      <c r="Q1990" s="463" t="n">
        <f aca="false">O1990*I1990</f>
        <v>29309.4</v>
      </c>
      <c r="R1990" s="48" t="n">
        <f aca="false">K1990-Q1990</f>
        <v>0</v>
      </c>
      <c r="S1990" s="467"/>
      <c r="T1990" s="2" t="s">
        <v>1711</v>
      </c>
      <c r="V1990" s="464"/>
      <c r="W1990" s="464"/>
      <c r="X1990" s="464"/>
      <c r="Y1990" s="464"/>
      <c r="Z1990" s="464"/>
      <c r="AA1990" s="464"/>
      <c r="AB1990" s="464"/>
      <c r="AC1990" s="464"/>
      <c r="AD1990" s="464"/>
      <c r="AE1990" s="464"/>
      <c r="AF1990" s="464"/>
      <c r="AG1990" s="464"/>
      <c r="AH1990" s="465"/>
      <c r="AI1990" s="464"/>
    </row>
    <row r="1991" customFormat="false" ht="15" hidden="false" customHeight="true" outlineLevel="0" collapsed="false">
      <c r="A1991" s="455" t="s">
        <v>2077</v>
      </c>
      <c r="C1991" s="456" t="n">
        <v>45726</v>
      </c>
      <c r="D1991" s="456"/>
      <c r="E1991" s="57" t="n">
        <v>14773</v>
      </c>
      <c r="F1991" s="57" t="s">
        <v>175</v>
      </c>
      <c r="G1991" s="323" t="s">
        <v>22</v>
      </c>
      <c r="H1991" s="98" t="n">
        <v>45</v>
      </c>
      <c r="I1991" s="457" t="n">
        <v>22.5</v>
      </c>
      <c r="J1991" s="313" t="s">
        <v>1651</v>
      </c>
      <c r="K1991" s="458" t="n">
        <f aca="false">I1991*H1991</f>
        <v>1012.5</v>
      </c>
      <c r="L1991" s="411" t="n">
        <v>900</v>
      </c>
      <c r="M1991" s="459" t="n">
        <f aca="false">L1991/K1991</f>
        <v>0.888888888888889</v>
      </c>
      <c r="N1991" s="460" t="n">
        <f aca="false">I1991*M1991</f>
        <v>20</v>
      </c>
      <c r="O1991" s="461" t="n">
        <v>45</v>
      </c>
      <c r="P1991" s="462" t="n">
        <f aca="false">H1991-O1991</f>
        <v>0</v>
      </c>
      <c r="Q1991" s="463" t="n">
        <f aca="false">O1991*I1991</f>
        <v>1012.5</v>
      </c>
      <c r="R1991" s="48" t="n">
        <f aca="false">K1991-Q1991</f>
        <v>0</v>
      </c>
      <c r="S1991" s="467"/>
      <c r="T1991" s="2" t="s">
        <v>1711</v>
      </c>
      <c r="V1991" s="464"/>
      <c r="W1991" s="464"/>
      <c r="X1991" s="464"/>
      <c r="Y1991" s="464"/>
      <c r="Z1991" s="464"/>
      <c r="AA1991" s="464"/>
      <c r="AB1991" s="464"/>
      <c r="AC1991" s="464"/>
      <c r="AD1991" s="464"/>
      <c r="AE1991" s="464"/>
      <c r="AF1991" s="464"/>
      <c r="AG1991" s="464"/>
      <c r="AH1991" s="465"/>
      <c r="AI1991" s="464"/>
    </row>
    <row r="1992" customFormat="false" ht="15" hidden="false" customHeight="true" outlineLevel="0" collapsed="false">
      <c r="A1992" s="455" t="s">
        <v>2093</v>
      </c>
      <c r="C1992" s="456" t="n">
        <v>45726</v>
      </c>
      <c r="D1992" s="456"/>
      <c r="E1992" s="57" t="n">
        <v>14774</v>
      </c>
      <c r="F1992" s="57" t="s">
        <v>175</v>
      </c>
      <c r="G1992" s="323" t="s">
        <v>17</v>
      </c>
      <c r="H1992" s="98" t="n">
        <v>275</v>
      </c>
      <c r="I1992" s="457" t="n">
        <v>40</v>
      </c>
      <c r="J1992" s="313" t="s">
        <v>1653</v>
      </c>
      <c r="K1992" s="458" t="n">
        <f aca="false">I1992*H1992</f>
        <v>11000</v>
      </c>
      <c r="L1992" s="411" t="n">
        <v>4125</v>
      </c>
      <c r="M1992" s="459" t="n">
        <f aca="false">L1992/K1992</f>
        <v>0.375</v>
      </c>
      <c r="N1992" s="460" t="n">
        <f aca="false">I1992*M1992</f>
        <v>15</v>
      </c>
      <c r="O1992" s="461" t="n">
        <v>275</v>
      </c>
      <c r="P1992" s="462" t="n">
        <f aca="false">H1992-O1992</f>
        <v>0</v>
      </c>
      <c r="Q1992" s="463" t="n">
        <f aca="false">O1992*I1992</f>
        <v>11000</v>
      </c>
      <c r="R1992" s="48" t="n">
        <f aca="false">K1992-Q1992</f>
        <v>0</v>
      </c>
      <c r="S1992" s="467"/>
      <c r="T1992" s="2" t="s">
        <v>1711</v>
      </c>
      <c r="V1992" s="464"/>
      <c r="W1992" s="464"/>
      <c r="X1992" s="464"/>
      <c r="Y1992" s="464"/>
      <c r="Z1992" s="464"/>
      <c r="AA1992" s="464"/>
      <c r="AB1992" s="464"/>
      <c r="AC1992" s="464"/>
      <c r="AD1992" s="464"/>
      <c r="AE1992" s="464"/>
      <c r="AF1992" s="464"/>
      <c r="AG1992" s="464"/>
      <c r="AH1992" s="465"/>
      <c r="AI1992" s="464"/>
    </row>
    <row r="1993" customFormat="false" ht="15" hidden="false" customHeight="true" outlineLevel="0" collapsed="false">
      <c r="A1993" s="455" t="s">
        <v>1796</v>
      </c>
      <c r="C1993" s="456" t="n">
        <v>45726</v>
      </c>
      <c r="D1993" s="456"/>
      <c r="E1993" s="57" t="n">
        <v>14775</v>
      </c>
      <c r="F1993" s="57" t="s">
        <v>175</v>
      </c>
      <c r="G1993" s="323" t="s">
        <v>18</v>
      </c>
      <c r="H1993" s="98" t="n">
        <v>270</v>
      </c>
      <c r="I1993" s="457" t="n">
        <v>34.62</v>
      </c>
      <c r="J1993" s="313" t="s">
        <v>1652</v>
      </c>
      <c r="K1993" s="458" t="n">
        <f aca="false">I1993*H1993</f>
        <v>9347.4</v>
      </c>
      <c r="L1993" s="411" t="n">
        <v>10962</v>
      </c>
      <c r="M1993" s="459" t="n">
        <f aca="false">L1993/K1993</f>
        <v>1.17273252455228</v>
      </c>
      <c r="N1993" s="460" t="n">
        <f aca="false">I1993*M1993</f>
        <v>40.6</v>
      </c>
      <c r="O1993" s="461" t="n">
        <v>270</v>
      </c>
      <c r="P1993" s="462" t="n">
        <f aca="false">H1993-O1993</f>
        <v>0</v>
      </c>
      <c r="Q1993" s="463" t="n">
        <f aca="false">O1993*I1993</f>
        <v>9347.4</v>
      </c>
      <c r="R1993" s="48" t="n">
        <f aca="false">K1993-Q1993</f>
        <v>0</v>
      </c>
      <c r="S1993" s="467"/>
      <c r="T1993" s="2" t="s">
        <v>1797</v>
      </c>
      <c r="V1993" s="464"/>
      <c r="W1993" s="464"/>
      <c r="X1993" s="464"/>
      <c r="Y1993" s="464"/>
      <c r="Z1993" s="464"/>
      <c r="AA1993" s="464"/>
      <c r="AB1993" s="464"/>
      <c r="AC1993" s="464"/>
      <c r="AD1993" s="464"/>
      <c r="AE1993" s="464"/>
      <c r="AF1993" s="464"/>
      <c r="AG1993" s="464"/>
      <c r="AH1993" s="465"/>
      <c r="AI1993" s="464"/>
    </row>
    <row r="1994" customFormat="false" ht="15" hidden="false" customHeight="true" outlineLevel="0" collapsed="false">
      <c r="A1994" s="455" t="s">
        <v>2076</v>
      </c>
      <c r="C1994" s="456" t="n">
        <v>45727</v>
      </c>
      <c r="D1994" s="456"/>
      <c r="E1994" s="57" t="n">
        <v>14776</v>
      </c>
      <c r="F1994" s="57" t="s">
        <v>175</v>
      </c>
      <c r="G1994" s="323" t="s">
        <v>6</v>
      </c>
      <c r="H1994" s="98" t="n">
        <v>400</v>
      </c>
      <c r="I1994" s="457" t="n">
        <v>60</v>
      </c>
      <c r="J1994" s="313" t="s">
        <v>1653</v>
      </c>
      <c r="K1994" s="458" t="n">
        <f aca="false">I1994*H1994</f>
        <v>24000</v>
      </c>
      <c r="L1994" s="411" t="n">
        <v>9080</v>
      </c>
      <c r="M1994" s="459" t="n">
        <f aca="false">L1994/K1994</f>
        <v>0.378333333333333</v>
      </c>
      <c r="N1994" s="460" t="n">
        <f aca="false">I1994*M1994</f>
        <v>22.7</v>
      </c>
      <c r="O1994" s="461" t="n">
        <v>400</v>
      </c>
      <c r="P1994" s="462" t="n">
        <f aca="false">H1994-O1994</f>
        <v>0</v>
      </c>
      <c r="Q1994" s="463" t="n">
        <f aca="false">O1994*I1994</f>
        <v>24000</v>
      </c>
      <c r="R1994" s="48" t="n">
        <f aca="false">K1994-Q1994</f>
        <v>0</v>
      </c>
      <c r="S1994" s="467"/>
      <c r="T1994" s="2" t="s">
        <v>1711</v>
      </c>
      <c r="V1994" s="464"/>
      <c r="W1994" s="464"/>
      <c r="X1994" s="464"/>
      <c r="Y1994" s="464"/>
      <c r="Z1994" s="464"/>
      <c r="AA1994" s="464"/>
      <c r="AB1994" s="464"/>
      <c r="AC1994" s="464"/>
      <c r="AD1994" s="464"/>
      <c r="AE1994" s="464"/>
      <c r="AF1994" s="464"/>
      <c r="AG1994" s="464"/>
      <c r="AH1994" s="465"/>
      <c r="AI1994" s="464"/>
    </row>
    <row r="1995" customFormat="false" ht="15" hidden="false" customHeight="true" outlineLevel="0" collapsed="false">
      <c r="A1995" s="455" t="s">
        <v>2076</v>
      </c>
      <c r="C1995" s="456" t="n">
        <v>45727</v>
      </c>
      <c r="D1995" s="456"/>
      <c r="E1995" s="57" t="n">
        <v>14776</v>
      </c>
      <c r="F1995" s="57" t="s">
        <v>175</v>
      </c>
      <c r="G1995" s="323" t="s">
        <v>12</v>
      </c>
      <c r="H1995" s="98" t="n">
        <v>150</v>
      </c>
      <c r="I1995" s="457" t="n">
        <v>18</v>
      </c>
      <c r="J1995" s="313" t="s">
        <v>1651</v>
      </c>
      <c r="K1995" s="458" t="n">
        <f aca="false">I1995*H1995</f>
        <v>2700</v>
      </c>
      <c r="L1995" s="411" t="n">
        <v>10500</v>
      </c>
      <c r="M1995" s="459" t="n">
        <f aca="false">L1995/K1995</f>
        <v>3.88888888888889</v>
      </c>
      <c r="N1995" s="460" t="n">
        <f aca="false">I1995*M1995</f>
        <v>70</v>
      </c>
      <c r="O1995" s="461" t="n">
        <v>150</v>
      </c>
      <c r="P1995" s="462" t="n">
        <f aca="false">H1995-O1995</f>
        <v>0</v>
      </c>
      <c r="Q1995" s="463" t="n">
        <f aca="false">O1995*I1995</f>
        <v>2700</v>
      </c>
      <c r="R1995" s="48" t="n">
        <f aca="false">K1995-Q1995</f>
        <v>0</v>
      </c>
      <c r="S1995" s="467"/>
      <c r="T1995" s="2" t="s">
        <v>1711</v>
      </c>
      <c r="V1995" s="464"/>
      <c r="W1995" s="464"/>
      <c r="X1995" s="464"/>
      <c r="Y1995" s="464"/>
      <c r="Z1995" s="464"/>
      <c r="AA1995" s="464"/>
      <c r="AB1995" s="464"/>
      <c r="AC1995" s="464"/>
      <c r="AD1995" s="464"/>
      <c r="AE1995" s="464"/>
      <c r="AF1995" s="464"/>
      <c r="AG1995" s="464"/>
      <c r="AH1995" s="465"/>
      <c r="AI1995" s="464"/>
    </row>
    <row r="1996" customFormat="false" ht="15" hidden="false" customHeight="true" outlineLevel="0" collapsed="false">
      <c r="A1996" s="455" t="s">
        <v>1804</v>
      </c>
      <c r="C1996" s="456" t="n">
        <v>45727</v>
      </c>
      <c r="D1996" s="456"/>
      <c r="E1996" s="57" t="n">
        <v>14777</v>
      </c>
      <c r="F1996" s="57" t="s">
        <v>175</v>
      </c>
      <c r="G1996" s="323" t="s">
        <v>10</v>
      </c>
      <c r="H1996" s="98" t="n">
        <v>165</v>
      </c>
      <c r="I1996" s="457" t="n">
        <v>38.3</v>
      </c>
      <c r="J1996" s="313" t="s">
        <v>1652</v>
      </c>
      <c r="K1996" s="458" t="n">
        <f aca="false">I1996*H1996</f>
        <v>6319.5</v>
      </c>
      <c r="L1996" s="411" t="n">
        <v>1963.5</v>
      </c>
      <c r="M1996" s="459" t="n">
        <f aca="false">L1996/K1996</f>
        <v>0.310704960835509</v>
      </c>
      <c r="N1996" s="460" t="n">
        <f aca="false">I1996*M1996</f>
        <v>11.9</v>
      </c>
      <c r="O1996" s="461" t="n">
        <v>165</v>
      </c>
      <c r="P1996" s="462" t="n">
        <f aca="false">H1996-O1996</f>
        <v>0</v>
      </c>
      <c r="Q1996" s="463" t="n">
        <f aca="false">O1996*I1996</f>
        <v>6319.5</v>
      </c>
      <c r="R1996" s="48" t="n">
        <f aca="false">K1996-Q1996</f>
        <v>0</v>
      </c>
      <c r="S1996" s="467"/>
      <c r="T1996" s="2" t="s">
        <v>1711</v>
      </c>
      <c r="V1996" s="464"/>
      <c r="W1996" s="464"/>
      <c r="X1996" s="464"/>
      <c r="Y1996" s="464"/>
      <c r="Z1996" s="464"/>
      <c r="AA1996" s="464"/>
      <c r="AB1996" s="464"/>
      <c r="AC1996" s="464"/>
      <c r="AD1996" s="464"/>
      <c r="AE1996" s="464"/>
      <c r="AF1996" s="464"/>
      <c r="AG1996" s="464"/>
      <c r="AH1996" s="465"/>
      <c r="AI1996" s="464"/>
    </row>
    <row r="1997" customFormat="false" ht="15" hidden="false" customHeight="true" outlineLevel="0" collapsed="false">
      <c r="A1997" s="455" t="s">
        <v>1753</v>
      </c>
      <c r="C1997" s="456" t="n">
        <v>45727</v>
      </c>
      <c r="D1997" s="456"/>
      <c r="E1997" s="57" t="n">
        <v>14778</v>
      </c>
      <c r="F1997" s="57" t="s">
        <v>175</v>
      </c>
      <c r="G1997" s="323" t="s">
        <v>6</v>
      </c>
      <c r="H1997" s="98" t="n">
        <v>1365</v>
      </c>
      <c r="I1997" s="457" t="n">
        <v>30</v>
      </c>
      <c r="J1997" s="313" t="s">
        <v>1651</v>
      </c>
      <c r="K1997" s="458" t="n">
        <f aca="false">I1997*H1997</f>
        <v>40950</v>
      </c>
      <c r="L1997" s="411" t="n">
        <v>15561</v>
      </c>
      <c r="M1997" s="459" t="n">
        <f aca="false">L1997/K1997</f>
        <v>0.38</v>
      </c>
      <c r="N1997" s="460" t="n">
        <f aca="false">I1997*M1997</f>
        <v>11.4</v>
      </c>
      <c r="O1997" s="461" t="n">
        <v>1365</v>
      </c>
      <c r="P1997" s="462" t="n">
        <f aca="false">H1997-O1997</f>
        <v>0</v>
      </c>
      <c r="Q1997" s="463" t="n">
        <f aca="false">O1997*I1997</f>
        <v>40950</v>
      </c>
      <c r="R1997" s="48" t="n">
        <f aca="false">K1997-Q1997</f>
        <v>0</v>
      </c>
      <c r="S1997" s="467"/>
      <c r="T1997" s="2" t="s">
        <v>1711</v>
      </c>
      <c r="V1997" s="464"/>
      <c r="W1997" s="464"/>
      <c r="X1997" s="464"/>
      <c r="Y1997" s="464"/>
      <c r="Z1997" s="464"/>
      <c r="AA1997" s="464"/>
      <c r="AB1997" s="464"/>
      <c r="AC1997" s="464"/>
      <c r="AD1997" s="464"/>
      <c r="AE1997" s="464"/>
      <c r="AF1997" s="464"/>
      <c r="AG1997" s="464"/>
      <c r="AH1997" s="465"/>
      <c r="AI1997" s="464"/>
    </row>
    <row r="1998" customFormat="false" ht="15" hidden="false" customHeight="true" outlineLevel="0" collapsed="false">
      <c r="A1998" s="455" t="s">
        <v>2094</v>
      </c>
      <c r="C1998" s="456" t="n">
        <v>45727</v>
      </c>
      <c r="D1998" s="456"/>
      <c r="E1998" s="57" t="n">
        <v>14779</v>
      </c>
      <c r="F1998" s="57" t="s">
        <v>175</v>
      </c>
      <c r="G1998" s="323" t="s">
        <v>22</v>
      </c>
      <c r="H1998" s="98" t="n">
        <v>270</v>
      </c>
      <c r="I1998" s="457" t="n">
        <v>22.5</v>
      </c>
      <c r="J1998" s="313" t="s">
        <v>1651</v>
      </c>
      <c r="K1998" s="458" t="n">
        <f aca="false">I1998*H1998</f>
        <v>6075</v>
      </c>
      <c r="L1998" s="411" t="n">
        <v>12314.7</v>
      </c>
      <c r="M1998" s="459" t="n">
        <f aca="false">L1998/K1998</f>
        <v>2.02711111111111</v>
      </c>
      <c r="N1998" s="460" t="n">
        <f aca="false">I1998*M1998</f>
        <v>45.61</v>
      </c>
      <c r="O1998" s="461" t="n">
        <v>270</v>
      </c>
      <c r="P1998" s="462" t="n">
        <f aca="false">H1998-O1998</f>
        <v>0</v>
      </c>
      <c r="Q1998" s="463" t="n">
        <f aca="false">O1998*I1998</f>
        <v>6075</v>
      </c>
      <c r="R1998" s="48" t="n">
        <f aca="false">K1998-Q1998</f>
        <v>0</v>
      </c>
      <c r="S1998" s="467"/>
      <c r="T1998" s="2" t="s">
        <v>1711</v>
      </c>
      <c r="V1998" s="464"/>
      <c r="W1998" s="464"/>
      <c r="X1998" s="464"/>
      <c r="Y1998" s="464"/>
      <c r="Z1998" s="464"/>
      <c r="AA1998" s="464"/>
      <c r="AB1998" s="464"/>
      <c r="AC1998" s="464"/>
      <c r="AD1998" s="464"/>
      <c r="AE1998" s="464"/>
      <c r="AF1998" s="464"/>
      <c r="AG1998" s="464"/>
      <c r="AH1998" s="465"/>
      <c r="AI1998" s="464"/>
    </row>
    <row r="1999" customFormat="false" ht="15" hidden="false" customHeight="true" outlineLevel="0" collapsed="false">
      <c r="A1999" s="455" t="s">
        <v>2094</v>
      </c>
      <c r="C1999" s="456" t="n">
        <v>45727</v>
      </c>
      <c r="D1999" s="456"/>
      <c r="E1999" s="57" t="n">
        <v>14779</v>
      </c>
      <c r="F1999" s="57" t="s">
        <v>175</v>
      </c>
      <c r="G1999" s="323" t="s">
        <v>19</v>
      </c>
      <c r="H1999" s="98" t="n">
        <v>45</v>
      </c>
      <c r="I1999" s="457" t="n">
        <v>22.5</v>
      </c>
      <c r="J1999" s="313" t="s">
        <v>1651</v>
      </c>
      <c r="K1999" s="458" t="n">
        <f aca="false">I1999*H1999</f>
        <v>1012.5</v>
      </c>
      <c r="L1999" s="411" t="n">
        <v>1246.95</v>
      </c>
      <c r="M1999" s="459" t="n">
        <f aca="false">L1999/K1999</f>
        <v>1.23155555555556</v>
      </c>
      <c r="N1999" s="460" t="n">
        <f aca="false">I1999*M1999</f>
        <v>27.71</v>
      </c>
      <c r="O1999" s="461" t="n">
        <v>45</v>
      </c>
      <c r="P1999" s="462" t="n">
        <f aca="false">H1999-O1999</f>
        <v>0</v>
      </c>
      <c r="Q1999" s="463" t="n">
        <f aca="false">O1999*I1999</f>
        <v>1012.5</v>
      </c>
      <c r="R1999" s="48" t="n">
        <f aca="false">K1999-Q1999</f>
        <v>0</v>
      </c>
      <c r="S1999" s="467"/>
      <c r="T1999" s="2" t="s">
        <v>1711</v>
      </c>
      <c r="V1999" s="464"/>
      <c r="W1999" s="464"/>
      <c r="X1999" s="464"/>
      <c r="Y1999" s="464"/>
      <c r="Z1999" s="464"/>
      <c r="AA1999" s="464"/>
      <c r="AB1999" s="464"/>
      <c r="AC1999" s="464"/>
      <c r="AD1999" s="464"/>
      <c r="AE1999" s="464"/>
      <c r="AF1999" s="464"/>
      <c r="AG1999" s="464"/>
      <c r="AH1999" s="465"/>
      <c r="AI1999" s="464"/>
    </row>
    <row r="2000" customFormat="false" ht="15" hidden="false" customHeight="true" outlineLevel="0" collapsed="false">
      <c r="A2000" s="455" t="s">
        <v>2094</v>
      </c>
      <c r="C2000" s="456" t="n">
        <v>45727</v>
      </c>
      <c r="D2000" s="456"/>
      <c r="E2000" s="57" t="n">
        <v>14779</v>
      </c>
      <c r="F2000" s="57" t="s">
        <v>175</v>
      </c>
      <c r="G2000" s="323" t="s">
        <v>5</v>
      </c>
      <c r="H2000" s="98" t="n">
        <v>495</v>
      </c>
      <c r="I2000" s="457" t="n">
        <v>25.71</v>
      </c>
      <c r="J2000" s="313" t="s">
        <v>1651</v>
      </c>
      <c r="K2000" s="458" t="n">
        <f aca="false">I2000*H2000</f>
        <v>12726.45</v>
      </c>
      <c r="L2000" s="411" t="n">
        <v>11033.55</v>
      </c>
      <c r="M2000" s="459" t="n">
        <f aca="false">L2000/K2000</f>
        <v>0.866977829638273</v>
      </c>
      <c r="N2000" s="460" t="n">
        <f aca="false">I2000*M2000</f>
        <v>22.29</v>
      </c>
      <c r="O2000" s="461" t="n">
        <v>495</v>
      </c>
      <c r="P2000" s="462" t="n">
        <f aca="false">H2000-O2000</f>
        <v>0</v>
      </c>
      <c r="Q2000" s="463" t="n">
        <f aca="false">O2000*I2000</f>
        <v>12726.45</v>
      </c>
      <c r="R2000" s="48" t="n">
        <f aca="false">K2000-Q2000</f>
        <v>0</v>
      </c>
      <c r="S2000" s="467"/>
      <c r="T2000" s="2" t="s">
        <v>1711</v>
      </c>
      <c r="V2000" s="464"/>
      <c r="W2000" s="464"/>
      <c r="X2000" s="464"/>
      <c r="Y2000" s="464"/>
      <c r="Z2000" s="464"/>
      <c r="AA2000" s="464"/>
      <c r="AB2000" s="464"/>
      <c r="AC2000" s="464"/>
      <c r="AD2000" s="464"/>
      <c r="AE2000" s="464"/>
      <c r="AF2000" s="464"/>
      <c r="AG2000" s="464"/>
      <c r="AH2000" s="465"/>
      <c r="AI2000" s="464"/>
    </row>
    <row r="2001" customFormat="false" ht="15" hidden="false" customHeight="true" outlineLevel="0" collapsed="false">
      <c r="A2001" s="455" t="s">
        <v>2094</v>
      </c>
      <c r="C2001" s="456" t="n">
        <v>45727</v>
      </c>
      <c r="D2001" s="456"/>
      <c r="E2001" s="57" t="n">
        <v>14779</v>
      </c>
      <c r="F2001" s="57" t="s">
        <v>175</v>
      </c>
      <c r="G2001" s="323" t="s">
        <v>13</v>
      </c>
      <c r="H2001" s="98" t="n">
        <v>435</v>
      </c>
      <c r="I2001" s="457" t="n">
        <v>22.5</v>
      </c>
      <c r="J2001" s="313" t="s">
        <v>1651</v>
      </c>
      <c r="K2001" s="458" t="n">
        <f aca="false">I2001*H2001</f>
        <v>9787.5</v>
      </c>
      <c r="L2001" s="411" t="n">
        <v>8939.25</v>
      </c>
      <c r="M2001" s="459" t="n">
        <f aca="false">L2001/K2001</f>
        <v>0.913333333333333</v>
      </c>
      <c r="N2001" s="460" t="n">
        <f aca="false">I2001*M2001</f>
        <v>20.55</v>
      </c>
      <c r="O2001" s="461" t="n">
        <v>435</v>
      </c>
      <c r="P2001" s="462" t="n">
        <f aca="false">H2001-O2001</f>
        <v>0</v>
      </c>
      <c r="Q2001" s="463" t="n">
        <f aca="false">O2001*I2001</f>
        <v>9787.5</v>
      </c>
      <c r="R2001" s="48" t="n">
        <f aca="false">K2001-Q2001</f>
        <v>0</v>
      </c>
      <c r="S2001" s="467"/>
      <c r="T2001" s="2" t="s">
        <v>1711</v>
      </c>
      <c r="V2001" s="464"/>
      <c r="W2001" s="464"/>
      <c r="X2001" s="464"/>
      <c r="Y2001" s="464"/>
      <c r="Z2001" s="464"/>
      <c r="AA2001" s="464"/>
      <c r="AB2001" s="464"/>
      <c r="AC2001" s="464"/>
      <c r="AD2001" s="464"/>
      <c r="AE2001" s="464"/>
      <c r="AF2001" s="464"/>
      <c r="AG2001" s="464"/>
      <c r="AH2001" s="465"/>
      <c r="AI2001" s="464"/>
    </row>
    <row r="2002" customFormat="false" ht="15" hidden="false" customHeight="true" outlineLevel="0" collapsed="false">
      <c r="A2002" s="455" t="s">
        <v>2094</v>
      </c>
      <c r="C2002" s="456" t="n">
        <v>45727</v>
      </c>
      <c r="D2002" s="456"/>
      <c r="E2002" s="57" t="n">
        <v>14779</v>
      </c>
      <c r="F2002" s="57" t="s">
        <v>175</v>
      </c>
      <c r="G2002" s="323" t="s">
        <v>42</v>
      </c>
      <c r="H2002" s="98" t="n">
        <v>255</v>
      </c>
      <c r="I2002" s="457" t="n">
        <v>30</v>
      </c>
      <c r="J2002" s="313" t="s">
        <v>1651</v>
      </c>
      <c r="K2002" s="458" t="n">
        <f aca="false">I2002*H2002</f>
        <v>7650</v>
      </c>
      <c r="L2002" s="411" t="n">
        <v>7713.75</v>
      </c>
      <c r="M2002" s="459" t="n">
        <f aca="false">L2002/K2002</f>
        <v>1.00833333333333</v>
      </c>
      <c r="N2002" s="460" t="n">
        <f aca="false">I2002*M2002</f>
        <v>30.25</v>
      </c>
      <c r="O2002" s="461" t="n">
        <v>255</v>
      </c>
      <c r="P2002" s="462" t="n">
        <f aca="false">H2002-O2002</f>
        <v>0</v>
      </c>
      <c r="Q2002" s="463" t="n">
        <f aca="false">O2002*I2002</f>
        <v>7650</v>
      </c>
      <c r="R2002" s="48" t="n">
        <f aca="false">K2002-Q2002</f>
        <v>0</v>
      </c>
      <c r="S2002" s="467"/>
      <c r="T2002" s="2" t="s">
        <v>1711</v>
      </c>
      <c r="V2002" s="464"/>
      <c r="W2002" s="464"/>
      <c r="X2002" s="464"/>
      <c r="Y2002" s="464"/>
      <c r="Z2002" s="464"/>
      <c r="AA2002" s="464"/>
      <c r="AB2002" s="464"/>
      <c r="AC2002" s="464"/>
      <c r="AD2002" s="464"/>
      <c r="AE2002" s="464"/>
      <c r="AF2002" s="464"/>
      <c r="AG2002" s="464"/>
      <c r="AH2002" s="465"/>
      <c r="AI2002" s="464"/>
    </row>
    <row r="2003" customFormat="false" ht="15" hidden="false" customHeight="true" outlineLevel="0" collapsed="false">
      <c r="A2003" s="455" t="s">
        <v>1804</v>
      </c>
      <c r="C2003" s="456" t="n">
        <v>45728</v>
      </c>
      <c r="D2003" s="456"/>
      <c r="E2003" s="57" t="n">
        <v>14780</v>
      </c>
      <c r="F2003" s="57" t="s">
        <v>175</v>
      </c>
      <c r="G2003" s="323" t="s">
        <v>10</v>
      </c>
      <c r="H2003" s="98" t="n">
        <v>150</v>
      </c>
      <c r="I2003" s="457" t="n">
        <v>38.3</v>
      </c>
      <c r="J2003" s="313" t="s">
        <v>1652</v>
      </c>
      <c r="K2003" s="458" t="n">
        <f aca="false">I2003*H2003</f>
        <v>5745</v>
      </c>
      <c r="L2003" s="411" t="n">
        <v>1785</v>
      </c>
      <c r="M2003" s="459" t="n">
        <f aca="false">L2003/K2003</f>
        <v>0.310704960835509</v>
      </c>
      <c r="N2003" s="460" t="n">
        <f aca="false">I2003*M2003</f>
        <v>11.9</v>
      </c>
      <c r="O2003" s="461" t="n">
        <v>150</v>
      </c>
      <c r="P2003" s="462" t="n">
        <f aca="false">H2003-O2003</f>
        <v>0</v>
      </c>
      <c r="Q2003" s="463" t="n">
        <f aca="false">O2003*I2003</f>
        <v>5745</v>
      </c>
      <c r="R2003" s="48" t="n">
        <f aca="false">K2003-Q2003</f>
        <v>0</v>
      </c>
      <c r="S2003" s="467"/>
      <c r="T2003" s="2" t="s">
        <v>1711</v>
      </c>
      <c r="V2003" s="464"/>
      <c r="W2003" s="464"/>
      <c r="X2003" s="464"/>
      <c r="Y2003" s="464"/>
      <c r="Z2003" s="464"/>
      <c r="AA2003" s="464"/>
      <c r="AB2003" s="464"/>
      <c r="AC2003" s="464"/>
      <c r="AD2003" s="464"/>
      <c r="AE2003" s="464"/>
      <c r="AF2003" s="464"/>
      <c r="AG2003" s="464"/>
      <c r="AH2003" s="465"/>
      <c r="AI2003" s="464"/>
    </row>
    <row r="2004" customFormat="false" ht="15" hidden="false" customHeight="true" outlineLevel="0" collapsed="false">
      <c r="A2004" s="455" t="s">
        <v>2077</v>
      </c>
      <c r="C2004" s="456" t="n">
        <v>45728</v>
      </c>
      <c r="D2004" s="456"/>
      <c r="E2004" s="57" t="n">
        <v>14781</v>
      </c>
      <c r="F2004" s="323" t="s">
        <v>175</v>
      </c>
      <c r="G2004" s="323" t="s">
        <v>22</v>
      </c>
      <c r="H2004" s="98" t="n">
        <v>75</v>
      </c>
      <c r="I2004" s="457" t="n">
        <v>22.5</v>
      </c>
      <c r="J2004" s="313" t="s">
        <v>1651</v>
      </c>
      <c r="K2004" s="458" t="n">
        <f aca="false">I2004*H2004</f>
        <v>1687.5</v>
      </c>
      <c r="L2004" s="411" t="n">
        <v>1500</v>
      </c>
      <c r="M2004" s="459" t="n">
        <f aca="false">L2004/K2004</f>
        <v>0.888888888888889</v>
      </c>
      <c r="N2004" s="460" t="n">
        <f aca="false">I2004*M2004</f>
        <v>20</v>
      </c>
      <c r="O2004" s="461" t="n">
        <v>75</v>
      </c>
      <c r="P2004" s="462" t="n">
        <f aca="false">H2004-O2004</f>
        <v>0</v>
      </c>
      <c r="Q2004" s="463" t="n">
        <f aca="false">O2004*I2004</f>
        <v>1687.5</v>
      </c>
      <c r="R2004" s="48" t="n">
        <f aca="false">K2004-Q2004</f>
        <v>0</v>
      </c>
      <c r="S2004" s="467"/>
      <c r="T2004" s="2" t="s">
        <v>1711</v>
      </c>
      <c r="V2004" s="464"/>
      <c r="W2004" s="464"/>
      <c r="X2004" s="464"/>
      <c r="Y2004" s="464"/>
      <c r="Z2004" s="464"/>
      <c r="AA2004" s="464"/>
      <c r="AB2004" s="464"/>
      <c r="AC2004" s="464"/>
      <c r="AD2004" s="464"/>
      <c r="AE2004" s="464"/>
      <c r="AF2004" s="464"/>
      <c r="AG2004" s="464"/>
      <c r="AH2004" s="465"/>
      <c r="AI2004" s="464"/>
    </row>
    <row r="2005" customFormat="false" ht="15" hidden="false" customHeight="true" outlineLevel="0" collapsed="false">
      <c r="A2005" s="455" t="s">
        <v>1804</v>
      </c>
      <c r="C2005" s="456" t="n">
        <v>45728</v>
      </c>
      <c r="D2005" s="456"/>
      <c r="E2005" s="57" t="n">
        <v>14782</v>
      </c>
      <c r="F2005" s="323" t="s">
        <v>175</v>
      </c>
      <c r="G2005" s="323" t="s">
        <v>10</v>
      </c>
      <c r="H2005" s="98" t="n">
        <v>210</v>
      </c>
      <c r="I2005" s="457" t="n">
        <v>38.3</v>
      </c>
      <c r="J2005" s="313" t="s">
        <v>1652</v>
      </c>
      <c r="K2005" s="458" t="n">
        <f aca="false">I2005*H2005</f>
        <v>8043</v>
      </c>
      <c r="L2005" s="411" t="n">
        <v>2499</v>
      </c>
      <c r="M2005" s="459" t="n">
        <f aca="false">L2005/K2005</f>
        <v>0.310704960835509</v>
      </c>
      <c r="N2005" s="460" t="n">
        <f aca="false">I2005*M2005</f>
        <v>11.9</v>
      </c>
      <c r="O2005" s="461" t="n">
        <v>210</v>
      </c>
      <c r="P2005" s="462" t="n">
        <f aca="false">H2005-O2005</f>
        <v>0</v>
      </c>
      <c r="Q2005" s="463" t="n">
        <f aca="false">O2005*I2005</f>
        <v>8043</v>
      </c>
      <c r="R2005" s="48" t="n">
        <f aca="false">K2005-Q2005</f>
        <v>0</v>
      </c>
      <c r="S2005" s="467"/>
      <c r="T2005" s="2" t="s">
        <v>1711</v>
      </c>
      <c r="V2005" s="464"/>
      <c r="W2005" s="464"/>
      <c r="X2005" s="464"/>
      <c r="Y2005" s="464"/>
      <c r="Z2005" s="464"/>
      <c r="AA2005" s="464"/>
      <c r="AB2005" s="464"/>
      <c r="AC2005" s="464"/>
      <c r="AD2005" s="464"/>
      <c r="AE2005" s="464"/>
      <c r="AF2005" s="464"/>
      <c r="AG2005" s="464"/>
      <c r="AH2005" s="465"/>
      <c r="AI2005" s="464"/>
    </row>
    <row r="2006" customFormat="false" ht="15" hidden="false" customHeight="true" outlineLevel="0" collapsed="false">
      <c r="A2006" s="455" t="s">
        <v>2095</v>
      </c>
      <c r="C2006" s="456" t="n">
        <v>45730</v>
      </c>
      <c r="D2006" s="456"/>
      <c r="E2006" s="323" t="n">
        <v>14784</v>
      </c>
      <c r="F2006" s="323" t="s">
        <v>175</v>
      </c>
      <c r="G2006" s="323" t="s">
        <v>10</v>
      </c>
      <c r="H2006" s="98" t="n">
        <v>2700</v>
      </c>
      <c r="I2006" s="457" t="n">
        <v>90</v>
      </c>
      <c r="J2006" s="313" t="s">
        <v>1653</v>
      </c>
      <c r="K2006" s="458" t="n">
        <f aca="false">I2006*H2006</f>
        <v>243000</v>
      </c>
      <c r="L2006" s="411" t="n">
        <v>35100</v>
      </c>
      <c r="M2006" s="459" t="n">
        <f aca="false">L2006/K2006</f>
        <v>0.144444444444444</v>
      </c>
      <c r="N2006" s="460" t="n">
        <f aca="false">I2006*M2006</f>
        <v>13</v>
      </c>
      <c r="O2006" s="461" t="n">
        <v>2700</v>
      </c>
      <c r="P2006" s="462" t="n">
        <f aca="false">H2006-O2006</f>
        <v>0</v>
      </c>
      <c r="Q2006" s="463" t="n">
        <f aca="false">O2006*I2006</f>
        <v>243000</v>
      </c>
      <c r="R2006" s="48" t="n">
        <f aca="false">K2006-Q2006</f>
        <v>0</v>
      </c>
      <c r="S2006" s="467"/>
      <c r="T2006" s="2" t="s">
        <v>1711</v>
      </c>
      <c r="V2006" s="464"/>
      <c r="W2006" s="464"/>
      <c r="X2006" s="464"/>
      <c r="Y2006" s="464"/>
      <c r="Z2006" s="464"/>
      <c r="AA2006" s="464"/>
      <c r="AB2006" s="464"/>
      <c r="AC2006" s="464"/>
      <c r="AD2006" s="464"/>
      <c r="AE2006" s="464"/>
      <c r="AF2006" s="464"/>
      <c r="AG2006" s="464"/>
      <c r="AH2006" s="465"/>
      <c r="AI2006" s="464"/>
    </row>
    <row r="2007" customFormat="false" ht="15" hidden="false" customHeight="true" outlineLevel="0" collapsed="false">
      <c r="A2007" s="455" t="s">
        <v>2095</v>
      </c>
      <c r="C2007" s="456" t="n">
        <v>45730</v>
      </c>
      <c r="D2007" s="456"/>
      <c r="E2007" s="323" t="n">
        <v>14785</v>
      </c>
      <c r="F2007" s="323" t="s">
        <v>175</v>
      </c>
      <c r="G2007" s="323" t="s">
        <v>10</v>
      </c>
      <c r="H2007" s="98" t="n">
        <v>150</v>
      </c>
      <c r="I2007" s="457" t="n">
        <v>90</v>
      </c>
      <c r="J2007" s="313" t="s">
        <v>1653</v>
      </c>
      <c r="K2007" s="458" t="n">
        <f aca="false">I2007*H2007</f>
        <v>13500</v>
      </c>
      <c r="L2007" s="411" t="n">
        <v>1950</v>
      </c>
      <c r="M2007" s="459" t="n">
        <f aca="false">L2007/K2007</f>
        <v>0.144444444444444</v>
      </c>
      <c r="N2007" s="460" t="n">
        <f aca="false">I2007*M2007</f>
        <v>13</v>
      </c>
      <c r="O2007" s="461" t="n">
        <v>150</v>
      </c>
      <c r="P2007" s="462" t="n">
        <f aca="false">H2007-O2007</f>
        <v>0</v>
      </c>
      <c r="Q2007" s="463" t="n">
        <f aca="false">O2007*I2007</f>
        <v>13500</v>
      </c>
      <c r="R2007" s="48" t="n">
        <f aca="false">K2007-Q2007</f>
        <v>0</v>
      </c>
      <c r="S2007" s="467"/>
      <c r="T2007" s="2" t="s">
        <v>1711</v>
      </c>
      <c r="V2007" s="464"/>
      <c r="W2007" s="464"/>
      <c r="X2007" s="464"/>
      <c r="Y2007" s="464"/>
      <c r="Z2007" s="464"/>
      <c r="AA2007" s="464"/>
      <c r="AB2007" s="464"/>
      <c r="AC2007" s="464"/>
      <c r="AD2007" s="464"/>
      <c r="AE2007" s="464"/>
      <c r="AF2007" s="464"/>
      <c r="AG2007" s="464"/>
      <c r="AH2007" s="465"/>
      <c r="AI2007" s="464"/>
    </row>
    <row r="2008" customFormat="false" ht="15" hidden="false" customHeight="true" outlineLevel="0" collapsed="false">
      <c r="A2008" s="455" t="s">
        <v>1753</v>
      </c>
      <c r="C2008" s="456" t="n">
        <v>45730</v>
      </c>
      <c r="D2008" s="456"/>
      <c r="E2008" s="323" t="n">
        <v>14786</v>
      </c>
      <c r="F2008" s="323" t="s">
        <v>175</v>
      </c>
      <c r="G2008" s="323" t="s">
        <v>5</v>
      </c>
      <c r="H2008" s="98" t="n">
        <v>600</v>
      </c>
      <c r="I2008" s="457" t="n">
        <v>25.71</v>
      </c>
      <c r="J2008" s="313" t="s">
        <v>1651</v>
      </c>
      <c r="K2008" s="458" t="n">
        <f aca="false">I2008*H2008</f>
        <v>15426</v>
      </c>
      <c r="L2008" s="411" t="n">
        <v>6720</v>
      </c>
      <c r="M2008" s="459" t="n">
        <f aca="false">L2008/K2008</f>
        <v>0.43562816024893</v>
      </c>
      <c r="N2008" s="460" t="n">
        <f aca="false">I2008*M2008</f>
        <v>11.2</v>
      </c>
      <c r="O2008" s="461" t="n">
        <v>600</v>
      </c>
      <c r="P2008" s="462" t="n">
        <f aca="false">H2008-O2008</f>
        <v>0</v>
      </c>
      <c r="Q2008" s="463" t="n">
        <f aca="false">O2008*I2008</f>
        <v>15426</v>
      </c>
      <c r="R2008" s="48" t="n">
        <f aca="false">K2008-Q2008</f>
        <v>0</v>
      </c>
      <c r="S2008" s="467"/>
      <c r="T2008" s="2" t="s">
        <v>1711</v>
      </c>
      <c r="V2008" s="464"/>
      <c r="W2008" s="464"/>
      <c r="X2008" s="464"/>
      <c r="Y2008" s="464"/>
      <c r="Z2008" s="464"/>
      <c r="AA2008" s="464"/>
      <c r="AB2008" s="464"/>
      <c r="AC2008" s="464"/>
      <c r="AD2008" s="464"/>
      <c r="AE2008" s="464"/>
      <c r="AF2008" s="464"/>
      <c r="AG2008" s="464"/>
      <c r="AH2008" s="465"/>
      <c r="AI2008" s="464"/>
    </row>
    <row r="2009" customFormat="false" ht="15" hidden="false" customHeight="true" outlineLevel="0" collapsed="false">
      <c r="A2009" s="455" t="s">
        <v>2096</v>
      </c>
      <c r="C2009" s="456" t="n">
        <v>45730</v>
      </c>
      <c r="D2009" s="456"/>
      <c r="E2009" s="323" t="n">
        <v>14787</v>
      </c>
      <c r="F2009" s="323" t="s">
        <v>175</v>
      </c>
      <c r="G2009" s="323" t="s">
        <v>6</v>
      </c>
      <c r="H2009" s="98" t="n">
        <v>360</v>
      </c>
      <c r="I2009" s="457" t="n">
        <v>45</v>
      </c>
      <c r="J2009" s="313" t="s">
        <v>1652</v>
      </c>
      <c r="K2009" s="458" t="n">
        <f aca="false">I2009*H2009</f>
        <v>16200</v>
      </c>
      <c r="L2009" s="411" t="n">
        <v>8100</v>
      </c>
      <c r="M2009" s="459" t="n">
        <f aca="false">L2009/K2009</f>
        <v>0.5</v>
      </c>
      <c r="N2009" s="460" t="n">
        <f aca="false">I2009*M2009</f>
        <v>22.5</v>
      </c>
      <c r="O2009" s="461" t="n">
        <v>360</v>
      </c>
      <c r="P2009" s="462" t="n">
        <f aca="false">H2009-O2009</f>
        <v>0</v>
      </c>
      <c r="Q2009" s="463" t="n">
        <f aca="false">O2009*I2009</f>
        <v>16200</v>
      </c>
      <c r="R2009" s="48" t="n">
        <f aca="false">K2009-Q2009</f>
        <v>0</v>
      </c>
      <c r="S2009" s="467"/>
      <c r="T2009" s="2" t="s">
        <v>1711</v>
      </c>
      <c r="V2009" s="464"/>
      <c r="W2009" s="464"/>
      <c r="X2009" s="464"/>
      <c r="Y2009" s="464"/>
      <c r="Z2009" s="464"/>
      <c r="AA2009" s="464"/>
      <c r="AB2009" s="464"/>
      <c r="AC2009" s="464"/>
      <c r="AD2009" s="464"/>
      <c r="AE2009" s="464"/>
      <c r="AF2009" s="464"/>
      <c r="AG2009" s="464"/>
      <c r="AH2009" s="465"/>
      <c r="AI2009" s="464"/>
    </row>
    <row r="2010" customFormat="false" ht="15" hidden="false" customHeight="true" outlineLevel="0" collapsed="false">
      <c r="A2010" s="455" t="s">
        <v>1755</v>
      </c>
      <c r="C2010" s="456" t="n">
        <v>45730</v>
      </c>
      <c r="D2010" s="456"/>
      <c r="E2010" s="323" t="n">
        <v>14788</v>
      </c>
      <c r="F2010" s="323" t="s">
        <v>175</v>
      </c>
      <c r="G2010" s="323" t="s">
        <v>10</v>
      </c>
      <c r="H2010" s="98" t="n">
        <v>240</v>
      </c>
      <c r="I2010" s="457" t="n">
        <v>38.3</v>
      </c>
      <c r="J2010" s="313" t="s">
        <v>1652</v>
      </c>
      <c r="K2010" s="458" t="n">
        <f aca="false">I2010*H2010</f>
        <v>9192</v>
      </c>
      <c r="L2010" s="411" t="n">
        <v>2208</v>
      </c>
      <c r="M2010" s="459" t="n">
        <f aca="false">L2010/K2010</f>
        <v>0.240208877284595</v>
      </c>
      <c r="N2010" s="460" t="n">
        <f aca="false">I2010*M2010</f>
        <v>9.2</v>
      </c>
      <c r="O2010" s="461" t="n">
        <v>240</v>
      </c>
      <c r="P2010" s="462" t="n">
        <f aca="false">H2010-O2010</f>
        <v>0</v>
      </c>
      <c r="Q2010" s="463" t="n">
        <f aca="false">O2010*I2010</f>
        <v>9192</v>
      </c>
      <c r="R2010" s="48" t="n">
        <f aca="false">K2010-Q2010</f>
        <v>0</v>
      </c>
      <c r="S2010" s="467"/>
      <c r="T2010" s="2" t="s">
        <v>1711</v>
      </c>
      <c r="V2010" s="464"/>
      <c r="W2010" s="464"/>
      <c r="X2010" s="464"/>
      <c r="Y2010" s="464"/>
      <c r="Z2010" s="464"/>
      <c r="AA2010" s="464"/>
      <c r="AB2010" s="464"/>
      <c r="AC2010" s="464"/>
      <c r="AD2010" s="464"/>
      <c r="AE2010" s="464"/>
      <c r="AF2010" s="464"/>
      <c r="AG2010" s="464"/>
      <c r="AH2010" s="465"/>
      <c r="AI2010" s="464"/>
    </row>
    <row r="2011" customFormat="false" ht="15" hidden="false" customHeight="true" outlineLevel="0" collapsed="false">
      <c r="A2011" s="455" t="s">
        <v>2076</v>
      </c>
      <c r="C2011" s="456" t="n">
        <v>45733</v>
      </c>
      <c r="D2011" s="456"/>
      <c r="E2011" s="323" t="n">
        <v>14789</v>
      </c>
      <c r="F2011" s="323" t="s">
        <v>175</v>
      </c>
      <c r="G2011" s="323" t="s">
        <v>6</v>
      </c>
      <c r="H2011" s="98" t="n">
        <v>200</v>
      </c>
      <c r="I2011" s="457" t="n">
        <v>60</v>
      </c>
      <c r="J2011" s="313" t="s">
        <v>1653</v>
      </c>
      <c r="K2011" s="458" t="n">
        <f aca="false">I2011*H2011</f>
        <v>12000</v>
      </c>
      <c r="L2011" s="411" t="n">
        <v>4540</v>
      </c>
      <c r="M2011" s="459" t="n">
        <f aca="false">L2011/K2011</f>
        <v>0.378333333333333</v>
      </c>
      <c r="N2011" s="460" t="n">
        <f aca="false">I2011*M2011</f>
        <v>22.7</v>
      </c>
      <c r="O2011" s="461" t="n">
        <v>200</v>
      </c>
      <c r="P2011" s="462" t="n">
        <f aca="false">H2011-O2011</f>
        <v>0</v>
      </c>
      <c r="Q2011" s="463" t="n">
        <f aca="false">O2011*I2011</f>
        <v>12000</v>
      </c>
      <c r="R2011" s="48" t="n">
        <f aca="false">K2011-Q2011</f>
        <v>0</v>
      </c>
      <c r="S2011" s="467"/>
      <c r="T2011" s="2" t="s">
        <v>1711</v>
      </c>
      <c r="V2011" s="464"/>
      <c r="W2011" s="464"/>
      <c r="X2011" s="464"/>
      <c r="Y2011" s="464"/>
      <c r="Z2011" s="464"/>
      <c r="AA2011" s="464"/>
      <c r="AB2011" s="464"/>
      <c r="AC2011" s="464"/>
      <c r="AD2011" s="464"/>
      <c r="AE2011" s="464"/>
      <c r="AF2011" s="464"/>
      <c r="AG2011" s="464"/>
      <c r="AH2011" s="465"/>
      <c r="AI2011" s="464"/>
    </row>
    <row r="2012" customFormat="false" ht="15" hidden="false" customHeight="true" outlineLevel="0" collapsed="false">
      <c r="A2012" s="455" t="s">
        <v>1947</v>
      </c>
      <c r="C2012" s="456" t="n">
        <v>45733</v>
      </c>
      <c r="D2012" s="456"/>
      <c r="E2012" s="323" t="n">
        <v>14790</v>
      </c>
      <c r="F2012" s="323" t="s">
        <v>175</v>
      </c>
      <c r="G2012" s="323" t="s">
        <v>6</v>
      </c>
      <c r="H2012" s="98" t="n">
        <v>500</v>
      </c>
      <c r="I2012" s="457" t="n">
        <v>60</v>
      </c>
      <c r="J2012" s="313" t="s">
        <v>1653</v>
      </c>
      <c r="K2012" s="458" t="n">
        <f aca="false">I2012*H2012</f>
        <v>30000</v>
      </c>
      <c r="L2012" s="411" t="n">
        <v>9000</v>
      </c>
      <c r="M2012" s="459" t="n">
        <f aca="false">L2012/K2012</f>
        <v>0.3</v>
      </c>
      <c r="N2012" s="460" t="n">
        <f aca="false">I2012*M2012</f>
        <v>18</v>
      </c>
      <c r="O2012" s="461" t="n">
        <v>500</v>
      </c>
      <c r="P2012" s="462" t="n">
        <f aca="false">H2012-O2012</f>
        <v>0</v>
      </c>
      <c r="Q2012" s="463" t="n">
        <f aca="false">O2012*I2012</f>
        <v>30000</v>
      </c>
      <c r="R2012" s="48" t="n">
        <f aca="false">K2012-Q2012</f>
        <v>0</v>
      </c>
      <c r="S2012" s="467"/>
      <c r="T2012" s="2" t="s">
        <v>1711</v>
      </c>
      <c r="V2012" s="464"/>
      <c r="W2012" s="464"/>
      <c r="X2012" s="464"/>
      <c r="Y2012" s="464"/>
      <c r="Z2012" s="464"/>
      <c r="AA2012" s="464"/>
      <c r="AB2012" s="464"/>
      <c r="AC2012" s="464"/>
      <c r="AD2012" s="464"/>
      <c r="AE2012" s="464"/>
      <c r="AF2012" s="464"/>
      <c r="AG2012" s="464"/>
      <c r="AH2012" s="465"/>
      <c r="AI2012" s="464"/>
    </row>
    <row r="2013" customFormat="false" ht="15" hidden="false" customHeight="true" outlineLevel="0" collapsed="false">
      <c r="A2013" s="455" t="s">
        <v>1947</v>
      </c>
      <c r="C2013" s="456" t="n">
        <v>45734</v>
      </c>
      <c r="D2013" s="456"/>
      <c r="E2013" s="323" t="n">
        <v>14791</v>
      </c>
      <c r="F2013" s="323" t="s">
        <v>175</v>
      </c>
      <c r="G2013" s="323" t="s">
        <v>10</v>
      </c>
      <c r="H2013" s="98" t="n">
        <v>1800</v>
      </c>
      <c r="I2013" s="457" t="n">
        <v>25.71</v>
      </c>
      <c r="J2013" s="313" t="s">
        <v>1651</v>
      </c>
      <c r="K2013" s="458" t="n">
        <f aca="false">I2013*H2013</f>
        <v>46278</v>
      </c>
      <c r="L2013" s="411" t="n">
        <v>17100</v>
      </c>
      <c r="M2013" s="459" t="n">
        <f aca="false">L2013/K2013</f>
        <v>0.369506028782575</v>
      </c>
      <c r="N2013" s="460" t="n">
        <f aca="false">I2013*M2013</f>
        <v>9.5</v>
      </c>
      <c r="O2013" s="461" t="n">
        <v>1800</v>
      </c>
      <c r="P2013" s="462" t="n">
        <f aca="false">H2013-O2013</f>
        <v>0</v>
      </c>
      <c r="Q2013" s="463" t="n">
        <f aca="false">O2013*I2013</f>
        <v>46278</v>
      </c>
      <c r="R2013" s="48" t="n">
        <f aca="false">K2013-Q2013</f>
        <v>0</v>
      </c>
      <c r="S2013" s="467"/>
      <c r="T2013" s="2" t="s">
        <v>1711</v>
      </c>
      <c r="V2013" s="464"/>
      <c r="W2013" s="464"/>
      <c r="X2013" s="464"/>
      <c r="Y2013" s="464"/>
      <c r="Z2013" s="464"/>
      <c r="AA2013" s="464"/>
      <c r="AB2013" s="464"/>
      <c r="AC2013" s="464"/>
      <c r="AD2013" s="464"/>
      <c r="AE2013" s="464"/>
      <c r="AF2013" s="464"/>
      <c r="AG2013" s="464"/>
      <c r="AH2013" s="465"/>
      <c r="AI2013" s="464"/>
    </row>
    <row r="2014" customFormat="false" ht="15" hidden="false" customHeight="true" outlineLevel="0" collapsed="false">
      <c r="A2014" s="455" t="s">
        <v>2097</v>
      </c>
      <c r="C2014" s="456" t="n">
        <v>45735</v>
      </c>
      <c r="D2014" s="456"/>
      <c r="E2014" s="57" t="n">
        <v>14792</v>
      </c>
      <c r="F2014" s="323" t="s">
        <v>175</v>
      </c>
      <c r="G2014" s="323" t="s">
        <v>10</v>
      </c>
      <c r="H2014" s="98" t="n">
        <v>1005</v>
      </c>
      <c r="I2014" s="457" t="n">
        <v>38.3</v>
      </c>
      <c r="J2014" s="313" t="s">
        <v>1652</v>
      </c>
      <c r="K2014" s="458" t="n">
        <f aca="false">I2014*H2014</f>
        <v>38491.5</v>
      </c>
      <c r="L2014" s="411" t="n">
        <v>11557.5</v>
      </c>
      <c r="M2014" s="459" t="n">
        <f aca="false">L2014/K2014</f>
        <v>0.300261096605744</v>
      </c>
      <c r="N2014" s="460" t="n">
        <f aca="false">I2014*M2014</f>
        <v>11.5</v>
      </c>
      <c r="O2014" s="461" t="n">
        <v>1005</v>
      </c>
      <c r="P2014" s="462" t="n">
        <f aca="false">H2014-O2014</f>
        <v>0</v>
      </c>
      <c r="Q2014" s="463" t="n">
        <f aca="false">O2014*I2014</f>
        <v>38491.5</v>
      </c>
      <c r="R2014" s="48" t="n">
        <f aca="false">K2014-Q2014</f>
        <v>0</v>
      </c>
      <c r="S2014" s="467"/>
      <c r="T2014" s="2" t="s">
        <v>1711</v>
      </c>
      <c r="V2014" s="464"/>
      <c r="W2014" s="464"/>
      <c r="X2014" s="464"/>
      <c r="Y2014" s="464"/>
      <c r="Z2014" s="464"/>
      <c r="AA2014" s="464"/>
      <c r="AB2014" s="464"/>
      <c r="AC2014" s="464"/>
      <c r="AD2014" s="464"/>
      <c r="AE2014" s="464"/>
      <c r="AF2014" s="464"/>
      <c r="AG2014" s="464"/>
      <c r="AH2014" s="465"/>
      <c r="AI2014" s="464"/>
    </row>
    <row r="2015" customFormat="false" ht="15" hidden="false" customHeight="true" outlineLevel="0" collapsed="false">
      <c r="A2015" s="455" t="s">
        <v>2098</v>
      </c>
      <c r="C2015" s="456" t="n">
        <v>45735</v>
      </c>
      <c r="D2015" s="456"/>
      <c r="E2015" s="57" t="n">
        <v>14793</v>
      </c>
      <c r="F2015" s="323" t="s">
        <v>175</v>
      </c>
      <c r="G2015" s="323" t="s">
        <v>10</v>
      </c>
      <c r="H2015" s="98" t="n">
        <v>1005</v>
      </c>
      <c r="I2015" s="457" t="n">
        <v>38.3</v>
      </c>
      <c r="J2015" s="313" t="s">
        <v>1652</v>
      </c>
      <c r="K2015" s="458" t="n">
        <f aca="false">I2015*H2015</f>
        <v>38491.5</v>
      </c>
      <c r="L2015" s="411" t="n">
        <v>13567.5</v>
      </c>
      <c r="M2015" s="459" t="n">
        <f aca="false">L2015/K2015</f>
        <v>0.352480417754569</v>
      </c>
      <c r="N2015" s="460" t="n">
        <f aca="false">I2015*M2015</f>
        <v>13.5</v>
      </c>
      <c r="O2015" s="461" t="n">
        <v>1005</v>
      </c>
      <c r="P2015" s="462" t="n">
        <f aca="false">H2015-O2015</f>
        <v>0</v>
      </c>
      <c r="Q2015" s="463" t="n">
        <f aca="false">O2015*I2015</f>
        <v>38491.5</v>
      </c>
      <c r="R2015" s="48" t="n">
        <f aca="false">K2015-Q2015</f>
        <v>0</v>
      </c>
      <c r="S2015" s="467"/>
      <c r="T2015" s="2" t="s">
        <v>1711</v>
      </c>
      <c r="V2015" s="464"/>
      <c r="W2015" s="464"/>
      <c r="X2015" s="464"/>
      <c r="Y2015" s="464"/>
      <c r="Z2015" s="464"/>
      <c r="AA2015" s="464"/>
      <c r="AB2015" s="464"/>
      <c r="AC2015" s="464"/>
      <c r="AD2015" s="464"/>
      <c r="AE2015" s="464"/>
      <c r="AF2015" s="464"/>
      <c r="AG2015" s="464"/>
      <c r="AH2015" s="465"/>
      <c r="AI2015" s="464"/>
    </row>
    <row r="2016" customFormat="false" ht="15" hidden="false" customHeight="true" outlineLevel="0" collapsed="false">
      <c r="A2016" s="455" t="s">
        <v>2000</v>
      </c>
      <c r="C2016" s="456" t="n">
        <v>45736</v>
      </c>
      <c r="D2016" s="456"/>
      <c r="E2016" s="57" t="n">
        <v>14794</v>
      </c>
      <c r="F2016" s="323" t="s">
        <v>175</v>
      </c>
      <c r="G2016" s="323" t="s">
        <v>10</v>
      </c>
      <c r="H2016" s="98" t="n">
        <v>1500</v>
      </c>
      <c r="I2016" s="457" t="n">
        <v>25.71</v>
      </c>
      <c r="J2016" s="313" t="s">
        <v>1651</v>
      </c>
      <c r="K2016" s="458" t="n">
        <f aca="false">I2016*H2016</f>
        <v>38565</v>
      </c>
      <c r="L2016" s="411" t="n">
        <v>15375</v>
      </c>
      <c r="M2016" s="459" t="n">
        <f aca="false">L2016/K2016</f>
        <v>0.398677557370673</v>
      </c>
      <c r="N2016" s="460" t="n">
        <f aca="false">I2016*M2016</f>
        <v>10.25</v>
      </c>
      <c r="O2016" s="461" t="n">
        <v>1500</v>
      </c>
      <c r="P2016" s="462" t="n">
        <f aca="false">H2016-O2016</f>
        <v>0</v>
      </c>
      <c r="Q2016" s="463" t="n">
        <f aca="false">O2016*I2016</f>
        <v>38565</v>
      </c>
      <c r="R2016" s="48" t="n">
        <f aca="false">K2016-Q2016</f>
        <v>0</v>
      </c>
      <c r="S2016" s="467"/>
      <c r="T2016" s="2" t="s">
        <v>1711</v>
      </c>
      <c r="V2016" s="464"/>
      <c r="W2016" s="464"/>
      <c r="X2016" s="464"/>
      <c r="Y2016" s="464"/>
      <c r="Z2016" s="464"/>
      <c r="AA2016" s="464"/>
      <c r="AB2016" s="464"/>
      <c r="AC2016" s="464"/>
      <c r="AD2016" s="464"/>
      <c r="AE2016" s="464"/>
      <c r="AF2016" s="464"/>
      <c r="AG2016" s="464"/>
      <c r="AH2016" s="465"/>
      <c r="AI2016" s="464"/>
    </row>
    <row r="2017" customFormat="false" ht="15" hidden="false" customHeight="true" outlineLevel="0" collapsed="false">
      <c r="A2017" s="455" t="s">
        <v>1804</v>
      </c>
      <c r="C2017" s="456" t="n">
        <v>45736</v>
      </c>
      <c r="D2017" s="456"/>
      <c r="E2017" s="57" t="n">
        <v>14795</v>
      </c>
      <c r="F2017" s="323" t="s">
        <v>175</v>
      </c>
      <c r="G2017" s="323" t="s">
        <v>10</v>
      </c>
      <c r="H2017" s="98" t="n">
        <v>300</v>
      </c>
      <c r="I2017" s="457" t="n">
        <v>90</v>
      </c>
      <c r="J2017" s="313" t="s">
        <v>1653</v>
      </c>
      <c r="K2017" s="458" t="n">
        <f aca="false">I2017*H2017</f>
        <v>27000</v>
      </c>
      <c r="L2017" s="411" t="n">
        <v>4050</v>
      </c>
      <c r="M2017" s="459" t="n">
        <f aca="false">L2017/K2017</f>
        <v>0.15</v>
      </c>
      <c r="N2017" s="460" t="n">
        <f aca="false">I2017*M2017</f>
        <v>13.5</v>
      </c>
      <c r="O2017" s="461" t="n">
        <v>300</v>
      </c>
      <c r="P2017" s="462" t="n">
        <f aca="false">H2017-O2017</f>
        <v>0</v>
      </c>
      <c r="Q2017" s="463" t="n">
        <f aca="false">O2017*I2017</f>
        <v>27000</v>
      </c>
      <c r="R2017" s="48" t="n">
        <f aca="false">K2017-Q2017</f>
        <v>0</v>
      </c>
      <c r="S2017" s="467"/>
      <c r="T2017" s="2" t="s">
        <v>1711</v>
      </c>
      <c r="V2017" s="464"/>
      <c r="W2017" s="464"/>
      <c r="X2017" s="464"/>
      <c r="Y2017" s="464"/>
      <c r="Z2017" s="464"/>
      <c r="AA2017" s="464"/>
      <c r="AB2017" s="464"/>
      <c r="AC2017" s="464"/>
      <c r="AD2017" s="464"/>
      <c r="AE2017" s="464"/>
      <c r="AF2017" s="464"/>
      <c r="AG2017" s="464"/>
      <c r="AH2017" s="465"/>
      <c r="AI2017" s="464"/>
    </row>
    <row r="2018" customFormat="false" ht="15" hidden="false" customHeight="true" outlineLevel="0" collapsed="false">
      <c r="A2018" s="455" t="s">
        <v>1753</v>
      </c>
      <c r="C2018" s="456" t="n">
        <v>45736</v>
      </c>
      <c r="D2018" s="456"/>
      <c r="E2018" s="57" t="n">
        <v>14796</v>
      </c>
      <c r="F2018" s="323" t="s">
        <v>175</v>
      </c>
      <c r="G2018" s="323" t="s">
        <v>6</v>
      </c>
      <c r="H2018" s="98" t="n">
        <v>500</v>
      </c>
      <c r="I2018" s="457" t="n">
        <v>60</v>
      </c>
      <c r="J2018" s="313" t="s">
        <v>1653</v>
      </c>
      <c r="K2018" s="458" t="n">
        <f aca="false">I2018*H2018</f>
        <v>30000</v>
      </c>
      <c r="L2018" s="411" t="n">
        <v>9335</v>
      </c>
      <c r="M2018" s="459" t="n">
        <f aca="false">L2018/K2018</f>
        <v>0.311166666666667</v>
      </c>
      <c r="N2018" s="460" t="n">
        <f aca="false">I2018*M2018</f>
        <v>18.67</v>
      </c>
      <c r="O2018" s="461" t="n">
        <v>500</v>
      </c>
      <c r="P2018" s="462" t="n">
        <f aca="false">H2018-O2018</f>
        <v>0</v>
      </c>
      <c r="Q2018" s="463" t="n">
        <f aca="false">O2018*I2018</f>
        <v>30000</v>
      </c>
      <c r="R2018" s="48" t="n">
        <f aca="false">K2018-Q2018</f>
        <v>0</v>
      </c>
      <c r="S2018" s="467"/>
      <c r="T2018" s="2" t="s">
        <v>1711</v>
      </c>
      <c r="V2018" s="464"/>
      <c r="W2018" s="464"/>
      <c r="X2018" s="464"/>
      <c r="Y2018" s="464"/>
      <c r="Z2018" s="464"/>
      <c r="AA2018" s="464"/>
      <c r="AB2018" s="464"/>
      <c r="AC2018" s="464"/>
      <c r="AD2018" s="464"/>
      <c r="AE2018" s="464"/>
      <c r="AF2018" s="464"/>
      <c r="AG2018" s="464"/>
      <c r="AH2018" s="465"/>
      <c r="AI2018" s="464"/>
    </row>
    <row r="2019" customFormat="false" ht="15" hidden="false" customHeight="true" outlineLevel="0" collapsed="false">
      <c r="A2019" s="455" t="s">
        <v>1753</v>
      </c>
      <c r="C2019" s="456" t="n">
        <v>45736</v>
      </c>
      <c r="D2019" s="456"/>
      <c r="E2019" s="57" t="n">
        <v>14796</v>
      </c>
      <c r="F2019" s="323" t="s">
        <v>175</v>
      </c>
      <c r="G2019" s="323" t="s">
        <v>17</v>
      </c>
      <c r="H2019" s="98" t="n">
        <v>1005</v>
      </c>
      <c r="I2019" s="457" t="n">
        <v>22.5</v>
      </c>
      <c r="J2019" s="313" t="s">
        <v>1651</v>
      </c>
      <c r="K2019" s="458" t="n">
        <f aca="false">I2019*H2019</f>
        <v>22612.5</v>
      </c>
      <c r="L2019" s="411" t="n">
        <v>13065</v>
      </c>
      <c r="M2019" s="459" t="n">
        <f aca="false">L2019/K2019</f>
        <v>0.577777777777778</v>
      </c>
      <c r="N2019" s="460" t="n">
        <f aca="false">I2019*M2019</f>
        <v>13</v>
      </c>
      <c r="O2019" s="461" t="n">
        <v>1005</v>
      </c>
      <c r="P2019" s="462" t="n">
        <f aca="false">H2019-O2019</f>
        <v>0</v>
      </c>
      <c r="Q2019" s="463" t="n">
        <f aca="false">O2019*I2019</f>
        <v>22612.5</v>
      </c>
      <c r="R2019" s="48" t="n">
        <f aca="false">K2019-Q2019</f>
        <v>0</v>
      </c>
      <c r="S2019" s="467"/>
      <c r="T2019" s="2" t="s">
        <v>1711</v>
      </c>
      <c r="V2019" s="464"/>
      <c r="W2019" s="464"/>
      <c r="X2019" s="464"/>
      <c r="Y2019" s="464"/>
      <c r="Z2019" s="464"/>
      <c r="AA2019" s="464"/>
      <c r="AB2019" s="464"/>
      <c r="AC2019" s="464"/>
      <c r="AD2019" s="464"/>
      <c r="AE2019" s="464"/>
      <c r="AF2019" s="464"/>
      <c r="AG2019" s="464"/>
      <c r="AH2019" s="465"/>
      <c r="AI2019" s="464"/>
    </row>
    <row r="2020" customFormat="false" ht="15" hidden="false" customHeight="true" outlineLevel="0" collapsed="false">
      <c r="A2020" s="455" t="s">
        <v>1985</v>
      </c>
      <c r="C2020" s="456" t="n">
        <v>45736</v>
      </c>
      <c r="D2020" s="456"/>
      <c r="E2020" s="57" t="n">
        <v>14797</v>
      </c>
      <c r="F2020" s="323" t="s">
        <v>175</v>
      </c>
      <c r="G2020" s="323" t="s">
        <v>10</v>
      </c>
      <c r="H2020" s="98" t="n">
        <v>2505</v>
      </c>
      <c r="I2020" s="457" t="n">
        <v>38.3</v>
      </c>
      <c r="J2020" s="313" t="s">
        <v>1652</v>
      </c>
      <c r="K2020" s="458" t="n">
        <f aca="false">I2020*H2020</f>
        <v>95941.5</v>
      </c>
      <c r="L2020" s="411" t="n">
        <v>1920.5</v>
      </c>
      <c r="M2020" s="459" t="n">
        <f aca="false">L2020/K2020</f>
        <v>0.0200174064403829</v>
      </c>
      <c r="N2020" s="460" t="n">
        <f aca="false">I2020*M2020</f>
        <v>0.766666666666667</v>
      </c>
      <c r="O2020" s="461" t="n">
        <v>2505</v>
      </c>
      <c r="P2020" s="462" t="n">
        <f aca="false">H2020-O2020</f>
        <v>0</v>
      </c>
      <c r="Q2020" s="463" t="n">
        <f aca="false">O2020*I2020</f>
        <v>95941.5</v>
      </c>
      <c r="R2020" s="48" t="n">
        <f aca="false">K2020-Q2020</f>
        <v>0</v>
      </c>
      <c r="S2020" s="467"/>
      <c r="T2020" s="2" t="s">
        <v>1711</v>
      </c>
      <c r="V2020" s="464"/>
      <c r="W2020" s="464"/>
      <c r="X2020" s="464"/>
      <c r="Y2020" s="464"/>
      <c r="Z2020" s="464"/>
      <c r="AA2020" s="464"/>
      <c r="AB2020" s="464"/>
      <c r="AC2020" s="464"/>
      <c r="AD2020" s="464"/>
      <c r="AE2020" s="464"/>
      <c r="AF2020" s="464"/>
      <c r="AG2020" s="464"/>
      <c r="AH2020" s="465"/>
      <c r="AI2020" s="464"/>
    </row>
    <row r="2021" customFormat="false" ht="15" hidden="false" customHeight="true" outlineLevel="0" collapsed="false">
      <c r="A2021" s="455" t="s">
        <v>2099</v>
      </c>
      <c r="C2021" s="456" t="n">
        <v>45737</v>
      </c>
      <c r="D2021" s="456"/>
      <c r="E2021" s="57" t="n">
        <v>14799</v>
      </c>
      <c r="F2021" s="323" t="s">
        <v>175</v>
      </c>
      <c r="G2021" s="323" t="s">
        <v>6</v>
      </c>
      <c r="H2021" s="98" t="n">
        <v>5080</v>
      </c>
      <c r="I2021" s="457" t="n">
        <v>45</v>
      </c>
      <c r="J2021" s="313" t="s">
        <v>1652</v>
      </c>
      <c r="K2021" s="458" t="n">
        <f aca="false">I2021*H2021</f>
        <v>228600</v>
      </c>
      <c r="L2021" s="411" t="n">
        <v>127000</v>
      </c>
      <c r="M2021" s="459" t="n">
        <f aca="false">L2021/K2021</f>
        <v>0.555555555555556</v>
      </c>
      <c r="N2021" s="460" t="n">
        <f aca="false">I2021*M2021</f>
        <v>25</v>
      </c>
      <c r="O2021" s="461" t="n">
        <v>5080</v>
      </c>
      <c r="P2021" s="462" t="n">
        <f aca="false">H2021-O2021</f>
        <v>0</v>
      </c>
      <c r="Q2021" s="463" t="n">
        <f aca="false">O2021*I2021</f>
        <v>228600</v>
      </c>
      <c r="R2021" s="48" t="n">
        <f aca="false">K2021-Q2021</f>
        <v>0</v>
      </c>
      <c r="S2021" s="467"/>
      <c r="T2021" s="2" t="s">
        <v>1711</v>
      </c>
      <c r="V2021" s="464"/>
      <c r="W2021" s="464"/>
      <c r="X2021" s="464"/>
      <c r="Y2021" s="464"/>
      <c r="Z2021" s="464"/>
      <c r="AA2021" s="464"/>
      <c r="AB2021" s="464"/>
      <c r="AC2021" s="464"/>
      <c r="AD2021" s="464"/>
      <c r="AE2021" s="464"/>
      <c r="AF2021" s="464"/>
      <c r="AG2021" s="464"/>
      <c r="AH2021" s="465"/>
      <c r="AI2021" s="464"/>
    </row>
    <row r="2022" customFormat="false" ht="15" hidden="false" customHeight="true" outlineLevel="0" collapsed="false">
      <c r="A2022" s="455" t="s">
        <v>2100</v>
      </c>
      <c r="C2022" s="456" t="n">
        <v>45737</v>
      </c>
      <c r="D2022" s="456"/>
      <c r="E2022" s="57" t="n">
        <v>14800</v>
      </c>
      <c r="F2022" s="323" t="s">
        <v>175</v>
      </c>
      <c r="G2022" s="323" t="s">
        <v>10</v>
      </c>
      <c r="H2022" s="98" t="n">
        <v>1410</v>
      </c>
      <c r="I2022" s="457" t="n">
        <v>38.3</v>
      </c>
      <c r="J2022" s="313" t="s">
        <v>1652</v>
      </c>
      <c r="K2022" s="458" t="n">
        <f aca="false">I2022*H2022</f>
        <v>54003</v>
      </c>
      <c r="L2022" s="411" t="n">
        <v>14100</v>
      </c>
      <c r="M2022" s="459" t="n">
        <f aca="false">L2022/K2022</f>
        <v>0.261096605744125</v>
      </c>
      <c r="N2022" s="460" t="n">
        <f aca="false">I2022*M2022</f>
        <v>10</v>
      </c>
      <c r="O2022" s="461" t="n">
        <v>1410</v>
      </c>
      <c r="P2022" s="462" t="n">
        <f aca="false">H2022-O2022</f>
        <v>0</v>
      </c>
      <c r="Q2022" s="463" t="n">
        <f aca="false">O2022*I2022</f>
        <v>54003</v>
      </c>
      <c r="R2022" s="48" t="n">
        <f aca="false">K2022-Q2022</f>
        <v>0</v>
      </c>
      <c r="S2022" s="467"/>
      <c r="T2022" s="2" t="s">
        <v>1711</v>
      </c>
      <c r="V2022" s="464"/>
      <c r="W2022" s="464"/>
      <c r="X2022" s="464"/>
      <c r="Y2022" s="464"/>
      <c r="Z2022" s="464"/>
      <c r="AA2022" s="464"/>
      <c r="AB2022" s="464"/>
      <c r="AC2022" s="464"/>
      <c r="AD2022" s="464"/>
      <c r="AE2022" s="464"/>
      <c r="AF2022" s="464"/>
      <c r="AG2022" s="464"/>
      <c r="AH2022" s="465"/>
      <c r="AI2022" s="464"/>
    </row>
    <row r="2023" customFormat="false" ht="15" hidden="false" customHeight="true" outlineLevel="0" collapsed="false">
      <c r="A2023" s="455" t="s">
        <v>2100</v>
      </c>
      <c r="C2023" s="456" t="n">
        <v>45737</v>
      </c>
      <c r="D2023" s="456"/>
      <c r="E2023" s="57" t="n">
        <v>14800</v>
      </c>
      <c r="F2023" s="323" t="s">
        <v>175</v>
      </c>
      <c r="G2023" s="323" t="s">
        <v>21</v>
      </c>
      <c r="H2023" s="98" t="n">
        <v>1410</v>
      </c>
      <c r="I2023" s="457" t="n">
        <v>1</v>
      </c>
      <c r="J2023" s="313" t="s">
        <v>1653</v>
      </c>
      <c r="K2023" s="458" t="n">
        <f aca="false">I2023*H2023</f>
        <v>1410</v>
      </c>
      <c r="L2023" s="411" t="n">
        <v>5499</v>
      </c>
      <c r="M2023" s="459" t="n">
        <f aca="false">L2023/K2023</f>
        <v>3.9</v>
      </c>
      <c r="N2023" s="460" t="n">
        <f aca="false">I2023*M2023</f>
        <v>3.9</v>
      </c>
      <c r="O2023" s="461" t="n">
        <v>1410</v>
      </c>
      <c r="P2023" s="462" t="n">
        <f aca="false">H2023-O2023</f>
        <v>0</v>
      </c>
      <c r="Q2023" s="463" t="n">
        <f aca="false">O2023*I2023</f>
        <v>1410</v>
      </c>
      <c r="R2023" s="48" t="n">
        <f aca="false">K2023-Q2023</f>
        <v>0</v>
      </c>
      <c r="S2023" s="467"/>
      <c r="T2023" s="2" t="s">
        <v>1711</v>
      </c>
      <c r="V2023" s="464"/>
      <c r="W2023" s="464"/>
      <c r="X2023" s="464"/>
      <c r="Y2023" s="464"/>
      <c r="Z2023" s="464"/>
      <c r="AA2023" s="464"/>
      <c r="AB2023" s="464"/>
      <c r="AC2023" s="464"/>
      <c r="AD2023" s="464"/>
      <c r="AE2023" s="464"/>
      <c r="AF2023" s="464"/>
      <c r="AG2023" s="464"/>
      <c r="AH2023" s="465"/>
      <c r="AI2023" s="464"/>
    </row>
    <row r="2024" customFormat="false" ht="15" hidden="false" customHeight="true" outlineLevel="0" collapsed="false">
      <c r="A2024" s="455" t="s">
        <v>1824</v>
      </c>
      <c r="C2024" s="456" t="n">
        <v>45737</v>
      </c>
      <c r="D2024" s="456"/>
      <c r="E2024" s="57" t="n">
        <v>14801</v>
      </c>
      <c r="F2024" s="323" t="s">
        <v>175</v>
      </c>
      <c r="G2024" s="323" t="s">
        <v>10</v>
      </c>
      <c r="H2024" s="98" t="n">
        <v>2400</v>
      </c>
      <c r="I2024" s="457" t="n">
        <v>38.3</v>
      </c>
      <c r="J2024" s="313" t="s">
        <v>1652</v>
      </c>
      <c r="K2024" s="458" t="n">
        <f aca="false">I2024*H2024</f>
        <v>91920</v>
      </c>
      <c r="L2024" s="411" t="n">
        <v>21600</v>
      </c>
      <c r="M2024" s="459" t="n">
        <f aca="false">L2024/K2024</f>
        <v>0.234986945169713</v>
      </c>
      <c r="N2024" s="460" t="n">
        <f aca="false">I2024*M2024</f>
        <v>9</v>
      </c>
      <c r="O2024" s="461" t="n">
        <v>2400</v>
      </c>
      <c r="P2024" s="462" t="n">
        <f aca="false">H2024-O2024</f>
        <v>0</v>
      </c>
      <c r="Q2024" s="463" t="n">
        <f aca="false">O2024*I2024</f>
        <v>91920</v>
      </c>
      <c r="R2024" s="48" t="n">
        <f aca="false">K2024-Q2024</f>
        <v>0</v>
      </c>
      <c r="S2024" s="467"/>
      <c r="T2024" s="2" t="s">
        <v>1711</v>
      </c>
      <c r="V2024" s="464"/>
      <c r="W2024" s="464"/>
      <c r="X2024" s="464"/>
      <c r="Y2024" s="464"/>
      <c r="Z2024" s="464"/>
      <c r="AA2024" s="464"/>
      <c r="AB2024" s="464"/>
      <c r="AC2024" s="464"/>
      <c r="AD2024" s="464"/>
      <c r="AE2024" s="464"/>
      <c r="AF2024" s="464"/>
      <c r="AG2024" s="464"/>
      <c r="AH2024" s="465"/>
      <c r="AI2024" s="464"/>
    </row>
    <row r="2025" customFormat="false" ht="15" hidden="false" customHeight="true" outlineLevel="0" collapsed="false">
      <c r="A2025" s="455" t="s">
        <v>1997</v>
      </c>
      <c r="C2025" s="456" t="n">
        <v>45737</v>
      </c>
      <c r="D2025" s="456"/>
      <c r="E2025" s="57" t="n">
        <v>14802</v>
      </c>
      <c r="F2025" s="323" t="s">
        <v>175</v>
      </c>
      <c r="G2025" s="323" t="s">
        <v>19</v>
      </c>
      <c r="H2025" s="98" t="n">
        <v>45</v>
      </c>
      <c r="I2025" s="457" t="n">
        <v>37.5</v>
      </c>
      <c r="J2025" s="313" t="s">
        <v>1652</v>
      </c>
      <c r="K2025" s="458" t="n">
        <f aca="false">I2025*H2025</f>
        <v>1687.5</v>
      </c>
      <c r="L2025" s="411" t="n">
        <v>1125</v>
      </c>
      <c r="M2025" s="459" t="n">
        <f aca="false">L2025/K2025</f>
        <v>0.666666666666667</v>
      </c>
      <c r="N2025" s="460" t="n">
        <f aca="false">I2025*M2025</f>
        <v>25</v>
      </c>
      <c r="O2025" s="461" t="n">
        <v>45</v>
      </c>
      <c r="P2025" s="462" t="n">
        <f aca="false">H2025-O2025</f>
        <v>0</v>
      </c>
      <c r="Q2025" s="463" t="n">
        <f aca="false">O2025*I2025</f>
        <v>1687.5</v>
      </c>
      <c r="R2025" s="48" t="n">
        <f aca="false">K2025-Q2025</f>
        <v>0</v>
      </c>
      <c r="S2025" s="467"/>
      <c r="T2025" s="2" t="s">
        <v>1711</v>
      </c>
      <c r="V2025" s="464"/>
      <c r="W2025" s="464"/>
      <c r="X2025" s="464"/>
      <c r="Y2025" s="464"/>
      <c r="Z2025" s="464"/>
      <c r="AA2025" s="464"/>
      <c r="AB2025" s="464"/>
      <c r="AC2025" s="464"/>
      <c r="AD2025" s="464"/>
      <c r="AE2025" s="464"/>
      <c r="AF2025" s="464"/>
      <c r="AG2025" s="464"/>
      <c r="AH2025" s="465"/>
      <c r="AI2025" s="464"/>
    </row>
    <row r="2026" customFormat="false" ht="15" hidden="false" customHeight="true" outlineLevel="0" collapsed="false">
      <c r="A2026" s="455" t="s">
        <v>1956</v>
      </c>
      <c r="C2026" s="456" t="n">
        <v>45737</v>
      </c>
      <c r="D2026" s="456"/>
      <c r="E2026" s="57" t="n">
        <v>14803</v>
      </c>
      <c r="F2026" s="323" t="s">
        <v>175</v>
      </c>
      <c r="G2026" s="323" t="s">
        <v>10</v>
      </c>
      <c r="H2026" s="98" t="n">
        <v>5145</v>
      </c>
      <c r="I2026" s="457" t="n">
        <v>38.3</v>
      </c>
      <c r="J2026" s="313" t="s">
        <v>1652</v>
      </c>
      <c r="K2026" s="458" t="n">
        <f aca="false">I2026*H2026</f>
        <v>197053.5</v>
      </c>
      <c r="L2026" s="411" t="n">
        <v>54845.7</v>
      </c>
      <c r="M2026" s="459" t="n">
        <f aca="false">L2026/K2026</f>
        <v>0.278328981723238</v>
      </c>
      <c r="N2026" s="460" t="n">
        <f aca="false">I2026*M2026</f>
        <v>10.66</v>
      </c>
      <c r="O2026" s="461" t="n">
        <v>5145</v>
      </c>
      <c r="P2026" s="462" t="n">
        <f aca="false">H2026-O2026</f>
        <v>0</v>
      </c>
      <c r="Q2026" s="463" t="n">
        <f aca="false">O2026*I2026</f>
        <v>197053.5</v>
      </c>
      <c r="R2026" s="48" t="n">
        <f aca="false">K2026-Q2026</f>
        <v>0</v>
      </c>
      <c r="S2026" s="467"/>
      <c r="T2026" s="2" t="s">
        <v>1711</v>
      </c>
      <c r="V2026" s="464"/>
      <c r="W2026" s="464"/>
      <c r="X2026" s="464"/>
      <c r="Y2026" s="464"/>
      <c r="Z2026" s="464"/>
      <c r="AA2026" s="464"/>
      <c r="AB2026" s="464"/>
      <c r="AC2026" s="464"/>
      <c r="AD2026" s="464"/>
      <c r="AE2026" s="464"/>
      <c r="AF2026" s="464"/>
      <c r="AG2026" s="464"/>
      <c r="AH2026" s="465"/>
      <c r="AI2026" s="464"/>
    </row>
    <row r="2027" customFormat="false" ht="15" hidden="false" customHeight="true" outlineLevel="0" collapsed="false">
      <c r="A2027" s="455" t="s">
        <v>1759</v>
      </c>
      <c r="C2027" s="456" t="n">
        <v>45737</v>
      </c>
      <c r="D2027" s="456"/>
      <c r="E2027" s="57" t="n">
        <v>14804</v>
      </c>
      <c r="F2027" s="323" t="s">
        <v>175</v>
      </c>
      <c r="G2027" s="323" t="s">
        <v>10</v>
      </c>
      <c r="H2027" s="98" t="n">
        <v>300000</v>
      </c>
      <c r="I2027" s="457" t="n">
        <v>90</v>
      </c>
      <c r="J2027" s="313" t="s">
        <v>1653</v>
      </c>
      <c r="K2027" s="458" t="n">
        <f aca="false">I2027*H2027</f>
        <v>27000000</v>
      </c>
      <c r="L2027" s="411" t="n">
        <v>3687000</v>
      </c>
      <c r="M2027" s="459" t="n">
        <f aca="false">L2027/K2027</f>
        <v>0.136555555555556</v>
      </c>
      <c r="N2027" s="460" t="n">
        <f aca="false">I2027*M2027</f>
        <v>12.29</v>
      </c>
      <c r="O2027" s="461"/>
      <c r="P2027" s="468" t="n">
        <f aca="false">H2027-O2027</f>
        <v>300000</v>
      </c>
      <c r="Q2027" s="463" t="n">
        <f aca="false">O2027*I2027</f>
        <v>0</v>
      </c>
      <c r="R2027" s="48" t="n">
        <f aca="false">K2027-Q2027</f>
        <v>27000000</v>
      </c>
      <c r="S2027" s="467" t="n">
        <v>45737</v>
      </c>
      <c r="T2027" s="2" t="s">
        <v>1711</v>
      </c>
      <c r="V2027" s="464"/>
      <c r="W2027" s="464"/>
      <c r="X2027" s="464"/>
      <c r="Y2027" s="464"/>
      <c r="Z2027" s="464"/>
      <c r="AA2027" s="464"/>
      <c r="AB2027" s="464"/>
      <c r="AC2027" s="464"/>
      <c r="AD2027" s="464"/>
      <c r="AE2027" s="464"/>
      <c r="AF2027" s="464"/>
      <c r="AG2027" s="464"/>
      <c r="AH2027" s="465"/>
      <c r="AI2027" s="464"/>
    </row>
    <row r="2028" customFormat="false" ht="15" hidden="false" customHeight="true" outlineLevel="0" collapsed="false">
      <c r="A2028" s="455" t="s">
        <v>2068</v>
      </c>
      <c r="C2028" s="456" t="n">
        <v>45741</v>
      </c>
      <c r="D2028" s="456"/>
      <c r="E2028" s="57" t="n">
        <v>14806</v>
      </c>
      <c r="F2028" s="323" t="s">
        <v>175</v>
      </c>
      <c r="G2028" s="323" t="s">
        <v>10</v>
      </c>
      <c r="H2028" s="98" t="n">
        <v>6000</v>
      </c>
      <c r="I2028" s="457" t="n">
        <v>90</v>
      </c>
      <c r="J2028" s="313" t="s">
        <v>1653</v>
      </c>
      <c r="K2028" s="458" t="n">
        <f aca="false">I2028*H2028</f>
        <v>540000</v>
      </c>
      <c r="L2028" s="411" t="n">
        <v>78000</v>
      </c>
      <c r="M2028" s="459" t="n">
        <f aca="false">L2028/K2028</f>
        <v>0.144444444444444</v>
      </c>
      <c r="N2028" s="460" t="n">
        <f aca="false">I2028*M2028</f>
        <v>13</v>
      </c>
      <c r="O2028" s="461" t="n">
        <v>6000</v>
      </c>
      <c r="P2028" s="462" t="n">
        <f aca="false">H2028-O2028</f>
        <v>0</v>
      </c>
      <c r="Q2028" s="463" t="n">
        <f aca="false">O2028*I2028</f>
        <v>540000</v>
      </c>
      <c r="R2028" s="48" t="n">
        <f aca="false">K2028-Q2028</f>
        <v>0</v>
      </c>
      <c r="S2028" s="467"/>
      <c r="T2028" s="2" t="s">
        <v>1711</v>
      </c>
      <c r="V2028" s="464"/>
      <c r="W2028" s="464"/>
      <c r="X2028" s="464"/>
      <c r="Y2028" s="464"/>
      <c r="Z2028" s="464"/>
      <c r="AA2028" s="464"/>
      <c r="AB2028" s="464"/>
      <c r="AC2028" s="464"/>
      <c r="AD2028" s="464"/>
      <c r="AE2028" s="464"/>
      <c r="AF2028" s="464"/>
      <c r="AG2028" s="464"/>
      <c r="AH2028" s="465"/>
      <c r="AI2028" s="464"/>
    </row>
    <row r="2029" customFormat="false" ht="15" hidden="false" customHeight="true" outlineLevel="0" collapsed="false">
      <c r="A2029" s="455" t="s">
        <v>1997</v>
      </c>
      <c r="C2029" s="456" t="n">
        <v>45742</v>
      </c>
      <c r="D2029" s="456"/>
      <c r="E2029" s="57" t="n">
        <v>14808</v>
      </c>
      <c r="F2029" s="323" t="s">
        <v>175</v>
      </c>
      <c r="G2029" s="323" t="s">
        <v>19</v>
      </c>
      <c r="H2029" s="98" t="n">
        <v>45</v>
      </c>
      <c r="I2029" s="457" t="n">
        <v>37.5</v>
      </c>
      <c r="J2029" s="313" t="s">
        <v>1652</v>
      </c>
      <c r="K2029" s="458" t="n">
        <f aca="false">I2029*H2029</f>
        <v>1687.5</v>
      </c>
      <c r="L2029" s="411" t="n">
        <v>1125</v>
      </c>
      <c r="M2029" s="459" t="n">
        <f aca="false">L2029/K2029</f>
        <v>0.666666666666667</v>
      </c>
      <c r="N2029" s="460" t="n">
        <f aca="false">I2029*M2029</f>
        <v>25</v>
      </c>
      <c r="O2029" s="461" t="n">
        <v>45</v>
      </c>
      <c r="P2029" s="462" t="n">
        <f aca="false">H2029-O2029</f>
        <v>0</v>
      </c>
      <c r="Q2029" s="463" t="n">
        <f aca="false">O2029*I2029</f>
        <v>1687.5</v>
      </c>
      <c r="R2029" s="48" t="n">
        <f aca="false">K2029-Q2029</f>
        <v>0</v>
      </c>
      <c r="S2029" s="467"/>
      <c r="T2029" s="2" t="s">
        <v>1711</v>
      </c>
      <c r="V2029" s="464"/>
      <c r="W2029" s="464"/>
      <c r="X2029" s="464"/>
      <c r="Y2029" s="464"/>
      <c r="Z2029" s="464"/>
      <c r="AA2029" s="464"/>
      <c r="AB2029" s="464"/>
      <c r="AC2029" s="464"/>
      <c r="AD2029" s="464"/>
      <c r="AE2029" s="464"/>
      <c r="AF2029" s="464"/>
      <c r="AG2029" s="464"/>
      <c r="AH2029" s="465"/>
      <c r="AI2029" s="464"/>
    </row>
    <row r="2030" customFormat="false" ht="15" hidden="false" customHeight="true" outlineLevel="0" collapsed="false">
      <c r="A2030" s="455" t="s">
        <v>2101</v>
      </c>
      <c r="C2030" s="456" t="n">
        <v>45742</v>
      </c>
      <c r="D2030" s="456"/>
      <c r="E2030" s="57" t="n">
        <v>14809</v>
      </c>
      <c r="F2030" s="323" t="s">
        <v>175</v>
      </c>
      <c r="G2030" s="323" t="s">
        <v>10</v>
      </c>
      <c r="H2030" s="98" t="n">
        <v>405</v>
      </c>
      <c r="I2030" s="457" t="n">
        <v>38.3</v>
      </c>
      <c r="J2030" s="313" t="s">
        <v>1652</v>
      </c>
      <c r="K2030" s="458" t="n">
        <f aca="false">I2030*H2030</f>
        <v>15511.5</v>
      </c>
      <c r="L2030" s="411" t="n">
        <v>4455</v>
      </c>
      <c r="M2030" s="459" t="n">
        <f aca="false">L2030/K2030</f>
        <v>0.287206266318538</v>
      </c>
      <c r="N2030" s="460" t="n">
        <f aca="false">I2030*M2030</f>
        <v>11</v>
      </c>
      <c r="O2030" s="461" t="n">
        <v>405</v>
      </c>
      <c r="P2030" s="462" t="n">
        <f aca="false">H2030-O2030</f>
        <v>0</v>
      </c>
      <c r="Q2030" s="463" t="n">
        <f aca="false">O2030*I2030</f>
        <v>15511.5</v>
      </c>
      <c r="R2030" s="48" t="n">
        <f aca="false">K2030-Q2030</f>
        <v>0</v>
      </c>
      <c r="S2030" s="108"/>
      <c r="T2030" s="2" t="s">
        <v>1711</v>
      </c>
      <c r="V2030" s="464"/>
      <c r="W2030" s="464"/>
      <c r="X2030" s="464"/>
      <c r="Y2030" s="464"/>
      <c r="Z2030" s="464"/>
      <c r="AA2030" s="464"/>
      <c r="AB2030" s="464"/>
      <c r="AC2030" s="464"/>
      <c r="AD2030" s="464"/>
      <c r="AE2030" s="464"/>
      <c r="AF2030" s="464"/>
      <c r="AG2030" s="464"/>
      <c r="AH2030" s="465"/>
      <c r="AI2030" s="464"/>
    </row>
    <row r="2031" customFormat="false" ht="15" hidden="false" customHeight="true" outlineLevel="0" collapsed="false">
      <c r="A2031" s="455" t="s">
        <v>2102</v>
      </c>
      <c r="C2031" s="456" t="n">
        <v>45743</v>
      </c>
      <c r="D2031" s="456"/>
      <c r="E2031" s="57" t="n">
        <v>14810</v>
      </c>
      <c r="F2031" s="323" t="s">
        <v>175</v>
      </c>
      <c r="G2031" s="323" t="s">
        <v>6</v>
      </c>
      <c r="H2031" s="98" t="n">
        <v>1410</v>
      </c>
      <c r="I2031" s="457" t="n">
        <v>45</v>
      </c>
      <c r="J2031" s="313" t="s">
        <v>1652</v>
      </c>
      <c r="K2031" s="458" t="n">
        <f aca="false">I2031*H2031</f>
        <v>63450</v>
      </c>
      <c r="L2031" s="411" t="n">
        <v>18506.58</v>
      </c>
      <c r="M2031" s="459" t="n">
        <f aca="false">L2031/K2031</f>
        <v>0.291671867612293</v>
      </c>
      <c r="N2031" s="460" t="n">
        <f aca="false">I2031*M2031</f>
        <v>13.1252340425532</v>
      </c>
      <c r="O2031" s="461"/>
      <c r="P2031" s="468" t="n">
        <f aca="false">H2031-O2031</f>
        <v>1410</v>
      </c>
      <c r="Q2031" s="463" t="n">
        <f aca="false">O2031*I2031</f>
        <v>0</v>
      </c>
      <c r="R2031" s="48" t="n">
        <f aca="false">K2031-Q2031</f>
        <v>63450</v>
      </c>
      <c r="S2031" s="467" t="n">
        <v>45743</v>
      </c>
      <c r="T2031" s="2" t="s">
        <v>1711</v>
      </c>
      <c r="V2031" s="464"/>
      <c r="W2031" s="464"/>
      <c r="X2031" s="464"/>
      <c r="Y2031" s="464"/>
      <c r="Z2031" s="464"/>
      <c r="AA2031" s="464"/>
      <c r="AB2031" s="464"/>
      <c r="AC2031" s="464"/>
      <c r="AD2031" s="464"/>
      <c r="AE2031" s="464"/>
      <c r="AF2031" s="464"/>
      <c r="AG2031" s="464"/>
      <c r="AH2031" s="465"/>
      <c r="AI2031" s="464"/>
    </row>
    <row r="2032" customFormat="false" ht="15" hidden="false" customHeight="true" outlineLevel="0" collapsed="false">
      <c r="A2032" s="455" t="s">
        <v>2103</v>
      </c>
      <c r="C2032" s="456" t="n">
        <v>45743</v>
      </c>
      <c r="D2032" s="456"/>
      <c r="E2032" s="57" t="n">
        <v>14811</v>
      </c>
      <c r="F2032" s="323" t="s">
        <v>175</v>
      </c>
      <c r="G2032" s="323" t="s">
        <v>21</v>
      </c>
      <c r="H2032" s="98" t="n">
        <v>300</v>
      </c>
      <c r="I2032" s="457" t="n">
        <v>1</v>
      </c>
      <c r="J2032" s="313" t="s">
        <v>1653</v>
      </c>
      <c r="K2032" s="458" t="n">
        <f aca="false">I2032*H2032</f>
        <v>300</v>
      </c>
      <c r="L2032" s="411" t="n">
        <v>1485</v>
      </c>
      <c r="M2032" s="459" t="n">
        <f aca="false">L2032/K2032</f>
        <v>4.95</v>
      </c>
      <c r="N2032" s="460" t="n">
        <f aca="false">I2032*M2032</f>
        <v>4.95</v>
      </c>
      <c r="O2032" s="461"/>
      <c r="P2032" s="468" t="n">
        <f aca="false">H2032-O2032</f>
        <v>300</v>
      </c>
      <c r="Q2032" s="463" t="n">
        <f aca="false">O2032*I2032</f>
        <v>0</v>
      </c>
      <c r="R2032" s="48" t="n">
        <f aca="false">K2032-Q2032</f>
        <v>300</v>
      </c>
      <c r="S2032" s="467" t="n">
        <v>45743</v>
      </c>
      <c r="T2032" s="2" t="s">
        <v>1711</v>
      </c>
      <c r="V2032" s="464"/>
      <c r="W2032" s="464"/>
      <c r="X2032" s="464"/>
      <c r="Y2032" s="464"/>
      <c r="Z2032" s="464"/>
      <c r="AA2032" s="464"/>
      <c r="AB2032" s="464"/>
      <c r="AC2032" s="464"/>
      <c r="AD2032" s="464"/>
      <c r="AE2032" s="464"/>
      <c r="AF2032" s="464"/>
      <c r="AG2032" s="464"/>
      <c r="AH2032" s="465"/>
      <c r="AI2032" s="464"/>
    </row>
    <row r="2033" customFormat="false" ht="15" hidden="false" customHeight="true" outlineLevel="0" collapsed="false">
      <c r="A2033" s="455" t="s">
        <v>2104</v>
      </c>
      <c r="C2033" s="456" t="n">
        <v>45743</v>
      </c>
      <c r="D2033" s="456"/>
      <c r="E2033" s="57" t="n">
        <v>14812</v>
      </c>
      <c r="F2033" s="323" t="s">
        <v>175</v>
      </c>
      <c r="G2033" s="323" t="s">
        <v>10</v>
      </c>
      <c r="H2033" s="98" t="n">
        <v>150</v>
      </c>
      <c r="I2033" s="457" t="n">
        <v>38.3</v>
      </c>
      <c r="J2033" s="313" t="s">
        <v>1652</v>
      </c>
      <c r="K2033" s="458" t="n">
        <f aca="false">I2033*H2033</f>
        <v>5745</v>
      </c>
      <c r="L2033" s="411" t="n">
        <v>2169</v>
      </c>
      <c r="M2033" s="459" t="n">
        <f aca="false">L2033/K2033</f>
        <v>0.377545691906005</v>
      </c>
      <c r="N2033" s="460" t="n">
        <f aca="false">I2033*M2033</f>
        <v>14.46</v>
      </c>
      <c r="O2033" s="461"/>
      <c r="P2033" s="468" t="n">
        <f aca="false">H2033-O2033</f>
        <v>150</v>
      </c>
      <c r="Q2033" s="463" t="n">
        <f aca="false">O2033*I2033</f>
        <v>0</v>
      </c>
      <c r="R2033" s="48" t="n">
        <f aca="false">K2033-Q2033</f>
        <v>5745</v>
      </c>
      <c r="S2033" s="467" t="n">
        <v>45743</v>
      </c>
      <c r="T2033" s="2" t="s">
        <v>1711</v>
      </c>
      <c r="V2033" s="464"/>
      <c r="W2033" s="464"/>
      <c r="X2033" s="464"/>
      <c r="Y2033" s="464"/>
      <c r="Z2033" s="464"/>
      <c r="AA2033" s="464"/>
      <c r="AB2033" s="464"/>
      <c r="AC2033" s="464"/>
      <c r="AD2033" s="464"/>
      <c r="AE2033" s="464"/>
      <c r="AF2033" s="464"/>
      <c r="AG2033" s="464"/>
      <c r="AH2033" s="465"/>
      <c r="AI2033" s="464"/>
    </row>
    <row r="2034" customFormat="false" ht="15" hidden="false" customHeight="true" outlineLevel="0" collapsed="false">
      <c r="A2034" s="455" t="s">
        <v>2094</v>
      </c>
      <c r="C2034" s="456" t="n">
        <v>45744</v>
      </c>
      <c r="D2034" s="456"/>
      <c r="E2034" s="57" t="n">
        <v>14818</v>
      </c>
      <c r="F2034" s="323" t="s">
        <v>175</v>
      </c>
      <c r="G2034" s="323" t="s">
        <v>11</v>
      </c>
      <c r="H2034" s="98" t="n">
        <v>150</v>
      </c>
      <c r="I2034" s="457" t="n">
        <v>14</v>
      </c>
      <c r="J2034" s="313" t="s">
        <v>1651</v>
      </c>
      <c r="K2034" s="458" t="n">
        <f aca="false">I2034*H2034</f>
        <v>2100</v>
      </c>
      <c r="L2034" s="411" t="n">
        <v>3150</v>
      </c>
      <c r="M2034" s="459" t="n">
        <f aca="false">L2034/K2034</f>
        <v>1.5</v>
      </c>
      <c r="N2034" s="460" t="n">
        <f aca="false">I2034*M2034</f>
        <v>21</v>
      </c>
      <c r="O2034" s="461" t="n">
        <v>150</v>
      </c>
      <c r="P2034" s="462" t="n">
        <f aca="false">H2034-O2034</f>
        <v>0</v>
      </c>
      <c r="Q2034" s="463" t="n">
        <f aca="false">O2034*I2034</f>
        <v>2100</v>
      </c>
      <c r="R2034" s="48" t="n">
        <f aca="false">K2034-Q2034</f>
        <v>0</v>
      </c>
      <c r="S2034" s="467"/>
      <c r="T2034" s="2" t="s">
        <v>1711</v>
      </c>
      <c r="V2034" s="464"/>
      <c r="W2034" s="464"/>
      <c r="X2034" s="464"/>
      <c r="Y2034" s="464"/>
      <c r="Z2034" s="464"/>
      <c r="AA2034" s="464"/>
      <c r="AB2034" s="464"/>
      <c r="AC2034" s="464"/>
      <c r="AD2034" s="464"/>
      <c r="AE2034" s="464"/>
      <c r="AF2034" s="464"/>
      <c r="AG2034" s="464"/>
      <c r="AH2034" s="465"/>
      <c r="AI2034" s="464"/>
    </row>
    <row r="2035" customFormat="false" ht="15" hidden="false" customHeight="true" outlineLevel="0" collapsed="false">
      <c r="A2035" s="455" t="s">
        <v>2105</v>
      </c>
      <c r="C2035" s="456" t="n">
        <v>45747</v>
      </c>
      <c r="D2035" s="456"/>
      <c r="E2035" s="57" t="n">
        <v>14819</v>
      </c>
      <c r="F2035" s="323" t="s">
        <v>175</v>
      </c>
      <c r="G2035" s="323" t="s">
        <v>10</v>
      </c>
      <c r="H2035" s="98" t="n">
        <v>450</v>
      </c>
      <c r="I2035" s="457" t="n">
        <v>25.71</v>
      </c>
      <c r="J2035" s="313" t="s">
        <v>1651</v>
      </c>
      <c r="K2035" s="458" t="n">
        <f aca="false">I2035*H2035</f>
        <v>11569.5</v>
      </c>
      <c r="L2035" s="411" t="n">
        <v>4500</v>
      </c>
      <c r="M2035" s="459" t="n">
        <f aca="false">L2035/K2035</f>
        <v>0.388953714507974</v>
      </c>
      <c r="N2035" s="460" t="n">
        <f aca="false">I2035*M2035</f>
        <v>10</v>
      </c>
      <c r="O2035" s="461" t="n">
        <v>450</v>
      </c>
      <c r="P2035" s="462" t="n">
        <f aca="false">H2035-O2035</f>
        <v>0</v>
      </c>
      <c r="Q2035" s="463" t="n">
        <f aca="false">O2035*I2035</f>
        <v>11569.5</v>
      </c>
      <c r="R2035" s="48" t="n">
        <f aca="false">K2035-Q2035</f>
        <v>0</v>
      </c>
      <c r="S2035" s="467"/>
      <c r="T2035" s="2" t="s">
        <v>1711</v>
      </c>
      <c r="V2035" s="464"/>
      <c r="W2035" s="464"/>
      <c r="X2035" s="464"/>
      <c r="Y2035" s="464"/>
      <c r="Z2035" s="464"/>
      <c r="AA2035" s="464"/>
      <c r="AB2035" s="464"/>
      <c r="AC2035" s="464"/>
      <c r="AD2035" s="464"/>
      <c r="AE2035" s="464"/>
      <c r="AF2035" s="464"/>
      <c r="AG2035" s="464"/>
      <c r="AH2035" s="465"/>
      <c r="AI2035" s="464"/>
    </row>
    <row r="2036" customFormat="false" ht="15" hidden="false" customHeight="true" outlineLevel="0" collapsed="false">
      <c r="A2036" s="455" t="s">
        <v>1947</v>
      </c>
      <c r="C2036" s="456" t="n">
        <v>45747</v>
      </c>
      <c r="D2036" s="456"/>
      <c r="E2036" s="57" t="n">
        <v>14820</v>
      </c>
      <c r="F2036" s="323" t="s">
        <v>175</v>
      </c>
      <c r="G2036" s="323" t="s">
        <v>10</v>
      </c>
      <c r="H2036" s="98" t="n">
        <v>930</v>
      </c>
      <c r="I2036" s="457" t="n">
        <v>90</v>
      </c>
      <c r="J2036" s="313" t="s">
        <v>1653</v>
      </c>
      <c r="K2036" s="458" t="n">
        <f aca="false">I2036*H2036</f>
        <v>83700</v>
      </c>
      <c r="L2036" s="411" t="n">
        <v>12090</v>
      </c>
      <c r="M2036" s="459" t="n">
        <f aca="false">L2036/K2036</f>
        <v>0.144444444444444</v>
      </c>
      <c r="N2036" s="460" t="n">
        <f aca="false">I2036*M2036</f>
        <v>13</v>
      </c>
      <c r="O2036" s="461" t="n">
        <v>930</v>
      </c>
      <c r="P2036" s="462" t="n">
        <f aca="false">H2036-O2036</f>
        <v>0</v>
      </c>
      <c r="Q2036" s="463" t="n">
        <f aca="false">O2036*I2036</f>
        <v>83700</v>
      </c>
      <c r="R2036" s="48" t="n">
        <f aca="false">K2036-Q2036</f>
        <v>0</v>
      </c>
      <c r="S2036" s="467"/>
      <c r="T2036" s="2" t="s">
        <v>1711</v>
      </c>
      <c r="V2036" s="464"/>
      <c r="W2036" s="464"/>
      <c r="X2036" s="464"/>
      <c r="Y2036" s="464"/>
      <c r="Z2036" s="464"/>
      <c r="AA2036" s="464"/>
      <c r="AB2036" s="464"/>
      <c r="AC2036" s="464"/>
      <c r="AD2036" s="464"/>
      <c r="AE2036" s="464"/>
      <c r="AF2036" s="464"/>
      <c r="AG2036" s="464"/>
      <c r="AH2036" s="465"/>
      <c r="AI2036" s="464"/>
    </row>
    <row r="2037" customFormat="false" ht="15" hidden="false" customHeight="true" outlineLevel="0" collapsed="false">
      <c r="A2037" s="455" t="s">
        <v>2087</v>
      </c>
      <c r="C2037" s="456" t="n">
        <v>45747</v>
      </c>
      <c r="D2037" s="456"/>
      <c r="E2037" s="57" t="n">
        <v>14821</v>
      </c>
      <c r="F2037" s="323" t="s">
        <v>175</v>
      </c>
      <c r="G2037" s="323" t="s">
        <v>10</v>
      </c>
      <c r="H2037" s="98" t="n">
        <v>705</v>
      </c>
      <c r="I2037" s="457" t="n">
        <v>25.71</v>
      </c>
      <c r="J2037" s="313" t="s">
        <v>1651</v>
      </c>
      <c r="K2037" s="458" t="n">
        <f aca="false">I2037*H2037</f>
        <v>18125.55</v>
      </c>
      <c r="L2037" s="411" t="n">
        <v>9771.3</v>
      </c>
      <c r="M2037" s="459" t="n">
        <f aca="false">L2037/K2037</f>
        <v>0.539089848308051</v>
      </c>
      <c r="N2037" s="460" t="n">
        <f aca="false">I2037*M2037</f>
        <v>13.86</v>
      </c>
      <c r="O2037" s="461" t="n">
        <v>705</v>
      </c>
      <c r="P2037" s="462" t="n">
        <f aca="false">H2037-O2037</f>
        <v>0</v>
      </c>
      <c r="Q2037" s="463" t="n">
        <f aca="false">O2037*I2037</f>
        <v>18125.55</v>
      </c>
      <c r="R2037" s="48" t="n">
        <f aca="false">K2037-Q2037</f>
        <v>0</v>
      </c>
      <c r="S2037" s="467"/>
      <c r="T2037" s="2" t="s">
        <v>1711</v>
      </c>
      <c r="V2037" s="464"/>
      <c r="W2037" s="464"/>
      <c r="X2037" s="464"/>
      <c r="Y2037" s="464"/>
      <c r="Z2037" s="464"/>
      <c r="AA2037" s="464"/>
      <c r="AB2037" s="464"/>
      <c r="AC2037" s="464"/>
      <c r="AD2037" s="464"/>
      <c r="AE2037" s="464"/>
      <c r="AF2037" s="464"/>
      <c r="AG2037" s="464"/>
      <c r="AH2037" s="465"/>
      <c r="AI2037" s="464"/>
    </row>
    <row r="2038" customFormat="false" ht="15" hidden="false" customHeight="true" outlineLevel="0" collapsed="false">
      <c r="A2038" s="455" t="s">
        <v>1781</v>
      </c>
      <c r="C2038" s="456" t="n">
        <v>45748</v>
      </c>
      <c r="D2038" s="456"/>
      <c r="E2038" s="57" t="n">
        <v>14822</v>
      </c>
      <c r="F2038" s="323" t="s">
        <v>175</v>
      </c>
      <c r="G2038" s="323" t="s">
        <v>10</v>
      </c>
      <c r="H2038" s="98" t="n">
        <v>5010</v>
      </c>
      <c r="I2038" s="457" t="n">
        <v>38.3</v>
      </c>
      <c r="J2038" s="313" t="s">
        <v>1652</v>
      </c>
      <c r="K2038" s="458" t="n">
        <f aca="false">I2038*H2038</f>
        <v>191883</v>
      </c>
      <c r="L2038" s="411" t="n">
        <v>45090</v>
      </c>
      <c r="M2038" s="459" t="n">
        <f aca="false">L2038/K2038</f>
        <v>0.234986945169713</v>
      </c>
      <c r="N2038" s="460" t="n">
        <f aca="false">I2038*M2038</f>
        <v>9</v>
      </c>
      <c r="O2038" s="461" t="n">
        <v>5010</v>
      </c>
      <c r="P2038" s="462" t="n">
        <f aca="false">H2038-O2038</f>
        <v>0</v>
      </c>
      <c r="Q2038" s="463" t="n">
        <f aca="false">O2038*I2038</f>
        <v>191883</v>
      </c>
      <c r="R2038" s="48" t="n">
        <f aca="false">K2038-Q2038</f>
        <v>0</v>
      </c>
      <c r="S2038" s="108"/>
      <c r="T2038" s="2" t="s">
        <v>1711</v>
      </c>
      <c r="V2038" s="464"/>
      <c r="W2038" s="464"/>
      <c r="X2038" s="464"/>
      <c r="Y2038" s="464"/>
      <c r="Z2038" s="464"/>
      <c r="AA2038" s="464"/>
      <c r="AB2038" s="464"/>
      <c r="AC2038" s="464"/>
      <c r="AD2038" s="464"/>
      <c r="AE2038" s="464"/>
      <c r="AF2038" s="464"/>
      <c r="AG2038" s="464"/>
      <c r="AH2038" s="465"/>
      <c r="AI2038" s="464"/>
    </row>
    <row r="2039" customFormat="false" ht="15" hidden="false" customHeight="true" outlineLevel="0" collapsed="false">
      <c r="A2039" s="455" t="s">
        <v>2106</v>
      </c>
      <c r="C2039" s="456" t="n">
        <v>45748</v>
      </c>
      <c r="D2039" s="456"/>
      <c r="E2039" s="57" t="n">
        <v>14823</v>
      </c>
      <c r="F2039" s="323" t="s">
        <v>175</v>
      </c>
      <c r="G2039" s="323" t="s">
        <v>6</v>
      </c>
      <c r="H2039" s="98" t="n">
        <v>15</v>
      </c>
      <c r="I2039" s="457" t="n">
        <v>45</v>
      </c>
      <c r="J2039" s="313" t="s">
        <v>1652</v>
      </c>
      <c r="K2039" s="458" t="n">
        <f aca="false">I2039*H2039</f>
        <v>675</v>
      </c>
      <c r="L2039" s="411" t="n">
        <v>567.3</v>
      </c>
      <c r="M2039" s="459" t="n">
        <f aca="false">L2039/K2039</f>
        <v>0.840444444444444</v>
      </c>
      <c r="N2039" s="460" t="n">
        <f aca="false">I2039*M2039</f>
        <v>37.82</v>
      </c>
      <c r="O2039" s="461" t="n">
        <v>15</v>
      </c>
      <c r="P2039" s="462" t="n">
        <f aca="false">H2039-O2039</f>
        <v>0</v>
      </c>
      <c r="Q2039" s="463" t="n">
        <f aca="false">O2039*I2039</f>
        <v>675</v>
      </c>
      <c r="R2039" s="48" t="n">
        <f aca="false">K2039-Q2039</f>
        <v>0</v>
      </c>
      <c r="S2039" s="467"/>
      <c r="T2039" s="2" t="s">
        <v>1711</v>
      </c>
      <c r="V2039" s="464"/>
      <c r="W2039" s="464"/>
      <c r="X2039" s="464"/>
      <c r="Y2039" s="464"/>
      <c r="Z2039" s="464"/>
      <c r="AA2039" s="464"/>
      <c r="AB2039" s="464"/>
      <c r="AC2039" s="464"/>
      <c r="AD2039" s="464"/>
      <c r="AE2039" s="464"/>
      <c r="AF2039" s="464"/>
      <c r="AG2039" s="464"/>
      <c r="AH2039" s="465"/>
      <c r="AI2039" s="464"/>
    </row>
    <row r="2040" customFormat="false" ht="15" hidden="false" customHeight="true" outlineLevel="0" collapsed="false">
      <c r="A2040" s="455" t="s">
        <v>1723</v>
      </c>
      <c r="C2040" s="456" t="n">
        <v>45750</v>
      </c>
      <c r="D2040" s="456"/>
      <c r="E2040" s="57" t="n">
        <v>14824</v>
      </c>
      <c r="F2040" s="323" t="s">
        <v>175</v>
      </c>
      <c r="G2040" s="323" t="s">
        <v>42</v>
      </c>
      <c r="H2040" s="98" t="n">
        <v>60</v>
      </c>
      <c r="I2040" s="457" t="n">
        <v>30</v>
      </c>
      <c r="J2040" s="313" t="s">
        <v>1651</v>
      </c>
      <c r="K2040" s="458" t="n">
        <f aca="false">I2040*H2040</f>
        <v>1800</v>
      </c>
      <c r="L2040" s="411" t="n">
        <v>858</v>
      </c>
      <c r="M2040" s="459" t="n">
        <f aca="false">L2040/K2040</f>
        <v>0.476666666666667</v>
      </c>
      <c r="N2040" s="460" t="n">
        <f aca="false">I2040*M2040</f>
        <v>14.3</v>
      </c>
      <c r="O2040" s="461" t="n">
        <v>60</v>
      </c>
      <c r="P2040" s="462" t="n">
        <f aca="false">H2040-O2040</f>
        <v>0</v>
      </c>
      <c r="Q2040" s="463" t="n">
        <f aca="false">O2040*I2040</f>
        <v>1800</v>
      </c>
      <c r="R2040" s="48" t="n">
        <f aca="false">K2040-Q2040</f>
        <v>0</v>
      </c>
      <c r="S2040" s="108"/>
      <c r="T2040" s="2" t="s">
        <v>1711</v>
      </c>
      <c r="V2040" s="464"/>
      <c r="W2040" s="464"/>
      <c r="X2040" s="464"/>
      <c r="Y2040" s="464"/>
      <c r="Z2040" s="464"/>
      <c r="AA2040" s="464"/>
      <c r="AB2040" s="464"/>
      <c r="AC2040" s="464"/>
      <c r="AD2040" s="464"/>
      <c r="AE2040" s="464"/>
      <c r="AF2040" s="464"/>
      <c r="AG2040" s="464"/>
      <c r="AH2040" s="465"/>
      <c r="AI2040" s="464"/>
    </row>
    <row r="2041" customFormat="false" ht="15" hidden="false" customHeight="true" outlineLevel="0" collapsed="false">
      <c r="A2041" s="455" t="s">
        <v>2031</v>
      </c>
      <c r="C2041" s="456" t="n">
        <v>45750</v>
      </c>
      <c r="D2041" s="456"/>
      <c r="E2041" s="57" t="n">
        <v>14825</v>
      </c>
      <c r="F2041" s="323" t="s">
        <v>175</v>
      </c>
      <c r="G2041" s="323" t="s">
        <v>10</v>
      </c>
      <c r="H2041" s="98" t="n">
        <v>255</v>
      </c>
      <c r="I2041" s="457" t="n">
        <v>25.71</v>
      </c>
      <c r="J2041" s="313" t="s">
        <v>1651</v>
      </c>
      <c r="K2041" s="458" t="n">
        <f aca="false">I2041*H2041</f>
        <v>6556.05</v>
      </c>
      <c r="L2041" s="411" t="n">
        <v>3187.5</v>
      </c>
      <c r="M2041" s="459" t="n">
        <f aca="false">L2041/K2041</f>
        <v>0.486192143134967</v>
      </c>
      <c r="N2041" s="460" t="n">
        <f aca="false">I2041*M2041</f>
        <v>12.5</v>
      </c>
      <c r="O2041" s="461" t="n">
        <v>255</v>
      </c>
      <c r="P2041" s="462" t="n">
        <f aca="false">H2041-O2041</f>
        <v>0</v>
      </c>
      <c r="Q2041" s="463" t="n">
        <f aca="false">O2041*I2041</f>
        <v>6556.05</v>
      </c>
      <c r="R2041" s="48" t="n">
        <f aca="false">K2041-Q2041</f>
        <v>0</v>
      </c>
      <c r="S2041" s="467"/>
      <c r="T2041" s="2" t="s">
        <v>1711</v>
      </c>
      <c r="V2041" s="464"/>
      <c r="W2041" s="464"/>
      <c r="X2041" s="464"/>
      <c r="Y2041" s="464"/>
      <c r="Z2041" s="464"/>
      <c r="AA2041" s="464"/>
      <c r="AB2041" s="464"/>
      <c r="AC2041" s="464"/>
      <c r="AD2041" s="464"/>
      <c r="AE2041" s="464"/>
      <c r="AF2041" s="464"/>
      <c r="AG2041" s="464"/>
      <c r="AH2041" s="465"/>
      <c r="AI2041" s="464"/>
    </row>
    <row r="2042" customFormat="false" ht="15" hidden="false" customHeight="true" outlineLevel="0" collapsed="false">
      <c r="A2042" s="455" t="s">
        <v>2107</v>
      </c>
      <c r="C2042" s="456" t="n">
        <v>45751</v>
      </c>
      <c r="D2042" s="456"/>
      <c r="E2042" s="57" t="n">
        <v>14826</v>
      </c>
      <c r="F2042" s="323" t="s">
        <v>175</v>
      </c>
      <c r="G2042" s="323" t="s">
        <v>10</v>
      </c>
      <c r="H2042" s="98" t="n">
        <v>510</v>
      </c>
      <c r="I2042" s="457" t="n">
        <v>25.71</v>
      </c>
      <c r="J2042" s="313" t="s">
        <v>1651</v>
      </c>
      <c r="K2042" s="458" t="n">
        <f aca="false">I2042*H2042</f>
        <v>13112.1</v>
      </c>
      <c r="L2042" s="411" t="n">
        <v>5584.5</v>
      </c>
      <c r="M2042" s="459" t="n">
        <f aca="false">L2042/K2042</f>
        <v>0.425904317386231</v>
      </c>
      <c r="N2042" s="460" t="n">
        <f aca="false">I2042*M2042</f>
        <v>10.95</v>
      </c>
      <c r="O2042" s="461" t="n">
        <v>510</v>
      </c>
      <c r="P2042" s="462" t="n">
        <f aca="false">H2042-O2042</f>
        <v>0</v>
      </c>
      <c r="Q2042" s="463" t="n">
        <f aca="false">O2042*I2042</f>
        <v>13112.1</v>
      </c>
      <c r="R2042" s="48" t="n">
        <f aca="false">K2042-Q2042</f>
        <v>0</v>
      </c>
      <c r="S2042" s="108"/>
      <c r="T2042" s="2" t="s">
        <v>1711</v>
      </c>
      <c r="V2042" s="464"/>
      <c r="W2042" s="464"/>
      <c r="X2042" s="464"/>
      <c r="Y2042" s="464"/>
      <c r="Z2042" s="464"/>
      <c r="AA2042" s="464"/>
      <c r="AB2042" s="464"/>
      <c r="AC2042" s="464"/>
      <c r="AD2042" s="464"/>
      <c r="AE2042" s="464"/>
      <c r="AF2042" s="464"/>
      <c r="AG2042" s="464"/>
      <c r="AH2042" s="465"/>
      <c r="AI2042" s="464"/>
    </row>
    <row r="2043" customFormat="false" ht="15" hidden="false" customHeight="true" outlineLevel="0" collapsed="false">
      <c r="A2043" s="455" t="s">
        <v>2108</v>
      </c>
      <c r="C2043" s="456" t="n">
        <v>45751</v>
      </c>
      <c r="D2043" s="456"/>
      <c r="E2043" s="57" t="n">
        <v>14827</v>
      </c>
      <c r="F2043" s="323" t="s">
        <v>175</v>
      </c>
      <c r="G2043" s="323" t="s">
        <v>10</v>
      </c>
      <c r="H2043" s="98" t="n">
        <v>2400</v>
      </c>
      <c r="I2043" s="457" t="n">
        <v>90</v>
      </c>
      <c r="J2043" s="313" t="s">
        <v>1653</v>
      </c>
      <c r="K2043" s="458" t="n">
        <f aca="false">I2043*H2043</f>
        <v>216000</v>
      </c>
      <c r="L2043" s="411" t="n">
        <v>8064</v>
      </c>
      <c r="M2043" s="459" t="n">
        <f aca="false">L2043/K2043</f>
        <v>0.0373333333333333</v>
      </c>
      <c r="N2043" s="460" t="n">
        <f aca="false">I2043*M2043</f>
        <v>3.36</v>
      </c>
      <c r="O2043" s="461" t="n">
        <v>2400</v>
      </c>
      <c r="P2043" s="462" t="n">
        <f aca="false">H2043-O2043</f>
        <v>0</v>
      </c>
      <c r="Q2043" s="463" t="n">
        <f aca="false">O2043*I2043</f>
        <v>216000</v>
      </c>
      <c r="R2043" s="48" t="n">
        <f aca="false">K2043-Q2043</f>
        <v>0</v>
      </c>
      <c r="S2043" s="108"/>
      <c r="T2043" s="2" t="s">
        <v>1711</v>
      </c>
      <c r="V2043" s="464"/>
      <c r="W2043" s="464"/>
      <c r="X2043" s="464"/>
      <c r="Y2043" s="464"/>
      <c r="Z2043" s="464"/>
      <c r="AA2043" s="464"/>
      <c r="AB2043" s="464"/>
      <c r="AC2043" s="464"/>
      <c r="AD2043" s="464"/>
      <c r="AE2043" s="464"/>
      <c r="AF2043" s="464"/>
      <c r="AG2043" s="464"/>
      <c r="AH2043" s="465"/>
      <c r="AI2043" s="464"/>
    </row>
    <row r="2044" customFormat="false" ht="15" hidden="false" customHeight="true" outlineLevel="0" collapsed="false">
      <c r="A2044" s="455" t="s">
        <v>1723</v>
      </c>
      <c r="C2044" s="456" t="n">
        <v>45754</v>
      </c>
      <c r="D2044" s="456"/>
      <c r="E2044" s="57" t="n">
        <v>14828</v>
      </c>
      <c r="F2044" s="323" t="s">
        <v>175</v>
      </c>
      <c r="G2044" s="323" t="s">
        <v>5</v>
      </c>
      <c r="H2044" s="98" t="n">
        <v>375</v>
      </c>
      <c r="I2044" s="457" t="n">
        <v>25.71</v>
      </c>
      <c r="J2044" s="313" t="s">
        <v>1651</v>
      </c>
      <c r="K2044" s="458" t="n">
        <f aca="false">I2044*H2044</f>
        <v>9641.25</v>
      </c>
      <c r="L2044" s="411" t="n">
        <v>4050</v>
      </c>
      <c r="M2044" s="459" t="n">
        <f aca="false">L2044/K2044</f>
        <v>0.420070011668611</v>
      </c>
      <c r="N2044" s="460" t="n">
        <f aca="false">I2044*M2044</f>
        <v>10.8</v>
      </c>
      <c r="O2044" s="461" t="n">
        <v>375</v>
      </c>
      <c r="P2044" s="462" t="n">
        <f aca="false">H2044-O2044</f>
        <v>0</v>
      </c>
      <c r="Q2044" s="463" t="n">
        <f aca="false">O2044*I2044</f>
        <v>9641.25</v>
      </c>
      <c r="R2044" s="48" t="n">
        <f aca="false">K2044-Q2044</f>
        <v>0</v>
      </c>
      <c r="S2044" s="467"/>
      <c r="T2044" s="2" t="s">
        <v>1711</v>
      </c>
      <c r="V2044" s="464"/>
      <c r="W2044" s="464"/>
      <c r="X2044" s="464"/>
      <c r="Y2044" s="464"/>
      <c r="Z2044" s="464"/>
      <c r="AA2044" s="464"/>
      <c r="AB2044" s="464"/>
      <c r="AC2044" s="464"/>
      <c r="AD2044" s="464"/>
      <c r="AE2044" s="464"/>
      <c r="AF2044" s="464"/>
      <c r="AG2044" s="464"/>
      <c r="AH2044" s="465"/>
      <c r="AI2044" s="464"/>
    </row>
    <row r="2045" customFormat="false" ht="15" hidden="false" customHeight="true" outlineLevel="0" collapsed="false">
      <c r="A2045" s="455" t="s">
        <v>1899</v>
      </c>
      <c r="C2045" s="456" t="n">
        <v>45754</v>
      </c>
      <c r="D2045" s="456"/>
      <c r="E2045" s="57" t="n">
        <v>14829</v>
      </c>
      <c r="F2045" s="323" t="s">
        <v>175</v>
      </c>
      <c r="G2045" s="323" t="s">
        <v>10</v>
      </c>
      <c r="H2045" s="98" t="n">
        <v>6000</v>
      </c>
      <c r="I2045" s="457" t="n">
        <v>90</v>
      </c>
      <c r="J2045" s="313" t="s">
        <v>1653</v>
      </c>
      <c r="K2045" s="458" t="n">
        <f aca="false">I2045*H2045</f>
        <v>540000</v>
      </c>
      <c r="L2045" s="411" t="n">
        <v>60000</v>
      </c>
      <c r="M2045" s="459" t="n">
        <f aca="false">L2045/K2045</f>
        <v>0.111111111111111</v>
      </c>
      <c r="N2045" s="460" t="n">
        <f aca="false">I2045*M2045</f>
        <v>10</v>
      </c>
      <c r="O2045" s="461" t="n">
        <v>6000</v>
      </c>
      <c r="P2045" s="462" t="n">
        <f aca="false">H2045-O2045</f>
        <v>0</v>
      </c>
      <c r="Q2045" s="463" t="n">
        <f aca="false">O2045*I2045</f>
        <v>540000</v>
      </c>
      <c r="R2045" s="48" t="n">
        <f aca="false">K2045-Q2045</f>
        <v>0</v>
      </c>
      <c r="S2045" s="467"/>
      <c r="T2045" s="2" t="s">
        <v>1711</v>
      </c>
      <c r="V2045" s="464"/>
      <c r="W2045" s="464"/>
      <c r="X2045" s="464"/>
      <c r="Y2045" s="464"/>
      <c r="Z2045" s="464"/>
      <c r="AA2045" s="464"/>
      <c r="AB2045" s="464"/>
      <c r="AC2045" s="464"/>
      <c r="AD2045" s="464"/>
      <c r="AE2045" s="464"/>
      <c r="AF2045" s="464"/>
      <c r="AG2045" s="464"/>
      <c r="AH2045" s="465"/>
      <c r="AI2045" s="464"/>
    </row>
    <row r="2046" customFormat="false" ht="15" hidden="false" customHeight="true" outlineLevel="0" collapsed="false">
      <c r="A2046" s="455" t="s">
        <v>1796</v>
      </c>
      <c r="C2046" s="456" t="n">
        <v>45755</v>
      </c>
      <c r="D2046" s="456"/>
      <c r="E2046" s="57" t="n">
        <v>14830</v>
      </c>
      <c r="F2046" s="323" t="s">
        <v>175</v>
      </c>
      <c r="G2046" s="323" t="s">
        <v>5</v>
      </c>
      <c r="H2046" s="98" t="n">
        <v>1500</v>
      </c>
      <c r="I2046" s="457" t="n">
        <v>60</v>
      </c>
      <c r="J2046" s="313" t="s">
        <v>1653</v>
      </c>
      <c r="K2046" s="458" t="n">
        <f aca="false">I2046*H2046</f>
        <v>90000</v>
      </c>
      <c r="L2046" s="411" t="n">
        <v>22500</v>
      </c>
      <c r="M2046" s="459" t="n">
        <f aca="false">L2046/K2046</f>
        <v>0.25</v>
      </c>
      <c r="N2046" s="460" t="n">
        <f aca="false">I2046*M2046</f>
        <v>15</v>
      </c>
      <c r="O2046" s="461" t="n">
        <v>1500</v>
      </c>
      <c r="P2046" s="462" t="n">
        <f aca="false">H2046-O2046</f>
        <v>0</v>
      </c>
      <c r="Q2046" s="463" t="n">
        <f aca="false">O2046*I2046</f>
        <v>90000</v>
      </c>
      <c r="R2046" s="48" t="n">
        <f aca="false">K2046-Q2046</f>
        <v>0</v>
      </c>
      <c r="S2046" s="467"/>
      <c r="T2046" s="2" t="s">
        <v>1711</v>
      </c>
      <c r="V2046" s="464"/>
      <c r="W2046" s="464"/>
      <c r="X2046" s="464"/>
      <c r="Y2046" s="464"/>
      <c r="Z2046" s="464"/>
      <c r="AA2046" s="464"/>
      <c r="AB2046" s="464"/>
      <c r="AC2046" s="464"/>
      <c r="AD2046" s="464"/>
      <c r="AE2046" s="464"/>
      <c r="AF2046" s="464"/>
      <c r="AG2046" s="464"/>
      <c r="AH2046" s="465"/>
      <c r="AI2046" s="464"/>
    </row>
    <row r="2047" customFormat="false" ht="15" hidden="false" customHeight="true" outlineLevel="0" collapsed="false">
      <c r="A2047" s="455"/>
      <c r="C2047" s="456"/>
      <c r="D2047" s="456"/>
      <c r="E2047" s="57"/>
      <c r="F2047" s="323"/>
      <c r="G2047" s="323"/>
      <c r="H2047" s="98"/>
      <c r="I2047" s="457"/>
      <c r="K2047" s="458"/>
      <c r="L2047" s="411"/>
      <c r="M2047" s="459"/>
      <c r="N2047" s="460"/>
      <c r="O2047" s="461"/>
      <c r="P2047" s="462"/>
      <c r="Q2047" s="463"/>
      <c r="R2047" s="48"/>
      <c r="S2047" s="108"/>
      <c r="T2047" s="2"/>
      <c r="V2047" s="464"/>
      <c r="W2047" s="464"/>
      <c r="X2047" s="464"/>
      <c r="Y2047" s="464"/>
      <c r="Z2047" s="464"/>
      <c r="AA2047" s="464"/>
      <c r="AB2047" s="464"/>
      <c r="AC2047" s="464"/>
      <c r="AD2047" s="464"/>
      <c r="AE2047" s="464"/>
      <c r="AF2047" s="464"/>
      <c r="AG2047" s="464"/>
      <c r="AH2047" s="465"/>
      <c r="AI2047" s="464"/>
    </row>
    <row r="2048" customFormat="false" ht="15" hidden="false" customHeight="true" outlineLevel="0" collapsed="false">
      <c r="A2048" s="455"/>
      <c r="C2048" s="456"/>
      <c r="D2048" s="456"/>
      <c r="E2048" s="57"/>
      <c r="F2048" s="57"/>
      <c r="G2048" s="57"/>
      <c r="H2048" s="98"/>
      <c r="I2048" s="457"/>
      <c r="J2048" s="2"/>
      <c r="K2048" s="458"/>
      <c r="L2048" s="411"/>
      <c r="M2048" s="459"/>
      <c r="N2048" s="460"/>
      <c r="O2048" s="461"/>
      <c r="P2048" s="462"/>
      <c r="Q2048" s="463"/>
      <c r="R2048" s="48"/>
      <c r="S2048" s="108"/>
      <c r="T2048" s="2"/>
      <c r="V2048" s="464"/>
      <c r="W2048" s="464"/>
      <c r="X2048" s="464"/>
      <c r="Y2048" s="464"/>
      <c r="Z2048" s="464"/>
      <c r="AA2048" s="464"/>
      <c r="AB2048" s="464"/>
      <c r="AC2048" s="464"/>
      <c r="AD2048" s="464"/>
      <c r="AE2048" s="464"/>
      <c r="AF2048" s="464"/>
      <c r="AG2048" s="464"/>
      <c r="AH2048" s="465"/>
      <c r="AI2048" s="464"/>
    </row>
    <row r="2049" customFormat="false" ht="15" hidden="false" customHeight="true" outlineLevel="0" collapsed="false">
      <c r="A2049" s="455"/>
      <c r="C2049" s="456"/>
      <c r="D2049" s="456"/>
      <c r="E2049" s="57"/>
      <c r="F2049" s="57"/>
      <c r="G2049" s="57"/>
      <c r="H2049" s="98"/>
      <c r="I2049" s="457"/>
      <c r="J2049" s="2"/>
      <c r="K2049" s="458"/>
      <c r="L2049" s="411"/>
      <c r="M2049" s="459"/>
      <c r="N2049" s="460"/>
      <c r="O2049" s="461"/>
      <c r="P2049" s="462"/>
      <c r="Q2049" s="463"/>
      <c r="R2049" s="48"/>
      <c r="S2049" s="108"/>
      <c r="T2049" s="2"/>
      <c r="V2049" s="464"/>
      <c r="W2049" s="464"/>
      <c r="X2049" s="464"/>
      <c r="Y2049" s="464"/>
      <c r="Z2049" s="464"/>
      <c r="AA2049" s="464"/>
      <c r="AB2049" s="464"/>
      <c r="AC2049" s="464"/>
      <c r="AD2049" s="464"/>
      <c r="AE2049" s="464"/>
      <c r="AF2049" s="464"/>
      <c r="AG2049" s="464"/>
      <c r="AH2049" s="465"/>
      <c r="AI2049" s="464"/>
    </row>
    <row r="2050" customFormat="false" ht="15" hidden="false" customHeight="true" outlineLevel="0" collapsed="false">
      <c r="A2050" s="455"/>
      <c r="C2050" s="456"/>
      <c r="D2050" s="456"/>
      <c r="E2050" s="323"/>
      <c r="F2050" s="57"/>
      <c r="G2050" s="57"/>
      <c r="H2050" s="98"/>
      <c r="I2050" s="457"/>
      <c r="J2050" s="2"/>
      <c r="K2050" s="458"/>
      <c r="L2050" s="411"/>
      <c r="M2050" s="459"/>
      <c r="N2050" s="460"/>
      <c r="O2050" s="461"/>
      <c r="P2050" s="462"/>
      <c r="Q2050" s="463"/>
      <c r="R2050" s="48"/>
      <c r="S2050" s="108"/>
      <c r="T2050" s="2"/>
      <c r="V2050" s="464"/>
      <c r="W2050" s="464"/>
      <c r="X2050" s="464"/>
      <c r="Y2050" s="464"/>
      <c r="Z2050" s="464"/>
      <c r="AA2050" s="464"/>
      <c r="AB2050" s="464"/>
      <c r="AC2050" s="464"/>
      <c r="AD2050" s="464"/>
      <c r="AE2050" s="464"/>
      <c r="AF2050" s="464"/>
      <c r="AG2050" s="464"/>
      <c r="AH2050" s="465"/>
      <c r="AI2050" s="464"/>
    </row>
    <row r="2051" customFormat="false" ht="15" hidden="false" customHeight="true" outlineLevel="0" collapsed="false">
      <c r="A2051" s="455"/>
      <c r="C2051" s="456"/>
      <c r="D2051" s="456"/>
      <c r="E2051" s="323"/>
      <c r="F2051" s="57"/>
      <c r="G2051" s="57"/>
      <c r="H2051" s="98"/>
      <c r="I2051" s="457"/>
      <c r="J2051" s="2"/>
      <c r="K2051" s="458"/>
      <c r="L2051" s="411"/>
      <c r="M2051" s="459"/>
      <c r="N2051" s="460"/>
      <c r="O2051" s="461"/>
      <c r="P2051" s="462"/>
      <c r="Q2051" s="463"/>
      <c r="R2051" s="48"/>
      <c r="S2051" s="108"/>
      <c r="T2051" s="2"/>
      <c r="V2051" s="464"/>
      <c r="W2051" s="464"/>
      <c r="X2051" s="464"/>
      <c r="Y2051" s="464"/>
      <c r="Z2051" s="464"/>
      <c r="AA2051" s="464"/>
      <c r="AB2051" s="464"/>
      <c r="AC2051" s="464"/>
      <c r="AD2051" s="464"/>
      <c r="AE2051" s="464"/>
      <c r="AF2051" s="464"/>
      <c r="AG2051" s="464"/>
      <c r="AH2051" s="465"/>
      <c r="AI2051" s="464"/>
    </row>
    <row r="2052" customFormat="false" ht="15" hidden="false" customHeight="true" outlineLevel="0" collapsed="false">
      <c r="A2052" s="455"/>
      <c r="C2052" s="456"/>
      <c r="D2052" s="456"/>
      <c r="E2052" s="323"/>
      <c r="F2052" s="57"/>
      <c r="G2052" s="57"/>
      <c r="H2052" s="98"/>
      <c r="I2052" s="457"/>
      <c r="J2052" s="2"/>
      <c r="K2052" s="458"/>
      <c r="L2052" s="411"/>
      <c r="M2052" s="459"/>
      <c r="N2052" s="460"/>
      <c r="O2052" s="461"/>
      <c r="P2052" s="462"/>
      <c r="Q2052" s="463"/>
      <c r="R2052" s="48"/>
      <c r="S2052" s="108"/>
      <c r="T2052" s="2"/>
      <c r="V2052" s="464"/>
      <c r="W2052" s="464"/>
      <c r="X2052" s="464"/>
      <c r="Y2052" s="464"/>
      <c r="Z2052" s="464"/>
      <c r="AA2052" s="464"/>
      <c r="AB2052" s="464"/>
      <c r="AC2052" s="464"/>
      <c r="AD2052" s="464"/>
      <c r="AE2052" s="464"/>
      <c r="AF2052" s="464"/>
      <c r="AG2052" s="464"/>
      <c r="AH2052" s="465"/>
      <c r="AI2052" s="464"/>
    </row>
    <row r="2053" customFormat="false" ht="15" hidden="false" customHeight="true" outlineLevel="0" collapsed="false">
      <c r="A2053" s="455"/>
      <c r="C2053" s="456"/>
      <c r="D2053" s="456"/>
      <c r="E2053" s="57"/>
      <c r="F2053" s="57"/>
      <c r="G2053" s="57"/>
      <c r="H2053" s="98"/>
      <c r="I2053" s="457"/>
      <c r="J2053" s="2"/>
      <c r="K2053" s="458"/>
      <c r="L2053" s="411"/>
      <c r="M2053" s="459"/>
      <c r="N2053" s="460"/>
      <c r="O2053" s="461"/>
      <c r="P2053" s="462"/>
      <c r="Q2053" s="463"/>
      <c r="R2053" s="48"/>
      <c r="S2053" s="108"/>
      <c r="T2053" s="2"/>
      <c r="V2053" s="464"/>
      <c r="W2053" s="464"/>
      <c r="X2053" s="464"/>
      <c r="Y2053" s="464"/>
      <c r="Z2053" s="464"/>
      <c r="AA2053" s="464"/>
      <c r="AB2053" s="464"/>
      <c r="AC2053" s="464"/>
      <c r="AD2053" s="464"/>
      <c r="AE2053" s="464"/>
      <c r="AF2053" s="464"/>
      <c r="AG2053" s="464"/>
      <c r="AH2053" s="465"/>
      <c r="AI2053" s="464"/>
    </row>
    <row r="2054" customFormat="false" ht="15" hidden="false" customHeight="true" outlineLevel="0" collapsed="false">
      <c r="A2054" s="455"/>
      <c r="C2054" s="456"/>
      <c r="D2054" s="456"/>
      <c r="E2054" s="57"/>
      <c r="F2054" s="57"/>
      <c r="G2054" s="57"/>
      <c r="H2054" s="98"/>
      <c r="I2054" s="457"/>
      <c r="J2054" s="2"/>
      <c r="K2054" s="458"/>
      <c r="L2054" s="411"/>
      <c r="M2054" s="459"/>
      <c r="N2054" s="460"/>
      <c r="O2054" s="461"/>
      <c r="P2054" s="462"/>
      <c r="Q2054" s="463"/>
      <c r="R2054" s="48"/>
      <c r="S2054" s="108"/>
      <c r="T2054" s="2"/>
      <c r="V2054" s="464"/>
      <c r="W2054" s="464"/>
      <c r="X2054" s="464"/>
      <c r="Y2054" s="464"/>
      <c r="Z2054" s="464"/>
      <c r="AA2054" s="464"/>
      <c r="AB2054" s="464"/>
      <c r="AC2054" s="464"/>
      <c r="AD2054" s="464"/>
      <c r="AE2054" s="464"/>
      <c r="AF2054" s="464"/>
      <c r="AG2054" s="464"/>
      <c r="AH2054" s="465"/>
      <c r="AI2054" s="464"/>
    </row>
    <row r="2055" customFormat="false" ht="15" hidden="false" customHeight="true" outlineLevel="0" collapsed="false">
      <c r="A2055" s="455"/>
      <c r="C2055" s="456"/>
      <c r="D2055" s="456"/>
      <c r="E2055" s="57"/>
      <c r="F2055" s="57"/>
      <c r="G2055" s="57"/>
      <c r="H2055" s="98"/>
      <c r="I2055" s="457"/>
      <c r="J2055" s="2"/>
      <c r="K2055" s="458"/>
      <c r="L2055" s="411"/>
      <c r="M2055" s="459"/>
      <c r="N2055" s="460"/>
      <c r="O2055" s="461"/>
      <c r="P2055" s="462"/>
      <c r="Q2055" s="463"/>
      <c r="R2055" s="48"/>
      <c r="S2055" s="108"/>
      <c r="T2055" s="2"/>
      <c r="V2055" s="464"/>
      <c r="W2055" s="464"/>
      <c r="X2055" s="464"/>
      <c r="Y2055" s="464"/>
      <c r="Z2055" s="464"/>
      <c r="AA2055" s="464"/>
      <c r="AB2055" s="464"/>
      <c r="AC2055" s="464"/>
      <c r="AD2055" s="464"/>
      <c r="AE2055" s="464"/>
      <c r="AF2055" s="464"/>
      <c r="AG2055" s="464"/>
      <c r="AH2055" s="465"/>
      <c r="AI2055" s="464"/>
    </row>
    <row r="2056" customFormat="false" ht="15" hidden="false" customHeight="true" outlineLevel="0" collapsed="false">
      <c r="A2056" s="455"/>
      <c r="C2056" s="456"/>
      <c r="D2056" s="456"/>
      <c r="E2056" s="57"/>
      <c r="F2056" s="57"/>
      <c r="G2056" s="57"/>
      <c r="H2056" s="98"/>
      <c r="I2056" s="457"/>
      <c r="J2056" s="2"/>
      <c r="K2056" s="458"/>
      <c r="L2056" s="411"/>
      <c r="M2056" s="459"/>
      <c r="N2056" s="460"/>
      <c r="O2056" s="461"/>
      <c r="P2056" s="462"/>
      <c r="Q2056" s="463"/>
      <c r="R2056" s="48"/>
      <c r="S2056" s="108"/>
      <c r="T2056" s="2"/>
      <c r="V2056" s="464"/>
      <c r="W2056" s="464"/>
      <c r="X2056" s="464"/>
      <c r="Y2056" s="464"/>
      <c r="Z2056" s="464"/>
      <c r="AA2056" s="464"/>
      <c r="AB2056" s="464"/>
      <c r="AC2056" s="464"/>
      <c r="AD2056" s="464"/>
      <c r="AE2056" s="464"/>
      <c r="AF2056" s="464"/>
      <c r="AG2056" s="464"/>
      <c r="AH2056" s="465"/>
      <c r="AI2056" s="464"/>
    </row>
    <row r="2057" customFormat="false" ht="15" hidden="false" customHeight="true" outlineLevel="0" collapsed="false">
      <c r="A2057" s="455"/>
      <c r="C2057" s="456"/>
      <c r="D2057" s="456"/>
      <c r="E2057" s="57"/>
      <c r="F2057" s="57"/>
      <c r="G2057" s="57"/>
      <c r="H2057" s="98"/>
      <c r="I2057" s="457"/>
      <c r="J2057" s="2"/>
      <c r="K2057" s="458"/>
      <c r="L2057" s="411"/>
      <c r="M2057" s="459"/>
      <c r="N2057" s="460"/>
      <c r="O2057" s="461"/>
      <c r="P2057" s="462"/>
      <c r="Q2057" s="463"/>
      <c r="R2057" s="48"/>
      <c r="S2057" s="108"/>
      <c r="T2057" s="2"/>
      <c r="V2057" s="464"/>
      <c r="W2057" s="464"/>
      <c r="X2057" s="464"/>
      <c r="Y2057" s="464"/>
      <c r="Z2057" s="464"/>
      <c r="AA2057" s="464"/>
      <c r="AB2057" s="464"/>
      <c r="AC2057" s="464"/>
      <c r="AD2057" s="464"/>
      <c r="AE2057" s="464"/>
      <c r="AF2057" s="464"/>
      <c r="AG2057" s="464"/>
      <c r="AH2057" s="465"/>
      <c r="AI2057" s="464"/>
    </row>
    <row r="2058" customFormat="false" ht="15" hidden="false" customHeight="true" outlineLevel="0" collapsed="false">
      <c r="A2058" s="455"/>
      <c r="C2058" s="456"/>
      <c r="D2058" s="456"/>
      <c r="E2058" s="57"/>
      <c r="F2058" s="57"/>
      <c r="G2058" s="57"/>
      <c r="H2058" s="98"/>
      <c r="I2058" s="457"/>
      <c r="J2058" s="2"/>
      <c r="K2058" s="458"/>
      <c r="L2058" s="411"/>
      <c r="M2058" s="459"/>
      <c r="N2058" s="460"/>
      <c r="O2058" s="461"/>
      <c r="P2058" s="462"/>
      <c r="Q2058" s="463"/>
      <c r="R2058" s="48"/>
      <c r="S2058" s="108"/>
      <c r="T2058" s="2"/>
      <c r="V2058" s="464"/>
      <c r="W2058" s="464"/>
      <c r="X2058" s="464"/>
      <c r="Y2058" s="464"/>
      <c r="Z2058" s="464"/>
      <c r="AA2058" s="464"/>
      <c r="AB2058" s="464"/>
      <c r="AC2058" s="464"/>
      <c r="AD2058" s="464"/>
      <c r="AE2058" s="464"/>
      <c r="AF2058" s="464"/>
      <c r="AG2058" s="464"/>
      <c r="AH2058" s="465"/>
      <c r="AI2058" s="464"/>
    </row>
    <row r="2059" customFormat="false" ht="15" hidden="false" customHeight="true" outlineLevel="0" collapsed="false">
      <c r="A2059" s="455"/>
      <c r="C2059" s="456"/>
      <c r="D2059" s="456"/>
      <c r="E2059" s="57"/>
      <c r="F2059" s="57"/>
      <c r="G2059" s="57"/>
      <c r="H2059" s="98"/>
      <c r="I2059" s="457"/>
      <c r="J2059" s="2"/>
      <c r="K2059" s="458"/>
      <c r="L2059" s="411"/>
      <c r="M2059" s="459"/>
      <c r="N2059" s="460"/>
      <c r="O2059" s="461"/>
      <c r="P2059" s="462"/>
      <c r="Q2059" s="463"/>
      <c r="R2059" s="48"/>
      <c r="S2059" s="108"/>
      <c r="T2059" s="2"/>
      <c r="V2059" s="464"/>
      <c r="W2059" s="464"/>
      <c r="X2059" s="464"/>
      <c r="Y2059" s="464"/>
      <c r="Z2059" s="464"/>
      <c r="AA2059" s="464"/>
      <c r="AB2059" s="464"/>
      <c r="AC2059" s="464"/>
      <c r="AD2059" s="464"/>
      <c r="AE2059" s="464"/>
      <c r="AF2059" s="464"/>
      <c r="AG2059" s="464"/>
      <c r="AH2059" s="465"/>
      <c r="AI2059" s="464"/>
    </row>
    <row r="2060" customFormat="false" ht="15" hidden="false" customHeight="true" outlineLevel="0" collapsed="false">
      <c r="A2060" s="455"/>
      <c r="C2060" s="456"/>
      <c r="D2060" s="456"/>
      <c r="E2060" s="57"/>
      <c r="F2060" s="57"/>
      <c r="G2060" s="57"/>
      <c r="H2060" s="98"/>
      <c r="I2060" s="457"/>
      <c r="J2060" s="2"/>
      <c r="K2060" s="458"/>
      <c r="L2060" s="411"/>
      <c r="M2060" s="459"/>
      <c r="N2060" s="460"/>
      <c r="O2060" s="461"/>
      <c r="P2060" s="462"/>
      <c r="Q2060" s="463"/>
      <c r="R2060" s="48"/>
      <c r="S2060" s="108"/>
      <c r="T2060" s="2"/>
      <c r="V2060" s="464"/>
      <c r="W2060" s="464"/>
      <c r="X2060" s="464"/>
      <c r="Y2060" s="464"/>
      <c r="Z2060" s="464"/>
      <c r="AA2060" s="464"/>
      <c r="AB2060" s="464"/>
      <c r="AC2060" s="464"/>
      <c r="AD2060" s="464"/>
      <c r="AE2060" s="464"/>
      <c r="AF2060" s="464"/>
      <c r="AG2060" s="464"/>
      <c r="AH2060" s="465"/>
      <c r="AI2060" s="464"/>
    </row>
    <row r="2061" customFormat="false" ht="15" hidden="false" customHeight="true" outlineLevel="0" collapsed="false">
      <c r="A2061" s="455"/>
      <c r="C2061" s="456"/>
      <c r="D2061" s="456"/>
      <c r="E2061" s="57"/>
      <c r="F2061" s="57"/>
      <c r="G2061" s="57"/>
      <c r="H2061" s="98"/>
      <c r="I2061" s="457"/>
      <c r="J2061" s="2"/>
      <c r="K2061" s="458"/>
      <c r="L2061" s="411"/>
      <c r="M2061" s="459"/>
      <c r="N2061" s="460"/>
      <c r="O2061" s="461"/>
      <c r="P2061" s="462"/>
      <c r="Q2061" s="463"/>
      <c r="R2061" s="48"/>
      <c r="S2061" s="108"/>
      <c r="T2061" s="2"/>
      <c r="V2061" s="464"/>
      <c r="W2061" s="464"/>
      <c r="X2061" s="464"/>
      <c r="Y2061" s="464"/>
      <c r="Z2061" s="464"/>
      <c r="AA2061" s="464"/>
      <c r="AB2061" s="464"/>
      <c r="AC2061" s="464"/>
      <c r="AD2061" s="464"/>
      <c r="AE2061" s="464"/>
      <c r="AF2061" s="464"/>
      <c r="AG2061" s="464"/>
      <c r="AH2061" s="465"/>
      <c r="AI2061" s="464"/>
    </row>
    <row r="2062" customFormat="false" ht="15" hidden="false" customHeight="true" outlineLevel="0" collapsed="false">
      <c r="A2062" s="455"/>
      <c r="C2062" s="456"/>
      <c r="D2062" s="456"/>
      <c r="E2062" s="57"/>
      <c r="F2062" s="323"/>
      <c r="G2062" s="57"/>
      <c r="H2062" s="98"/>
      <c r="I2062" s="457"/>
      <c r="J2062" s="2"/>
      <c r="K2062" s="458"/>
      <c r="L2062" s="411"/>
      <c r="M2062" s="459"/>
      <c r="N2062" s="460"/>
      <c r="O2062" s="461"/>
      <c r="P2062" s="462"/>
      <c r="Q2062" s="463"/>
      <c r="R2062" s="48"/>
      <c r="S2062" s="108"/>
      <c r="T2062" s="2"/>
      <c r="V2062" s="464"/>
      <c r="W2062" s="464"/>
      <c r="X2062" s="464"/>
      <c r="Y2062" s="464"/>
      <c r="Z2062" s="464"/>
      <c r="AA2062" s="464"/>
      <c r="AB2062" s="464"/>
      <c r="AC2062" s="464"/>
      <c r="AD2062" s="464"/>
      <c r="AE2062" s="464"/>
      <c r="AF2062" s="464"/>
      <c r="AG2062" s="464"/>
      <c r="AH2062" s="465"/>
      <c r="AI2062" s="464"/>
    </row>
    <row r="2063" customFormat="false" ht="13.5" hidden="false" customHeight="true" outlineLevel="0" collapsed="false">
      <c r="A2063" s="455"/>
      <c r="C2063" s="456"/>
      <c r="D2063" s="456"/>
      <c r="E2063" s="323"/>
      <c r="F2063" s="323"/>
      <c r="G2063" s="323"/>
      <c r="H2063" s="476"/>
      <c r="I2063" s="477"/>
      <c r="J2063" s="478"/>
      <c r="K2063" s="458"/>
      <c r="L2063" s="411"/>
      <c r="M2063" s="459"/>
      <c r="N2063" s="460"/>
      <c r="O2063" s="461"/>
      <c r="P2063" s="462"/>
      <c r="Q2063" s="463"/>
      <c r="R2063" s="48"/>
      <c r="S2063" s="479"/>
      <c r="T2063" s="478"/>
      <c r="U2063" s="480"/>
      <c r="V2063" s="481"/>
      <c r="W2063" s="481"/>
      <c r="X2063" s="481"/>
      <c r="Y2063" s="481"/>
      <c r="Z2063" s="481"/>
      <c r="AA2063" s="481"/>
      <c r="AB2063" s="481"/>
      <c r="AC2063" s="481"/>
      <c r="AD2063" s="481"/>
      <c r="AE2063" s="481"/>
      <c r="AF2063" s="481"/>
      <c r="AG2063" s="481"/>
      <c r="AH2063" s="481"/>
      <c r="AI2063" s="481"/>
    </row>
    <row r="2064" customFormat="false" ht="14.25" hidden="false" customHeight="false" outlineLevel="0" collapsed="false">
      <c r="A2064" s="455"/>
      <c r="H2064" s="463" t="n">
        <f aca="false">SUBTOTAL(109,H142:H2063)</f>
        <v>4826481.7666</v>
      </c>
      <c r="K2064" s="482" t="n">
        <f aca="false">SUBTOTAL(109,K142:K2063)</f>
        <v>222018261.6361</v>
      </c>
      <c r="L2064" s="483" t="n">
        <f aca="false">SUBTOTAL(109,L142:L2063)</f>
        <v>70159397.7355</v>
      </c>
      <c r="M2064" s="484" t="n">
        <f aca="false">L2064/K2064</f>
        <v>0.31600732848947</v>
      </c>
      <c r="N2064" s="485" t="n">
        <f aca="false">L2064/H2064</f>
        <v>14.5363436822685</v>
      </c>
      <c r="O2064" s="486" t="n">
        <f aca="false">SUBTOTAL(109,O142:O2063)</f>
        <v>4345891.7666</v>
      </c>
      <c r="P2064" s="486" t="n">
        <f aca="false">SUBTOTAL(109,P142:P2063)</f>
        <v>480590</v>
      </c>
      <c r="Q2064" s="486" t="n">
        <f aca="false">SUBTOTAL(109,Q142:Q2063)</f>
        <v>185348045.1861</v>
      </c>
      <c r="R2064" s="486" t="n">
        <f aca="false">SUBTOTAL(109,R142:R2063)</f>
        <v>36670216.45</v>
      </c>
      <c r="S2064" s="483"/>
      <c r="V2064" s="483" t="n">
        <f aca="false">SUBTOTAL(109,V142:V2063)</f>
        <v>0</v>
      </c>
      <c r="W2064" s="483" t="n">
        <f aca="false">SUBTOTAL(109,W142:W2063)</f>
        <v>0</v>
      </c>
      <c r="X2064" s="483" t="n">
        <f aca="false">SUBTOTAL(109,X142:X2063)</f>
        <v>0</v>
      </c>
      <c r="Y2064" s="483" t="n">
        <f aca="false">SUBTOTAL(109,Y142:Y2063)</f>
        <v>0</v>
      </c>
      <c r="Z2064" s="483" t="n">
        <f aca="false">SUBTOTAL(109,Z142:Z2063)</f>
        <v>0</v>
      </c>
      <c r="AA2064" s="483" t="n">
        <f aca="false">SUBTOTAL(109,AA142:AA2063)</f>
        <v>0</v>
      </c>
      <c r="AB2064" s="483" t="n">
        <f aca="false">SUBTOTAL(109,AB142:AB2063)</f>
        <v>0</v>
      </c>
      <c r="AC2064" s="483" t="n">
        <f aca="false">SUBTOTAL(109,AC142:AC2063)</f>
        <v>0</v>
      </c>
      <c r="AD2064" s="483" t="n">
        <f aca="false">SUBTOTAL(109,AD142:AD2063)</f>
        <v>0</v>
      </c>
      <c r="AE2064" s="483" t="n">
        <f aca="false">SUBTOTAL(109,AE142:AE2063)</f>
        <v>0</v>
      </c>
      <c r="AF2064" s="483" t="n">
        <f aca="false">SUBTOTAL(109,AF142:AF2063)</f>
        <v>0</v>
      </c>
      <c r="AG2064" s="483" t="n">
        <f aca="false">SUBTOTAL(109,AG142:AG2063)</f>
        <v>0</v>
      </c>
      <c r="AH2064" s="487" t="n">
        <f aca="false">SUBTOTAL(109,AH142:AH2063)</f>
        <v>0</v>
      </c>
      <c r="AI2064" s="483" t="n">
        <f aca="false">SUBTOTAL(109,AI142:AI2063)</f>
        <v>0</v>
      </c>
    </row>
    <row r="2065" customFormat="false" ht="14.25" hidden="false" customHeight="false" outlineLevel="0" collapsed="false">
      <c r="A2065" s="488" t="s">
        <v>2109</v>
      </c>
      <c r="B2065" s="325"/>
      <c r="C2065" s="489" t="n">
        <f aca="false">[2]LOTES!$B$37</f>
        <v>26127904.3309091</v>
      </c>
      <c r="D2065" s="490"/>
      <c r="E2065" s="491" t="s">
        <v>2110</v>
      </c>
      <c r="F2065" s="492" t="n">
        <f aca="false">L2064/C2065-1</f>
        <v>1.68522866767015</v>
      </c>
      <c r="G2065" s="493"/>
      <c r="H2065" s="494" t="s">
        <v>2111</v>
      </c>
      <c r="I2065" s="494"/>
      <c r="J2065" s="494"/>
      <c r="K2065" s="494"/>
      <c r="L2065" s="495"/>
      <c r="M2065" s="496" t="n">
        <f aca="false">4800000*'HIST.'!BG140</f>
        <v>69774449.6748888</v>
      </c>
      <c r="N2065" s="497"/>
      <c r="O2065" s="498"/>
      <c r="P2065" s="499" t="n">
        <f aca="false">L2064-M2065</f>
        <v>384948.060611248</v>
      </c>
      <c r="Q2065" s="500"/>
      <c r="R2065" s="500"/>
      <c r="S2065" s="501"/>
      <c r="V2065" s="454" t="s">
        <v>1697</v>
      </c>
      <c r="W2065" s="454" t="s">
        <v>1698</v>
      </c>
      <c r="X2065" s="454" t="s">
        <v>1699</v>
      </c>
      <c r="Y2065" s="454" t="s">
        <v>1700</v>
      </c>
      <c r="Z2065" s="454" t="s">
        <v>1701</v>
      </c>
      <c r="AA2065" s="454" t="s">
        <v>1702</v>
      </c>
      <c r="AB2065" s="454" t="s">
        <v>1703</v>
      </c>
      <c r="AC2065" s="454" t="s">
        <v>1704</v>
      </c>
      <c r="AD2065" s="454" t="s">
        <v>1705</v>
      </c>
      <c r="AE2065" s="454" t="s">
        <v>1706</v>
      </c>
      <c r="AF2065" s="454" t="s">
        <v>1707</v>
      </c>
      <c r="AG2065" s="454" t="s">
        <v>1708</v>
      </c>
      <c r="AH2065" s="502" t="s">
        <v>1709</v>
      </c>
      <c r="AI2065" s="454" t="s">
        <v>1675</v>
      </c>
    </row>
    <row r="2066" customFormat="false" ht="14.25" hidden="false" customHeight="false" outlineLevel="0" collapsed="false">
      <c r="A2066" s="488"/>
      <c r="B2066" s="40"/>
      <c r="C2066" s="503" t="n">
        <f aca="false">[2]LOTES!$B$38</f>
        <v>98010782.3722837</v>
      </c>
      <c r="D2066" s="504"/>
      <c r="E2066" s="505" t="s">
        <v>2110</v>
      </c>
      <c r="F2066" s="506" t="n">
        <f aca="false">K2064/C2066-1</f>
        <v>1.26524323408405</v>
      </c>
      <c r="G2066" s="507"/>
      <c r="H2066" s="508" t="s">
        <v>2111</v>
      </c>
      <c r="I2066" s="508"/>
      <c r="J2066" s="508"/>
      <c r="K2066" s="508"/>
      <c r="L2066" s="509" t="n">
        <f aca="false">L2065/M2064</f>
        <v>0</v>
      </c>
      <c r="M2066" s="510" t="n">
        <f aca="false">4800000*'HIST.'!BE140</f>
        <v>220800099.82178</v>
      </c>
      <c r="N2066" s="511"/>
      <c r="O2066" s="512"/>
      <c r="P2066" s="513" t="n">
        <f aca="false">K2064-M2066</f>
        <v>1218161.81432027</v>
      </c>
      <c r="R2066" s="514"/>
      <c r="S2066" s="515"/>
      <c r="V2066" s="436" t="e">
        <f aca="false">V2064/AI2064</f>
        <v>#DIV/0!</v>
      </c>
      <c r="W2066" s="436" t="e">
        <f aca="false">W2064/AI2064</f>
        <v>#DIV/0!</v>
      </c>
      <c r="X2066" s="436" t="e">
        <f aca="false">X2064/AI2064</f>
        <v>#DIV/0!</v>
      </c>
      <c r="Y2066" s="436" t="e">
        <f aca="false">Y2064/AI2064</f>
        <v>#DIV/0!</v>
      </c>
      <c r="Z2066" s="436" t="e">
        <f aca="false">Z2064/AI2064</f>
        <v>#DIV/0!</v>
      </c>
      <c r="AA2066" s="436" t="e">
        <f aca="false">AA2064/AI2064</f>
        <v>#DIV/0!</v>
      </c>
      <c r="AB2066" s="436" t="e">
        <f aca="false">AB2064/AI2064</f>
        <v>#DIV/0!</v>
      </c>
      <c r="AC2066" s="436" t="e">
        <f aca="false">AC2064/AI2064</f>
        <v>#DIV/0!</v>
      </c>
      <c r="AD2066" s="436" t="e">
        <f aca="false">AD2064/AI2064</f>
        <v>#DIV/0!</v>
      </c>
      <c r="AE2066" s="436" t="e">
        <f aca="false">AE2064/AI2064</f>
        <v>#DIV/0!</v>
      </c>
      <c r="AF2066" s="436" t="e">
        <f aca="false">AF2064/AI2064</f>
        <v>#DIV/0!</v>
      </c>
      <c r="AG2066" s="436" t="e">
        <f aca="false">AG2064/AI2064</f>
        <v>#DIV/0!</v>
      </c>
      <c r="AH2066" s="516" t="e">
        <f aca="false">AH2064/AI2064</f>
        <v>#DIV/0!</v>
      </c>
      <c r="AI2066" s="517" t="e">
        <f aca="false">SUM(V2066:AH2066)</f>
        <v>#DIV/0!</v>
      </c>
    </row>
    <row r="2067" customFormat="false" ht="19.7" hidden="false" customHeight="false" outlineLevel="0" collapsed="false">
      <c r="A2067" s="518" t="s">
        <v>2112</v>
      </c>
      <c r="B2067" s="518"/>
      <c r="C2067" s="518"/>
      <c r="D2067" s="518"/>
      <c r="E2067" s="518"/>
      <c r="F2067" s="518"/>
      <c r="G2067" s="518"/>
      <c r="H2067" s="518"/>
      <c r="I2067" s="518"/>
      <c r="J2067" s="518"/>
      <c r="K2067" s="518"/>
      <c r="L2067" s="518"/>
      <c r="M2067" s="518"/>
      <c r="N2067" s="518"/>
      <c r="O2067" s="518"/>
      <c r="P2067" s="518"/>
      <c r="Q2067" s="519"/>
      <c r="R2067" s="519"/>
      <c r="S2067" s="515"/>
    </row>
    <row r="2068" customFormat="false" ht="17.35" hidden="false" customHeight="false" outlineLevel="0" collapsed="false">
      <c r="A2068" s="520" t="s">
        <v>2113</v>
      </c>
      <c r="B2068" s="520"/>
      <c r="C2068" s="520"/>
      <c r="D2068" s="521"/>
      <c r="E2068" s="522" t="s">
        <v>2114</v>
      </c>
      <c r="F2068" s="522"/>
      <c r="G2068" s="522"/>
      <c r="H2068" s="522"/>
      <c r="I2068" s="522" t="s">
        <v>2115</v>
      </c>
      <c r="J2068" s="522"/>
      <c r="K2068" s="522"/>
      <c r="L2068" s="522"/>
      <c r="M2068" s="522" t="s">
        <v>2116</v>
      </c>
      <c r="N2068" s="522"/>
      <c r="O2068" s="522"/>
      <c r="P2068" s="522"/>
      <c r="Q2068" s="523"/>
      <c r="R2068" s="523"/>
    </row>
    <row r="2069" customFormat="false" ht="17.35" hidden="false" customHeight="false" outlineLevel="0" collapsed="false">
      <c r="A2069" s="520"/>
      <c r="B2069" s="520"/>
      <c r="C2069" s="520"/>
      <c r="D2069" s="524"/>
      <c r="E2069" s="525" t="s">
        <v>2117</v>
      </c>
      <c r="F2069" s="526" t="s">
        <v>2118</v>
      </c>
      <c r="G2069" s="527" t="s">
        <v>2119</v>
      </c>
      <c r="H2069" s="528" t="s">
        <v>2120</v>
      </c>
      <c r="I2069" s="529" t="s">
        <v>2117</v>
      </c>
      <c r="J2069" s="530" t="s">
        <v>2121</v>
      </c>
      <c r="K2069" s="527" t="s">
        <v>2119</v>
      </c>
      <c r="L2069" s="528" t="s">
        <v>2120</v>
      </c>
      <c r="M2069" s="525" t="s">
        <v>2117</v>
      </c>
      <c r="N2069" s="531" t="s">
        <v>2121</v>
      </c>
      <c r="O2069" s="527" t="s">
        <v>2119</v>
      </c>
      <c r="P2069" s="528" t="s">
        <v>2120</v>
      </c>
      <c r="Q2069" s="532"/>
      <c r="R2069" s="532"/>
    </row>
    <row r="2070" customFormat="false" ht="14.25" hidden="false" customHeight="false" outlineLevel="0" collapsed="false">
      <c r="A2070" s="533" t="s">
        <v>5</v>
      </c>
      <c r="B2070" s="533"/>
      <c r="C2070" s="533"/>
      <c r="D2070" s="534"/>
      <c r="E2070" s="535"/>
      <c r="F2070" s="536"/>
      <c r="G2070" s="537"/>
      <c r="H2070" s="538" t="n">
        <f aca="false">F2070-E2070-G2070</f>
        <v>0</v>
      </c>
      <c r="I2070" s="539" t="n">
        <f aca="false">SUMIFS('ANT.'!$O$4:$O$36,'ANT.'!$F$4:$F$36,"Marandú",'ANT.'!$H$4:$H$36,"60")+SUMIFS(VEN!$P$142:$P$2063,VEN!$G$142:$G$2063,"Marandú",VEN!$I$142:$I$2063,"60")</f>
        <v>0</v>
      </c>
      <c r="J2070" s="540" t="n">
        <f aca="false">SUMIFS('P.L'!I3:I66,'P.L'!D3:D66,"Marandu",'P.L'!E3:E66,"50 VC")+SUMIFS('P.L'!I3:I66,'P.L'!D3:D66,"Marandu",'P.L'!E3:E66,"PPA 50")</f>
        <v>925</v>
      </c>
      <c r="K2070" s="537"/>
      <c r="L2070" s="538" t="n">
        <f aca="false">J2070-I2070+K2070</f>
        <v>925</v>
      </c>
      <c r="M2070" s="539" t="n">
        <f aca="false">SUMIFS('ANT.'!$O$4:$O$36,'ANT.'!$F$4:$F$36,"Marandú",'ANT.'!$H$4:$H$36,"90")+SUMIFS(VEN!$P$142:$P$2063,VEN!$G$142:$G$2063,"Marandú",VEN!$I$142:$I$2063,"90")</f>
        <v>0</v>
      </c>
      <c r="N2070" s="540" t="n">
        <f aca="false">SUMIFS('P.L'!I3:I66,'P.L'!D3:D66,"Marandu",'P.L'!E3:E66,"80 VC")+SUMIFS('P.L'!I3:I66,'P.L'!D3:D66,"Marandu",'P.L'!E3:E66,"76 VC")</f>
        <v>30</v>
      </c>
      <c r="O2070" s="537"/>
      <c r="P2070" s="538" t="n">
        <f aca="false">N2070-M2070-O2070</f>
        <v>30</v>
      </c>
      <c r="Q2070" s="97"/>
      <c r="R2070" s="243"/>
    </row>
    <row r="2071" customFormat="false" ht="14.25" hidden="false" customHeight="false" outlineLevel="0" collapsed="false">
      <c r="A2071" s="541" t="s">
        <v>6</v>
      </c>
      <c r="B2071" s="541"/>
      <c r="C2071" s="541"/>
      <c r="D2071" s="534"/>
      <c r="E2071" s="535" t="n">
        <f aca="false">SUMIFS('ANT.'!$O$4:$O$36,'ANT.'!$F$4:$F$36,"Piatã",'ANT.'!$H$4:$H$36,"40")+SUMIFS(VEN!$P$142:$P$2063,VEN!$G$142:$G$2063,"Piatã",VEN!$I$142:$I$2063,"40")</f>
        <v>0</v>
      </c>
      <c r="F2071" s="542"/>
      <c r="G2071" s="543"/>
      <c r="H2071" s="538" t="n">
        <f aca="false">F2071-E2071-G2071</f>
        <v>0</v>
      </c>
      <c r="I2071" s="544" t="n">
        <f aca="false">SUMIFS('ANT.'!$O$4:$O$36,'ANT.'!$F$4:$F$36,"Piatã",'ANT.'!$H$4:$H$36,"60")+SUMIFS(VEN!$P$142:$P$2063,VEN!$G$142:$G$2063,"Piatã",VEN!$I$142:$I$2063,"60")</f>
        <v>0</v>
      </c>
      <c r="J2071" s="540" t="n">
        <f aca="false">SUMIFS('P.L'!I3:I66,'P.L'!D3:D66,"Piata",'P.L'!E3:E66,"50 VC")+SUMIFS('P.L'!I3:I66,'P.L'!D3:D66,"Piata",'P.L'!E3:E66,"PPA 50")</f>
        <v>1400</v>
      </c>
      <c r="K2071" s="545"/>
      <c r="L2071" s="538" t="n">
        <f aca="false">J2071-I2071+K2071</f>
        <v>1400</v>
      </c>
      <c r="M2071" s="546" t="n">
        <f aca="false">SUMIFS('ANT.'!$O$4:$O$36,'ANT.'!$F$4:$F$36,"Piatã",'ANT.'!$H$4:$H$36,"90")+SUMIFS(VEN!$P$142:$P$2063,VEN!$G$142:$G$2063,"Piatã",VEN!$I$142:$I$2063,"90")</f>
        <v>0</v>
      </c>
      <c r="N2071" s="540" t="n">
        <f aca="false">SUMIFS('P.L'!I3:I66,'P.L'!D3:D66,"Piata",'P.L'!E3:E66,"80 VC")+SUMIFS('P.L'!I3:I66,'P.L'!D3:D66,"Piata",'P.L'!E3:E66,"76 VC")</f>
        <v>90</v>
      </c>
      <c r="O2071" s="545"/>
      <c r="P2071" s="538" t="n">
        <f aca="false">N2071-M2071-O2071</f>
        <v>90</v>
      </c>
      <c r="Q2071" s="97"/>
      <c r="R2071" s="243"/>
    </row>
    <row r="2072" customFormat="false" ht="14.25" hidden="false" customHeight="false" outlineLevel="0" collapsed="false">
      <c r="A2072" s="541" t="s">
        <v>7</v>
      </c>
      <c r="B2072" s="541"/>
      <c r="C2072" s="541"/>
      <c r="D2072" s="534"/>
      <c r="E2072" s="535" t="n">
        <f aca="false">SUMIFS('ANT.'!$O$4:$O$36,'ANT.'!$F$4:$F$36,"Decumbens",'ANT.'!$H$4:$H$36,"40")+SUMIFS(VEN!$P$142:$P$2063,VEN!$G$142:$G$2063,"Decumbens",VEN!$I$142:$I$2063,"40")</f>
        <v>0</v>
      </c>
      <c r="F2072" s="542"/>
      <c r="G2072" s="543"/>
      <c r="H2072" s="538" t="n">
        <f aca="false">F2072-E2072-G2072</f>
        <v>0</v>
      </c>
      <c r="I2072" s="544" t="n">
        <f aca="false">SUMIFS('ANT.'!$O$4:$O$36,'ANT.'!$F$4:$F$36,"Decumbens",'ANT.'!$H$4:$H$36,"60")+SUMIFS(VEN!$P$142:$P$2063,VEN!$G$142:$G$2063,"Decumbens",VEN!$I$142:$I$2063,"60")</f>
        <v>0</v>
      </c>
      <c r="J2072" s="540" t="n">
        <f aca="false">SUMIFS('P.L'!I3:I66,'P.L'!D3:D66,"Decumbens",'P.L'!E3:E66,"50 VC")+SUMIFS('P.L'!I3:I66,'P.L'!D3:D66,"Decumbens",'P.L'!E3:E66,"PPA 50")</f>
        <v>3400</v>
      </c>
      <c r="K2072" s="545"/>
      <c r="L2072" s="538" t="n">
        <f aca="false">J2072-I2072+K2072</f>
        <v>3400</v>
      </c>
      <c r="M2072" s="546" t="n">
        <f aca="false">SUMIFS('ANT.'!$O$4:$O$36,'ANT.'!$F$4:$F$36,"Decumbens",'ANT.'!$H$4:$H$36,"90")+SUMIFS(VEN!$P$142:$P$2063,VEN!$G$142:$G$2063,"Decumbens",VEN!$I$142:$I$2063,"90")</f>
        <v>0</v>
      </c>
      <c r="N2072" s="540" t="n">
        <f aca="false">SUMIFS('P.L'!I3:I66,'P.L'!D3:D66,"Decumbens",'P.L'!E3:E66,"80 VC")+SUMIFS('P.L'!I3:I66,'P.L'!D3:D66,"Decumbens",'P.L'!E3:E66,"76 VC")</f>
        <v>0</v>
      </c>
      <c r="O2072" s="543"/>
      <c r="P2072" s="538" t="n">
        <f aca="false">N2072-M2072-O2072</f>
        <v>0</v>
      </c>
      <c r="Q2072" s="97"/>
      <c r="R2072" s="243"/>
    </row>
    <row r="2073" customFormat="false" ht="14.25" hidden="false" customHeight="false" outlineLevel="0" collapsed="false">
      <c r="A2073" s="541" t="s">
        <v>8</v>
      </c>
      <c r="B2073" s="541"/>
      <c r="C2073" s="541"/>
      <c r="D2073" s="534"/>
      <c r="E2073" s="535" t="n">
        <f aca="false">SUMIFS('ANT.'!$O$4:$O$36,'ANT.'!$F$4:$F$36,"MG-5",'ANT.'!$H$4:$H$36,"40")+SUMIFS(VEN!$P$142:$P$2063,VEN!$G$142:$G$2063,"MG-5",VEN!$I$142:$I$2063,"40")</f>
        <v>0</v>
      </c>
      <c r="F2073" s="542"/>
      <c r="G2073" s="543"/>
      <c r="H2073" s="538" t="n">
        <f aca="false">F2073-E2073-G2073</f>
        <v>0</v>
      </c>
      <c r="I2073" s="544" t="n">
        <f aca="false">SUMIFS('ANT.'!$O$4:$O$36,'ANT.'!$F$4:$F$36,"Xaraes",'ANT.'!$H$4:$H$36,"60")+SUMIFS(VEN!$P$142:$P$2063,VEN!$G$142:$G$2063,"Xaraes",VEN!$I$142:$I$2063,"60")</f>
        <v>175</v>
      </c>
      <c r="J2073" s="540" t="n">
        <f aca="false">SUMIFS('P.L'!I3:I66,'P.L'!D3:D66,"Xaraes",'P.L'!E3:E66,"50 VC")+SUMIFS('P.L'!I3:I66,'P.L'!D3:D66,"Xaraes",'P.L'!E3:E66,"PPA 50")</f>
        <v>775</v>
      </c>
      <c r="K2073" s="545"/>
      <c r="L2073" s="538" t="n">
        <f aca="false">J2073-I2073+K2073</f>
        <v>600</v>
      </c>
      <c r="M2073" s="546" t="n">
        <f aca="false">SUMIFS('ANT.'!$O$4:$O$36,'ANT.'!$F$4:$F$36,"Xaraes",'ANT.'!$H$4:$H$36,"90")+SUMIFS(VEN!$P$142:$P$2063,VEN!$G$142:$G$2063,"Xaraes",VEN!$I$142:$I$2063,"90")</f>
        <v>0</v>
      </c>
      <c r="N2073" s="540" t="n">
        <f aca="false">SUMIFS('P.L'!I3:I66,'P.L'!D3:D66,"Xaraes",'P.L'!E3:E66,"80 VC")+SUMIFS('P.L'!I3:I66,'P.L'!D3:D66,"Xaraes",'P.L'!E3:E66,"76 VC")</f>
        <v>1710</v>
      </c>
      <c r="O2073" s="543"/>
      <c r="P2073" s="538" t="n">
        <f aca="false">N2073-M2073-O2073</f>
        <v>1710</v>
      </c>
      <c r="Q2073" s="97"/>
      <c r="R2073" s="243"/>
    </row>
    <row r="2074" customFormat="false" ht="14.25" hidden="false" customHeight="false" outlineLevel="0" collapsed="false">
      <c r="A2074" s="541" t="s">
        <v>9</v>
      </c>
      <c r="B2074" s="541"/>
      <c r="C2074" s="541"/>
      <c r="D2074" s="534"/>
      <c r="E2074" s="535" t="n">
        <f aca="false">SUMIFS('ANT.'!$O$4:$O$36,'ANT.'!$F$4:$F$36,"MG-4",'ANT.'!$H$4:$H$36,"40")+SUMIFS(VEN!$P$142:$P$2063,VEN!$G$142:$G$2063,"MG-4",VEN!$I$142:$I$2063,"40")</f>
        <v>0</v>
      </c>
      <c r="F2074" s="542"/>
      <c r="G2074" s="543"/>
      <c r="H2074" s="538" t="n">
        <f aca="false">F2074-E2074-G2074</f>
        <v>0</v>
      </c>
      <c r="I2074" s="544" t="n">
        <f aca="false">SUMIFS('ANT.'!$O$4:$O$36,'ANT.'!$F$4:$F$36,"MG-4",'ANT.'!$H$4:$H$36,"60")+SUMIFS(VEN!$P$142:$P$2063,VEN!$G$142:$G$2063,"MG-4",VEN!$I$142:$I$2063,"60")</f>
        <v>0</v>
      </c>
      <c r="J2074" s="540" t="n">
        <f aca="false">SUMIFS('P.L'!I3:I66,'P.L'!D3:D66,"MG-4",'P.L'!E3:E66,"50 VC")+SUMIFS('P.L'!I3:I66,'P.L'!D3:D66,"MG-4",'P.L'!E3:E66,"PPA 50")</f>
        <v>0</v>
      </c>
      <c r="K2074" s="547"/>
      <c r="L2074" s="538" t="n">
        <f aca="false">J2074-I2074+K2074</f>
        <v>0</v>
      </c>
      <c r="M2074" s="546" t="n">
        <f aca="false">SUMIFS('ANT.'!$O$4:$O$36,'ANT.'!$F$4:$F$36,"MG-4",'ANT.'!$H$4:$H$36,"90")+SUMIFS(VEN!$P$142:$P$2063,VEN!$G$142:$G$2063,"MG-4",VEN!$I$142:$I$2063,"90")</f>
        <v>0</v>
      </c>
      <c r="N2074" s="540" t="n">
        <f aca="false">SUMIFS('P.L'!I3:I66,'P.L'!D3:D66,"MG-4",'P.L'!E3:E66,"80 VC")+SUMIFS('P.L'!I3:I66,'P.L'!D3:D66,"MG-4",'P.L'!E3:E66,"76 VC")</f>
        <v>0</v>
      </c>
      <c r="O2074" s="543"/>
      <c r="P2074" s="538" t="n">
        <f aca="false">N2074-M2074-O2074</f>
        <v>0</v>
      </c>
      <c r="Q2074" s="97"/>
      <c r="R2074" s="243"/>
    </row>
    <row r="2075" customFormat="false" ht="14.25" hidden="false" customHeight="false" outlineLevel="0" collapsed="false">
      <c r="A2075" s="541" t="s">
        <v>10</v>
      </c>
      <c r="B2075" s="541"/>
      <c r="C2075" s="541"/>
      <c r="D2075" s="534"/>
      <c r="E2075" s="535" t="n">
        <f aca="false">SUMIFS('ANT.'!$O$4:$O$36,'ANT.'!$F$4:$F$36,"Ruziziensis",'ANT.'!$H$4:$H$36,"40")+SUMIFS(VEN!$P$142:$P$2063,VEN!$G$142:$G$2063,"Ruziziensis",VEN!$I$142:$I$2063,"40")</f>
        <v>0</v>
      </c>
      <c r="F2075" s="542"/>
      <c r="G2075" s="543"/>
      <c r="H2075" s="538" t="n">
        <f aca="false">F2075-E2075-G2075</f>
        <v>0</v>
      </c>
      <c r="I2075" s="544" t="n">
        <f aca="false">SUMIFS('ANT.'!$O$4:$O$36,'ANT.'!$F$4:$F$36,"Ruziziensis",'ANT.'!$H$4:$H$36,"60")+SUMIFS(VEN!$P$142:$P$2063,VEN!$G$142:$G$2063,"Ruziziensis",VEN!$I$142:$I$2063,"60")</f>
        <v>0</v>
      </c>
      <c r="J2075" s="540" t="n">
        <f aca="false">SUMIFS('P.L'!I3:I66,'P.L'!D3:D66,"Ruziziensis",'P.L'!E3:E66,"50 VC")+SUMIFS('P.L'!I3:I66,'P.L'!D3:D66,"Ruziziensis",'P.L'!E3:E66,"PPA 50")</f>
        <v>0</v>
      </c>
      <c r="K2075" s="543"/>
      <c r="L2075" s="538" t="n">
        <f aca="false">J2075-I2075+K2075</f>
        <v>0</v>
      </c>
      <c r="M2075" s="546" t="n">
        <f aca="false">SUMIFS('ANT.'!$O$4:$O$36,'ANT.'!$F$4:$F$36,"Ruziziensis",'ANT.'!$H$4:$H$36,"90")+SUMIFS(VEN!$P$142:$P$2063,VEN!$G$142:$G$2063,"Ruziziensis",VEN!$I$142:$I$2063,"90")</f>
        <v>365700</v>
      </c>
      <c r="N2075" s="540" t="n">
        <f aca="false">SUMIFS('P.L'!I3:I66,'P.L'!D3:D66,"Ruziziensis",'P.L'!E3:E66,"80 VC")+SUMIFS('P.L'!I3:I66,'P.L'!D3:D66,"Ruziziensis",'P.L'!E3:E66,"76 VC")</f>
        <v>270</v>
      </c>
      <c r="O2075" s="543"/>
      <c r="P2075" s="538" t="n">
        <f aca="false">N2075-M2075-O2075</f>
        <v>-365430</v>
      </c>
      <c r="Q2075" s="97"/>
      <c r="R2075" s="243"/>
    </row>
    <row r="2076" customFormat="false" ht="14.25" hidden="false" customHeight="false" outlineLevel="0" collapsed="false">
      <c r="A2076" s="541" t="s">
        <v>11</v>
      </c>
      <c r="B2076" s="541"/>
      <c r="C2076" s="541"/>
      <c r="D2076" s="534"/>
      <c r="E2076" s="535" t="n">
        <f aca="false">SUMIFS('ANT.'!$O$4:$O$36,'ANT.'!$F$4:$F$36,"Humidicola",'ANT.'!$H$4:$H$36,"35")+SUMIFS(VEN!$P$142:$P$2063,VEN!$G$142:$G$2063,"Humidicola",VEN!$I$142:$I$2063,"35")</f>
        <v>0</v>
      </c>
      <c r="F2076" s="542" t="n">
        <f aca="false">SUMIFS('P.L'!I3:I66,'P.L'!D3:D66,"Humidicola",'P.L'!E3:E66,"35 VC")</f>
        <v>0</v>
      </c>
      <c r="G2076" s="545"/>
      <c r="H2076" s="538" t="n">
        <f aca="false">F2076-E2076-G2076</f>
        <v>0</v>
      </c>
      <c r="I2076" s="544" t="n">
        <f aca="false">SUMIFS('ANT.'!$O$4:$O$36,'ANT.'!$F$4:$F$36,"Humidicola",'ANT.'!$H$4:$H$36,"40")+SUMIFS(VEN!$P$142:$P$2063,VEN!$G$142:$G$2063,"Humidicola",VEN!$I$142:$I$2063,"40")</f>
        <v>0</v>
      </c>
      <c r="J2076" s="540" t="n">
        <f aca="false">SUMIFS('P.L'!I3:I66,'P.L'!D3:D66,"Humidicola",'P.L'!E3:E66,"50 VC")+SUMIFS('P.L'!I3:I66,'P.L'!D3:D66,"Humidicola",'P.L'!E3:E66,"PPA 50")</f>
        <v>0</v>
      </c>
      <c r="K2076" s="547"/>
      <c r="L2076" s="538" t="n">
        <f aca="false">J2076-I2076+K2076</f>
        <v>0</v>
      </c>
      <c r="M2076" s="546" t="n">
        <f aca="false">SUMIFS('ANT.'!$O$4:$O$36,'ANT.'!$F$4:$F$36,"Humidicola",'ANT.'!$H$4:$H$36,"90")+SUMIFS(VEN!$P$142:$P$2063,VEN!$G$142:$G$2063,"Humidicola",VEN!$I$142:$I$2063,"90")</f>
        <v>0</v>
      </c>
      <c r="N2076" s="540" t="n">
        <f aca="false">SUMIFS('P.L'!I3:I66,'P.L'!D3:D66,"Humidicola",'P.L'!E3:E66,"80 VC")+SUMIFS('P.L'!I3:I66,'P.L'!D3:D66,"Humidicola",'P.L'!E3:E66,"76 VC")</f>
        <v>0</v>
      </c>
      <c r="O2076" s="543"/>
      <c r="P2076" s="538" t="n">
        <f aca="false">N2076-M2076-O2076</f>
        <v>0</v>
      </c>
      <c r="Q2076" s="97"/>
      <c r="R2076" s="243"/>
    </row>
    <row r="2077" customFormat="false" ht="14.25" hidden="false" customHeight="false" outlineLevel="0" collapsed="false">
      <c r="A2077" s="541" t="s">
        <v>12</v>
      </c>
      <c r="B2077" s="541"/>
      <c r="C2077" s="541"/>
      <c r="D2077" s="534"/>
      <c r="E2077" s="535" t="n">
        <f aca="false">SUMIFS('ANT.'!$O$4:$O$36,'ANT.'!$F$4:$F$36,"Llanero",'ANT.'!$H$4:$H$36,"40")+SUMIFS(VEN!$P$142:$P$2063,VEN!$G$142:$G$2063,"Llanero",VEN!$I$142:$I$2063,"40")</f>
        <v>0</v>
      </c>
      <c r="F2077" s="542"/>
      <c r="G2077" s="543"/>
      <c r="H2077" s="538" t="n">
        <f aca="false">F2077-E2077-G2077</f>
        <v>0</v>
      </c>
      <c r="I2077" s="544" t="n">
        <f aca="false">SUMIFS('ANT.'!$O$4:$O$36,'ANT.'!$F$4:$F$36,"Llanero",'ANT.'!$H$4:$H$36,"60")+SUMIFS(VEN!$P$142:$P$2063,VEN!$G$142:$G$2063,"Llanero",VEN!$I$142:$I$2063,"60")</f>
        <v>0</v>
      </c>
      <c r="J2077" s="540" t="n">
        <f aca="false">SUMIFS('P.L'!I3:I66,'P.L'!D3:D66,"Llanero",'P.L'!E3:E66,"50 VC")+SUMIFS('P.L'!I3:I66,'P.L'!D3:D66,"Llanero",'P.L'!E3:E66,"PPA 50")</f>
        <v>0</v>
      </c>
      <c r="K2077" s="545"/>
      <c r="L2077" s="538" t="n">
        <f aca="false">J2077-I2077+K2077</f>
        <v>0</v>
      </c>
      <c r="M2077" s="546" t="n">
        <f aca="false">SUMIFS('ANT.'!$O$4:$O$36,'ANT.'!$F$4:$F$36,"Llanero",'ANT.'!$H$4:$H$36,"90")+SUMIFS(VEN!$P$142:$P$2063,VEN!$G$142:$G$2063,"Llanero",VEN!$I$142:$I$2063,"90")</f>
        <v>0</v>
      </c>
      <c r="N2077" s="540" t="n">
        <f aca="false">SUMIFS('P.L'!I3:I66,'P.L'!D3:D66,"Llanero",'P.L'!E3:E66,"80 VC")+SUMIFS('P.L'!I3:I66,'P.L'!D3:D66,"Llanero",'P.L'!E3:E66,"76 VC")</f>
        <v>0</v>
      </c>
      <c r="O2077" s="543"/>
      <c r="P2077" s="538" t="n">
        <f aca="false">N2077-M2077-O2077</f>
        <v>0</v>
      </c>
      <c r="Q2077" s="97"/>
      <c r="R2077" s="243"/>
    </row>
    <row r="2078" customFormat="false" ht="14.25" hidden="false" customHeight="false" outlineLevel="0" collapsed="false">
      <c r="A2078" s="541" t="s">
        <v>13</v>
      </c>
      <c r="B2078" s="541"/>
      <c r="C2078" s="541"/>
      <c r="D2078" s="534"/>
      <c r="E2078" s="535" t="n">
        <f aca="false">SUMIFS('ANT.'!$O$4:$O$36,'ANT.'!$F$4:$F$36,"Mombaça",'ANT.'!$H$4:$H$36,"40")+SUMIFS(VEN!$P$142:$P$2063,VEN!$G$142:$G$2063,"Mombaça",VEN!$I$142:$I$2063,"40")</f>
        <v>175</v>
      </c>
      <c r="F2078" s="540" t="n">
        <f aca="false">SUMIFS('P.L'!I3:I66,'P.L'!D3:D66,"Mombaça",'P.L'!E3:E66,"35 VC")+SUMIFS('P.L'!I3:I66,'P.L'!D3:D66,"Mombaça",'P.L'!E3:E66,"PPA 35")</f>
        <v>0</v>
      </c>
      <c r="G2078" s="543"/>
      <c r="H2078" s="538" t="n">
        <f aca="false">F2078-E2078-G2078</f>
        <v>-175</v>
      </c>
      <c r="I2078" s="544" t="n">
        <f aca="false">SUMIFS('ANT.'!$O$4:$O$36,'ANT.'!$F$4:$F$36,"Mombaça",'ANT.'!$H$4:$H$36,"55")+SUMIFS(VEN!$P$142:$P$2063,VEN!$G$142:$G$2063,"Mombaça",VEN!$I$142:$I$2063,"55")</f>
        <v>0</v>
      </c>
      <c r="J2078" s="540" t="n">
        <f aca="false">SUMIFS('P.L'!I3:I66,'P.L'!D3:D66,"Mombaça",'P.L'!E3:E66,"50 VC")+SUMIFS('P.L'!I3:I66,'P.L'!D3:D66,"Mombaça",'P.L'!E3:E66,"PPA 50")</f>
        <v>0</v>
      </c>
      <c r="K2078" s="543"/>
      <c r="L2078" s="538" t="n">
        <f aca="false">J2078-I2078+K2078</f>
        <v>0</v>
      </c>
      <c r="M2078" s="546" t="n">
        <f aca="false">SUMIFS('ANT.'!$O$4:$O$36,'ANT.'!$F$4:$F$36,"Mombaça",'ANT.'!$H$4:$H$36,"90")+SUMIFS(VEN!$P$142:$P$2063,VEN!$G$142:$G$2063,"Mombaça",VEN!$I$142:$I$2063,"90")</f>
        <v>0</v>
      </c>
      <c r="N2078" s="540" t="n">
        <f aca="false">SUMIFS('P.L'!I3:I66,'P.L'!D3:D66,"Mombaça",'P.L'!E3:E66,"80 VC")+SUMIFS('P.L'!I3:I66,'P.L'!D3:D66,"Mombaça",'P.L'!E3:E66,"76 VC")</f>
        <v>75</v>
      </c>
      <c r="O2078" s="543"/>
      <c r="P2078" s="538" t="n">
        <f aca="false">N2078-M2078-O2078</f>
        <v>75</v>
      </c>
      <c r="Q2078" s="97"/>
      <c r="R2078" s="243"/>
    </row>
    <row r="2079" customFormat="false" ht="14.25" hidden="false" customHeight="false" outlineLevel="0" collapsed="false">
      <c r="A2079" s="541" t="s">
        <v>14</v>
      </c>
      <c r="B2079" s="541"/>
      <c r="C2079" s="541"/>
      <c r="D2079" s="534"/>
      <c r="E2079" s="535" t="n">
        <f aca="false">SUMIFS('ANT.'!$O$4:$O$36,'ANT.'!$F$4:$F$36,"Tanzania",'ANT.'!$H$4:$H$36,"40")+SUMIFS(VEN!$P$142:$P$2063,VEN!$G$142:$G$2063,"Tanzania",VEN!$I$142:$I$2063,"40")</f>
        <v>0</v>
      </c>
      <c r="F2079" s="542" t="n">
        <f aca="false">SUMIFS('P.L'!I3:I66,'P.L'!D3:D66,"Tanzania",'P.L'!E3:E66,"35 VC")</f>
        <v>0</v>
      </c>
      <c r="G2079" s="545"/>
      <c r="H2079" s="538" t="n">
        <f aca="false">F2079-E2079-G2079</f>
        <v>0</v>
      </c>
      <c r="I2079" s="544" t="n">
        <f aca="false">SUMIFS('ANT.'!$O$4:$O$36,'ANT.'!$F$4:$F$36,"Tanzania",'ANT.'!$H$4:$H$36,"55")+SUMIFS(VEN!$P$142:$P$2063,VEN!$G$142:$G$2063,"Tanzania",VEN!$I$142:$I$2063,"55")</f>
        <v>0</v>
      </c>
      <c r="J2079" s="540" t="n">
        <f aca="false">SUMIFS('P.L'!I3:I66,'P.L'!D3:D66,"Tanzania",'P.L'!E3:E66,"50 VC")+SUMIFS('P.L'!I3:I66,'P.L'!D3:D66,"Tanzania",'P.L'!E3:E66,"PPA 50")</f>
        <v>0</v>
      </c>
      <c r="K2079" s="547"/>
      <c r="L2079" s="538" t="n">
        <f aca="false">J2079-I2079+K2079</f>
        <v>0</v>
      </c>
      <c r="M2079" s="546" t="n">
        <f aca="false">SUMIFS('ANT.'!$O$4:$O$36,'ANT.'!$F$4:$F$36,"Tanzania",'ANT.'!$H$4:$H$36,"90")+SUMIFS(VEN!$P$142:$P$2063,VEN!$G$142:$G$2063,"Tanzania",VEN!$I$142:$I$2063,"90")</f>
        <v>0</v>
      </c>
      <c r="N2079" s="540" t="n">
        <f aca="false">SUMIFS('P.L'!I3:I66,'P.L'!D3:D66,"Tanzania",'P.L'!E3:E66,"80 VC")+SUMIFS('P.L'!I3:I66,'P.L'!D3:D66,"Tanzania",'P.L'!E3:E66,"76 VC")</f>
        <v>0</v>
      </c>
      <c r="O2079" s="543"/>
      <c r="P2079" s="538" t="n">
        <f aca="false">N2079-M2079-O2079</f>
        <v>0</v>
      </c>
      <c r="Q2079" s="97"/>
      <c r="R2079" s="243"/>
    </row>
    <row r="2080" customFormat="false" ht="14.25" hidden="false" customHeight="false" outlineLevel="0" collapsed="false">
      <c r="A2080" s="541" t="s">
        <v>15</v>
      </c>
      <c r="B2080" s="541"/>
      <c r="C2080" s="541"/>
      <c r="D2080" s="534"/>
      <c r="E2080" s="535" t="n">
        <f aca="false">SUMIFS('ANT.'!$O$4:$O$36,'ANT.'!$F$4:$F$36,"Massai",'ANT.'!$H$4:$H$36,"40")+SUMIFS(VEN!$P$142:$P$2063,VEN!$G$142:$G$2063,"Massai",VEN!$I$142:$I$2063,"40")</f>
        <v>0</v>
      </c>
      <c r="F2080" s="542" t="n">
        <f aca="false">SUMIFS('P.L'!I3:I66,'P.L'!D3:D66,"Massai",'P.L'!E3:E66,"35 VC")</f>
        <v>2925</v>
      </c>
      <c r="G2080" s="543"/>
      <c r="H2080" s="538" t="n">
        <f aca="false">F2080-E2080-G2080</f>
        <v>2925</v>
      </c>
      <c r="I2080" s="544" t="n">
        <f aca="false">SUMIFS('ANT.'!$O$4:$O$36,'ANT.'!$F$4:$F$36,"Massai",'ANT.'!$H$4:$H$36,"55")+SUMIFS(VEN!$P$142:$P$2063,VEN!$G$142:$G$2063,"Massai",VEN!$I$142:$I$2063,"55")</f>
        <v>0</v>
      </c>
      <c r="J2080" s="540" t="n">
        <f aca="false">SUMIFS('P.L'!I3:I66,'P.L'!D3:D66,"Massai",'P.L'!E3:E66,"50 VC")+SUMIFS('P.L'!I3:I66,'P.L'!D3:D66,"Massai",'P.L'!E3:E66,"PPA 50")</f>
        <v>0</v>
      </c>
      <c r="K2080" s="543"/>
      <c r="L2080" s="538" t="n">
        <f aca="false">J2080-I2080+K2080</f>
        <v>0</v>
      </c>
      <c r="M2080" s="546" t="n">
        <f aca="false">SUMIFS('ANT.'!$O$4:$O$36,'ANT.'!$F$4:$F$36,"Massai",'ANT.'!$H$4:$H$36,"90")+SUMIFS(VEN!$P$142:$P$2063,VEN!$G$142:$G$2063,"Massai",VEN!$I$142:$I$2063,"90")</f>
        <v>0</v>
      </c>
      <c r="N2080" s="540" t="n">
        <f aca="false">SUMIFS('P.L'!I3:I66,'P.L'!D3:D66,"Massai",'P.L'!E3:E66,"80 VC")+SUMIFS('P.L'!I3:I66,'P.L'!D3:D66,"Massai",'P.L'!E3:E66,"76 VC")</f>
        <v>0</v>
      </c>
      <c r="O2080" s="543"/>
      <c r="P2080" s="538" t="n">
        <f aca="false">N2080-M2080-O2080</f>
        <v>0</v>
      </c>
      <c r="Q2080" s="97"/>
      <c r="R2080" s="243"/>
    </row>
    <row r="2081" customFormat="false" ht="14.25" hidden="false" customHeight="false" outlineLevel="0" collapsed="false">
      <c r="A2081" s="541" t="s">
        <v>16</v>
      </c>
      <c r="B2081" s="541"/>
      <c r="C2081" s="541"/>
      <c r="D2081" s="534"/>
      <c r="E2081" s="535" t="n">
        <f aca="false">SUMIFS('ANT.'!$O$4:$O$36,'ANT.'!$F$4:$F$36,"Aruana",'ANT.'!$H$4:$H$36,"40")+SUMIFS(VEN!$P$142:$P$2063,VEN!$G$142:$G$2063,"Aruana",VEN!$I$142:$I$2063,"40")</f>
        <v>0</v>
      </c>
      <c r="F2081" s="542" t="n">
        <f aca="false">SUMIFS('P.L'!I3:I66,'P.L'!D3:D66,"Aruana",'P.L'!E3:E66,"35 VC")</f>
        <v>0</v>
      </c>
      <c r="G2081" s="543"/>
      <c r="H2081" s="538" t="n">
        <f aca="false">F2081-E2081-G2081</f>
        <v>0</v>
      </c>
      <c r="I2081" s="544" t="n">
        <f aca="false">SUMIFS('ANT.'!$O$4:$O$36,'ANT.'!$F$4:$F$36,"Aruana",'ANT.'!$H$4:$H$36,"55")+SUMIFS(VEN!$P$142:$P$2063,VEN!$G$142:$G$2063,"Aruana",VEN!$I$142:$I$2063,"55")</f>
        <v>0</v>
      </c>
      <c r="J2081" s="540" t="n">
        <f aca="false">SUMIFS('P.L'!I3:I66,'P.L'!D3:D66,"Aruana",'P.L'!E3:E66,"50 VC")+SUMIFS('P.L'!I3:I66,'P.L'!D3:D66,"Aruana",'P.L'!E3:E66,"PPA 50")</f>
        <v>0</v>
      </c>
      <c r="K2081" s="543"/>
      <c r="L2081" s="538" t="n">
        <f aca="false">J2081-I2081+K2081</f>
        <v>0</v>
      </c>
      <c r="M2081" s="546" t="n">
        <f aca="false">SUMIFS('ANT.'!$O$4:$O$36,'ANT.'!$F$4:$F$36,"Aruana",'ANT.'!$H$4:$H$36,"90")+SUMIFS(VEN!$P$142:$P$2063,VEN!$G$142:$G$2063,"Aruana",VEN!$I$142:$I$2063,"90")</f>
        <v>0</v>
      </c>
      <c r="N2081" s="540" t="n">
        <f aca="false">SUMIFS('P.L'!I3:I66,'P.L'!D3:D66,"Aruana",'P.L'!E3:E66,"80 VC")+SUMIFS('P.L'!I3:I66,'P.L'!D3:D66,"Aruana",'P.L'!E3:E66,"76 VC")</f>
        <v>0</v>
      </c>
      <c r="O2081" s="543"/>
      <c r="P2081" s="538" t="n">
        <f aca="false">N2081-M2081-O2081</f>
        <v>0</v>
      </c>
      <c r="Q2081" s="97"/>
      <c r="R2081" s="243"/>
    </row>
    <row r="2082" customFormat="false" ht="14.25" hidden="false" customHeight="false" outlineLevel="0" collapsed="false">
      <c r="A2082" s="541" t="s">
        <v>17</v>
      </c>
      <c r="B2082" s="541"/>
      <c r="C2082" s="541"/>
      <c r="D2082" s="534"/>
      <c r="E2082" s="535" t="n">
        <f aca="false">SUMIFS('ANT.'!$O$4:$O$36,'ANT.'!$F$4:$F$36,"Zuri",'ANT.'!$H$4:$H$36,"40")+SUMIFS(VEN!$P$142:$P$2063,VEN!$G$142:$G$2063,"Zuri",VEN!$I$142:$I$2063,"40")</f>
        <v>0</v>
      </c>
      <c r="F2082" s="540" t="n">
        <f aca="false">SUMIFS('P.L'!I3:I66,'P.L'!D3:D66,"Zuri",'P.L'!E3:E66,"35 VC")+SUMIFS('P.L'!I3:I66,'P.L'!D3:D66,"Zuri",'P.L'!E3:E66,"PPA 35")</f>
        <v>0</v>
      </c>
      <c r="G2082" s="543"/>
      <c r="H2082" s="538" t="n">
        <f aca="false">F2082-E2082-G2082</f>
        <v>0</v>
      </c>
      <c r="I2082" s="544" t="n">
        <f aca="false">SUMIFS('ANT.'!$O$4:$O$36,'ANT.'!$F$4:$F$36,"Zuri",'ANT.'!$H$4:$H$36,"55")+SUMIFS(VEN!$P$142:$P$2063,VEN!$G$142:$G$2063,"Zuri",VEN!$I$142:$I$2063,"55")</f>
        <v>0</v>
      </c>
      <c r="J2082" s="540" t="n">
        <f aca="false">SUMIFS('P.L'!I3:I66,'P.L'!D3:D66,"Zuri",'P.L'!E3:E66,"50 VC")+SUMIFS('P.L'!I3:I66,'P.L'!D3:D66,"Zuri",'P.L'!E3:E66,"PPA 50")</f>
        <v>0</v>
      </c>
      <c r="K2082" s="543"/>
      <c r="L2082" s="538" t="n">
        <f aca="false">J2082-I2082+K2082</f>
        <v>0</v>
      </c>
      <c r="M2082" s="546" t="n">
        <f aca="false">SUMIFS('ANT.'!$O$4:$O$36,'ANT.'!$F$4:$F$36,"Zuri",'ANT.'!$H$4:$H$36,"90")+SUMIFS(VEN!$P$142:$P$2063,VEN!$G$142:$G$2063,"Zuri",VEN!$I$142:$I$2063,"90")</f>
        <v>0</v>
      </c>
      <c r="N2082" s="540" t="n">
        <f aca="false">SUMIFS('P.L'!I3:I66,'P.L'!D3:D66,"Zuri",'P.L'!E3:E66,"80 VC")+SUMIFS('P.L'!I3:I66,'P.L'!D3:D66,"Zuri",'P.L'!E3:E66,"76 VC")</f>
        <v>0</v>
      </c>
      <c r="O2082" s="543"/>
      <c r="P2082" s="538" t="n">
        <f aca="false">N2082-M2082-O2082</f>
        <v>0</v>
      </c>
      <c r="Q2082" s="97"/>
      <c r="R2082" s="243"/>
    </row>
    <row r="2083" customFormat="false" ht="14.25" hidden="false" customHeight="false" outlineLevel="0" collapsed="false">
      <c r="A2083" s="541" t="s">
        <v>18</v>
      </c>
      <c r="B2083" s="541"/>
      <c r="C2083" s="541"/>
      <c r="D2083" s="534"/>
      <c r="E2083" s="535" t="n">
        <f aca="false">SUMIFS('ANT.'!$O$4:$O$36,'ANT.'!$F$4:$F$36,"Paiaguas",'ANT.'!$H$4:$H$36,"40")+SUMIFS(VEN!$P$142:$P$2063,VEN!$G$142:$G$2063,"Paiaguas",VEN!$I$142:$I$2063,"40")</f>
        <v>0</v>
      </c>
      <c r="F2083" s="542"/>
      <c r="G2083" s="543"/>
      <c r="H2083" s="538" t="n">
        <f aca="false">F2083-E2083-G2083</f>
        <v>0</v>
      </c>
      <c r="I2083" s="544" t="n">
        <f aca="false">SUMIFS('ANT.'!$O$4:$O$36,'ANT.'!$F$4:$F$36,"Paiaguas",'ANT.'!$H$4:$H$36,"60")+SUMIFS(VEN!$P$142:$P$2063,VEN!$G$142:$G$2063,"Paiaguas",VEN!$I$142:$I$2063,"60")</f>
        <v>0</v>
      </c>
      <c r="J2083" s="540" t="n">
        <f aca="false">SUMIFS('P.L'!I3:I66,'P.L'!D3:D66,"Paiaguas",'P.L'!E3:E66,"50 VC")+SUMIFS('P.L'!I3:I66,'P.L'!D3:D66,"Paiaguas",'P.L'!E3:E66,"PPA 50")</f>
        <v>0</v>
      </c>
      <c r="K2083" s="547"/>
      <c r="L2083" s="538" t="n">
        <f aca="false">J2083-I2083+K2083</f>
        <v>0</v>
      </c>
      <c r="M2083" s="546" t="n">
        <f aca="false">SUMIFS('ANT.'!$O$4:$O$36,'ANT.'!$F$4:$F$36,"Paiaguas",'ANT.'!$H$4:$H$36,"90")+SUMIFS(VEN!$P$142:$P$2063,VEN!$G$142:$G$2063,"Paiaguas",VEN!$I$142:$I$2063,"90")</f>
        <v>0</v>
      </c>
      <c r="N2083" s="540" t="n">
        <f aca="false">SUMIFS('P.L'!I3:I66,'P.L'!D3:D66,"Paiaguas",'P.L'!E3:E66,"80 VC")+SUMIFS('P.L'!I3:I66,'P.L'!D3:D66,"Paiaguas",'P.L'!E3:E66,"76 VC")</f>
        <v>0</v>
      </c>
      <c r="O2083" s="547"/>
      <c r="P2083" s="538" t="n">
        <f aca="false">N2083-M2083-O2083</f>
        <v>0</v>
      </c>
      <c r="Q2083" s="97"/>
      <c r="R2083" s="243"/>
    </row>
    <row r="2084" customFormat="false" ht="14.25" hidden="false" customHeight="false" outlineLevel="0" collapsed="false">
      <c r="A2084" s="541" t="s">
        <v>19</v>
      </c>
      <c r="B2084" s="541"/>
      <c r="C2084" s="541"/>
      <c r="D2084" s="534"/>
      <c r="E2084" s="535" t="n">
        <f aca="false">SUMIFS('ANT.'!$O$4:$O$36,'ANT.'!$F$4:$F$36,"Tamani",'ANT.'!$H$4:$H$36,"40")+SUMIFS(VEN!$P$142:$P$2063,VEN!$G$142:$G$2063,"Tamani",VEN!$I$142:$I$2063,"40")</f>
        <v>0</v>
      </c>
      <c r="F2084" s="542" t="n">
        <f aca="false">SUMIFS('P.L'!I3:I66,'P.L'!D3:D66,"Tamani",'P.L'!E3:E66,"35 VC")</f>
        <v>0</v>
      </c>
      <c r="G2084" s="543"/>
      <c r="H2084" s="538" t="n">
        <f aca="false">F2084-E2084-G2084</f>
        <v>0</v>
      </c>
      <c r="I2084" s="544" t="n">
        <f aca="false">SUMIFS('ANT.'!$O$4:$O$36,'ANT.'!$F$4:$F$36,"Tamani",'ANT.'!$H$4:$H$36,"55")+SUMIFS(VEN!$P$142:$P$2063,VEN!$G$142:$G$2063,"Tamani",VEN!$I$142:$I$2063,"55")</f>
        <v>0</v>
      </c>
      <c r="J2084" s="540" t="n">
        <f aca="false">SUMIFS('P.L'!I3:I66,'P.L'!D3:D66,"Tamani",'P.L'!E3:E66,"50 VC")+SUMIFS('P.L'!I3:I66,'P.L'!D3:D66,"Tamani",'P.L'!E3:E66,"PPA 50")</f>
        <v>0</v>
      </c>
      <c r="K2084" s="543"/>
      <c r="L2084" s="538" t="n">
        <f aca="false">J2084-I2084+K2084</f>
        <v>0</v>
      </c>
      <c r="M2084" s="546" t="n">
        <f aca="false">SUMIFS('ANT.'!$O$4:$O$36,'ANT.'!$F$4:$F$36,"Tamani",'ANT.'!$H$4:$H$36,"90")+SUMIFS(VEN!$P$142:$P$2063,VEN!$G$142:$G$2063,"Tamani",VEN!$I$142:$I$2063,"90")</f>
        <v>0</v>
      </c>
      <c r="N2084" s="540" t="n">
        <f aca="false">SUMIFS('P.L'!I3:I66,'P.L'!D3:D66,"Tamani",'P.L'!E3:E66,"80 VC")+SUMIFS('P.L'!I3:I66,'P.L'!D3:D66,"Tamani",'P.L'!E3:E66,"76 VC")</f>
        <v>0</v>
      </c>
      <c r="O2084" s="543"/>
      <c r="P2084" s="538" t="n">
        <f aca="false">N2084-M2084-O2084</f>
        <v>0</v>
      </c>
      <c r="Q2084" s="97"/>
      <c r="R2084" s="243"/>
    </row>
    <row r="2085" customFormat="false" ht="14.25" hidden="false" customHeight="false" outlineLevel="0" collapsed="false">
      <c r="A2085" s="548" t="s">
        <v>20</v>
      </c>
      <c r="B2085" s="549"/>
      <c r="C2085" s="550"/>
      <c r="D2085" s="534"/>
      <c r="E2085" s="535"/>
      <c r="F2085" s="542"/>
      <c r="G2085" s="543"/>
      <c r="H2085" s="538"/>
      <c r="I2085" s="544"/>
      <c r="J2085" s="540"/>
      <c r="K2085" s="543"/>
      <c r="L2085" s="538"/>
      <c r="M2085" s="546" t="n">
        <f aca="false">SUMIFS('ANT.'!$O$4:$O$36,'ANT.'!$F$4:$F$36,"Integra",'ANT.'!$H$4:$H$36,"90")+SUMIFS(VEN!$P$142:$P$2063,VEN!$G$142:$G$2063,"Integra",VEN!$I$142:$I$2063,"90")</f>
        <v>0</v>
      </c>
      <c r="N2085" s="540" t="n">
        <f aca="false">SUMIFS('P.L'!I3:I66,'P.L'!D3:D66,"Integra",'P.L'!E3:E66,"80 VC")+SUMIFS('P.L'!I3:I66,'P.L'!D3:D66,"Integra",'P.L'!E3:E66,"76 VC")</f>
        <v>0</v>
      </c>
      <c r="O2085" s="543"/>
      <c r="P2085" s="538" t="n">
        <f aca="false">N2085-M2085-O2085</f>
        <v>0</v>
      </c>
      <c r="Q2085" s="97"/>
      <c r="R2085" s="243"/>
    </row>
    <row r="2086" customFormat="false" ht="14.25" hidden="false" customHeight="false" outlineLevel="0" collapsed="false">
      <c r="A2086" s="548" t="s">
        <v>22</v>
      </c>
      <c r="B2086" s="549"/>
      <c r="C2086" s="550"/>
      <c r="D2086" s="534"/>
      <c r="E2086" s="535" t="n">
        <f aca="false">SUMIFS('ANT.'!$O$4:$O$36,'ANT.'!$F$4:$F$36,"Quenia",'ANT.'!$H$4:$H$36,"40")+SUMIFS(VEN!$P$142:$P$2063,VEN!$G$142:$G$2063,"Quenia",VEN!$I$142:$I$2063,"40")</f>
        <v>0</v>
      </c>
      <c r="F2086" s="542" t="n">
        <f aca="false">SUMIFS('P.L'!I3:I66,'P.L'!D3:D66,"Quenia",'P.L'!E3:E66,"35 VC")</f>
        <v>0</v>
      </c>
      <c r="G2086" s="543"/>
      <c r="H2086" s="538" t="n">
        <f aca="false">F2086-E2086-G2086</f>
        <v>0</v>
      </c>
      <c r="I2086" s="544" t="n">
        <f aca="false">SUMIFS('ANT.'!$O$4:$O$36,'ANT.'!$F$4:$F$36,"Quenia",'ANT.'!$H$4:$H$36,"55")+SUMIFS(VEN!$P$142:$P$2063,VEN!$G$142:$G$2063,"Quenia",VEN!$I$142:$I$2063,"55")</f>
        <v>0</v>
      </c>
      <c r="J2086" s="540" t="n">
        <f aca="false">SUMIFS('P.L'!I3:I66,'P.L'!D3:D66,"Quenia",'P.L'!E3:E66,"50 VC")+SUMIFS('P.L'!I3:I66,'P.L'!D3:D66,"Quenia",'P.L'!E3:E66,"PPA 50")</f>
        <v>0</v>
      </c>
      <c r="K2086" s="543"/>
      <c r="L2086" s="538" t="n">
        <f aca="false">J2086-I2086+K2086</f>
        <v>0</v>
      </c>
      <c r="M2086" s="546" t="n">
        <f aca="false">SUMIFS('ANT.'!$O$4:$O$36,'ANT.'!$F$4:$F$36,"Quenia",'ANT.'!$H$4:$H$36,"90")+SUMIFS(VEN!$P$142:$P$2063,VEN!$G$142:$G$2063,"Quenia",VEN!$I$142:$I$2063,"90")</f>
        <v>0</v>
      </c>
      <c r="N2086" s="540" t="n">
        <f aca="false">SUMIFS('P.L'!I3:I66,'P.L'!D3:D66,"Quenia",'P.L'!E3:E66,"80 VC")+SUMIFS('P.L'!I3:I66,'P.L'!D3:D66,"Quenia",'P.L'!E3:E66,"76 VC")</f>
        <v>270</v>
      </c>
      <c r="O2086" s="543"/>
      <c r="P2086" s="538" t="n">
        <f aca="false">N2086-M2086-O2086</f>
        <v>270</v>
      </c>
      <c r="Q2086" s="97"/>
      <c r="R2086" s="243"/>
    </row>
    <row r="2087" customFormat="false" ht="14.25" hidden="false" customHeight="false" outlineLevel="0" collapsed="false">
      <c r="A2087" s="541" t="s">
        <v>23</v>
      </c>
      <c r="B2087" s="541"/>
      <c r="C2087" s="541"/>
      <c r="D2087" s="534"/>
      <c r="E2087" s="535" t="n">
        <f aca="false">SUMIFS('ANT.'!$O$4:$O$36,'ANT.'!$F$4:$F$36,"Estilosantes",'ANT.'!$H$4:$H$36,"1")+SUMIFS(VEN!$P$142:$P$2063,VEN!$G$142:$G$2063,"Estilosantes",VEN!$I$142:$I$2063,"1")</f>
        <v>0</v>
      </c>
      <c r="F2087" s="542" t="n">
        <f aca="false">SUMIFS('P.L'!I3:I66,'P.L'!D3:D66,"Estilosantes",'P.L'!E3:E66,"CoNVENCIONAL")</f>
        <v>0</v>
      </c>
      <c r="G2087" s="543"/>
      <c r="H2087" s="551" t="n">
        <f aca="false">F2087-E2087-G2087</f>
        <v>0</v>
      </c>
      <c r="I2087" s="552"/>
      <c r="J2087" s="540"/>
      <c r="K2087" s="543"/>
      <c r="L2087" s="538" t="n">
        <f aca="false">J2087-I2087+K2087</f>
        <v>0</v>
      </c>
      <c r="M2087" s="546"/>
      <c r="N2087" s="540"/>
      <c r="O2087" s="543"/>
      <c r="P2087" s="538" t="n">
        <f aca="false">N2087-M2087-O2087</f>
        <v>0</v>
      </c>
      <c r="Q2087" s="97"/>
      <c r="R2087" s="243"/>
    </row>
    <row r="2088" customFormat="false" ht="14.25" hidden="false" customHeight="false" outlineLevel="0" collapsed="false">
      <c r="A2088" s="548" t="s">
        <v>172</v>
      </c>
      <c r="B2088" s="549"/>
      <c r="C2088" s="550"/>
      <c r="D2088" s="534"/>
      <c r="E2088" s="535" t="n">
        <f aca="false">SUMIFS('ANT.'!$O$4:$O$36,'ANT.'!$F$4:$F$36,"Sorgo",'ANT.'!$H$4:$H$36,"1")+SUMIFS(VEN!$P$142:$P$2063,VEN!$G$142:$G$2063,"Sorgo",VEN!$I$142:$I$2063,"1")</f>
        <v>0</v>
      </c>
      <c r="F2088" s="542" t="n">
        <f aca="false">SUMIFS('P.L'!I3:I67,'P.L'!D3:D67,"Sorgo",'P.L'!E3:E67,"CoNVENCIONAL")</f>
        <v>0</v>
      </c>
      <c r="G2088" s="553"/>
      <c r="H2088" s="551" t="n">
        <f aca="false">F2088-E2088-G2088</f>
        <v>0</v>
      </c>
      <c r="I2088" s="552"/>
      <c r="J2088" s="540"/>
      <c r="K2088" s="553"/>
      <c r="L2088" s="538" t="n">
        <f aca="false">J2088-I2088+K2088</f>
        <v>0</v>
      </c>
      <c r="M2088" s="554"/>
      <c r="N2088" s="540"/>
      <c r="O2088" s="553"/>
      <c r="P2088" s="538" t="n">
        <f aca="false">N2088-M2088-O2088</f>
        <v>0</v>
      </c>
      <c r="Q2088" s="97"/>
      <c r="R2088" s="243"/>
    </row>
    <row r="2089" customFormat="false" ht="14.25" hidden="false" customHeight="false" outlineLevel="0" collapsed="false">
      <c r="A2089" s="548" t="s">
        <v>21</v>
      </c>
      <c r="B2089" s="549"/>
      <c r="C2089" s="550"/>
      <c r="D2089" s="534"/>
      <c r="E2089" s="535" t="n">
        <f aca="false">SUMIFS('ANT.'!$O$4:$O$36,'ANT.'!$F$4:$F$36,"Milheto",'ANT.'!$H$4:$H$36,"1")+SUMIFS(VEN!$P$142:$P$2063,VEN!$G$142:$G$2063,"Milheto",VEN!$I$142:$I$2063,"1")</f>
        <v>300</v>
      </c>
      <c r="F2089" s="542" t="n">
        <f aca="false">SUMIFS('P.L'!I3:I68,'P.L'!D3:D68,"Milheto",'P.L'!E3:E68,"CoNVENCIONAL")</f>
        <v>9055</v>
      </c>
      <c r="G2089" s="553"/>
      <c r="H2089" s="551" t="n">
        <f aca="false">F2089-E2089-G2089</f>
        <v>8755</v>
      </c>
      <c r="I2089" s="552"/>
      <c r="J2089" s="540"/>
      <c r="K2089" s="553"/>
      <c r="L2089" s="538" t="n">
        <f aca="false">J2089-I2089+K2089</f>
        <v>0</v>
      </c>
      <c r="M2089" s="554"/>
      <c r="N2089" s="540"/>
      <c r="O2089" s="553"/>
      <c r="P2089" s="538" t="n">
        <f aca="false">N2089-M2089-O2089</f>
        <v>0</v>
      </c>
      <c r="Q2089" s="97"/>
      <c r="R2089" s="243"/>
    </row>
    <row r="2090" customFormat="false" ht="14.25" hidden="false" customHeight="false" outlineLevel="0" collapsed="false">
      <c r="A2090" s="548" t="s">
        <v>173</v>
      </c>
      <c r="B2090" s="549"/>
      <c r="C2090" s="550"/>
      <c r="D2090" s="534"/>
      <c r="E2090" s="535" t="n">
        <f aca="false">SUMIFS('ANT.'!$O$4:$O$36,'ANT.'!$F$4:$F$36,"Crotalaria",'ANT.'!$H$4:$H$36,"1")+SUMIFS(VEN!$P$142:$P$2063,VEN!$G$142:$G$2063,"Crotalaria",VEN!$I$142:$I$2063,"1")</f>
        <v>0</v>
      </c>
      <c r="F2090" s="542" t="n">
        <f aca="false">SUMIFS('P.L'!I3:I69,'P.L'!D3:D69,"Crotalaria",'P.L'!E3:E69,"CoNVENCIONAL")</f>
        <v>2550</v>
      </c>
      <c r="G2090" s="553"/>
      <c r="H2090" s="551" t="n">
        <f aca="false">F2090-E2090-G2090</f>
        <v>2550</v>
      </c>
      <c r="I2090" s="552"/>
      <c r="J2090" s="540"/>
      <c r="K2090" s="553"/>
      <c r="L2090" s="538" t="n">
        <f aca="false">J2090-I2090+K2090</f>
        <v>0</v>
      </c>
      <c r="M2090" s="554"/>
      <c r="N2090" s="540"/>
      <c r="O2090" s="553"/>
      <c r="P2090" s="538" t="n">
        <f aca="false">N2090-M2090-O2090</f>
        <v>0</v>
      </c>
      <c r="Q2090" s="97"/>
      <c r="R2090" s="243"/>
    </row>
    <row r="2091" customFormat="false" ht="14.25" hidden="false" customHeight="false" outlineLevel="0" collapsed="false">
      <c r="A2091" s="541" t="s">
        <v>24</v>
      </c>
      <c r="B2091" s="541"/>
      <c r="C2091" s="541"/>
      <c r="D2091" s="555"/>
      <c r="E2091" s="556" t="n">
        <f aca="false">SUMIFS('ANT.'!$O$4:$O$36,'ANT.'!$F$4:$F$36,"Andropogon",'ANT.'!$H$4:$H$36,"1")+SUMIFS(VEN!$P$142:$P$2063,VEN!$G$142:$G$2063,"Andropogon",VEN!$I$142:$I$2063,"1")</f>
        <v>0</v>
      </c>
      <c r="F2091" s="542" t="n">
        <f aca="false">SUMIFS('P.L'!I3:I66,'P.L'!D3:D66,"andropogon",'P.L'!E3:E66,"CONVENCIONAL")</f>
        <v>0</v>
      </c>
      <c r="G2091" s="553"/>
      <c r="H2091" s="538" t="n">
        <f aca="false">F2091-E2091-G2091</f>
        <v>0</v>
      </c>
      <c r="I2091" s="557"/>
      <c r="J2091" s="540"/>
      <c r="K2091" s="553"/>
      <c r="L2091" s="558" t="n">
        <f aca="false">J2091-I2091+K2091</f>
        <v>0</v>
      </c>
      <c r="M2091" s="559"/>
      <c r="N2091" s="540"/>
      <c r="O2091" s="553"/>
      <c r="P2091" s="538" t="n">
        <f aca="false">N2091-M2091-O2091</f>
        <v>0</v>
      </c>
      <c r="Q2091" s="97"/>
      <c r="R2091" s="243"/>
    </row>
    <row r="2092" customFormat="false" ht="14.25" hidden="false" customHeight="false" outlineLevel="0" collapsed="false">
      <c r="A2092" s="560" t="s">
        <v>1675</v>
      </c>
      <c r="B2092" s="560"/>
      <c r="C2092" s="560"/>
      <c r="D2092" s="561"/>
      <c r="E2092" s="562" t="n">
        <f aca="false">SUM(E2070:E2091)</f>
        <v>475</v>
      </c>
      <c r="F2092" s="563" t="n">
        <f aca="false">SUM(F2070:F2091)</f>
        <v>14530</v>
      </c>
      <c r="G2092" s="564" t="n">
        <f aca="false">SUM(G2070:G2091)</f>
        <v>0</v>
      </c>
      <c r="H2092" s="565" t="n">
        <f aca="false">SUM(H2070:H2091)</f>
        <v>14055</v>
      </c>
      <c r="I2092" s="562" t="n">
        <f aca="false">SUM(I2070:I2091)</f>
        <v>175</v>
      </c>
      <c r="J2092" s="563" t="n">
        <f aca="false">SUM(J2070:J2091)</f>
        <v>6500</v>
      </c>
      <c r="K2092" s="564" t="n">
        <f aca="false">SUM(K2070:K2091)</f>
        <v>0</v>
      </c>
      <c r="L2092" s="565" t="n">
        <f aca="false">SUM(L2070:L2091)</f>
        <v>6325</v>
      </c>
      <c r="M2092" s="562" t="n">
        <f aca="false">SUM(M2070:M2091)</f>
        <v>365700</v>
      </c>
      <c r="N2092" s="563" t="n">
        <f aca="false">SUM(N2070:N2091)</f>
        <v>2445</v>
      </c>
      <c r="O2092" s="564" t="n">
        <f aca="false">SUM(O2070:O2091)</f>
        <v>0</v>
      </c>
      <c r="P2092" s="565" t="n">
        <f aca="false">SUM(P2070:P2091)</f>
        <v>-363255</v>
      </c>
      <c r="Q2092" s="566"/>
      <c r="R2092" s="567"/>
    </row>
    <row r="2094" customFormat="false" ht="19.7" hidden="false" customHeight="false" outlineLevel="0" collapsed="false">
      <c r="A2094" s="568"/>
      <c r="B2094" s="518" t="s">
        <v>2122</v>
      </c>
      <c r="C2094" s="518"/>
      <c r="D2094" s="518"/>
      <c r="E2094" s="518"/>
      <c r="F2094" s="518"/>
      <c r="G2094" s="518"/>
      <c r="H2094" s="518"/>
      <c r="I2094" s="518"/>
      <c r="J2094" s="518"/>
      <c r="K2094" s="518"/>
      <c r="L2094" s="518"/>
      <c r="M2094" s="519"/>
      <c r="N2094" s="519"/>
      <c r="O2094" s="519"/>
      <c r="P2094" s="519"/>
      <c r="Q2094" s="519"/>
      <c r="R2094" s="519"/>
      <c r="S2094" s="519"/>
    </row>
    <row r="2095" customFormat="false" ht="17.35" hidden="false" customHeight="false" outlineLevel="0" collapsed="false">
      <c r="A2095" s="569" t="s">
        <v>2113</v>
      </c>
      <c r="B2095" s="569"/>
      <c r="C2095" s="569"/>
      <c r="D2095" s="570"/>
      <c r="E2095" s="571" t="s">
        <v>1666</v>
      </c>
      <c r="F2095" s="571"/>
      <c r="G2095" s="571"/>
      <c r="H2095" s="571"/>
      <c r="I2095" s="522" t="s">
        <v>1665</v>
      </c>
      <c r="J2095" s="522"/>
      <c r="K2095" s="522"/>
      <c r="L2095" s="522"/>
      <c r="M2095" s="269"/>
      <c r="N2095" s="269"/>
      <c r="O2095" s="269"/>
      <c r="P2095" s="269"/>
      <c r="Q2095" s="523"/>
      <c r="R2095" s="523"/>
      <c r="S2095" s="523"/>
    </row>
    <row r="2096" customFormat="false" ht="17.35" hidden="false" customHeight="false" outlineLevel="0" collapsed="false">
      <c r="A2096" s="569"/>
      <c r="B2096" s="569"/>
      <c r="C2096" s="569"/>
      <c r="D2096" s="572"/>
      <c r="E2096" s="573" t="s">
        <v>2117</v>
      </c>
      <c r="F2096" s="531" t="s">
        <v>2118</v>
      </c>
      <c r="G2096" s="527" t="s">
        <v>2119</v>
      </c>
      <c r="H2096" s="528" t="s">
        <v>2120</v>
      </c>
      <c r="I2096" s="574" t="s">
        <v>2117</v>
      </c>
      <c r="J2096" s="530" t="s">
        <v>2121</v>
      </c>
      <c r="K2096" s="527" t="s">
        <v>2119</v>
      </c>
      <c r="L2096" s="528" t="s">
        <v>2120</v>
      </c>
      <c r="M2096" s="532"/>
      <c r="N2096" s="532"/>
      <c r="O2096" s="532"/>
      <c r="P2096" s="532"/>
      <c r="Q2096" s="532"/>
      <c r="R2096" s="532"/>
      <c r="S2096" s="532"/>
    </row>
    <row r="2097" customFormat="false" ht="14.25" hidden="false" customHeight="false" outlineLevel="0" collapsed="false">
      <c r="A2097" s="575" t="s">
        <v>5</v>
      </c>
      <c r="B2097" s="575"/>
      <c r="C2097" s="575"/>
      <c r="D2097" s="576"/>
      <c r="E2097" s="577" t="n">
        <f aca="false">SUMIFS('ANT.'!$O$4:$O$36,'ANT.'!$F$4:$F$36,"Marandú",'ANT.'!$I$4:$I$36,"Golden")+SUMIFS(VEN!$P$142:$P$2063,VEN!$G$142:$G$2063,"Marandú",VEN!$J$142:$J$2063,"Golden")</f>
        <v>405</v>
      </c>
      <c r="F2097" s="540" t="n">
        <f aca="false">SUMIFS('P.L'!I3:I66,'P.L'!D3:D66,"Marandu",'P.L'!E3:E66,"Golden")</f>
        <v>4125</v>
      </c>
      <c r="G2097" s="578"/>
      <c r="H2097" s="579" t="n">
        <f aca="false">F2097-E2097-G2097</f>
        <v>3720</v>
      </c>
      <c r="I2097" s="539" t="n">
        <f aca="false">SUMIFS('ANT.'!$O$4:$O$36,'ANT.'!$F$4:$F$36,"Marandú",'ANT.'!$I$4:$I$36,"Podium")+SUMIFS(VEN!$P$142:$P$2063,VEN!$G$142:$G$2063,"Marandú",VEN!$J$142:$J$2063,"Podium")</f>
        <v>0</v>
      </c>
      <c r="J2097" s="540" t="n">
        <f aca="false">SUMIFS('P.L'!I3:I66,'P.L'!D3:D66,"Marandu",'P.L'!E3:E66,"Podium")</f>
        <v>90</v>
      </c>
      <c r="K2097" s="580"/>
      <c r="L2097" s="538" t="n">
        <f aca="false">J2097-I2097-K2097</f>
        <v>90</v>
      </c>
      <c r="M2097" s="97"/>
      <c r="N2097" s="97"/>
      <c r="O2097" s="243"/>
      <c r="P2097" s="243"/>
      <c r="Q2097" s="243"/>
      <c r="R2097" s="243"/>
      <c r="S2097" s="243"/>
    </row>
    <row r="2098" customFormat="false" ht="14.25" hidden="false" customHeight="false" outlineLevel="0" collapsed="false">
      <c r="A2098" s="548" t="s">
        <v>6</v>
      </c>
      <c r="B2098" s="548"/>
      <c r="C2098" s="548"/>
      <c r="D2098" s="549"/>
      <c r="E2098" s="546" t="n">
        <f aca="false">SUMIFS('ANT.'!$O$4:$O$36,'ANT.'!$F$4:$F$36,"Piatã",'ANT.'!$I$4:$I$36,"Golden")+SUMIFS(VEN!$P$142:$P$2063,VEN!$G$142:$G$2063,"Piatã",VEN!$J$142:$J$2063,"Golden")</f>
        <v>15115</v>
      </c>
      <c r="F2098" s="581" t="n">
        <f aca="false">SUMIFS('P.L'!I3:I66,'P.L'!D3:D66,"Piata",'P.L'!E3:E66,"Golden")</f>
        <v>0</v>
      </c>
      <c r="G2098" s="545"/>
      <c r="H2098" s="582" t="n">
        <f aca="false">F2098-E2098-G2098</f>
        <v>-15115</v>
      </c>
      <c r="I2098" s="583" t="n">
        <f aca="false">SUMIFS('ANT.'!$O$4:$O$36,'ANT.'!$F$4:$F$36,"Piatã",'ANT.'!$I$4:$I$36,"Podium")+SUMIFS(VEN!$P$142:$P$2063,VEN!$G$142:$G$2063,"Piatã",VEN!$J$142:$J$2063,"Podium")</f>
        <v>4620</v>
      </c>
      <c r="J2098" s="540" t="n">
        <f aca="false">SUMIFS('P.L'!I3:I66,'P.L'!D3:D66,"Piata",'P.L'!E3:E66,"Podium")</f>
        <v>4680</v>
      </c>
      <c r="K2098" s="545"/>
      <c r="L2098" s="538" t="n">
        <f aca="false">J2098-I2098-K2098</f>
        <v>60</v>
      </c>
      <c r="M2098" s="97"/>
      <c r="N2098" s="97"/>
      <c r="O2098" s="243"/>
      <c r="P2098" s="243"/>
      <c r="Q2098" s="243"/>
      <c r="R2098" s="243"/>
      <c r="S2098" s="243"/>
    </row>
    <row r="2099" customFormat="false" ht="14.25" hidden="false" customHeight="false" outlineLevel="0" collapsed="false">
      <c r="A2099" s="548" t="s">
        <v>7</v>
      </c>
      <c r="B2099" s="548"/>
      <c r="C2099" s="548"/>
      <c r="D2099" s="549"/>
      <c r="E2099" s="546" t="n">
        <f aca="false">SUMIFS('ANT.'!$O$4:$O$36,'ANT.'!$F$4:$F$36,"Decumbens",'ANT.'!$I$4:$I$36,"Golden")+SUMIFS(VEN!$P$142:$P$2063,VEN!$G$142:$G$2063,"Decumbens",VEN!$J$142:$J$2063,"Golden")</f>
        <v>11880</v>
      </c>
      <c r="F2099" s="581" t="n">
        <f aca="false">SUMIFS('P.L'!I3:I66,'P.L'!D3:D66,"Decumbens",'P.L'!E3:E66,"Golden")</f>
        <v>6065</v>
      </c>
      <c r="G2099" s="584"/>
      <c r="H2099" s="582" t="n">
        <f aca="false">F2099-E2099-G2099</f>
        <v>-5815</v>
      </c>
      <c r="I2099" s="583" t="n">
        <f aca="false">SUMIFS('ANT.'!$O$4:$O$36,'ANT.'!$F$4:$F$36,"Decumbens",'ANT.'!$I$4:$I$36,"Podium")+SUMIFS(VEN!$P$142:$P$2063,VEN!$G$142:$G$2063,"Decumbens",VEN!$J$142:$J$2063,"Podium")</f>
        <v>0</v>
      </c>
      <c r="J2099" s="540" t="n">
        <f aca="false">SUMIFS('P.L'!I3:I66,'P.L'!D3:D66,"Decumbens",'P.L'!E3:E66,"Podium")</f>
        <v>2505</v>
      </c>
      <c r="K2099" s="543"/>
      <c r="L2099" s="538" t="n">
        <f aca="false">J2099-I2099-K2099</f>
        <v>2505</v>
      </c>
      <c r="M2099" s="97"/>
      <c r="N2099" s="97"/>
      <c r="O2099" s="243"/>
      <c r="P2099" s="243"/>
      <c r="Q2099" s="243"/>
      <c r="R2099" s="243"/>
      <c r="S2099" s="243"/>
    </row>
    <row r="2100" customFormat="false" ht="14.25" hidden="false" customHeight="false" outlineLevel="0" collapsed="false">
      <c r="A2100" s="548" t="s">
        <v>8</v>
      </c>
      <c r="B2100" s="548"/>
      <c r="C2100" s="548"/>
      <c r="D2100" s="549"/>
      <c r="E2100" s="546" t="n">
        <f aca="false">SUMIFS('ANT.'!$O$4:$O$36,'ANT.'!$F$4:$F$36,"Xaraes",'ANT.'!$I$4:$I$36,"Golden")+SUMIFS(VEN!$P$142:$P$2063,VEN!$G$142:$G$2063,"Xaraes",VEN!$J$142:$J$2063,"Golden")</f>
        <v>120</v>
      </c>
      <c r="F2100" s="581" t="n">
        <f aca="false">SUMIFS('P.L'!I3:I66,'P.L'!D3:D66,"Xaraes",'P.L'!E3:E66,"Golden")</f>
        <v>19335</v>
      </c>
      <c r="G2100" s="545"/>
      <c r="H2100" s="582" t="n">
        <f aca="false">F2100-E2100-G2100</f>
        <v>19215</v>
      </c>
      <c r="I2100" s="583" t="n">
        <f aca="false">SUMIFS('ANT.'!$O$4:$O$36,'ANT.'!$F$4:$F$36,"Xaraes",'ANT.'!$I$4:$I$36,"Podium")+SUMIFS(VEN!$P$142:$P$2063,VEN!$G$142:$G$2063,"Xaraes",VEN!$J$142:$J$2063,"Podium")</f>
        <v>0</v>
      </c>
      <c r="J2100" s="540" t="n">
        <f aca="false">SUMIFS('P.L'!I3:I66,'P.L'!D3:D66,"Xaraes",'P.L'!E3:E66,"Podium")</f>
        <v>1695</v>
      </c>
      <c r="K2100" s="545"/>
      <c r="L2100" s="538" t="n">
        <f aca="false">J2100-I2100-K2100</f>
        <v>1695</v>
      </c>
      <c r="M2100" s="97"/>
      <c r="N2100" s="97"/>
      <c r="O2100" s="243"/>
      <c r="P2100" s="243"/>
      <c r="Q2100" s="243"/>
      <c r="R2100" s="243"/>
      <c r="S2100" s="243"/>
    </row>
    <row r="2101" customFormat="false" ht="14.25" hidden="false" customHeight="false" outlineLevel="0" collapsed="false">
      <c r="A2101" s="548" t="s">
        <v>9</v>
      </c>
      <c r="B2101" s="548"/>
      <c r="C2101" s="548"/>
      <c r="D2101" s="549"/>
      <c r="E2101" s="546" t="n">
        <f aca="false">SUMIFS('ANT.'!$O$4:$O$36,'ANT.'!$F$4:$F$36,"MG-4",'ANT.'!$I$4:$I$36,"Golden")+SUMIFS(VEN!$P$142:$P$2063,VEN!$G$142:$G$2063,"MG-4",VEN!$J$142:$J$2063,"Golden")</f>
        <v>0</v>
      </c>
      <c r="F2101" s="581" t="n">
        <f aca="false">SUMIFS('P.L'!I3:I66,'P.L'!D3:D66,"MG-4",'P.L'!E3:E66,"Golden")</f>
        <v>0</v>
      </c>
      <c r="G2101" s="543"/>
      <c r="H2101" s="582" t="n">
        <f aca="false">F2101-E2101-G2101</f>
        <v>0</v>
      </c>
      <c r="I2101" s="583" t="n">
        <f aca="false">SUMIFS('ANT.'!$O$4:$O$36,'ANT.'!$F$4:$F$36,"MG-4",'ANT.'!$I$4:$I$36,"Podium")+SUMIFS(VEN!$P$142:$P$2063,VEN!$G$142:$G$2063,"MG-4",VEN!$J$142:$J$2063,"Podium")</f>
        <v>0</v>
      </c>
      <c r="J2101" s="540" t="n">
        <f aca="false">SUMIFS('P.L'!I3:I66,'P.L'!D3:D66,"MG-4",'P.L'!E3:E66,"Podium")</f>
        <v>0</v>
      </c>
      <c r="K2101" s="543"/>
      <c r="L2101" s="538" t="n">
        <f aca="false">J2101-I2101-K2101</f>
        <v>0</v>
      </c>
      <c r="M2101" s="97"/>
      <c r="N2101" s="97"/>
      <c r="O2101" s="243"/>
      <c r="P2101" s="243"/>
      <c r="Q2101" s="243"/>
      <c r="R2101" s="243"/>
      <c r="S2101" s="243"/>
    </row>
    <row r="2102" customFormat="false" ht="14.25" hidden="false" customHeight="false" outlineLevel="0" collapsed="false">
      <c r="A2102" s="548" t="s">
        <v>10</v>
      </c>
      <c r="B2102" s="548"/>
      <c r="C2102" s="548"/>
      <c r="D2102" s="549"/>
      <c r="E2102" s="546" t="n">
        <f aca="false">SUMIFS('ANT.'!$O$4:$O$36,'ANT.'!$F$4:$F$36,"Ruziziensis",'ANT.'!$I$4:$I$36,"Golden")+SUMIFS(VEN!$P$142:$P$2063,VEN!$G$142:$G$2063,"Ruziziensis",VEN!$J$142:$J$2063,"Golden")</f>
        <v>0</v>
      </c>
      <c r="F2102" s="581" t="n">
        <f aca="false">SUMIFS('P.L'!I3:I66,'P.L'!D3:D66,"Ruziziensis",'P.L'!E3:E66,"Golden")</f>
        <v>4200</v>
      </c>
      <c r="G2102" s="543"/>
      <c r="H2102" s="582" t="n">
        <f aca="false">F2102-E2102-G2102</f>
        <v>4200</v>
      </c>
      <c r="I2102" s="583" t="n">
        <f aca="false">SUMIFS('ANT.'!$O$4:$O$36,'ANT.'!$F$4:$F$36,"Ruziziensis",'ANT.'!$I$4:$I$36,"Podium")+SUMIFS(VEN!$P$142:$P$2063,VEN!$G$142:$G$2063,"Ruziziensis",VEN!$J$142:$J$2063,"Podium")</f>
        <v>62595</v>
      </c>
      <c r="J2102" s="540" t="n">
        <f aca="false">SUMIFS('P.L'!I3:I66,'P.L'!D3:D66,"Ruziziensis",'P.L'!E3:E66,"Podium")</f>
        <v>1320</v>
      </c>
      <c r="K2102" s="543"/>
      <c r="L2102" s="538" t="n">
        <f aca="false">J2102-I2102-K2102</f>
        <v>-61275</v>
      </c>
      <c r="M2102" s="97"/>
      <c r="N2102" s="97"/>
      <c r="O2102" s="243"/>
      <c r="P2102" s="243"/>
      <c r="Q2102" s="243"/>
      <c r="R2102" s="243"/>
      <c r="S2102" s="243"/>
    </row>
    <row r="2103" customFormat="false" ht="14.25" hidden="false" customHeight="false" outlineLevel="0" collapsed="false">
      <c r="A2103" s="548" t="s">
        <v>11</v>
      </c>
      <c r="B2103" s="548"/>
      <c r="C2103" s="548"/>
      <c r="D2103" s="549"/>
      <c r="E2103" s="546" t="n">
        <f aca="false">SUMIFS('ANT.'!$O$4:$O$36,'ANT.'!$F$4:$F$36,"Humidicola",'ANT.'!$I$4:$I$36,"Golden")+SUMIFS(VEN!$P$142:$P$2063,VEN!$G$142:$G$2063,"Humidicola",VEN!$J$142:$J$2063,"Golden")</f>
        <v>0</v>
      </c>
      <c r="F2103" s="581" t="n">
        <f aca="false">SUMIFS('P.L'!I3:I66,'P.L'!D3:D66,"Humidicola",'P.L'!E3:E66,"Golden")</f>
        <v>6210</v>
      </c>
      <c r="G2103" s="545"/>
      <c r="H2103" s="582" t="n">
        <f aca="false">F2103-E2103-G2103</f>
        <v>6210</v>
      </c>
      <c r="I2103" s="583" t="n">
        <f aca="false">SUMIFS('ANT.'!$O$4:$O$36,'ANT.'!$F$4:$F$36,"Humidicola",'ANT.'!$I$4:$I$36,"Podium")+SUMIFS(VEN!$P$142:$P$2063,VEN!$G$142:$G$2063,"Humidicola",VEN!$J$142:$J$2063,"Podium")</f>
        <v>0</v>
      </c>
      <c r="J2103" s="540" t="n">
        <f aca="false">SUMIFS('P.L'!I3:I66,'P.L'!D3:D66,"Humidicola",'P.L'!E3:E66,"Podium")</f>
        <v>75</v>
      </c>
      <c r="K2103" s="543"/>
      <c r="L2103" s="538" t="n">
        <f aca="false">J2103-I2103-K2103</f>
        <v>75</v>
      </c>
      <c r="M2103" s="97"/>
      <c r="N2103" s="97"/>
      <c r="O2103" s="243"/>
      <c r="P2103" s="243"/>
      <c r="Q2103" s="243"/>
      <c r="R2103" s="243"/>
      <c r="S2103" s="243"/>
    </row>
    <row r="2104" customFormat="false" ht="14.25" hidden="false" customHeight="false" outlineLevel="0" collapsed="false">
      <c r="A2104" s="548" t="s">
        <v>12</v>
      </c>
      <c r="B2104" s="548"/>
      <c r="C2104" s="548"/>
      <c r="D2104" s="549"/>
      <c r="E2104" s="546" t="n">
        <f aca="false">SUMIFS('ANT.'!$O$4:$O$36,'ANT.'!$F$4:$F$36,"Llanero",'ANT.'!$I$4:$I$36,"Golden")+SUMIFS(VEN!$P$142:$P$2063,VEN!$G$142:$G$2063,"Llanero",VEN!$J$142:$J$2063,"Golden")</f>
        <v>1140</v>
      </c>
      <c r="F2104" s="581" t="n">
        <f aca="false">SUMIFS('P.L'!I3:I66,'P.L'!D3:D66,"Llanero",'P.L'!E3:E66,"Golden")</f>
        <v>1485</v>
      </c>
      <c r="G2104" s="545"/>
      <c r="H2104" s="582" t="n">
        <f aca="false">F2104-E2104-G2104</f>
        <v>345</v>
      </c>
      <c r="I2104" s="583" t="n">
        <f aca="false">SUMIFS('ANT.'!$O$4:$O$36,'ANT.'!$F$4:$F$36,"Llanero",'ANT.'!$I$4:$I$36,"Podium")+SUMIFS(VEN!$P$142:$P$2063,VEN!$G$142:$G$2063,"Llanero",VEN!$J$142:$J$2063,"Podium")</f>
        <v>0</v>
      </c>
      <c r="J2104" s="540" t="n">
        <f aca="false">SUMIFS('P.L'!I3:I66,'P.L'!D3:D66,"Llanero",'P.L'!E3:E66,"Podium")</f>
        <v>0</v>
      </c>
      <c r="K2104" s="543"/>
      <c r="L2104" s="538" t="n">
        <f aca="false">J2104-I2104-K2104</f>
        <v>0</v>
      </c>
      <c r="M2104" s="97"/>
      <c r="N2104" s="97"/>
      <c r="O2104" s="243"/>
      <c r="P2104" s="243"/>
      <c r="Q2104" s="243"/>
      <c r="R2104" s="243"/>
      <c r="S2104" s="243"/>
    </row>
    <row r="2105" customFormat="false" ht="14.25" hidden="false" customHeight="false" outlineLevel="0" collapsed="false">
      <c r="A2105" s="548" t="s">
        <v>13</v>
      </c>
      <c r="B2105" s="548"/>
      <c r="C2105" s="548"/>
      <c r="D2105" s="549"/>
      <c r="E2105" s="546" t="n">
        <f aca="false">SUMIFS('ANT.'!$O$4:$O$36,'ANT.'!$F$4:$F$36,"Mombaça",'ANT.'!$I$4:$I$36,"Golden")+SUMIFS(VEN!$P$142:$P$2063,VEN!$G$142:$G$2063,"Mombaça",VEN!$J$142:$J$2063,"Golden")</f>
        <v>16575</v>
      </c>
      <c r="F2105" s="581" t="n">
        <f aca="false">SUMIFS('P.L'!I3:I66,'P.L'!D3:D66,"Mombaça",'P.L'!E3:E66,"Golden")</f>
        <v>15</v>
      </c>
      <c r="G2105" s="545"/>
      <c r="H2105" s="582" t="n">
        <f aca="false">F2105-E2105-G2105</f>
        <v>-16560</v>
      </c>
      <c r="I2105" s="583" t="n">
        <f aca="false">SUMIFS('ANT.'!$O$4:$O$36,'ANT.'!$F$4:$F$36,"Mombaça",'ANT.'!$I$4:$I$36,"Podium")+SUMIFS(VEN!$P$142:$P$2063,VEN!$G$142:$G$2063,"Mombaça",VEN!$J$142:$J$2063,"Podium")</f>
        <v>0</v>
      </c>
      <c r="J2105" s="540" t="n">
        <f aca="false">SUMIFS('P.L'!I3:I66,'P.L'!D3:D66,"Mombaça",'P.L'!E3:E66,"Podium")</f>
        <v>0</v>
      </c>
      <c r="K2105" s="543"/>
      <c r="L2105" s="538" t="n">
        <f aca="false">J2105-I2105-K2105</f>
        <v>0</v>
      </c>
      <c r="M2105" s="97"/>
      <c r="N2105" s="97"/>
      <c r="O2105" s="243"/>
      <c r="P2105" s="243"/>
      <c r="Q2105" s="243"/>
      <c r="R2105" s="243"/>
      <c r="S2105" s="243"/>
    </row>
    <row r="2106" customFormat="false" ht="14.25" hidden="false" customHeight="false" outlineLevel="0" collapsed="false">
      <c r="A2106" s="548" t="s">
        <v>14</v>
      </c>
      <c r="B2106" s="548"/>
      <c r="C2106" s="548"/>
      <c r="D2106" s="549"/>
      <c r="E2106" s="546" t="n">
        <f aca="false">SUMIFS('ANT.'!$O$4:$O$36,'ANT.'!$F$4:$F$36,"Tanzania",'ANT.'!$I$4:$I$36,"Golden")+SUMIFS(VEN!$P$142:$P$2063,VEN!$G$142:$G$2063,"Tanzania",VEN!$J$142:$J$2063,"Golden")</f>
        <v>0</v>
      </c>
      <c r="F2106" s="581" t="n">
        <f aca="false">SUMIFS('P.L'!I3:I66,'P.L'!D3:D66,"Tanzania",'P.L'!E3:E66,"Golden")</f>
        <v>0</v>
      </c>
      <c r="G2106" s="547"/>
      <c r="H2106" s="582" t="n">
        <f aca="false">F2106-E2106-G2106</f>
        <v>0</v>
      </c>
      <c r="I2106" s="583" t="n">
        <f aca="false">SUMIFS('ANT.'!$O$4:$O$36,'ANT.'!$F$4:$F$36,"Tanzania",'ANT.'!$I$4:$I$36,"Podium")+SUMIFS(VEN!$P$142:$P$2063,VEN!$G$142:$G$2063,"Tanzania",VEN!$J$142:$J$2063,"Podium")</f>
        <v>0</v>
      </c>
      <c r="J2106" s="540" t="n">
        <f aca="false">SUMIFS('P.L'!I3:I66,'P.L'!D3:D66,"Tanzania",'P.L'!E3:E66,"Podium")</f>
        <v>0</v>
      </c>
      <c r="K2106" s="543"/>
      <c r="L2106" s="538" t="n">
        <f aca="false">J2106-I2106-K2106</f>
        <v>0</v>
      </c>
      <c r="M2106" s="97"/>
      <c r="N2106" s="97"/>
      <c r="O2106" s="243"/>
      <c r="P2106" s="243"/>
      <c r="Q2106" s="243"/>
      <c r="R2106" s="243"/>
      <c r="S2106" s="243"/>
    </row>
    <row r="2107" customFormat="false" ht="14.25" hidden="false" customHeight="false" outlineLevel="0" collapsed="false">
      <c r="A2107" s="548" t="s">
        <v>15</v>
      </c>
      <c r="B2107" s="548"/>
      <c r="C2107" s="548"/>
      <c r="D2107" s="549"/>
      <c r="E2107" s="546" t="n">
        <f aca="false">SUMIFS('ANT.'!$O$4:$O$36,'ANT.'!$F$4:$F$36,"Massai",'ANT.'!$I$4:$I$36,"Golden")+SUMIFS(VEN!$P$142:$P$2063,VEN!$G$142:$G$2063,"Massai",VEN!$J$142:$J$2063,"Golden")</f>
        <v>2565</v>
      </c>
      <c r="F2107" s="581" t="n">
        <f aca="false">SUMIFS('P.L'!I3:I66,'P.L'!D3:D66,"Massai",'P.L'!E3:E66,"Golden")</f>
        <v>0</v>
      </c>
      <c r="G2107" s="543"/>
      <c r="H2107" s="582" t="n">
        <f aca="false">F2107-E2107-G2107</f>
        <v>-2565</v>
      </c>
      <c r="I2107" s="583" t="n">
        <f aca="false">SUMIFS('ANT.'!$O$4:$O$36,'ANT.'!$F$4:$F$36,"Massai",'ANT.'!$I$4:$I$36,"Podium")+SUMIFS(VEN!$P$142:$P$2063,VEN!$G$142:$G$2063,"Massai",VEN!$J$142:$J$2063,"Podium")</f>
        <v>0</v>
      </c>
      <c r="J2107" s="540" t="n">
        <f aca="false">SUMIFS('P.L'!I3:I66,'P.L'!D3:D66,"Massai",'P.L'!E3:E66,"Podium")</f>
        <v>0</v>
      </c>
      <c r="K2107" s="543"/>
      <c r="L2107" s="538" t="n">
        <f aca="false">J2107-I2107-K2107</f>
        <v>0</v>
      </c>
      <c r="M2107" s="97"/>
      <c r="N2107" s="97"/>
      <c r="O2107" s="243"/>
      <c r="P2107" s="243"/>
      <c r="Q2107" s="243"/>
      <c r="R2107" s="243"/>
      <c r="S2107" s="243"/>
    </row>
    <row r="2108" customFormat="false" ht="14.25" hidden="false" customHeight="false" outlineLevel="0" collapsed="false">
      <c r="A2108" s="548" t="s">
        <v>16</v>
      </c>
      <c r="B2108" s="548"/>
      <c r="C2108" s="548"/>
      <c r="D2108" s="549"/>
      <c r="E2108" s="546" t="n">
        <f aca="false">SUMIFS('ANT.'!$O$4:$O$36,'ANT.'!$F$4:$F$36,"Aruana",'ANT.'!$I$4:$I$36,"Golden")+SUMIFS(VEN!$P$142:$P$2063,VEN!$G$142:$G$2063,"Aruana",VEN!$J$142:$J$2063,"Golden")</f>
        <v>0</v>
      </c>
      <c r="F2108" s="581" t="n">
        <f aca="false">SUMIFS('P.L'!I3:I66,'P.L'!D3:D66,"Aruana",'P.L'!E3:E66,"Golden")</f>
        <v>0</v>
      </c>
      <c r="G2108" s="543"/>
      <c r="H2108" s="582" t="n">
        <f aca="false">F2108-E2108-G2108</f>
        <v>0</v>
      </c>
      <c r="I2108" s="583" t="n">
        <f aca="false">SUMIFS('ANT.'!$O$4:$O$36,'ANT.'!$F$4:$F$36,"Aruana",'ANT.'!$I$4:$I$36,"Podium")+SUMIFS(VEN!$P$142:$P$2063,VEN!$G$142:$G$2063,"Aruana",VEN!$J$142:$J$2063,"Podium")</f>
        <v>0</v>
      </c>
      <c r="J2108" s="540" t="n">
        <f aca="false">SUMIFS('P.L'!I3:I66,'P.L'!D3:D66,"Aruana",'P.L'!E3:E66,"Podium")</f>
        <v>0</v>
      </c>
      <c r="K2108" s="543"/>
      <c r="L2108" s="538" t="n">
        <f aca="false">J2108-I2108-K2108</f>
        <v>0</v>
      </c>
      <c r="M2108" s="97"/>
      <c r="N2108" s="97"/>
      <c r="O2108" s="243"/>
      <c r="P2108" s="243"/>
      <c r="Q2108" s="243"/>
      <c r="R2108" s="243"/>
      <c r="S2108" s="243"/>
    </row>
    <row r="2109" customFormat="false" ht="14.25" hidden="false" customHeight="false" outlineLevel="0" collapsed="false">
      <c r="A2109" s="548" t="s">
        <v>17</v>
      </c>
      <c r="B2109" s="548"/>
      <c r="C2109" s="548"/>
      <c r="D2109" s="549"/>
      <c r="E2109" s="546" t="n">
        <f aca="false">SUMIFS('ANT.'!$O$4:$O$36,'ANT.'!$F$4:$F$36,"Zuri",'ANT.'!$I$4:$I$36,"Golden")+SUMIFS(VEN!$P$142:$P$2063,VEN!$G$142:$G$2063,"Zuri",VEN!$J$142:$J$2063,"Golden")</f>
        <v>2850</v>
      </c>
      <c r="F2109" s="581" t="n">
        <f aca="false">SUMIFS('P.L'!I3:I66,'P.L'!D3:D66,"Zuri",'P.L'!E3:E66,"Golden")</f>
        <v>60</v>
      </c>
      <c r="G2109" s="545"/>
      <c r="H2109" s="582" t="n">
        <f aca="false">F2109-E2109-G2109</f>
        <v>-2790</v>
      </c>
      <c r="I2109" s="583" t="n">
        <f aca="false">SUMIFS('ANT.'!$O$4:$O$36,'ANT.'!$F$4:$F$36,"Zuri",'ANT.'!$I$4:$I$36,"Podium")+SUMIFS(VEN!$P$142:$P$2063,VEN!$G$142:$G$2063,"Zuri",VEN!$J$142:$J$2063,"Podium")</f>
        <v>0</v>
      </c>
      <c r="J2109" s="540" t="n">
        <f aca="false">SUMIFS('P.L'!I3:I66,'P.L'!D3:D66,"Zuri",'P.L'!E3:E66,"Podium")</f>
        <v>0</v>
      </c>
      <c r="K2109" s="543"/>
      <c r="L2109" s="538" t="n">
        <f aca="false">J2109-I2109-K2109</f>
        <v>0</v>
      </c>
      <c r="M2109" s="97"/>
      <c r="N2109" s="97"/>
      <c r="O2109" s="243"/>
      <c r="P2109" s="243"/>
      <c r="Q2109" s="243"/>
      <c r="R2109" s="243"/>
      <c r="S2109" s="243"/>
    </row>
    <row r="2110" customFormat="false" ht="14.25" hidden="false" customHeight="false" outlineLevel="0" collapsed="false">
      <c r="A2110" s="548" t="s">
        <v>2123</v>
      </c>
      <c r="B2110" s="548"/>
      <c r="C2110" s="548"/>
      <c r="D2110" s="549"/>
      <c r="E2110" s="546" t="n">
        <f aca="false">SUMIFS('ANT.'!$O$4:$O$36,'ANT.'!$F$4:$F$36,"Paiaguas",'ANT.'!$I$4:$I$36,"Golden")+SUMIFS(VEN!$P$142:$P$2063,VEN!$G$142:$G$2063,"Paiaguas",VEN!$J$142:$J$2063,"Golden")</f>
        <v>360</v>
      </c>
      <c r="F2110" s="581" t="n">
        <f aca="false">SUMIFS('P.L'!I3:I66,'P.L'!D3:D66,"Paiaguas",'P.L'!E3:E66,"Golden")</f>
        <v>555</v>
      </c>
      <c r="G2110" s="543"/>
      <c r="H2110" s="582" t="n">
        <f aca="false">F2110-E2110-G2110</f>
        <v>195</v>
      </c>
      <c r="I2110" s="583" t="n">
        <f aca="false">SUMIFS('ANT.'!$O$4:$O$36,'ANT.'!$F$4:$F$36,"Paiaguas",'ANT.'!$I$4:$I$36,"Podium")+SUMIFS(VEN!$P$142:$P$2063,VEN!$G$142:$G$2063,"Paiaguas",VEN!$J$142:$J$2063,"Podium")</f>
        <v>0</v>
      </c>
      <c r="J2110" s="540" t="n">
        <f aca="false">SUMIFS('P.L'!I3:I66,'P.L'!D3:D66,"Paiaguas",'P.L'!E3:E66,"Podium")</f>
        <v>0</v>
      </c>
      <c r="K2110" s="543"/>
      <c r="L2110" s="538" t="n">
        <f aca="false">J2110-I2110-K2110</f>
        <v>0</v>
      </c>
      <c r="M2110" s="97"/>
      <c r="N2110" s="97"/>
      <c r="O2110" s="243"/>
      <c r="P2110" s="243"/>
      <c r="Q2110" s="243"/>
      <c r="R2110" s="243"/>
      <c r="S2110" s="243"/>
    </row>
    <row r="2111" customFormat="false" ht="14.25" hidden="false" customHeight="false" outlineLevel="0" collapsed="false">
      <c r="A2111" s="548" t="s">
        <v>19</v>
      </c>
      <c r="B2111" s="548"/>
      <c r="C2111" s="548"/>
      <c r="D2111" s="549"/>
      <c r="E2111" s="546" t="n">
        <f aca="false">SUMIFS('ANT.'!$O$4:$O$36,'ANT.'!$F$4:$F$36,"Tamani",'ANT.'!$I$4:$I$36,"Golden")+SUMIFS(VEN!$P$142:$P$2063,VEN!$G$142:$G$2063,"Tamani",VEN!$J$142:$J$2063,"Golden")</f>
        <v>780</v>
      </c>
      <c r="F2111" s="581" t="n">
        <f aca="false">SUMIFS('P.L'!I3:I66,'P.L'!D3:D66,"Tamani",'P.L'!E3:E66,"Golden")</f>
        <v>0</v>
      </c>
      <c r="G2111" s="543"/>
      <c r="H2111" s="582" t="n">
        <f aca="false">F2111-E2111-G2111</f>
        <v>-780</v>
      </c>
      <c r="I2111" s="583" t="n">
        <f aca="false">SUMIFS('ANT.'!$O$4:$O$36,'ANT.'!$F$4:$F$36,"Tamani",'ANT.'!$I$4:$I$36,"Podium")+SUMIFS(VEN!$P$142:$P$2063,VEN!$G$142:$G$2063,"Tamani",VEN!$J$142:$J$2063,"Podium")</f>
        <v>0</v>
      </c>
      <c r="J2111" s="540" t="n">
        <f aca="false">SUMIFS('P.L'!I3:I66,'P.L'!D3:D66,"Tamani",'P.L'!E3:E66,"Podium")</f>
        <v>1605</v>
      </c>
      <c r="K2111" s="543"/>
      <c r="L2111" s="538" t="n">
        <f aca="false">J2111-I2111-K2111</f>
        <v>1605</v>
      </c>
      <c r="M2111" s="97"/>
      <c r="N2111" s="97"/>
      <c r="O2111" s="243"/>
      <c r="P2111" s="243"/>
      <c r="Q2111" s="243"/>
      <c r="R2111" s="243"/>
      <c r="S2111" s="243"/>
    </row>
    <row r="2112" customFormat="false" ht="14.25" hidden="false" customHeight="false" outlineLevel="0" collapsed="false">
      <c r="A2112" s="548" t="s">
        <v>20</v>
      </c>
      <c r="B2112" s="549"/>
      <c r="C2112" s="549"/>
      <c r="D2112" s="549"/>
      <c r="E2112" s="546" t="n">
        <f aca="false">SUMIFS('ANT.'!$O$4:$O$36,'ANT.'!$F$4:$F$36,"Integra",'ANT.'!$I$4:$I$36,"Golden")+SUMIFS(VEN!$P$142:$P$2063,VEN!$G$142:$G$2063,"Integra",VEN!$J$142:$J$2063,"Golden")</f>
        <v>0</v>
      </c>
      <c r="F2112" s="581" t="n">
        <f aca="false">SUMIFS('P.L'!I3:I67,'P.L'!D3:D67,"Integra",'P.L'!E3:E67,"Golden")</f>
        <v>0</v>
      </c>
      <c r="G2112" s="543"/>
      <c r="H2112" s="582" t="n">
        <f aca="false">F2112-E2112-G2112</f>
        <v>0</v>
      </c>
      <c r="I2112" s="583" t="n">
        <f aca="false">SUMIFS('ANT.'!$O$4:$O$36,'ANT.'!$F$4:$F$36,"Integra",'ANT.'!$I$4:$I$36,"Podium")+SUMIFS(VEN!$P$142:$P$2063,VEN!$G$142:$G$2063,"Integra",VEN!$J$142:$J$2063,"Podium")</f>
        <v>0</v>
      </c>
      <c r="J2112" s="540" t="n">
        <f aca="false">SUMIFS('P.L'!I3:I67,'P.L'!D3:D67,"Integra",'P.L'!E3:E67,"Podium")</f>
        <v>0</v>
      </c>
      <c r="K2112" s="543"/>
      <c r="L2112" s="538" t="n">
        <f aca="false">J2112-I2112-K2112</f>
        <v>0</v>
      </c>
      <c r="M2112" s="97"/>
      <c r="N2112" s="97"/>
      <c r="O2112" s="243"/>
      <c r="P2112" s="243"/>
      <c r="Q2112" s="243"/>
      <c r="R2112" s="243"/>
      <c r="S2112" s="243"/>
    </row>
    <row r="2113" customFormat="false" ht="14.25" hidden="false" customHeight="false" outlineLevel="0" collapsed="false">
      <c r="A2113" s="541" t="s">
        <v>22</v>
      </c>
      <c r="B2113" s="541"/>
      <c r="C2113" s="541"/>
      <c r="D2113" s="549"/>
      <c r="E2113" s="546" t="n">
        <f aca="false">SUMIFS('ANT.'!$O$4:$O$36,'ANT.'!$F$4:$F$36,"Quenia",'ANT.'!$I$4:$I$36,"Golden")+SUMIFS(VEN!$P$142:$P$2063,VEN!$G$142:$G$2063,"Quenia",VEN!$J$142:$J$2063,"Golden")</f>
        <v>0</v>
      </c>
      <c r="F2113" s="581" t="n">
        <f aca="false">SUMIFS('P.L'!I3:I66,'P.L'!D3:D66,"Quenia",'P.L'!E3:E66,"Golden")</f>
        <v>690</v>
      </c>
      <c r="G2113" s="543"/>
      <c r="H2113" s="582" t="n">
        <f aca="false">F2113-E2113-G2113</f>
        <v>690</v>
      </c>
      <c r="I2113" s="583" t="n">
        <f aca="false">SUMIFS('ANT.'!$O$4:$O$36,'ANT.'!$F$4:$F$36,"Quenia",'ANT.'!$I$4:$I$36,"Podium")+SUMIFS(VEN!$P$142:$P$2063,VEN!$G$142:$G$2063,"Quenia",VEN!$J$142:$J$2063,"Podium")</f>
        <v>0</v>
      </c>
      <c r="J2113" s="540" t="n">
        <f aca="false">SUMIFS('P.L'!I3:I66,'P.L'!D3:D66,"Quenia",'P.L'!E3:E66,"Podium")</f>
        <v>0</v>
      </c>
      <c r="K2113" s="543"/>
      <c r="L2113" s="538" t="n">
        <f aca="false">J2113-I2113-K2113</f>
        <v>0</v>
      </c>
      <c r="M2113" s="97"/>
      <c r="N2113" s="97"/>
      <c r="O2113" s="243"/>
      <c r="P2113" s="243"/>
      <c r="Q2113" s="243"/>
      <c r="R2113" s="243"/>
      <c r="S2113" s="243"/>
    </row>
    <row r="2114" customFormat="false" ht="14.25" hidden="false" customHeight="false" outlineLevel="0" collapsed="false">
      <c r="A2114" s="548" t="s">
        <v>173</v>
      </c>
      <c r="B2114" s="548"/>
      <c r="C2114" s="548"/>
      <c r="D2114" s="549"/>
      <c r="E2114" s="546" t="n">
        <f aca="false">SUMIFS('ANT.'!$O$4:$O$36,'ANT.'!$F$4:$F$36,"Crotalaria",'ANT.'!$I$4:$I$36,"Golden")+SUMIFS(VEN!$P$142:$P$2063,VEN!$G$142:$G$2063,"Crotalaria",VEN!$J$142:$J$2063,"Golden")</f>
        <v>0</v>
      </c>
      <c r="F2114" s="540" t="n">
        <f aca="false">SUMIFS('P.L'!I3:I66,'P.L'!D3:D66,"Crotalaria",'P.L'!E3:E66,"Golden")</f>
        <v>0</v>
      </c>
      <c r="G2114" s="543"/>
      <c r="H2114" s="582" t="n">
        <f aca="false">F2114-E2114-G2114</f>
        <v>0</v>
      </c>
      <c r="I2114" s="583" t="n">
        <f aca="false">SUMIFS('ANT.'!$O$4:$O$36,'ANT.'!$F$4:$F$36,"Crotalaria",'ANT.'!$I$4:$I$36,"Podium")+SUMIFS(VEN!$P$142:$P$2063,VEN!$G$142:$G$2063,"Crotalaria",VEN!$J$142:$J$2063,"Podium")</f>
        <v>0</v>
      </c>
      <c r="J2114" s="540" t="n">
        <f aca="false">SUMIFS('P.L'!I3:I66,'P.L'!D3:D66,"Crotalaria",'P.L'!E3:E66,"Podium")</f>
        <v>0</v>
      </c>
      <c r="K2114" s="543"/>
      <c r="L2114" s="538" t="n">
        <f aca="false">J2114-I2114-K2114</f>
        <v>0</v>
      </c>
      <c r="M2114" s="97"/>
      <c r="N2114" s="97"/>
      <c r="O2114" s="243"/>
      <c r="P2114" s="243"/>
      <c r="Q2114" s="243"/>
      <c r="R2114" s="243"/>
      <c r="S2114" s="243"/>
    </row>
    <row r="2115" customFormat="false" ht="14.25" hidden="false" customHeight="false" outlineLevel="0" collapsed="false">
      <c r="A2115" s="585" t="s">
        <v>24</v>
      </c>
      <c r="B2115" s="585"/>
      <c r="C2115" s="585"/>
      <c r="D2115" s="586"/>
      <c r="E2115" s="587"/>
      <c r="F2115" s="588"/>
      <c r="G2115" s="589"/>
      <c r="H2115" s="590" t="n">
        <f aca="false">F2115-E2115-G2115</f>
        <v>0</v>
      </c>
      <c r="I2115" s="591"/>
      <c r="J2115" s="588"/>
      <c r="K2115" s="589"/>
      <c r="L2115" s="538" t="n">
        <f aca="false">J2115-I2115-K2115</f>
        <v>0</v>
      </c>
      <c r="M2115" s="97"/>
      <c r="N2115" s="97"/>
      <c r="O2115" s="243"/>
      <c r="P2115" s="243"/>
      <c r="Q2115" s="243"/>
      <c r="R2115" s="243"/>
      <c r="S2115" s="243"/>
    </row>
    <row r="2116" customFormat="false" ht="14.25" hidden="false" customHeight="false" outlineLevel="0" collapsed="false">
      <c r="A2116" s="592" t="s">
        <v>1675</v>
      </c>
      <c r="B2116" s="592"/>
      <c r="C2116" s="592"/>
      <c r="D2116" s="561"/>
      <c r="E2116" s="593" t="n">
        <f aca="false">SUM(E2097:E2115)</f>
        <v>51790</v>
      </c>
      <c r="F2116" s="563" t="n">
        <f aca="false">SUM(F2097:F2115)</f>
        <v>42740</v>
      </c>
      <c r="G2116" s="564" t="n">
        <f aca="false">SUM(G2097:G2115)</f>
        <v>0</v>
      </c>
      <c r="H2116" s="565" t="n">
        <f aca="false">SUM(H2097:H2115)</f>
        <v>-9050</v>
      </c>
      <c r="I2116" s="562" t="n">
        <f aca="false">SUM(I2097:I2115)</f>
        <v>67215</v>
      </c>
      <c r="J2116" s="563" t="n">
        <f aca="false">SUM(J2097:J2115)</f>
        <v>11970</v>
      </c>
      <c r="K2116" s="594" t="n">
        <f aca="false">SUM(K2097:K2115)</f>
        <v>0</v>
      </c>
      <c r="L2116" s="565" t="n">
        <f aca="false">SUM(L2097:L2115)</f>
        <v>-55245</v>
      </c>
      <c r="M2116" s="566"/>
      <c r="N2116" s="566"/>
      <c r="O2116" s="566"/>
      <c r="P2116" s="567"/>
      <c r="Q2116" s="566"/>
      <c r="R2116" s="567"/>
      <c r="S2116" s="567"/>
    </row>
  </sheetData>
  <autoFilter ref="A141:AI2039"/>
  <mergeCells count="139">
    <mergeCell ref="A1:T1"/>
    <mergeCell ref="C3:F3"/>
    <mergeCell ref="I3:L3"/>
    <mergeCell ref="P3:T3"/>
    <mergeCell ref="A5:A8"/>
    <mergeCell ref="I5:I8"/>
    <mergeCell ref="O5:O8"/>
    <mergeCell ref="A9:A12"/>
    <mergeCell ref="I9:I12"/>
    <mergeCell ref="O9:O12"/>
    <mergeCell ref="A13:A16"/>
    <mergeCell ref="I13:I16"/>
    <mergeCell ref="O13:O16"/>
    <mergeCell ref="A17:A20"/>
    <mergeCell ref="I17:I20"/>
    <mergeCell ref="O17:O20"/>
    <mergeCell ref="A22:A25"/>
    <mergeCell ref="I22:I25"/>
    <mergeCell ref="O22:O25"/>
    <mergeCell ref="A26:A28"/>
    <mergeCell ref="I26:I28"/>
    <mergeCell ref="O26:O28"/>
    <mergeCell ref="A29:A32"/>
    <mergeCell ref="I29:I32"/>
    <mergeCell ref="O29:O32"/>
    <mergeCell ref="A33:A37"/>
    <mergeCell ref="I33:I37"/>
    <mergeCell ref="O33:O37"/>
    <mergeCell ref="A39:A43"/>
    <mergeCell ref="I39:I43"/>
    <mergeCell ref="O39:O43"/>
    <mergeCell ref="A44:A46"/>
    <mergeCell ref="I44:I46"/>
    <mergeCell ref="O44:O46"/>
    <mergeCell ref="A47:A51"/>
    <mergeCell ref="I47:I51"/>
    <mergeCell ref="O47:O51"/>
    <mergeCell ref="A52:A54"/>
    <mergeCell ref="I52:I54"/>
    <mergeCell ref="O52:O54"/>
    <mergeCell ref="A55:A57"/>
    <mergeCell ref="I55:I57"/>
    <mergeCell ref="O55:O57"/>
    <mergeCell ref="A58:A60"/>
    <mergeCell ref="I58:I60"/>
    <mergeCell ref="O58:O60"/>
    <mergeCell ref="A61:A63"/>
    <mergeCell ref="I61:I63"/>
    <mergeCell ref="O61:O63"/>
    <mergeCell ref="I73:L73"/>
    <mergeCell ref="P73:S73"/>
    <mergeCell ref="A74:E74"/>
    <mergeCell ref="F74:G74"/>
    <mergeCell ref="F75:G75"/>
    <mergeCell ref="I75:I78"/>
    <mergeCell ref="P75:P78"/>
    <mergeCell ref="F76:G76"/>
    <mergeCell ref="F77:G77"/>
    <mergeCell ref="F78:G78"/>
    <mergeCell ref="F79:G79"/>
    <mergeCell ref="I79:I82"/>
    <mergeCell ref="P79:P82"/>
    <mergeCell ref="F83:G83"/>
    <mergeCell ref="I83:I86"/>
    <mergeCell ref="P83:P86"/>
    <mergeCell ref="F87:G87"/>
    <mergeCell ref="I87:I90"/>
    <mergeCell ref="P87:P90"/>
    <mergeCell ref="C89:G89"/>
    <mergeCell ref="I92:I95"/>
    <mergeCell ref="P92:P95"/>
    <mergeCell ref="I96:I98"/>
    <mergeCell ref="P96:P98"/>
    <mergeCell ref="I99:I102"/>
    <mergeCell ref="P99:P102"/>
    <mergeCell ref="I103:I107"/>
    <mergeCell ref="P103:P107"/>
    <mergeCell ref="I109:I113"/>
    <mergeCell ref="P109:P113"/>
    <mergeCell ref="C112:H112"/>
    <mergeCell ref="I115:I119"/>
    <mergeCell ref="P115:P119"/>
    <mergeCell ref="I120:I122"/>
    <mergeCell ref="P120:P122"/>
    <mergeCell ref="I123:I125"/>
    <mergeCell ref="P123:P125"/>
    <mergeCell ref="I127:I129"/>
    <mergeCell ref="P127:P129"/>
    <mergeCell ref="A139:T139"/>
    <mergeCell ref="A2065:A2066"/>
    <mergeCell ref="H2065:K2065"/>
    <mergeCell ref="H2066:K2066"/>
    <mergeCell ref="A2067:P2067"/>
    <mergeCell ref="A2068:C2069"/>
    <mergeCell ref="E2068:H2068"/>
    <mergeCell ref="I2068:L2068"/>
    <mergeCell ref="M2068:P2068"/>
    <mergeCell ref="A2070:C2070"/>
    <mergeCell ref="A2071:C2071"/>
    <mergeCell ref="A2072:C2072"/>
    <mergeCell ref="A2073:C2073"/>
    <mergeCell ref="A2074:C2074"/>
    <mergeCell ref="A2075:C2075"/>
    <mergeCell ref="A2076:C2076"/>
    <mergeCell ref="A2077:C2077"/>
    <mergeCell ref="A2078:C2078"/>
    <mergeCell ref="A2079:C2079"/>
    <mergeCell ref="A2080:C2080"/>
    <mergeCell ref="A2081:C2081"/>
    <mergeCell ref="A2082:C2082"/>
    <mergeCell ref="A2083:C2083"/>
    <mergeCell ref="A2084:C2084"/>
    <mergeCell ref="A2087:C2087"/>
    <mergeCell ref="A2091:C2091"/>
    <mergeCell ref="A2092:C2092"/>
    <mergeCell ref="B2094:L2094"/>
    <mergeCell ref="A2095:C2096"/>
    <mergeCell ref="E2095:H2095"/>
    <mergeCell ref="I2095:L2095"/>
    <mergeCell ref="M2095:P2095"/>
    <mergeCell ref="A2097:C2097"/>
    <mergeCell ref="A2098:C2098"/>
    <mergeCell ref="A2099:C2099"/>
    <mergeCell ref="A2100:C2100"/>
    <mergeCell ref="A2101:C2101"/>
    <mergeCell ref="A2102:C2102"/>
    <mergeCell ref="A2103:C2103"/>
    <mergeCell ref="A2104:C2104"/>
    <mergeCell ref="A2105:C2105"/>
    <mergeCell ref="A2106:C2106"/>
    <mergeCell ref="A2107:C2107"/>
    <mergeCell ref="A2108:C2108"/>
    <mergeCell ref="A2109:C2109"/>
    <mergeCell ref="A2110:C2110"/>
    <mergeCell ref="A2111:C2111"/>
    <mergeCell ref="A2113:C2113"/>
    <mergeCell ref="A2114:C2114"/>
    <mergeCell ref="A2115:C2115"/>
    <mergeCell ref="A2116:C2116"/>
  </mergeCells>
  <conditionalFormatting sqref="A2026 A1176:A1187">
    <cfRule type="expression" priority="2" aboveAverage="0" equalAverage="0" bottom="0" percent="0" rank="0" text="" dxfId="12">
      <formula>$F1176:F2328="pp"</formula>
    </cfRule>
  </conditionalFormatting>
  <conditionalFormatting sqref="B1834">
    <cfRule type="expression" priority="3" aboveAverage="0" equalAverage="0" bottom="0" percent="0" rank="0" text="" dxfId="13">
      <formula>$F1834:G2318="pp"</formula>
    </cfRule>
  </conditionalFormatting>
  <conditionalFormatting sqref="A1153">
    <cfRule type="expression" priority="4" aboveAverage="0" equalAverage="0" bottom="0" percent="0" rank="0" text="" dxfId="14">
      <formula>$F1153:F2781="pp"</formula>
    </cfRule>
  </conditionalFormatting>
  <conditionalFormatting sqref="E786">
    <cfRule type="expression" priority="5" aboveAverage="0" equalAverage="0" bottom="0" percent="0" rank="0" text="" dxfId="15">
      <formula>$F786:I2293="pp"</formula>
    </cfRule>
  </conditionalFormatting>
  <conditionalFormatting sqref="A400:B400 A401:A402">
    <cfRule type="expression" priority="6" aboveAverage="0" equalAverage="0" bottom="0" percent="0" rank="0" text="" dxfId="16">
      <formula>$F400:F2507="pp"</formula>
    </cfRule>
  </conditionalFormatting>
  <conditionalFormatting sqref="M186:N186">
    <cfRule type="expression" priority="7" aboveAverage="0" equalAverage="0" bottom="0" percent="0" rank="0" text="" dxfId="17">
      <formula>$F186:R2277="pp"</formula>
    </cfRule>
  </conditionalFormatting>
  <conditionalFormatting sqref="L396">
    <cfRule type="expression" priority="8" aboveAverage="0" equalAverage="0" bottom="0" percent="0" rank="0" text="" dxfId="18">
      <formula>$F396:Q2517="pp"</formula>
    </cfRule>
  </conditionalFormatting>
  <conditionalFormatting sqref="J396">
    <cfRule type="expression" priority="9" aboveAverage="0" equalAverage="0" bottom="0" percent="0" rank="0" text="" dxfId="19">
      <formula>$F396:O2517="pp"</formula>
    </cfRule>
  </conditionalFormatting>
  <conditionalFormatting sqref="F400">
    <cfRule type="expression" priority="10" aboveAverage="0" equalAverage="0" bottom="0" percent="0" rank="0" text="" dxfId="20">
      <formula>$F400:J2527="pp"</formula>
    </cfRule>
  </conditionalFormatting>
  <conditionalFormatting sqref="F398">
    <cfRule type="expression" priority="11" aboveAverage="0" equalAverage="0" bottom="0" percent="0" rank="0" text="" dxfId="21">
      <formula>$F398:J2525="pp"</formula>
    </cfRule>
  </conditionalFormatting>
  <conditionalFormatting sqref="F396 E149:I149">
    <cfRule type="expression" priority="12" aboveAverage="0" equalAverage="0" bottom="0" percent="0" rank="0" text="" dxfId="22">
      <formula>$F149:I2276="pp"</formula>
    </cfRule>
  </conditionalFormatting>
  <conditionalFormatting sqref="F397 O155:O156 E155:I156">
    <cfRule type="expression" priority="13" aboveAverage="0" equalAverage="0" bottom="0" percent="0" rank="0" text="" dxfId="23">
      <formula>$F155:I2280="pp"</formula>
    </cfRule>
  </conditionalFormatting>
  <conditionalFormatting sqref="E397 G397:I399 O397:O399 E399">
    <cfRule type="expression" priority="14" aboveAverage="0" equalAverage="0" bottom="0" percent="0" rank="0" text="" dxfId="24">
      <formula>$F397:I2509="pp"</formula>
    </cfRule>
  </conditionalFormatting>
  <conditionalFormatting sqref="J380 A380:D380 L380">
    <cfRule type="expression" priority="15" aboveAverage="0" equalAverage="0" bottom="0" percent="0" rank="0" text="" dxfId="25">
      <formula>$F380:F2542="pp"</formula>
    </cfRule>
  </conditionalFormatting>
  <conditionalFormatting sqref="Q379">
    <cfRule type="expression" priority="16" aboveAverage="0" equalAverage="0" bottom="0" percent="0" rank="0" text="" dxfId="26">
      <formula>$F379:T2419="pp"</formula>
    </cfRule>
  </conditionalFormatting>
  <conditionalFormatting sqref="K379">
    <cfRule type="expression" priority="17" aboveAverage="0" equalAverage="0" bottom="0" percent="0" rank="0" text="" dxfId="27">
      <formula>$F379:P2428="pp"</formula>
    </cfRule>
  </conditionalFormatting>
  <conditionalFormatting sqref="J379">
    <cfRule type="expression" priority="18" aboveAverage="0" equalAverage="0" bottom="0" percent="0" rank="0" text="" dxfId="28">
      <formula>$F379:O2406="pp"</formula>
    </cfRule>
  </conditionalFormatting>
  <conditionalFormatting sqref="C379:D379 B201:B203 A218:A221 J201:J203 L201:L203">
    <cfRule type="expression" priority="19" aboveAverage="0" equalAverage="0" bottom="0" percent="0" rank="0" text="" dxfId="29">
      <formula>$F201:F2262="pp"</formula>
    </cfRule>
  </conditionalFormatting>
  <conditionalFormatting sqref="E379">
    <cfRule type="expression" priority="20" aboveAverage="0" equalAverage="0" bottom="0" percent="0" rank="0" text="" dxfId="30">
      <formula>$F379:I2416="pp"</formula>
    </cfRule>
  </conditionalFormatting>
  <conditionalFormatting sqref="F379">
    <cfRule type="expression" priority="21" aboveAverage="0" equalAverage="0" bottom="0" percent="0" rank="0" text="" dxfId="31">
      <formula>$F379:J2445="pp"</formula>
    </cfRule>
  </conditionalFormatting>
  <conditionalFormatting sqref="C302:D302">
    <cfRule type="expression" priority="22" aboveAverage="0" equalAverage="0" bottom="0" percent="0" rank="0" text="" dxfId="32">
      <formula>$F302:H2324="pp"</formula>
    </cfRule>
  </conditionalFormatting>
  <conditionalFormatting sqref="O194">
    <cfRule type="expression" priority="23" aboveAverage="0" equalAverage="0" bottom="0" percent="0" rank="0" text="" dxfId="33">
      <formula>$F194:S2226="pp"</formula>
    </cfRule>
  </conditionalFormatting>
  <conditionalFormatting sqref="Q189 Q222:Q226">
    <cfRule type="expression" priority="24" aboveAverage="0" equalAverage="0" bottom="0" percent="0" rank="0" text="" dxfId="34">
      <formula>$F189:T2242="pp"</formula>
    </cfRule>
  </conditionalFormatting>
  <conditionalFormatting sqref="M407:N407">
    <cfRule type="expression" priority="25" aboveAverage="0" equalAverage="0" bottom="0" percent="0" rank="0" text="" dxfId="35">
      <formula>$F407:R2478="pp"</formula>
    </cfRule>
  </conditionalFormatting>
  <conditionalFormatting sqref="J189">
    <cfRule type="expression" priority="26" aboveAverage="0" equalAverage="0" bottom="0" percent="0" rank="0" text="" dxfId="36">
      <formula>$F189:O2239="pp"</formula>
    </cfRule>
  </conditionalFormatting>
  <conditionalFormatting sqref="F282 G349:I352 O349:O352">
    <cfRule type="expression" priority="27" aboveAverage="0" equalAverage="0" bottom="0" percent="0" rank="0" text="" dxfId="37">
      <formula>$F282:J2328="pp"</formula>
    </cfRule>
  </conditionalFormatting>
  <conditionalFormatting sqref="O192">
    <cfRule type="expression" priority="28" aboveAverage="0" equalAverage="0" bottom="0" percent="0" rank="0" text="" dxfId="38">
      <formula>$F192:S2230="pp"</formula>
    </cfRule>
  </conditionalFormatting>
  <conditionalFormatting sqref="L193">
    <cfRule type="expression" priority="29" aboveAverage="0" equalAverage="0" bottom="0" percent="0" rank="0" text="" dxfId="39">
      <formula>$F193:Q2228="pp"</formula>
    </cfRule>
  </conditionalFormatting>
  <conditionalFormatting sqref="C408:D408">
    <cfRule type="expression" priority="30" aboveAverage="0" equalAverage="0" bottom="0" percent="0" rank="0" text="" dxfId="40">
      <formula>$F408:H2484="pp"</formula>
    </cfRule>
  </conditionalFormatting>
  <conditionalFormatting sqref="L192">
    <cfRule type="expression" priority="31" aboveAverage="0" equalAverage="0" bottom="0" percent="0" rank="0" text="" dxfId="41">
      <formula>$F192:Q2230="pp"</formula>
    </cfRule>
  </conditionalFormatting>
  <conditionalFormatting sqref="K272">
    <cfRule type="expression" priority="32" aboveAverage="0" equalAverage="0" bottom="0" percent="0" rank="0" text="" dxfId="42">
      <formula>$F272:P2309="pp"</formula>
    </cfRule>
  </conditionalFormatting>
  <conditionalFormatting sqref="L408">
    <cfRule type="expression" priority="33" aboveAverage="0" equalAverage="0" bottom="0" percent="0" rank="0" text="" dxfId="43">
      <formula>$F408:Q2453="pp"</formula>
    </cfRule>
  </conditionalFormatting>
  <conditionalFormatting sqref="F242">
    <cfRule type="expression" priority="34" aboveAverage="0" equalAverage="0" bottom="0" percent="0" rank="0" text="" dxfId="44">
      <formula>$F242:J2310="pp"</formula>
    </cfRule>
  </conditionalFormatting>
  <conditionalFormatting sqref="F279">
    <cfRule type="expression" priority="35" aboveAverage="0" equalAverage="0" bottom="0" percent="0" rank="0" text="" dxfId="45">
      <formula>$F279:J2328="pp"</formula>
    </cfRule>
  </conditionalFormatting>
  <conditionalFormatting sqref="M271:N271">
    <cfRule type="expression" priority="36" aboveAverage="0" equalAverage="0" bottom="0" percent="0" rank="0" text="" dxfId="46">
      <formula>$F271:R2309="pp"</formula>
    </cfRule>
  </conditionalFormatting>
  <conditionalFormatting sqref="G189:I189">
    <cfRule type="expression" priority="37" aboveAverage="0" equalAverage="0" bottom="0" percent="0" rank="0" text="" dxfId="47">
      <formula>$F189:K2239="pp"</formula>
    </cfRule>
  </conditionalFormatting>
  <conditionalFormatting sqref="E408">
    <cfRule type="expression" priority="38" aboveAverage="0" equalAverage="0" bottom="0" percent="0" rank="0" text="" dxfId="48">
      <formula>$F408:I2468="pp"</formula>
    </cfRule>
  </conditionalFormatting>
  <conditionalFormatting sqref="J371">
    <cfRule type="expression" priority="39" aboveAverage="0" equalAverage="0" bottom="0" percent="0" rank="0" text="" dxfId="49">
      <formula>$F371:O2507="pp"</formula>
    </cfRule>
  </conditionalFormatting>
  <conditionalFormatting sqref="B371">
    <cfRule type="expression" priority="40" aboveAverage="0" equalAverage="0" bottom="0" percent="0" rank="0" text="" dxfId="50">
      <formula>$F371:G2507="pp"</formula>
    </cfRule>
  </conditionalFormatting>
  <conditionalFormatting sqref="F415">
    <cfRule type="expression" priority="41" aboveAverage="0" equalAverage="0" bottom="0" percent="0" rank="0" text="" dxfId="51">
      <formula>$F415:J2315="pp"</formula>
    </cfRule>
  </conditionalFormatting>
  <conditionalFormatting sqref="J150">
    <cfRule type="expression" priority="42" aboveAverage="0" equalAverage="0" bottom="0" percent="0" rank="0" text="" dxfId="52">
      <formula>$F150:O2280="pp"</formula>
    </cfRule>
  </conditionalFormatting>
  <conditionalFormatting sqref="E150:I150 O144:O148 E144:I148">
    <cfRule type="expression" priority="43" aboveAverage="0" equalAverage="0" bottom="0" percent="0" rank="0" text="" dxfId="53">
      <formula>$F144:I2274="pp"</formula>
    </cfRule>
  </conditionalFormatting>
  <conditionalFormatting sqref="P2063 F1565:F1568">
    <cfRule type="expression" priority="44" aboveAverage="0" equalAverage="0" bottom="0" percent="0" rank="0" text="" dxfId="54">
      <formula>$F1565:J2357="pp"</formula>
    </cfRule>
  </conditionalFormatting>
  <conditionalFormatting sqref="O2063:P2063 E2063:I2063">
    <cfRule type="expression" priority="45" aboveAverage="0" equalAverage="0" bottom="0" percent="0" rank="0" text="" dxfId="55">
      <formula>$F2063:I2137="pp"</formula>
    </cfRule>
  </conditionalFormatting>
  <conditionalFormatting sqref="J2063:N2063 A2063:D2063">
    <cfRule type="expression" priority="46" aboveAverage="0" equalAverage="0" bottom="0" percent="0" rank="0" text="" dxfId="56">
      <formula>$F2063:F2137="pp"</formula>
    </cfRule>
  </conditionalFormatting>
  <conditionalFormatting sqref="Q2063">
    <cfRule type="expression" priority="47" aboveAverage="0" equalAverage="0" bottom="0" percent="0" rank="0" text="" dxfId="57">
      <formula>$F2063:T2137="pp"</formula>
    </cfRule>
  </conditionalFormatting>
  <conditionalFormatting sqref="F399">
    <cfRule type="expression" priority="48" aboveAverage="0" equalAverage="0" bottom="0" percent="0" rank="0" text="" dxfId="58">
      <formula>$F399:J2524="pp"</formula>
    </cfRule>
  </conditionalFormatting>
  <conditionalFormatting sqref="J175">
    <cfRule type="expression" priority="49" aboveAverage="0" equalAverage="0" bottom="0" percent="0" rank="0" text="" dxfId="59">
      <formula>$F175:O2274="pp"</formula>
    </cfRule>
  </conditionalFormatting>
  <conditionalFormatting sqref="F241">
    <cfRule type="expression" priority="50" aboveAverage="0" equalAverage="0" bottom="0" percent="0" rank="0" text="" dxfId="60">
      <formula>$F241:J2305="pp"</formula>
    </cfRule>
  </conditionalFormatting>
  <conditionalFormatting sqref="B200 C236:D237">
    <cfRule type="expression" priority="51" aboveAverage="0" equalAverage="0" bottom="0" percent="0" rank="0" text="" dxfId="61">
      <formula>$F200:G2264="pp"</formula>
    </cfRule>
  </conditionalFormatting>
  <conditionalFormatting sqref="J200">
    <cfRule type="expression" priority="52" aboveAverage="0" equalAverage="0" bottom="0" percent="0" rank="0" text="" dxfId="62">
      <formula>$F200:O2264="pp"</formula>
    </cfRule>
  </conditionalFormatting>
  <conditionalFormatting sqref="K200">
    <cfRule type="expression" priority="53" aboveAverage="0" equalAverage="0" bottom="0" percent="0" rank="0" text="" dxfId="63">
      <formula>$F200:P2276="pp"</formula>
    </cfRule>
  </conditionalFormatting>
  <conditionalFormatting sqref="Q200">
    <cfRule type="expression" priority="54" aboveAverage="0" equalAverage="0" bottom="0" percent="0" rank="0" text="" dxfId="64">
      <formula>$F200:T2267="pp"</formula>
    </cfRule>
  </conditionalFormatting>
  <conditionalFormatting sqref="M200:N200">
    <cfRule type="expression" priority="55" aboveAverage="0" equalAverage="0" bottom="0" percent="0" rank="0" text="" dxfId="65">
      <formula>$F200:R2276="pp"</formula>
    </cfRule>
  </conditionalFormatting>
  <conditionalFormatting sqref="B412">
    <cfRule type="expression" priority="56" aboveAverage="0" equalAverage="0" bottom="0" percent="0" rank="0" text="" dxfId="66">
      <formula>$F412:G2285="pp"</formula>
    </cfRule>
  </conditionalFormatting>
  <conditionalFormatting sqref="C190:D190">
    <cfRule type="expression" priority="57" aboveAverage="0" equalAverage="0" bottom="0" percent="0" rank="0" text="" dxfId="67">
      <formula>$F190:H2245="pp"</formula>
    </cfRule>
  </conditionalFormatting>
  <conditionalFormatting sqref="C248:D248 C254:D265 M190:N194 K190:K194">
    <cfRule type="expression" priority="58" aboveAverage="0" equalAverage="0" bottom="0" percent="0" rank="0" text="" dxfId="68">
      <formula>$F190:H2244="pp"</formula>
    </cfRule>
  </conditionalFormatting>
  <conditionalFormatting sqref="C215:D215">
    <cfRule type="expression" priority="59" aboveAverage="0" equalAverage="0" bottom="0" percent="0" rank="0" text="" dxfId="69">
      <formula>$F215:H2286="pp"</formula>
    </cfRule>
  </conditionalFormatting>
  <conditionalFormatting sqref="C189:D189 A195:D195 A196:A213 B197:B199 C197:D213 B196:D196 J195:J199 L195:L199 K204:K208 M204:N208">
    <cfRule type="expression" priority="60" aboveAverage="0" equalAverage="0" bottom="0" percent="0" rank="0" text="" dxfId="70">
      <formula>$F189:F2260="pp"</formula>
    </cfRule>
  </conditionalFormatting>
  <conditionalFormatting sqref="F238">
    <cfRule type="expression" priority="61" aboveAverage="0" equalAverage="0" bottom="0" percent="0" rank="0" text="" dxfId="71">
      <formula>$F238:J2306="pp"</formula>
    </cfRule>
  </conditionalFormatting>
  <conditionalFormatting sqref="F239">
    <cfRule type="expression" priority="62" aboveAverage="0" equalAverage="0" bottom="0" percent="0" rank="0" text="" dxfId="72">
      <formula>$F239:J2303="pp"</formula>
    </cfRule>
  </conditionalFormatting>
  <conditionalFormatting sqref="G324:I324">
    <cfRule type="expression" priority="63" aboveAverage="0" equalAverage="0" bottom="0" percent="0" rank="0" text="" dxfId="73">
      <formula>$F324:K2276="pp"</formula>
    </cfRule>
  </conditionalFormatting>
  <conditionalFormatting sqref="F240">
    <cfRule type="expression" priority="64" aboveAverage="0" equalAverage="0" bottom="0" percent="0" rank="0" text="" dxfId="74">
      <formula>$F240:J2308="pp"</formula>
    </cfRule>
  </conditionalFormatting>
  <conditionalFormatting sqref="J306">
    <cfRule type="expression" priority="65" aboveAverage="0" equalAverage="0" bottom="0" percent="0" rank="0" text="" dxfId="75">
      <formula>$F306:O2286="pp"</formula>
    </cfRule>
  </conditionalFormatting>
  <conditionalFormatting sqref="F248">
    <cfRule type="expression" priority="66" aboveAverage="0" equalAverage="0" bottom="0" percent="0" rank="0" text="" dxfId="76">
      <formula>$F248:J2307="pp"</formula>
    </cfRule>
  </conditionalFormatting>
  <conditionalFormatting sqref="K238">
    <cfRule type="expression" priority="67" aboveAverage="0" equalAverage="0" bottom="0" percent="0" rank="0" text="" dxfId="77">
      <formula>$F238:P2289="pp"</formula>
    </cfRule>
  </conditionalFormatting>
  <conditionalFormatting sqref="F385">
    <cfRule type="expression" priority="68" aboveAverage="0" equalAverage="0" bottom="0" percent="0" rank="0" text="" dxfId="78">
      <formula>$F385:J2451="pp"</formula>
    </cfRule>
  </conditionalFormatting>
  <conditionalFormatting sqref="F337 G307:I310 O307:O310">
    <cfRule type="expression" priority="69" aboveAverage="0" equalAverage="0" bottom="0" percent="0" rank="0" text="" dxfId="79">
      <formula>$F307:J2286="pp"</formula>
    </cfRule>
  </conditionalFormatting>
  <conditionalFormatting sqref="G295:I295">
    <cfRule type="expression" priority="70" aboveAverage="0" equalAverage="0" bottom="0" percent="0" rank="0" text="" dxfId="80">
      <formula>$F295:K2288="pp"</formula>
    </cfRule>
  </conditionalFormatting>
  <conditionalFormatting sqref="C250:D250">
    <cfRule type="expression" priority="71" aboveAverage="0" equalAverage="0" bottom="0" percent="0" rank="0" text="" dxfId="81">
      <formula>$F250:H2304="pp"</formula>
    </cfRule>
  </conditionalFormatting>
  <conditionalFormatting sqref="A408">
    <cfRule type="expression" priority="72" aboveAverage="0" equalAverage="0" bottom="0" percent="0" rank="0" text="" dxfId="82">
      <formula>$F408:F2476="pp"</formula>
    </cfRule>
  </conditionalFormatting>
  <conditionalFormatting sqref="A407 K209:K216 M209:N216">
    <cfRule type="expression" priority="73" aboveAverage="0" equalAverage="0" bottom="0" percent="0" rank="0" text="" dxfId="83">
      <formula>$F209:F2276="pp"</formula>
    </cfRule>
  </conditionalFormatting>
  <conditionalFormatting sqref="M274:N274">
    <cfRule type="expression" priority="74" aboveAverage="0" equalAverage="0" bottom="0" percent="0" rank="0" text="" dxfId="84">
      <formula>$F274:R2309="pp"</formula>
    </cfRule>
  </conditionalFormatting>
  <conditionalFormatting sqref="L238">
    <cfRule type="expression" priority="75" aboveAverage="0" equalAverage="0" bottom="0" percent="0" rank="0" text="" dxfId="85">
      <formula>$F238:Q2267="pp"</formula>
    </cfRule>
  </conditionalFormatting>
  <conditionalFormatting sqref="M238:N238">
    <cfRule type="expression" priority="76" aboveAverage="0" equalAverage="0" bottom="0" percent="0" rank="0" text="" dxfId="86">
      <formula>$F238:R2289="pp"</formula>
    </cfRule>
  </conditionalFormatting>
  <conditionalFormatting sqref="F250">
    <cfRule type="expression" priority="77" aboveAverage="0" equalAverage="0" bottom="0" percent="0" rank="0" text="" dxfId="87">
      <formula>$F250:J2309="pp"</formula>
    </cfRule>
  </conditionalFormatting>
  <conditionalFormatting sqref="C217:D217">
    <cfRule type="expression" priority="78" aboveAverage="0" equalAverage="0" bottom="0" percent="0" rank="0" text="" dxfId="88">
      <formula>$F217:H2288="pp"</formula>
    </cfRule>
  </conditionalFormatting>
  <conditionalFormatting sqref="O341">
    <cfRule type="expression" priority="79" aboveAverage="0" equalAverage="0" bottom="0" percent="0" rank="0" text="" dxfId="89">
      <formula>$F341:S2272="pp"</formula>
    </cfRule>
  </conditionalFormatting>
  <conditionalFormatting sqref="G325:I325">
    <cfRule type="expression" priority="80" aboveAverage="0" equalAverage="0" bottom="0" percent="0" rank="0" text="" dxfId="90">
      <formula>$F325:K2276="pp"</formula>
    </cfRule>
  </conditionalFormatting>
  <conditionalFormatting sqref="G306:I306">
    <cfRule type="expression" priority="81" aboveAverage="0" equalAverage="0" bottom="0" percent="0" rank="0" text="" dxfId="91">
      <formula>$F306:K2286="pp"</formula>
    </cfRule>
  </conditionalFormatting>
  <conditionalFormatting sqref="G304:I304">
    <cfRule type="expression" priority="82" aboveAverage="0" equalAverage="0" bottom="0" percent="0" rank="0" text="" dxfId="92">
      <formula>$F304:K2286="pp"</formula>
    </cfRule>
  </conditionalFormatting>
  <conditionalFormatting sqref="K306">
    <cfRule type="expression" priority="83" aboveAverage="0" equalAverage="0" bottom="0" percent="0" rank="0" text="" dxfId="93">
      <formula>$F306:P2308="pp"</formula>
    </cfRule>
  </conditionalFormatting>
  <conditionalFormatting sqref="K305 B285:B287 J285:J287 L285:L287">
    <cfRule type="expression" priority="84" aboveAverage="0" equalAverage="0" bottom="0" percent="0" rank="0" text="" dxfId="94">
      <formula>$F285:G2288="pp"</formula>
    </cfRule>
  </conditionalFormatting>
  <conditionalFormatting sqref="B306 K317:K321 M317:N321">
    <cfRule type="expression" priority="85" aboveAverage="0" equalAverage="0" bottom="0" percent="0" rank="0" text="" dxfId="95">
      <formula>$F306:G2286="pp"</formula>
    </cfRule>
  </conditionalFormatting>
  <conditionalFormatting sqref="Q306">
    <cfRule type="expression" priority="86" aboveAverage="0" equalAverage="0" bottom="0" percent="0" rank="0" text="" dxfId="96">
      <formula>$F306:T2299="pp"</formula>
    </cfRule>
  </conditionalFormatting>
  <conditionalFormatting sqref="J305">
    <cfRule type="expression" priority="87" aboveAverage="0" equalAverage="0" bottom="0" percent="0" rank="0" text="" dxfId="97">
      <formula>$F305:O2286="pp"</formula>
    </cfRule>
  </conditionalFormatting>
  <conditionalFormatting sqref="K304">
    <cfRule type="expression" priority="88" aboveAverage="0" equalAverage="0" bottom="0" percent="0" rank="0" text="" dxfId="98">
      <formula>$F304:P2308="pp"</formula>
    </cfRule>
  </conditionalFormatting>
  <conditionalFormatting sqref="Q305">
    <cfRule type="expression" priority="89" aboveAverage="0" equalAverage="0" bottom="0" percent="0" rank="0" text="" dxfId="99">
      <formula>$F305:T2299="pp"</formula>
    </cfRule>
  </conditionalFormatting>
  <conditionalFormatting sqref="B304">
    <cfRule type="expression" priority="90" aboveAverage="0" equalAverage="0" bottom="0" percent="0" rank="0" text="" dxfId="100">
      <formula>$F304:G2286="pp"</formula>
    </cfRule>
  </conditionalFormatting>
  <conditionalFormatting sqref="J304">
    <cfRule type="expression" priority="91" aboveAverage="0" equalAverage="0" bottom="0" percent="0" rank="0" text="" dxfId="101">
      <formula>$F304:O2286="pp"</formula>
    </cfRule>
  </conditionalFormatting>
  <conditionalFormatting sqref="Q304">
    <cfRule type="expression" priority="92" aboveAverage="0" equalAverage="0" bottom="0" percent="0" rank="0" text="" dxfId="102">
      <formula>$F304:T2299="pp"</formula>
    </cfRule>
  </conditionalFormatting>
  <conditionalFormatting sqref="B379 A280:A282 K283:K294 M283:N294">
    <cfRule type="expression" priority="93" aboveAverage="0" equalAverage="0" bottom="0" percent="0" rank="0" text="" dxfId="103">
      <formula>$F280:F2307="pp"</formula>
    </cfRule>
  </conditionalFormatting>
  <conditionalFormatting sqref="A295 C296:D297">
    <cfRule type="expression" priority="94" aboveAverage="0" equalAverage="0" bottom="0" percent="0" rank="0" text="" dxfId="104">
      <formula>$F295:F2319="pp"</formula>
    </cfRule>
  </conditionalFormatting>
  <conditionalFormatting sqref="B305">
    <cfRule type="expression" priority="95" aboveAverage="0" equalAverage="0" bottom="0" percent="0" rank="0" text="" dxfId="105">
      <formula>$F305:G2286="pp"</formula>
    </cfRule>
  </conditionalFormatting>
  <conditionalFormatting sqref="G305:I305">
    <cfRule type="expression" priority="96" aboveAverage="0" equalAverage="0" bottom="0" percent="0" rank="0" text="" dxfId="106">
      <formula>$F305:K2286="pp"</formula>
    </cfRule>
  </conditionalFormatting>
  <conditionalFormatting sqref="B294">
    <cfRule type="expression" priority="97" aboveAverage="0" equalAverage="0" bottom="0" percent="0" rank="0" text="" dxfId="107">
      <formula>$F294:G2288="pp"</formula>
    </cfRule>
  </conditionalFormatting>
  <conditionalFormatting sqref="F317 G291:I293 O291:O293">
    <cfRule type="expression" priority="98" aboveAverage="0" equalAverage="0" bottom="0" percent="0" rank="0" text="" dxfId="108">
      <formula>$F291:J2288="pp"</formula>
    </cfRule>
  </conditionalFormatting>
  <conditionalFormatting sqref="B333">
    <cfRule type="expression" priority="99" aboveAverage="0" equalAverage="0" bottom="0" percent="0" rank="0" text="" dxfId="109">
      <formula>$F333:G2277="pp"</formula>
    </cfRule>
  </conditionalFormatting>
  <conditionalFormatting sqref="Q329">
    <cfRule type="expression" priority="100" aboveAverage="0" equalAverage="0" bottom="0" percent="0" rank="0" text="" dxfId="110">
      <formula>$F329:T2289="pp"</formula>
    </cfRule>
  </conditionalFormatting>
  <conditionalFormatting sqref="K329">
    <cfRule type="expression" priority="101" aboveAverage="0" equalAverage="0" bottom="0" percent="0" rank="0" text="" dxfId="111">
      <formula>$F329:P2298="pp"</formula>
    </cfRule>
  </conditionalFormatting>
  <conditionalFormatting sqref="G273:I273 O273">
    <cfRule type="expression" priority="102" aboveAverage="0" equalAverage="0" bottom="0" percent="0" rank="0" text="" dxfId="112">
      <formula>$F273:K2287="pp"</formula>
    </cfRule>
  </conditionalFormatting>
  <conditionalFormatting sqref="J326">
    <cfRule type="expression" priority="103" aboveAverage="0" equalAverage="0" bottom="0" percent="0" rank="0" text="" dxfId="113">
      <formula>$F326:O2276="pp"</formula>
    </cfRule>
  </conditionalFormatting>
  <conditionalFormatting sqref="F324">
    <cfRule type="expression" priority="104" aboveAverage="0" equalAverage="0" bottom="0" percent="0" rank="0" text="" dxfId="114">
      <formula>$F324:J2336="pp"</formula>
    </cfRule>
  </conditionalFormatting>
  <conditionalFormatting sqref="B325">
    <cfRule type="expression" priority="105" aboveAverage="0" equalAverage="0" bottom="0" percent="0" rank="0" text="" dxfId="115">
      <formula>$F325:G2276="pp"</formula>
    </cfRule>
  </conditionalFormatting>
  <conditionalFormatting sqref="L329">
    <cfRule type="expression" priority="106" aboveAverage="0" equalAverage="0" bottom="0" percent="0" rank="0" text="" dxfId="116">
      <formula>$F329:Q2276="pp"</formula>
    </cfRule>
  </conditionalFormatting>
  <conditionalFormatting sqref="O325">
    <cfRule type="expression" priority="107" aboveAverage="0" equalAverage="0" bottom="0" percent="0" rank="0" text="" dxfId="117">
      <formula>$F325:S2276="pp"</formula>
    </cfRule>
  </conditionalFormatting>
  <conditionalFormatting sqref="K341 A336:A342">
    <cfRule type="expression" priority="108" aboveAverage="0" equalAverage="0" bottom="0" percent="0" rank="0" text="" dxfId="118">
      <formula>$F336:F2289="pp"</formula>
    </cfRule>
  </conditionalFormatting>
  <conditionalFormatting sqref="B406 B346:B348 A236:A237 J346:J348 L346:L348">
    <cfRule type="expression" priority="109" aboveAverage="0" equalAverage="0" bottom="0" percent="0" rank="0" text="" dxfId="119">
      <formula>$F236:F2284="pp"</formula>
    </cfRule>
  </conditionalFormatting>
  <conditionalFormatting sqref="B271">
    <cfRule type="expression" priority="110" aboveAverage="0" equalAverage="0" bottom="0" percent="0" rank="0" text="" dxfId="120">
      <formula>$F271:G2287="pp"</formula>
    </cfRule>
  </conditionalFormatting>
  <conditionalFormatting sqref="E275">
    <cfRule type="expression" priority="111" aboveAverage="0" equalAverage="0" bottom="0" percent="0" rank="0" text="" dxfId="121">
      <formula>$F275:I2297="pp"</formula>
    </cfRule>
  </conditionalFormatting>
  <conditionalFormatting sqref="G238:I238">
    <cfRule type="expression" priority="112" aboveAverage="0" equalAverage="0" bottom="0" percent="0" rank="0" text="" dxfId="122">
      <formula>$F238:K2267="pp"</formula>
    </cfRule>
  </conditionalFormatting>
  <conditionalFormatting sqref="F284">
    <cfRule type="expression" priority="113" aboveAverage="0" equalAverage="0" bottom="0" percent="0" rank="0" text="" dxfId="123">
      <formula>$F284:J2328="pp"</formula>
    </cfRule>
  </conditionalFormatting>
  <conditionalFormatting sqref="J295">
    <cfRule type="expression" priority="114" aboveAverage="0" equalAverage="0" bottom="0" percent="0" rank="0" text="" dxfId="124">
      <formula>$F295:O2288="pp"</formula>
    </cfRule>
  </conditionalFormatting>
  <conditionalFormatting sqref="E274">
    <cfRule type="expression" priority="115" aboveAverage="0" equalAverage="0" bottom="0" percent="0" rank="0" text="" dxfId="125">
      <formula>$F274:I2297="pp"</formula>
    </cfRule>
  </conditionalFormatting>
  <conditionalFormatting sqref="J275">
    <cfRule type="expression" priority="116" aboveAverage="0" equalAverage="0" bottom="0" percent="0" rank="0" text="" dxfId="126">
      <formula>$F275:O2287="pp"</formula>
    </cfRule>
  </conditionalFormatting>
  <conditionalFormatting sqref="Q275">
    <cfRule type="expression" priority="117" aboveAverage="0" equalAverage="0" bottom="0" percent="0" rank="0" text="" dxfId="127">
      <formula>$F275:T2300="pp"</formula>
    </cfRule>
  </conditionalFormatting>
  <conditionalFormatting sqref="E273">
    <cfRule type="expression" priority="118" aboveAverage="0" equalAverage="0" bottom="0" percent="0" rank="0" text="" dxfId="128">
      <formula>$F273:I2297="pp"</formula>
    </cfRule>
  </conditionalFormatting>
  <conditionalFormatting sqref="F274">
    <cfRule type="expression" priority="119" aboveAverage="0" equalAverage="0" bottom="0" percent="0" rank="0" text="" dxfId="129">
      <formula>$F274:J2326="pp"</formula>
    </cfRule>
  </conditionalFormatting>
  <conditionalFormatting sqref="K273 A267:A268">
    <cfRule type="expression" priority="120" aboveAverage="0" equalAverage="0" bottom="0" percent="0" rank="0" text="" dxfId="130">
      <formula>$F267:F2303="pp"</formula>
    </cfRule>
  </conditionalFormatting>
  <conditionalFormatting sqref="J274">
    <cfRule type="expression" priority="121" aboveAverage="0" equalAverage="0" bottom="0" percent="0" rank="0" text="" dxfId="131">
      <formula>$F274:O2287="pp"</formula>
    </cfRule>
  </conditionalFormatting>
  <conditionalFormatting sqref="Q274">
    <cfRule type="expression" priority="122" aboveAverage="0" equalAverage="0" bottom="0" percent="0" rank="0" text="" dxfId="132">
      <formula>$F274:T2300="pp"</formula>
    </cfRule>
  </conditionalFormatting>
  <conditionalFormatting sqref="E272">
    <cfRule type="expression" priority="123" aboveAverage="0" equalAverage="0" bottom="0" percent="0" rank="0" text="" dxfId="133">
      <formula>$F272:I2297="pp"</formula>
    </cfRule>
  </conditionalFormatting>
  <conditionalFormatting sqref="F273 E218:E221 P222:P226">
    <cfRule type="expression" priority="124" aboveAverage="0" equalAverage="0" bottom="0" percent="0" rank="0" text="" dxfId="134">
      <formula>$F218:I2271="pp"</formula>
    </cfRule>
  </conditionalFormatting>
  <conditionalFormatting sqref="J408">
    <cfRule type="expression" priority="125" aboveAverage="0" equalAverage="0" bottom="0" percent="0" rank="0" text="" dxfId="135">
      <formula>$F408:O2453="pp"</formula>
    </cfRule>
  </conditionalFormatting>
  <conditionalFormatting sqref="Q273">
    <cfRule type="expression" priority="126" aboveAverage="0" equalAverage="0" bottom="0" percent="0" rank="0" text="" dxfId="136">
      <formula>$F273:T2300="pp"</formula>
    </cfRule>
  </conditionalFormatting>
  <conditionalFormatting sqref="J272">
    <cfRule type="expression" priority="127" aboveAverage="0" equalAverage="0" bottom="0" percent="0" rank="0" text="" dxfId="137">
      <formula>$F272:O2287="pp"</formula>
    </cfRule>
  </conditionalFormatting>
  <conditionalFormatting sqref="F272">
    <cfRule type="expression" priority="128" aboveAverage="0" equalAverage="0" bottom="0" percent="0" rank="0" text="" dxfId="138">
      <formula>$F272:J2326="pp"</formula>
    </cfRule>
  </conditionalFormatting>
  <conditionalFormatting sqref="K271">
    <cfRule type="expression" priority="129" aboveAverage="0" equalAverage="0" bottom="0" percent="0" rank="0" text="" dxfId="139">
      <formula>$F271:P2309="pp"</formula>
    </cfRule>
  </conditionalFormatting>
  <conditionalFormatting sqref="Q272">
    <cfRule type="expression" priority="130" aboveAverage="0" equalAverage="0" bottom="0" percent="0" rank="0" text="" dxfId="140">
      <formula>$F272:T2300="pp"</formula>
    </cfRule>
  </conditionalFormatting>
  <conditionalFormatting sqref="J271">
    <cfRule type="expression" priority="131" aboveAverage="0" equalAverage="0" bottom="0" percent="0" rank="0" text="" dxfId="141">
      <formula>$F271:O2287="pp"</formula>
    </cfRule>
  </conditionalFormatting>
  <conditionalFormatting sqref="C266:D266">
    <cfRule type="expression" priority="132" aboveAverage="0" equalAverage="0" bottom="0" percent="0" rank="0" text="" dxfId="142">
      <formula>$F266:H2321="pp"</formula>
    </cfRule>
  </conditionalFormatting>
  <conditionalFormatting sqref="Q271">
    <cfRule type="expression" priority="133" aboveAverage="0" equalAverage="0" bottom="0" percent="0" rank="0" text="" dxfId="143">
      <formula>$F271:T2300="pp"</formula>
    </cfRule>
  </conditionalFormatting>
  <conditionalFormatting sqref="J329">
    <cfRule type="expression" priority="134" aboveAverage="0" equalAverage="0" bottom="0" percent="0" rank="0" text="" dxfId="144">
      <formula>$F329:O2276="pp"</formula>
    </cfRule>
  </conditionalFormatting>
  <conditionalFormatting sqref="E332">
    <cfRule type="expression" priority="135" aboveAverage="0" equalAverage="0" bottom="0" percent="0" rank="0" text="" dxfId="145">
      <formula>$F332:I2287="pp"</formula>
    </cfRule>
  </conditionalFormatting>
  <conditionalFormatting sqref="B334">
    <cfRule type="expression" priority="136" aboveAverage="0" equalAverage="0" bottom="0" percent="0" rank="0" text="" dxfId="146">
      <formula>$F334:G2277="pp"</formula>
    </cfRule>
  </conditionalFormatting>
  <conditionalFormatting sqref="O238">
    <cfRule type="expression" priority="137" aboveAverage="0" equalAverage="0" bottom="0" percent="0" rank="0" text="" dxfId="147">
      <formula>$F238:S2267="pp"</formula>
    </cfRule>
  </conditionalFormatting>
  <conditionalFormatting sqref="J333">
    <cfRule type="expression" priority="138" aboveAverage="0" equalAverage="0" bottom="0" percent="0" rank="0" text="" dxfId="148">
      <formula>$F333:O2277="pp"</formula>
    </cfRule>
  </conditionalFormatting>
  <conditionalFormatting sqref="F329">
    <cfRule type="expression" priority="139" aboveAverage="0" equalAverage="0" bottom="0" percent="0" rank="0" text="" dxfId="149">
      <formula>$F329:J2315="pp"</formula>
    </cfRule>
  </conditionalFormatting>
  <conditionalFormatting sqref="E329 G322:I323 O322:O323">
    <cfRule type="expression" priority="140" aboveAverage="0" equalAverage="0" bottom="0" percent="0" rank="0" text="" dxfId="150">
      <formula>$F322:I2279="pp"</formula>
    </cfRule>
  </conditionalFormatting>
  <conditionalFormatting sqref="B295">
    <cfRule type="expression" priority="141" aboveAverage="0" equalAverage="0" bottom="0" percent="0" rank="0" text="" dxfId="151">
      <formula>$F295:G2288="pp"</formula>
    </cfRule>
  </conditionalFormatting>
  <conditionalFormatting sqref="J332">
    <cfRule type="expression" priority="142" aboveAverage="0" equalAverage="0" bottom="0" percent="0" rank="0" text="" dxfId="152">
      <formula>$F332:O2277="pp"</formula>
    </cfRule>
  </conditionalFormatting>
  <conditionalFormatting sqref="B269">
    <cfRule type="expression" priority="143" aboveAverage="0" equalAverage="0" bottom="0" percent="0" rank="0" text="" dxfId="153">
      <formula>$F269:G2288="pp"</formula>
    </cfRule>
  </conditionalFormatting>
  <conditionalFormatting sqref="K270">
    <cfRule type="expression" priority="144" aboveAverage="0" equalAverage="0" bottom="0" percent="0" rank="0" text="" dxfId="154">
      <formula>$F270:P2309="pp"</formula>
    </cfRule>
  </conditionalFormatting>
  <conditionalFormatting sqref="B266 B272">
    <cfRule type="expression" priority="145" aboveAverage="0" equalAverage="0" bottom="0" percent="0" rank="0" text="" dxfId="155">
      <formula>$F266:G2281="pp"</formula>
    </cfRule>
  </conditionalFormatting>
  <conditionalFormatting sqref="F330 G301:I303 O301:O303">
    <cfRule type="expression" priority="146" aboveAverage="0" equalAverage="0" bottom="0" percent="0" rank="0" text="" dxfId="156">
      <formula>$F301:J2286="pp"</formula>
    </cfRule>
  </conditionalFormatting>
  <conditionalFormatting sqref="J273">
    <cfRule type="expression" priority="147" aboveAverage="0" equalAverage="0" bottom="0" percent="0" rank="0" text="" dxfId="157">
      <formula>$F273:O2287="pp"</formula>
    </cfRule>
  </conditionalFormatting>
  <conditionalFormatting sqref="J270">
    <cfRule type="expression" priority="148" aboveAverage="0" equalAverage="0" bottom="0" percent="0" rank="0" text="" dxfId="158">
      <formula>$F270:O2287="pp"</formula>
    </cfRule>
  </conditionalFormatting>
  <conditionalFormatting sqref="F270">
    <cfRule type="expression" priority="149" aboveAverage="0" equalAverage="0" bottom="0" percent="0" rank="0" text="" dxfId="159">
      <formula>$F270:J2326="pp"</formula>
    </cfRule>
  </conditionalFormatting>
  <conditionalFormatting sqref="Q270">
    <cfRule type="expression" priority="150" aboveAverage="0" equalAverage="0" bottom="0" percent="0" rank="0" text="" dxfId="160">
      <formula>$F270:T2300="pp"</formula>
    </cfRule>
  </conditionalFormatting>
  <conditionalFormatting sqref="C252:D252">
    <cfRule type="expression" priority="151" aboveAverage="0" equalAverage="0" bottom="0" percent="0" rank="0" text="" dxfId="161">
      <formula>$F252:H2306="pp"</formula>
    </cfRule>
  </conditionalFormatting>
  <conditionalFormatting sqref="G271:I271">
    <cfRule type="expression" priority="152" aboveAverage="0" equalAverage="0" bottom="0" percent="0" rank="0" text="" dxfId="162">
      <formula>$F271:K2287="pp"</formula>
    </cfRule>
  </conditionalFormatting>
  <conditionalFormatting sqref="E270">
    <cfRule type="expression" priority="153" aboveAverage="0" equalAverage="0" bottom="0" percent="0" rank="0" text="" dxfId="163">
      <formula>$F270:I2297="pp"</formula>
    </cfRule>
  </conditionalFormatting>
  <conditionalFormatting sqref="L273">
    <cfRule type="expression" priority="154" aboveAverage="0" equalAverage="0" bottom="0" percent="0" rank="0" text="" dxfId="164">
      <formula>$F273:Q2287="pp"</formula>
    </cfRule>
  </conditionalFormatting>
  <conditionalFormatting sqref="O272 G266:I266 O266 G272:I272 E283:E294">
    <cfRule type="expression" priority="155" aboveAverage="0" equalAverage="0" bottom="0" percent="0" rank="0" text="" dxfId="165">
      <formula>$F266:I2281="pp"</formula>
    </cfRule>
  </conditionalFormatting>
  <conditionalFormatting sqref="A274 B233:B235 M280:N282 J233:J235 L233:L235 K280:K282">
    <cfRule type="expression" priority="156" aboveAverage="0" equalAverage="0" bottom="0" percent="0" rank="0" text="" dxfId="166">
      <formula>$F233:F2264="pp"</formula>
    </cfRule>
  </conditionalFormatting>
  <conditionalFormatting sqref="J294">
    <cfRule type="expression" priority="157" aboveAverage="0" equalAverage="0" bottom="0" percent="0" rank="0" text="" dxfId="167">
      <formula>$F294:O2288="pp"</formula>
    </cfRule>
  </conditionalFormatting>
  <conditionalFormatting sqref="B273">
    <cfRule type="expression" priority="158" aboveAverage="0" equalAverage="0" bottom="0" percent="0" rank="0" text="" dxfId="168">
      <formula>$F273:G2287="pp"</formula>
    </cfRule>
  </conditionalFormatting>
  <conditionalFormatting sqref="A266 C283:D294">
    <cfRule type="expression" priority="159" aboveAverage="0" equalAverage="0" bottom="0" percent="0" rank="0" text="" dxfId="169">
      <formula>$F266:F2305="pp"</formula>
    </cfRule>
  </conditionalFormatting>
  <conditionalFormatting sqref="C275:D275 B349:B352 L349:L352 J349:J352">
    <cfRule type="expression" priority="160" aboveAverage="0" equalAverage="0" bottom="0" percent="0" rank="0" text="" dxfId="170">
      <formula>$F275:G2321="pp"</formula>
    </cfRule>
  </conditionalFormatting>
  <conditionalFormatting sqref="B274 C307:D310">
    <cfRule type="expression" priority="161" aboveAverage="0" equalAverage="0" bottom="0" percent="0" rank="0" text="" dxfId="171">
      <formula>$F274:G2287="pp"</formula>
    </cfRule>
  </conditionalFormatting>
  <conditionalFormatting sqref="L281">
    <cfRule type="expression" priority="162" aboveAverage="0" equalAverage="0" bottom="0" percent="0" rank="0" text="" dxfId="172">
      <formula>$F281:Q2289="pp"</formula>
    </cfRule>
  </conditionalFormatting>
  <conditionalFormatting sqref="G281:I281">
    <cfRule type="expression" priority="163" aboveAverage="0" equalAverage="0" bottom="0" percent="0" rank="0" text="" dxfId="173">
      <formula>$F281:K2289="pp"</formula>
    </cfRule>
  </conditionalFormatting>
  <conditionalFormatting sqref="E271">
    <cfRule type="expression" priority="164" aboveAverage="0" equalAverage="0" bottom="0" percent="0" rank="0" text="" dxfId="174">
      <formula>$F271:I2297="pp"</formula>
    </cfRule>
  </conditionalFormatting>
  <conditionalFormatting sqref="G407:I407">
    <cfRule type="expression" priority="165" aboveAverage="0" equalAverage="0" bottom="0" percent="0" rank="0" text="" dxfId="175">
      <formula>$F407:K2456="pp"</formula>
    </cfRule>
  </conditionalFormatting>
  <conditionalFormatting sqref="E407 G204:I208 O204:O208 F254:F265">
    <cfRule type="expression" priority="166" aboveAverage="0" equalAverage="0" bottom="0" percent="0" rank="0" text="" dxfId="176">
      <formula>$F204:I2263="pp"</formula>
    </cfRule>
  </conditionalFormatting>
  <conditionalFormatting sqref="E406 E346:E352 P209:P216">
    <cfRule type="expression" priority="167" aboveAverage="0" equalAverage="0" bottom="0" percent="0" rank="0" text="" dxfId="177">
      <formula>$F209:I2267="pp"</formula>
    </cfRule>
  </conditionalFormatting>
  <conditionalFormatting sqref="J282">
    <cfRule type="expression" priority="168" aboveAverage="0" equalAverage="0" bottom="0" percent="0" rank="0" text="" dxfId="178">
      <formula>$F282:O2289="pp"</formula>
    </cfRule>
  </conditionalFormatting>
  <conditionalFormatting sqref="E281 G267:I268 O267:O268 F307:F310">
    <cfRule type="expression" priority="169" aboveAverage="0" equalAverage="0" bottom="0" percent="0" rank="0" text="" dxfId="179">
      <formula>$F267:I2285="pp"</formula>
    </cfRule>
  </conditionalFormatting>
  <conditionalFormatting sqref="B281 A296:A306 C327:D328">
    <cfRule type="expression" priority="170" aboveAverage="0" equalAverage="0" bottom="0" percent="0" rank="0" text="" dxfId="180">
      <formula>$F281:F2289="pp"</formula>
    </cfRule>
  </conditionalFormatting>
  <conditionalFormatting sqref="F291">
    <cfRule type="expression" priority="171" aboveAverage="0" equalAverage="0" bottom="0" percent="0" rank="0" text="" dxfId="181">
      <formula>$F291:J2336="pp"</formula>
    </cfRule>
  </conditionalFormatting>
  <conditionalFormatting sqref="J281">
    <cfRule type="expression" priority="172" aboveAverage="0" equalAverage="0" bottom="0" percent="0" rank="0" text="" dxfId="182">
      <formula>$F281:O2289="pp"</formula>
    </cfRule>
  </conditionalFormatting>
  <conditionalFormatting sqref="C281:D281 B190:B191 L190:L191 K247:K265 M247:N265 J190:J191">
    <cfRule type="expression" priority="173" aboveAverage="0" equalAverage="0" bottom="0" percent="0" rank="0" text="" dxfId="183">
      <formula>$F190:G2232="pp"</formula>
    </cfRule>
  </conditionalFormatting>
  <conditionalFormatting sqref="C274:D274 A238 M239:N246 K239:K246">
    <cfRule type="expression" priority="174" aboveAverage="0" equalAverage="0" bottom="0" percent="0" rank="0" text="" dxfId="184">
      <formula>$F238:F2285="pp"</formula>
    </cfRule>
  </conditionalFormatting>
  <conditionalFormatting sqref="B280">
    <cfRule type="expression" priority="175" aboveAverage="0" equalAverage="0" bottom="0" percent="0" rank="0" text="" dxfId="185">
      <formula>$F280:G2289="pp"</formula>
    </cfRule>
  </conditionalFormatting>
  <conditionalFormatting sqref="E333">
    <cfRule type="expression" priority="176" aboveAverage="0" equalAverage="0" bottom="0" percent="0" rank="0" text="" dxfId="186">
      <formula>$F333:I2287="pp"</formula>
    </cfRule>
  </conditionalFormatting>
  <conditionalFormatting sqref="J335">
    <cfRule type="expression" priority="177" aboveAverage="0" equalAverage="0" bottom="0" percent="0" rank="0" text="" dxfId="187">
      <formula>$F335:O2277="pp"</formula>
    </cfRule>
  </conditionalFormatting>
  <conditionalFormatting sqref="J280">
    <cfRule type="expression" priority="178" aboveAverage="0" equalAverage="0" bottom="0" percent="0" rank="0" text="" dxfId="188">
      <formula>$F280:O2289="pp"</formula>
    </cfRule>
  </conditionalFormatting>
  <conditionalFormatting sqref="E280 O269">
    <cfRule type="expression" priority="179" aboveAverage="0" equalAverage="0" bottom="0" percent="0" rank="0" text="" dxfId="189">
      <formula>$F269:I2288="pp"</formula>
    </cfRule>
  </conditionalFormatting>
  <conditionalFormatting sqref="A275 B236:B237 L236:L237 J236:J237">
    <cfRule type="expression" priority="180" aboveAverage="0" equalAverage="0" bottom="0" percent="0" rank="0" text="" dxfId="190">
      <formula>$F236:F2266="pp"</formula>
    </cfRule>
  </conditionalFormatting>
  <conditionalFormatting sqref="O270">
    <cfRule type="expression" priority="181" aboveAverage="0" equalAverage="0" bottom="0" percent="0" rank="0" text="" dxfId="191">
      <formula>$F270:S2287="pp"</formula>
    </cfRule>
  </conditionalFormatting>
  <conditionalFormatting sqref="L274">
    <cfRule type="expression" priority="182" aboveAverage="0" equalAverage="0" bottom="0" percent="0" rank="0" text="" dxfId="192">
      <formula>$F274:Q2287="pp"</formula>
    </cfRule>
  </conditionalFormatting>
  <conditionalFormatting sqref="C280:D280 B218:B220 A239:A247 L218:L220 J218:J220">
    <cfRule type="expression" priority="183" aboveAverage="0" equalAverage="0" bottom="0" percent="0" rank="0" text="" dxfId="193">
      <formula>$F218:F2261="pp"</formula>
    </cfRule>
  </conditionalFormatting>
  <conditionalFormatting sqref="F280 G346:I348 O346:O348 O406">
    <cfRule type="expression" priority="184" aboveAverage="0" equalAverage="0" bottom="0" percent="0" rank="0" text="" dxfId="194">
      <formula>$F280:J2328="pp"</formula>
    </cfRule>
  </conditionalFormatting>
  <conditionalFormatting sqref="B279 M298:N300 K298:K300">
    <cfRule type="expression" priority="185" aboveAverage="0" equalAverage="0" bottom="0" percent="0" rank="0" text="" dxfId="195">
      <formula>$F279:G2289="pp"</formula>
    </cfRule>
  </conditionalFormatting>
  <conditionalFormatting sqref="J279">
    <cfRule type="expression" priority="186" aboveAverage="0" equalAverage="0" bottom="0" percent="0" rank="0" text="" dxfId="196">
      <formula>$F279:O2289="pp"</formula>
    </cfRule>
  </conditionalFormatting>
  <conditionalFormatting sqref="C298:D298">
    <cfRule type="expression" priority="187" aboveAverage="0" equalAverage="0" bottom="0" percent="0" rank="0" text="" dxfId="197">
      <formula>$F298:H2320="pp"</formula>
    </cfRule>
  </conditionalFormatting>
  <conditionalFormatting sqref="K279">
    <cfRule type="expression" priority="188" aboveAverage="0" equalAverage="0" bottom="0" percent="0" rank="0" text="" dxfId="198">
      <formula>$F279:P2311="pp"</formula>
    </cfRule>
  </conditionalFormatting>
  <conditionalFormatting sqref="E194">
    <cfRule type="expression" priority="189" aboveAverage="0" equalAverage="0" bottom="0" percent="0" rank="0" text="" dxfId="199">
      <formula>$F194:I2236="pp"</formula>
    </cfRule>
  </conditionalFormatting>
  <conditionalFormatting sqref="G270:I270">
    <cfRule type="expression" priority="190" aboveAverage="0" equalAverage="0" bottom="0" percent="0" rank="0" text="" dxfId="200">
      <formula>$F270:K2287="pp"</formula>
    </cfRule>
  </conditionalFormatting>
  <conditionalFormatting sqref="O306">
    <cfRule type="expression" priority="191" aboveAverage="0" equalAverage="0" bottom="0" percent="0" rank="0" text="" dxfId="201">
      <formula>$F306:S2286="pp"</formula>
    </cfRule>
  </conditionalFormatting>
  <conditionalFormatting sqref="C270:D270">
    <cfRule type="expression" priority="192" aboveAverage="0" equalAverage="0" bottom="0" percent="0" rank="0" text="" dxfId="202">
      <formula>$F270:H2321="pp"</formula>
    </cfRule>
  </conditionalFormatting>
  <conditionalFormatting sqref="L279">
    <cfRule type="expression" priority="193" aboveAverage="0" equalAverage="0" bottom="0" percent="0" rank="0" text="" dxfId="203">
      <formula>$F279:Q2289="pp"</formula>
    </cfRule>
  </conditionalFormatting>
  <conditionalFormatting sqref="F395">
    <cfRule type="expression" priority="194" aboveAverage="0" equalAverage="0" bottom="0" percent="0" rank="0" text="" dxfId="204">
      <formula>$F395:J2332="pp"</formula>
    </cfRule>
  </conditionalFormatting>
  <conditionalFormatting sqref="F402">
    <cfRule type="expression" priority="195" aboveAverage="0" equalAverage="0" bottom="0" percent="0" rank="0" text="" dxfId="205">
      <formula>$F402:J2529="pp"</formula>
    </cfRule>
  </conditionalFormatting>
  <conditionalFormatting sqref="G333:I333">
    <cfRule type="expression" priority="196" aboveAverage="0" equalAverage="0" bottom="0" percent="0" rank="0" text="" dxfId="206">
      <formula>$F333:K2277="pp"</formula>
    </cfRule>
  </conditionalFormatting>
  <conditionalFormatting sqref="J334">
    <cfRule type="expression" priority="197" aboveAverage="0" equalAverage="0" bottom="0" percent="0" rank="0" text="" dxfId="207">
      <formula>$F334:O2277="pp"</formula>
    </cfRule>
  </conditionalFormatting>
  <conditionalFormatting sqref="B332 C372:D374">
    <cfRule type="expression" priority="198" aboveAverage="0" equalAverage="0" bottom="0" percent="0" rank="0" text="" dxfId="208">
      <formula>$F332:G2277="pp"</formula>
    </cfRule>
  </conditionalFormatting>
  <conditionalFormatting sqref="O332">
    <cfRule type="expression" priority="199" aboveAverage="0" equalAverage="0" bottom="0" percent="0" rank="0" text="" dxfId="209">
      <formula>$F332:S2277="pp"</formula>
    </cfRule>
  </conditionalFormatting>
  <conditionalFormatting sqref="B326">
    <cfRule type="expression" priority="200" aboveAverage="0" equalAverage="0" bottom="0" percent="0" rank="0" text="" dxfId="210">
      <formula>$F326:G2276="pp"</formula>
    </cfRule>
  </conditionalFormatting>
  <conditionalFormatting sqref="J407">
    <cfRule type="expression" priority="201" aboveAverage="0" equalAverage="0" bottom="0" percent="0" rank="0" text="" dxfId="211">
      <formula>$F407:O2456="pp"</formula>
    </cfRule>
  </conditionalFormatting>
  <conditionalFormatting sqref="F289">
    <cfRule type="expression" priority="202" aboveAverage="0" equalAverage="0" bottom="0" percent="0" rank="0" text="" dxfId="212">
      <formula>$F289:J2334="pp"</formula>
    </cfRule>
  </conditionalFormatting>
  <conditionalFormatting sqref="J266">
    <cfRule type="expression" priority="203" aboveAverage="0" equalAverage="0" bottom="0" percent="0" rank="0" text="" dxfId="213">
      <formula>$F266:O2281="pp"</formula>
    </cfRule>
  </conditionalFormatting>
  <conditionalFormatting sqref="M304:N304">
    <cfRule type="expression" priority="204" aboveAverage="0" equalAverage="0" bottom="0" percent="0" rank="0" text="" dxfId="214">
      <formula>$F304:R2308="pp"</formula>
    </cfRule>
  </conditionalFormatting>
  <conditionalFormatting sqref="Q266">
    <cfRule type="expression" priority="205" aboveAverage="0" equalAverage="0" bottom="0" percent="0" rank="0" text="" dxfId="215">
      <formula>$F266:T2294="pp"</formula>
    </cfRule>
  </conditionalFormatting>
  <conditionalFormatting sqref="J325">
    <cfRule type="expression" priority="206" aboveAverage="0" equalAverage="0" bottom="0" percent="0" rank="0" text="" dxfId="216">
      <formula>$F325:O2276="pp"</formula>
    </cfRule>
  </conditionalFormatting>
  <conditionalFormatting sqref="C279:D279">
    <cfRule type="expression" priority="207" aboveAverage="0" equalAverage="0" bottom="0" percent="0" rank="0" text="" dxfId="217">
      <formula>$F279:H2323="pp"</formula>
    </cfRule>
  </conditionalFormatting>
  <conditionalFormatting sqref="G329:I329">
    <cfRule type="expression" priority="208" aboveAverage="0" equalAverage="0" bottom="0" percent="0" rank="0" text="" dxfId="218">
      <formula>$F329:K2276="pp"</formula>
    </cfRule>
  </conditionalFormatting>
  <conditionalFormatting sqref="E266 G239:I246 O239:O246">
    <cfRule type="expression" priority="209" aboveAverage="0" equalAverage="0" bottom="0" percent="0" rank="0" text="" dxfId="219">
      <formula>$F239:I2264="pp"</formula>
    </cfRule>
  </conditionalFormatting>
  <conditionalFormatting sqref="L280">
    <cfRule type="expression" priority="210" aboveAverage="0" equalAverage="0" bottom="0" percent="0" rank="0" text="" dxfId="220">
      <formula>$F280:Q2289="pp"</formula>
    </cfRule>
  </conditionalFormatting>
  <conditionalFormatting sqref="L333">
    <cfRule type="expression" priority="211" aboveAverage="0" equalAverage="0" bottom="0" percent="0" rank="0" text="" dxfId="221">
      <formula>$F333:Q2277="pp"</formula>
    </cfRule>
  </conditionalFormatting>
  <conditionalFormatting sqref="C251:D251">
    <cfRule type="expression" priority="212" aboveAverage="0" equalAverage="0" bottom="0" percent="0" rank="0" text="" dxfId="222">
      <formula>$F251:H2310="pp"</formula>
    </cfRule>
  </conditionalFormatting>
  <conditionalFormatting sqref="M189:N189">
    <cfRule type="expression" priority="213" aboveAverage="0" equalAverage="0" bottom="0" percent="0" rank="0" text="" dxfId="223">
      <formula>$F189:R2251="pp"</formula>
    </cfRule>
  </conditionalFormatting>
  <conditionalFormatting sqref="Q188">
    <cfRule type="expression" priority="214" aboveAverage="0" equalAverage="0" bottom="0" percent="0" rank="0" text="" dxfId="224">
      <formula>$F188:T2268="pp"</formula>
    </cfRule>
  </conditionalFormatting>
  <conditionalFormatting sqref="F332">
    <cfRule type="expression" priority="215" aboveAverage="0" equalAverage="0" bottom="0" percent="0" rank="0" text="" dxfId="225">
      <formula>$F332:J2317="pp"</formula>
    </cfRule>
  </conditionalFormatting>
  <conditionalFormatting sqref="M217:N217">
    <cfRule type="expression" priority="216" aboveAverage="0" equalAverage="0" bottom="0" percent="0" rank="0" text="" dxfId="226">
      <formula>$F217:R2278="pp"</formula>
    </cfRule>
  </conditionalFormatting>
  <conditionalFormatting sqref="M306:N306">
    <cfRule type="expression" priority="217" aboveAverage="0" equalAverage="0" bottom="0" percent="0" rank="0" text="" dxfId="227">
      <formula>$F306:R2308="pp"</formula>
    </cfRule>
  </conditionalFormatting>
  <conditionalFormatting sqref="M273:N273">
    <cfRule type="expression" priority="218" aboveAverage="0" equalAverage="0" bottom="0" percent="0" rank="0" text="" dxfId="228">
      <formula>$F273:R2309="pp"</formula>
    </cfRule>
  </conditionalFormatting>
  <conditionalFormatting sqref="K186">
    <cfRule type="expression" priority="219" aboveAverage="0" equalAverage="0" bottom="0" percent="0" rank="0" text="" dxfId="229">
      <formula>$F186:P2277="pp"</formula>
    </cfRule>
  </conditionalFormatting>
  <conditionalFormatting sqref="G332:I332">
    <cfRule type="expression" priority="220" aboveAverage="0" equalAverage="0" bottom="0" percent="0" rank="0" text="" dxfId="230">
      <formula>$F332:K2277="pp"</formula>
    </cfRule>
  </conditionalFormatting>
  <conditionalFormatting sqref="G335:I335">
    <cfRule type="expression" priority="221" aboveAverage="0" equalAverage="0" bottom="0" percent="0" rank="0" text="" dxfId="231">
      <formula>$F335:K2277="pp"</formula>
    </cfRule>
  </conditionalFormatting>
  <conditionalFormatting sqref="F339">
    <cfRule type="expression" priority="222" aboveAverage="0" equalAverage="0" bottom="0" percent="0" rank="0" text="" dxfId="232">
      <formula>$F339:J2318="pp"</formula>
    </cfRule>
  </conditionalFormatting>
  <conditionalFormatting sqref="L282">
    <cfRule type="expression" priority="223" aboveAverage="0" equalAverage="0" bottom="0" percent="0" rank="0" text="" dxfId="233">
      <formula>$F282:Q2289="pp"</formula>
    </cfRule>
  </conditionalFormatting>
  <conditionalFormatting sqref="L305">
    <cfRule type="expression" priority="224" aboveAverage="0" equalAverage="0" bottom="0" percent="0" rank="0" text="" dxfId="234">
      <formula>$F305:Q2286="pp"</formula>
    </cfRule>
  </conditionalFormatting>
  <conditionalFormatting sqref="L332">
    <cfRule type="expression" priority="225" aboveAverage="0" equalAverage="0" bottom="0" percent="0" rank="0" text="" dxfId="235">
      <formula>$F332:Q2277="pp"</formula>
    </cfRule>
  </conditionalFormatting>
  <conditionalFormatting sqref="L335">
    <cfRule type="expression" priority="226" aboveAverage="0" equalAverage="0" bottom="0" percent="0" rank="0" text="" dxfId="236">
      <formula>$F335:Q2277="pp"</formula>
    </cfRule>
  </conditionalFormatting>
  <conditionalFormatting sqref="M305:N305">
    <cfRule type="expression" priority="227" aboveAverage="0" equalAverage="0" bottom="0" percent="0" rank="0" text="" dxfId="237">
      <formula>$F305:R2308="pp"</formula>
    </cfRule>
  </conditionalFormatting>
  <conditionalFormatting sqref="M379:N379">
    <cfRule type="expression" priority="228" aboveAverage="0" equalAverage="0" bottom="0" percent="0" rank="0" text="" dxfId="238">
      <formula>$F379:R2428="pp"</formula>
    </cfRule>
  </conditionalFormatting>
  <conditionalFormatting sqref="L379">
    <cfRule type="expression" priority="229" aboveAverage="0" equalAverage="0" bottom="0" percent="0" rank="0" text="" dxfId="239">
      <formula>$F379:Q2406="pp"</formula>
    </cfRule>
  </conditionalFormatting>
  <conditionalFormatting sqref="M406:N406">
    <cfRule type="expression" priority="230" aboveAverage="0" equalAverage="0" bottom="0" percent="0" rank="0" text="" dxfId="240">
      <formula>$F406:R2476="pp"</formula>
    </cfRule>
  </conditionalFormatting>
  <conditionalFormatting sqref="Q217">
    <cfRule type="expression" priority="231" aboveAverage="0" equalAverage="0" bottom="0" percent="0" rank="0" text="" dxfId="241">
      <formula>$F217:T2269="pp"</formula>
    </cfRule>
  </conditionalFormatting>
  <conditionalFormatting sqref="B407 A233:A235 B217 J217">
    <cfRule type="expression" priority="232" aboveAverage="0" equalAverage="0" bottom="0" percent="0" rank="0" text="" dxfId="242">
      <formula>$F217:F2266="pp"</formula>
    </cfRule>
  </conditionalFormatting>
  <conditionalFormatting sqref="F371:I371">
    <cfRule type="expression" priority="233" aboveAverage="0" equalAverage="0" bottom="0" percent="0" rank="0" text="" dxfId="243">
      <formula>$F371:J2507="pp"</formula>
    </cfRule>
  </conditionalFormatting>
  <conditionalFormatting sqref="F252">
    <cfRule type="expression" priority="234" aboveAverage="0" equalAverage="0" bottom="0" percent="0" rank="0" text="" dxfId="244">
      <formula>$F252:J2311="pp"</formula>
    </cfRule>
  </conditionalFormatting>
  <conditionalFormatting sqref="G217:I217">
    <cfRule type="expression" priority="235" aboveAverage="0" equalAverage="0" bottom="0" percent="0" rank="0" text="" dxfId="245">
      <formula>$F217:K2266="pp"</formula>
    </cfRule>
  </conditionalFormatting>
  <conditionalFormatting sqref="L371">
    <cfRule type="expression" priority="236" aboveAverage="0" equalAverage="0" bottom="0" percent="0" rank="0" text="" dxfId="246">
      <formula>$F371:Q2507="pp"</formula>
    </cfRule>
  </conditionalFormatting>
  <conditionalFormatting sqref="C273:D273">
    <cfRule type="expression" priority="237" aboveAverage="0" equalAverage="0" bottom="0" percent="0" rank="0" text="" dxfId="247">
      <formula>$F273:H2321="pp"</formula>
    </cfRule>
  </conditionalFormatting>
  <conditionalFormatting sqref="O295">
    <cfRule type="expression" priority="238" aboveAverage="0" equalAverage="0" bottom="0" percent="0" rank="0" text="" dxfId="248">
      <formula>$F295:S2288="pp"</formula>
    </cfRule>
  </conditionalFormatting>
  <conditionalFormatting sqref="G326:I326 F372:F374">
    <cfRule type="expression" priority="239" aboveAverage="0" equalAverage="0" bottom="0" percent="0" rank="0" text="" dxfId="249">
      <formula>$F326:J2276="pp"</formula>
    </cfRule>
  </conditionalFormatting>
  <conditionalFormatting sqref="L271">
    <cfRule type="expression" priority="240" aboveAverage="0" equalAverage="0" bottom="0" percent="0" rank="0" text="" dxfId="250">
      <formula>$F271:Q2287="pp"</formula>
    </cfRule>
  </conditionalFormatting>
  <conditionalFormatting sqref="L295">
    <cfRule type="expression" priority="241" aboveAverage="0" equalAverage="0" bottom="0" percent="0" rank="0" text="" dxfId="251">
      <formula>$F295:Q2288="pp"</formula>
    </cfRule>
  </conditionalFormatting>
  <conditionalFormatting sqref="L304">
    <cfRule type="expression" priority="242" aboveAverage="0" equalAverage="0" bottom="0" percent="0" rank="0" text="" dxfId="252">
      <formula>$F304:Q2286="pp"</formula>
    </cfRule>
  </conditionalFormatting>
  <conditionalFormatting sqref="L306">
    <cfRule type="expression" priority="243" aboveAverage="0" equalAverage="0" bottom="0" percent="0" rank="0" text="" dxfId="253">
      <formula>$F306:Q2286="pp"</formula>
    </cfRule>
  </conditionalFormatting>
  <conditionalFormatting sqref="L326">
    <cfRule type="expression" priority="244" aboveAverage="0" equalAverage="0" bottom="0" percent="0" rank="0" text="" dxfId="254">
      <formula>$F326:Q2276="pp"</formula>
    </cfRule>
  </conditionalFormatting>
  <conditionalFormatting sqref="F412 E375:E378">
    <cfRule type="expression" priority="245" aboveAverage="0" equalAverage="0" bottom="0" percent="0" rank="0" text="" dxfId="255">
      <formula>$F375:I2287="pp"</formula>
    </cfRule>
  </conditionalFormatting>
  <conditionalFormatting sqref="K412">
    <cfRule type="expression" priority="246" aboveAverage="0" equalAverage="0" bottom="0" percent="0" rank="0" text="" dxfId="256">
      <formula>$F412:P2307="pp"</formula>
    </cfRule>
  </conditionalFormatting>
  <conditionalFormatting sqref="C412:D412">
    <cfRule type="expression" priority="247" aboveAverage="0" equalAverage="0" bottom="0" percent="0" rank="0" text="" dxfId="257">
      <formula>$F412:H2319="pp"</formula>
    </cfRule>
  </conditionalFormatting>
  <conditionalFormatting sqref="A412">
    <cfRule type="expression" priority="248" aboveAverage="0" equalAverage="0" bottom="0" percent="0" rank="0" text="" dxfId="258">
      <formula>$F412:F2303="pp"</formula>
    </cfRule>
  </conditionalFormatting>
  <conditionalFormatting sqref="M444:N444">
    <cfRule type="expression" priority="249" aboveAverage="0" equalAverage="0" bottom="0" percent="0" rank="0" text="" dxfId="259">
      <formula>$F444:R2306="pp"</formula>
    </cfRule>
  </conditionalFormatting>
  <conditionalFormatting sqref="Q412">
    <cfRule type="expression" priority="250" aboveAverage="0" equalAverage="0" bottom="0" percent="0" rank="0" text="" dxfId="260">
      <formula>$F412:T2298="pp"</formula>
    </cfRule>
  </conditionalFormatting>
  <conditionalFormatting sqref="G200:I200">
    <cfRule type="expression" priority="251" aboveAverage="0" equalAverage="0" bottom="0" percent="0" rank="0" text="" dxfId="261">
      <formula>$F200:K2264="pp"</formula>
    </cfRule>
  </conditionalFormatting>
  <conditionalFormatting sqref="K175">
    <cfRule type="expression" priority="252" aboveAverage="0" equalAverage="0" bottom="0" percent="0" rank="0" text="" dxfId="262">
      <formula>$F175:P2286="pp"</formula>
    </cfRule>
  </conditionalFormatting>
  <conditionalFormatting sqref="E189 F276:F278 E222:E226">
    <cfRule type="expression" priority="253" aboveAverage="0" equalAverage="0" bottom="0" percent="0" rank="0" text="" dxfId="263">
      <formula>$F189:I2239="pp"</formula>
    </cfRule>
  </conditionalFormatting>
  <conditionalFormatting sqref="F381">
    <cfRule type="expression" priority="254" aboveAverage="0" equalAverage="0" bottom="0" percent="0" rank="0" text="" dxfId="264">
      <formula>$F381:J2447="pp"</formula>
    </cfRule>
  </conditionalFormatting>
  <conditionalFormatting sqref="B324">
    <cfRule type="expression" priority="255" aboveAverage="0" equalAverage="0" bottom="0" percent="0" rank="0" text="" dxfId="265">
      <formula>$F324:G2276="pp"</formula>
    </cfRule>
  </conditionalFormatting>
  <conditionalFormatting sqref="O304">
    <cfRule type="expression" priority="256" aboveAverage="0" equalAverage="0" bottom="0" percent="0" rank="0" text="" dxfId="266">
      <formula>$F304:S2286="pp"</formula>
    </cfRule>
  </conditionalFormatting>
  <conditionalFormatting sqref="L325">
    <cfRule type="expression" priority="257" aboveAverage="0" equalAverage="0" bottom="0" percent="0" rank="0" text="" dxfId="267">
      <formula>$F325:Q2276="pp"</formula>
    </cfRule>
  </conditionalFormatting>
  <conditionalFormatting sqref="C415:D415">
    <cfRule type="expression" priority="258" aboveAverage="0" equalAverage="0" bottom="0" percent="0" rank="0" text="" dxfId="268">
      <formula>$F415:H2310="pp"</formula>
    </cfRule>
  </conditionalFormatting>
  <conditionalFormatting sqref="C192:D192">
    <cfRule type="expression" priority="259" aboveAverage="0" equalAverage="0" bottom="0" percent="0" rank="0" text="" dxfId="269">
      <formula>$F192:H2247="pp"</formula>
    </cfRule>
  </conditionalFormatting>
  <conditionalFormatting sqref="L217">
    <cfRule type="expression" priority="260" aboveAverage="0" equalAverage="0" bottom="0" percent="0" rank="0" text="" dxfId="270">
      <formula>$F217:Q2266="pp"</formula>
    </cfRule>
  </conditionalFormatting>
  <conditionalFormatting sqref="L334">
    <cfRule type="expression" priority="261" aboveAverage="0" equalAverage="0" bottom="0" percent="0" rank="0" text="" dxfId="271">
      <formula>$F334:Q2277="pp"</formula>
    </cfRule>
  </conditionalFormatting>
  <conditionalFormatting sqref="G294:I294">
    <cfRule type="expression" priority="262" aboveAverage="0" equalAverage="0" bottom="0" percent="0" rank="0" text="" dxfId="272">
      <formula>$F294:K2288="pp"</formula>
    </cfRule>
  </conditionalFormatting>
  <conditionalFormatting sqref="O324">
    <cfRule type="expression" priority="263" aboveAverage="0" equalAverage="0" bottom="0" percent="0" rank="0" text="" dxfId="273">
      <formula>$F324:S2276="pp"</formula>
    </cfRule>
  </conditionalFormatting>
  <conditionalFormatting sqref="G334:I334">
    <cfRule type="expression" priority="264" aboveAverage="0" equalAverage="0" bottom="0" percent="0" rank="0" text="" dxfId="274">
      <formula>$F334:K2277="pp"</formula>
    </cfRule>
  </conditionalFormatting>
  <conditionalFormatting sqref="L294">
    <cfRule type="expression" priority="265" aboveAverage="0" equalAverage="0" bottom="0" percent="0" rank="0" text="" dxfId="275">
      <formula>$F294:Q2288="pp"</formula>
    </cfRule>
  </conditionalFormatting>
  <conditionalFormatting sqref="L324">
    <cfRule type="expression" priority="266" aboveAverage="0" equalAverage="0" bottom="0" percent="0" rank="0" text="" dxfId="276">
      <formula>$F324:Q2276="pp"</formula>
    </cfRule>
  </conditionalFormatting>
  <conditionalFormatting sqref="M329:N329">
    <cfRule type="expression" priority="267" aboveAverage="0" equalAverage="0" bottom="0" percent="0" rank="0" text="" dxfId="277">
      <formula>$F329:R2298="pp"</formula>
    </cfRule>
  </conditionalFormatting>
  <conditionalFormatting sqref="C177:D177 B175:D175">
    <cfRule type="expression" priority="268" aboveAverage="0" equalAverage="0" bottom="0" percent="0" rank="0" text="" dxfId="278">
      <formula>$F175:G2274="pp"</formula>
    </cfRule>
  </conditionalFormatting>
  <conditionalFormatting sqref="F176">
    <cfRule type="expression" priority="269" aboveAverage="0" equalAverage="0" bottom="0" percent="0" rank="0" text="" dxfId="279">
      <formula>$F176:J2279="pp"</formula>
    </cfRule>
  </conditionalFormatting>
  <conditionalFormatting sqref="O329">
    <cfRule type="expression" priority="270" aboveAverage="0" equalAverage="0" bottom="0" percent="0" rank="0" text="" dxfId="280">
      <formula>$F329:S2276="pp"</formula>
    </cfRule>
  </conditionalFormatting>
  <conditionalFormatting sqref="O333">
    <cfRule type="expression" priority="271" aboveAverage="0" equalAverage="0" bottom="0" percent="0" rank="0" text="" dxfId="281">
      <formula>$F333:S2277="pp"</formula>
    </cfRule>
  </conditionalFormatting>
  <conditionalFormatting sqref="C253:D253">
    <cfRule type="expression" priority="272" aboveAverage="0" equalAverage="0" bottom="0" percent="0" rank="0" text="" dxfId="282">
      <formula>$F253:H2312="pp"</formula>
    </cfRule>
  </conditionalFormatting>
  <conditionalFormatting sqref="L386">
    <cfRule type="expression" priority="273" aboveAverage="0" equalAverage="0" bottom="0" percent="0" rank="0" text="" dxfId="283">
      <formula>$F386:Q2285="pp"</formula>
    </cfRule>
  </conditionalFormatting>
  <conditionalFormatting sqref="O150">
    <cfRule type="expression" priority="274" aboveAverage="0" equalAverage="0" bottom="0" percent="0" rank="0" text="" dxfId="284">
      <formula>$F150:S2280="pp"</formula>
    </cfRule>
  </conditionalFormatting>
  <conditionalFormatting sqref="L150">
    <cfRule type="expression" priority="275" aboveAverage="0" equalAverage="0" bottom="0" percent="0" rank="0" text="" dxfId="285">
      <formula>$F150:Q2280="pp"</formula>
    </cfRule>
  </conditionalFormatting>
  <conditionalFormatting sqref="E412">
    <cfRule type="expression" priority="276" aboveAverage="0" equalAverage="0" bottom="0" percent="0" rank="0" text="" dxfId="286">
      <formula>$F412:I2295="pp"</formula>
    </cfRule>
  </conditionalFormatting>
  <conditionalFormatting sqref="F444">
    <cfRule type="expression" priority="277" aboveAverage="0" equalAverage="0" bottom="0" percent="0" rank="0" text="" dxfId="287">
      <formula>$F444:J2308="pp"</formula>
    </cfRule>
  </conditionalFormatting>
  <conditionalFormatting sqref="G193:I193 G227:I232 O227:O232 E239:E247">
    <cfRule type="expression" priority="278" aboveAverage="0" equalAverage="0" bottom="0" percent="0" rank="0" text="" dxfId="288">
      <formula>$F193:I2228="pp"</formula>
    </cfRule>
  </conditionalFormatting>
  <conditionalFormatting sqref="C218:D218 C346:D352">
    <cfRule type="expression" priority="279" aboveAverage="0" equalAverage="0" bottom="0" percent="0" rank="0" text="" dxfId="289">
      <formula>$F218:H2300="pp"</formula>
    </cfRule>
  </conditionalFormatting>
  <conditionalFormatting sqref="F334">
    <cfRule type="expression" priority="280" aboveAverage="0" equalAverage="0" bottom="0" percent="0" rank="0" text="" dxfId="290">
      <formula>$F334:J2319="pp"</formula>
    </cfRule>
  </conditionalFormatting>
  <conditionalFormatting sqref="O200">
    <cfRule type="expression" priority="281" aboveAverage="0" equalAverage="0" bottom="0" percent="0" rank="0" text="" dxfId="291">
      <formula>$F200:S2264="pp"</formula>
    </cfRule>
  </conditionalFormatting>
  <conditionalFormatting sqref="F177 F162:F166 E182:E185 H182:I185 O182:O185">
    <cfRule type="expression" priority="282" aboveAverage="0" equalAverage="0" bottom="0" percent="0" rank="0" text="" dxfId="292">
      <formula>$F162:I2267="pp"</formula>
    </cfRule>
  </conditionalFormatting>
  <conditionalFormatting sqref="F341">
    <cfRule type="expression" priority="283" aboveAverage="0" equalAverage="0" bottom="0" percent="0" rank="0" text="" dxfId="293">
      <formula>$F341:J2320="pp"</formula>
    </cfRule>
  </conditionalFormatting>
  <conditionalFormatting sqref="L461">
    <cfRule type="expression" priority="284" aboveAverage="0" equalAverage="0" bottom="0" percent="0" rank="0" text="" dxfId="294">
      <formula>$F461:Q2282="pp"</formula>
    </cfRule>
  </conditionalFormatting>
  <conditionalFormatting sqref="K444 B413:B414 C440:D441 C446:D454 J413:J414 L413:L414">
    <cfRule type="expression" priority="285" aboveAverage="0" equalAverage="0" bottom="0" percent="0" rank="0" text="" dxfId="295">
      <formula>$F413:G2275="pp"</formula>
    </cfRule>
  </conditionalFormatting>
  <conditionalFormatting sqref="Q444">
    <cfRule type="expression" priority="286" aboveAverage="0" equalAverage="0" bottom="0" percent="0" rank="0" text="" dxfId="296">
      <formula>$F444:T2297="pp"</formula>
    </cfRule>
  </conditionalFormatting>
  <conditionalFormatting sqref="F286">
    <cfRule type="expression" priority="287" aboveAverage="0" equalAverage="0" bottom="0" percent="0" rank="0" text="" dxfId="297">
      <formula>$F286:J2330="pp"</formula>
    </cfRule>
  </conditionalFormatting>
  <conditionalFormatting sqref="F461">
    <cfRule type="expression" priority="288" aboveAverage="0" equalAverage="0" bottom="0" percent="0" rank="0" text="" dxfId="298">
      <formula>$F461:J2321="pp"</formula>
    </cfRule>
  </conditionalFormatting>
  <conditionalFormatting sqref="F243">
    <cfRule type="expression" priority="289" aboveAverage="0" equalAverage="0" bottom="0" percent="0" rank="0" text="" dxfId="299">
      <formula>$F243:J2307="pp"</formula>
    </cfRule>
  </conditionalFormatting>
  <conditionalFormatting sqref="C191:D191">
    <cfRule type="expression" priority="290" aboveAverage="0" equalAverage="0" bottom="0" percent="0" rank="0" text="" dxfId="300">
      <formula>$F191:H2262="pp"</formula>
    </cfRule>
  </conditionalFormatting>
  <conditionalFormatting sqref="F383">
    <cfRule type="expression" priority="291" aboveAverage="0" equalAverage="0" bottom="0" percent="0" rank="0" text="" dxfId="301">
      <formula>$F383:J2449="pp"</formula>
    </cfRule>
  </conditionalFormatting>
  <conditionalFormatting sqref="J400">
    <cfRule type="expression" priority="292" aboveAverage="0" equalAverage="0" bottom="0" percent="0" rank="0" text="" dxfId="302">
      <formula>$F400:O2507="pp"</formula>
    </cfRule>
  </conditionalFormatting>
  <conditionalFormatting sqref="O444">
    <cfRule type="expression" priority="293" aboveAverage="0" equalAverage="0" bottom="0" percent="0" rank="0" text="" dxfId="303">
      <formula>$F444:S2284="pp"</formula>
    </cfRule>
  </conditionalFormatting>
  <conditionalFormatting sqref="E444 F471:F475">
    <cfRule type="expression" priority="294" aboveAverage="0" equalAverage="0" bottom="0" percent="0" rank="0" text="" dxfId="304">
      <formula>$F444:I2279="pp"</formula>
    </cfRule>
  </conditionalFormatting>
  <conditionalFormatting sqref="O459 E440:E441 E446:E454">
    <cfRule type="expression" priority="295" aboveAverage="0" equalAverage="0" bottom="0" percent="0" rank="0" text="" dxfId="305">
      <formula>$F440:I2278="pp"</formula>
    </cfRule>
  </conditionalFormatting>
  <conditionalFormatting sqref="J415">
    <cfRule type="expression" priority="296" aboveAverage="0" equalAverage="0" bottom="0" percent="0" rank="0" text="" dxfId="306">
      <formula>$F415:O2276="pp"</formula>
    </cfRule>
  </conditionalFormatting>
  <conditionalFormatting sqref="G426:I426 O440:O441 O446:O454 F467:F470">
    <cfRule type="expression" priority="297" aboveAverage="0" equalAverage="0" bottom="0" percent="0" rank="0" text="" dxfId="307">
      <formula>$F426:J2269="pp"</formula>
    </cfRule>
  </conditionalFormatting>
  <conditionalFormatting sqref="C479:D479">
    <cfRule type="expression" priority="298" aboveAverage="0" equalAverage="0" bottom="0" percent="0" rank="0" text="" dxfId="308">
      <formula>$F479:H2304="pp"</formula>
    </cfRule>
  </conditionalFormatting>
  <conditionalFormatting sqref="E415 F432:F439">
    <cfRule type="expression" priority="299" aboveAverage="0" equalAverage="0" bottom="0" percent="0" rank="0" text="" dxfId="309">
      <formula>$F415:I2286="pp"</formula>
    </cfRule>
  </conditionalFormatting>
  <conditionalFormatting sqref="O371">
    <cfRule type="expression" priority="300" aboveAverage="0" equalAverage="0" bottom="0" percent="0" rank="0" text="" dxfId="310">
      <formula>$F371:S2507="pp"</formula>
    </cfRule>
  </conditionalFormatting>
  <conditionalFormatting sqref="O455">
    <cfRule type="expression" priority="301" aboveAverage="0" equalAverage="0" bottom="0" percent="0" rank="0" text="" dxfId="311">
      <formula>$F455:S2297="pp"</formula>
    </cfRule>
  </conditionalFormatting>
  <conditionalFormatting sqref="F245">
    <cfRule type="expression" priority="302" aboveAverage="0" equalAverage="0" bottom="0" percent="0" rank="0" text="" dxfId="312">
      <formula>$F245:J2309="pp"</formula>
    </cfRule>
  </conditionalFormatting>
  <conditionalFormatting sqref="G415:I415">
    <cfRule type="expression" priority="303" aboveAverage="0" equalAverage="0" bottom="0" percent="0" rank="0" text="" dxfId="313">
      <formula>$F415:K2276="pp"</formula>
    </cfRule>
  </conditionalFormatting>
  <conditionalFormatting sqref="C194:D194">
    <cfRule type="expression" priority="304" aboveAverage="0" equalAverage="0" bottom="0" percent="0" rank="0" text="" dxfId="314">
      <formula>$F194:H2249="pp"</formula>
    </cfRule>
  </conditionalFormatting>
  <conditionalFormatting sqref="C179:D179">
    <cfRule type="expression" priority="305" aboveAverage="0" equalAverage="0" bottom="0" percent="0" rank="0" text="" dxfId="315">
      <formula>$F179:H2278="pp"</formula>
    </cfRule>
  </conditionalFormatting>
  <conditionalFormatting sqref="E428">
    <cfRule type="expression" priority="306" aboveAverage="0" equalAverage="0" bottom="0" percent="0" rank="0" text="" dxfId="316">
      <formula>$F428:I2284="pp"</formula>
    </cfRule>
  </conditionalFormatting>
  <conditionalFormatting sqref="L415">
    <cfRule type="expression" priority="307" aboveAverage="0" equalAverage="0" bottom="0" percent="0" rank="0" text="" dxfId="317">
      <formula>$F415:Q2276="pp"</formula>
    </cfRule>
  </conditionalFormatting>
  <conditionalFormatting sqref="K461">
    <cfRule type="expression" priority="308" aboveAverage="0" equalAverage="0" bottom="0" percent="0" rank="0" text="" dxfId="318">
      <formula>$F461:P2319="pp"</formula>
    </cfRule>
  </conditionalFormatting>
  <conditionalFormatting sqref="Q461">
    <cfRule type="expression" priority="309" aboveAverage="0" equalAverage="0" bottom="0" percent="0" rank="0" text="" dxfId="319">
      <formula>$F461:T2310="pp"</formula>
    </cfRule>
  </conditionalFormatting>
  <conditionalFormatting sqref="J412">
    <cfRule type="expression" priority="310" aboveAverage="0" equalAverage="0" bottom="0" percent="0" rank="0" text="" dxfId="320">
      <formula>$F412:O2285="pp"</formula>
    </cfRule>
  </conditionalFormatting>
  <conditionalFormatting sqref="C424:D424 A413:A415 C421:D422">
    <cfRule type="expression" priority="311" aboveAverage="0" equalAverage="0" bottom="0" percent="0" rank="0" text="" dxfId="321">
      <formula>$F413:F2293="pp"</formula>
    </cfRule>
  </conditionalFormatting>
  <conditionalFormatting sqref="E423">
    <cfRule type="expression" priority="312" aboveAverage="0" equalAverage="0" bottom="0" percent="0" rank="0" text="" dxfId="322">
      <formula>$F423:I2278="pp"</formula>
    </cfRule>
  </conditionalFormatting>
  <conditionalFormatting sqref="J423">
    <cfRule type="expression" priority="313" aboveAverage="0" equalAverage="0" bottom="0" percent="0" rank="0" text="" dxfId="323">
      <formula>$F423:O2268="pp"</formula>
    </cfRule>
  </conditionalFormatting>
  <conditionalFormatting sqref="C423:D423 B409:B411 L409:L411 J409:J411">
    <cfRule type="expression" priority="314" aboveAverage="0" equalAverage="0" bottom="0" percent="0" rank="0" text="" dxfId="324">
      <formula>$F409:G2288="pp"</formula>
    </cfRule>
  </conditionalFormatting>
  <conditionalFormatting sqref="E424 E421:E422">
    <cfRule type="expression" priority="315" aboveAverage="0" equalAverage="0" bottom="0" percent="0" rank="0" text="" dxfId="325">
      <formula>$F421:I2277="pp"</formula>
    </cfRule>
  </conditionalFormatting>
  <conditionalFormatting sqref="B423">
    <cfRule type="expression" priority="316" aboveAverage="0" equalAverage="0" bottom="0" percent="0" rank="0" text="" dxfId="326">
      <formula>$F423:G2268="pp"</formula>
    </cfRule>
  </conditionalFormatting>
  <conditionalFormatting sqref="J427">
    <cfRule type="expression" priority="317" aboveAverage="0" equalAverage="0" bottom="0" percent="0" rank="0" text="" dxfId="327">
      <formula>$F427:O2269="pp"</formula>
    </cfRule>
  </conditionalFormatting>
  <conditionalFormatting sqref="B415">
    <cfRule type="expression" priority="318" aboveAverage="0" equalAverage="0" bottom="0" percent="0" rank="0" text="" dxfId="328">
      <formula>$F415:G2276="pp"</formula>
    </cfRule>
  </conditionalFormatting>
  <conditionalFormatting sqref="F421">
    <cfRule type="expression" priority="319" aboveAverage="0" equalAverage="0" bottom="0" percent="0" rank="0" text="" dxfId="329">
      <formula>$F421:J2306="pp"</formula>
    </cfRule>
  </conditionalFormatting>
  <conditionalFormatting sqref="F422 F416:F420">
    <cfRule type="expression" priority="320" aboveAverage="0" equalAverage="0" bottom="0" percent="0" rank="0" text="" dxfId="330">
      <formula>$F416:J2302="pp"</formula>
    </cfRule>
  </conditionalFormatting>
  <conditionalFormatting sqref="C460:D460">
    <cfRule type="expression" priority="321" aboveAverage="0" equalAverage="0" bottom="0" percent="0" rank="0" text="" dxfId="331">
      <formula>$F460:H2316="pp"</formula>
    </cfRule>
  </conditionalFormatting>
  <conditionalFormatting sqref="F460 O421:O422">
    <cfRule type="expression" priority="322" aboveAverage="0" equalAverage="0" bottom="0" percent="0" rank="0" text="" dxfId="332">
      <formula>$F421:J2282="pp"</formula>
    </cfRule>
  </conditionalFormatting>
  <conditionalFormatting sqref="A443 B424:B425 L424:L425 J424:J425">
    <cfRule type="expression" priority="323" aboveAverage="0" equalAverage="0" bottom="0" percent="0" rank="0" text="" dxfId="333">
      <formula>$F424:F2268="pp"</formula>
    </cfRule>
  </conditionalFormatting>
  <conditionalFormatting sqref="K460">
    <cfRule type="expression" priority="324" aboveAverage="0" equalAverage="0" bottom="0" percent="0" rank="0" text="" dxfId="334">
      <formula>$F460:P2319="pp"</formula>
    </cfRule>
  </conditionalFormatting>
  <conditionalFormatting sqref="Q460">
    <cfRule type="expression" priority="325" aboveAverage="0" equalAverage="0" bottom="0" percent="0" rank="0" text="" dxfId="335">
      <formula>$F460:T2310="pp"</formula>
    </cfRule>
  </conditionalFormatting>
  <conditionalFormatting sqref="F445 O423:O429">
    <cfRule type="expression" priority="326" aboveAverage="0" equalAverage="0" bottom="0" percent="0" rank="0" text="" dxfId="336">
      <formula>$F423:J2283="pp"</formula>
    </cfRule>
  </conditionalFormatting>
  <conditionalFormatting sqref="F459 G413:I414 O413:O420">
    <cfRule type="expression" priority="327" aboveAverage="0" equalAverage="0" bottom="0" percent="0" rank="0" text="" dxfId="337">
      <formula>$F413:J2275="pp"</formula>
    </cfRule>
  </conditionalFormatting>
  <conditionalFormatting sqref="K506 C503:D505">
    <cfRule type="expression" priority="328" aboveAverage="0" equalAverage="0" bottom="0" percent="0" rank="0" text="" dxfId="338">
      <formula>$F503:H2305="pp"</formula>
    </cfRule>
  </conditionalFormatting>
  <conditionalFormatting sqref="K459">
    <cfRule type="expression" priority="329" aboveAverage="0" equalAverage="0" bottom="0" percent="0" rank="0" text="" dxfId="339">
      <formula>$F459:P2319="pp"</formula>
    </cfRule>
  </conditionalFormatting>
  <conditionalFormatting sqref="Q459">
    <cfRule type="expression" priority="330" aboveAverage="0" equalAverage="0" bottom="0" percent="0" rank="0" text="" dxfId="340">
      <formula>$F459:T2310="pp"</formula>
    </cfRule>
  </conditionalFormatting>
  <conditionalFormatting sqref="E458">
    <cfRule type="expression" priority="331" aboveAverage="0" equalAverage="0" bottom="0" percent="0" rank="0" text="" dxfId="341">
      <formula>$F458:I2292="pp"</formula>
    </cfRule>
  </conditionalFormatting>
  <conditionalFormatting sqref="C442:D442">
    <cfRule type="expression" priority="332" aboveAverage="0" equalAverage="0" bottom="0" percent="0" rank="0" text="" dxfId="342">
      <formula>$F442:H2300="pp"</formula>
    </cfRule>
  </conditionalFormatting>
  <conditionalFormatting sqref="C444:D444">
    <cfRule type="expression" priority="333" aboveAverage="0" equalAverage="0" bottom="0" percent="0" rank="0" text="" dxfId="343">
      <formula>$F444:H2303="pp"</formula>
    </cfRule>
  </conditionalFormatting>
  <conditionalFormatting sqref="K458">
    <cfRule type="expression" priority="334" aboveAverage="0" equalAverage="0" bottom="0" percent="0" rank="0" text="" dxfId="344">
      <formula>$F458:P2319="pp"</formula>
    </cfRule>
  </conditionalFormatting>
  <conditionalFormatting sqref="Q458">
    <cfRule type="expression" priority="335" aboveAverage="0" equalAverage="0" bottom="0" percent="0" rank="0" text="" dxfId="345">
      <formula>$F458:T2310="pp"</formula>
    </cfRule>
  </conditionalFormatting>
  <conditionalFormatting sqref="E445 F477:F478">
    <cfRule type="expression" priority="336" aboveAverage="0" equalAverage="0" bottom="0" percent="0" rank="0" text="" dxfId="346">
      <formula>$F445:I2276="pp"</formula>
    </cfRule>
  </conditionalFormatting>
  <conditionalFormatting sqref="E426">
    <cfRule type="expression" priority="337" aboveAverage="0" equalAverage="0" bottom="0" percent="0" rank="0" text="" dxfId="347">
      <formula>$F426:I2282="pp"</formula>
    </cfRule>
  </conditionalFormatting>
  <conditionalFormatting sqref="O445">
    <cfRule type="expression" priority="338" aboveAverage="0" equalAverage="0" bottom="0" percent="0" rank="0" text="" dxfId="348">
      <formula>$F445:S2281="pp"</formula>
    </cfRule>
  </conditionalFormatting>
  <conditionalFormatting sqref="O458">
    <cfRule type="expression" priority="339" aboveAverage="0" equalAverage="0" bottom="0" percent="0" rank="0" text="" dxfId="349">
      <formula>$F458:S2297="pp"</formula>
    </cfRule>
  </conditionalFormatting>
  <conditionalFormatting sqref="F533 O503:O505">
    <cfRule type="expression" priority="340" aboveAverage="0" equalAverage="0" bottom="0" percent="0" rank="0" text="" dxfId="350">
      <formula>$F503:J2286="pp"</formula>
    </cfRule>
  </conditionalFormatting>
  <conditionalFormatting sqref="M506:N506">
    <cfRule type="expression" priority="341" aboveAverage="0" equalAverage="0" bottom="0" percent="0" rank="0" text="" dxfId="351">
      <formula>$F506:R2308="pp"</formula>
    </cfRule>
  </conditionalFormatting>
  <conditionalFormatting sqref="A476">
    <cfRule type="expression" priority="342" aboveAverage="0" equalAverage="0" bottom="0" percent="0" rank="0" text="" dxfId="352">
      <formula>$F476:F2289="pp"</formula>
    </cfRule>
  </conditionalFormatting>
  <conditionalFormatting sqref="A214:D214 B209:B213 B215:B216 A215:A217 L209:L216 J209:J216">
    <cfRule type="expression" priority="343" aboveAverage="0" equalAverage="0" bottom="0" percent="0" rank="0" text="" dxfId="353">
      <formula>$F209:F2264="pp"</formula>
    </cfRule>
  </conditionalFormatting>
  <conditionalFormatting sqref="L426">
    <cfRule type="expression" priority="344" aboveAverage="0" equalAverage="0" bottom="0" percent="0" rank="0" text="" dxfId="354">
      <formula>$F426:Q2269="pp"</formula>
    </cfRule>
  </conditionalFormatting>
  <conditionalFormatting sqref="F333">
    <cfRule type="expression" priority="345" aboveAverage="0" equalAverage="0" bottom="0" percent="0" rank="0" text="" dxfId="355">
      <formula>$F333:J2319="pp"</formula>
    </cfRule>
  </conditionalFormatting>
  <conditionalFormatting sqref="G460:I460">
    <cfRule type="expression" priority="346" aboveAverage="0" equalAverage="0" bottom="0" percent="0" rank="0" text="" dxfId="356">
      <formula>$F460:K2282="pp"</formula>
    </cfRule>
  </conditionalFormatting>
  <conditionalFormatting sqref="F401">
    <cfRule type="expression" priority="347" aboveAverage="0" equalAverage="0" bottom="0" percent="0" rank="0" text="" dxfId="357">
      <formula>$F401:J2526="pp"</formula>
    </cfRule>
  </conditionalFormatting>
  <conditionalFormatting sqref="C193:D193">
    <cfRule type="expression" priority="348" aboveAverage="0" equalAverage="0" bottom="0" percent="0" rank="0" text="" dxfId="358">
      <formula>$F193:H2264="pp"</formula>
    </cfRule>
  </conditionalFormatting>
  <conditionalFormatting sqref="O217">
    <cfRule type="expression" priority="349" aboveAverage="0" equalAverage="0" bottom="0" percent="0" rank="0" text="" dxfId="359">
      <formula>$F217:S2266="pp"</formula>
    </cfRule>
  </conditionalFormatting>
  <conditionalFormatting sqref="A444">
    <cfRule type="expression" priority="350" aboveAverage="0" equalAverage="0" bottom="0" percent="0" rank="0" text="" dxfId="360">
      <formula>$F444:F2287="pp"</formula>
    </cfRule>
  </conditionalFormatting>
  <conditionalFormatting sqref="C329:D329">
    <cfRule type="expression" priority="351" aboveAverage="0" equalAverage="0" bottom="0" percent="0" rank="0" text="" dxfId="361">
      <formula>$F329:H2325="pp"</formula>
    </cfRule>
  </conditionalFormatting>
  <conditionalFormatting sqref="E334">
    <cfRule type="expression" priority="352" aboveAverage="0" equalAverage="0" bottom="0" percent="0" rank="0" text="" dxfId="362">
      <formula>$F334:I2287="pp"</formula>
    </cfRule>
  </conditionalFormatting>
  <conditionalFormatting sqref="G428:I428">
    <cfRule type="expression" priority="353" aboveAverage="0" equalAverage="0" bottom="0" percent="0" rank="0" text="" dxfId="363">
      <formula>$F428:K2269="pp"</formula>
    </cfRule>
  </conditionalFormatting>
  <conditionalFormatting sqref="L428">
    <cfRule type="expression" priority="354" aboveAverage="0" equalAverage="0" bottom="0" percent="0" rank="0" text="" dxfId="364">
      <formula>$F428:Q2269="pp"</formula>
    </cfRule>
  </conditionalFormatting>
  <conditionalFormatting sqref="O294">
    <cfRule type="expression" priority="355" aboveAverage="0" equalAverage="0" bottom="0" percent="0" rank="0" text="" dxfId="365">
      <formula>$F294:S2288="pp"</formula>
    </cfRule>
  </conditionalFormatting>
  <conditionalFormatting sqref="E425">
    <cfRule type="expression" priority="356" aboveAverage="0" equalAverage="0" bottom="0" percent="0" rank="0" text="" dxfId="366">
      <formula>$F425:I2280="pp"</formula>
    </cfRule>
  </conditionalFormatting>
  <conditionalFormatting sqref="L460">
    <cfRule type="expression" priority="357" aboveAverage="0" equalAverage="0" bottom="0" percent="0" rank="0" text="" dxfId="367">
      <formula>$F460:Q2282="pp"</formula>
    </cfRule>
  </conditionalFormatting>
  <conditionalFormatting sqref="M460:N460">
    <cfRule type="expression" priority="358" aboveAverage="0" equalAverage="0" bottom="0" percent="0" rank="0" text="" dxfId="368">
      <formula>$F460:R2319="pp"</formula>
    </cfRule>
  </conditionalFormatting>
  <conditionalFormatting sqref="O334">
    <cfRule type="expression" priority="359" aboveAverage="0" equalAverage="0" bottom="0" percent="0" rank="0" text="" dxfId="369">
      <formula>$F334:S2277="pp"</formula>
    </cfRule>
  </conditionalFormatting>
  <conditionalFormatting sqref="F424">
    <cfRule type="expression" priority="360" aboveAverage="0" equalAverage="0" bottom="0" percent="0" rank="0" text="" dxfId="370">
      <formula>$F424:J2310="pp"</formula>
    </cfRule>
  </conditionalFormatting>
  <conditionalFormatting sqref="M272:N272">
    <cfRule type="expression" priority="361" aboveAverage="0" equalAverage="0" bottom="0" percent="0" rank="0" text="" dxfId="371">
      <formula>$F272:R2309="pp"</formula>
    </cfRule>
  </conditionalFormatting>
  <conditionalFormatting sqref="C533:D533">
    <cfRule type="expression" priority="362" aboveAverage="0" equalAverage="0" bottom="0" percent="0" rank="0" text="" dxfId="372">
      <formula>$F533:H2311="pp"</formula>
    </cfRule>
  </conditionalFormatting>
  <conditionalFormatting sqref="Q506">
    <cfRule type="expression" priority="363" aboveAverage="0" equalAverage="0" bottom="0" percent="0" rank="0" text="" dxfId="373">
      <formula>$F506:T2299="pp"</formula>
    </cfRule>
  </conditionalFormatting>
  <conditionalFormatting sqref="B498 A529:A532 K538:K539 M538:N539">
    <cfRule type="expression" priority="364" aboveAverage="0" equalAverage="0" bottom="0" percent="0" rank="0" text="" dxfId="374">
      <formula>$F498:F2273="pp"</formula>
    </cfRule>
  </conditionalFormatting>
  <conditionalFormatting sqref="G544:I544">
    <cfRule type="expression" priority="365" aboveAverage="0" equalAverage="0" bottom="0" percent="0" rank="0" text="" dxfId="375">
      <formula>$F544:K2276="pp"</formula>
    </cfRule>
  </conditionalFormatting>
  <conditionalFormatting sqref="C496:D496">
    <cfRule type="expression" priority="366" aboveAverage="0" equalAverage="0" bottom="0" percent="0" rank="0" text="" dxfId="376">
      <formula>$F496:H2307="pp"</formula>
    </cfRule>
  </conditionalFormatting>
  <conditionalFormatting sqref="E495 O500:O502 F521:F523">
    <cfRule type="expression" priority="367" aboveAverage="0" equalAverage="0" bottom="0" percent="0" rank="0" text="" dxfId="377">
      <formula>$F495:I2283="pp"</formula>
    </cfRule>
  </conditionalFormatting>
  <conditionalFormatting sqref="C216:D216">
    <cfRule type="expression" priority="368" aboveAverage="0" equalAverage="0" bottom="0" percent="0" rank="0" text="" dxfId="378">
      <formula>$F216:H2271="pp"</formula>
    </cfRule>
  </conditionalFormatting>
  <conditionalFormatting sqref="L423">
    <cfRule type="expression" priority="369" aboveAverage="0" equalAverage="0" bottom="0" percent="0" rank="0" text="" dxfId="379">
      <formula>$F423:Q2268="pp"</formula>
    </cfRule>
  </conditionalFormatting>
  <conditionalFormatting sqref="K603">
    <cfRule type="expression" priority="370" aboveAverage="0" equalAverage="0" bottom="0" percent="0" rank="0" text="" dxfId="380">
      <formula>$F603:P2315="pp"</formula>
    </cfRule>
  </conditionalFormatting>
  <conditionalFormatting sqref="F247">
    <cfRule type="expression" priority="371" aboveAverage="0" equalAverage="0" bottom="0" percent="0" rank="0" text="" dxfId="381">
      <formula>$F247:J2311="pp"</formula>
    </cfRule>
  </conditionalFormatting>
  <conditionalFormatting sqref="B444 J444">
    <cfRule type="expression" priority="372" aboveAverage="0" equalAverage="0" bottom="0" percent="0" rank="0" text="" dxfId="382">
      <formula>$F444:G2269="pp"</formula>
    </cfRule>
  </conditionalFormatting>
  <conditionalFormatting sqref="F458">
    <cfRule type="expression" priority="373" aboveAverage="0" equalAverage="0" bottom="0" percent="0" rank="0" text="" dxfId="383">
      <formula>$F458:J2321="pp"</formula>
    </cfRule>
  </conditionalFormatting>
  <conditionalFormatting sqref="G427:I427 E432:E439">
    <cfRule type="expression" priority="374" aboveAverage="0" equalAverage="0" bottom="0" percent="0" rank="0" text="" dxfId="384">
      <formula>$F427:I2269="pp"</formula>
    </cfRule>
  </conditionalFormatting>
  <conditionalFormatting sqref="C181:D181">
    <cfRule type="expression" priority="375" aboveAverage="0" equalAverage="0" bottom="0" percent="0" rank="0" text="" dxfId="385">
      <formula>$F181:H2280="pp"</formula>
    </cfRule>
  </conditionalFormatting>
  <conditionalFormatting sqref="G444:I444 F485:F488">
    <cfRule type="expression" priority="376" aboveAverage="0" equalAverage="0" bottom="0" percent="0" rank="0" text="" dxfId="386">
      <formula>$F444:J2269="pp"</formula>
    </cfRule>
  </conditionalFormatting>
  <conditionalFormatting sqref="L458">
    <cfRule type="expression" priority="377" aboveAverage="0" equalAverage="0" bottom="0" percent="0" rank="0" text="" dxfId="387">
      <formula>$F458:Q2282="pp"</formula>
    </cfRule>
  </conditionalFormatting>
  <conditionalFormatting sqref="M458:N458">
    <cfRule type="expression" priority="378" aboveAverage="0" equalAverage="0" bottom="0" percent="0" rank="0" text="" dxfId="388">
      <formula>$F458:R2319="pp"</formula>
    </cfRule>
  </conditionalFormatting>
  <conditionalFormatting sqref="G499:I499 E508:E509">
    <cfRule type="expression" priority="379" aboveAverage="0" equalAverage="0" bottom="0" percent="0" rank="0" text="" dxfId="389">
      <formula>$F499:I2273="pp"</formula>
    </cfRule>
  </conditionalFormatting>
  <conditionalFormatting sqref="C499:D499 A480:A484">
    <cfRule type="expression" priority="380" aboveAverage="0" equalAverage="0" bottom="0" percent="0" rank="0" text="" dxfId="390">
      <formula>$F480:F2288="pp"</formula>
    </cfRule>
  </conditionalFormatting>
  <conditionalFormatting sqref="A479">
    <cfRule type="expression" priority="381" aboveAverage="0" equalAverage="0" bottom="0" percent="0" rank="0" text="" dxfId="391">
      <formula>$F479:F2288="pp"</formula>
    </cfRule>
  </conditionalFormatting>
  <conditionalFormatting sqref="M533:N533">
    <cfRule type="expression" priority="382" aboveAverage="0" equalAverage="0" bottom="0" percent="0" rank="0" text="" dxfId="392">
      <formula>$F533:R2314="pp"</formula>
    </cfRule>
  </conditionalFormatting>
  <conditionalFormatting sqref="C493:D493 A471:A475">
    <cfRule type="expression" priority="383" aboveAverage="0" equalAverage="0" bottom="0" percent="0" rank="0" text="" dxfId="393">
      <formula>$F471:F2285="pp"</formula>
    </cfRule>
  </conditionalFormatting>
  <conditionalFormatting sqref="O476">
    <cfRule type="expression" priority="384" aboveAverage="0" equalAverage="0" bottom="0" percent="0" rank="0" text="" dxfId="394">
      <formula>$F476:S2286="pp"</formula>
    </cfRule>
  </conditionalFormatting>
  <conditionalFormatting sqref="K533 A510:A511 B491:B492 L491:L492 J491:J492">
    <cfRule type="expression" priority="385" aboveAverage="0" equalAverage="0" bottom="0" percent="0" rank="0" text="" dxfId="395">
      <formula>$F491:F2272="pp"</formula>
    </cfRule>
  </conditionalFormatting>
  <conditionalFormatting sqref="F497 E464:E466 E462">
    <cfRule type="expression" priority="386" aboveAverage="0" equalAverage="0" bottom="0" percent="0" rank="0" text="" dxfId="396">
      <formula>$F462:I2277="pp"</formula>
    </cfRule>
  </conditionalFormatting>
  <conditionalFormatting sqref="C495:D495">
    <cfRule type="expression" priority="387" aboveAverage="0" equalAverage="0" bottom="0" percent="0" rank="0" text="" dxfId="397">
      <formula>$F495:H2307="pp"</formula>
    </cfRule>
  </conditionalFormatting>
  <conditionalFormatting sqref="F496 E463">
    <cfRule type="expression" priority="388" aboveAverage="0" equalAverage="0" bottom="0" percent="0" rank="0" text="" dxfId="398">
      <formula>$F463:I2279="pp"</formula>
    </cfRule>
  </conditionalFormatting>
  <conditionalFormatting sqref="G596:I596 O604:O614">
    <cfRule type="expression" priority="389" aboveAverage="0" equalAverage="0" bottom="0" percent="0" rank="0" text="" dxfId="399">
      <formula>$F596:K2278="pp"</formula>
    </cfRule>
  </conditionalFormatting>
  <conditionalFormatting sqref="J496">
    <cfRule type="expression" priority="390" aboveAverage="0" equalAverage="0" bottom="0" percent="0" rank="0" text="" dxfId="400">
      <formula>$F496:O2273="pp"</formula>
    </cfRule>
  </conditionalFormatting>
  <conditionalFormatting sqref="E496 F524:F526">
    <cfRule type="expression" priority="391" aboveAverage="0" equalAverage="0" bottom="0" percent="0" rank="0" text="" dxfId="401">
      <formula>$F496:I2283="pp"</formula>
    </cfRule>
  </conditionalFormatting>
  <conditionalFormatting sqref="F494">
    <cfRule type="expression" priority="392" aboveAverage="0" equalAverage="0" bottom="0" percent="0" rank="0" text="" dxfId="402">
      <formula>$F494:J2312="pp"</formula>
    </cfRule>
  </conditionalFormatting>
  <conditionalFormatting sqref="G493:I493">
    <cfRule type="expression" priority="393" aboveAverage="0" equalAverage="0" bottom="0" percent="0" rank="0" text="" dxfId="403">
      <formula>$F493:K2273="pp"</formula>
    </cfRule>
  </conditionalFormatting>
  <conditionalFormatting sqref="G445:I445 F489:F490">
    <cfRule type="expression" priority="394" aboveAverage="0" equalAverage="0" bottom="0" percent="0" rank="0" text="" dxfId="404">
      <formula>$F445:J2266="pp"</formula>
    </cfRule>
  </conditionalFormatting>
  <conditionalFormatting sqref="F493 O467:O470">
    <cfRule type="expression" priority="395" aboveAverage="0" equalAverage="0" bottom="0" percent="0" rank="0" text="" dxfId="405">
      <formula>$F467:J2286="pp"</formula>
    </cfRule>
  </conditionalFormatting>
  <conditionalFormatting sqref="G506:I506">
    <cfRule type="expression" priority="396" aboveAverage="0" equalAverage="0" bottom="0" percent="0" rank="0" text="" dxfId="406">
      <formula>$F506:K2271="pp"</formula>
    </cfRule>
  </conditionalFormatting>
  <conditionalFormatting sqref="C461:D461">
    <cfRule type="expression" priority="397" aboveAverage="0" equalAverage="0" bottom="0" percent="0" rank="0" text="" dxfId="407">
      <formula>$F461:H2316="pp"</formula>
    </cfRule>
  </conditionalFormatting>
  <conditionalFormatting sqref="G386:I386">
    <cfRule type="expression" priority="398" aboveAverage="0" equalAverage="0" bottom="0" percent="0" rank="0" text="" dxfId="408">
      <formula>$F386:K2285="pp"</formula>
    </cfRule>
  </conditionalFormatting>
  <conditionalFormatting sqref="G461:I461">
    <cfRule type="expression" priority="399" aboveAverage="0" equalAverage="0" bottom="0" percent="0" rank="0" text="" dxfId="409">
      <formula>$F461:K2282="pp"</formula>
    </cfRule>
  </conditionalFormatting>
  <conditionalFormatting sqref="E460 G432:I439">
    <cfRule type="expression" priority="400" aboveAverage="0" equalAverage="0" bottom="0" percent="0" rank="0" text="" dxfId="410">
      <formula>$F432:I2264="pp"</formula>
    </cfRule>
  </conditionalFormatting>
  <conditionalFormatting sqref="L459">
    <cfRule type="expression" priority="401" aboveAverage="0" equalAverage="0" bottom="0" percent="0" rank="0" text="" dxfId="411">
      <formula>$F459:Q2282="pp"</formula>
    </cfRule>
  </conditionalFormatting>
  <conditionalFormatting sqref="O461">
    <cfRule type="expression" priority="402" aboveAverage="0" equalAverage="0" bottom="0" percent="0" rank="0" text="" dxfId="412">
      <formula>$F461:S2297="pp"</formula>
    </cfRule>
  </conditionalFormatting>
  <conditionalFormatting sqref="G455:I455">
    <cfRule type="expression" priority="403" aboveAverage="0" equalAverage="0" bottom="0" percent="0" rank="0" text="" dxfId="413">
      <formula>$F455:K2282="pp"</formula>
    </cfRule>
  </conditionalFormatting>
  <conditionalFormatting sqref="L506">
    <cfRule type="expression" priority="404" aboveAverage="0" equalAverage="0" bottom="0" percent="0" rank="0" text="" dxfId="414">
      <formula>$F506:Q2271="pp"</formula>
    </cfRule>
  </conditionalFormatting>
  <conditionalFormatting sqref="F246">
    <cfRule type="expression" priority="405" aboveAverage="0" equalAverage="0" bottom="0" percent="0" rank="0" text="" dxfId="415">
      <formula>$F246:J2314="pp"</formula>
    </cfRule>
  </conditionalFormatting>
  <conditionalFormatting sqref="C445:D445">
    <cfRule type="expression" priority="406" aboveAverage="0" equalAverage="0" bottom="0" percent="0" rank="0" text="" dxfId="416">
      <formula>$F445:H2300="pp"</formula>
    </cfRule>
  </conditionalFormatting>
  <conditionalFormatting sqref="L495">
    <cfRule type="expression" priority="407" aboveAverage="0" equalAverage="0" bottom="0" percent="0" rank="0" text="" dxfId="417">
      <formula>$F495:Q2273="pp"</formula>
    </cfRule>
  </conditionalFormatting>
  <conditionalFormatting sqref="K275">
    <cfRule type="expression" priority="408" aboveAverage="0" equalAverage="0" bottom="0" percent="0" rank="0" text="" dxfId="418">
      <formula>$F275:P2309="pp"</formula>
    </cfRule>
  </conditionalFormatting>
  <conditionalFormatting sqref="M459:N459">
    <cfRule type="expression" priority="409" aboveAverage="0" equalAverage="0" bottom="0" percent="0" rank="0" text="" dxfId="419">
      <formula>$F459:R2319="pp"</formula>
    </cfRule>
  </conditionalFormatting>
  <conditionalFormatting sqref="G192:I192 P239:P246">
    <cfRule type="expression" priority="410" aboveAverage="0" equalAverage="0" bottom="0" percent="0" rank="0" text="" dxfId="420">
      <formula>$F192:K2230="pp"</formula>
    </cfRule>
  </conditionalFormatting>
  <conditionalFormatting sqref="M266:N266">
    <cfRule type="expression" priority="411" aboveAverage="0" equalAverage="0" bottom="0" percent="0" rank="0" text="" dxfId="421">
      <formula>$F266:R2303="pp"</formula>
    </cfRule>
  </conditionalFormatting>
  <conditionalFormatting sqref="E279 G247:I265 O247:O265">
    <cfRule type="expression" priority="412" aboveAverage="0" equalAverage="0" bottom="0" percent="0" rank="0" text="" dxfId="422">
      <formula>$F247:I2267="pp"</formula>
    </cfRule>
  </conditionalFormatting>
  <conditionalFormatting sqref="F368:I368 O362:O368 E362:I367 E368:E371">
    <cfRule type="expression" priority="413" aboveAverage="0" equalAverage="0" bottom="0" percent="0" rank="0" text="" dxfId="423">
      <formula>$F362:I2520="pp"</formula>
    </cfRule>
  </conditionalFormatting>
  <conditionalFormatting sqref="Q238">
    <cfRule type="expression" priority="414" aboveAverage="0" equalAverage="0" bottom="0" percent="0" rank="0" text="" dxfId="424">
      <formula>$F238:T2280="pp"</formula>
    </cfRule>
  </conditionalFormatting>
  <conditionalFormatting sqref="O442">
    <cfRule type="expression" priority="415" aboveAverage="0" equalAverage="0" bottom="0" percent="0" rank="0" text="" dxfId="425">
      <formula>$F442:S2281="pp"</formula>
    </cfRule>
  </conditionalFormatting>
  <conditionalFormatting sqref="K445">
    <cfRule type="expression" priority="416" aboveAverage="0" equalAverage="0" bottom="0" percent="0" rank="0" text="" dxfId="426">
      <formula>$F445:P2303="pp"</formula>
    </cfRule>
  </conditionalFormatting>
  <conditionalFormatting sqref="Q445">
    <cfRule type="expression" priority="417" aboveAverage="0" equalAverage="0" bottom="0" percent="0" rank="0" text="" dxfId="427">
      <formula>$F445:T2294="pp"</formula>
    </cfRule>
  </conditionalFormatting>
  <conditionalFormatting sqref="G458:I458">
    <cfRule type="expression" priority="418" aboveAverage="0" equalAverage="0" bottom="0" percent="0" rank="0" text="" dxfId="428">
      <formula>$F458:K2282="pp"</formula>
    </cfRule>
  </conditionalFormatting>
  <conditionalFormatting sqref="F546 F672:F682">
    <cfRule type="expression" priority="419" aboveAverage="0" equalAverage="0" bottom="0" percent="0" rank="0" text="" dxfId="429">
      <formula>$F546:J2316="pp"</formula>
    </cfRule>
  </conditionalFormatting>
  <conditionalFormatting sqref="F249">
    <cfRule type="expression" priority="420" aboveAverage="0" equalAverage="0" bottom="0" percent="0" rank="0" text="" dxfId="430">
      <formula>$F249:J2313="pp"</formula>
    </cfRule>
  </conditionalFormatting>
  <conditionalFormatting sqref="L427">
    <cfRule type="expression" priority="421" aboveAverage="0" equalAverage="0" bottom="0" percent="0" rank="0" text="" dxfId="431">
      <formula>$F427:Q2269="pp"</formula>
    </cfRule>
  </conditionalFormatting>
  <conditionalFormatting sqref="G495:I495 E503:E505 O510:O511">
    <cfRule type="expression" priority="422" aboveAverage="0" equalAverage="0" bottom="0" percent="0" rank="0" text="" dxfId="432">
      <formula>$F495:I2273="pp"</formula>
    </cfRule>
  </conditionalFormatting>
  <conditionalFormatting sqref="F251">
    <cfRule type="expression" priority="423" aboveAverage="0" equalAverage="0" bottom="0" percent="0" rank="0" text="" dxfId="433">
      <formula>$F251:J2315="pp"</formula>
    </cfRule>
  </conditionalFormatting>
  <conditionalFormatting sqref="E499 F527:F532">
    <cfRule type="expression" priority="424" aboveAverage="0" equalAverage="0" bottom="0" percent="0" rank="0" text="" dxfId="434">
      <formula>$F499:I2283="pp"</formula>
    </cfRule>
  </conditionalFormatting>
  <conditionalFormatting sqref="B458">
    <cfRule type="expression" priority="425" aboveAverage="0" equalAverage="0" bottom="0" percent="0" rank="0" text="" dxfId="435">
      <formula>$F458:G2282="pp"</formula>
    </cfRule>
  </conditionalFormatting>
  <conditionalFormatting sqref="O386">
    <cfRule type="expression" priority="426" aboveAverage="0" equalAverage="0" bottom="0" percent="0" rank="0" text="" dxfId="436">
      <formula>$F386:S2285="pp"</formula>
    </cfRule>
  </conditionalFormatting>
  <conditionalFormatting sqref="C463:D463">
    <cfRule type="expression" priority="427" aboveAverage="0" equalAverage="0" bottom="0" percent="0" rank="0" text="" dxfId="437">
      <formula>$F463:H2303="pp"</formula>
    </cfRule>
  </conditionalFormatting>
  <conditionalFormatting sqref="F253">
    <cfRule type="expression" priority="428" aboveAverage="0" equalAverage="0" bottom="0" percent="0" rank="0" text="" dxfId="438">
      <formula>$F253:J2317="pp"</formula>
    </cfRule>
  </conditionalFormatting>
  <conditionalFormatting sqref="F387">
    <cfRule type="expression" priority="429" aboveAverage="0" equalAverage="0" bottom="0" percent="0" rank="0" text="" dxfId="439">
      <formula>$F387:J2453="pp"</formula>
    </cfRule>
  </conditionalFormatting>
  <conditionalFormatting sqref="G498:I498">
    <cfRule type="expression" priority="430" aboveAverage="0" equalAverage="0" bottom="0" percent="0" rank="0" text="" dxfId="440">
      <formula>$F498:K2273="pp"</formula>
    </cfRule>
  </conditionalFormatting>
  <conditionalFormatting sqref="F335">
    <cfRule type="expression" priority="431" aboveAverage="0" equalAverage="0" bottom="0" percent="0" rank="0" text="" dxfId="441">
      <formula>$F335:J2321="pp"</formula>
    </cfRule>
  </conditionalFormatting>
  <conditionalFormatting sqref="L494">
    <cfRule type="expression" priority="432" aboveAverage="0" equalAverage="0" bottom="0" percent="0" rank="0" text="" dxfId="442">
      <formula>$F494:Q2273="pp"</formula>
    </cfRule>
  </conditionalFormatting>
  <conditionalFormatting sqref="F426">
    <cfRule type="expression" priority="433" aboveAverage="0" equalAverage="0" bottom="0" percent="0" rank="0" text="" dxfId="443">
      <formula>$F426:J2312="pp"</formula>
    </cfRule>
  </conditionalFormatting>
  <conditionalFormatting sqref="L270">
    <cfRule type="expression" priority="434" aboveAverage="0" equalAverage="0" bottom="0" percent="0" rank="0" text="" dxfId="444">
      <formula>$F270:Q2287="pp"</formula>
    </cfRule>
  </conditionalFormatting>
  <conditionalFormatting sqref="O175 E175:I175">
    <cfRule type="expression" priority="435" aboveAverage="0" equalAverage="0" bottom="0" percent="0" rank="0" text="" dxfId="445">
      <formula>$F175:I2274="pp"</formula>
    </cfRule>
  </conditionalFormatting>
  <conditionalFormatting sqref="M175:N175">
    <cfRule type="expression" priority="436" aboveAverage="0" equalAverage="0" bottom="0" percent="0" rank="0" text="" dxfId="446">
      <formula>$F175:R2286="pp"</formula>
    </cfRule>
  </conditionalFormatting>
  <conditionalFormatting sqref="L175">
    <cfRule type="expression" priority="437" aboveAverage="0" equalAverage="0" bottom="0" percent="0" rank="0" text="" dxfId="447">
      <formula>$F175:Q2274="pp"</formula>
    </cfRule>
  </conditionalFormatting>
  <conditionalFormatting sqref="J603">
    <cfRule type="expression" priority="438" aboveAverage="0" equalAverage="0" bottom="0" percent="0" rank="0" text="" dxfId="448">
      <formula>$F603:O2278="pp"</formula>
    </cfRule>
  </conditionalFormatting>
  <conditionalFormatting sqref="Q603">
    <cfRule type="expression" priority="439" aboveAverage="0" equalAverage="0" bottom="0" percent="0" rank="0" text="" dxfId="449">
      <formula>$F603:T2306="pp"</formula>
    </cfRule>
  </conditionalFormatting>
  <conditionalFormatting sqref="B594">
    <cfRule type="expression" priority="440" aboveAverage="0" equalAverage="0" bottom="0" percent="0" rank="0" text="" dxfId="450">
      <formula>$F594:G2284="pp"</formula>
    </cfRule>
  </conditionalFormatting>
  <conditionalFormatting sqref="A596 C597:D602">
    <cfRule type="expression" priority="441" aboveAverage="0" equalAverage="0" bottom="0" percent="0" rank="0" text="" dxfId="451">
      <formula>$F596:F2308="pp"</formula>
    </cfRule>
  </conditionalFormatting>
  <conditionalFormatting sqref="C332:D332">
    <cfRule type="expression" priority="442" aboveAverage="0" equalAverage="0" bottom="0" percent="0" rank="0" text="" dxfId="452">
      <formula>$F332:H2326="pp"</formula>
    </cfRule>
  </conditionalFormatting>
  <conditionalFormatting sqref="G429:I429">
    <cfRule type="expression" priority="443" aboveAverage="0" equalAverage="0" bottom="0" percent="0" rank="0" text="" dxfId="453">
      <formula>$F429:K2268="pp"</formula>
    </cfRule>
  </conditionalFormatting>
  <conditionalFormatting sqref="L444">
    <cfRule type="expression" priority="444" aboveAverage="0" equalAverage="0" bottom="0" percent="0" rank="0" text="" dxfId="454">
      <formula>$F444:Q2269="pp"</formula>
    </cfRule>
  </conditionalFormatting>
  <conditionalFormatting sqref="A507 B493">
    <cfRule type="expression" priority="445" aboveAverage="0" equalAverage="0" bottom="0" percent="0" rank="0" text="" dxfId="455">
      <formula>$F493:F2273="pp"</formula>
    </cfRule>
  </conditionalFormatting>
  <conditionalFormatting sqref="F495">
    <cfRule type="expression" priority="446" aboveAverage="0" equalAverage="0" bottom="0" percent="0" rank="0" text="" dxfId="456">
      <formula>$F495:J2312="pp"</formula>
    </cfRule>
  </conditionalFormatting>
  <conditionalFormatting sqref="E427">
    <cfRule type="expression" priority="447" aboveAverage="0" equalAverage="0" bottom="0" percent="0" rank="0" text="" dxfId="457">
      <formula>$F427:I2282="pp"</formula>
    </cfRule>
  </conditionalFormatting>
  <conditionalFormatting sqref="L429">
    <cfRule type="expression" priority="448" aboveAverage="0" equalAverage="0" bottom="0" percent="0" rank="0" text="" dxfId="458">
      <formula>$F429:Q2268="pp"</formula>
    </cfRule>
  </conditionalFormatting>
  <conditionalFormatting sqref="G497:I497 O512:O514 O516:O520">
    <cfRule type="expression" priority="449" aboveAverage="0" equalAverage="0" bottom="0" percent="0" rank="0" text="" dxfId="459">
      <formula>$F497:K2273="pp"</formula>
    </cfRule>
  </conditionalFormatting>
  <conditionalFormatting sqref="L496">
    <cfRule type="expression" priority="450" aboveAverage="0" equalAverage="0" bottom="0" percent="0" rank="0" text="" dxfId="460">
      <formula>$F496:Q2273="pp"</formula>
    </cfRule>
  </conditionalFormatting>
  <conditionalFormatting sqref="L272">
    <cfRule type="expression" priority="451" aboveAverage="0" equalAverage="0" bottom="0" percent="0" rank="0" text="" dxfId="461">
      <formula>$F272:Q2287="pp"</formula>
    </cfRule>
  </conditionalFormatting>
  <conditionalFormatting sqref="C459:D459">
    <cfRule type="expression" priority="452" aboveAverage="0" equalAverage="0" bottom="0" percent="0" rank="0" text="" dxfId="462">
      <formula>$F459:H2316="pp"</formula>
    </cfRule>
  </conditionalFormatting>
  <conditionalFormatting sqref="L266">
    <cfRule type="expression" priority="453" aboveAverage="0" equalAverage="0" bottom="0" percent="0" rank="0" text="" dxfId="463">
      <formula>$F266:Q2281="pp"</formula>
    </cfRule>
  </conditionalFormatting>
  <conditionalFormatting sqref="L400">
    <cfRule type="expression" priority="454" aboveAverage="0" equalAverage="0" bottom="0" percent="0" rank="0" text="" dxfId="464">
      <formula>$F400:Q2507="pp"</formula>
    </cfRule>
  </conditionalFormatting>
  <conditionalFormatting sqref="F389">
    <cfRule type="expression" priority="455" aboveAverage="0" equalAverage="0" bottom="0" percent="0" rank="0" text="" dxfId="465">
      <formula>$F389:J2455="pp"</formula>
    </cfRule>
  </conditionalFormatting>
  <conditionalFormatting sqref="C401:D401 A397:D397 A398:B399 C399:D399 L397:L399 K173:K174 M173:N174 J397:J399">
    <cfRule type="expression" priority="456" aboveAverage="0" equalAverage="0" bottom="0" percent="0" rank="0" text="" dxfId="466">
      <formula>$F173:F2285="pp"</formula>
    </cfRule>
  </conditionalFormatting>
  <conditionalFormatting sqref="C425:D425">
    <cfRule type="expression" priority="457" aboveAverage="0" equalAverage="0" bottom="0" percent="0" rank="0" text="" dxfId="467">
      <formula>$F425:H2304="pp"</formula>
    </cfRule>
  </conditionalFormatting>
  <conditionalFormatting sqref="F498 E467:E470">
    <cfRule type="expression" priority="458" aboveAverage="0" equalAverage="0" bottom="0" percent="0" rank="0" text="" dxfId="468">
      <formula>$F467:I2281="pp"</formula>
    </cfRule>
  </conditionalFormatting>
  <conditionalFormatting sqref="G507:I507">
    <cfRule type="expression" priority="459" aboveAverage="0" equalAverage="0" bottom="0" percent="0" rank="0" text="" dxfId="469">
      <formula>$F507:K2269="pp"</formula>
    </cfRule>
  </conditionalFormatting>
  <conditionalFormatting sqref="L498">
    <cfRule type="expression" priority="460" aboveAverage="0" equalAverage="0" bottom="0" percent="0" rank="0" text="" dxfId="470">
      <formula>$F498:Q2273="pp"</formula>
    </cfRule>
  </conditionalFormatting>
  <conditionalFormatting sqref="O335">
    <cfRule type="expression" priority="461" aboveAverage="0" equalAverage="0" bottom="0" percent="0" rank="0" text="" dxfId="471">
      <formula>$F335:S2277="pp"</formula>
    </cfRule>
  </conditionalFormatting>
  <conditionalFormatting sqref="G496:I496 F538:F539">
    <cfRule type="expression" priority="462" aboveAverage="0" equalAverage="0" bottom="0" percent="0" rank="0" text="" dxfId="472">
      <formula>$F496:J2273="pp"</formula>
    </cfRule>
  </conditionalFormatting>
  <conditionalFormatting sqref="O380">
    <cfRule type="expression" priority="463" aboveAverage="0" equalAverage="0" bottom="0" percent="0" rank="0" text="" dxfId="473">
      <formula>$F380:S2542="pp"</formula>
    </cfRule>
  </conditionalFormatting>
  <conditionalFormatting sqref="F288">
    <cfRule type="expression" priority="464" aboveAverage="0" equalAverage="0" bottom="0" percent="0" rank="0" text="" dxfId="474">
      <formula>$F288:J2332="pp"</formula>
    </cfRule>
  </conditionalFormatting>
  <conditionalFormatting sqref="F506 G467:I470">
    <cfRule type="expression" priority="465" aboveAverage="0" equalAverage="0" bottom="0" percent="0" rank="0" text="" dxfId="475">
      <formula>$F467:J2271="pp"</formula>
    </cfRule>
  </conditionalFormatting>
  <conditionalFormatting sqref="F423">
    <cfRule type="expression" priority="466" aboveAverage="0" equalAverage="0" bottom="0" percent="0" rank="0" text="" dxfId="476">
      <formula>$F423:J2308="pp"</formula>
    </cfRule>
  </conditionalFormatting>
  <conditionalFormatting sqref="L499">
    <cfRule type="expression" priority="467" aboveAverage="0" equalAverage="0" bottom="0" percent="0" rank="0" text="" dxfId="477">
      <formula>$F499:Q2273="pp"</formula>
    </cfRule>
  </conditionalFormatting>
  <conditionalFormatting sqref="M461:N461">
    <cfRule type="expression" priority="468" aboveAverage="0" equalAverage="0" bottom="0" percent="0" rank="0" text="" dxfId="478">
      <formula>$F461:R2319="pp"</formula>
    </cfRule>
  </conditionalFormatting>
  <conditionalFormatting sqref="F887">
    <cfRule type="expression" priority="469" aboveAverage="0" equalAverage="0" bottom="0" percent="0" rank="0" text="" dxfId="479">
      <formula>$F887:J2601="pp"</formula>
    </cfRule>
  </conditionalFormatting>
  <conditionalFormatting sqref="B577">
    <cfRule type="expression" priority="470" aboveAverage="0" equalAverage="0" bottom="0" percent="0" rank="0" text="" dxfId="480">
      <formula>$F577:G2282="pp"</formula>
    </cfRule>
  </conditionalFormatting>
  <conditionalFormatting sqref="O594">
    <cfRule type="expression" priority="471" aboveAverage="0" equalAverage="0" bottom="0" percent="0" rank="0" text="" dxfId="481">
      <formula>$F594:S2299="pp"</formula>
    </cfRule>
  </conditionalFormatting>
  <conditionalFormatting sqref="F884 G547:I552">
    <cfRule type="expression" priority="472" aboveAverage="0" equalAverage="0" bottom="0" percent="0" rank="0" text="" dxfId="482">
      <formula>$F547:J2274="pp"</formula>
    </cfRule>
  </conditionalFormatting>
  <conditionalFormatting sqref="K582">
    <cfRule type="expression" priority="473" aboveAverage="0" equalAverage="0" bottom="0" percent="0" rank="0" text="" dxfId="483">
      <formula>$F582:P2315="pp"</formula>
    </cfRule>
  </conditionalFormatting>
  <conditionalFormatting sqref="Q582">
    <cfRule type="expression" priority="474" aboveAverage="0" equalAverage="0" bottom="0" percent="0" rank="0" text="" dxfId="484">
      <formula>$F582:T2306="pp"</formula>
    </cfRule>
  </conditionalFormatting>
  <conditionalFormatting sqref="F859">
    <cfRule type="expression" priority="475" aboveAverage="0" equalAverage="0" bottom="0" percent="0" rank="0" text="" dxfId="485">
      <formula>$F859:J2617="pp"</formula>
    </cfRule>
  </conditionalFormatting>
  <conditionalFormatting sqref="O595 F895:F903">
    <cfRule type="expression" priority="476" aboveAverage="0" equalAverage="0" bottom="0" percent="0" rank="0" text="" dxfId="486">
      <formula>$F595:J2299="pp"</formula>
    </cfRule>
  </conditionalFormatting>
  <conditionalFormatting sqref="K595 A578:A582 C583:D588">
    <cfRule type="expression" priority="477" aboveAverage="0" equalAverage="0" bottom="0" percent="0" rank="0" text="" dxfId="487">
      <formula>$F578:F2304="pp"</formula>
    </cfRule>
  </conditionalFormatting>
  <conditionalFormatting sqref="C603:D603">
    <cfRule type="expression" priority="478" aboveAverage="0" equalAverage="0" bottom="0" percent="0" rank="0" text="" dxfId="488">
      <formula>$F603:H2312="pp"</formula>
    </cfRule>
  </conditionalFormatting>
  <conditionalFormatting sqref="F869">
    <cfRule type="expression" priority="479" aboveAverage="0" equalAverage="0" bottom="0" percent="0" rank="0" text="" dxfId="489">
      <formula>$F869:J2597="pp"</formula>
    </cfRule>
  </conditionalFormatting>
  <conditionalFormatting sqref="J595">
    <cfRule type="expression" priority="480" aboveAverage="0" equalAverage="0" bottom="0" percent="0" rank="0" text="" dxfId="490">
      <formula>$F595:O2284="pp"</formula>
    </cfRule>
  </conditionalFormatting>
  <conditionalFormatting sqref="Q595">
    <cfRule type="expression" priority="481" aboveAverage="0" equalAverage="0" bottom="0" percent="0" rank="0" text="" dxfId="491">
      <formula>$F595:T2312="pp"</formula>
    </cfRule>
  </conditionalFormatting>
  <conditionalFormatting sqref="C577:D577">
    <cfRule type="expression" priority="482" aboveAverage="0" equalAverage="0" bottom="0" percent="0" rank="0" text="" dxfId="492">
      <formula>$F577:H2316="pp"</formula>
    </cfRule>
  </conditionalFormatting>
  <conditionalFormatting sqref="K594 J547:J552 B547:B552 L547:L552">
    <cfRule type="expression" priority="483" aboveAverage="0" equalAverage="0" bottom="0" percent="0" rank="0" text="" dxfId="493">
      <formula>$F547:G2274="pp"</formula>
    </cfRule>
  </conditionalFormatting>
  <conditionalFormatting sqref="L493">
    <cfRule type="expression" priority="484" aboveAverage="0" equalAverage="0" bottom="0" percent="0" rank="0" text="" dxfId="494">
      <formula>$F493:Q2273="pp"</formula>
    </cfRule>
  </conditionalFormatting>
  <conditionalFormatting sqref="J594">
    <cfRule type="expression" priority="485" aboveAverage="0" equalAverage="0" bottom="0" percent="0" rank="0" text="" dxfId="495">
      <formula>$F594:O2284="pp"</formula>
    </cfRule>
  </conditionalFormatting>
  <conditionalFormatting sqref="Q594">
    <cfRule type="expression" priority="486" aboveAverage="0" equalAverage="0" bottom="0" percent="0" rank="0" text="" dxfId="496">
      <formula>$F594:T2312="pp"</formula>
    </cfRule>
  </conditionalFormatting>
  <conditionalFormatting sqref="G594:I594">
    <cfRule type="expression" priority="487" aboveAverage="0" equalAverage="0" bottom="0" percent="0" rank="0" text="" dxfId="497">
      <formula>$F594:K2284="pp"</formula>
    </cfRule>
  </conditionalFormatting>
  <conditionalFormatting sqref="G494:I494 O508:O509 F534:F537">
    <cfRule type="expression" priority="488" aboveAverage="0" equalAverage="0" bottom="0" percent="0" rank="0" text="" dxfId="498">
      <formula>$F494:J2273="pp"</formula>
    </cfRule>
  </conditionalFormatting>
  <conditionalFormatting sqref="M582:N582">
    <cfRule type="expression" priority="489" aboveAverage="0" equalAverage="0" bottom="0" percent="0" rank="0" text="" dxfId="499">
      <formula>$F582:R2315="pp"</formula>
    </cfRule>
  </conditionalFormatting>
  <conditionalFormatting sqref="L594">
    <cfRule type="expression" priority="490" aboveAverage="0" equalAverage="0" bottom="0" percent="0" rank="0" text="" dxfId="500">
      <formula>$F594:Q2284="pp"</formula>
    </cfRule>
  </conditionalFormatting>
  <conditionalFormatting sqref="K736">
    <cfRule type="expression" priority="491" aboveAverage="0" equalAverage="0" bottom="0" percent="0" rank="0" text="" dxfId="501">
      <formula>$F736:P2308="pp"</formula>
    </cfRule>
  </conditionalFormatting>
  <conditionalFormatting sqref="B625">
    <cfRule type="expression" priority="492" aboveAverage="0" equalAverage="0" bottom="0" percent="0" rank="0" text="" dxfId="502">
      <formula>$F625:G2272="pp"</formula>
    </cfRule>
  </conditionalFormatting>
  <conditionalFormatting sqref="F878">
    <cfRule type="expression" priority="493" aboveAverage="0" equalAverage="0" bottom="0" percent="0" rank="0" text="" dxfId="503">
      <formula>$F878:J2589="pp"</formula>
    </cfRule>
  </conditionalFormatting>
  <conditionalFormatting sqref="K663">
    <cfRule type="expression" priority="494" aboveAverage="0" equalAverage="0" bottom="0" percent="0" rank="0" text="" dxfId="504">
      <formula>$F663:P2310="pp"</formula>
    </cfRule>
  </conditionalFormatting>
  <conditionalFormatting sqref="Q626 Q631:Q633">
    <cfRule type="expression" priority="495" aboveAverage="0" equalAverage="0" bottom="0" percent="0" rank="0" text="" dxfId="505">
      <formula>$F626:T2300="pp"</formula>
    </cfRule>
  </conditionalFormatting>
  <conditionalFormatting sqref="C642:D642 B617:B620 L617:L620 J617:J620">
    <cfRule type="expression" priority="496" aboveAverage="0" equalAverage="0" bottom="0" percent="0" rank="0" text="" dxfId="506">
      <formula>$F617:G2280="pp"</formula>
    </cfRule>
  </conditionalFormatting>
  <conditionalFormatting sqref="F879">
    <cfRule type="expression" priority="497" aboveAverage="0" equalAverage="0" bottom="0" percent="0" rank="0" text="" dxfId="507">
      <formula>$F879:J2603="pp"</formula>
    </cfRule>
  </conditionalFormatting>
  <conditionalFormatting sqref="M663:N663">
    <cfRule type="expression" priority="498" aboveAverage="0" equalAverage="0" bottom="0" percent="0" rank="0" text="" dxfId="508">
      <formula>$F663:R2310="pp"</formula>
    </cfRule>
  </conditionalFormatting>
  <conditionalFormatting sqref="Q625">
    <cfRule type="expression" priority="499" aboveAverage="0" equalAverage="0" bottom="0" percent="0" rank="0" text="" dxfId="509">
      <formula>$F625:T2300="pp"</formula>
    </cfRule>
  </conditionalFormatting>
  <conditionalFormatting sqref="K625">
    <cfRule type="expression" priority="500" aboveAverage="0" equalAverage="0" bottom="0" percent="0" rank="0" text="" dxfId="510">
      <formula>$F625:P2309="pp"</formula>
    </cfRule>
  </conditionalFormatting>
  <conditionalFormatting sqref="O603">
    <cfRule type="expression" priority="501" aboveAverage="0" equalAverage="0" bottom="0" percent="0" rank="0" text="" dxfId="511">
      <formula>$F603:S2293="pp"</formula>
    </cfRule>
  </conditionalFormatting>
  <conditionalFormatting sqref="O506">
    <cfRule type="expression" priority="502" aboveAverage="0" equalAverage="0" bottom="0" percent="0" rank="0" text="" dxfId="512">
      <formula>$F506:S2286="pp"</formula>
    </cfRule>
  </conditionalFormatting>
  <conditionalFormatting sqref="C556:D556">
    <cfRule type="expression" priority="503" aboveAverage="0" equalAverage="0" bottom="0" percent="0" rank="0" text="" dxfId="513">
      <formula>$F556:H2314="pp"</formula>
    </cfRule>
  </conditionalFormatting>
  <conditionalFormatting sqref="J736">
    <cfRule type="expression" priority="504" aboveAverage="0" equalAverage="0" bottom="0" percent="0" rank="0" text="" dxfId="514">
      <formula>$F736:O2271="pp"</formula>
    </cfRule>
  </conditionalFormatting>
  <conditionalFormatting sqref="Q736">
    <cfRule type="expression" priority="505" aboveAverage="0" equalAverage="0" bottom="0" percent="0" rank="0" text="" dxfId="515">
      <formula>$F736:T2299="pp"</formula>
    </cfRule>
  </conditionalFormatting>
  <conditionalFormatting sqref="G642:I642">
    <cfRule type="expression" priority="506" aboveAverage="0" equalAverage="0" bottom="0" percent="0" rank="0" text="" dxfId="516">
      <formula>$F642:K2271="pp"</formula>
    </cfRule>
  </conditionalFormatting>
  <conditionalFormatting sqref="G663:I663 E672:E675 O683:O684">
    <cfRule type="expression" priority="507" aboveAverage="0" equalAverage="0" bottom="0" percent="0" rank="0" text="" dxfId="517">
      <formula>$F663:I2273="pp"</formula>
    </cfRule>
  </conditionalFormatting>
  <conditionalFormatting sqref="L663">
    <cfRule type="expression" priority="508" aboveAverage="0" equalAverage="0" bottom="0" percent="0" rank="0" text="" dxfId="518">
      <formula>$F663:Q2273="pp"</formula>
    </cfRule>
  </conditionalFormatting>
  <conditionalFormatting sqref="O642">
    <cfRule type="expression" priority="509" aboveAverage="0" equalAverage="0" bottom="0" percent="0" rank="0" text="" dxfId="519">
      <formula>$F642:S2286="pp"</formula>
    </cfRule>
  </conditionalFormatting>
  <conditionalFormatting sqref="J642">
    <cfRule type="expression" priority="510" aboveAverage="0" equalAverage="0" bottom="0" percent="0" rank="0" text="" dxfId="520">
      <formula>$F642:O2271="pp"</formula>
    </cfRule>
  </conditionalFormatting>
  <conditionalFormatting sqref="Q642">
    <cfRule type="expression" priority="511" aboveAverage="0" equalAverage="0" bottom="0" percent="0" rank="0" text="" dxfId="521">
      <formula>$F642:T2299="pp"</formula>
    </cfRule>
  </conditionalFormatting>
  <conditionalFormatting sqref="K642">
    <cfRule type="expression" priority="512" aboveAverage="0" equalAverage="0" bottom="0" percent="0" rank="0" text="" dxfId="522">
      <formula>$F642:P2308="pp"</formula>
    </cfRule>
  </conditionalFormatting>
  <conditionalFormatting sqref="B628 L628 K665:K667 M665:N667">
    <cfRule type="expression" priority="513" aboveAverage="0" equalAverage="0" bottom="0" percent="0" rank="0" text="" dxfId="523">
      <formula>$F628:G2272="pp"</formula>
    </cfRule>
  </conditionalFormatting>
  <conditionalFormatting sqref="G595:I595">
    <cfRule type="expression" priority="514" aboveAverage="0" equalAverage="0" bottom="0" percent="0" rank="0" text="" dxfId="524">
      <formula>$F595:K2284="pp"</formula>
    </cfRule>
  </conditionalFormatting>
  <conditionalFormatting sqref="O326">
    <cfRule type="expression" priority="515" aboveAverage="0" equalAverage="0" bottom="0" percent="0" rank="0" text="" dxfId="525">
      <formula>$F326:S2276="pp"</formula>
    </cfRule>
  </conditionalFormatting>
  <conditionalFormatting sqref="F391">
    <cfRule type="expression" priority="516" aboveAverage="0" equalAverage="0" bottom="0" percent="0" rank="0" text="" dxfId="526">
      <formula>$F391:J2457="pp"</formula>
    </cfRule>
  </conditionalFormatting>
  <conditionalFormatting sqref="J577">
    <cfRule type="expression" priority="517" aboveAverage="0" equalAverage="0" bottom="0" percent="0" rank="0" text="" dxfId="527">
      <formula>$F577:O2282="pp"</formula>
    </cfRule>
  </conditionalFormatting>
  <conditionalFormatting sqref="G626:I626">
    <cfRule type="expression" priority="518" aboveAverage="0" equalAverage="0" bottom="0" percent="0" rank="0" text="" dxfId="528">
      <formula>$F626:K2272="pp"</formula>
    </cfRule>
  </conditionalFormatting>
  <conditionalFormatting sqref="L412">
    <cfRule type="expression" priority="519" aboveAverage="0" equalAverage="0" bottom="0" percent="0" rank="0" text="" dxfId="529">
      <formula>$F412:Q2285="pp"</formula>
    </cfRule>
  </conditionalFormatting>
  <conditionalFormatting sqref="M594:N594">
    <cfRule type="expression" priority="520" aboveAverage="0" equalAverage="0" bottom="0" percent="0" rank="0" text="" dxfId="530">
      <formula>$F594:R2321="pp"</formula>
    </cfRule>
  </conditionalFormatting>
  <conditionalFormatting sqref="M412:N412">
    <cfRule type="expression" priority="521" aboveAverage="0" equalAverage="0" bottom="0" percent="0" rank="0" text="" dxfId="531">
      <formula>$F412:R2307="pp"</formula>
    </cfRule>
  </conditionalFormatting>
  <conditionalFormatting sqref="M642:N642">
    <cfRule type="expression" priority="522" aboveAverage="0" equalAverage="0" bottom="0" percent="0" rank="0" text="" dxfId="532">
      <formula>$F642:R2308="pp"</formula>
    </cfRule>
  </conditionalFormatting>
  <conditionalFormatting sqref="L642">
    <cfRule type="expression" priority="523" aboveAverage="0" equalAverage="0" bottom="0" percent="0" rank="0" text="" dxfId="533">
      <formula>$F642:Q2271="pp"</formula>
    </cfRule>
  </conditionalFormatting>
  <conditionalFormatting sqref="L595">
    <cfRule type="expression" priority="524" aboveAverage="0" equalAverage="0" bottom="0" percent="0" rank="0" text="" dxfId="534">
      <formula>$F595:Q2284="pp"</formula>
    </cfRule>
  </conditionalFormatting>
  <conditionalFormatting sqref="O189">
    <cfRule type="expression" priority="525" aboveAverage="0" equalAverage="0" bottom="0" percent="0" rank="0" text="" dxfId="535">
      <formula>$F189:S2239="pp"</formula>
    </cfRule>
  </conditionalFormatting>
  <conditionalFormatting sqref="M603:N603">
    <cfRule type="expression" priority="526" aboveAverage="0" equalAverage="0" bottom="0" percent="0" rank="0" text="" dxfId="536">
      <formula>$F603:R2315="pp"</formula>
    </cfRule>
  </conditionalFormatting>
  <conditionalFormatting sqref="F844">
    <cfRule type="expression" priority="527" aboveAverage="0" equalAverage="0" bottom="0" percent="0" rank="0" text="" dxfId="537">
      <formula>$F844:J2601="pp"</formula>
    </cfRule>
  </conditionalFormatting>
  <conditionalFormatting sqref="J627">
    <cfRule type="expression" priority="528" aboveAverage="0" equalAverage="0" bottom="0" percent="0" rank="0" text="" dxfId="538">
      <formula>$F627:O2272="pp"</formula>
    </cfRule>
  </conditionalFormatting>
  <conditionalFormatting sqref="E664 G654:I655 O668:O671">
    <cfRule type="expression" priority="529" aboveAverage="0" equalAverage="0" bottom="0" percent="0" rank="0" text="" dxfId="539">
      <formula>$F654:I2270="pp"</formula>
    </cfRule>
  </conditionalFormatting>
  <conditionalFormatting sqref="A533 C534:D537 J499">
    <cfRule type="expression" priority="530" aboveAverage="0" equalAverage="0" bottom="0" percent="0" rank="0" text="" dxfId="540">
      <formula>$F499:F2273="pp"</formula>
    </cfRule>
  </conditionalFormatting>
  <conditionalFormatting sqref="C457:D457">
    <cfRule type="expression" priority="531" aboveAverage="0" equalAverage="0" bottom="0" percent="0" rank="0" text="" dxfId="541">
      <formula>$F457:H2316="pp"</formula>
    </cfRule>
  </conditionalFormatting>
  <conditionalFormatting sqref="O456">
    <cfRule type="expression" priority="532" aboveAverage="0" equalAverage="0" bottom="0" percent="0" rank="0" text="" dxfId="542">
      <formula>$F456:S2297="pp"</formula>
    </cfRule>
  </conditionalFormatting>
  <conditionalFormatting sqref="K574">
    <cfRule type="expression" priority="533" aboveAverage="0" equalAverage="0" bottom="0" percent="0" rank="0" text="" dxfId="543">
      <formula>$F574:P2322="pp"</formula>
    </cfRule>
  </conditionalFormatting>
  <conditionalFormatting sqref="J574">
    <cfRule type="expression" priority="534" aboveAverage="0" equalAverage="0" bottom="0" percent="0" rank="0" text="" dxfId="544">
      <formula>$F574:O2285="pp"</formula>
    </cfRule>
  </conditionalFormatting>
  <conditionalFormatting sqref="C605:D605">
    <cfRule type="expression" priority="535" aboveAverage="0" equalAverage="0" bottom="0" percent="0" rank="0" text="" dxfId="545">
      <formula>$F605:H2314="pp"</formula>
    </cfRule>
  </conditionalFormatting>
  <conditionalFormatting sqref="Q533">
    <cfRule type="expression" priority="536" aboveAverage="0" equalAverage="0" bottom="0" percent="0" rank="0" text="" dxfId="546">
      <formula>$F533:T2305="pp"</formula>
    </cfRule>
  </conditionalFormatting>
  <conditionalFormatting sqref="Q574">
    <cfRule type="expression" priority="537" aboveAverage="0" equalAverage="0" bottom="0" percent="0" rank="0" text="" dxfId="547">
      <formula>$F574:T2313="pp"</formula>
    </cfRule>
  </conditionalFormatting>
  <conditionalFormatting sqref="F886">
    <cfRule type="expression" priority="538" aboveAverage="0" equalAverage="0" bottom="0" percent="0" rank="0" text="" dxfId="548">
      <formula>$F886:J2613="pp"</formula>
    </cfRule>
  </conditionalFormatting>
  <conditionalFormatting sqref="O565">
    <cfRule type="expression" priority="539" aboveAverage="0" equalAverage="0" bottom="0" percent="0" rank="0" text="" dxfId="549">
      <formula>$F565:S2304="pp"</formula>
    </cfRule>
  </conditionalFormatting>
  <conditionalFormatting sqref="F858">
    <cfRule type="expression" priority="540" aboveAverage="0" equalAverage="0" bottom="0" percent="0" rank="0" text="" dxfId="550">
      <formula>$F858:J2620="pp"</formula>
    </cfRule>
  </conditionalFormatting>
  <conditionalFormatting sqref="E642 G631:I632">
    <cfRule type="expression" priority="541" aboveAverage="0" equalAverage="0" bottom="0" percent="0" rank="0" text="" dxfId="551">
      <formula>$F631:I2270="pp"</formula>
    </cfRule>
  </conditionalFormatting>
  <conditionalFormatting sqref="O664 E657:E662">
    <cfRule type="expression" priority="542" aboveAverage="0" equalAverage="0" bottom="0" percent="0" rank="0" text="" dxfId="552">
      <formula>$F657:I2278="pp"</formula>
    </cfRule>
  </conditionalFormatting>
  <conditionalFormatting sqref="K565 A545:A549 C550:D552 B512:B514 B516:B520 K554:K558 M554:N558 J512:J514 L512:L514 J516:J520 L516:L520">
    <cfRule type="expression" priority="543" aboveAverage="0" equalAverage="0" bottom="0" percent="0" rank="0" text="" dxfId="553">
      <formula>$F512:F2273="pp"</formula>
    </cfRule>
  </conditionalFormatting>
  <conditionalFormatting sqref="J565">
    <cfRule type="expression" priority="544" aboveAverage="0" equalAverage="0" bottom="0" percent="0" rank="0" text="" dxfId="554">
      <formula>$F565:O2289="pp"</formula>
    </cfRule>
  </conditionalFormatting>
  <conditionalFormatting sqref="L603">
    <cfRule type="expression" priority="545" aboveAverage="0" equalAverage="0" bottom="0" percent="0" rank="0" text="" dxfId="555">
      <formula>$F603:Q2278="pp"</formula>
    </cfRule>
  </conditionalFormatting>
  <conditionalFormatting sqref="J573">
    <cfRule type="expression" priority="546" aboveAverage="0" equalAverage="0" bottom="0" percent="0" rank="0" text="" dxfId="556">
      <formula>$F573:O2286="pp"</formula>
    </cfRule>
  </conditionalFormatting>
  <conditionalFormatting sqref="K664 A643:A653">
    <cfRule type="expression" priority="547" aboveAverage="0" equalAverage="0" bottom="0" percent="0" rank="0" text="" dxfId="557">
      <formula>$F643:F2286="pp"</formula>
    </cfRule>
  </conditionalFormatting>
  <conditionalFormatting sqref="Q565 Q554:Q558">
    <cfRule type="expression" priority="548" aboveAverage="0" equalAverage="0" bottom="0" percent="0" rank="0" text="" dxfId="558">
      <formula>$F554:T2306="pp"</formula>
    </cfRule>
  </conditionalFormatting>
  <conditionalFormatting sqref="Q664">
    <cfRule type="expression" priority="549" aboveAverage="0" equalAverage="0" bottom="0" percent="0" rank="0" text="" dxfId="559">
      <formula>$F664:T2298="pp"</formula>
    </cfRule>
  </conditionalFormatting>
  <conditionalFormatting sqref="J543">
    <cfRule type="expression" priority="550" aboveAverage="0" equalAverage="0" bottom="0" percent="0" rank="0" text="" dxfId="560">
      <formula>$F543:O2276="pp"</formula>
    </cfRule>
  </conditionalFormatting>
  <conditionalFormatting sqref="B457">
    <cfRule type="expression" priority="551" aboveAverage="0" equalAverage="0" bottom="0" percent="0" rank="0" text="" dxfId="561">
      <formula>$F457:G2282="pp"</formula>
    </cfRule>
  </conditionalFormatting>
  <conditionalFormatting sqref="J458">
    <cfRule type="expression" priority="552" aboveAverage="0" equalAverage="0" bottom="0" percent="0" rank="0" text="" dxfId="562">
      <formula>$F458:O2282="pp"</formula>
    </cfRule>
  </conditionalFormatting>
  <conditionalFormatting sqref="J459">
    <cfRule type="expression" priority="553" aboveAverage="0" equalAverage="0" bottom="0" percent="0" rank="0" text="" dxfId="563">
      <formula>$F459:O2282="pp"</formula>
    </cfRule>
  </conditionalFormatting>
  <conditionalFormatting sqref="J544">
    <cfRule type="expression" priority="554" aboveAverage="0" equalAverage="0" bottom="0" percent="0" rank="0" text="" dxfId="564">
      <formula>$F544:O2276="pp"</formula>
    </cfRule>
  </conditionalFormatting>
  <conditionalFormatting sqref="K457">
    <cfRule type="expression" priority="555" aboveAverage="0" equalAverage="0" bottom="0" percent="0" rank="0" text="" dxfId="565">
      <formula>$F457:P2319="pp"</formula>
    </cfRule>
  </conditionalFormatting>
  <conditionalFormatting sqref="L455">
    <cfRule type="expression" priority="556" aboveAverage="0" equalAverage="0" bottom="0" percent="0" rank="0" text="" dxfId="566">
      <formula>$F455:Q2282="pp"</formula>
    </cfRule>
  </conditionalFormatting>
  <conditionalFormatting sqref="Q457">
    <cfRule type="expression" priority="557" aboveAverage="0" equalAverage="0" bottom="0" percent="0" rank="0" text="" dxfId="567">
      <formula>$F457:T2310="pp"</formula>
    </cfRule>
  </conditionalFormatting>
  <conditionalFormatting sqref="P443 P456">
    <cfRule type="expression" priority="558" aboveAverage="0" equalAverage="0" bottom="0" percent="0" rank="0" text="" dxfId="568">
      <formula>$F443:T3014="pp"</formula>
    </cfRule>
  </conditionalFormatting>
  <conditionalFormatting sqref="P443">
    <cfRule type="expression" priority="559" aboveAverage="0" equalAverage="0" bottom="0" percent="0" rank="0" text="" dxfId="569">
      <formula>$F443:T2297="pp"</formula>
    </cfRule>
  </conditionalFormatting>
  <conditionalFormatting sqref="K456">
    <cfRule type="expression" priority="560" aboveAverage="0" equalAverage="0" bottom="0" percent="0" rank="0" text="" dxfId="570">
      <formula>$F456:P2319="pp"</formula>
    </cfRule>
  </conditionalFormatting>
  <conditionalFormatting sqref="Q456">
    <cfRule type="expression" priority="561" aboveAverage="0" equalAverage="0" bottom="0" percent="0" rank="0" text="" dxfId="571">
      <formula>$F456:T2310="pp"</formula>
    </cfRule>
  </conditionalFormatting>
  <conditionalFormatting sqref="K455 A421:A429">
    <cfRule type="expression" priority="562" aboveAverage="0" equalAverage="0" bottom="0" percent="0" rank="0" text="" dxfId="572">
      <formula>$F421:F2285="pp"</formula>
    </cfRule>
  </conditionalFormatting>
  <conditionalFormatting sqref="Q455">
    <cfRule type="expression" priority="563" aboveAverage="0" equalAverage="0" bottom="0" percent="0" rank="0" text="" dxfId="573">
      <formula>$F455:T2310="pp"</formula>
    </cfRule>
  </conditionalFormatting>
  <conditionalFormatting sqref="C443:D443">
    <cfRule type="expression" priority="564" aboveAverage="0" equalAverage="0" bottom="0" percent="0" rank="0" text="" dxfId="574">
      <formula>$F443:H2303="pp"</formula>
    </cfRule>
  </conditionalFormatting>
  <conditionalFormatting sqref="B533 C575:D576">
    <cfRule type="expression" priority="565" aboveAverage="0" equalAverage="0" bottom="0" percent="0" rank="0" text="" dxfId="575">
      <formula>$F533:G2277="pp"</formula>
    </cfRule>
  </conditionalFormatting>
  <conditionalFormatting sqref="C455:D455">
    <cfRule type="expression" priority="566" aboveAverage="0" equalAverage="0" bottom="0" percent="0" rank="0" text="" dxfId="576">
      <formula>$F455:H2316="pp"</formula>
    </cfRule>
  </conditionalFormatting>
  <conditionalFormatting sqref="B572">
    <cfRule type="expression" priority="567" aboveAverage="0" equalAverage="0" bottom="0" percent="0" rank="0" text="" dxfId="577">
      <formula>$F572:G2286="pp"</formula>
    </cfRule>
  </conditionalFormatting>
  <conditionalFormatting sqref="J572">
    <cfRule type="expression" priority="568" aboveAverage="0" equalAverage="0" bottom="0" percent="0" rank="0" text="" dxfId="578">
      <formula>$F572:O2286="pp"</formula>
    </cfRule>
  </conditionalFormatting>
  <conditionalFormatting sqref="M574:N574">
    <cfRule type="expression" priority="569" aboveAverage="0" equalAverage="0" bottom="0" percent="0" rank="0" text="" dxfId="579">
      <formula>$F574:R2322="pp"</formula>
    </cfRule>
  </conditionalFormatting>
  <conditionalFormatting sqref="E429">
    <cfRule type="expression" priority="570" aboveAverage="0" equalAverage="0" bottom="0" percent="0" rank="0" text="" dxfId="580">
      <formula>$F429:I2284="pp"</formula>
    </cfRule>
  </conditionalFormatting>
  <conditionalFormatting sqref="J495">
    <cfRule type="expression" priority="571" aboveAverage="0" equalAverage="0" bottom="0" percent="0" rank="0" text="" dxfId="581">
      <formula>$F495:O2273="pp"</formula>
    </cfRule>
  </conditionalFormatting>
  <conditionalFormatting sqref="F319">
    <cfRule type="expression" priority="572" aboveAverage="0" equalAverage="0" bottom="0" percent="0" rank="0" text="" dxfId="582">
      <formula>$F319:J2316="pp"</formula>
    </cfRule>
  </conditionalFormatting>
  <conditionalFormatting sqref="B426">
    <cfRule type="expression" priority="573" aboveAverage="0" equalAverage="0" bottom="0" percent="0" rank="0" text="" dxfId="583">
      <formula>$F426:G2269="pp"</formula>
    </cfRule>
  </conditionalFormatting>
  <conditionalFormatting sqref="J426">
    <cfRule type="expression" priority="574" aboveAverage="0" equalAverage="0" bottom="0" percent="0" rank="0" text="" dxfId="584">
      <formula>$F426:O2269="pp"</formula>
    </cfRule>
  </conditionalFormatting>
  <conditionalFormatting sqref="M595:N595">
    <cfRule type="expression" priority="575" aboveAverage="0" equalAverage="0" bottom="0" percent="0" rank="0" text="" dxfId="585">
      <formula>$F595:R2321="pp"</formula>
    </cfRule>
  </conditionalFormatting>
  <conditionalFormatting sqref="C476:D476 M477:N478 K477:K478">
    <cfRule type="expression" priority="576" aboveAverage="0" equalAverage="0" bottom="0" percent="0" rank="0" text="" dxfId="586">
      <formula>$F476:H2305="pp"</formula>
    </cfRule>
  </conditionalFormatting>
  <conditionalFormatting sqref="M565:N565">
    <cfRule type="expression" priority="577" aboveAverage="0" equalAverage="0" bottom="0" percent="0" rank="0" text="" dxfId="587">
      <formula>$F565:R2326="pp"</formula>
    </cfRule>
  </conditionalFormatting>
  <conditionalFormatting sqref="B494 A512:A514 A516:A523 C527:D532">
    <cfRule type="expression" priority="578" aboveAverage="0" equalAverage="0" bottom="0" percent="0" rank="0" text="" dxfId="588">
      <formula>$F494:F2273="pp"</formula>
    </cfRule>
  </conditionalFormatting>
  <conditionalFormatting sqref="F393">
    <cfRule type="expression" priority="579" aboveAverage="0" equalAverage="0" bottom="0" percent="0" rank="0" text="" dxfId="589">
      <formula>$F393:J2459="pp"</formula>
    </cfRule>
  </conditionalFormatting>
  <conditionalFormatting sqref="E457">
    <cfRule type="expression" priority="580" aboveAverage="0" equalAverage="0" bottom="0" percent="0" rank="0" text="" dxfId="590">
      <formula>$F457:I2292="pp"</formula>
    </cfRule>
  </conditionalFormatting>
  <conditionalFormatting sqref="J428">
    <cfRule type="expression" priority="581" aboveAverage="0" equalAverage="0" bottom="0" percent="0" rank="0" text="" dxfId="591">
      <formula>$F428:O2269="pp"</formula>
    </cfRule>
  </conditionalFormatting>
  <conditionalFormatting sqref="O457">
    <cfRule type="expression" priority="582" aboveAverage="0" equalAverage="0" bottom="0" percent="0" rank="0" text="" dxfId="592">
      <formula>$F457:S2297="pp"</formula>
    </cfRule>
  </conditionalFormatting>
  <conditionalFormatting sqref="F428">
    <cfRule type="expression" priority="583" aboveAverage="0" equalAverage="0" bottom="0" percent="0" rank="0" text="" dxfId="593">
      <formula>$F428:J2314="pp"</formula>
    </cfRule>
  </conditionalFormatting>
  <conditionalFormatting sqref="M455:N455">
    <cfRule type="expression" priority="584" aboveAverage="0" equalAverage="0" bottom="0" percent="0" rank="0" text="" dxfId="594">
      <formula>$F455:R2319="pp"</formula>
    </cfRule>
  </conditionalFormatting>
  <conditionalFormatting sqref="O682">
    <cfRule type="expression" priority="585" aboveAverage="0" equalAverage="0" bottom="0" percent="0" rank="0" text="" dxfId="595">
      <formula>$F682:S2290="pp"</formula>
    </cfRule>
  </conditionalFormatting>
  <conditionalFormatting sqref="G457:I457">
    <cfRule type="expression" priority="586" aboveAverage="0" equalAverage="0" bottom="0" percent="0" rank="0" text="" dxfId="596">
      <formula>$F457:K2282="pp"</formula>
    </cfRule>
  </conditionalFormatting>
  <conditionalFormatting sqref="G664:I664 P692:P696">
    <cfRule type="expression" priority="587" aboveAverage="0" equalAverage="0" bottom="0" percent="0" rank="0" text="" dxfId="597">
      <formula>$F664:K2270="pp"</formula>
    </cfRule>
  </conditionalFormatting>
  <conditionalFormatting sqref="G543:I543">
    <cfRule type="expression" priority="588" aboveAverage="0" equalAverage="0" bottom="0" percent="0" rank="0" text="" dxfId="598">
      <formula>$F543:K2276="pp"</formula>
    </cfRule>
  </conditionalFormatting>
  <conditionalFormatting sqref="O460 E455">
    <cfRule type="expression" priority="589" aboveAverage="0" equalAverage="0" bottom="0" percent="0" rank="0" text="" dxfId="599">
      <formula>$F455:I2292="pp"</formula>
    </cfRule>
  </conditionalFormatting>
  <conditionalFormatting sqref="P456">
    <cfRule type="expression" priority="590" aboveAverage="0" equalAverage="0" bottom="0" percent="0" rank="0" text="" dxfId="600">
      <formula>$F456:T2310="pp"</formula>
    </cfRule>
  </conditionalFormatting>
  <conditionalFormatting sqref="B656 C692:D693 K697:K701 M697:N701">
    <cfRule type="expression" priority="591" aboveAverage="0" equalAverage="0" bottom="0" percent="0" rank="0" text="" dxfId="601">
      <formula>$F656:G2268="pp"</formula>
    </cfRule>
  </conditionalFormatting>
  <conditionalFormatting sqref="G533:I533 E540:E542">
    <cfRule type="expression" priority="592" aboveAverage="0" equalAverage="0" bottom="0" percent="0" rank="0" text="" dxfId="602">
      <formula>$F533:I2277="pp"</formula>
    </cfRule>
  </conditionalFormatting>
  <conditionalFormatting sqref="L533">
    <cfRule type="expression" priority="593" aboveAverage="0" equalAverage="0" bottom="0" percent="0" rank="0" text="" dxfId="603">
      <formula>$F533:Q2277="pp"</formula>
    </cfRule>
  </conditionalFormatting>
  <conditionalFormatting sqref="B495 A524:A528">
    <cfRule type="expression" priority="594" aboveAverage="0" equalAverage="0" bottom="0" percent="0" rank="0" text="" dxfId="604">
      <formula>$F495:F2273="pp"</formula>
    </cfRule>
  </conditionalFormatting>
  <conditionalFormatting sqref="G577:I577">
    <cfRule type="expression" priority="595" aboveAverage="0" equalAverage="0" bottom="0" percent="0" rank="0" text="" dxfId="605">
      <formula>$F577:K2282="pp"</formula>
    </cfRule>
  </conditionalFormatting>
  <conditionalFormatting sqref="G628:I628">
    <cfRule type="expression" priority="596" aboveAverage="0" equalAverage="0" bottom="0" percent="0" rank="0" text="" dxfId="606">
      <formula>$F628:K2272="pp"</formula>
    </cfRule>
  </conditionalFormatting>
  <conditionalFormatting sqref="G456:I456">
    <cfRule type="expression" priority="597" aboveAverage="0" equalAverage="0" bottom="0" percent="0" rank="0" text="" dxfId="607">
      <formula>$F456:K2282="pp"</formula>
    </cfRule>
  </conditionalFormatting>
  <conditionalFormatting sqref="F425">
    <cfRule type="expression" priority="598" aboveAverage="0" equalAverage="0" bottom="0" percent="0" rank="0" text="" dxfId="608">
      <formula>$F425:J2310="pp"</formula>
    </cfRule>
  </conditionalFormatting>
  <conditionalFormatting sqref="J456">
    <cfRule type="expression" priority="599" aboveAverage="0" equalAverage="0" bottom="0" percent="0" rank="0" text="" dxfId="609">
      <formula>$F456:O2282="pp"</formula>
    </cfRule>
  </conditionalFormatting>
  <conditionalFormatting sqref="L574">
    <cfRule type="expression" priority="600" aboveAverage="0" equalAverage="0" bottom="0" percent="0" rank="0" text="" dxfId="610">
      <formula>$F574:Q2285="pp"</formula>
    </cfRule>
  </conditionalFormatting>
  <conditionalFormatting sqref="L664">
    <cfRule type="expression" priority="601" aboveAverage="0" equalAverage="0" bottom="0" percent="0" rank="0" text="" dxfId="611">
      <formula>$F664:Q2270="pp"</formula>
    </cfRule>
  </conditionalFormatting>
  <conditionalFormatting sqref="O736">
    <cfRule type="expression" priority="602" aboveAverage="0" equalAverage="0" bottom="0" percent="0" rank="0" text="" dxfId="612">
      <formula>$F736:S2286="pp"</formula>
    </cfRule>
  </conditionalFormatting>
  <conditionalFormatting sqref="E712">
    <cfRule type="expression" priority="603" aboveAverage="0" equalAverage="0" bottom="0" percent="0" rank="0" text="" dxfId="613">
      <formula>$F712:I2287="pp"</formula>
    </cfRule>
  </conditionalFormatting>
  <conditionalFormatting sqref="F1041">
    <cfRule type="expression" priority="604" aboveAverage="0" equalAverage="0" bottom="0" percent="0" rank="0" text="" dxfId="614">
      <formula>$F1041:J2633="pp"</formula>
    </cfRule>
  </conditionalFormatting>
  <conditionalFormatting sqref="B479">
    <cfRule type="expression" priority="605" aboveAverage="0" equalAverage="0" bottom="0" percent="0" rank="0" text="" dxfId="615">
      <formula>$F479:G2270="pp"</formula>
    </cfRule>
  </conditionalFormatting>
  <conditionalFormatting sqref="C706:D706">
    <cfRule type="expression" priority="606" aboveAverage="0" equalAverage="0" bottom="0" percent="0" rank="0" text="" dxfId="616">
      <formula>$F706:H2309="pp"</formula>
    </cfRule>
  </conditionalFormatting>
  <conditionalFormatting sqref="C708:D708">
    <cfRule type="expression" priority="607" aboveAverage="0" equalAverage="0" bottom="0" percent="0" rank="0" text="" dxfId="617">
      <formula>$F708:H2311="pp"</formula>
    </cfRule>
  </conditionalFormatting>
  <conditionalFormatting sqref="L479">
    <cfRule type="expression" priority="608" aboveAverage="0" equalAverage="0" bottom="0" percent="0" rank="0" text="" dxfId="618">
      <formula>$F479:Q2270="pp"</formula>
    </cfRule>
  </conditionalFormatting>
  <conditionalFormatting sqref="L572">
    <cfRule type="expression" priority="609" aboveAverage="0" equalAverage="0" bottom="0" percent="0" rank="0" text="" dxfId="619">
      <formula>$F572:Q2286="pp"</formula>
    </cfRule>
  </conditionalFormatting>
  <conditionalFormatting sqref="C697:D697 C703:D705">
    <cfRule type="expression" priority="610" aboveAverage="0" equalAverage="0" bottom="0" percent="0" rank="0" text="" dxfId="620">
      <formula>$F697:H2306="pp"</formula>
    </cfRule>
  </conditionalFormatting>
  <conditionalFormatting sqref="G423:I423">
    <cfRule type="expression" priority="611" aboveAverage="0" equalAverage="0" bottom="0" percent="0" rank="0" text="" dxfId="621">
      <formula>$F423:K2268="pp"</formula>
    </cfRule>
  </conditionalFormatting>
  <conditionalFormatting sqref="C699:D699">
    <cfRule type="expression" priority="612" aboveAverage="0" equalAverage="0" bottom="0" percent="0" rank="0" text="" dxfId="622">
      <formula>$F699:H2308="pp"</formula>
    </cfRule>
  </conditionalFormatting>
  <conditionalFormatting sqref="C677:D677 A654:A655 C672:D675 M676:N681 K676:K681">
    <cfRule type="expression" priority="613" aboveAverage="0" equalAverage="0" bottom="0" percent="0" rank="0" text="" dxfId="623">
      <formula>$F654:F2288="pp"</formula>
    </cfRule>
  </conditionalFormatting>
  <conditionalFormatting sqref="C698:D698 C694:D696 B657:B662 L657:L662 J657:J662">
    <cfRule type="expression" priority="614" aboveAverage="0" equalAverage="0" bottom="0" percent="0" rank="0" text="" dxfId="624">
      <formula>$F657:G2268="pp"</formula>
    </cfRule>
  </conditionalFormatting>
  <conditionalFormatting sqref="O479 E471:E475 G463:I463">
    <cfRule type="expression" priority="615" aboveAverage="0" equalAverage="0" bottom="0" percent="0" rank="0" text="" dxfId="625">
      <formula>$F463:I2269="pp"</formula>
    </cfRule>
  </conditionalFormatting>
  <conditionalFormatting sqref="F1052">
    <cfRule type="expression" priority="616" aboveAverage="0" equalAverage="0" bottom="0" percent="0" rank="0" text="" dxfId="626">
      <formula>$F1052:J2645="pp"</formula>
    </cfRule>
  </conditionalFormatting>
  <conditionalFormatting sqref="C700:D700">
    <cfRule type="expression" priority="617" aboveAverage="0" equalAverage="0" bottom="0" percent="0" rank="0" text="" dxfId="627">
      <formula>$F700:H2311="pp"</formula>
    </cfRule>
  </conditionalFormatting>
  <conditionalFormatting sqref="E479 O485:O488">
    <cfRule type="expression" priority="618" aboveAverage="0" equalAverage="0" bottom="0" percent="0" rank="0" text="" dxfId="628">
      <formula>$F479:I2280="pp"</formula>
    </cfRule>
  </conditionalFormatting>
  <conditionalFormatting sqref="L543">
    <cfRule type="expression" priority="619" aboveAverage="0" equalAverage="0" bottom="0" percent="0" rank="0" text="" dxfId="629">
      <formula>$F543:Q2276="pp"</formula>
    </cfRule>
  </conditionalFormatting>
  <conditionalFormatting sqref="L565">
    <cfRule type="expression" priority="620" aboveAverage="0" equalAverage="0" bottom="0" percent="0" rank="0" text="" dxfId="630">
      <formula>$F565:Q2289="pp"</formula>
    </cfRule>
  </conditionalFormatting>
  <conditionalFormatting sqref="J479">
    <cfRule type="expression" priority="621" aboveAverage="0" equalAverage="0" bottom="0" percent="0" rank="0" text="" dxfId="631">
      <formula>$F479:O2270="pp"</formula>
    </cfRule>
  </conditionalFormatting>
  <conditionalFormatting sqref="F321">
    <cfRule type="expression" priority="622" aboveAverage="0" equalAverage="0" bottom="0" percent="0" rank="0" text="" dxfId="632">
      <formula>$F321:J2318="pp"</formula>
    </cfRule>
  </conditionalFormatting>
  <conditionalFormatting sqref="F382 E380:I380">
    <cfRule type="expression" priority="623" aboveAverage="0" equalAverage="0" bottom="0" percent="0" rank="0" text="" dxfId="633">
      <formula>$F380:I2542="pp"</formula>
    </cfRule>
  </conditionalFormatting>
  <conditionalFormatting sqref="G572:I572">
    <cfRule type="expression" priority="624" aboveAverage="0" equalAverage="0" bottom="0" percent="0" rank="0" text="" dxfId="634">
      <formula>$F572:K2286="pp"</formula>
    </cfRule>
  </conditionalFormatting>
  <conditionalFormatting sqref="C426:D426">
    <cfRule type="expression" priority="625" aboveAverage="0" equalAverage="0" bottom="0" percent="0" rank="0" text="" dxfId="635">
      <formula>$F426:H2306="pp"</formula>
    </cfRule>
  </conditionalFormatting>
  <conditionalFormatting sqref="Q479">
    <cfRule type="expression" priority="626" aboveAverage="0" equalAverage="0" bottom="0" percent="0" rank="0" text="" dxfId="636">
      <formula>$F479:T2298="pp"</formula>
    </cfRule>
  </conditionalFormatting>
  <conditionalFormatting sqref="E191">
    <cfRule type="expression" priority="627" aboveAverage="0" equalAverage="0" bottom="0" percent="0" rank="0" text="" dxfId="637">
      <formula>$F191:I2241="pp"</formula>
    </cfRule>
  </conditionalFormatting>
  <conditionalFormatting sqref="C606:D606">
    <cfRule type="expression" priority="628" aboveAverage="0" equalAverage="0" bottom="0" percent="0" rank="0" text="" dxfId="638">
      <formula>$F606:H2307="pp"</formula>
    </cfRule>
  </conditionalFormatting>
  <conditionalFormatting sqref="G479:I479 E491:E492">
    <cfRule type="expression" priority="629" aboveAverage="0" equalAverage="0" bottom="0" percent="0" rank="0" text="" dxfId="639">
      <formula>$F479:I2270="pp"</formula>
    </cfRule>
  </conditionalFormatting>
  <conditionalFormatting sqref="F384">
    <cfRule type="expression" priority="630" aboveAverage="0" equalAverage="0" bottom="0" percent="0" rank="0" text="" dxfId="640">
      <formula>$F384:J2546="pp"</formula>
    </cfRule>
  </conditionalFormatting>
  <conditionalFormatting sqref="B456">
    <cfRule type="expression" priority="631" aboveAverage="0" equalAverage="0" bottom="0" percent="0" rank="0" text="" dxfId="641">
      <formula>$F456:G2282="pp"</formula>
    </cfRule>
  </conditionalFormatting>
  <conditionalFormatting sqref="J1324">
    <cfRule type="expression" priority="632" aboveAverage="0" equalAverage="0" bottom="0" percent="0" rank="0" text="" dxfId="642">
      <formula>$F1324:O2273="pp"</formula>
    </cfRule>
  </conditionalFormatting>
  <conditionalFormatting sqref="F1040 F1033:F1038 F1042:F1043">
    <cfRule type="expression" priority="633" aboveAverage="0" equalAverage="0" bottom="0" percent="0" rank="0" text="" dxfId="643">
      <formula>$F1033:J2632="pp"</formula>
    </cfRule>
  </conditionalFormatting>
  <conditionalFormatting sqref="G656:I656 O676:O681">
    <cfRule type="expression" priority="634" aboveAverage="0" equalAverage="0" bottom="0" percent="0" rank="0" text="" dxfId="644">
      <formula>$F656:K2268="pp"</formula>
    </cfRule>
  </conditionalFormatting>
  <conditionalFormatting sqref="C710:D710">
    <cfRule type="expression" priority="635" aboveAverage="0" equalAverage="0" bottom="0" percent="0" rank="0" text="" dxfId="645">
      <formula>$F710:H2313="pp"</formula>
    </cfRule>
  </conditionalFormatting>
  <conditionalFormatting sqref="C679:D679">
    <cfRule type="expression" priority="636" aboveAverage="0" equalAverage="0" bottom="0" percent="0" rank="0" text="" dxfId="646">
      <formula>$F679:H2313="pp"</formula>
    </cfRule>
  </conditionalFormatting>
  <conditionalFormatting sqref="Q663">
    <cfRule type="expression" priority="637" aboveAverage="0" equalAverage="0" bottom="0" percent="0" rank="0" text="" dxfId="647">
      <formula>$F663:T2301="pp"</formula>
    </cfRule>
  </conditionalFormatting>
  <conditionalFormatting sqref="G565:I565">
    <cfRule type="expression" priority="638" aboveAverage="0" equalAverage="0" bottom="0" percent="0" rank="0" text="" dxfId="648">
      <formula>$F565:K2289="pp"</formula>
    </cfRule>
  </conditionalFormatting>
  <conditionalFormatting sqref="E663">
    <cfRule type="expression" priority="639" aboveAverage="0" equalAverage="0" bottom="0" percent="0" rank="0" text="" dxfId="649">
      <formula>$F663:I2283="pp"</formula>
    </cfRule>
  </conditionalFormatting>
  <conditionalFormatting sqref="C701:D701">
    <cfRule type="expression" priority="640" aboveAverage="0" equalAverage="0" bottom="0" percent="0" rank="0" text="" dxfId="650">
      <formula>$F701:H2310="pp"</formula>
    </cfRule>
  </conditionalFormatting>
  <conditionalFormatting sqref="F386">
    <cfRule type="expression" priority="641" aboveAverage="0" equalAverage="0" bottom="0" percent="0" rank="0" text="" dxfId="651">
      <formula>$F386:J2548="pp"</formula>
    </cfRule>
  </conditionalFormatting>
  <conditionalFormatting sqref="C607:D607">
    <cfRule type="expression" priority="642" aboveAverage="0" equalAverage="0" bottom="0" percent="0" rank="0" text="" dxfId="652">
      <formula>$F607:H2316="pp"</formula>
    </cfRule>
  </conditionalFormatting>
  <conditionalFormatting sqref="O193">
    <cfRule type="expression" priority="643" aboveAverage="0" equalAverage="0" bottom="0" percent="0" rank="0" text="" dxfId="653">
      <formula>$F193:S2228="pp"</formula>
    </cfRule>
  </conditionalFormatting>
  <conditionalFormatting sqref="A656">
    <cfRule type="expression" priority="644" aboveAverage="0" equalAverage="0" bottom="0" percent="0" rank="0" text="" dxfId="654">
      <formula>$F656:F2286="pp"</formula>
    </cfRule>
  </conditionalFormatting>
  <conditionalFormatting sqref="C609:D609">
    <cfRule type="expression" priority="645" aboveAverage="0" equalAverage="0" bottom="0" percent="0" rank="0" text="" dxfId="655">
      <formula>$F609:H2318="pp"</formula>
    </cfRule>
  </conditionalFormatting>
  <conditionalFormatting sqref="L573">
    <cfRule type="expression" priority="646" aboveAverage="0" equalAverage="0" bottom="0" percent="0" rank="0" text="" dxfId="656">
      <formula>$F573:Q2286="pp"</formula>
    </cfRule>
  </conditionalFormatting>
  <conditionalFormatting sqref="J628">
    <cfRule type="expression" priority="647" aboveAverage="0" equalAverage="0" bottom="0" percent="0" rank="0" text="" dxfId="657">
      <formula>$F628:O2272="pp"</formula>
    </cfRule>
  </conditionalFormatting>
  <conditionalFormatting sqref="J656">
    <cfRule type="expression" priority="648" aboveAverage="0" equalAverage="0" bottom="0" percent="0" rank="0" text="" dxfId="658">
      <formula>$F656:O2268="pp"</formula>
    </cfRule>
  </conditionalFormatting>
  <conditionalFormatting sqref="F388">
    <cfRule type="expression" priority="649" aboveAverage="0" equalAverage="0" bottom="0" percent="0" rank="0" text="" dxfId="659">
      <formula>$F388:J2550="pp"</formula>
    </cfRule>
  </conditionalFormatting>
  <conditionalFormatting sqref="J753">
    <cfRule type="expression" priority="650" aboveAverage="0" equalAverage="0" bottom="0" percent="0" rank="0" text="" dxfId="660">
      <formula>$F753:O2273="pp"</formula>
    </cfRule>
  </conditionalFormatting>
  <conditionalFormatting sqref="K753 B719:B721 J719:J721 L719:L721">
    <cfRule type="expression" priority="651" aboveAverage="0" equalAverage="0" bottom="0" percent="0" rank="0" text="" dxfId="661">
      <formula>$F719:G2276="pp"</formula>
    </cfRule>
  </conditionalFormatting>
  <conditionalFormatting sqref="Q753">
    <cfRule type="expression" priority="652" aboveAverage="0" equalAverage="0" bottom="0" percent="0" rank="0" text="" dxfId="662">
      <formula>$F753:T2301="pp"</formula>
    </cfRule>
  </conditionalFormatting>
  <conditionalFormatting sqref="G736:I736">
    <cfRule type="expression" priority="653" aboveAverage="0" equalAverage="0" bottom="0" percent="0" rank="0" text="" dxfId="663">
      <formula>$F736:K2271="pp"</formula>
    </cfRule>
  </conditionalFormatting>
  <conditionalFormatting sqref="E572 G554:I558">
    <cfRule type="expression" priority="654" aboveAverage="0" equalAverage="0" bottom="0" percent="0" rank="0" text="" dxfId="664">
      <formula>$F554:I2278="pp"</formula>
    </cfRule>
  </conditionalFormatting>
  <conditionalFormatting sqref="B429">
    <cfRule type="expression" priority="655" aboveAverage="0" equalAverage="0" bottom="0" percent="0" rank="0" text="" dxfId="665">
      <formula>$F429:G2268="pp"</formula>
    </cfRule>
  </conditionalFormatting>
  <conditionalFormatting sqref="C608:D608">
    <cfRule type="expression" priority="656" aboveAverage="0" equalAverage="0" bottom="0" percent="0" rank="0" text="" dxfId="666">
      <formula>$F608:H2309="pp"</formula>
    </cfRule>
  </conditionalFormatting>
  <conditionalFormatting sqref="E506 F692:F705">
    <cfRule type="expression" priority="657" aboveAverage="0" equalAverage="0" bottom="0" percent="0" rank="0" text="" dxfId="667">
      <formula>$F506:I2281="pp"</formula>
    </cfRule>
  </conditionalFormatting>
  <conditionalFormatting sqref="C681:D681">
    <cfRule type="expression" priority="658" aboveAverage="0" equalAverage="0" bottom="0" percent="0" rank="0" text="" dxfId="668">
      <formula>$F681:H2315="pp"</formula>
    </cfRule>
  </conditionalFormatting>
  <conditionalFormatting sqref="F390">
    <cfRule type="expression" priority="659" aboveAverage="0" equalAverage="0" bottom="0" percent="0" rank="0" text="" dxfId="669">
      <formula>$F390:J2552="pp"</formula>
    </cfRule>
  </conditionalFormatting>
  <conditionalFormatting sqref="C611:D611">
    <cfRule type="expression" priority="660" aboveAverage="0" equalAverage="0" bottom="0" percent="0" rank="0" text="" dxfId="670">
      <formula>$F611:H2320="pp"</formula>
    </cfRule>
  </conditionalFormatting>
  <conditionalFormatting sqref="G627:I627 E633:E641">
    <cfRule type="expression" priority="661" aboveAverage="0" equalAverage="0" bottom="0" percent="0" rank="0" text="" dxfId="671">
      <formula>$F627:I2272="pp"</formula>
    </cfRule>
  </conditionalFormatting>
  <conditionalFormatting sqref="F336">
    <cfRule type="expression" priority="662" aboveAverage="0" equalAverage="0" bottom="0" percent="0" rank="0" text="" dxfId="672">
      <formula>$F336:J2330="pp"</formula>
    </cfRule>
  </conditionalFormatting>
  <conditionalFormatting sqref="G459:I459">
    <cfRule type="expression" priority="663" aboveAverage="0" equalAverage="0" bottom="0" percent="0" rank="0" text="" dxfId="673">
      <formula>$F459:K2282="pp"</formula>
    </cfRule>
  </conditionalFormatting>
  <conditionalFormatting sqref="O573">
    <cfRule type="expression" priority="664" aboveAverage="0" equalAverage="0" bottom="0" percent="0" rank="0" text="" dxfId="674">
      <formula>$F573:S2301="pp"</formula>
    </cfRule>
  </conditionalFormatting>
  <conditionalFormatting sqref="B725">
    <cfRule type="expression" priority="665" aboveAverage="0" equalAverage="0" bottom="0" percent="0" rank="0" text="" dxfId="675">
      <formula>$F725:G2278="pp"</formula>
    </cfRule>
  </conditionalFormatting>
  <conditionalFormatting sqref="E761">
    <cfRule type="expression" priority="666" aboveAverage="0" equalAverage="0" bottom="0" percent="0" rank="0" text="" dxfId="676">
      <formula>$F761:I2283="pp"</formula>
    </cfRule>
  </conditionalFormatting>
  <conditionalFormatting sqref="C712:D712">
    <cfRule type="expression" priority="667" aboveAverage="0" equalAverage="0" bottom="0" percent="0" rank="0" text="" dxfId="677">
      <formula>$F712:H2315="pp"</formula>
    </cfRule>
  </conditionalFormatting>
  <conditionalFormatting sqref="K777 C784:D785">
    <cfRule type="expression" priority="668" aboveAverage="0" equalAverage="0" bottom="0" percent="0" rank="0" text="" dxfId="678">
      <formula>$F777:H2317="pp"</formula>
    </cfRule>
  </conditionalFormatting>
  <conditionalFormatting sqref="J777">
    <cfRule type="expression" priority="669" aboveAverage="0" equalAverage="0" bottom="0" percent="0" rank="0" text="" dxfId="679">
      <formula>$F777:O2280="pp"</formula>
    </cfRule>
  </conditionalFormatting>
  <conditionalFormatting sqref="Q777">
    <cfRule type="expression" priority="670" aboveAverage="0" equalAverage="0" bottom="0" percent="0" rank="0" text="" dxfId="680">
      <formula>$F777:T2308="pp"</formula>
    </cfRule>
  </conditionalFormatting>
  <conditionalFormatting sqref="C702:D702">
    <cfRule type="expression" priority="671" aboveAverage="0" equalAverage="0" bottom="0" percent="0" rank="0" text="" dxfId="681">
      <formula>$F702:H2313="pp"</formula>
    </cfRule>
  </conditionalFormatting>
  <conditionalFormatting sqref="C683:D683">
    <cfRule type="expression" priority="672" aboveAverage="0" equalAverage="0" bottom="0" percent="0" rank="0" text="" dxfId="682">
      <formula>$F683:H2319="pp"</formula>
    </cfRule>
  </conditionalFormatting>
  <conditionalFormatting sqref="C594:D594">
    <cfRule type="expression" priority="673" aboveAverage="0" equalAverage="0" bottom="0" percent="0" rank="0" text="" dxfId="683">
      <formula>$F594:H2318="pp"</formula>
    </cfRule>
  </conditionalFormatting>
  <conditionalFormatting sqref="E779">
    <cfRule type="expression" priority="674" aboveAverage="0" equalAverage="0" bottom="0" percent="0" rank="0" text="" dxfId="684">
      <formula>$F779:I2292="pp"</formula>
    </cfRule>
  </conditionalFormatting>
  <conditionalFormatting sqref="F178">
    <cfRule type="expression" priority="675" aboveAverage="0" equalAverage="0" bottom="0" percent="0" rank="0" text="" dxfId="685">
      <formula>$F178:J2281="pp"</formula>
    </cfRule>
  </conditionalFormatting>
  <conditionalFormatting sqref="C613:D613">
    <cfRule type="expression" priority="676" aboveAverage="0" equalAverage="0" bottom="0" percent="0" rank="0" text="" dxfId="686">
      <formula>$F613:H2322="pp"</formula>
    </cfRule>
  </conditionalFormatting>
  <conditionalFormatting sqref="E461">
    <cfRule type="expression" priority="677" aboveAverage="0" equalAverage="0" bottom="0" percent="0" rank="0" text="" dxfId="687">
      <formula>$F461:I2292="pp"</formula>
    </cfRule>
  </conditionalFormatting>
  <conditionalFormatting sqref="F427">
    <cfRule type="expression" priority="678" aboveAverage="0" equalAverage="0" bottom="0" percent="0" rank="0" text="" dxfId="688">
      <formula>$F427:J2312="pp"</formula>
    </cfRule>
  </conditionalFormatting>
  <conditionalFormatting sqref="B573">
    <cfRule type="expression" priority="679" aboveAverage="0" equalAverage="0" bottom="0" percent="0" rank="0" text="" dxfId="689">
      <formula>$F573:G2286="pp"</formula>
    </cfRule>
  </conditionalFormatting>
  <conditionalFormatting sqref="E781">
    <cfRule type="expression" priority="680" aboveAverage="0" equalAverage="0" bottom="0" percent="0" rank="0" text="" dxfId="690">
      <formula>$F781:I2294="pp"</formula>
    </cfRule>
  </conditionalFormatting>
  <conditionalFormatting sqref="L777">
    <cfRule type="expression" priority="681" aboveAverage="0" equalAverage="0" bottom="0" percent="0" rank="0" text="" dxfId="691">
      <formula>$F777:Q2280="pp"</formula>
    </cfRule>
  </conditionalFormatting>
  <conditionalFormatting sqref="M777:N777">
    <cfRule type="expression" priority="682" aboveAverage="0" equalAverage="0" bottom="0" percent="0" rank="0" text="" dxfId="692">
      <formula>$F777:R2317="pp"</formula>
    </cfRule>
  </conditionalFormatting>
  <conditionalFormatting sqref="F392">
    <cfRule type="expression" priority="683" aboveAverage="0" equalAverage="0" bottom="0" percent="0" rank="0" text="" dxfId="693">
      <formula>$F392:J2554="pp"</formula>
    </cfRule>
  </conditionalFormatting>
  <conditionalFormatting sqref="C707:D707 B665:B666 L665:L666 J665:J666">
    <cfRule type="expression" priority="684" aboveAverage="0" equalAverage="0" bottom="0" percent="0" rank="0" text="" dxfId="694">
      <formula>$F665:G2272="pp"</formula>
    </cfRule>
  </conditionalFormatting>
  <conditionalFormatting sqref="B543">
    <cfRule type="expression" priority="685" aboveAverage="0" equalAverage="0" bottom="0" percent="0" rank="0" text="" dxfId="695">
      <formula>$F543:G2276="pp"</formula>
    </cfRule>
  </conditionalFormatting>
  <conditionalFormatting sqref="G753:I753 O767:O770">
    <cfRule type="expression" priority="686" aboveAverage="0" equalAverage="0" bottom="0" percent="0" rank="0" text="" dxfId="696">
      <formula>$F753:K2273="pp"</formula>
    </cfRule>
  </conditionalFormatting>
  <conditionalFormatting sqref="L544">
    <cfRule type="expression" priority="687" aboveAverage="0" equalAverage="0" bottom="0" percent="0" rank="0" text="" dxfId="697">
      <formula>$F544:Q2276="pp"</formula>
    </cfRule>
  </conditionalFormatting>
  <conditionalFormatting sqref="F323">
    <cfRule type="expression" priority="688" aboveAverage="0" equalAverage="0" bottom="0" percent="0" rank="0" text="" dxfId="698">
      <formula>$F323:J2320="pp"</formula>
    </cfRule>
  </conditionalFormatting>
  <conditionalFormatting sqref="C709:D709">
    <cfRule type="expression" priority="689" aboveAverage="0" equalAverage="0" bottom="0" percent="0" rank="0" text="" dxfId="699">
      <formula>$F709:H2316="pp"</formula>
    </cfRule>
  </conditionalFormatting>
  <conditionalFormatting sqref="L625">
    <cfRule type="expression" priority="690" aboveAverage="0" equalAverage="0" bottom="0" percent="0" rank="0" text="" dxfId="700">
      <formula>$F625:Q2272="pp"</formula>
    </cfRule>
  </conditionalFormatting>
  <conditionalFormatting sqref="M625:N625">
    <cfRule type="expression" priority="691" aboveAverage="0" equalAverage="0" bottom="0" percent="0" rank="0" text="" dxfId="701">
      <formula>$F625:R2309="pp"</formula>
    </cfRule>
  </conditionalFormatting>
  <conditionalFormatting sqref="L753">
    <cfRule type="expression" priority="692" aboveAverage="0" equalAverage="0" bottom="0" percent="0" rank="0" text="" dxfId="702">
      <formula>$F753:Q2273="pp"</formula>
    </cfRule>
  </conditionalFormatting>
  <conditionalFormatting sqref="F394">
    <cfRule type="expression" priority="693" aboveAverage="0" equalAverage="0" bottom="0" percent="0" rank="0" text="" dxfId="703">
      <formula>$F394:J2556="pp"</formula>
    </cfRule>
  </conditionalFormatting>
  <conditionalFormatting sqref="F338">
    <cfRule type="expression" priority="694" aboveAverage="0" equalAverage="0" bottom="0" percent="0" rank="0" text="" dxfId="704">
      <formula>$F338:J2332="pp"</formula>
    </cfRule>
  </conditionalFormatting>
  <conditionalFormatting sqref="C428:D428">
    <cfRule type="expression" priority="695" aboveAverage="0" equalAverage="0" bottom="0" percent="0" rank="0" text="" dxfId="705">
      <formula>$F428:H2308="pp"</formula>
    </cfRule>
  </conditionalFormatting>
  <conditionalFormatting sqref="C498:D498">
    <cfRule type="expression" priority="696" aboveAverage="0" equalAverage="0" bottom="0" percent="0" rank="0" text="" dxfId="706">
      <formula>$F498:H2307="pp"</formula>
    </cfRule>
  </conditionalFormatting>
  <conditionalFormatting sqref="C301:D301">
    <cfRule type="expression" priority="697" aboveAverage="0" equalAverage="0" bottom="0" percent="0" rank="0" text="" dxfId="707">
      <formula>$F301:H2325="pp"</formula>
    </cfRule>
  </conditionalFormatting>
  <conditionalFormatting sqref="E709 E706:E707">
    <cfRule type="expression" priority="698" aboveAverage="0" equalAverage="0" bottom="0" percent="0" rank="0" text="" dxfId="708">
      <formula>$F706:I2285="pp"</formula>
    </cfRule>
  </conditionalFormatting>
  <conditionalFormatting sqref="F180">
    <cfRule type="expression" priority="699" aboveAverage="0" equalAverage="0" bottom="0" percent="0" rank="0" text="" dxfId="709">
      <formula>$F180:J2283="pp"</formula>
    </cfRule>
  </conditionalFormatting>
  <conditionalFormatting sqref="F429">
    <cfRule type="expression" priority="700" aboveAverage="0" equalAverage="0" bottom="0" percent="0" rank="0" text="" dxfId="710">
      <formula>$F429:J2314="pp"</formula>
    </cfRule>
  </conditionalFormatting>
  <conditionalFormatting sqref="G625:I625">
    <cfRule type="expression" priority="701" aboveAverage="0" equalAverage="0" bottom="0" percent="0" rank="0" text="" dxfId="711">
      <formula>$F625:K2272="pp"</formula>
    </cfRule>
  </conditionalFormatting>
  <conditionalFormatting sqref="C711:D711">
    <cfRule type="expression" priority="702" aboveAverage="0" equalAverage="0" bottom="0" percent="0" rank="0" text="" dxfId="712">
      <formula>$F711:H2318="pp"</formula>
    </cfRule>
  </conditionalFormatting>
  <conditionalFormatting sqref="M736:N736">
    <cfRule type="expression" priority="703" aboveAverage="0" equalAverage="0" bottom="0" percent="0" rank="0" text="" dxfId="713">
      <formula>$F736:R2308="pp"</formula>
    </cfRule>
  </conditionalFormatting>
  <conditionalFormatting sqref="M753:N753">
    <cfRule type="expression" priority="704" aboveAverage="0" equalAverage="0" bottom="0" percent="0" rank="0" text="" dxfId="714">
      <formula>$F753:R2310="pp"</formula>
    </cfRule>
  </conditionalFormatting>
  <conditionalFormatting sqref="E456">
    <cfRule type="expression" priority="705" aboveAverage="0" equalAverage="0" bottom="0" percent="0" rank="0" text="" dxfId="715">
      <formula>$F456:I2292="pp"</formula>
    </cfRule>
  </conditionalFormatting>
  <conditionalFormatting sqref="L626">
    <cfRule type="expression" priority="706" aboveAverage="0" equalAverage="0" bottom="0" percent="0" rank="0" text="" dxfId="716">
      <formula>$F626:Q2272="pp"</formula>
    </cfRule>
  </conditionalFormatting>
  <conditionalFormatting sqref="L736">
    <cfRule type="expression" priority="707" aboveAverage="0" equalAverage="0" bottom="0" percent="0" rank="0" text="" dxfId="717">
      <formula>$F736:Q2271="pp"</formula>
    </cfRule>
  </conditionalFormatting>
  <conditionalFormatting sqref="L656">
    <cfRule type="expression" priority="708" aboveAverage="0" equalAverage="0" bottom="0" percent="0" rank="0" text="" dxfId="718">
      <formula>$F656:Q2268="pp"</formula>
    </cfRule>
  </conditionalFormatting>
  <conditionalFormatting sqref="A445 C462:D462 C464:D466">
    <cfRule type="expression" priority="709" aboveAverage="0" equalAverage="0" bottom="0" percent="0" rank="0" text="" dxfId="719">
      <formula>$F445:F2284="pp"</formula>
    </cfRule>
  </conditionalFormatting>
  <conditionalFormatting sqref="E762">
    <cfRule type="expression" priority="710" aboveAverage="0" equalAverage="0" bottom="0" percent="0" rank="0" text="" dxfId="720">
      <formula>$F762:I2288="pp"</formula>
    </cfRule>
  </conditionalFormatting>
  <conditionalFormatting sqref="L200">
    <cfRule type="expression" priority="711" aboveAverage="0" equalAverage="0" bottom="0" percent="0" rank="0" text="" dxfId="721">
      <formula>$F200:Q2264="pp"</formula>
    </cfRule>
  </conditionalFormatting>
  <conditionalFormatting sqref="L445">
    <cfRule type="expression" priority="712" aboveAverage="0" equalAverage="0" bottom="0" percent="0" rank="0" text="" dxfId="722">
      <formula>$F445:Q2266="pp"</formula>
    </cfRule>
  </conditionalFormatting>
  <conditionalFormatting sqref="L497">
    <cfRule type="expression" priority="713" aboveAverage="0" equalAverage="0" bottom="0" percent="0" rank="0" text="" dxfId="723">
      <formula>$F497:Q2273="pp"</formula>
    </cfRule>
  </conditionalFormatting>
  <conditionalFormatting sqref="M445:N445">
    <cfRule type="expression" priority="714" aboveAverage="0" equalAverage="0" bottom="0" percent="0" rank="0" text="" dxfId="724">
      <formula>$F445:R2303="pp"</formula>
    </cfRule>
  </conditionalFormatting>
  <conditionalFormatting sqref="C596:D596 B566:B569 L566:L569 J566:J569">
    <cfRule type="expression" priority="715" aboveAverage="0" equalAverage="0" bottom="0" percent="0" rank="0" text="" dxfId="725">
      <formula>$F566:G2282="pp"</formula>
    </cfRule>
  </conditionalFormatting>
  <conditionalFormatting sqref="O574 E566:E569">
    <cfRule type="expression" priority="716" aboveAverage="0" equalAverage="0" bottom="0" percent="0" rank="0" text="" dxfId="726">
      <formula>$F566:I2292="pp"</formula>
    </cfRule>
  </conditionalFormatting>
  <conditionalFormatting sqref="E905 F1228:F1230">
    <cfRule type="expression" priority="717" aboveAverage="0" equalAverage="0" bottom="0" percent="0" rank="0" text="" dxfId="727">
      <formula>$F905:I2301="pp"</formula>
    </cfRule>
  </conditionalFormatting>
  <conditionalFormatting sqref="J911">
    <cfRule type="expression" priority="718" aboveAverage="0" equalAverage="0" bottom="0" percent="0" rank="0" text="" dxfId="728">
      <formula>$F911:O2274="pp"</formula>
    </cfRule>
  </conditionalFormatting>
  <conditionalFormatting sqref="J910">
    <cfRule type="expression" priority="719" aboveAverage="0" equalAverage="0" bottom="0" percent="0" rank="0" text="" dxfId="729">
      <formula>$F910:O2277="pp"</formula>
    </cfRule>
  </conditionalFormatting>
  <conditionalFormatting sqref="C908:D908">
    <cfRule type="expression" priority="720" aboveAverage="0" equalAverage="0" bottom="0" percent="0" rank="0" text="" dxfId="730">
      <formula>$F908:H2336="pp"</formula>
    </cfRule>
  </conditionalFormatting>
  <conditionalFormatting sqref="F479">
    <cfRule type="expression" priority="721" aboveAverage="0" equalAverage="0" bottom="0" percent="0" rank="0" text="" dxfId="731">
      <formula>$F479:J2309="pp"</formula>
    </cfRule>
  </conditionalFormatting>
  <conditionalFormatting sqref="O305">
    <cfRule type="expression" priority="722" aboveAverage="0" equalAverage="0" bottom="0" percent="0" rank="0" text="" dxfId="732">
      <formula>$F305:S2286="pp"</formula>
    </cfRule>
  </conditionalFormatting>
  <conditionalFormatting sqref="L149">
    <cfRule type="expression" priority="723" aboveAverage="0" equalAverage="0" bottom="0" percent="0" rank="0" text="" dxfId="733">
      <formula>$F149:Q2276="pp"</formula>
    </cfRule>
  </conditionalFormatting>
  <conditionalFormatting sqref="O149">
    <cfRule type="expression" priority="724" aboveAverage="0" equalAverage="0" bottom="0" percent="0" rank="0" text="" dxfId="734">
      <formula>$F149:S2276="pp"</formula>
    </cfRule>
  </conditionalFormatting>
  <conditionalFormatting sqref="F783 F575:F588 F617:F622 F631:F662 F753:F770 F853 F856:F857 E524:E526">
    <cfRule type="expression" priority="725" aboveAverage="0" equalAverage="0" bottom="0" percent="0" rank="0" text="" dxfId="735">
      <formula>$F524:I2282="pp"</formula>
    </cfRule>
  </conditionalFormatting>
  <conditionalFormatting sqref="C303:D303">
    <cfRule type="expression" priority="726" aboveAverage="0" equalAverage="0" bottom="0" percent="0" rank="0" text="" dxfId="736">
      <formula>$F303:H2327="pp"</formula>
    </cfRule>
  </conditionalFormatting>
  <conditionalFormatting sqref="C610:D610">
    <cfRule type="expression" priority="727" aboveAverage="0" equalAverage="0" bottom="0" percent="0" rank="0" text="" dxfId="737">
      <formula>$F610:H2311="pp"</formula>
    </cfRule>
  </conditionalFormatting>
  <conditionalFormatting sqref="F325">
    <cfRule type="expression" priority="728" aboveAverage="0" equalAverage="0" bottom="0" percent="0" rank="0" text="" dxfId="738">
      <formula>$F325:J2322="pp"</formula>
    </cfRule>
  </conditionalFormatting>
  <conditionalFormatting sqref="E805">
    <cfRule type="expression" priority="729" aboveAverage="0" equalAverage="0" bottom="0" percent="0" rank="0" text="" dxfId="739">
      <formula>$F805:I2295="pp"</formula>
    </cfRule>
  </conditionalFormatting>
  <conditionalFormatting sqref="L275">
    <cfRule type="expression" priority="730" aboveAverage="0" equalAverage="0" bottom="0" percent="0" rank="0" text="" dxfId="740">
      <formula>$F275:Q2287="pp"</formula>
    </cfRule>
  </conditionalFormatting>
  <conditionalFormatting sqref="E780">
    <cfRule type="expression" priority="731" aboveAverage="0" equalAverage="0" bottom="0" percent="0" rank="0" text="" dxfId="741">
      <formula>$F780:I2284="pp"</formula>
    </cfRule>
  </conditionalFormatting>
  <conditionalFormatting sqref="E193">
    <cfRule type="expression" priority="732" aboveAverage="0" equalAverage="0" bottom="0" percent="0" rank="0" text="" dxfId="742">
      <formula>$F193:I2243="pp"</formula>
    </cfRule>
  </conditionalFormatting>
  <conditionalFormatting sqref="F499">
    <cfRule type="expression" priority="733" aboveAverage="0" equalAverage="0" bottom="0" percent="0" rank="0" text="" dxfId="743">
      <formula>$F499:J2312="pp"</formula>
    </cfRule>
  </conditionalFormatting>
  <conditionalFormatting sqref="F340">
    <cfRule type="expression" priority="734" aboveAverage="0" equalAverage="0" bottom="0" percent="0" rank="0" text="" dxfId="744">
      <formula>$F340:J2334="pp"</formula>
    </cfRule>
  </conditionalFormatting>
  <conditionalFormatting sqref="F843">
    <cfRule type="expression" priority="735" aboveAverage="0" equalAverage="0" bottom="0" percent="0" rank="0" text="" dxfId="745">
      <formula>$F843:J2604="pp"</formula>
    </cfRule>
  </conditionalFormatting>
  <conditionalFormatting sqref="G777:I777 E787:E802">
    <cfRule type="expression" priority="736" aboveAverage="0" equalAverage="0" bottom="0" percent="0" rank="0" text="" dxfId="746">
      <formula>$F777:I2280="pp"</formula>
    </cfRule>
  </conditionalFormatting>
  <conditionalFormatting sqref="L194">
    <cfRule type="expression" priority="737" aboveAverage="0" equalAverage="0" bottom="0" percent="0" rank="0" text="" dxfId="747">
      <formula>$F194:Q2226="pp"</formula>
    </cfRule>
  </conditionalFormatting>
  <conditionalFormatting sqref="L456">
    <cfRule type="expression" priority="738" aboveAverage="0" equalAverage="0" bottom="0" percent="0" rank="0" text="" dxfId="748">
      <formula>$F456:Q2282="pp"</formula>
    </cfRule>
  </conditionalFormatting>
  <conditionalFormatting sqref="C676:D676">
    <cfRule type="expression" priority="739" aboveAverage="0" equalAverage="0" bottom="0" percent="0" rank="0" text="" dxfId="749">
      <formula>$F676:H2307="pp"</formula>
    </cfRule>
  </conditionalFormatting>
  <conditionalFormatting sqref="E806">
    <cfRule type="expression" priority="740" aboveAverage="0" equalAverage="0" bottom="0" percent="0" rank="0" text="" dxfId="750">
      <formula>$F806:I2293="pp"</formula>
    </cfRule>
  </conditionalFormatting>
  <conditionalFormatting sqref="C427:D427">
    <cfRule type="expression" priority="741" aboveAverage="0" equalAverage="0" bottom="0" percent="0" rank="0" text="" dxfId="751">
      <formula>$F427:H2306="pp"</formula>
    </cfRule>
  </conditionalFormatting>
  <conditionalFormatting sqref="F868">
    <cfRule type="expression" priority="742" aboveAverage="0" equalAverage="0" bottom="0" percent="0" rank="0" text="" dxfId="752">
      <formula>$F868:J2637="pp"</formula>
    </cfRule>
  </conditionalFormatting>
  <conditionalFormatting sqref="E577 F872:F873 G570:I571">
    <cfRule type="expression" priority="743" aboveAverage="0" equalAverage="0" bottom="0" percent="0" rank="0" text="" dxfId="753">
      <formula>$F570:I2285="pp"</formula>
    </cfRule>
  </conditionalFormatting>
  <conditionalFormatting sqref="E808">
    <cfRule type="expression" priority="744" aboveAverage="0" equalAverage="0" bottom="0" percent="0" rank="0" text="" dxfId="754">
      <formula>$F808:I2295="pp"</formula>
    </cfRule>
  </conditionalFormatting>
  <conditionalFormatting sqref="G400:I400">
    <cfRule type="expression" priority="745" aboveAverage="0" equalAverage="0" bottom="0" percent="0" rank="0" text="" dxfId="755">
      <formula>$F400:K2507="pp"</formula>
    </cfRule>
  </conditionalFormatting>
  <conditionalFormatting sqref="F290">
    <cfRule type="expression" priority="746" aboveAverage="0" equalAverage="0" bottom="0" percent="0" rank="0" text="" dxfId="756">
      <formula>$F290:J2334="pp"</formula>
    </cfRule>
  </conditionalFormatting>
  <conditionalFormatting sqref="C429:D429">
    <cfRule type="expression" priority="747" aboveAverage="0" equalAverage="0" bottom="0" percent="0" rank="0" text="" dxfId="757">
      <formula>$F429:H2308="pp"</formula>
    </cfRule>
  </conditionalFormatting>
  <conditionalFormatting sqref="J457">
    <cfRule type="expression" priority="748" aboveAverage="0" equalAverage="0" bottom="0" percent="0" rank="0" text="" dxfId="758">
      <formula>$F457:O2282="pp"</formula>
    </cfRule>
  </conditionalFormatting>
  <conditionalFormatting sqref="L577">
    <cfRule type="expression" priority="749" aboveAverage="0" equalAverage="0" bottom="0" percent="0" rank="0" text="" dxfId="759">
      <formula>$F577:Q2282="pp"</formula>
    </cfRule>
  </conditionalFormatting>
  <conditionalFormatting sqref="M457:N457">
    <cfRule type="expression" priority="750" aboveAverage="0" equalAverage="0" bottom="0" percent="0" rank="0" text="" dxfId="760">
      <formula>$F457:R2319="pp"</formula>
    </cfRule>
  </conditionalFormatting>
  <conditionalFormatting sqref="F847">
    <cfRule type="expression" priority="751" aboveAverage="0" equalAverage="0" bottom="0" percent="0" rank="0" text="" dxfId="761">
      <formula>$F847:J2608="pp"</formula>
    </cfRule>
  </conditionalFormatting>
  <conditionalFormatting sqref="J909">
    <cfRule type="expression" priority="752" aboveAverage="0" equalAverage="0" bottom="0" percent="0" rank="0" text="" dxfId="762">
      <formula>$F909:O2282="pp"</formula>
    </cfRule>
  </conditionalFormatting>
  <conditionalFormatting sqref="F181">
    <cfRule type="expression" priority="753" aboveAverage="0" equalAverage="0" bottom="0" percent="0" rank="0" text="" dxfId="763">
      <formula>$F181:J2286="pp"</formula>
    </cfRule>
  </conditionalFormatting>
  <conditionalFormatting sqref="E861 G836:I839">
    <cfRule type="expression" priority="754" aboveAverage="0" equalAverage="0" bottom="0" percent="0" rank="0" text="" dxfId="764">
      <formula>$F836:I2286="pp"</formula>
    </cfRule>
  </conditionalFormatting>
  <conditionalFormatting sqref="M270:N270">
    <cfRule type="expression" priority="755" aboveAverage="0" equalAverage="0" bottom="0" percent="0" rank="0" text="" dxfId="765">
      <formula>$F270:R2309="pp"</formula>
    </cfRule>
  </conditionalFormatting>
  <conditionalFormatting sqref="M479:N479">
    <cfRule type="expression" priority="756" aboveAverage="0" equalAverage="0" bottom="0" percent="0" rank="0" text="" dxfId="766">
      <formula>$F479:R2307="pp"</formula>
    </cfRule>
  </conditionalFormatting>
  <conditionalFormatting sqref="K897">
    <cfRule type="expression" priority="757" aboveAverage="0" equalAverage="0" bottom="0" percent="0" rank="0" text="" dxfId="767">
      <formula>$F897:P2322="pp"</formula>
    </cfRule>
  </conditionalFormatting>
  <conditionalFormatting sqref="J897">
    <cfRule type="expression" priority="758" aboveAverage="0" equalAverage="0" bottom="0" percent="0" rank="0" text="" dxfId="768">
      <formula>$F897:O2285="pp"</formula>
    </cfRule>
  </conditionalFormatting>
  <conditionalFormatting sqref="Q897">
    <cfRule type="expression" priority="759" aboveAverage="0" equalAverage="0" bottom="0" percent="0" rank="0" text="" dxfId="769">
      <formula>$F897:T2313="pp"</formula>
    </cfRule>
  </conditionalFormatting>
  <conditionalFormatting sqref="E809">
    <cfRule type="expression" priority="760" aboveAverage="0" equalAverage="0" bottom="0" percent="0" rank="0" text="" dxfId="770">
      <formula>$F809:I2299="pp"</formula>
    </cfRule>
  </conditionalFormatting>
  <conditionalFormatting sqref="K479 B440:B441 B446:B454 L440:L441 J446:J454 L446:L454 J440:J441">
    <cfRule type="expression" priority="761" aboveAverage="0" equalAverage="0" bottom="0" percent="0" rank="0" text="" dxfId="771">
      <formula>$F440:G2268="pp"</formula>
    </cfRule>
  </conditionalFormatting>
  <conditionalFormatting sqref="E807">
    <cfRule type="expression" priority="762" aboveAverage="0" equalAverage="0" bottom="0" percent="0" rank="0" text="" dxfId="772">
      <formula>$F807:I2297="pp"</formula>
    </cfRule>
  </conditionalFormatting>
  <conditionalFormatting sqref="F845">
    <cfRule type="expression" priority="763" aboveAverage="0" equalAverage="0" bottom="0" percent="0" rank="0" text="" dxfId="773">
      <formula>$F845:J2606="pp"</formula>
    </cfRule>
  </conditionalFormatting>
  <conditionalFormatting sqref="L596">
    <cfRule type="expression" priority="764" aboveAverage="0" equalAverage="0" bottom="0" percent="0" rank="0" text="" dxfId="774">
      <formula>$F596:Q2278="pp"</formula>
    </cfRule>
  </conditionalFormatting>
  <conditionalFormatting sqref="E282">
    <cfRule type="expression" priority="765" aboveAverage="0" equalAverage="0" bottom="0" percent="0" rank="0" text="" dxfId="775">
      <formula>$F282:I2299="pp"</formula>
    </cfRule>
  </conditionalFormatting>
  <conditionalFormatting sqref="O400">
    <cfRule type="expression" priority="766" aboveAverage="0" equalAverage="0" bottom="0" percent="0" rank="0" text="" dxfId="776">
      <formula>$F400:S2507="pp"</formula>
    </cfRule>
  </conditionalFormatting>
  <conditionalFormatting sqref="F179">
    <cfRule type="expression" priority="767" aboveAverage="0" equalAverage="0" bottom="0" percent="0" rank="0" text="" dxfId="777">
      <formula>$F179:J2284="pp"</formula>
    </cfRule>
  </conditionalFormatting>
  <conditionalFormatting sqref="F794">
    <cfRule type="expression" priority="768" aboveAverage="0" equalAverage="0" bottom="0" percent="0" rank="0" text="" dxfId="778">
      <formula>$F794:J2554="pp"</formula>
    </cfRule>
  </conditionalFormatting>
  <conditionalFormatting sqref="O897">
    <cfRule type="expression" priority="769" aboveAverage="0" equalAverage="0" bottom="0" percent="0" rank="0" text="" dxfId="779">
      <formula>$F897:S2300="pp"</formula>
    </cfRule>
  </conditionalFormatting>
  <conditionalFormatting sqref="C861:D861">
    <cfRule type="expression" priority="770" aboveAverage="0" equalAverage="0" bottom="0" percent="0" rank="0" text="" dxfId="780">
      <formula>$F861:H2345="pp"</formula>
    </cfRule>
  </conditionalFormatting>
  <conditionalFormatting sqref="F882">
    <cfRule type="expression" priority="771" aboveAverage="0" equalAverage="0" bottom="0" percent="0" rank="0" text="" dxfId="781">
      <formula>$F882:J2605="pp"</formula>
    </cfRule>
  </conditionalFormatting>
  <conditionalFormatting sqref="F883">
    <cfRule type="expression" priority="772" aboveAverage="0" equalAverage="0" bottom="0" percent="0" rank="0" text="" dxfId="782">
      <formula>$F883:J2597="pp"</formula>
    </cfRule>
  </conditionalFormatting>
  <conditionalFormatting sqref="G909:I909">
    <cfRule type="expression" priority="773" aboveAverage="0" equalAverage="0" bottom="0" percent="0" rank="0" text="" dxfId="783">
      <formula>$F909:K2282="pp"</formula>
    </cfRule>
  </conditionalFormatting>
  <conditionalFormatting sqref="C680:D680">
    <cfRule type="expression" priority="774" aboveAverage="0" equalAverage="0" bottom="0" percent="0" rank="0" text="" dxfId="784">
      <formula>$F680:H2311="pp"</formula>
    </cfRule>
  </conditionalFormatting>
  <conditionalFormatting sqref="M949:N949 C965:D971">
    <cfRule type="expression" priority="775" aboveAverage="0" equalAverage="0" bottom="0" percent="0" rank="0" text="" dxfId="785">
      <formula>$F949:H2319="pp"</formula>
    </cfRule>
  </conditionalFormatting>
  <conditionalFormatting sqref="C272:D272">
    <cfRule type="expression" priority="776" aboveAverage="0" equalAverage="0" bottom="0" percent="0" rank="0" text="" dxfId="786">
      <formula>$F272:H2321="pp"</formula>
    </cfRule>
  </conditionalFormatting>
  <conditionalFormatting sqref="F797">
    <cfRule type="expression" priority="777" aboveAverage="0" equalAverage="0" bottom="0" percent="0" rank="0" text="" dxfId="787">
      <formula>$F797:J2553="pp"</formula>
    </cfRule>
  </conditionalFormatting>
  <conditionalFormatting sqref="F792">
    <cfRule type="expression" priority="778" aboveAverage="0" equalAverage="0" bottom="0" percent="0" rank="0" text="" dxfId="788">
      <formula>$F792:J2552="pp"</formula>
    </cfRule>
  </conditionalFormatting>
  <conditionalFormatting sqref="M664:N664">
    <cfRule type="expression" priority="779" aboveAverage="0" equalAverage="0" bottom="0" percent="0" rank="0" text="" dxfId="789">
      <formula>$F664:R2307="pp"</formula>
    </cfRule>
  </conditionalFormatting>
  <conditionalFormatting sqref="J949">
    <cfRule type="expression" priority="780" aboveAverage="0" equalAverage="0" bottom="0" percent="0" rank="0" text="" dxfId="790">
      <formula>$F949:O2282="pp"</formula>
    </cfRule>
  </conditionalFormatting>
  <conditionalFormatting sqref="G574:I574">
    <cfRule type="expression" priority="781" aboveAverage="0" equalAverage="0" bottom="0" percent="0" rank="0" text="" dxfId="791">
      <formula>$F574:K2285="pp"</formula>
    </cfRule>
  </conditionalFormatting>
  <conditionalFormatting sqref="F871">
    <cfRule type="expression" priority="782" aboveAverage="0" equalAverage="0" bottom="0" percent="0" rank="0" text="" dxfId="792">
      <formula>$F871:J2599="pp"</formula>
    </cfRule>
  </conditionalFormatting>
  <conditionalFormatting sqref="O938 G919:I919">
    <cfRule type="expression" priority="783" aboveAverage="0" equalAverage="0" bottom="0" percent="0" rank="0" text="" dxfId="793">
      <formula>$F919:K2280="pp"</formula>
    </cfRule>
  </conditionalFormatting>
  <conditionalFormatting sqref="K938">
    <cfRule type="expression" priority="784" aboveAverage="0" equalAverage="0" bottom="0" percent="0" rank="0" text="" dxfId="794">
      <formula>$F938:P2321="pp"</formula>
    </cfRule>
  </conditionalFormatting>
  <conditionalFormatting sqref="Q938">
    <cfRule type="expression" priority="785" aboveAverage="0" equalAverage="0" bottom="0" percent="0" rank="0" text="" dxfId="795">
      <formula>$F938:T2312="pp"</formula>
    </cfRule>
  </conditionalFormatting>
  <conditionalFormatting sqref="C909:D909">
    <cfRule type="expression" priority="786" aboveAverage="0" equalAverage="0" bottom="0" percent="0" rank="0" text="" dxfId="796">
      <formula>$F909:H2333="pp"</formula>
    </cfRule>
  </conditionalFormatting>
  <conditionalFormatting sqref="J938">
    <cfRule type="expression" priority="787" aboveAverage="0" equalAverage="0" bottom="0" percent="0" rank="0" text="" dxfId="797">
      <formula>$F938:O2284="pp"</formula>
    </cfRule>
  </conditionalFormatting>
  <conditionalFormatting sqref="C920:D920 B922:B924 L922:L924 K916:K918 M916:N918 K909:K912 M909:N912 J922:J924">
    <cfRule type="expression" priority="788" aboveAverage="0" equalAverage="0" bottom="0" percent="0" rank="0" text="" dxfId="798">
      <formula>$F909:G2319="pp"</formula>
    </cfRule>
  </conditionalFormatting>
  <conditionalFormatting sqref="K921 J881:J882 B881:B882 L881:L882">
    <cfRule type="expression" priority="789" aboveAverage="0" equalAverage="0" bottom="0" percent="0" rank="0" text="" dxfId="799">
      <formula>$F881:G2285="pp"</formula>
    </cfRule>
  </conditionalFormatting>
  <conditionalFormatting sqref="E897 G881:I882">
    <cfRule type="expression" priority="790" aboveAverage="0" equalAverage="0" bottom="0" percent="0" rank="0" text="" dxfId="800">
      <formula>$F881:I2285="pp"</formula>
    </cfRule>
  </conditionalFormatting>
  <conditionalFormatting sqref="L949">
    <cfRule type="expression" priority="791" aboveAverage="0" equalAverage="0" bottom="0" percent="0" rank="0" text="" dxfId="801">
      <formula>$F949:Q2282="pp"</formula>
    </cfRule>
  </conditionalFormatting>
  <conditionalFormatting sqref="M921:N921">
    <cfRule type="expression" priority="792" aboveAverage="0" equalAverage="0" bottom="0" percent="0" rank="0" text="" dxfId="802">
      <formula>$F921:R2324="pp"</formula>
    </cfRule>
  </conditionalFormatting>
  <conditionalFormatting sqref="O921">
    <cfRule type="expression" priority="793" aboveAverage="0" equalAverage="0" bottom="0" percent="0" rank="0" text="" dxfId="803">
      <formula>$F921:S2302="pp"</formula>
    </cfRule>
  </conditionalFormatting>
  <conditionalFormatting sqref="Q921">
    <cfRule type="expression" priority="794" aboveAverage="0" equalAverage="0" bottom="0" percent="0" rank="0" text="" dxfId="804">
      <formula>$F921:T2315="pp"</formula>
    </cfRule>
  </conditionalFormatting>
  <conditionalFormatting sqref="F849">
    <cfRule type="expression" priority="795" aboveAverage="0" equalAverage="0" bottom="0" percent="0" rank="0" text="" dxfId="805">
      <formula>$F849:J2612="pp"</formula>
    </cfRule>
  </conditionalFormatting>
  <conditionalFormatting sqref="F920">
    <cfRule type="expression" priority="796" aboveAverage="0" equalAverage="0" bottom="0" percent="0" rank="0" text="" dxfId="806">
      <formula>$F920:J2618="pp"</formula>
    </cfRule>
  </conditionalFormatting>
  <conditionalFormatting sqref="F919">
    <cfRule type="expression" priority="797" aboveAverage="0" equalAverage="0" bottom="0" percent="0" rank="0" text="" dxfId="807">
      <formula>$F919:J2618="pp"</formula>
    </cfRule>
  </conditionalFormatting>
  <conditionalFormatting sqref="K920">
    <cfRule type="expression" priority="798" aboveAverage="0" equalAverage="0" bottom="0" percent="0" rank="0" text="" dxfId="808">
      <formula>$F920:P2328="pp"</formula>
    </cfRule>
  </conditionalFormatting>
  <conditionalFormatting sqref="Q920">
    <cfRule type="expression" priority="799" aboveAverage="0" equalAverage="0" bottom="0" percent="0" rank="0" text="" dxfId="809">
      <formula>$F920:T2319="pp"</formula>
    </cfRule>
  </conditionalFormatting>
  <conditionalFormatting sqref="J920">
    <cfRule type="expression" priority="800" aboveAverage="0" equalAverage="0" bottom="0" percent="0" rank="0" text="" dxfId="810">
      <formula>$F920:O2280="pp"</formula>
    </cfRule>
  </conditionalFormatting>
  <conditionalFormatting sqref="K919 B872:B873 L872:L873 J872:J873">
    <cfRule type="expression" priority="801" aboveAverage="0" equalAverage="0" bottom="0" percent="0" rank="0" text="" dxfId="811">
      <formula>$F872:G2281="pp"</formula>
    </cfRule>
  </conditionalFormatting>
  <conditionalFormatting sqref="Q919">
    <cfRule type="expression" priority="802" aboveAverage="0" equalAverage="0" bottom="0" percent="0" rank="0" text="" dxfId="812">
      <formula>$F919:T2319="pp"</formula>
    </cfRule>
  </conditionalFormatting>
  <conditionalFormatting sqref="G938:I938 F1280:F1284">
    <cfRule type="expression" priority="803" aboveAverage="0" equalAverage="0" bottom="0" percent="0" rank="0" text="" dxfId="813">
      <formula>$F938:J2284="pp"</formula>
    </cfRule>
  </conditionalFormatting>
  <conditionalFormatting sqref="L919">
    <cfRule type="expression" priority="804" aboveAverage="0" equalAverage="0" bottom="0" percent="0" rank="0" text="" dxfId="814">
      <formula>$F919:Q2280="pp"</formula>
    </cfRule>
  </conditionalFormatting>
  <conditionalFormatting sqref="C1036:D1036">
    <cfRule type="expression" priority="805" aboveAverage="0" equalAverage="0" bottom="0" percent="0" rank="0" text="" dxfId="815">
      <formula>$F1036:H2347="pp"</formula>
    </cfRule>
  </conditionalFormatting>
  <conditionalFormatting sqref="A663">
    <cfRule type="expression" priority="806" aboveAverage="0" equalAverage="0" bottom="0" percent="0" rank="0" text="" dxfId="816">
      <formula>$F663:F2291="pp"</formula>
    </cfRule>
  </conditionalFormatting>
  <conditionalFormatting sqref="E943 O927:O931 E932:E941">
    <cfRule type="expression" priority="807" aboveAverage="0" equalAverage="0" bottom="0" percent="0" rank="0" text="" dxfId="817">
      <formula>$F927:I2292="pp"</formula>
    </cfRule>
  </conditionalFormatting>
  <conditionalFormatting sqref="F1270 F1277:F1279">
    <cfRule type="expression" priority="808" aboveAverage="0" equalAverage="0" bottom="0" percent="0" rank="0" text="" dxfId="818">
      <formula>$F1270:J2625="pp"</formula>
    </cfRule>
  </conditionalFormatting>
  <conditionalFormatting sqref="M919:N919">
    <cfRule type="expression" priority="809" aboveAverage="0" equalAverage="0" bottom="0" percent="0" rank="0" text="" dxfId="819">
      <formula>$F919:R2328="pp"</formula>
    </cfRule>
  </conditionalFormatting>
  <conditionalFormatting sqref="E1026 O1031:O1032 E1020:E1024">
    <cfRule type="expression" priority="810" aboveAverage="0" equalAverage="0" bottom="0" percent="0" rank="0" text="" dxfId="820">
      <formula>$F1020:I2294="pp"</formula>
    </cfRule>
  </conditionalFormatting>
  <conditionalFormatting sqref="C988:D988">
    <cfRule type="expression" priority="811" aboveAverage="0" equalAverage="0" bottom="0" percent="0" rank="0" text="" dxfId="821">
      <formula>$F988:H2348="pp"</formula>
    </cfRule>
  </conditionalFormatting>
  <conditionalFormatting sqref="G897:I897 O916:O918 O909:O912 F1238:F1263">
    <cfRule type="expression" priority="812" aboveAverage="0" equalAverage="0" bottom="0" percent="0" rank="0" text="" dxfId="822">
      <formula>$F897:J2285="pp"</formula>
    </cfRule>
  </conditionalFormatting>
  <conditionalFormatting sqref="L909">
    <cfRule type="expression" priority="813" aboveAverage="0" equalAverage="0" bottom="0" percent="0" rank="0" text="" dxfId="823">
      <formula>$F909:Q2282="pp"</formula>
    </cfRule>
  </conditionalFormatting>
  <conditionalFormatting sqref="F800">
    <cfRule type="expression" priority="814" aboveAverage="0" equalAverage="0" bottom="0" percent="0" rank="0" text="" dxfId="824">
      <formula>$F800:J2560="pp"</formula>
    </cfRule>
  </conditionalFormatting>
  <conditionalFormatting sqref="A684 C689:D691">
    <cfRule type="expression" priority="815" aboveAverage="0" equalAverage="0" bottom="0" percent="0" rank="0" text="" dxfId="825">
      <formula>$F684:F2304="pp"</formula>
    </cfRule>
  </conditionalFormatting>
  <conditionalFormatting sqref="F870">
    <cfRule type="expression" priority="816" aboveAverage="0" equalAverage="0" bottom="0" percent="0" rank="0" text="" dxfId="826">
      <formula>$F870:J2639="pp"</formula>
    </cfRule>
  </conditionalFormatting>
  <conditionalFormatting sqref="F798">
    <cfRule type="expression" priority="817" aboveAverage="0" equalAverage="0" bottom="0" percent="0" rank="0" text="" dxfId="827">
      <formula>$F798:J2558="pp"</formula>
    </cfRule>
  </conditionalFormatting>
  <conditionalFormatting sqref="E944">
    <cfRule type="expression" priority="818" aboveAverage="0" equalAverage="0" bottom="0" percent="0" rank="0" text="" dxfId="828">
      <formula>$F944:I2302="pp"</formula>
    </cfRule>
  </conditionalFormatting>
  <conditionalFormatting sqref="E945">
    <cfRule type="expression" priority="819" aboveAverage="0" equalAverage="0" bottom="0" percent="0" rank="0" text="" dxfId="829">
      <formula>$F945:I2310="pp"</formula>
    </cfRule>
  </conditionalFormatting>
  <conditionalFormatting sqref="M920:N920">
    <cfRule type="expression" priority="820" aboveAverage="0" equalAverage="0" bottom="0" percent="0" rank="0" text="" dxfId="830">
      <formula>$F920:R2328="pp"</formula>
    </cfRule>
  </conditionalFormatting>
  <conditionalFormatting sqref="L897">
    <cfRule type="expression" priority="821" aboveAverage="0" equalAverage="0" bottom="0" percent="0" rank="0" text="" dxfId="831">
      <formula>$F897:Q2285="pp"</formula>
    </cfRule>
  </conditionalFormatting>
  <conditionalFormatting sqref="O271">
    <cfRule type="expression" priority="822" aboveAverage="0" equalAverage="0" bottom="0" percent="0" rank="0" text="" dxfId="832">
      <formula>$F271:S2287="pp"</formula>
    </cfRule>
  </conditionalFormatting>
  <conditionalFormatting sqref="C612:D612">
    <cfRule type="expression" priority="823" aboveAverage="0" equalAverage="0" bottom="0" percent="0" rank="0" text="" dxfId="833">
      <formula>$F612:H2313="pp"</formula>
    </cfRule>
  </conditionalFormatting>
  <conditionalFormatting sqref="B445 J445">
    <cfRule type="expression" priority="824" aboveAverage="0" equalAverage="0" bottom="0" percent="0" rank="0" text="" dxfId="834">
      <formula>$F445:G2266="pp"</formula>
    </cfRule>
  </conditionalFormatting>
  <conditionalFormatting sqref="F796">
    <cfRule type="expression" priority="825" aboveAverage="0" equalAverage="0" bottom="0" percent="0" rank="0" text="" dxfId="835">
      <formula>$F796:J2556="pp"</formula>
    </cfRule>
  </conditionalFormatting>
  <conditionalFormatting sqref="F799">
    <cfRule type="expression" priority="826" aboveAverage="0" equalAverage="0" bottom="0" percent="0" rank="0" text="" dxfId="836">
      <formula>$F799:J2555="pp"</formula>
    </cfRule>
  </conditionalFormatting>
  <conditionalFormatting sqref="F877">
    <cfRule type="expression" priority="827" aboveAverage="0" equalAverage="0" bottom="0" percent="0" rank="0" text="" dxfId="837">
      <formula>$F877:J2601="pp"</formula>
    </cfRule>
  </conditionalFormatting>
  <conditionalFormatting sqref="L457">
    <cfRule type="expression" priority="828" aboveAverage="0" equalAverage="0" bottom="0" percent="0" rank="0" text="" dxfId="838">
      <formula>$F457:Q2282="pp"</formula>
    </cfRule>
  </conditionalFormatting>
  <conditionalFormatting sqref="K626 K631:K633 M631:N633">
    <cfRule type="expression" priority="829" aboveAverage="0" equalAverage="0" bottom="0" percent="0" rank="0" text="" dxfId="839">
      <formula>$F626:P2309="pp"</formula>
    </cfRule>
  </conditionalFormatting>
  <conditionalFormatting sqref="G982:I982 E994:E1000 O1001:O1003">
    <cfRule type="expression" priority="830" aboveAverage="0" equalAverage="0" bottom="0" percent="0" rank="0" text="" dxfId="840">
      <formula>$F982:I2284="pp"</formula>
    </cfRule>
  </conditionalFormatting>
  <conditionalFormatting sqref="E983">
    <cfRule type="expression" priority="831" aboveAverage="0" equalAverage="0" bottom="0" percent="0" rank="0" text="" dxfId="841">
      <formula>$F983:I2311="pp"</formula>
    </cfRule>
  </conditionalFormatting>
  <conditionalFormatting sqref="B984">
    <cfRule type="expression" priority="832" aboveAverage="0" equalAverage="0" bottom="0" percent="0" rank="0" text="" dxfId="842">
      <formula>$F984:G2284="pp"</formula>
    </cfRule>
  </conditionalFormatting>
  <conditionalFormatting sqref="L984">
    <cfRule type="expression" priority="833" aboveAverage="0" equalAverage="0" bottom="0" percent="0" rank="0" text="" dxfId="843">
      <formula>$F984:Q2284="pp"</formula>
    </cfRule>
  </conditionalFormatting>
  <conditionalFormatting sqref="L983">
    <cfRule type="expression" priority="834" aboveAverage="0" equalAverage="0" bottom="0" percent="0" rank="0" text="" dxfId="844">
      <formula>$F983:Q2284="pp"</formula>
    </cfRule>
  </conditionalFormatting>
  <conditionalFormatting sqref="J984">
    <cfRule type="expression" priority="835" aboveAverage="0" equalAverage="0" bottom="0" percent="0" rank="0" text="" dxfId="845">
      <formula>$F984:O2284="pp"</formula>
    </cfRule>
  </conditionalFormatting>
  <conditionalFormatting sqref="J983">
    <cfRule type="expression" priority="836" aboveAverage="0" equalAverage="0" bottom="0" percent="0" rank="0" text="" dxfId="846">
      <formula>$F983:O2284="pp"</formula>
    </cfRule>
  </conditionalFormatting>
  <conditionalFormatting sqref="C1035:D1035">
    <cfRule type="expression" priority="837" aboveAverage="0" equalAverage="0" bottom="0" percent="0" rank="0" text="" dxfId="847">
      <formula>$F1035:H2339="pp"</formula>
    </cfRule>
  </conditionalFormatting>
  <conditionalFormatting sqref="J982">
    <cfRule type="expression" priority="838" aboveAverage="0" equalAverage="0" bottom="0" percent="0" rank="0" text="" dxfId="848">
      <formula>$F982:O2284="pp"</formula>
    </cfRule>
  </conditionalFormatting>
  <conditionalFormatting sqref="L921">
    <cfRule type="expression" priority="839" aboveAverage="0" equalAverage="0" bottom="0" percent="0" rank="0" text="" dxfId="849">
      <formula>$F921:Q2276="pp"</formula>
    </cfRule>
  </conditionalFormatting>
  <conditionalFormatting sqref="G910:I910 F1267:F1269 P1689:P1690">
    <cfRule type="expression" priority="840" aboveAverage="0" equalAverage="0" bottom="0" percent="0" rank="0" text="" dxfId="850">
      <formula>$F910:J2277="pp"</formula>
    </cfRule>
  </conditionalFormatting>
  <conditionalFormatting sqref="F988 G578:I582">
    <cfRule type="expression" priority="841" aboveAverage="0" equalAverage="0" bottom="0" percent="0" rank="0" text="" dxfId="851">
      <formula>$F578:J2274="pp"</formula>
    </cfRule>
  </conditionalFormatting>
  <conditionalFormatting sqref="G984:I984">
    <cfRule type="expression" priority="842" aboveAverage="0" equalAverage="0" bottom="0" percent="0" rank="0" text="" dxfId="852">
      <formula>$F984:K2284="pp"</formula>
    </cfRule>
  </conditionalFormatting>
  <conditionalFormatting sqref="F1039">
    <cfRule type="expression" priority="843" aboveAverage="0" equalAverage="0" bottom="0" percent="0" rank="0" text="" dxfId="853">
      <formula>$F1039:J2631="pp"</formula>
    </cfRule>
  </conditionalFormatting>
  <conditionalFormatting sqref="F1073">
    <cfRule type="expression" priority="844" aboveAverage="0" equalAverage="0" bottom="0" percent="0" rank="0" text="" dxfId="854">
      <formula>$F1073:J2627="pp"</formula>
    </cfRule>
  </conditionalFormatting>
  <conditionalFormatting sqref="L938">
    <cfRule type="expression" priority="845" aboveAverage="0" equalAverage="0" bottom="0" percent="0" rank="0" text="" dxfId="855">
      <formula>$F938:Q2284="pp"</formula>
    </cfRule>
  </conditionalFormatting>
  <conditionalFormatting sqref="L920">
    <cfRule type="expression" priority="846" aboveAverage="0" equalAverage="0" bottom="0" percent="0" rank="0" text="" dxfId="856">
      <formula>$F920:Q2280="pp"</formula>
    </cfRule>
  </conditionalFormatting>
  <conditionalFormatting sqref="F1296 E960:E964 O965:O971">
    <cfRule type="expression" priority="847" aboveAverage="0" equalAverage="0" bottom="0" percent="0" rank="0" text="" dxfId="857">
      <formula>$F960:I2295="pp"</formula>
    </cfRule>
  </conditionalFormatting>
  <conditionalFormatting sqref="E984">
    <cfRule type="expression" priority="848" aboveAverage="0" equalAverage="0" bottom="0" percent="0" rank="0" text="" dxfId="858">
      <formula>$F984:I2303="pp"</formula>
    </cfRule>
  </conditionalFormatting>
  <conditionalFormatting sqref="F292">
    <cfRule type="expression" priority="849" aboveAverage="0" equalAverage="0" bottom="0" percent="0" rank="0" text="" dxfId="859">
      <formula>$F292:J2336="pp"</formula>
    </cfRule>
  </conditionalFormatting>
  <conditionalFormatting sqref="L982">
    <cfRule type="expression" priority="850" aboveAverage="0" equalAverage="0" bottom="0" percent="0" rank="0" text="" dxfId="860">
      <formula>$F982:Q2284="pp"</formula>
    </cfRule>
  </conditionalFormatting>
  <conditionalFormatting sqref="C981:D981">
    <cfRule type="expression" priority="851" aboveAverage="0" equalAverage="0" bottom="0" percent="0" rank="0" text="" dxfId="861">
      <formula>$F981:H2344="pp"</formula>
    </cfRule>
  </conditionalFormatting>
  <conditionalFormatting sqref="B1073">
    <cfRule type="expression" priority="852" aboveAverage="0" equalAverage="0" bottom="0" percent="0" rank="0" text="" dxfId="862">
      <formula>$F1073:G2285="pp"</formula>
    </cfRule>
  </conditionalFormatting>
  <conditionalFormatting sqref="C1073:D1073">
    <cfRule type="expression" priority="853" aboveAverage="0" equalAverage="0" bottom="0" percent="0" rank="0" text="" dxfId="863">
      <formula>$F1073:H2335="pp"</formula>
    </cfRule>
  </conditionalFormatting>
  <conditionalFormatting sqref="E1073">
    <cfRule type="expression" priority="854" aboveAverage="0" equalAverage="0" bottom="0" percent="0" rank="0" text="" dxfId="864">
      <formula>$F1073:I2301="pp"</formula>
    </cfRule>
  </conditionalFormatting>
  <conditionalFormatting sqref="J1073">
    <cfRule type="expression" priority="855" aboveAverage="0" equalAverage="0" bottom="0" percent="0" rank="0" text="" dxfId="865">
      <formula>$F1073:O2285="pp"</formula>
    </cfRule>
  </conditionalFormatting>
  <conditionalFormatting sqref="K1073">
    <cfRule type="expression" priority="856" aboveAverage="0" equalAverage="0" bottom="0" percent="0" rank="0" text="" dxfId="866">
      <formula>$F1073:P2322="pp"</formula>
    </cfRule>
  </conditionalFormatting>
  <conditionalFormatting sqref="Q1073">
    <cfRule type="expression" priority="857" aboveAverage="0" equalAverage="0" bottom="0" percent="0" rank="0" text="" dxfId="867">
      <formula>$F1073:T2313="pp"</formula>
    </cfRule>
  </conditionalFormatting>
  <conditionalFormatting sqref="C1038:D1038">
    <cfRule type="expression" priority="858" aboveAverage="0" equalAverage="0" bottom="0" percent="0" rank="0" text="" dxfId="868">
      <formula>$F1038:H2349="pp"</formula>
    </cfRule>
  </conditionalFormatting>
  <conditionalFormatting sqref="C983:D983">
    <cfRule type="expression" priority="859" aboveAverage="0" equalAverage="0" bottom="0" percent="0" rank="0" text="" dxfId="869">
      <formula>$F983:H2346="pp"</formula>
    </cfRule>
  </conditionalFormatting>
  <conditionalFormatting sqref="F1049 G689:I691 O702:O705">
    <cfRule type="expression" priority="860" aboveAverage="0" equalAverage="0" bottom="0" percent="0" rank="0" text="" dxfId="870">
      <formula>$F689:J2275="pp"</formula>
    </cfRule>
  </conditionalFormatting>
  <conditionalFormatting sqref="L1025">
    <cfRule type="expression" priority="861" aboveAverage="0" equalAverage="0" bottom="0" percent="0" rank="0" text="" dxfId="871">
      <formula>$F1025:Q2282="pp"</formula>
    </cfRule>
  </conditionalFormatting>
  <conditionalFormatting sqref="F802">
    <cfRule type="expression" priority="862" aboveAverage="0" equalAverage="0" bottom="0" percent="0" rank="0" text="" dxfId="872">
      <formula>$F802:J2562="pp"</formula>
    </cfRule>
  </conditionalFormatting>
  <conditionalFormatting sqref="E494">
    <cfRule type="expression" priority="863" aboveAverage="0" equalAverage="0" bottom="0" percent="0" rank="0" text="" dxfId="873">
      <formula>$F494:I2283="pp"</formula>
    </cfRule>
  </conditionalFormatting>
  <conditionalFormatting sqref="C614:D614">
    <cfRule type="expression" priority="864" aboveAverage="0" equalAverage="0" bottom="0" percent="0" rank="0" text="" dxfId="874">
      <formula>$F614:H2315="pp"</formula>
    </cfRule>
  </conditionalFormatting>
  <conditionalFormatting sqref="C682:D682">
    <cfRule type="expression" priority="865" aboveAverage="0" equalAverage="0" bottom="0" percent="0" rank="0" text="" dxfId="875">
      <formula>$F682:H2313="pp"</formula>
    </cfRule>
  </conditionalFormatting>
  <conditionalFormatting sqref="F1050 O692:O696">
    <cfRule type="expression" priority="866" aboveAverage="0" equalAverage="0" bottom="0" percent="0" rank="0" text="" dxfId="876">
      <formula>$F692:J2285="pp"</formula>
    </cfRule>
  </conditionalFormatting>
  <conditionalFormatting sqref="B910">
    <cfRule type="expression" priority="867" aboveAverage="0" equalAverage="0" bottom="0" percent="0" rank="0" text="" dxfId="877">
      <formula>$F910:G2277="pp"</formula>
    </cfRule>
  </conditionalFormatting>
  <conditionalFormatting sqref="C1349:D1349">
    <cfRule type="expression" priority="868" aboveAverage="0" equalAverage="0" bottom="0" percent="0" rank="0" text="" dxfId="878">
      <formula>$F1349:H2310="pp"</formula>
    </cfRule>
  </conditionalFormatting>
  <conditionalFormatting sqref="G1044:I1044">
    <cfRule type="expression" priority="869" aboveAverage="0" equalAverage="0" bottom="0" percent="0" rank="0" text="" dxfId="879">
      <formula>$F1044:K2297="pp"</formula>
    </cfRule>
  </conditionalFormatting>
  <conditionalFormatting sqref="L1044">
    <cfRule type="expression" priority="870" aboveAverage="0" equalAverage="0" bottom="0" percent="0" rank="0" text="" dxfId="880">
      <formula>$F1044:Q2297="pp"</formula>
    </cfRule>
  </conditionalFormatting>
  <conditionalFormatting sqref="G1045:I1045">
    <cfRule type="expression" priority="871" aboveAverage="0" equalAverage="0" bottom="0" percent="0" rank="0" text="" dxfId="881">
      <formula>$F1045:K2297="pp"</formula>
    </cfRule>
  </conditionalFormatting>
  <conditionalFormatting sqref="G1046:I1046">
    <cfRule type="expression" priority="872" aboveAverage="0" equalAverage="0" bottom="0" percent="0" rank="0" text="" dxfId="882">
      <formula>$F1046:K2297="pp"</formula>
    </cfRule>
  </conditionalFormatting>
  <conditionalFormatting sqref="J1048">
    <cfRule type="expression" priority="873" aboveAverage="0" equalAverage="0" bottom="0" percent="0" rank="0" text="" dxfId="883">
      <formula>$F1048:O2297="pp"</formula>
    </cfRule>
  </conditionalFormatting>
  <conditionalFormatting sqref="F1048">
    <cfRule type="expression" priority="874" aboveAverage="0" equalAverage="0" bottom="0" percent="0" rank="0" text="" dxfId="884">
      <formula>$F1048:J2642="pp"</formula>
    </cfRule>
  </conditionalFormatting>
  <conditionalFormatting sqref="B1047">
    <cfRule type="expression" priority="875" aboveAverage="0" equalAverage="0" bottom="0" percent="0" rank="0" text="" dxfId="885">
      <formula>$F1047:G2297="pp"</formula>
    </cfRule>
  </conditionalFormatting>
  <conditionalFormatting sqref="J1047">
    <cfRule type="expression" priority="876" aboveAverage="0" equalAverage="0" bottom="0" percent="0" rank="0" text="" dxfId="886">
      <formula>$F1047:O2297="pp"</formula>
    </cfRule>
  </conditionalFormatting>
  <conditionalFormatting sqref="F1047 G683:I684">
    <cfRule type="expression" priority="877" aboveAverage="0" equalAverage="0" bottom="0" percent="0" rank="0" text="" dxfId="887">
      <formula>$F683:J2278="pp"</formula>
    </cfRule>
  </conditionalFormatting>
  <conditionalFormatting sqref="O1045">
    <cfRule type="expression" priority="878" aboveAverage="0" equalAverage="0" bottom="0" percent="0" rank="0" text="" dxfId="888">
      <formula>$F1045:S2312="pp"</formula>
    </cfRule>
  </conditionalFormatting>
  <conditionalFormatting sqref="B1046">
    <cfRule type="expression" priority="879" aboveAverage="0" equalAverage="0" bottom="0" percent="0" rank="0" text="" dxfId="889">
      <formula>$F1046:G2297="pp"</formula>
    </cfRule>
  </conditionalFormatting>
  <conditionalFormatting sqref="J1046">
    <cfRule type="expression" priority="880" aboveAverage="0" equalAverage="0" bottom="0" percent="0" rank="0" text="" dxfId="890">
      <formula>$F1046:O2297="pp"</formula>
    </cfRule>
  </conditionalFormatting>
  <conditionalFormatting sqref="F1046 F1023:F1026 E689:E691">
    <cfRule type="expression" priority="881" aboveAverage="0" equalAverage="0" bottom="0" percent="0" rank="0" text="" dxfId="891">
      <formula>$F689:I2285="pp"</formula>
    </cfRule>
  </conditionalFormatting>
  <conditionalFormatting sqref="B1045 K1060:K1072 M1060:N1072">
    <cfRule type="expression" priority="882" aboveAverage="0" equalAverage="0" bottom="0" percent="0" rank="0" text="" dxfId="892">
      <formula>$F1045:G2297="pp"</formula>
    </cfRule>
  </conditionalFormatting>
  <conditionalFormatting sqref="J1045">
    <cfRule type="expression" priority="883" aboveAverage="0" equalAverage="0" bottom="0" percent="0" rank="0" text="" dxfId="893">
      <formula>$F1045:O2297="pp"</formula>
    </cfRule>
  </conditionalFormatting>
  <conditionalFormatting sqref="K1045">
    <cfRule type="expression" priority="884" aboveAverage="0" equalAverage="0" bottom="0" percent="0" rank="0" text="" dxfId="894">
      <formula>$F1045:P2334="pp"</formula>
    </cfRule>
  </conditionalFormatting>
  <conditionalFormatting sqref="Q1045">
    <cfRule type="expression" priority="885" aboveAverage="0" equalAverage="0" bottom="0" percent="0" rank="0" text="" dxfId="895">
      <formula>$F1045:T2325="pp"</formula>
    </cfRule>
  </conditionalFormatting>
  <conditionalFormatting sqref="F1045 G676:I681 F1031:F1032">
    <cfRule type="expression" priority="886" aboveAverage="0" equalAverage="0" bottom="0" percent="0" rank="0" text="" dxfId="896">
      <formula>$F676:J2273="pp"</formula>
    </cfRule>
  </conditionalFormatting>
  <conditionalFormatting sqref="B1044 A1055:A1056">
    <cfRule type="expression" priority="887" aboveAverage="0" equalAverage="0" bottom="0" percent="0" rank="0" text="" dxfId="897">
      <formula>$F1044:F2297="pp"</formula>
    </cfRule>
  </conditionalFormatting>
  <conditionalFormatting sqref="J1044">
    <cfRule type="expression" priority="888" aboveAverage="0" equalAverage="0" bottom="0" percent="0" rank="0" text="" dxfId="898">
      <formula>$F1044:O2297="pp"</formula>
    </cfRule>
  </conditionalFormatting>
  <conditionalFormatting sqref="K1044 A1025:A1026">
    <cfRule type="expression" priority="889" aboveAverage="0" equalAverage="0" bottom="0" percent="0" rank="0" text="" dxfId="899">
      <formula>$F1025:F2315="pp"</formula>
    </cfRule>
  </conditionalFormatting>
  <conditionalFormatting sqref="Q1044">
    <cfRule type="expression" priority="890" aboveAverage="0" equalAverage="0" bottom="0" percent="0" rank="0" text="" dxfId="900">
      <formula>$F1044:T2325="pp"</formula>
    </cfRule>
  </conditionalFormatting>
  <conditionalFormatting sqref="F1044 F1027:F1030">
    <cfRule type="expression" priority="891" aboveAverage="0" equalAverage="0" bottom="0" percent="0" rank="0" text="" dxfId="901">
      <formula>$F1027:J2625="pp"</formula>
    </cfRule>
  </conditionalFormatting>
  <conditionalFormatting sqref="O1115 G1078:I1079">
    <cfRule type="expression" priority="892" aboveAverage="0" equalAverage="0" bottom="0" percent="0" rank="0" text="" dxfId="902">
      <formula>$F1078:K2272="pp"</formula>
    </cfRule>
  </conditionalFormatting>
  <conditionalFormatting sqref="E1115">
    <cfRule type="expression" priority="893" aboveAverage="0" equalAverage="0" bottom="0" percent="0" rank="0" text="" dxfId="903">
      <formula>$F1115:I2310="pp"</formula>
    </cfRule>
  </conditionalFormatting>
  <conditionalFormatting sqref="K1115">
    <cfRule type="expression" priority="894" aboveAverage="0" equalAverage="0" bottom="0" percent="0" rank="0" text="" dxfId="904">
      <formula>$F1115:P2331="pp"</formula>
    </cfRule>
  </conditionalFormatting>
  <conditionalFormatting sqref="J1115">
    <cfRule type="expression" priority="895" aboveAverage="0" equalAverage="0" bottom="0" percent="0" rank="0" text="" dxfId="905">
      <formula>$F1115:O2294="pp"</formula>
    </cfRule>
  </conditionalFormatting>
  <conditionalFormatting sqref="Q1115">
    <cfRule type="expression" priority="896" aboveAverage="0" equalAverage="0" bottom="0" percent="0" rank="0" text="" dxfId="906">
      <formula>$F1115:T2322="pp"</formula>
    </cfRule>
  </conditionalFormatting>
  <conditionalFormatting sqref="G1115:I1115">
    <cfRule type="expression" priority="897" aboveAverage="0" equalAverage="0" bottom="0" percent="0" rank="0" text="" dxfId="907">
      <formula>$F1115:K2294="pp"</formula>
    </cfRule>
  </conditionalFormatting>
  <conditionalFormatting sqref="O1044">
    <cfRule type="expression" priority="898" aboveAverage="0" equalAverage="0" bottom="0" percent="0" rank="0" text="" dxfId="908">
      <formula>$F1044:S2312="pp"</formula>
    </cfRule>
  </conditionalFormatting>
  <conditionalFormatting sqref="G1025:I1025 O1049:O1051">
    <cfRule type="expression" priority="899" aboveAverage="0" equalAverage="0" bottom="0" percent="0" rank="0" text="" dxfId="909">
      <formula>$F1025:K2282="pp"</formula>
    </cfRule>
  </conditionalFormatting>
  <conditionalFormatting sqref="C900:D900">
    <cfRule type="expression" priority="900" aboveAverage="0" equalAverage="0" bottom="0" percent="0" rank="0" text="" dxfId="910">
      <formula>$F900:H2332="pp"</formula>
    </cfRule>
  </conditionalFormatting>
  <conditionalFormatting sqref="C626:D626 A615:A616">
    <cfRule type="expression" priority="901" aboveAverage="0" equalAverage="0" bottom="0" percent="0" rank="0" text="" dxfId="911">
      <formula>$F615:F2295="pp"</formula>
    </cfRule>
  </conditionalFormatting>
  <conditionalFormatting sqref="C840:D840">
    <cfRule type="expression" priority="902" aboveAverage="0" equalAverage="0" bottom="0" percent="0" rank="0" text="" dxfId="912">
      <formula>$F840:H2338="pp"</formula>
    </cfRule>
  </conditionalFormatting>
  <conditionalFormatting sqref="E949">
    <cfRule type="expression" priority="903" aboveAverage="0" equalAverage="0" bottom="0" percent="0" rank="0" text="" dxfId="913">
      <formula>$F949:I2314="pp"</formula>
    </cfRule>
  </conditionalFormatting>
  <conditionalFormatting sqref="E946">
    <cfRule type="expression" priority="904" aboveAverage="0" equalAverage="0" bottom="0" percent="0" rank="0" text="" dxfId="914">
      <formula>$F946:I2304="pp"</formula>
    </cfRule>
  </conditionalFormatting>
  <conditionalFormatting sqref="G1048:I1048">
    <cfRule type="expression" priority="905" aboveAverage="0" equalAverage="0" bottom="0" percent="0" rank="0" text="" dxfId="915">
      <formula>$F1048:K2297="pp"</formula>
    </cfRule>
  </conditionalFormatting>
  <conditionalFormatting sqref="L1048">
    <cfRule type="expression" priority="906" aboveAverage="0" equalAverage="0" bottom="0" percent="0" rank="0" text="" dxfId="916">
      <formula>$F1048:Q2297="pp"</formula>
    </cfRule>
  </conditionalFormatting>
  <conditionalFormatting sqref="L1321">
    <cfRule type="expression" priority="907" aboveAverage="0" equalAverage="0" bottom="0" percent="0" rank="0" text="" dxfId="917">
      <formula>$F1321:Q2288="pp"</formula>
    </cfRule>
  </conditionalFormatting>
  <conditionalFormatting sqref="M456:N456">
    <cfRule type="expression" priority="908" aboveAverage="0" equalAverage="0" bottom="0" percent="0" rank="0" text="" dxfId="918">
      <formula>$F456:R2319="pp"</formula>
    </cfRule>
  </conditionalFormatting>
  <conditionalFormatting sqref="L855">
    <cfRule type="expression" priority="909" aboveAverage="0" equalAverage="0" bottom="0" percent="0" rank="0" text="" dxfId="919">
      <formula>$F855:Q2296="pp"</formula>
    </cfRule>
  </conditionalFormatting>
  <conditionalFormatting sqref="P461 P445">
    <cfRule type="expression" priority="910" aboveAverage="0" equalAverage="0" bottom="0" percent="0" rank="0" text="" dxfId="920">
      <formula>$F445:T3011="pp"</formula>
    </cfRule>
  </conditionalFormatting>
  <conditionalFormatting sqref="P445 O430:O431">
    <cfRule type="expression" priority="911" aboveAverage="0" equalAverage="0" bottom="0" percent="0" rank="0" text="" dxfId="921">
      <formula>$F430:S2279="pp"</formula>
    </cfRule>
  </conditionalFormatting>
  <conditionalFormatting sqref="G476:I476">
    <cfRule type="expression" priority="912" aboveAverage="0" equalAverage="0" bottom="0" percent="0" rank="0" text="" dxfId="922">
      <formula>$F476:K2271="pp"</formula>
    </cfRule>
  </conditionalFormatting>
  <conditionalFormatting sqref="B565 B554:B558 L554:L558 J554:J558">
    <cfRule type="expression" priority="913" aboveAverage="0" equalAverage="0" bottom="0" percent="0" rank="0" text="" dxfId="923">
      <formula>$F554:G2278="pp"</formula>
    </cfRule>
  </conditionalFormatting>
  <conditionalFormatting sqref="F476">
    <cfRule type="expression" priority="914" aboveAverage="0" equalAverage="0" bottom="0" percent="0" rank="0" text="" dxfId="924">
      <formula>$F476:J2310="pp"</formula>
    </cfRule>
  </conditionalFormatting>
  <conditionalFormatting sqref="F846">
    <cfRule type="expression" priority="915" aboveAverage="0" equalAverage="0" bottom="0" percent="0" rank="0" text="" dxfId="925">
      <formula>$F846:J2603="pp"</formula>
    </cfRule>
  </conditionalFormatting>
  <conditionalFormatting sqref="P461">
    <cfRule type="expression" priority="916" aboveAverage="0" equalAverage="0" bottom="0" percent="0" rank="0" text="" dxfId="926">
      <formula>$F461:T2310="pp"</formula>
    </cfRule>
  </conditionalFormatting>
  <conditionalFormatting sqref="Q476">
    <cfRule type="expression" priority="917" aboveAverage="0" equalAverage="0" bottom="0" percent="0" rank="0" text="" dxfId="927">
      <formula>$F476:T2299="pp"</formula>
    </cfRule>
  </conditionalFormatting>
  <conditionalFormatting sqref="K476">
    <cfRule type="expression" priority="918" aboveAverage="0" equalAverage="0" bottom="0" percent="0" rank="0" text="" dxfId="928">
      <formula>$F476:P2308="pp"</formula>
    </cfRule>
  </conditionalFormatting>
  <conditionalFormatting sqref="L476">
    <cfRule type="expression" priority="919" aboveAverage="0" equalAverage="0" bottom="0" percent="0" rank="0" text="" dxfId="929">
      <formula>$F476:Q2271="pp"</formula>
    </cfRule>
  </conditionalFormatting>
  <conditionalFormatting sqref="J840">
    <cfRule type="expression" priority="920" aboveAverage="0" equalAverage="0" bottom="0" percent="0" rank="0" text="" dxfId="930">
      <formula>$F840:O2288="pp"</formula>
    </cfRule>
  </conditionalFormatting>
  <conditionalFormatting sqref="K840">
    <cfRule type="expression" priority="921" aboveAverage="0" equalAverage="0" bottom="0" percent="0" rank="0" text="" dxfId="931">
      <formula>$F840:P2325="pp"</formula>
    </cfRule>
  </conditionalFormatting>
  <conditionalFormatting sqref="Q840">
    <cfRule type="expression" priority="922" aboveAverage="0" equalAverage="0" bottom="0" percent="0" rank="0" text="" dxfId="932">
      <formula>$F840:T2316="pp"</formula>
    </cfRule>
  </conditionalFormatting>
  <conditionalFormatting sqref="F840 E521:E523 F784:F785 F850:F851">
    <cfRule type="expression" priority="923" aboveAverage="0" equalAverage="0" bottom="0" percent="0" rank="0" text="" dxfId="933">
      <formula>$F521:I2280="pp"</formula>
    </cfRule>
  </conditionalFormatting>
  <conditionalFormatting sqref="M476:N476">
    <cfRule type="expression" priority="924" aboveAverage="0" equalAverage="0" bottom="0" percent="0" rank="0" text="" dxfId="934">
      <formula>$F476:R2308="pp"</formula>
    </cfRule>
  </conditionalFormatting>
  <conditionalFormatting sqref="J498">
    <cfRule type="expression" priority="925" aboveAverage="0" equalAverage="0" bottom="0" percent="0" rank="0" text="" dxfId="935">
      <formula>$F498:O2273="pp"</formula>
    </cfRule>
  </conditionalFormatting>
  <conditionalFormatting sqref="G840:I840">
    <cfRule type="expression" priority="926" aboveAverage="0" equalAverage="0" bottom="0" percent="0" rank="0" text="" dxfId="936">
      <formula>$F840:K2288="pp"</formula>
    </cfRule>
  </conditionalFormatting>
  <conditionalFormatting sqref="F854">
    <cfRule type="expression" priority="927" aboveAverage="0" equalAverage="0" bottom="0" percent="0" rank="0" text="" dxfId="937">
      <formula>$F854:J2616="pp"</formula>
    </cfRule>
  </conditionalFormatting>
  <conditionalFormatting sqref="L840">
    <cfRule type="expression" priority="928" aboveAverage="0" equalAverage="0" bottom="0" percent="0" rank="0" text="" dxfId="938">
      <formula>$F840:Q2288="pp"</formula>
    </cfRule>
  </conditionalFormatting>
  <conditionalFormatting sqref="M840:N840">
    <cfRule type="expression" priority="929" aboveAverage="0" equalAverage="0" bottom="0" percent="0" rank="0" text="" dxfId="939">
      <formula>$F840:R2325="pp"</formula>
    </cfRule>
  </conditionalFormatting>
  <conditionalFormatting sqref="E710">
    <cfRule type="expression" priority="930" aboveAverage="0" equalAverage="0" bottom="0" percent="0" rank="0" text="" dxfId="940">
      <formula>$F710:I2285="pp"</formula>
    </cfRule>
  </conditionalFormatting>
  <conditionalFormatting sqref="F1054">
    <cfRule type="expression" priority="931" aboveAverage="0" equalAverage="0" bottom="0" percent="0" rank="0" text="" dxfId="941">
      <formula>$F1054:J2647="pp"</formula>
    </cfRule>
  </conditionalFormatting>
  <conditionalFormatting sqref="F1051">
    <cfRule type="expression" priority="932" aboveAverage="0" equalAverage="0" bottom="0" percent="0" rank="0" text="" dxfId="942">
      <formula>$F1051:J2637="pp"</formula>
    </cfRule>
  </conditionalFormatting>
  <conditionalFormatting sqref="F1053">
    <cfRule type="expression" priority="933" aboveAverage="0" equalAverage="0" bottom="0" percent="0" rank="0" text="" dxfId="943">
      <formula>$F1053:J2639="pp"</formula>
    </cfRule>
  </conditionalFormatting>
  <conditionalFormatting sqref="J455">
    <cfRule type="expression" priority="934" aboveAverage="0" equalAverage="0" bottom="0" percent="0" rank="0" text="" dxfId="944">
      <formula>$F455:O2282="pp"</formula>
    </cfRule>
  </conditionalFormatting>
  <conditionalFormatting sqref="M855:N855">
    <cfRule type="expression" priority="935" aboveAverage="0" equalAverage="0" bottom="0" percent="0" rank="0" text="" dxfId="945">
      <formula>$F855:R2333="pp"</formula>
    </cfRule>
  </conditionalFormatting>
  <conditionalFormatting sqref="E947">
    <cfRule type="expression" priority="936" aboveAverage="0" equalAverage="0" bottom="0" percent="0" rank="0" text="" dxfId="946">
      <formula>$F947:I2312="pp"</formula>
    </cfRule>
  </conditionalFormatting>
  <conditionalFormatting sqref="B1115">
    <cfRule type="expression" priority="937" aboveAverage="0" equalAverage="0" bottom="0" percent="0" rank="0" text="" dxfId="947">
      <formula>$F1115:G2294="pp"</formula>
    </cfRule>
  </conditionalFormatting>
  <conditionalFormatting sqref="M1115:N1115">
    <cfRule type="expression" priority="938" aboveAverage="0" equalAverage="0" bottom="0" percent="0" rank="0" text="" dxfId="948">
      <formula>$F1115:R2331="pp"</formula>
    </cfRule>
  </conditionalFormatting>
  <conditionalFormatting sqref="G1047:I1047">
    <cfRule type="expression" priority="939" aboveAverage="0" equalAverage="0" bottom="0" percent="0" rank="0" text="" dxfId="949">
      <formula>$F1047:K2297="pp"</formula>
    </cfRule>
  </conditionalFormatting>
  <conditionalFormatting sqref="F876">
    <cfRule type="expression" priority="940" aboveAverage="0" equalAverage="0" bottom="0" percent="0" rank="0" text="" dxfId="950">
      <formula>$F876:J2588="pp"</formula>
    </cfRule>
  </conditionalFormatting>
  <conditionalFormatting sqref="M1025:N1025">
    <cfRule type="expression" priority="941" aboveAverage="0" equalAverage="0" bottom="0" percent="0" rank="0" text="" dxfId="951">
      <formula>$F1025:R2319="pp"</formula>
    </cfRule>
  </conditionalFormatting>
  <conditionalFormatting sqref="L1047">
    <cfRule type="expression" priority="942" aboveAverage="0" equalAverage="0" bottom="0" percent="0" rank="0" text="" dxfId="952">
      <formula>$F1047:Q2297="pp"</formula>
    </cfRule>
  </conditionalFormatting>
  <conditionalFormatting sqref="C921:D921 B877:B880 L877:L880 J877:J880">
    <cfRule type="expression" priority="943" aboveAverage="0" equalAverage="0" bottom="0" percent="0" rank="0" text="" dxfId="953">
      <formula>$F877:G2282="pp"</formula>
    </cfRule>
  </conditionalFormatting>
  <conditionalFormatting sqref="F875">
    <cfRule type="expression" priority="944" aboveAverage="0" equalAverage="0" bottom="0" percent="0" rank="0" text="" dxfId="954">
      <formula>$F875:J2588="pp"</formula>
    </cfRule>
  </conditionalFormatting>
  <conditionalFormatting sqref="O626 G621:I622 O631:O633">
    <cfRule type="expression" priority="945" aboveAverage="0" equalAverage="0" bottom="0" percent="0" rank="0" text="" dxfId="955">
      <formula>$F621:K2282="pp"</formula>
    </cfRule>
  </conditionalFormatting>
  <conditionalFormatting sqref="F1156 O832:O833">
    <cfRule type="expression" priority="946" aboveAverage="0" equalAverage="0" bottom="0" percent="0" rank="0" text="" dxfId="956">
      <formula>$F832:J2300="pp"</formula>
    </cfRule>
  </conditionalFormatting>
  <conditionalFormatting sqref="F874">
    <cfRule type="expression" priority="947" aboveAverage="0" equalAverage="0" bottom="0" percent="0" rank="0" text="" dxfId="957">
      <formula>$F874:J2588="pp"</formula>
    </cfRule>
  </conditionalFormatting>
  <conditionalFormatting sqref="J875">
    <cfRule type="expression" priority="948" aboveAverage="0" equalAverage="0" bottom="0" percent="0" rank="0" text="" dxfId="958">
      <formula>$F875:O2282="pp"</formula>
    </cfRule>
  </conditionalFormatting>
  <conditionalFormatting sqref="G874:I874 G883:I886">
    <cfRule type="expression" priority="949" aboveAverage="0" equalAverage="0" bottom="0" percent="0" rank="0" text="" dxfId="959">
      <formula>$F874:K2282="pp"</formula>
    </cfRule>
  </conditionalFormatting>
  <conditionalFormatting sqref="E803 G780:I781 G784:I785 O803:O809">
    <cfRule type="expression" priority="950" aboveAverage="0" equalAverage="0" bottom="0" percent="0" rank="0" text="" dxfId="960">
      <formula>$F780:I2270="pp"</formula>
    </cfRule>
  </conditionalFormatting>
  <conditionalFormatting sqref="F880">
    <cfRule type="expression" priority="951" aboveAverage="0" equalAverage="0" bottom="0" percent="0" rank="0" text="" dxfId="961">
      <formula>$F880:J2591="pp"</formula>
    </cfRule>
  </conditionalFormatting>
  <conditionalFormatting sqref="F841">
    <cfRule type="expression" priority="952" aboveAverage="0" equalAverage="0" bottom="0" percent="0" rank="0" text="" dxfId="962">
      <formula>$F841:J2602="pp"</formula>
    </cfRule>
  </conditionalFormatting>
  <conditionalFormatting sqref="F867">
    <cfRule type="expression" priority="953" aboveAverage="0" equalAverage="0" bottom="0" percent="0" rank="0" text="" dxfId="963">
      <formula>$F867:J2595="pp"</formula>
    </cfRule>
  </conditionalFormatting>
  <conditionalFormatting sqref="E948">
    <cfRule type="expression" priority="954" aboveAverage="0" equalAverage="0" bottom="0" percent="0" rank="0" text="" dxfId="964">
      <formula>$F948:I2306="pp"</formula>
    </cfRule>
  </conditionalFormatting>
  <conditionalFormatting sqref="F1227">
    <cfRule type="expression" priority="955" aboveAverage="0" equalAverage="0" bottom="0" percent="0" rank="0" text="" dxfId="965">
      <formula>$F1227:J2622="pp"</formula>
    </cfRule>
  </conditionalFormatting>
  <conditionalFormatting sqref="O663 G643:I646">
    <cfRule type="expression" priority="956" aboveAverage="0" equalAverage="0" bottom="0" percent="0" rank="0" text="" dxfId="966">
      <formula>$F643:K2268="pp"</formula>
    </cfRule>
  </conditionalFormatting>
  <conditionalFormatting sqref="K906 A899:A905">
    <cfRule type="expression" priority="957" aboveAverage="0" equalAverage="0" bottom="0" percent="0" rank="0" text="" dxfId="967">
      <formula>$F899:F2314="pp"</formula>
    </cfRule>
  </conditionalFormatting>
  <conditionalFormatting sqref="Q906">
    <cfRule type="expression" priority="958" aboveAverage="0" equalAverage="0" bottom="0" percent="0" rank="0" text="" dxfId="968">
      <formula>$F906:T2312="pp"</formula>
    </cfRule>
  </conditionalFormatting>
  <conditionalFormatting sqref="F905 E583:E588">
    <cfRule type="expression" priority="959" aboveAverage="0" equalAverage="0" bottom="0" percent="0" rank="0" text="" dxfId="969">
      <formula>$F583:I2285="pp"</formula>
    </cfRule>
  </conditionalFormatting>
  <conditionalFormatting sqref="L874">
    <cfRule type="expression" priority="960" aboveAverage="0" equalAverage="0" bottom="0" percent="0" rank="0" text="" dxfId="970">
      <formula>$F874:Q2282="pp"</formula>
    </cfRule>
  </conditionalFormatting>
  <conditionalFormatting sqref="F801">
    <cfRule type="expression" priority="961" aboveAverage="0" equalAverage="0" bottom="0" percent="0" rank="0" text="" dxfId="971">
      <formula>$F801:J2557="pp"</formula>
    </cfRule>
  </conditionalFormatting>
  <conditionalFormatting sqref="J905">
    <cfRule type="expression" priority="962" aboveAverage="0" equalAverage="0" bottom="0" percent="0" rank="0" text="" dxfId="972">
      <formula>$F905:O2285="pp"</formula>
    </cfRule>
  </conditionalFormatting>
  <conditionalFormatting sqref="K905">
    <cfRule type="expression" priority="963" aboveAverage="0" equalAverage="0" bottom="0" percent="0" rank="0" text="" dxfId="973">
      <formula>$F905:P2322="pp"</formula>
    </cfRule>
  </conditionalFormatting>
  <conditionalFormatting sqref="F790">
    <cfRule type="expression" priority="964" aboveAverage="0" equalAverage="0" bottom="0" percent="0" rank="0" text="" dxfId="974">
      <formula>$F790:J2550="pp"</formula>
    </cfRule>
  </conditionalFormatting>
  <conditionalFormatting sqref="C905:D905">
    <cfRule type="expression" priority="965" aboveAverage="0" equalAverage="0" bottom="0" percent="0" rank="0" text="" dxfId="975">
      <formula>$F905:H2341="pp"</formula>
    </cfRule>
  </conditionalFormatting>
  <conditionalFormatting sqref="F852">
    <cfRule type="expression" priority="966" aboveAverage="0" equalAverage="0" bottom="0" percent="0" rank="0" text="" dxfId="976">
      <formula>$F852:J2614="pp"</formula>
    </cfRule>
  </conditionalFormatting>
  <conditionalFormatting sqref="J904">
    <cfRule type="expression" priority="967" aboveAverage="0" equalAverage="0" bottom="0" percent="0" rank="0" text="" dxfId="977">
      <formula>$F904:O2285="pp"</formula>
    </cfRule>
  </conditionalFormatting>
  <conditionalFormatting sqref="K904">
    <cfRule type="expression" priority="968" aboveAverage="0" equalAverage="0" bottom="0" percent="0" rank="0" text="" dxfId="978">
      <formula>$F904:P2322="pp"</formula>
    </cfRule>
  </conditionalFormatting>
  <conditionalFormatting sqref="F904">
    <cfRule type="expression" priority="969" aboveAverage="0" equalAverage="0" bottom="0" percent="0" rank="0" text="" dxfId="979">
      <formula>$F904:J2607="pp"</formula>
    </cfRule>
  </conditionalFormatting>
  <conditionalFormatting sqref="G904:I904">
    <cfRule type="expression" priority="970" aboveAverage="0" equalAverage="0" bottom="0" percent="0" rank="0" text="" dxfId="980">
      <formula>$F904:K2285="pp"</formula>
    </cfRule>
  </conditionalFormatting>
  <conditionalFormatting sqref="F848">
    <cfRule type="expression" priority="971" aboveAverage="0" equalAverage="0" bottom="0" percent="0" rank="0" text="" dxfId="981">
      <formula>$F848:J2610="pp"</formula>
    </cfRule>
  </conditionalFormatting>
  <conditionalFormatting sqref="E782">
    <cfRule type="expression" priority="972" aboveAverage="0" equalAverage="0" bottom="0" percent="0" rank="0" text="" dxfId="982">
      <formula>$F782:I2286="pp"</formula>
    </cfRule>
  </conditionalFormatting>
  <conditionalFormatting sqref="M904:N904">
    <cfRule type="expression" priority="973" aboveAverage="0" equalAverage="0" bottom="0" percent="0" rank="0" text="" dxfId="983">
      <formula>$F904:R2322="pp"</formula>
    </cfRule>
  </conditionalFormatting>
  <conditionalFormatting sqref="C221:D221">
    <cfRule type="expression" priority="974" aboveAverage="0" equalAverage="0" bottom="0" percent="0" rank="0" text="" dxfId="984">
      <formula>$F221:H2287="pp"</formula>
    </cfRule>
  </conditionalFormatting>
  <conditionalFormatting sqref="B329">
    <cfRule type="expression" priority="975" aboveAverage="0" equalAverage="0" bottom="0" percent="0" rank="0" text="" dxfId="985">
      <formula>$F329:G2276="pp"</formula>
    </cfRule>
  </conditionalFormatting>
  <conditionalFormatting sqref="F881">
    <cfRule type="expression" priority="976" aboveAverage="0" equalAverage="0" bottom="0" percent="0" rank="0" text="" dxfId="986">
      <formula>$F881:J2605="pp"</formula>
    </cfRule>
  </conditionalFormatting>
  <conditionalFormatting sqref="E628">
    <cfRule type="expression" priority="977" aboveAverage="0" equalAverage="0" bottom="0" percent="0" rank="0" text="" dxfId="987">
      <formula>$F628:I2282="pp"</formula>
    </cfRule>
  </conditionalFormatting>
  <conditionalFormatting sqref="K987">
    <cfRule type="expression" priority="978" aboveAverage="0" equalAverage="0" bottom="0" percent="0" rank="0" text="" dxfId="988">
      <formula>$F987:P2335="pp"</formula>
    </cfRule>
  </conditionalFormatting>
  <conditionalFormatting sqref="M1073:N1073">
    <cfRule type="expression" priority="979" aboveAverage="0" equalAverage="0" bottom="0" percent="0" rank="0" text="" dxfId="989">
      <formula>$F1073:R2322="pp"</formula>
    </cfRule>
  </conditionalFormatting>
  <conditionalFormatting sqref="F987">
    <cfRule type="expression" priority="980" aboveAverage="0" equalAverage="0" bottom="0" percent="0" rank="0" text="" dxfId="990">
      <formula>$F987:J2680="pp"</formula>
    </cfRule>
  </conditionalFormatting>
  <conditionalFormatting sqref="C1034:D1034">
    <cfRule type="expression" priority="981" aboveAverage="0" equalAverage="0" bottom="0" percent="0" rank="0" text="" dxfId="991">
      <formula>$F1034:H2345="pp"</formula>
    </cfRule>
  </conditionalFormatting>
  <conditionalFormatting sqref="L904">
    <cfRule type="expression" priority="982" aboveAverage="0" equalAverage="0" bottom="0" percent="0" rank="0" text="" dxfId="992">
      <formula>$F904:Q2285="pp"</formula>
    </cfRule>
  </conditionalFormatting>
  <conditionalFormatting sqref="J987">
    <cfRule type="expression" priority="983" aboveAverage="0" equalAverage="0" bottom="0" percent="0" rank="0" text="" dxfId="993">
      <formula>$F987:O2285="pp"</formula>
    </cfRule>
  </conditionalFormatting>
  <conditionalFormatting sqref="B875 A907:A910">
    <cfRule type="expression" priority="984" aboveAverage="0" equalAverage="0" bottom="0" percent="0" rank="0" text="" dxfId="994">
      <formula>$F875:F2282="pp"</formula>
    </cfRule>
  </conditionalFormatting>
  <conditionalFormatting sqref="B919">
    <cfRule type="expression" priority="985" aboveAverage="0" equalAverage="0" bottom="0" percent="0" rank="0" text="" dxfId="995">
      <formula>$F919:G2280="pp"</formula>
    </cfRule>
  </conditionalFormatting>
  <conditionalFormatting sqref="G983:I983 O990:O1000">
    <cfRule type="expression" priority="986" aboveAverage="0" equalAverage="0" bottom="0" percent="0" rank="0" text="" dxfId="996">
      <formula>$F983:K2284="pp"</formula>
    </cfRule>
  </conditionalFormatting>
  <conditionalFormatting sqref="G987:I987">
    <cfRule type="expression" priority="987" aboveAverage="0" equalAverage="0" bottom="0" percent="0" rank="0" text="" dxfId="997">
      <formula>$F987:K2285="pp"</formula>
    </cfRule>
  </conditionalFormatting>
  <conditionalFormatting sqref="C753:D753 M737:N739 K737:K739">
    <cfRule type="expression" priority="988" aboveAverage="0" equalAverage="0" bottom="0" percent="0" rank="0" text="" dxfId="998">
      <formula>$F737:H2305="pp"</formula>
    </cfRule>
  </conditionalFormatting>
  <conditionalFormatting sqref="C898:D898">
    <cfRule type="expression" priority="989" aboveAverage="0" equalAverage="0" bottom="0" percent="0" rank="0" text="" dxfId="999">
      <formula>$F898:H2330="pp"</formula>
    </cfRule>
  </conditionalFormatting>
  <conditionalFormatting sqref="M938:N938">
    <cfRule type="expression" priority="990" aboveAverage="0" equalAverage="0" bottom="0" percent="0" rank="0" text="" dxfId="1000">
      <formula>$F938:R2321="pp"</formula>
    </cfRule>
  </conditionalFormatting>
  <conditionalFormatting sqref="L987">
    <cfRule type="expression" priority="991" aboveAverage="0" equalAverage="0" bottom="0" percent="0" rank="0" text="" dxfId="1001">
      <formula>$F987:Q2285="pp"</formula>
    </cfRule>
  </conditionalFormatting>
  <conditionalFormatting sqref="M1156:N1156">
    <cfRule type="expression" priority="992" aboveAverage="0" equalAverage="0" bottom="0" percent="0" rank="0" text="" dxfId="1002">
      <formula>$F1156:R2319="pp"</formula>
    </cfRule>
  </conditionalFormatting>
  <conditionalFormatting sqref="K1156 C1188:D1189 A1157:A1168">
    <cfRule type="expression" priority="993" aboveAverage="0" equalAverage="0" bottom="0" percent="0" rank="0" text="" dxfId="1003">
      <formula>$F1156:F2319="pp"</formula>
    </cfRule>
  </conditionalFormatting>
  <conditionalFormatting sqref="G1156:I1156">
    <cfRule type="expression" priority="994" aboveAverage="0" equalAverage="0" bottom="0" percent="0" rank="0" text="" dxfId="1004">
      <formula>$F1156:K2282="pp"</formula>
    </cfRule>
  </conditionalFormatting>
  <conditionalFormatting sqref="C667:D667 B631:B632 L631:L632 J631:J632">
    <cfRule type="expression" priority="995" aboveAverage="0" equalAverage="0" bottom="0" percent="0" rank="0" text="" dxfId="1005">
      <formula>$F631:G2270="pp"</formula>
    </cfRule>
  </conditionalFormatting>
  <conditionalFormatting sqref="L1156">
    <cfRule type="expression" priority="996" aboveAverage="0" equalAverage="0" bottom="0" percent="0" rank="0" text="" dxfId="1006">
      <formula>$F1156:Q2282="pp"</formula>
    </cfRule>
  </conditionalFormatting>
  <conditionalFormatting sqref="C1156:D1156">
    <cfRule type="expression" priority="997" aboveAverage="0" equalAverage="0" bottom="0" percent="0" rank="0" text="" dxfId="1007">
      <formula>$F1156:H2332="pp"</formula>
    </cfRule>
  </conditionalFormatting>
  <conditionalFormatting sqref="O1156">
    <cfRule type="expression" priority="998" aboveAverage="0" equalAverage="0" bottom="0" percent="0" rank="0" text="" dxfId="1008">
      <formula>$F1156:S2297="pp"</formula>
    </cfRule>
  </conditionalFormatting>
  <conditionalFormatting sqref="Q1156">
    <cfRule type="expression" priority="999" aboveAverage="0" equalAverage="0" bottom="0" percent="0" rank="0" text="" dxfId="1009">
      <formula>$F1156:T2310="pp"</formula>
    </cfRule>
  </conditionalFormatting>
  <conditionalFormatting sqref="F803 F830:F831">
    <cfRule type="expression" priority="1000" aboveAverage="0" equalAverage="0" bottom="0" percent="0" rank="0" text="" dxfId="1010">
      <formula>$F803:J2568="pp"</formula>
    </cfRule>
  </conditionalFormatting>
  <conditionalFormatting sqref="C1170:D1170 A1133:A1134 C1157:D1168">
    <cfRule type="expression" priority="1001" aboveAverage="0" equalAverage="0" bottom="0" percent="0" rank="0" text="" dxfId="1011">
      <formula>$F1133:F2313="pp"</formula>
    </cfRule>
  </conditionalFormatting>
  <conditionalFormatting sqref="C1171:D1171">
    <cfRule type="expression" priority="1002" aboveAverage="0" equalAverage="0" bottom="0" percent="0" rank="0" text="" dxfId="1012">
      <formula>$F1171:H2346="pp"</formula>
    </cfRule>
  </conditionalFormatting>
  <conditionalFormatting sqref="E1174">
    <cfRule type="expression" priority="1003" aboveAverage="0" equalAverage="0" bottom="0" percent="0" rank="0" text="" dxfId="1013">
      <formula>$F1174:I2315="pp"</formula>
    </cfRule>
  </conditionalFormatting>
  <conditionalFormatting sqref="E1171 G1146:I1150 E1176:E1187">
    <cfRule type="expression" priority="1004" aboveAverage="0" equalAverage="0" bottom="0" percent="0" rank="0" text="" dxfId="1014">
      <formula>$F1146:I2281="pp"</formula>
    </cfRule>
  </conditionalFormatting>
  <conditionalFormatting sqref="E573">
    <cfRule type="expression" priority="1005" aboveAverage="0" equalAverage="0" bottom="0" percent="0" rank="0" text="" dxfId="1015">
      <formula>$F573:I2296="pp"</formula>
    </cfRule>
  </conditionalFormatting>
  <conditionalFormatting sqref="E760 G748:I752 E754:E758">
    <cfRule type="expression" priority="1006" aboveAverage="0" equalAverage="0" bottom="0" percent="0" rank="0" text="" dxfId="1016">
      <formula>$F748:I2274="pp"</formula>
    </cfRule>
  </conditionalFormatting>
  <conditionalFormatting sqref="C1173:D1173">
    <cfRule type="expression" priority="1007" aboveAverage="0" equalAverage="0" bottom="0" percent="0" rank="0" text="" dxfId="1017">
      <formula>$F1173:H2348="pp"</formula>
    </cfRule>
  </conditionalFormatting>
  <conditionalFormatting sqref="C1169:D1169">
    <cfRule type="expression" priority="1008" aboveAverage="0" equalAverage="0" bottom="0" percent="0" rank="0" text="" dxfId="1018">
      <formula>$F1169:H2344="pp"</formula>
    </cfRule>
  </conditionalFormatting>
  <conditionalFormatting sqref="F805">
    <cfRule type="expression" priority="1009" aboveAverage="0" equalAverage="0" bottom="0" percent="0" rank="0" text="" dxfId="1019">
      <formula>$F805:J2570="pp"</formula>
    </cfRule>
  </conditionalFormatting>
  <conditionalFormatting sqref="C1037:D1037">
    <cfRule type="expression" priority="1010" aboveAverage="0" equalAverage="0" bottom="0" percent="0" rank="0" text="" dxfId="1020">
      <formula>$F1037:H2341="pp"</formula>
    </cfRule>
  </conditionalFormatting>
  <conditionalFormatting sqref="C305:D305">
    <cfRule type="expression" priority="1011" aboveAverage="0" equalAverage="0" bottom="0" percent="0" rank="0" text="" dxfId="1021">
      <formula>$F305:H2329="pp"</formula>
    </cfRule>
  </conditionalFormatting>
  <conditionalFormatting sqref="G921:I921">
    <cfRule type="expression" priority="1012" aboveAverage="0" equalAverage="0" bottom="0" percent="0" rank="0" text="" dxfId="1022">
      <formula>$F921:K2276="pp"</formula>
    </cfRule>
  </conditionalFormatting>
  <conditionalFormatting sqref="L910">
    <cfRule type="expression" priority="1013" aboveAverage="0" equalAverage="0" bottom="0" percent="0" rank="0" text="" dxfId="1023">
      <formula>$F910:Q2277="pp"</formula>
    </cfRule>
  </conditionalFormatting>
  <conditionalFormatting sqref="E1172 E1162:E1170">
    <cfRule type="expression" priority="1014" aboveAverage="0" equalAverage="0" bottom="0" percent="0" rank="0" text="" dxfId="1024">
      <formula>$F1162:I2303="pp"</formula>
    </cfRule>
  </conditionalFormatting>
  <conditionalFormatting sqref="C1172:D1172">
    <cfRule type="expression" priority="1015" aboveAverage="0" equalAverage="0" bottom="0" percent="0" rank="0" text="" dxfId="1025">
      <formula>$F1172:H2352="pp"</formula>
    </cfRule>
  </conditionalFormatting>
  <conditionalFormatting sqref="C497:D497 A477:A478 K501:K502 M500:N502">
    <cfRule type="expression" priority="1016" aboveAverage="0" equalAverage="0" bottom="0" percent="0" rank="0" text="" dxfId="1026">
      <formula>$F477:F2287="pp"</formula>
    </cfRule>
  </conditionalFormatting>
  <conditionalFormatting sqref="F807">
    <cfRule type="expression" priority="1017" aboveAverage="0" equalAverage="0" bottom="0" percent="0" rank="0" text="" dxfId="1027">
      <formula>$F807:J2572="pp"</formula>
    </cfRule>
  </conditionalFormatting>
  <conditionalFormatting sqref="C1266:D1266">
    <cfRule type="expression" priority="1018" aboveAverage="0" equalAverage="0" bottom="0" percent="0" rank="0" text="" dxfId="1028">
      <formula>$F1266:H2358="pp"</formula>
    </cfRule>
  </conditionalFormatting>
  <conditionalFormatting sqref="E1173">
    <cfRule type="expression" priority="1019" aboveAverage="0" equalAverage="0" bottom="0" percent="0" rank="0" text="" dxfId="1029">
      <formula>$F1173:I2308="pp"</formula>
    </cfRule>
  </conditionalFormatting>
  <conditionalFormatting sqref="J461">
    <cfRule type="expression" priority="1020" aboveAverage="0" equalAverage="0" bottom="0" percent="0" rank="0" text="" dxfId="1030">
      <formula>$F461:O2282="pp"</formula>
    </cfRule>
  </conditionalFormatting>
  <conditionalFormatting sqref="G876:I876">
    <cfRule type="expression" priority="1021" aboveAverage="0" equalAverage="0" bottom="0" percent="0" rank="0" text="" dxfId="1031">
      <formula>$F876:K2282="pp"</formula>
    </cfRule>
  </conditionalFormatting>
  <conditionalFormatting sqref="F811">
    <cfRule type="expression" priority="1022" aboveAverage="0" equalAverage="0" bottom="0" percent="0" rank="0" text="" dxfId="1032">
      <formula>$F811:J2576="pp"</formula>
    </cfRule>
  </conditionalFormatting>
  <conditionalFormatting sqref="G906:I906">
    <cfRule type="expression" priority="1023" aboveAverage="0" equalAverage="0" bottom="0" percent="0" rank="0" text="" dxfId="1033">
      <formula>$F906:K2284="pp"</formula>
    </cfRule>
  </conditionalFormatting>
  <conditionalFormatting sqref="L906">
    <cfRule type="expression" priority="1024" aboveAverage="0" equalAverage="0" bottom="0" percent="0" rank="0" text="" dxfId="1034">
      <formula>$F906:Q2284="pp"</formula>
    </cfRule>
  </conditionalFormatting>
  <conditionalFormatting sqref="M906:N906">
    <cfRule type="expression" priority="1025" aboveAverage="0" equalAverage="0" bottom="0" percent="0" rank="0" text="" dxfId="1035">
      <formula>$F906:R2321="pp"</formula>
    </cfRule>
  </conditionalFormatting>
  <conditionalFormatting sqref="E1321">
    <cfRule type="expression" priority="1026" aboveAverage="0" equalAverage="0" bottom="0" percent="0" rank="0" text="" dxfId="1036">
      <formula>$F1321:I2304="pp"</formula>
    </cfRule>
  </conditionalFormatting>
  <conditionalFormatting sqref="G412:I412 F430:F431">
    <cfRule type="expression" priority="1027" aboveAverage="0" equalAverage="0" bottom="0" percent="0" rank="0" text="" dxfId="1037">
      <formula>$F412:J2285="pp"</formula>
    </cfRule>
  </conditionalFormatting>
  <conditionalFormatting sqref="F809">
    <cfRule type="expression" priority="1028" aboveAverage="0" equalAverage="0" bottom="0" percent="0" rank="0" text="" dxfId="1038">
      <formula>$F809:J2574="pp"</formula>
    </cfRule>
  </conditionalFormatting>
  <conditionalFormatting sqref="G274:I274 O274 F327:F328">
    <cfRule type="expression" priority="1029" aboveAverage="0" equalAverage="0" bottom="0" percent="0" rank="0" text="" dxfId="1039">
      <formula>$F274:J2287="pp"</formula>
    </cfRule>
  </conditionalFormatting>
  <conditionalFormatting sqref="A987 A960:A964">
    <cfRule type="expression" priority="1030" aboveAverage="0" equalAverage="0" bottom="0" percent="0" rank="0" text="" dxfId="1040">
      <formula>$F960:F2312="pp"</formula>
    </cfRule>
  </conditionalFormatting>
  <conditionalFormatting sqref="G603:I603 O623:O624">
    <cfRule type="expression" priority="1031" aboveAverage="0" equalAverage="0" bottom="0" percent="0" rank="0" text="" dxfId="1041">
      <formula>$F603:K2278="pp"</formula>
    </cfRule>
  </conditionalFormatting>
  <conditionalFormatting sqref="F842 F741:F752 F771:F782 F922:F924 F589:F616 F623:F630 F663:F667 F714:F716">
    <cfRule type="expression" priority="1032" aboveAverage="0" equalAverage="0" bottom="0" percent="0" rank="0" text="" dxfId="1042">
      <formula>$F589:J2346="pp"</formula>
    </cfRule>
  </conditionalFormatting>
  <conditionalFormatting sqref="F294">
    <cfRule type="expression" priority="1033" aboveAverage="0" equalAverage="0" bottom="0" percent="0" rank="0" text="" dxfId="1043">
      <formula>$F294:J2338="pp"</formula>
    </cfRule>
  </conditionalFormatting>
  <conditionalFormatting sqref="F244">
    <cfRule type="expression" priority="1034" aboveAverage="0" equalAverage="0" bottom="0" percent="0" rank="0" text="" dxfId="1044">
      <formula>$F244:J2312="pp"</formula>
    </cfRule>
  </conditionalFormatting>
  <conditionalFormatting sqref="G911:I911 G913:I915">
    <cfRule type="expression" priority="1035" aboveAverage="0" equalAverage="0" bottom="0" percent="0" rank="0" text="" dxfId="1045">
      <formula>$F911:K2274="pp"</formula>
    </cfRule>
  </conditionalFormatting>
  <conditionalFormatting sqref="C1174:D1174">
    <cfRule type="expression" priority="1036" aboveAverage="0" equalAverage="0" bottom="0" percent="0" rank="0" text="" dxfId="1046">
      <formula>$F1174:H2354="pp"</formula>
    </cfRule>
  </conditionalFormatting>
  <conditionalFormatting sqref="C980:D980">
    <cfRule type="expression" priority="1037" aboveAverage="0" equalAverage="0" bottom="0" percent="0" rank="0" text="" dxfId="1047">
      <formula>$F980:H2342="pp"</formula>
    </cfRule>
  </conditionalFormatting>
  <conditionalFormatting sqref="E1320">
    <cfRule type="expression" priority="1038" aboveAverage="0" equalAverage="0" bottom="0" percent="0" rank="0" text="" dxfId="1048">
      <formula>$F1320:I2308="pp"</formula>
    </cfRule>
  </conditionalFormatting>
  <conditionalFormatting sqref="B1320 B1316:B1317 L1316:L1317 J1316:J1317 K1335:K1339 M1335:N1339">
    <cfRule type="expression" priority="1039" aboveAverage="0" equalAverage="0" bottom="0" percent="0" rank="0" text="" dxfId="1049">
      <formula>$F1316:G2288="pp"</formula>
    </cfRule>
  </conditionalFormatting>
  <conditionalFormatting sqref="L1320">
    <cfRule type="expression" priority="1040" aboveAverage="0" equalAverage="0" bottom="0" percent="0" rank="0" text="" dxfId="1050">
      <formula>$F1320:Q2292="pp"</formula>
    </cfRule>
  </conditionalFormatting>
  <conditionalFormatting sqref="A1292">
    <cfRule type="expression" priority="1041" aboveAverage="0" equalAverage="0" bottom="0" percent="0" rank="0" text="" dxfId="1051">
      <formula>$F1292:F2321="pp"</formula>
    </cfRule>
  </conditionalFormatting>
  <conditionalFormatting sqref="F285">
    <cfRule type="expression" priority="1042" aboveAverage="0" equalAverage="0" bottom="0" percent="0" rank="0" text="" dxfId="1052">
      <formula>$F285:J2330="pp"</formula>
    </cfRule>
  </conditionalFormatting>
  <conditionalFormatting sqref="G875:I875">
    <cfRule type="expression" priority="1043" aboveAverage="0" equalAverage="0" bottom="0" percent="0" rank="0" text="" dxfId="1053">
      <formula>$F875:K2282="pp"</formula>
    </cfRule>
  </conditionalFormatting>
  <conditionalFormatting sqref="C982:D982">
    <cfRule type="expression" priority="1044" aboveAverage="0" equalAverage="0" bottom="0" percent="0" rank="0" text="" dxfId="1054">
      <formula>$F982:H2344="pp"</formula>
    </cfRule>
  </conditionalFormatting>
  <conditionalFormatting sqref="F825">
    <cfRule type="expression" priority="1045" aboveAverage="0" equalAverage="0" bottom="0" percent="0" rank="0" text="" dxfId="1055">
      <formula>$F825:J2589="pp"</formula>
    </cfRule>
  </conditionalFormatting>
  <conditionalFormatting sqref="M1044:N1044">
    <cfRule type="expression" priority="1046" aboveAverage="0" equalAverage="0" bottom="0" percent="0" rank="0" text="" dxfId="1056">
      <formula>$F1044:R2334="pp"</formula>
    </cfRule>
  </conditionalFormatting>
  <conditionalFormatting sqref="F818">
    <cfRule type="expression" priority="1047" aboveAverage="0" equalAverage="0" bottom="0" percent="0" rank="0" text="" dxfId="1057">
      <formula>$F818:J2586="pp"</formula>
    </cfRule>
  </conditionalFormatting>
  <conditionalFormatting sqref="G573:I573">
    <cfRule type="expression" priority="1048" aboveAverage="0" equalAverage="0" bottom="0" percent="0" rank="0" text="" dxfId="1058">
      <formula>$F573:K2286="pp"</formula>
    </cfRule>
  </conditionalFormatting>
  <conditionalFormatting sqref="J1320">
    <cfRule type="expression" priority="1049" aboveAverage="0" equalAverage="0" bottom="0" percent="0" rank="0" text="" dxfId="1059">
      <formula>$F1320:O2292="pp"</formula>
    </cfRule>
  </conditionalFormatting>
  <conditionalFormatting sqref="G1320:I1320 G1316:I1317">
    <cfRule type="expression" priority="1050" aboveAverage="0" equalAverage="0" bottom="0" percent="0" rank="0" text="" dxfId="1060">
      <formula>$F1316:K2288="pp"</formula>
    </cfRule>
  </conditionalFormatting>
  <conditionalFormatting sqref="F816">
    <cfRule type="expression" priority="1051" aboveAverage="0" equalAverage="0" bottom="0" percent="0" rank="0" text="" dxfId="1061">
      <formula>$F816:J2584="pp"</formula>
    </cfRule>
  </conditionalFormatting>
  <conditionalFormatting sqref="F820">
    <cfRule type="expression" priority="1052" aboveAverage="0" equalAverage="0" bottom="0" percent="0" rank="0" text="" dxfId="1062">
      <formula>$F820:J2588="pp"</formula>
    </cfRule>
  </conditionalFormatting>
  <conditionalFormatting sqref="C984:D984">
    <cfRule type="expression" priority="1053" aboveAverage="0" equalAverage="0" bottom="0" percent="0" rank="0" text="" dxfId="1063">
      <formula>$F984:H2346="pp"</formula>
    </cfRule>
  </conditionalFormatting>
  <conditionalFormatting sqref="G1321:I1321 E1322:E1323 F1347:F1348">
    <cfRule type="expression" priority="1054" aboveAverage="0" equalAverage="0" bottom="0" percent="0" rank="0" text="" dxfId="1064">
      <formula>$F1321:I2288="pp"</formula>
    </cfRule>
  </conditionalFormatting>
  <conditionalFormatting sqref="J1321">
    <cfRule type="expression" priority="1055" aboveAverage="0" equalAverage="0" bottom="0" percent="0" rank="0" text="" dxfId="1065">
      <formula>$F1321:O2288="pp"</formula>
    </cfRule>
  </conditionalFormatting>
  <conditionalFormatting sqref="F806">
    <cfRule type="expression" priority="1056" aboveAverage="0" equalAverage="0" bottom="0" percent="0" rank="0" text="" dxfId="1066">
      <formula>$F806:J2567="pp"</formula>
    </cfRule>
  </conditionalFormatting>
  <conditionalFormatting sqref="F1393 O1357:O1366 E1355:E1356">
    <cfRule type="expression" priority="1057" aboveAverage="0" equalAverage="0" bottom="0" percent="0" rank="0" text="" dxfId="1067">
      <formula>$F1355:I2286="pp"</formula>
    </cfRule>
  </conditionalFormatting>
  <conditionalFormatting sqref="F287">
    <cfRule type="expression" priority="1058" aboveAverage="0" equalAverage="0" bottom="0" percent="0" rank="0" text="" dxfId="1068">
      <formula>$F287:J2332="pp"</formula>
    </cfRule>
  </conditionalFormatting>
  <conditionalFormatting sqref="F1394 G1340:I1345">
    <cfRule type="expression" priority="1059" aboveAverage="0" equalAverage="0" bottom="0" percent="0" rank="0" text="" dxfId="1069">
      <formula>$F1340:J2270="pp"</formula>
    </cfRule>
  </conditionalFormatting>
  <conditionalFormatting sqref="J1394">
    <cfRule type="expression" priority="1060" aboveAverage="0" equalAverage="0" bottom="0" percent="0" rank="0" text="" dxfId="1070">
      <formula>$F1394:O2285="pp"</formula>
    </cfRule>
  </conditionalFormatting>
  <conditionalFormatting sqref="K1394 B1347:B1348 J1347:J1348 L1347:L1348">
    <cfRule type="expression" priority="1061" aboveAverage="0" equalAverage="0" bottom="0" percent="0" rank="0" text="" dxfId="1071">
      <formula>$F1347:G2275="pp"</formula>
    </cfRule>
  </conditionalFormatting>
  <conditionalFormatting sqref="Q1394">
    <cfRule type="expression" priority="1062" aboveAverage="0" equalAverage="0" bottom="0" percent="0" rank="0" text="" dxfId="1072">
      <formula>$F1394:T2313="pp"</formula>
    </cfRule>
  </conditionalFormatting>
  <conditionalFormatting sqref="G1394:I1394 O1414:O1417 F1451:F1453">
    <cfRule type="expression" priority="1063" aboveAverage="0" equalAverage="0" bottom="0" percent="0" rank="0" text="" dxfId="1073">
      <formula>$F1394:J2285="pp"</formula>
    </cfRule>
  </conditionalFormatting>
  <conditionalFormatting sqref="O906">
    <cfRule type="expression" priority="1064" aboveAverage="0" equalAverage="0" bottom="0" percent="0" rank="0" text="" dxfId="1074">
      <formula>$F906:S2299="pp"</formula>
    </cfRule>
  </conditionalFormatting>
  <conditionalFormatting sqref="C1393:D1393 A1371:A1374 C1399:D1400">
    <cfRule type="expression" priority="1065" aboveAverage="0" equalAverage="0" bottom="0" percent="0" rank="0" text="" dxfId="1075">
      <formula>$F1371:F2297="pp"</formula>
    </cfRule>
  </conditionalFormatting>
  <conditionalFormatting sqref="L1394">
    <cfRule type="expression" priority="1066" aboveAverage="0" equalAverage="0" bottom="0" percent="0" rank="0" text="" dxfId="1076">
      <formula>$F1394:Q2285="pp"</formula>
    </cfRule>
  </conditionalFormatting>
  <conditionalFormatting sqref="C1394:D1394 C1387:D1392">
    <cfRule type="expression" priority="1067" aboveAverage="0" equalAverage="0" bottom="0" percent="0" rank="0" text="" dxfId="1077">
      <formula>$F1387:H2318="pp"</formula>
    </cfRule>
  </conditionalFormatting>
  <conditionalFormatting sqref="F822">
    <cfRule type="expression" priority="1068" aboveAverage="0" equalAverage="0" bottom="0" percent="0" rank="0" text="" dxfId="1078">
      <formula>$F822:J2590="pp"</formula>
    </cfRule>
  </conditionalFormatting>
  <conditionalFormatting sqref="G920:I920">
    <cfRule type="expression" priority="1069" aboveAverage="0" equalAverage="0" bottom="0" percent="0" rank="0" text="" dxfId="1079">
      <formula>$F920:K2280="pp"</formula>
    </cfRule>
  </conditionalFormatting>
  <conditionalFormatting sqref="F1436">
    <cfRule type="expression" priority="1070" aboveAverage="0" equalAverage="0" bottom="0" percent="0" rank="0" text="" dxfId="1080">
      <formula>$F1436:J2339="pp"</formula>
    </cfRule>
  </conditionalFormatting>
  <conditionalFormatting sqref="L1046">
    <cfRule type="expression" priority="1071" aboveAverage="0" equalAverage="0" bottom="0" percent="0" rank="0" text="" dxfId="1081">
      <formula>$F1046:Q2297="pp"</formula>
    </cfRule>
  </conditionalFormatting>
  <conditionalFormatting sqref="M1394:N1394">
    <cfRule type="expression" priority="1072" aboveAverage="0" equalAverage="0" bottom="0" percent="0" rank="0" text="" dxfId="1082">
      <formula>$F1394:R2322="pp"</formula>
    </cfRule>
  </conditionalFormatting>
  <conditionalFormatting sqref="G1073:I1073">
    <cfRule type="expression" priority="1073" aboveAverage="0" equalAverage="0" bottom="0" percent="0" rank="0" text="" dxfId="1083">
      <formula>$F1073:K2285="pp"</formula>
    </cfRule>
  </conditionalFormatting>
  <conditionalFormatting sqref="L1073">
    <cfRule type="expression" priority="1074" aboveAverage="0" equalAverage="0" bottom="0" percent="0" rank="0" text="" dxfId="1084">
      <formula>$F1073:Q2285="pp"</formula>
    </cfRule>
  </conditionalFormatting>
  <conditionalFormatting sqref="C406:D406">
    <cfRule type="expression" priority="1075" aboveAverage="0" equalAverage="0" bottom="0" percent="0" rank="0" text="" dxfId="1085">
      <formula>$F406:H2480="pp"</formula>
    </cfRule>
  </conditionalFormatting>
  <conditionalFormatting sqref="F283 E227:E232">
    <cfRule type="expression" priority="1076" aboveAverage="0" equalAverage="0" bottom="0" percent="0" rank="0" text="" dxfId="1086">
      <formula>$F227:I2272="pp"</formula>
    </cfRule>
  </conditionalFormatting>
  <conditionalFormatting sqref="L876">
    <cfRule type="expression" priority="1077" aboveAverage="0" equalAverage="0" bottom="0" percent="0" rank="0" text="" dxfId="1087">
      <formula>$F876:Q2282="pp"</formula>
    </cfRule>
  </conditionalFormatting>
  <conditionalFormatting sqref="K406 K346:K352 M346:N352">
    <cfRule type="expression" priority="1078" aboveAverage="0" equalAverage="0" bottom="0" percent="0" rank="0" text="" dxfId="1088">
      <formula>$F346:P2416="pp"</formula>
    </cfRule>
  </conditionalFormatting>
  <conditionalFormatting sqref="Q406 Q346:Q352">
    <cfRule type="expression" priority="1079" aboveAverage="0" equalAverage="0" bottom="0" percent="0" rank="0" text="" dxfId="1089">
      <formula>$F346:T2407="pp"</formula>
    </cfRule>
  </conditionalFormatting>
  <conditionalFormatting sqref="A406 A346:A352 C219:D219">
    <cfRule type="expression" priority="1080" aboveAverage="0" equalAverage="0" bottom="0" percent="0" rank="0" text="" dxfId="1090">
      <formula>$F219:F2285="pp"</formula>
    </cfRule>
  </conditionalFormatting>
  <conditionalFormatting sqref="F295">
    <cfRule type="expression" priority="1081" aboveAverage="0" equalAverage="0" bottom="0" percent="0" rank="0" text="" dxfId="1091">
      <formula>$F295:J2340="pp"</formula>
    </cfRule>
  </conditionalFormatting>
  <conditionalFormatting sqref="F406">
    <cfRule type="expression" priority="1082" aboveAverage="0" equalAverage="0" bottom="0" percent="0" rank="0" text="" dxfId="1092">
      <formula>$F406:J2493="pp"</formula>
    </cfRule>
  </conditionalFormatting>
  <conditionalFormatting sqref="L189">
    <cfRule type="expression" priority="1083" aboveAverage="0" equalAverage="0" bottom="0" percent="0" rank="0" text="" dxfId="1093">
      <formula>$F189:Q2239="pp"</formula>
    </cfRule>
  </conditionalFormatting>
  <conditionalFormatting sqref="J406">
    <cfRule type="expression" priority="1084" aboveAverage="0" equalAverage="0" bottom="0" percent="0" rank="0" text="" dxfId="1094">
      <formula>$F406:O2454="pp"</formula>
    </cfRule>
  </conditionalFormatting>
  <conditionalFormatting sqref="C407:D407">
    <cfRule type="expression" priority="1085" aboveAverage="0" equalAverage="0" bottom="0" percent="0" rank="0" text="" dxfId="1095">
      <formula>$F407:H2482="pp"</formula>
    </cfRule>
  </conditionalFormatting>
  <conditionalFormatting sqref="F407">
    <cfRule type="expression" priority="1086" aboveAverage="0" equalAverage="0" bottom="0" percent="0" rank="0" text="" dxfId="1096">
      <formula>$F407:J2495="pp"</formula>
    </cfRule>
  </conditionalFormatting>
  <conditionalFormatting sqref="K407">
    <cfRule type="expression" priority="1087" aboveAverage="0" equalAverage="0" bottom="0" percent="0" rank="0" text="" dxfId="1097">
      <formula>$F407:P2478="pp"</formula>
    </cfRule>
  </conditionalFormatting>
  <conditionalFormatting sqref="Q407 Q204:Q208">
    <cfRule type="expression" priority="1088" aboveAverage="0" equalAverage="0" bottom="0" percent="0" rank="0" text="" dxfId="1098">
      <formula>$F204:T2266="pp"</formula>
    </cfRule>
  </conditionalFormatting>
  <conditionalFormatting sqref="C282:D282">
    <cfRule type="expression" priority="1089" aboveAverage="0" equalAverage="0" bottom="0" percent="0" rank="0" text="" dxfId="1099">
      <formula>$F282:H2323="pp"</formula>
    </cfRule>
  </conditionalFormatting>
  <conditionalFormatting sqref="F408">
    <cfRule type="expression" priority="1090" aboveAverage="0" equalAverage="0" bottom="0" percent="0" rank="0" text="" dxfId="1100">
      <formula>$F408:J2492="pp"</formula>
    </cfRule>
  </conditionalFormatting>
  <conditionalFormatting sqref="K408">
    <cfRule type="expression" priority="1091" aboveAverage="0" equalAverage="0" bottom="0" percent="0" rank="0" text="" dxfId="1101">
      <formula>$F408:P2475="pp"</formula>
    </cfRule>
  </conditionalFormatting>
  <conditionalFormatting sqref="Q408 Q209:Q216">
    <cfRule type="expression" priority="1092" aboveAverage="0" equalAverage="0" bottom="0" percent="0" rank="0" text="" dxfId="1102">
      <formula>$F209:T2267="pp"</formula>
    </cfRule>
  </conditionalFormatting>
  <conditionalFormatting sqref="G1324:I1324">
    <cfRule type="expression" priority="1093" aboveAverage="0" equalAverage="0" bottom="0" percent="0" rank="0" text="" dxfId="1103">
      <formula>$F1324:K2273="pp"</formula>
    </cfRule>
  </conditionalFormatting>
  <conditionalFormatting sqref="O582">
    <cfRule type="expression" priority="1094" aboveAverage="0" equalAverage="0" bottom="0" percent="0" rank="0" text="" dxfId="1104">
      <formula>$F582:S2293="pp"</formula>
    </cfRule>
  </conditionalFormatting>
  <conditionalFormatting sqref="J342">
    <cfRule type="expression" priority="1095" aboveAverage="0" equalAverage="0" bottom="0" percent="0" rank="0" text="" dxfId="1105">
      <formula>$F342:O2277="pp"</formula>
    </cfRule>
  </conditionalFormatting>
  <conditionalFormatting sqref="Q342 Q336:Q340">
    <cfRule type="expression" priority="1096" aboveAverage="0" equalAverage="0" bottom="0" percent="0" rank="0" text="" dxfId="1106">
      <formula>$F336:T2284="pp"</formula>
    </cfRule>
  </conditionalFormatting>
  <conditionalFormatting sqref="C271:D271">
    <cfRule type="expression" priority="1097" aboveAverage="0" equalAverage="0" bottom="0" percent="0" rank="0" text="" dxfId="1107">
      <formula>$F271:H2321="pp"</formula>
    </cfRule>
  </conditionalFormatting>
  <conditionalFormatting sqref="C238:D238 C222:D226">
    <cfRule type="expression" priority="1098" aboveAverage="0" equalAverage="0" bottom="0" percent="0" rank="0" text="" dxfId="1108">
      <formula>$F222:H2285="pp"</formula>
    </cfRule>
  </conditionalFormatting>
  <conditionalFormatting sqref="K342 B322:B323 M336:N340 J322:J323 L322:L323 K336:K340">
    <cfRule type="expression" priority="1099" aboveAverage="0" equalAverage="0" bottom="0" percent="0" rank="0" text="" dxfId="1109">
      <formula>$F322:G2279="pp"</formula>
    </cfRule>
  </conditionalFormatting>
  <conditionalFormatting sqref="L407">
    <cfRule type="expression" priority="1100" aboveAverage="0" equalAverage="0" bottom="0" percent="0" rank="0" text="" dxfId="1110">
      <formula>$F407:Q2456="pp"</formula>
    </cfRule>
  </conditionalFormatting>
  <conditionalFormatting sqref="E342 E336:E340">
    <cfRule type="expression" priority="1101" aboveAverage="0" equalAverage="0" bottom="0" percent="0" rank="0" text="" dxfId="1111">
      <formula>$F336:I2281="pp"</formula>
    </cfRule>
  </conditionalFormatting>
  <conditionalFormatting sqref="J341">
    <cfRule type="expression" priority="1102" aboveAverage="0" equalAverage="0" bottom="0" percent="0" rank="0" text="" dxfId="1112">
      <formula>$F341:O2272="pp"</formula>
    </cfRule>
  </conditionalFormatting>
  <conditionalFormatting sqref="Q341">
    <cfRule type="expression" priority="1103" aboveAverage="0" equalAverage="0" bottom="0" percent="0" rank="0" text="" dxfId="1113">
      <formula>$F341:T2285="pp"</formula>
    </cfRule>
  </conditionalFormatting>
  <conditionalFormatting sqref="G341:I341">
    <cfRule type="expression" priority="1104" aboveAverage="0" equalAverage="0" bottom="0" percent="0" rank="0" text="" dxfId="1114">
      <formula>$F341:K2272="pp"</formula>
    </cfRule>
  </conditionalFormatting>
  <conditionalFormatting sqref="C395:D395">
    <cfRule type="expression" priority="1105" aboveAverage="0" equalAverage="0" bottom="0" percent="0" rank="0" text="" dxfId="1115">
      <formula>$F395:H2327="pp"</formula>
    </cfRule>
  </conditionalFormatting>
  <conditionalFormatting sqref="C663:D663">
    <cfRule type="expression" priority="1106" aboveAverage="0" equalAverage="0" bottom="0" percent="0" rank="0" text="" dxfId="1116">
      <formula>$F663:H2307="pp"</formula>
    </cfRule>
  </conditionalFormatting>
  <conditionalFormatting sqref="C987:D987">
    <cfRule type="expression" priority="1107" aboveAverage="0" equalAverage="0" bottom="0" percent="0" rank="0" text="" dxfId="1117">
      <formula>$F987:H2349="pp"</formula>
    </cfRule>
  </conditionalFormatting>
  <conditionalFormatting sqref="C1396:D1396">
    <cfRule type="expression" priority="1108" aboveAverage="0" equalAverage="0" bottom="0" percent="0" rank="0" text="" dxfId="1118">
      <formula>$F1396:H2327="pp"</formula>
    </cfRule>
  </conditionalFormatting>
  <conditionalFormatting sqref="L905">
    <cfRule type="expression" priority="1109" aboveAverage="0" equalAverage="0" bottom="0" percent="0" rank="0" text="" dxfId="1119">
      <formula>$F905:Q2285="pp"</formula>
    </cfRule>
  </conditionalFormatting>
  <conditionalFormatting sqref="L406">
    <cfRule type="expression" priority="1110" aboveAverage="0" equalAverage="0" bottom="0" percent="0" rank="0" text="" dxfId="1120">
      <formula>$F406:Q2454="pp"</formula>
    </cfRule>
  </conditionalFormatting>
  <conditionalFormatting sqref="C1395:D1395">
    <cfRule type="expression" priority="1111" aboveAverage="0" equalAverage="0" bottom="0" percent="0" rank="0" text="" dxfId="1121">
      <formula>$F1395:H2321="pp"</formula>
    </cfRule>
  </conditionalFormatting>
  <conditionalFormatting sqref="L1324">
    <cfRule type="expression" priority="1112" aboveAverage="0" equalAverage="0" bottom="0" percent="0" rank="0" text="" dxfId="1122">
      <formula>$F1324:Q2273="pp"</formula>
    </cfRule>
  </conditionalFormatting>
  <conditionalFormatting sqref="G905:I905">
    <cfRule type="expression" priority="1113" aboveAverage="0" equalAverage="0" bottom="0" percent="0" rank="0" text="" dxfId="1123">
      <formula>$F905:K2285="pp"</formula>
    </cfRule>
  </conditionalFormatting>
  <conditionalFormatting sqref="M1045:N1045">
    <cfRule type="expression" priority="1114" aboveAverage="0" equalAverage="0" bottom="0" percent="0" rank="0" text="" dxfId="1124">
      <formula>$F1045:R2334="pp"</formula>
    </cfRule>
  </conditionalFormatting>
  <conditionalFormatting sqref="L1045">
    <cfRule type="expression" priority="1115" aboveAverage="0" equalAverage="0" bottom="0" percent="0" rank="0" text="" dxfId="1125">
      <formula>$F1045:Q2297="pp"</formula>
    </cfRule>
  </conditionalFormatting>
  <conditionalFormatting sqref="M905:N905">
    <cfRule type="expression" priority="1116" aboveAverage="0" equalAverage="0" bottom="0" percent="0" rank="0" text="" dxfId="1126">
      <formula>$F905:R2322="pp"</formula>
    </cfRule>
  </conditionalFormatting>
  <conditionalFormatting sqref="J149 A149:D149">
    <cfRule type="expression" priority="1117" aboveAverage="0" equalAverage="0" bottom="0" percent="0" rank="0" text="" dxfId="1127">
      <formula>$F149:F2276="pp"</formula>
    </cfRule>
  </conditionalFormatting>
  <conditionalFormatting sqref="C295:D295 B221:B226 M267:N268 J221:J226 L221:L226 K267:K268">
    <cfRule type="expression" priority="1118" aboveAverage="0" equalAverage="0" bottom="0" percent="0" rank="0" text="" dxfId="1128">
      <formula>$F221:G2261="pp"</formula>
    </cfRule>
  </conditionalFormatting>
  <conditionalFormatting sqref="M342:N342">
    <cfRule type="expression" priority="1119" aboveAverage="0" equalAverage="0" bottom="0" percent="0" rank="0" text="" dxfId="1129">
      <formula>$F342:R2299="pp"</formula>
    </cfRule>
  </conditionalFormatting>
  <conditionalFormatting sqref="F885">
    <cfRule type="expression" priority="1120" aboveAverage="0" equalAverage="0" bottom="0" percent="0" rank="0" text="" dxfId="1130">
      <formula>$F885:J2599="pp"</formula>
    </cfRule>
  </conditionalFormatting>
  <conditionalFormatting sqref="J238">
    <cfRule type="expression" priority="1121" aboveAverage="0" equalAverage="0" bottom="0" percent="0" rank="0" text="" dxfId="1131">
      <formula>$F238:O2267="pp"</formula>
    </cfRule>
  </conditionalFormatting>
  <conditionalFormatting sqref="B1458 A1462:A1465">
    <cfRule type="expression" priority="1122" aboveAverage="0" equalAverage="0" bottom="0" percent="0" rank="0" text="" dxfId="1132">
      <formula>$F1458:F2311="pp"</formula>
    </cfRule>
  </conditionalFormatting>
  <conditionalFormatting sqref="G1346:I1346 F1395:F1396">
    <cfRule type="expression" priority="1123" aboveAverage="0" equalAverage="0" bottom="0" percent="0" rank="0" text="" dxfId="1133">
      <formula>$F1346:J2275="pp"</formula>
    </cfRule>
  </conditionalFormatting>
  <conditionalFormatting sqref="C678:D678">
    <cfRule type="expression" priority="1124" aboveAverage="0" equalAverage="0" bottom="0" percent="0" rank="0" text="" dxfId="1134">
      <formula>$F678:H2309="pp"</formula>
    </cfRule>
  </conditionalFormatting>
  <conditionalFormatting sqref="O515">
    <cfRule type="expression" priority="1125" aboveAverage="0" equalAverage="0" bottom="0" percent="0" rank="0" text="" dxfId="1135">
      <formula>$F515:S2289="pp"</formula>
    </cfRule>
  </conditionalFormatting>
  <conditionalFormatting sqref="E627">
    <cfRule type="expression" priority="1126" aboveAverage="0" equalAverage="0" bottom="0" percent="0" rank="0" text="" dxfId="1136">
      <formula>$F627:I2282="pp"</formula>
    </cfRule>
  </conditionalFormatting>
  <conditionalFormatting sqref="J476">
    <cfRule type="expression" priority="1127" aboveAverage="0" equalAverage="0" bottom="0" percent="0" rank="0" text="" dxfId="1137">
      <formula>$F476:O2271="pp"</formula>
    </cfRule>
  </conditionalFormatting>
  <conditionalFormatting sqref="C1398:D1398">
    <cfRule type="expression" priority="1128" aboveAverage="0" equalAverage="0" bottom="0" percent="0" rank="0" text="" dxfId="1138">
      <formula>$F1398:H2329="pp"</formula>
    </cfRule>
  </conditionalFormatting>
  <conditionalFormatting sqref="F507">
    <cfRule type="expression" priority="1129" aboveAverage="0" equalAverage="0" bottom="0" percent="0" rank="0" text="" dxfId="1139">
      <formula>$F507:J2308="pp"</formula>
    </cfRule>
  </conditionalFormatting>
  <conditionalFormatting sqref="K274">
    <cfRule type="expression" priority="1130" aboveAverage="0" equalAverage="0" bottom="0" percent="0" rank="0" text="" dxfId="1140">
      <formula>$F274:P2309="pp"</formula>
    </cfRule>
  </conditionalFormatting>
  <conditionalFormatting sqref="A506 C521:D523">
    <cfRule type="expression" priority="1131" aboveAverage="0" equalAverage="0" bottom="0" percent="0" rank="0" text="" dxfId="1141">
      <formula>$F506:F2289="pp"</formula>
    </cfRule>
  </conditionalFormatting>
  <conditionalFormatting sqref="F443">
    <cfRule type="expression" priority="1132" aboveAverage="0" equalAverage="0" bottom="0" percent="0" rank="0" text="" dxfId="1142">
      <formula>$F443:J2308="pp"</formula>
    </cfRule>
  </conditionalFormatting>
  <conditionalFormatting sqref="F515">
    <cfRule type="expression" priority="1133" aboveAverage="0" equalAverage="0" bottom="0" percent="0" rank="0" text="" dxfId="1143">
      <formula>$F515:J2313="pp"</formula>
    </cfRule>
  </conditionalFormatting>
  <conditionalFormatting sqref="G515:I515">
    <cfRule type="expression" priority="1134" aboveAverage="0" equalAverage="0" bottom="0" percent="0" rank="0" text="" dxfId="1144">
      <formula>$F515:K2274="pp"</formula>
    </cfRule>
  </conditionalFormatting>
  <conditionalFormatting sqref="B341">
    <cfRule type="expression" priority="1135" aboveAverage="0" equalAverage="0" bottom="0" percent="0" rank="0" text="" dxfId="1145">
      <formula>$F341:G2272="pp"</formula>
    </cfRule>
  </conditionalFormatting>
  <conditionalFormatting sqref="C1397:D1397">
    <cfRule type="expression" priority="1136" aboveAverage="0" equalAverage="0" bottom="0" percent="0" rank="0" text="" dxfId="1146">
      <formula>$F1397:H2323="pp"</formula>
    </cfRule>
  </conditionalFormatting>
  <conditionalFormatting sqref="K1475 K1480:K1482 M1480:N1482">
    <cfRule type="expression" priority="1137" aboveAverage="0" equalAverage="0" bottom="0" percent="0" rank="0" text="" dxfId="1147">
      <formula>$F1475:P2338="pp"</formula>
    </cfRule>
  </conditionalFormatting>
  <conditionalFormatting sqref="O342">
    <cfRule type="expression" priority="1138" aboveAverage="0" equalAverage="0" bottom="0" percent="0" rank="0" text="" dxfId="1148">
      <formula>$F342:S2277="pp"</formula>
    </cfRule>
  </conditionalFormatting>
  <conditionalFormatting sqref="B342 B336:B340 J336:J340 L336:L340">
    <cfRule type="expression" priority="1139" aboveAverage="0" equalAverage="0" bottom="0" percent="0" rank="0" text="" dxfId="1149">
      <formula>$F336:G2271="pp"</formula>
    </cfRule>
  </conditionalFormatting>
  <conditionalFormatting sqref="E493 G480:I484">
    <cfRule type="expression" priority="1140" aboveAverage="0" equalAverage="0" bottom="0" percent="0" rank="0" text="" dxfId="1150">
      <formula>$F480:I2270="pp"</formula>
    </cfRule>
  </conditionalFormatting>
  <conditionalFormatting sqref="C506:D506 A491:A492">
    <cfRule type="expression" priority="1141" aboveAverage="0" equalAverage="0" bottom="0" percent="0" rank="0" text="" dxfId="1151">
      <formula>$F491:F2290="pp"</formula>
    </cfRule>
  </conditionalFormatting>
  <conditionalFormatting sqref="K515">
    <cfRule type="expression" priority="1142" aboveAverage="0" equalAverage="0" bottom="0" percent="0" rank="0" text="" dxfId="1152">
      <formula>$F515:P2311="pp"</formula>
    </cfRule>
  </conditionalFormatting>
  <conditionalFormatting sqref="P189">
    <cfRule type="expression" priority="1143" aboveAverage="0" equalAverage="0" bottom="0" percent="0" rank="0" text="" dxfId="1153">
      <formula>$F189:T2242="pp"</formula>
    </cfRule>
  </conditionalFormatting>
  <conditionalFormatting sqref="Q515">
    <cfRule type="expression" priority="1144" aboveAverage="0" equalAverage="0" bottom="0" percent="0" rank="0" text="" dxfId="1154">
      <formula>$F515:T2303="pp"</formula>
    </cfRule>
  </conditionalFormatting>
  <conditionalFormatting sqref="E341 F375:F378">
    <cfRule type="expression" priority="1145" aboveAverage="0" equalAverage="0" bottom="0" percent="0" rank="0" text="" dxfId="1155">
      <formula>$F341:I2282="pp"</formula>
    </cfRule>
  </conditionalFormatting>
  <conditionalFormatting sqref="F808">
    <cfRule type="expression" priority="1146" aboveAverage="0" equalAverage="0" bottom="0" percent="0" rank="0" text="" dxfId="1156">
      <formula>$F808:J2569="pp"</formula>
    </cfRule>
  </conditionalFormatting>
  <conditionalFormatting sqref="B1394 A1418:A1422 A1426:A1428 C1454:D1457 K1454:K1457 M1454:N1457">
    <cfRule type="expression" priority="1147" aboveAverage="0" equalAverage="0" bottom="0" percent="0" rank="0" text="" dxfId="1157">
      <formula>$F1394:F2285="pp"</formula>
    </cfRule>
  </conditionalFormatting>
  <conditionalFormatting sqref="C684:D684">
    <cfRule type="expression" priority="1148" aboveAverage="0" equalAverage="0" bottom="0" percent="0" rank="0" text="" dxfId="1158">
      <formula>$F684:H2313="pp"</formula>
    </cfRule>
  </conditionalFormatting>
  <conditionalFormatting sqref="C736:D736 B706:B707 J706:J707 L706:L707">
    <cfRule type="expression" priority="1149" aboveAverage="0" equalAverage="0" bottom="0" percent="0" rank="0" text="" dxfId="1159">
      <formula>$F706:G2275="pp"</formula>
    </cfRule>
  </conditionalFormatting>
  <conditionalFormatting sqref="E1349 F1380:F1386 O1350:O1354">
    <cfRule type="expression" priority="1150" aboveAverage="0" equalAverage="0" bottom="0" percent="0" rank="0" text="" dxfId="1160">
      <formula>$F1349:I2286="pp"</formula>
    </cfRule>
  </conditionalFormatting>
  <conditionalFormatting sqref="G406:I406">
    <cfRule type="expression" priority="1151" aboveAverage="0" equalAverage="0" bottom="0" percent="0" rank="0" text="" dxfId="1161">
      <formula>$F406:K2454="pp"</formula>
    </cfRule>
  </conditionalFormatting>
  <conditionalFormatting sqref="F320 F311:F316 F318">
    <cfRule type="expression" priority="1152" aboveAverage="0" equalAverage="0" bottom="0" percent="0" rank="0" text="" dxfId="1162">
      <formula>$F311:J2323="pp"</formula>
    </cfRule>
  </conditionalFormatting>
  <conditionalFormatting sqref="A379 C276:D278 B408">
    <cfRule type="expression" priority="1153" aboveAverage="0" equalAverage="0" bottom="0" percent="0" rank="0" text="" dxfId="1163">
      <formula>$F276:F2321="pp"</formula>
    </cfRule>
  </conditionalFormatting>
  <conditionalFormatting sqref="B335">
    <cfRule type="expression" priority="1154" aboveAverage="0" equalAverage="0" bottom="0" percent="0" rank="0" text="" dxfId="1164">
      <formula>$F335:G2277="pp"</formula>
    </cfRule>
  </conditionalFormatting>
  <conditionalFormatting sqref="M408:N408">
    <cfRule type="expression" priority="1155" aboveAverage="0" equalAverage="0" bottom="0" percent="0" rank="0" text="" dxfId="1165">
      <formula>$F408:R2475="pp"</formula>
    </cfRule>
  </conditionalFormatting>
  <conditionalFormatting sqref="A667 M689:N691 K689:K691">
    <cfRule type="expression" priority="1156" aboveAverage="0" equalAverage="0" bottom="0" percent="0" rank="0" text="" dxfId="1166">
      <formula>$F667:F2290="pp"</formula>
    </cfRule>
  </conditionalFormatting>
  <conditionalFormatting sqref="L667">
    <cfRule type="expression" priority="1157" aboveAverage="0" equalAverage="0" bottom="0" percent="0" rank="0" text="" dxfId="1167">
      <formula>$F667:Q2272="pp"</formula>
    </cfRule>
  </conditionalFormatting>
  <conditionalFormatting sqref="J725">
    <cfRule type="expression" priority="1158" aboveAverage="0" equalAverage="0" bottom="0" percent="0" rank="0" text="" dxfId="1168">
      <formula>$F725:O2278="pp"</formula>
    </cfRule>
  </conditionalFormatting>
  <conditionalFormatting sqref="K725 C717:D718 B685:B688 J685:J688 L685:L688">
    <cfRule type="expression" priority="1159" aboveAverage="0" equalAverage="0" bottom="0" percent="0" rank="0" text="" dxfId="1169">
      <formula>$F685:G2275="pp"</formula>
    </cfRule>
  </conditionalFormatting>
  <conditionalFormatting sqref="Q725">
    <cfRule type="expression" priority="1160" aboveAverage="0" equalAverage="0" bottom="0" percent="0" rank="0" text="" dxfId="1170">
      <formula>$F725:T2306="pp"</formula>
    </cfRule>
  </conditionalFormatting>
  <conditionalFormatting sqref="E574">
    <cfRule type="expression" priority="1161" aboveAverage="0" equalAverage="0" bottom="0" percent="0" rank="0" text="" dxfId="1171">
      <formula>$F574:I2295="pp"</formula>
    </cfRule>
  </conditionalFormatting>
  <conditionalFormatting sqref="A594">
    <cfRule type="expression" priority="1162" aboveAverage="0" equalAverage="0" bottom="0" percent="0" rank="0" text="" dxfId="1172">
      <formula>$F594:F2314="pp"</formula>
    </cfRule>
  </conditionalFormatting>
  <conditionalFormatting sqref="A595 M596:N599 K596:K599">
    <cfRule type="expression" priority="1163" aboveAverage="0" equalAverage="0" bottom="0" percent="0" rank="0" text="" dxfId="1173">
      <formula>$F595:F2314="pp"</formula>
    </cfRule>
  </conditionalFormatting>
  <conditionalFormatting sqref="E667 O672:O675">
    <cfRule type="expression" priority="1164" aboveAverage="0" equalAverage="0" bottom="0" percent="0" rank="0" text="" dxfId="1174">
      <formula>$F667:I2282="pp"</formula>
    </cfRule>
  </conditionalFormatting>
  <conditionalFormatting sqref="J667">
    <cfRule type="expression" priority="1165" aboveAverage="0" equalAverage="0" bottom="0" percent="0" rank="0" text="" dxfId="1175">
      <formula>$F667:O2272="pp"</formula>
    </cfRule>
  </conditionalFormatting>
  <conditionalFormatting sqref="F826">
    <cfRule type="expression" priority="1166" aboveAverage="0" equalAverage="0" bottom="0" percent="0" rank="0" text="" dxfId="1176">
      <formula>$F826:J2594="pp"</formula>
    </cfRule>
  </conditionalFormatting>
  <conditionalFormatting sqref="M725:N725">
    <cfRule type="expression" priority="1167" aboveAverage="0" equalAverage="0" bottom="0" percent="0" rank="0" text="" dxfId="1177">
      <formula>$F725:R2315="pp"</formula>
    </cfRule>
  </conditionalFormatting>
  <conditionalFormatting sqref="C180:D180">
    <cfRule type="expression" priority="1168" aboveAverage="0" equalAverage="0" bottom="0" percent="0" rank="0" text="" dxfId="1178">
      <formula>$F180:H2270="pp"</formula>
    </cfRule>
  </conditionalFormatting>
  <conditionalFormatting sqref="K189 K222:K226 M222:N226">
    <cfRule type="expression" priority="1169" aboveAverage="0" equalAverage="0" bottom="0" percent="0" rank="0" text="" dxfId="1179">
      <formula>$F189:P2251="pp"</formula>
    </cfRule>
  </conditionalFormatting>
  <conditionalFormatting sqref="F293">
    <cfRule type="expression" priority="1170" aboveAverage="0" equalAverage="0" bottom="0" percent="0" rank="0" text="" dxfId="1180">
      <formula>$F293:J2338="pp"</formula>
    </cfRule>
  </conditionalFormatting>
  <conditionalFormatting sqref="B1334 A1355:A1356 M1377:N1379 K1377:K1379">
    <cfRule type="expression" priority="1171" aboveAverage="0" equalAverage="0" bottom="0" percent="0" rank="0" text="" dxfId="1181">
      <formula>$F1334:F2273="pp"</formula>
    </cfRule>
  </conditionalFormatting>
  <conditionalFormatting sqref="G1134:I1134">
    <cfRule type="expression" priority="1172" aboveAverage="0" equalAverage="0" bottom="0" percent="0" rank="0" text="" dxfId="1182">
      <formula>$F1134:K2277="pp"</formula>
    </cfRule>
  </conditionalFormatting>
  <conditionalFormatting sqref="J876">
    <cfRule type="expression" priority="1173" aboveAverage="0" equalAverage="0" bottom="0" percent="0" rank="0" text="" dxfId="1183">
      <formula>$F876:O2282="pp"</formula>
    </cfRule>
  </conditionalFormatting>
  <conditionalFormatting sqref="C1287:D1287">
    <cfRule type="expression" priority="1174" aboveAverage="0" equalAverage="0" bottom="0" percent="0" rank="0" text="" dxfId="1184">
      <formula>$F1287:H2339="pp"</formula>
    </cfRule>
  </conditionalFormatting>
  <conditionalFormatting sqref="G1287:I1287 O1297:O1300 E1301:E1302">
    <cfRule type="expression" priority="1175" aboveAverage="0" equalAverage="0" bottom="0" percent="0" rank="0" text="" dxfId="1185">
      <formula>$F1287:I2289="pp"</formula>
    </cfRule>
  </conditionalFormatting>
  <conditionalFormatting sqref="C910:D910">
    <cfRule type="expression" priority="1176" aboveAverage="0" equalAverage="0" bottom="0" percent="0" rank="0" text="" dxfId="1186">
      <formula>$F910:H2338="pp"</formula>
    </cfRule>
  </conditionalFormatting>
  <conditionalFormatting sqref="B1048">
    <cfRule type="expression" priority="1177" aboveAverage="0" equalAverage="0" bottom="0" percent="0" rank="0" text="" dxfId="1187">
      <formula>$F1048:G2297="pp"</formula>
    </cfRule>
  </conditionalFormatting>
  <conditionalFormatting sqref="B627 C657:D662">
    <cfRule type="expression" priority="1178" aboveAverage="0" equalAverage="0" bottom="0" percent="0" rank="0" text="" dxfId="1188">
      <formula>$F627:G2272="pp"</formula>
    </cfRule>
  </conditionalFormatting>
  <conditionalFormatting sqref="F812">
    <cfRule type="expression" priority="1179" aboveAverage="0" equalAverage="0" bottom="0" percent="0" rank="0" text="" dxfId="1189">
      <formula>$F812:J2573="pp"</formula>
    </cfRule>
  </conditionalFormatting>
  <conditionalFormatting sqref="F322">
    <cfRule type="expression" priority="1180" aboveAverage="0" equalAverage="0" bottom="0" percent="0" rank="0" text="" dxfId="1190">
      <formula>$F322:J2334="pp"</formula>
    </cfRule>
  </conditionalFormatting>
  <conditionalFormatting sqref="A625">
    <cfRule type="expression" priority="1181" aboveAverage="0" equalAverage="0" bottom="0" percent="0" rank="0" text="" dxfId="1191">
      <formula>$F625:F2290="pp"</formula>
    </cfRule>
  </conditionalFormatting>
  <conditionalFormatting sqref="C664:D664">
    <cfRule type="expression" priority="1182" aboveAverage="0" equalAverage="0" bottom="0" percent="0" rank="0" text="" dxfId="1192">
      <formula>$F664:H2304="pp"</formula>
    </cfRule>
  </conditionalFormatting>
  <conditionalFormatting sqref="B642 A657:A662">
    <cfRule type="expression" priority="1183" aboveAverage="0" equalAverage="0" bottom="0" percent="0" rank="0" text="" dxfId="1193">
      <formula>$F642:F2271="pp"</formula>
    </cfRule>
  </conditionalFormatting>
  <conditionalFormatting sqref="E596 G583:I588">
    <cfRule type="expression" priority="1184" aboveAverage="0" equalAverage="0" bottom="0" percent="0" rank="0" text="" dxfId="1194">
      <formula>$F583:I2275="pp"</formula>
    </cfRule>
  </conditionalFormatting>
  <conditionalFormatting sqref="F786 O527:O532">
    <cfRule type="expression" priority="1185" aboveAverage="0" equalAverage="0" bottom="0" percent="0" rank="0" text="" dxfId="1195">
      <formula>$F527:J2287="pp"</formula>
    </cfRule>
  </conditionalFormatting>
  <conditionalFormatting sqref="O802">
    <cfRule type="expression" priority="1186" aboveAverage="0" equalAverage="0" bottom="0" percent="0" rank="0" text="" dxfId="1196">
      <formula>$F802:S2291="pp"</formula>
    </cfRule>
  </conditionalFormatting>
  <conditionalFormatting sqref="K802">
    <cfRule type="expression" priority="1187" aboveAverage="0" equalAverage="0" bottom="0" percent="0" rank="0" text="" dxfId="1197">
      <formula>$F802:P2313="pp"</formula>
    </cfRule>
  </conditionalFormatting>
  <conditionalFormatting sqref="O572">
    <cfRule type="expression" priority="1188" aboveAverage="0" equalAverage="0" bottom="0" percent="0" rank="0" text="" dxfId="1198">
      <formula>$F572:S2301="pp"</formula>
    </cfRule>
  </conditionalFormatting>
  <conditionalFormatting sqref="Q802">
    <cfRule type="expression" priority="1189" aboveAverage="0" equalAverage="0" bottom="0" percent="0" rank="0" text="" dxfId="1199">
      <formula>$F802:T2304="pp"</formula>
    </cfRule>
  </conditionalFormatting>
  <conditionalFormatting sqref="B1324">
    <cfRule type="expression" priority="1190" aboveAverage="0" equalAverage="0" bottom="0" percent="0" rank="0" text="" dxfId="1200">
      <formula>$F1324:G2273="pp"</formula>
    </cfRule>
  </conditionalFormatting>
  <conditionalFormatting sqref="G1296:I1296 E1311:E1319">
    <cfRule type="expression" priority="1191" aboveAverage="0" equalAverage="0" bottom="0" percent="0" rank="0" text="" dxfId="1201">
      <formula>$F1296:I2289="pp"</formula>
    </cfRule>
  </conditionalFormatting>
  <conditionalFormatting sqref="C855:D855">
    <cfRule type="expression" priority="1192" aboveAverage="0" equalAverage="0" bottom="0" percent="0" rank="0" text="" dxfId="1202">
      <formula>$F855:H2346="pp"</formula>
    </cfRule>
  </conditionalFormatting>
  <conditionalFormatting sqref="E921 O925:O926">
    <cfRule type="expression" priority="1193" aboveAverage="0" equalAverage="0" bottom="0" percent="0" rank="0" text="" dxfId="1203">
      <formula>$F921:I2292="pp"</formula>
    </cfRule>
  </conditionalFormatting>
  <conditionalFormatting sqref="O1296">
    <cfRule type="expression" priority="1194" aboveAverage="0" equalAverage="0" bottom="0" percent="0" rank="0" text="" dxfId="1204">
      <formula>$F1296:S2304="pp"</formula>
    </cfRule>
  </conditionalFormatting>
  <conditionalFormatting sqref="B909">
    <cfRule type="expression" priority="1195" aboveAverage="0" equalAverage="0" bottom="0" percent="0" rank="0" text="" dxfId="1205">
      <formula>$F909:G2282="pp"</formula>
    </cfRule>
  </conditionalFormatting>
  <conditionalFormatting sqref="C1334:D1334">
    <cfRule type="expression" priority="1196" aboveAverage="0" equalAverage="0" bottom="0" percent="0" rank="0" text="" dxfId="1206">
      <formula>$F1334:H2307="pp"</formula>
    </cfRule>
  </conditionalFormatting>
  <conditionalFormatting sqref="K855 K849:K851 M849:N851">
    <cfRule type="expression" priority="1197" aboveAverage="0" equalAverage="0" bottom="0" percent="0" rank="0" text="" dxfId="1207">
      <formula>$F849:P2327="pp"</formula>
    </cfRule>
  </conditionalFormatting>
  <conditionalFormatting sqref="A1296">
    <cfRule type="expression" priority="1198" aboveAverage="0" equalAverage="0" bottom="0" percent="0" rank="0" text="" dxfId="1208">
      <formula>$F1296:F2322="pp"</formula>
    </cfRule>
  </conditionalFormatting>
  <conditionalFormatting sqref="E1296 O1293:O1295">
    <cfRule type="expression" priority="1199" aboveAverage="0" equalAverage="0" bottom="0" percent="0" rank="0" text="" dxfId="1209">
      <formula>$F1293:I2302="pp"</formula>
    </cfRule>
  </conditionalFormatting>
  <conditionalFormatting sqref="B1287">
    <cfRule type="expression" priority="1200" aboveAverage="0" equalAverage="0" bottom="0" percent="0" rank="0" text="" dxfId="1210">
      <formula>$F1287:G2289="pp"</formula>
    </cfRule>
  </conditionalFormatting>
  <conditionalFormatting sqref="E565 E554:E558 G540:I542">
    <cfRule type="expression" priority="1201" aboveAverage="0" equalAverage="0" bottom="0" percent="0" rank="0" text="" dxfId="1211">
      <formula>$F540:I2274="pp"</formula>
    </cfRule>
  </conditionalFormatting>
  <conditionalFormatting sqref="O725">
    <cfRule type="expression" priority="1202" aboveAverage="0" equalAverage="0" bottom="0" percent="0" rank="0" text="" dxfId="1212">
      <formula>$F725:S2293="pp"</formula>
    </cfRule>
  </conditionalFormatting>
  <conditionalFormatting sqref="G855:I855 G849:I851">
    <cfRule type="expression" priority="1203" aboveAverage="0" equalAverage="0" bottom="0" percent="0" rank="0" text="" dxfId="1213">
      <formula>$F849:K2290="pp"</formula>
    </cfRule>
  </conditionalFormatting>
  <conditionalFormatting sqref="G667:I667 E683:E684 O685:O688">
    <cfRule type="expression" priority="1204" aboveAverage="0" equalAverage="0" bottom="0" percent="0" rank="0" text="" dxfId="1214">
      <formula>$F667:I2272="pp"</formula>
    </cfRule>
  </conditionalFormatting>
  <conditionalFormatting sqref="H949">
    <cfRule type="expression" priority="1205" aboveAverage="0" equalAverage="0" bottom="0" percent="0" rank="0" text="" dxfId="1215">
      <formula>$F949:L2282="pp"</formula>
    </cfRule>
  </conditionalFormatting>
  <conditionalFormatting sqref="C919:D919">
    <cfRule type="expression" priority="1206" aboveAverage="0" equalAverage="0" bottom="0" percent="0" rank="0" text="" dxfId="1216">
      <formula>$F919:H2330="pp"</formula>
    </cfRule>
  </conditionalFormatting>
  <conditionalFormatting sqref="B736">
    <cfRule type="expression" priority="1207" aboveAverage="0" equalAverage="0" bottom="0" percent="0" rank="0" text="" dxfId="1217">
      <formula>$F736:G2271="pp"</formula>
    </cfRule>
  </conditionalFormatting>
  <conditionalFormatting sqref="F921 F932:F964 O600:O602">
    <cfRule type="expression" priority="1208" aboveAverage="0" equalAverage="0" bottom="0" percent="0" rank="0" text="" dxfId="1218">
      <formula>$F600:J2293="pp"</formula>
    </cfRule>
  </conditionalFormatting>
  <conditionalFormatting sqref="M802:N802">
    <cfRule type="expression" priority="1209" aboveAverage="0" equalAverage="0" bottom="0" percent="0" rank="0" text="" dxfId="1219">
      <formula>$F802:R2313="pp"</formula>
    </cfRule>
  </conditionalFormatting>
  <conditionalFormatting sqref="G408:I408">
    <cfRule type="expression" priority="1210" aboveAverage="0" equalAverage="0" bottom="0" percent="0" rank="0" text="" dxfId="1220">
      <formula>$F408:K2453="pp"</formula>
    </cfRule>
  </conditionalFormatting>
  <conditionalFormatting sqref="C656:D656">
    <cfRule type="expression" priority="1211" aboveAverage="0" equalAverage="0" bottom="0" percent="0" rank="0" text="" dxfId="1221">
      <formula>$F656:H2302="pp"</formula>
    </cfRule>
  </conditionalFormatting>
  <conditionalFormatting sqref="F889">
    <cfRule type="expression" priority="1212" aboveAverage="0" equalAverage="0" bottom="0" percent="0" rank="0" text="" dxfId="1222">
      <formula>$F889:J2603="pp"</formula>
    </cfRule>
  </conditionalFormatting>
  <conditionalFormatting sqref="F1134">
    <cfRule type="expression" priority="1213" aboveAverage="0" equalAverage="0" bottom="0" percent="0" rank="0" text="" dxfId="1223">
      <formula>$F1134:J2619="pp"</formula>
    </cfRule>
  </conditionalFormatting>
  <conditionalFormatting sqref="E904 O898:O905">
    <cfRule type="expression" priority="1214" aboveAverage="0" equalAverage="0" bottom="0" percent="0" rank="0" text="" dxfId="1224">
      <formula>$F898:I2295="pp"</formula>
    </cfRule>
  </conditionalFormatting>
  <conditionalFormatting sqref="O1134">
    <cfRule type="expression" priority="1215" aboveAverage="0" equalAverage="0" bottom="0" percent="0" rank="0" text="" dxfId="1225">
      <formula>$F1134:S2292="pp"</formula>
    </cfRule>
  </conditionalFormatting>
  <conditionalFormatting sqref="C1134:D1134">
    <cfRule type="expression" priority="1216" aboveAverage="0" equalAverage="0" bottom="0" percent="0" rank="0" text="" dxfId="1226">
      <formula>$F1134:H2327="pp"</formula>
    </cfRule>
  </conditionalFormatting>
  <conditionalFormatting sqref="J1134">
    <cfRule type="expression" priority="1217" aboveAverage="0" equalAverage="0" bottom="0" percent="0" rank="0" text="" dxfId="1227">
      <formula>$F1134:O2277="pp"</formula>
    </cfRule>
  </conditionalFormatting>
  <conditionalFormatting sqref="K1134">
    <cfRule type="expression" priority="1218" aboveAverage="0" equalAverage="0" bottom="0" percent="0" rank="0" text="" dxfId="1228">
      <formula>$F1134:P2314="pp"</formula>
    </cfRule>
  </conditionalFormatting>
  <conditionalFormatting sqref="Q1134">
    <cfRule type="expression" priority="1219" aboveAverage="0" equalAverage="0" bottom="0" percent="0" rank="0" text="" dxfId="1229">
      <formula>$F1134:T2305="pp"</formula>
    </cfRule>
  </conditionalFormatting>
  <conditionalFormatting sqref="A855 B802:B803 L802:L803 J802:J803">
    <cfRule type="expression" priority="1220" aboveAverage="0" equalAverage="0" bottom="0" percent="0" rank="0" text="" dxfId="1230">
      <formula>$F802:F2276="pp"</formula>
    </cfRule>
  </conditionalFormatting>
  <conditionalFormatting sqref="M150:N150 M144:N148">
    <cfRule type="expression" priority="1221" aboveAverage="0" equalAverage="0" bottom="0" percent="0" rank="0" text="" dxfId="1231">
      <formula>$F144:R2286="pp"</formula>
    </cfRule>
  </conditionalFormatting>
  <conditionalFormatting sqref="P189 P222:P226">
    <cfRule type="expression" priority="1222" aboveAverage="0" equalAverage="0" bottom="0" percent="0" rank="0" text="" dxfId="1232">
      <formula>$F189:T2959="pp"</formula>
    </cfRule>
  </conditionalFormatting>
  <conditionalFormatting sqref="Q150 Q144:Q148">
    <cfRule type="expression" priority="1223" aboveAverage="0" equalAverage="0" bottom="0" percent="0" rank="0" text="" dxfId="1233">
      <formula>$F144:T2277="pp"</formula>
    </cfRule>
  </conditionalFormatting>
  <conditionalFormatting sqref="A1266 C1267:D1269 M1264:N1265 K1264:K1265">
    <cfRule type="expression" priority="1224" aboveAverage="0" equalAverage="0" bottom="0" percent="0" rank="0" text="" dxfId="1234">
      <formula>$F1264:F2339="pp"</formula>
    </cfRule>
  </conditionalFormatting>
  <conditionalFormatting sqref="E1266">
    <cfRule type="expression" priority="1225" aboveAverage="0" equalAverage="0" bottom="0" percent="0" rank="0" text="" dxfId="1235">
      <formula>$F1266:I2324="pp"</formula>
    </cfRule>
  </conditionalFormatting>
  <conditionalFormatting sqref="O1287">
    <cfRule type="expression" priority="1226" aboveAverage="0" equalAverage="0" bottom="0" percent="0" rank="0" text="" dxfId="1236">
      <formula>$F1287:S2304="pp"</formula>
    </cfRule>
  </conditionalFormatting>
  <conditionalFormatting sqref="A1334">
    <cfRule type="expression" priority="1227" aboveAverage="0" equalAverage="0" bottom="0" percent="0" rank="0" text="" dxfId="1237">
      <formula>$F1334:F2291="pp"</formula>
    </cfRule>
  </conditionalFormatting>
  <conditionalFormatting sqref="C1296:D1296">
    <cfRule type="expression" priority="1228" aboveAverage="0" equalAverage="0" bottom="0" percent="0" rank="0" text="" dxfId="1238">
      <formula>$F1296:H2339="pp"</formula>
    </cfRule>
  </conditionalFormatting>
  <conditionalFormatting sqref="E1287 O1284:O1286">
    <cfRule type="expression" priority="1229" aboveAverage="0" equalAverage="0" bottom="0" percent="0" rank="0" text="" dxfId="1239">
      <formula>$F1284:I2302="pp"</formula>
    </cfRule>
  </conditionalFormatting>
  <conditionalFormatting sqref="A1436">
    <cfRule type="expression" priority="1230" aboveAverage="0" equalAverage="0" bottom="0" percent="0" rank="0" text="" dxfId="1240">
      <formula>$F1436:F2318="pp"</formula>
    </cfRule>
  </conditionalFormatting>
  <conditionalFormatting sqref="F1266">
    <cfRule type="expression" priority="1231" aboveAverage="0" equalAverage="0" bottom="0" percent="0" rank="0" text="" dxfId="1241">
      <formula>$F1266:J2650="pp"</formula>
    </cfRule>
  </conditionalFormatting>
  <conditionalFormatting sqref="F1287">
    <cfRule type="expression" priority="1232" aboveAverage="0" equalAverage="0" bottom="0" percent="0" rank="0" text="" dxfId="1242">
      <formula>$F1287:J2631="pp"</formula>
    </cfRule>
  </conditionalFormatting>
  <conditionalFormatting sqref="F1334">
    <cfRule type="expression" priority="1233" aboveAverage="0" equalAverage="0" bottom="0" percent="0" rank="0" text="" dxfId="1243">
      <formula>$F1334:J2312="pp"</formula>
    </cfRule>
  </conditionalFormatting>
  <conditionalFormatting sqref="G1266:I1266">
    <cfRule type="expression" priority="1234" aboveAverage="0" equalAverage="0" bottom="0" percent="0" rank="0" text="" dxfId="1244">
      <formula>$F1266:K2301="pp"</formula>
    </cfRule>
  </conditionalFormatting>
  <conditionalFormatting sqref="J1266">
    <cfRule type="expression" priority="1235" aboveAverage="0" equalAverage="0" bottom="0" percent="0" rank="0" text="" dxfId="1245">
      <formula>$F1266:O2301="pp"</formula>
    </cfRule>
  </conditionalFormatting>
  <conditionalFormatting sqref="J1287">
    <cfRule type="expression" priority="1236" aboveAverage="0" equalAverage="0" bottom="0" percent="0" rank="0" text="" dxfId="1246">
      <formula>$F1287:O2289="pp"</formula>
    </cfRule>
  </conditionalFormatting>
  <conditionalFormatting sqref="K1334">
    <cfRule type="expression" priority="1237" aboveAverage="0" equalAverage="0" bottom="0" percent="0" rank="0" text="" dxfId="1247">
      <formula>$F1334:P2310="pp"</formula>
    </cfRule>
  </conditionalFormatting>
  <conditionalFormatting sqref="J1334">
    <cfRule type="expression" priority="1238" aboveAverage="0" equalAverage="0" bottom="0" percent="0" rank="0" text="" dxfId="1248">
      <formula>$F1334:O2273="pp"</formula>
    </cfRule>
  </conditionalFormatting>
  <conditionalFormatting sqref="K1266">
    <cfRule type="expression" priority="1239" aboveAverage="0" equalAverage="0" bottom="0" percent="0" rank="0" text="" dxfId="1249">
      <formula>$F1266:P2338="pp"</formula>
    </cfRule>
  </conditionalFormatting>
  <conditionalFormatting sqref="M1287:N1287">
    <cfRule type="expression" priority="1240" aboveAverage="0" equalAverage="0" bottom="0" percent="0" rank="0" text="" dxfId="1250">
      <formula>$F1287:R2326="pp"</formula>
    </cfRule>
  </conditionalFormatting>
  <conditionalFormatting sqref="K1296 A1290:A1291">
    <cfRule type="expression" priority="1241" aboveAverage="0" equalAverage="0" bottom="0" percent="0" rank="0" text="" dxfId="1251">
      <formula>$F1290:F2320="pp"</formula>
    </cfRule>
  </conditionalFormatting>
  <conditionalFormatting sqref="L1276">
    <cfRule type="expression" priority="1242" aboveAverage="0" equalAverage="0" bottom="0" percent="0" rank="0" text="" dxfId="1252">
      <formula>$F1276:Q2291="pp"</formula>
    </cfRule>
  </conditionalFormatting>
  <conditionalFormatting sqref="L1346">
    <cfRule type="expression" priority="1243" aboveAverage="0" equalAverage="0" bottom="0" percent="0" rank="0" text="" dxfId="1253">
      <formula>$F1346:Q2275="pp"</formula>
    </cfRule>
  </conditionalFormatting>
  <conditionalFormatting sqref="L1296">
    <cfRule type="expression" priority="1244" aboveAverage="0" equalAverage="0" bottom="0" percent="0" rank="0" text="" dxfId="1254">
      <formula>$F1296:Q2289="pp"</formula>
    </cfRule>
  </conditionalFormatting>
  <conditionalFormatting sqref="G1334:I1334">
    <cfRule type="expression" priority="1245" aboveAverage="0" equalAverage="0" bottom="0" percent="0" rank="0" text="" dxfId="1255">
      <formula>$F1334:K2273="pp"</formula>
    </cfRule>
  </conditionalFormatting>
  <conditionalFormatting sqref="Q1266">
    <cfRule type="expression" priority="1246" aboveAverage="0" equalAverage="0" bottom="0" percent="0" rank="0" text="" dxfId="1256">
      <formula>$F1266:T2329="pp"</formula>
    </cfRule>
  </conditionalFormatting>
  <conditionalFormatting sqref="Q1287">
    <cfRule type="expression" priority="1247" aboveAverage="0" equalAverage="0" bottom="0" percent="0" rank="0" text="" dxfId="1257">
      <formula>$F1287:T2317="pp"</formula>
    </cfRule>
  </conditionalFormatting>
  <conditionalFormatting sqref="Q1296">
    <cfRule type="expression" priority="1248" aboveAverage="0" equalAverage="0" bottom="0" percent="0" rank="0" text="" dxfId="1258">
      <formula>$F1296:T2317="pp"</formula>
    </cfRule>
  </conditionalFormatting>
  <conditionalFormatting sqref="Q1334">
    <cfRule type="expression" priority="1249" aboveAverage="0" equalAverage="0" bottom="0" percent="0" rank="0" text="" dxfId="1259">
      <formula>$F1334:T2301="pp"</formula>
    </cfRule>
  </conditionalFormatting>
  <conditionalFormatting sqref="J269">
    <cfRule type="expression" priority="1250" aboveAverage="0" equalAverage="0" bottom="0" percent="0" rank="0" text="" dxfId="1260">
      <formula>$F269:O2288="pp"</formula>
    </cfRule>
  </conditionalFormatting>
  <conditionalFormatting sqref="Q269">
    <cfRule type="expression" priority="1251" aboveAverage="0" equalAverage="0" bottom="0" percent="0" rank="0" text="" dxfId="1261">
      <formula>$F269:T2301="pp"</formula>
    </cfRule>
  </conditionalFormatting>
  <conditionalFormatting sqref="G194:I194">
    <cfRule type="expression" priority="1252" aboveAverage="0" equalAverage="0" bottom="0" percent="0" rank="0" text="" dxfId="1262">
      <formula>$F194:K2226="pp"</formula>
    </cfRule>
  </conditionalFormatting>
  <conditionalFormatting sqref="F269">
    <cfRule type="expression" priority="1253" aboveAverage="0" equalAverage="0" bottom="0" percent="0" rank="0" text="" dxfId="1263">
      <formula>$F269:J2327="pp"</formula>
    </cfRule>
  </conditionalFormatting>
  <conditionalFormatting sqref="K1276">
    <cfRule type="expression" priority="1254" aboveAverage="0" equalAverage="0" bottom="0" percent="0" rank="0" text="" dxfId="1264">
      <formula>$F1276:P2328="pp"</formula>
    </cfRule>
  </conditionalFormatting>
  <conditionalFormatting sqref="A1276">
    <cfRule type="expression" priority="1255" aboveAverage="0" equalAverage="0" bottom="0" percent="0" rank="0" text="" dxfId="1265">
      <formula>$F1276:F2324="pp"</formula>
    </cfRule>
  </conditionalFormatting>
  <conditionalFormatting sqref="C1276:D1276">
    <cfRule type="expression" priority="1256" aboveAverage="0" equalAverage="0" bottom="0" percent="0" rank="0" text="" dxfId="1266">
      <formula>$F1276:H2341="pp"</formula>
    </cfRule>
  </conditionalFormatting>
  <conditionalFormatting sqref="G1276:I1276">
    <cfRule type="expression" priority="1257" aboveAverage="0" equalAverage="0" bottom="0" percent="0" rank="0" text="" dxfId="1267">
      <formula>$F1276:K2291="pp"</formula>
    </cfRule>
  </conditionalFormatting>
  <conditionalFormatting sqref="J1276">
    <cfRule type="expression" priority="1258" aboveAverage="0" equalAverage="0" bottom="0" percent="0" rank="0" text="" dxfId="1268">
      <formula>$F1276:O2291="pp"</formula>
    </cfRule>
  </conditionalFormatting>
  <conditionalFormatting sqref="Q1276">
    <cfRule type="expression" priority="1259" aboveAverage="0" equalAverage="0" bottom="0" percent="0" rank="0" text="" dxfId="1269">
      <formula>$F1276:T2319="pp"</formula>
    </cfRule>
  </conditionalFormatting>
  <conditionalFormatting sqref="F1276 O939:O948">
    <cfRule type="expression" priority="1260" aboveAverage="0" equalAverage="0" bottom="0" percent="0" rank="0" text="" dxfId="1270">
      <formula>$F939:J2296="pp"</formula>
    </cfRule>
  </conditionalFormatting>
  <conditionalFormatting sqref="O1276 E1271:E1275">
    <cfRule type="expression" priority="1261" aboveAverage="0" equalAverage="0" bottom="0" percent="0" rank="0" text="" dxfId="1271">
      <formula>$F1271:I2301="pp"</formula>
    </cfRule>
  </conditionalFormatting>
  <conditionalFormatting sqref="E1324">
    <cfRule type="expression" priority="1262" aboveAverage="0" equalAverage="0" bottom="0" percent="0" rank="0" text="" dxfId="1272">
      <formula>$F1324:I2289="pp"</formula>
    </cfRule>
  </conditionalFormatting>
  <conditionalFormatting sqref="O1334">
    <cfRule type="expression" priority="1263" aboveAverage="0" equalAverage="0" bottom="0" percent="0" rank="0" text="" dxfId="1273">
      <formula>$F1334:S2288="pp"</formula>
    </cfRule>
  </conditionalFormatting>
  <conditionalFormatting sqref="F1349">
    <cfRule type="expression" priority="1264" aboveAverage="0" equalAverage="0" bottom="0" percent="0" rank="0" text="" dxfId="1274">
      <formula>$F1349:J2315="pp"</formula>
    </cfRule>
  </conditionalFormatting>
  <conditionalFormatting sqref="J1349">
    <cfRule type="expression" priority="1265" aboveAverage="0" equalAverage="0" bottom="0" percent="0" rank="0" text="" dxfId="1275">
      <formula>$F1349:O2276="pp"</formula>
    </cfRule>
  </conditionalFormatting>
  <conditionalFormatting sqref="F1346">
    <cfRule type="expression" priority="1266" aboveAverage="0" equalAverage="0" bottom="0" percent="0" rank="0" text="" dxfId="1276">
      <formula>$F1346:J2314="pp"</formula>
    </cfRule>
  </conditionalFormatting>
  <conditionalFormatting sqref="J1346">
    <cfRule type="expression" priority="1267" aboveAverage="0" equalAverage="0" bottom="0" percent="0" rank="0" text="" dxfId="1277">
      <formula>$F1346:O2275="pp"</formula>
    </cfRule>
  </conditionalFormatting>
  <conditionalFormatting sqref="Q1346">
    <cfRule type="expression" priority="1268" aboveAverage="0" equalAverage="0" bottom="0" percent="0" rank="0" text="" dxfId="1278">
      <formula>$F1346:T2303="pp"</formula>
    </cfRule>
  </conditionalFormatting>
  <conditionalFormatting sqref="O1346">
    <cfRule type="expression" priority="1269" aboveAverage="0" equalAverage="0" bottom="0" percent="0" rank="0" text="" dxfId="1279">
      <formula>$F1346:S2290="pp"</formula>
    </cfRule>
  </conditionalFormatting>
  <conditionalFormatting sqref="C1346:D1346">
    <cfRule type="expression" priority="1270" aboveAverage="0" equalAverage="0" bottom="0" percent="0" rank="0" text="" dxfId="1280">
      <formula>$F1346:H2309="pp"</formula>
    </cfRule>
  </conditionalFormatting>
  <conditionalFormatting sqref="K1346">
    <cfRule type="expression" priority="1271" aboveAverage="0" equalAverage="0" bottom="0" percent="0" rank="0" text="" dxfId="1281">
      <formula>$F1346:P2312="pp"</formula>
    </cfRule>
  </conditionalFormatting>
  <conditionalFormatting sqref="L1266">
    <cfRule type="expression" priority="1272" aboveAverage="0" equalAverage="0" bottom="0" percent="0" rank="0" text="" dxfId="1282">
      <formula>$F1266:Q2301="pp"</formula>
    </cfRule>
  </conditionalFormatting>
  <conditionalFormatting sqref="B1346 M1390:N1393 K1390:K1393">
    <cfRule type="expression" priority="1273" aboveAverage="0" equalAverage="0" bottom="0" percent="0" rank="0" text="" dxfId="1283">
      <formula>$F1346:G2275="pp"</formula>
    </cfRule>
  </conditionalFormatting>
  <conditionalFormatting sqref="E1346">
    <cfRule type="expression" priority="1274" aboveAverage="0" equalAverage="0" bottom="0" percent="0" rank="0" text="" dxfId="1284">
      <formula>$F1346:I2285="pp"</formula>
    </cfRule>
  </conditionalFormatting>
  <conditionalFormatting sqref="A1349">
    <cfRule type="expression" priority="1275" aboveAverage="0" equalAverage="0" bottom="0" percent="0" rank="0" text="" dxfId="1285">
      <formula>$F1349:F2296="pp"</formula>
    </cfRule>
  </conditionalFormatting>
  <conditionalFormatting sqref="O1133">
    <cfRule type="expression" priority="1276" aboveAverage="0" equalAverage="0" bottom="0" percent="0" rank="0" text="" dxfId="1286">
      <formula>$F1133:S2295="pp"</formula>
    </cfRule>
  </conditionalFormatting>
  <conditionalFormatting sqref="M1276:N1276">
    <cfRule type="expression" priority="1277" aboveAverage="0" equalAverage="0" bottom="0" percent="0" rank="0" text="" dxfId="1287">
      <formula>$F1276:R2328="pp"</formula>
    </cfRule>
  </conditionalFormatting>
  <conditionalFormatting sqref="G1349:I1349">
    <cfRule type="expression" priority="1278" aboveAverage="0" equalAverage="0" bottom="0" percent="0" rank="0" text="" dxfId="1288">
      <formula>$F1349:K2276="pp"</formula>
    </cfRule>
  </conditionalFormatting>
  <conditionalFormatting sqref="B1133">
    <cfRule type="expression" priority="1279" aboveAverage="0" equalAverage="0" bottom="0" percent="0" rank="0" text="" dxfId="1289">
      <formula>$F1133:G2280="pp"</formula>
    </cfRule>
  </conditionalFormatting>
  <conditionalFormatting sqref="L1334">
    <cfRule type="expression" priority="1280" aboveAverage="0" equalAverage="0" bottom="0" percent="0" rank="0" text="" dxfId="1290">
      <formula>$F1334:Q2273="pp"</formula>
    </cfRule>
  </conditionalFormatting>
  <conditionalFormatting sqref="E1334">
    <cfRule type="expression" priority="1281" aboveAverage="0" equalAverage="0" bottom="0" percent="0" rank="0" text="" dxfId="1291">
      <formula>$F1334:I2283="pp"</formula>
    </cfRule>
  </conditionalFormatting>
  <conditionalFormatting sqref="F1468 E1437:E1441">
    <cfRule type="expression" priority="1282" aboveAverage="0" equalAverage="0" bottom="0" percent="0" rank="0" text="" dxfId="1292">
      <formula>$F1437:I2309="pp"</formula>
    </cfRule>
  </conditionalFormatting>
  <conditionalFormatting sqref="C1436:D1436 B1380:B1386 M1449:N1450 J1380:J1386 L1380:L1386 K1449:K1450">
    <cfRule type="expression" priority="1283" aboveAverage="0" equalAverage="0" bottom="0" percent="0" rank="0" text="" dxfId="1293">
      <formula>$F1380:G2278="pp"</formula>
    </cfRule>
  </conditionalFormatting>
  <conditionalFormatting sqref="B1349 A1367:A1370 K1395:K1400 M1395:N1400">
    <cfRule type="expression" priority="1284" aboveAverage="0" equalAverage="0" bottom="0" percent="0" rank="0" text="" dxfId="1294">
      <formula>$F1349:F2276="pp"</formula>
    </cfRule>
  </conditionalFormatting>
  <conditionalFormatting sqref="J1436">
    <cfRule type="expression" priority="1285" aboveAverage="0" equalAverage="0" bottom="0" percent="0" rank="0" text="" dxfId="1295">
      <formula>$F1436:O2300="pp"</formula>
    </cfRule>
  </conditionalFormatting>
  <conditionalFormatting sqref="J1296">
    <cfRule type="expression" priority="1286" aboveAverage="0" equalAverage="0" bottom="0" percent="0" rank="0" text="" dxfId="1296">
      <formula>$F1296:O2289="pp"</formula>
    </cfRule>
  </conditionalFormatting>
  <conditionalFormatting sqref="M1296:N1296">
    <cfRule type="expression" priority="1287" aboveAverage="0" equalAverage="0" bottom="0" percent="0" rank="0" text="" dxfId="1297">
      <formula>$F1296:R2326="pp"</formula>
    </cfRule>
  </conditionalFormatting>
  <conditionalFormatting sqref="O1131">
    <cfRule type="expression" priority="1288" aboveAverage="0" equalAverage="0" bottom="0" percent="0" rank="0" text="" dxfId="1298">
      <formula>$F1131:S2294="pp"</formula>
    </cfRule>
  </conditionalFormatting>
  <conditionalFormatting sqref="F855">
    <cfRule type="expression" priority="1289" aboveAverage="0" equalAverage="0" bottom="0" percent="0" rank="0" text="" dxfId="1299">
      <formula>$F855:J2614="pp"</formula>
    </cfRule>
  </conditionalFormatting>
  <conditionalFormatting sqref="F1133">
    <cfRule type="expression" priority="1290" aboveAverage="0" equalAverage="0" bottom="0" percent="0" rank="0" text="" dxfId="1300">
      <formula>$F1133:J2622="pp"</formula>
    </cfRule>
  </conditionalFormatting>
  <conditionalFormatting sqref="C1132:D1132 B1078:B1079 C1135:D1136 L1078:L1079 K1116:K1118 M1116:N1118 J1078:J1079">
    <cfRule type="expression" priority="1291" aboveAverage="0" equalAverage="0" bottom="0" percent="0" rank="0" text="" dxfId="1301">
      <formula>$F1078:G2272="pp"</formula>
    </cfRule>
  </conditionalFormatting>
  <conditionalFormatting sqref="F1132 F1135:F1136">
    <cfRule type="expression" priority="1292" aboveAverage="0" equalAverage="0" bottom="0" percent="0" rank="0" text="" dxfId="1302">
      <formula>$F1132:J2618="pp"</formula>
    </cfRule>
  </conditionalFormatting>
  <conditionalFormatting sqref="L1349">
    <cfRule type="expression" priority="1293" aboveAverage="0" equalAverage="0" bottom="0" percent="0" rank="0" text="" dxfId="1303">
      <formula>$F1349:Q2276="pp"</formula>
    </cfRule>
  </conditionalFormatting>
  <conditionalFormatting sqref="B786 C849:D851 A819:A829 K830:K831 M830:N831 K834:K835 M834:N835">
    <cfRule type="expression" priority="1294" aboveAverage="0" equalAverage="0" bottom="0" percent="0" rank="0" text="" dxfId="1304">
      <formula>$F786:F2277="pp"</formula>
    </cfRule>
  </conditionalFormatting>
  <conditionalFormatting sqref="B1321 K1340:K1345 M1340:N1345">
    <cfRule type="expression" priority="1295" aboveAverage="0" equalAverage="0" bottom="0" percent="0" rank="0" text="" dxfId="1305">
      <formula>$F1321:G2288="pp"</formula>
    </cfRule>
  </conditionalFormatting>
  <conditionalFormatting sqref="B987">
    <cfRule type="expression" priority="1296" aboveAverage="0" equalAverage="0" bottom="0" percent="0" rank="0" text="" dxfId="1306">
      <formula>$F987:G2285="pp"</formula>
    </cfRule>
  </conditionalFormatting>
  <conditionalFormatting sqref="A1131 C1153:D1155 K1135:K1136 M1135:N1136">
    <cfRule type="expression" priority="1297" aboveAverage="0" equalAverage="0" bottom="0" percent="0" rank="0" text="" dxfId="1307">
      <formula>$F1131:F2312="pp"</formula>
    </cfRule>
  </conditionalFormatting>
  <conditionalFormatting sqref="J1132">
    <cfRule type="expression" priority="1298" aboveAverage="0" equalAverage="0" bottom="0" percent="0" rank="0" text="" dxfId="1308">
      <formula>$F1132:O2276="pp"</formula>
    </cfRule>
  </conditionalFormatting>
  <conditionalFormatting sqref="O783">
    <cfRule type="expression" priority="1299" aboveAverage="0" equalAverage="0" bottom="0" percent="0" rank="0" text="" dxfId="1309">
      <formula>$F783:S2293="pp"</formula>
    </cfRule>
  </conditionalFormatting>
  <conditionalFormatting sqref="K1132">
    <cfRule type="expression" priority="1300" aboveAverage="0" equalAverage="0" bottom="0" percent="0" rank="0" text="" dxfId="1310">
      <formula>$F1132:P2313="pp"</formula>
    </cfRule>
  </conditionalFormatting>
  <conditionalFormatting sqref="Q1132 Q1135:Q1136">
    <cfRule type="expression" priority="1301" aboveAverage="0" equalAverage="0" bottom="0" percent="0" rank="0" text="" dxfId="1311">
      <formula>$F1132:T2304="pp"</formula>
    </cfRule>
  </conditionalFormatting>
  <conditionalFormatting sqref="C1133:D1133">
    <cfRule type="expression" priority="1302" aboveAverage="0" equalAverage="0" bottom="0" percent="0" rank="0" text="" dxfId="1312">
      <formula>$F1133:H2330="pp"</formula>
    </cfRule>
  </conditionalFormatting>
  <conditionalFormatting sqref="G1133:I1133 E1153:E1155">
    <cfRule type="expression" priority="1303" aboveAverage="0" equalAverage="0" bottom="0" percent="0" rank="0" text="" dxfId="1313">
      <formula>$F1133:I2280="pp"</formula>
    </cfRule>
  </conditionalFormatting>
  <conditionalFormatting sqref="K1133 C1143:D1145">
    <cfRule type="expression" priority="1304" aboveAverage="0" equalAverage="0" bottom="0" percent="0" rank="0" text="" dxfId="1314">
      <formula>$F1133:H2317="pp"</formula>
    </cfRule>
  </conditionalFormatting>
  <conditionalFormatting sqref="Q1133">
    <cfRule type="expression" priority="1305" aboveAverage="0" equalAverage="0" bottom="0" percent="0" rank="0" text="" dxfId="1315">
      <formula>$F1133:T2308="pp"</formula>
    </cfRule>
  </conditionalFormatting>
  <conditionalFormatting sqref="F891">
    <cfRule type="expression" priority="1306" aboveAverage="0" equalAverage="0" bottom="0" percent="0" rank="0" text="" dxfId="1316">
      <formula>$F891:J2605="pp"</formula>
    </cfRule>
  </conditionalFormatting>
  <conditionalFormatting sqref="A269">
    <cfRule type="expression" priority="1307" aboveAverage="0" equalAverage="0" bottom="0" percent="0" rank="0" text="" dxfId="1317">
      <formula>$F269:F2306="pp"</formula>
    </cfRule>
  </conditionalFormatting>
  <conditionalFormatting sqref="O408">
    <cfRule type="expression" priority="1308" aboveAverage="0" equalAverage="0" bottom="0" percent="0" rank="0" text="" dxfId="1318">
      <formula>$F408:S2453="pp"</formula>
    </cfRule>
  </conditionalFormatting>
  <conditionalFormatting sqref="C595:D595">
    <cfRule type="expression" priority="1309" aboveAverage="0" equalAverage="0" bottom="0" percent="0" rank="0" text="" dxfId="1319">
      <formula>$F595:H2318="pp"</formula>
    </cfRule>
  </conditionalFormatting>
  <conditionalFormatting sqref="B626">
    <cfRule type="expression" priority="1310" aboveAverage="0" equalAverage="0" bottom="0" percent="0" rank="0" text="" dxfId="1320">
      <formula>$F626:G2272="pp"</formula>
    </cfRule>
  </conditionalFormatting>
  <conditionalFormatting sqref="B194">
    <cfRule type="expression" priority="1311" aboveAverage="0" equalAverage="0" bottom="0" percent="0" rank="0" text="" dxfId="1321">
      <formula>$F194:G2226="pp"</formula>
    </cfRule>
  </conditionalFormatting>
  <conditionalFormatting sqref="E1133">
    <cfRule type="expression" priority="1312" aboveAverage="0" equalAverage="0" bottom="0" percent="0" rank="0" text="" dxfId="1322">
      <formula>$F1133:I2296="pp"</formula>
    </cfRule>
  </conditionalFormatting>
  <conditionalFormatting sqref="O855">
    <cfRule type="expression" priority="1313" aboveAverage="0" equalAverage="0" bottom="0" percent="0" rank="0" text="" dxfId="1323">
      <formula>$F855:S2311="pp"</formula>
    </cfRule>
  </conditionalFormatting>
  <conditionalFormatting sqref="C1468:D1468 M1469:N1471">
    <cfRule type="expression" priority="1314" aboveAverage="0" equalAverage="0" bottom="0" percent="0" rank="0" text="" dxfId="1324">
      <formula>$F1468:H2335="pp"</formula>
    </cfRule>
  </conditionalFormatting>
  <conditionalFormatting sqref="G725:I725 E733:E735">
    <cfRule type="expression" priority="1315" aboveAverage="0" equalAverage="0" bottom="0" percent="0" rank="0" text="" dxfId="1325">
      <formula>$F725:I2278="pp"</formula>
    </cfRule>
  </conditionalFormatting>
  <conditionalFormatting sqref="G1130:I1130 O1153:O1155 E1157:E1161">
    <cfRule type="expression" priority="1316" aboveAverage="0" equalAverage="0" bottom="0" percent="0" rank="0" text="" dxfId="1326">
      <formula>$F1130:I2276="pp"</formula>
    </cfRule>
  </conditionalFormatting>
  <conditionalFormatting sqref="M1346:N1346">
    <cfRule type="expression" priority="1317" aboveAverage="0" equalAverage="0" bottom="0" percent="0" rank="0" text="" dxfId="1327">
      <formula>$F1346:R2312="pp"</formula>
    </cfRule>
  </conditionalFormatting>
  <conditionalFormatting sqref="L1436">
    <cfRule type="expression" priority="1318" aboveAverage="0" equalAverage="0" bottom="0" percent="0" rank="0" text="" dxfId="1328">
      <formula>$F1436:Q2300="pp"</formula>
    </cfRule>
  </conditionalFormatting>
  <conditionalFormatting sqref="M1266:N1266">
    <cfRule type="expression" priority="1319" aboveAverage="0" equalAverage="0" bottom="0" percent="0" rank="0" text="" dxfId="1329">
      <formula>$F1266:R2338="pp"</formula>
    </cfRule>
  </conditionalFormatting>
  <conditionalFormatting sqref="K1287 J1249:J1263 B1249:B1263 L1249:L1263">
    <cfRule type="expression" priority="1320" aboveAverage="0" equalAverage="0" bottom="0" percent="0" rank="0" text="" dxfId="1330">
      <formula>$F1249:G2288="pp"</formula>
    </cfRule>
  </conditionalFormatting>
  <conditionalFormatting sqref="G396:I396 E396 O396 E398 E400">
    <cfRule type="expression" priority="1321" aboveAverage="0" equalAverage="0" bottom="0" percent="0" rank="0" text="" dxfId="1331">
      <formula>$F396:I2517="pp"</formula>
    </cfRule>
  </conditionalFormatting>
  <conditionalFormatting sqref="B1131">
    <cfRule type="expression" priority="1322" aboveAverage="0" equalAverage="0" bottom="0" percent="0" rank="0" text="" dxfId="1332">
      <formula>$F1131:G2279="pp"</formula>
    </cfRule>
  </conditionalFormatting>
  <conditionalFormatting sqref="L269">
    <cfRule type="expression" priority="1323" aboveAverage="0" equalAverage="0" bottom="0" percent="0" rank="0" text="" dxfId="1333">
      <formula>$F269:Q2288="pp"</formula>
    </cfRule>
  </conditionalFormatting>
  <conditionalFormatting sqref="L725">
    <cfRule type="expression" priority="1324" aboveAverage="0" equalAverage="0" bottom="0" percent="0" rank="0" text="" dxfId="1334">
      <formula>$F725:Q2278="pp"</formula>
    </cfRule>
  </conditionalFormatting>
  <conditionalFormatting sqref="K783">
    <cfRule type="expression" priority="1325" aboveAverage="0" equalAverage="0" bottom="0" percent="0" rank="0" text="" dxfId="1335">
      <formula>$F783:P2315="pp"</formula>
    </cfRule>
  </conditionalFormatting>
  <conditionalFormatting sqref="M897:N897">
    <cfRule type="expression" priority="1326" aboveAverage="0" equalAverage="0" bottom="0" percent="0" rank="0" text="" dxfId="1336">
      <formula>$F897:R2322="pp"</formula>
    </cfRule>
  </conditionalFormatting>
  <conditionalFormatting sqref="M1131:N1131">
    <cfRule type="expression" priority="1327" aboveAverage="0" equalAverage="0" bottom="0" percent="0" rank="0" text="" dxfId="1337">
      <formula>$F1131:R2316="pp"</formula>
    </cfRule>
  </conditionalFormatting>
  <conditionalFormatting sqref="K1131 C1146:D1150">
    <cfRule type="expression" priority="1328" aboveAverage="0" equalAverage="0" bottom="0" percent="0" rank="0" text="" dxfId="1338">
      <formula>$F1131:H2316="pp"</formula>
    </cfRule>
  </conditionalFormatting>
  <conditionalFormatting sqref="Q783">
    <cfRule type="expression" priority="1329" aboveAverage="0" equalAverage="0" bottom="0" percent="0" rank="0" text="" dxfId="1339">
      <formula>$F783:T2306="pp"</formula>
    </cfRule>
  </conditionalFormatting>
  <conditionalFormatting sqref="Q1131">
    <cfRule type="expression" priority="1330" aboveAverage="0" equalAverage="0" bottom="0" percent="0" rank="0" text="" dxfId="1340">
      <formula>$F1131:T2307="pp"</formula>
    </cfRule>
  </conditionalFormatting>
  <conditionalFormatting sqref="C574:D574 B527:B532 L527:L532 J527:J532">
    <cfRule type="expression" priority="1331" aboveAverage="0" equalAverage="0" bottom="0" percent="0" rank="0" text="" dxfId="1341">
      <formula>$F527:G2272="pp"</formula>
    </cfRule>
  </conditionalFormatting>
  <conditionalFormatting sqref="C627:D627 A621:A622">
    <cfRule type="expression" priority="1332" aboveAverage="0" equalAverage="0" bottom="0" percent="0" rank="0" text="" dxfId="1342">
      <formula>$F621:F2300="pp"</formula>
    </cfRule>
  </conditionalFormatting>
  <conditionalFormatting sqref="K217">
    <cfRule type="expression" priority="1333" aboveAverage="0" equalAverage="0" bottom="0" percent="0" rank="0" text="" dxfId="1343">
      <formula>$F217:P2278="pp"</formula>
    </cfRule>
  </conditionalFormatting>
  <conditionalFormatting sqref="K269">
    <cfRule type="expression" priority="1334" aboveAverage="0" equalAverage="0" bottom="0" percent="0" rank="0" text="" dxfId="1344">
      <formula>$F269:P2310="pp"</formula>
    </cfRule>
  </conditionalFormatting>
  <conditionalFormatting sqref="M515:N515">
    <cfRule type="expression" priority="1335" aboveAverage="0" equalAverage="0" bottom="0" percent="0" rank="0" text="" dxfId="1345">
      <formula>$F515:R2311="pp"</formula>
    </cfRule>
  </conditionalFormatting>
  <conditionalFormatting sqref="L786">
    <cfRule type="expression" priority="1336" aboveAverage="0" equalAverage="0" bottom="0" percent="0" rank="0" text="" dxfId="1346">
      <formula>$F786:Q2277="pp"</formula>
    </cfRule>
  </conditionalFormatting>
  <conditionalFormatting sqref="E919">
    <cfRule type="expression" priority="1337" aboveAverage="0" equalAverage="0" bottom="0" percent="0" rank="0" text="" dxfId="1347">
      <formula>$F919:I2296="pp"</formula>
    </cfRule>
  </conditionalFormatting>
  <conditionalFormatting sqref="F1130">
    <cfRule type="expression" priority="1338" aboveAverage="0" equalAverage="0" bottom="0" percent="0" rank="0" text="" dxfId="1348">
      <formula>$F1130:J2618="pp"</formula>
    </cfRule>
  </conditionalFormatting>
  <conditionalFormatting sqref="C1131:D1131 B1074:B1077 L1074:L1077 J1074:J1077">
    <cfRule type="expression" priority="1339" aboveAverage="0" equalAverage="0" bottom="0" percent="0" rank="0" text="" dxfId="1349">
      <formula>$F1074:G2272="pp"</formula>
    </cfRule>
  </conditionalFormatting>
  <conditionalFormatting sqref="K1130 A1127:A1129">
    <cfRule type="expression" priority="1340" aboveAverage="0" equalAverage="0" bottom="0" percent="0" rank="0" text="" dxfId="1350">
      <formula>$F1127:F2310="pp"</formula>
    </cfRule>
  </conditionalFormatting>
  <conditionalFormatting sqref="Q1130">
    <cfRule type="expression" priority="1341" aboveAverage="0" equalAverage="0" bottom="0" percent="0" rank="0" text="" dxfId="1351">
      <formula>$F1130:T2304="pp"</formula>
    </cfRule>
  </conditionalFormatting>
  <conditionalFormatting sqref="C1130:D1130">
    <cfRule type="expression" priority="1342" aboveAverage="0" equalAverage="0" bottom="0" percent="0" rank="0" text="" dxfId="1352">
      <formula>$F1130:H2326="pp"</formula>
    </cfRule>
  </conditionalFormatting>
  <conditionalFormatting sqref="K295">
    <cfRule type="expression" priority="1343" aboveAverage="0" equalAverage="0" bottom="0" percent="0" rank="0" text="" dxfId="1353">
      <formula>$F295:P2323="pp"</formula>
    </cfRule>
  </conditionalFormatting>
  <conditionalFormatting sqref="Q295">
    <cfRule type="expression" priority="1344" aboveAverage="0" equalAverage="0" bottom="0" percent="0" rank="0" text="" dxfId="1354">
      <formula>$F295:T2314="pp"</formula>
    </cfRule>
  </conditionalFormatting>
  <conditionalFormatting sqref="M149:N149">
    <cfRule type="expression" priority="1345" aboveAverage="0" equalAverage="0" bottom="0" percent="0" rank="0" text="" dxfId="1355">
      <formula>$F149:R2288="pp"</formula>
    </cfRule>
  </conditionalFormatting>
  <conditionalFormatting sqref="F888">
    <cfRule type="expression" priority="1346" aboveAverage="0" equalAverage="0" bottom="0" percent="0" rank="0" text="" dxfId="1356">
      <formula>$F888:J2615="pp"</formula>
    </cfRule>
  </conditionalFormatting>
  <conditionalFormatting sqref="C515:D515">
    <cfRule type="expression" priority="1347" aboveAverage="0" equalAverage="0" bottom="0" percent="0" rank="0" text="" dxfId="1357">
      <formula>$F515:H2308="pp"</formula>
    </cfRule>
  </conditionalFormatting>
  <conditionalFormatting sqref="M783:N783">
    <cfRule type="expression" priority="1348" aboveAverage="0" equalAverage="0" bottom="0" percent="0" rank="0" text="" dxfId="1358">
      <formula>$F783:R2315="pp"</formula>
    </cfRule>
  </conditionalFormatting>
  <conditionalFormatting sqref="Q149">
    <cfRule type="expression" priority="1349" aboveAverage="0" equalAverage="0" bottom="0" percent="0" rank="0" text="" dxfId="1359">
      <formula>$F149:T2279="pp"</formula>
    </cfRule>
  </conditionalFormatting>
  <conditionalFormatting sqref="G282:I282">
    <cfRule type="expression" priority="1350" aboveAverage="0" equalAverage="0" bottom="0" percent="0" rank="0" text="" dxfId="1360">
      <formula>$F282:K2289="pp"</formula>
    </cfRule>
  </conditionalFormatting>
  <conditionalFormatting sqref="A279">
    <cfRule type="expression" priority="1351" aboveAverage="0" equalAverage="0" bottom="0" percent="0" rank="0" text="" dxfId="1361">
      <formula>$F279:F2307="pp"</formula>
    </cfRule>
  </conditionalFormatting>
  <conditionalFormatting sqref="C897:D897 A877:A881 C901:D903">
    <cfRule type="expression" priority="1352" aboveAverage="0" equalAverage="0" bottom="0" percent="0" rank="0" text="" dxfId="1362">
      <formula>$F877:F2315="pp"</formula>
    </cfRule>
  </conditionalFormatting>
  <conditionalFormatting sqref="G1131:I1131">
    <cfRule type="expression" priority="1353" aboveAverage="0" equalAverage="0" bottom="0" percent="0" rank="0" text="" dxfId="1363">
      <formula>$F1131:K2279="pp"</formula>
    </cfRule>
  </conditionalFormatting>
  <conditionalFormatting sqref="L1287">
    <cfRule type="expression" priority="1354" aboveAverage="0" equalAverage="0" bottom="0" percent="0" rank="0" text="" dxfId="1364">
      <formula>$F1287:Q2289="pp"</formula>
    </cfRule>
  </conditionalFormatting>
  <conditionalFormatting sqref="E708 O713:O716 G697:I701">
    <cfRule type="expression" priority="1355" aboveAverage="0" equalAverage="0" bottom="0" percent="0" rank="0" text="" dxfId="1365">
      <formula>$F697:I2272="pp"</formula>
    </cfRule>
  </conditionalFormatting>
  <conditionalFormatting sqref="J919">
    <cfRule type="expression" priority="1356" aboveAverage="0" equalAverage="0" bottom="0" percent="0" rank="0" text="" dxfId="1366">
      <formula>$F919:O2280="pp"</formula>
    </cfRule>
  </conditionalFormatting>
  <conditionalFormatting sqref="J625">
    <cfRule type="expression" priority="1357" aboveAverage="0" equalAverage="0" bottom="0" percent="0" rank="0" text="" dxfId="1367">
      <formula>$F625:O2272="pp"</formula>
    </cfRule>
  </conditionalFormatting>
  <conditionalFormatting sqref="J921">
    <cfRule type="expression" priority="1358" aboveAverage="0" equalAverage="0" bottom="0" percent="0" rank="0" text="" dxfId="1368">
      <formula>$F921:O2276="pp"</formula>
    </cfRule>
  </conditionalFormatting>
  <conditionalFormatting sqref="A736 K754:K758 M754:N758">
    <cfRule type="expression" priority="1359" aboveAverage="0" equalAverage="0" bottom="0" percent="0" rank="0" text="" dxfId="1369">
      <formula>$F736:F2289="pp"</formula>
    </cfRule>
  </conditionalFormatting>
  <conditionalFormatting sqref="M1334:N1334">
    <cfRule type="expression" priority="1360" aboveAverage="0" equalAverage="0" bottom="0" percent="0" rank="0" text="" dxfId="1370">
      <formula>$F1334:R2310="pp"</formula>
    </cfRule>
  </conditionalFormatting>
  <conditionalFormatting sqref="J192">
    <cfRule type="expression" priority="1361" aboveAverage="0" equalAverage="0" bottom="0" percent="0" rank="0" text="" dxfId="1371">
      <formula>$F192:O2230="pp"</formula>
    </cfRule>
  </conditionalFormatting>
  <conditionalFormatting sqref="F266">
    <cfRule type="expression" priority="1362" aboveAverage="0" equalAverage="0" bottom="0" percent="0" rank="0" text="" dxfId="1372">
      <formula>$F266:J2326="pp"</formula>
    </cfRule>
  </conditionalFormatting>
  <conditionalFormatting sqref="M275:N275">
    <cfRule type="expression" priority="1363" aboveAverage="0" equalAverage="0" bottom="0" percent="0" rank="0" text="" dxfId="1373">
      <formula>$F275:R2309="pp"</formula>
    </cfRule>
  </conditionalFormatting>
  <conditionalFormatting sqref="B427">
    <cfRule type="expression" priority="1364" aboveAverage="0" equalAverage="0" bottom="0" percent="0" rank="0" text="" dxfId="1374">
      <formula>$F427:G2269="pp"</formula>
    </cfRule>
  </conditionalFormatting>
  <conditionalFormatting sqref="F1131">
    <cfRule type="expression" priority="1365" aboveAverage="0" equalAverage="0" bottom="0" percent="0" rank="0" text="" dxfId="1375">
      <formula>$F1131:J2621="pp"</formula>
    </cfRule>
  </conditionalFormatting>
  <conditionalFormatting sqref="B1296">
    <cfRule type="expression" priority="1366" aboveAverage="0" equalAverage="0" bottom="0" percent="0" rank="0" text="" dxfId="1376">
      <formula>$F1296:G2289="pp"</formula>
    </cfRule>
  </conditionalFormatting>
  <conditionalFormatting sqref="F442">
    <cfRule type="expression" priority="1367" aboveAverage="0" equalAverage="0" bottom="0" percent="0" rank="0" text="" dxfId="1377">
      <formula>$F442:J2305="pp"</formula>
    </cfRule>
  </conditionalFormatting>
  <conditionalFormatting sqref="L515">
    <cfRule type="expression" priority="1368" aboveAverage="0" equalAverage="0" bottom="0" percent="0" rank="0" text="" dxfId="1378">
      <formula>$F515:Q2274="pp"</formula>
    </cfRule>
  </conditionalFormatting>
  <conditionalFormatting sqref="M1130:N1130">
    <cfRule type="expression" priority="1369" aboveAverage="0" equalAverage="0" bottom="0" percent="0" rank="0" text="" dxfId="1379">
      <formula>$F1130:R2313="pp"</formula>
    </cfRule>
  </conditionalFormatting>
  <conditionalFormatting sqref="G279:I279">
    <cfRule type="expression" priority="1370" aboveAverage="0" equalAverage="0" bottom="0" percent="0" rank="0" text="" dxfId="1380">
      <formula>$F279:K2289="pp"</formula>
    </cfRule>
  </conditionalFormatting>
  <conditionalFormatting sqref="F890">
    <cfRule type="expression" priority="1371" aboveAverage="0" equalAverage="0" bottom="0" percent="0" rank="0" text="" dxfId="1381">
      <formula>$F890:J2617="pp"</formula>
    </cfRule>
  </conditionalFormatting>
  <conditionalFormatting sqref="M269:N269">
    <cfRule type="expression" priority="1372" aboveAverage="0" equalAverage="0" bottom="0" percent="0" rank="0" text="" dxfId="1382">
      <formula>$F269:R2310="pp"</formula>
    </cfRule>
  </conditionalFormatting>
  <conditionalFormatting sqref="M341:N341">
    <cfRule type="expression" priority="1373" aboveAverage="0" equalAverage="0" bottom="0" percent="0" rank="0" text="" dxfId="1383">
      <formula>$F341:R2294="pp"</formula>
    </cfRule>
  </conditionalFormatting>
  <conditionalFormatting sqref="G782:I782">
    <cfRule type="expression" priority="1374" aboveAverage="0" equalAverage="0" bottom="0" percent="0" rank="0" text="" dxfId="1384">
      <formula>$F782:K2270="pp"</formula>
    </cfRule>
  </conditionalFormatting>
  <conditionalFormatting sqref="E442 G430:I431">
    <cfRule type="expression" priority="1375" aboveAverage="0" equalAverage="0" bottom="0" percent="0" rank="0" text="" dxfId="1385">
      <formula>$F430:I2264="pp"</formula>
    </cfRule>
  </conditionalFormatting>
  <conditionalFormatting sqref="M1133:N1133">
    <cfRule type="expression" priority="1376" aboveAverage="0" equalAverage="0" bottom="0" percent="0" rank="0" text="" dxfId="1386">
      <formula>$F1133:R2317="pp"</formula>
    </cfRule>
  </conditionalFormatting>
  <conditionalFormatting sqref="G1436:I1436">
    <cfRule type="expression" priority="1377" aboveAverage="0" equalAverage="0" bottom="0" percent="0" rank="0" text="" dxfId="1387">
      <formula>$F1436:K2300="pp"</formula>
    </cfRule>
  </conditionalFormatting>
  <conditionalFormatting sqref="F813">
    <cfRule type="expression" priority="1378" aboveAverage="0" equalAverage="0" bottom="0" percent="0" rank="0" text="" dxfId="1388">
      <formula>$F813:J2575="pp"</formula>
    </cfRule>
  </conditionalFormatting>
  <conditionalFormatting sqref="B496">
    <cfRule type="expression" priority="1379" aboveAverage="0" equalAverage="0" bottom="0" percent="0" rank="0" text="" dxfId="1389">
      <formula>$F496:G2273="pp"</formula>
    </cfRule>
  </conditionalFormatting>
  <conditionalFormatting sqref="C456:D456">
    <cfRule type="expression" priority="1380" aboveAverage="0" equalAverage="0" bottom="0" percent="0" rank="0" text="" dxfId="1390">
      <formula>$F456:H2316="pp"</formula>
    </cfRule>
  </conditionalFormatting>
  <conditionalFormatting sqref="C906:D906">
    <cfRule type="expression" priority="1381" aboveAverage="0" equalAverage="0" bottom="0" percent="0" rank="0" text="" dxfId="1391">
      <formula>$F906:H2334="pp"</formula>
    </cfRule>
  </conditionalFormatting>
  <conditionalFormatting sqref="M1132:N1132">
    <cfRule type="expression" priority="1382" aboveAverage="0" equalAverage="0" bottom="0" percent="0" rank="0" text="" dxfId="1392">
      <formula>$F1132:R2313="pp"</formula>
    </cfRule>
  </conditionalFormatting>
  <conditionalFormatting sqref="L782">
    <cfRule type="expression" priority="1383" aboveAverage="0" equalAverage="0" bottom="0" percent="0" rank="0" text="" dxfId="1393">
      <formula>$F782:Q2270="pp"</formula>
    </cfRule>
  </conditionalFormatting>
  <conditionalFormatting sqref="C299:D299">
    <cfRule type="expression" priority="1384" aboveAverage="0" equalAverage="0" bottom="0" percent="0" rank="0" text="" dxfId="1394">
      <formula>$F299:H2323="pp"</formula>
    </cfRule>
  </conditionalFormatting>
  <conditionalFormatting sqref="E335">
    <cfRule type="expression" priority="1385" aboveAverage="0" equalAverage="0" bottom="0" percent="0" rank="0" text="" dxfId="1395">
      <formula>$F335:I2287="pp"</formula>
    </cfRule>
  </conditionalFormatting>
  <conditionalFormatting sqref="G379:I379">
    <cfRule type="expression" priority="1386" aboveAverage="0" equalAverage="0" bottom="0" percent="0" rank="0" text="" dxfId="1396">
      <formula>$F379:K2406="pp"</formula>
    </cfRule>
  </conditionalFormatting>
  <conditionalFormatting sqref="O443">
    <cfRule type="expression" priority="1387" aboveAverage="0" equalAverage="0" bottom="0" percent="0" rank="0" text="" dxfId="1397">
      <formula>$F443:S2284="pp"</formula>
    </cfRule>
  </conditionalFormatting>
  <conditionalFormatting sqref="F815 F559:F564 G508:I509 O521:O523">
    <cfRule type="expression" priority="1388" aboveAverage="0" equalAverage="0" bottom="0" percent="0" rank="0" text="" dxfId="1398">
      <formula>$F508:J2272="pp"</formula>
    </cfRule>
  </conditionalFormatting>
  <conditionalFormatting sqref="F814 F565:F574 F554:F558 F668:F671 G510:I511 O524:O526">
    <cfRule type="expression" priority="1389" aboveAverage="0" equalAverage="0" bottom="0" percent="0" rank="0" text="" dxfId="1399">
      <formula>$F510:J2273="pp"</formula>
    </cfRule>
  </conditionalFormatting>
  <conditionalFormatting sqref="G1132:I1132 G1135:I1136 O1151:O1152">
    <cfRule type="expression" priority="1390" aboveAverage="0" equalAverage="0" bottom="0" percent="0" rank="0" text="" dxfId="1400">
      <formula>$F1132:K2276="pp"</formula>
    </cfRule>
  </conditionalFormatting>
  <conditionalFormatting sqref="F893">
    <cfRule type="expression" priority="1391" aboveAverage="0" equalAverage="0" bottom="0" percent="0" rank="0" text="" dxfId="1401">
      <formula>$F893:J2607="pp"</formula>
    </cfRule>
  </conditionalFormatting>
  <conditionalFormatting sqref="O1132">
    <cfRule type="expression" priority="1392" aboveAverage="0" equalAverage="0" bottom="0" percent="0" rank="0" text="" dxfId="1402">
      <formula>$F1132:S2291="pp"</formula>
    </cfRule>
  </conditionalFormatting>
  <conditionalFormatting sqref="J324">
    <cfRule type="expression" priority="1393" aboveAverage="0" equalAverage="0" bottom="0" percent="0" rank="0" text="" dxfId="1403">
      <formula>$F324:O2276="pp"</formula>
    </cfRule>
  </conditionalFormatting>
  <conditionalFormatting sqref="L1132">
    <cfRule type="expression" priority="1394" aboveAverage="0" equalAverage="0" bottom="0" percent="0" rank="0" text="" dxfId="1404">
      <formula>$F1132:Q2276="pp"</formula>
    </cfRule>
  </conditionalFormatting>
  <conditionalFormatting sqref="K443">
    <cfRule type="expression" priority="1395" aboveAverage="0" equalAverage="0" bottom="0" percent="0" rank="0" text="" dxfId="1405">
      <formula>$F443:P2306="pp"</formula>
    </cfRule>
  </conditionalFormatting>
  <conditionalFormatting sqref="Q443">
    <cfRule type="expression" priority="1396" aboveAverage="0" equalAverage="0" bottom="0" percent="0" rank="0" text="" dxfId="1406">
      <formula>$F443:T2297="pp"</formula>
    </cfRule>
  </conditionalFormatting>
  <conditionalFormatting sqref="K1458 C1458:D1461 C1442:D1448">
    <cfRule type="expression" priority="1397" aboveAverage="0" equalAverage="0" bottom="0" percent="0" rank="0" text="" dxfId="1407">
      <formula>$F1442:H2335="pp"</formula>
    </cfRule>
  </conditionalFormatting>
  <conditionalFormatting sqref="B1276 A1304:A1329">
    <cfRule type="expression" priority="1398" aboveAverage="0" equalAverage="0" bottom="0" percent="0" rank="0" text="" dxfId="1408">
      <formula>$F1276:F2291="pp"</formula>
    </cfRule>
  </conditionalFormatting>
  <conditionalFormatting sqref="B282 C311:D326 K301:K303 M301:N303">
    <cfRule type="expression" priority="1399" aboveAverage="0" equalAverage="0" bottom="0" percent="0" rank="0" text="" dxfId="1409">
      <formula>$F282:G2289="pp"</formula>
    </cfRule>
  </conditionalFormatting>
  <conditionalFormatting sqref="Q1458">
    <cfRule type="expression" priority="1400" aboveAverage="0" equalAverage="0" bottom="0" percent="0" rank="0" text="" dxfId="1410">
      <formula>$F1458:T2342="pp"</formula>
    </cfRule>
  </conditionalFormatting>
  <conditionalFormatting sqref="O379">
    <cfRule type="expression" priority="1401" aboveAverage="0" equalAverage="0" bottom="0" percent="0" rank="0" text="" dxfId="1411">
      <formula>$F379:S2406="pp"</formula>
    </cfRule>
  </conditionalFormatting>
  <conditionalFormatting sqref="E476 O480:O484 G464:I466 G462:I462">
    <cfRule type="expression" priority="1402" aboveAverage="0" equalAverage="0" bottom="0" percent="0" rank="0" text="" dxfId="1412">
      <formula>$F462:I2267="pp"</formula>
    </cfRule>
  </conditionalFormatting>
  <conditionalFormatting sqref="F892">
    <cfRule type="expression" priority="1403" aboveAverage="0" equalAverage="0" bottom="0" percent="0" rank="0" text="" dxfId="1413">
      <formula>$F892:J2619="pp"</formula>
    </cfRule>
  </conditionalFormatting>
  <conditionalFormatting sqref="F791">
    <cfRule type="expression" priority="1404" aboveAverage="0" equalAverage="0" bottom="0" percent="0" rank="0" text="" dxfId="1414">
      <formula>$F791:J2547="pp"</formula>
    </cfRule>
  </conditionalFormatting>
  <conditionalFormatting sqref="F1458 G1390:I1393 O1412:O1413">
    <cfRule type="expression" priority="1405" aboveAverage="0" equalAverage="0" bottom="0" percent="0" rank="0" text="" dxfId="1415">
      <formula>$F1390:J2282="pp"</formula>
    </cfRule>
  </conditionalFormatting>
  <conditionalFormatting sqref="E1436 G1423:I1425 F1461:F1465">
    <cfRule type="expression" priority="1406" aboveAverage="0" equalAverage="0" bottom="0" percent="0" rank="0" text="" dxfId="1416">
      <formula>$F1423:I2297="pp"</formula>
    </cfRule>
  </conditionalFormatting>
  <conditionalFormatting sqref="L1133">
    <cfRule type="expression" priority="1407" aboveAverage="0" equalAverage="0" bottom="0" percent="0" rank="0" text="" dxfId="1417">
      <formula>$F1133:Q2280="pp"</formula>
    </cfRule>
  </conditionalFormatting>
  <conditionalFormatting sqref="M295:N295">
    <cfRule type="expression" priority="1408" aboveAverage="0" equalAverage="0" bottom="0" percent="0" rank="0" text="" dxfId="1418">
      <formula>$F295:R2323="pp"</formula>
    </cfRule>
  </conditionalFormatting>
  <conditionalFormatting sqref="J626">
    <cfRule type="expression" priority="1409" aboveAverage="0" equalAverage="0" bottom="0" percent="0" rank="0" text="" dxfId="1419">
      <formula>$F626:O2272="pp"</formula>
    </cfRule>
  </conditionalFormatting>
  <conditionalFormatting sqref="G1468:I1468 F1510:F1516 F1522:F1534">
    <cfRule type="expression" priority="1410" aboveAverage="0" equalAverage="0" bottom="0" percent="0" rank="0" text="" dxfId="1420">
      <formula>$F1468:J2301="pp"</formula>
    </cfRule>
  </conditionalFormatting>
  <conditionalFormatting sqref="C1503:D1503">
    <cfRule type="expression" priority="1411" aboveAverage="0" equalAverage="0" bottom="0" percent="0" rank="0" text="" dxfId="1421">
      <formula>$F1503:H2341="pp"</formula>
    </cfRule>
  </conditionalFormatting>
  <conditionalFormatting sqref="M1468:N1468">
    <cfRule type="expression" priority="1412" aboveAverage="0" equalAverage="0" bottom="0" percent="0" rank="0" text="" dxfId="1422">
      <formula>$F1468:R2338="pp"</formula>
    </cfRule>
  </conditionalFormatting>
  <conditionalFormatting sqref="L1468">
    <cfRule type="expression" priority="1413" aboveAverage="0" equalAverage="0" bottom="0" percent="0" rank="0" text="" dxfId="1423">
      <formula>$F1468:Q2301="pp"</formula>
    </cfRule>
  </conditionalFormatting>
  <conditionalFormatting sqref="J1468">
    <cfRule type="expression" priority="1414" aboveAverage="0" equalAverage="0" bottom="0" percent="0" rank="0" text="" dxfId="1424">
      <formula>$F1468:O2301="pp"</formula>
    </cfRule>
  </conditionalFormatting>
  <conditionalFormatting sqref="O1458">
    <cfRule type="expression" priority="1415" aboveAverage="0" equalAverage="0" bottom="0" percent="0" rank="0" text="" dxfId="1425">
      <formula>$F1458:S2329="pp"</formula>
    </cfRule>
  </conditionalFormatting>
  <conditionalFormatting sqref="M1458:N1458">
    <cfRule type="expression" priority="1416" aboveAverage="0" equalAverage="0" bottom="0" percent="0" rank="0" text="" dxfId="1426">
      <formula>$F1458:R2351="pp"</formula>
    </cfRule>
  </conditionalFormatting>
  <conditionalFormatting sqref="C1489:D1489">
    <cfRule type="expression" priority="1417" aboveAverage="0" equalAverage="0" bottom="0" percent="0" rank="0" text="" dxfId="1427">
      <formula>$F1489:H2342="pp"</formula>
    </cfRule>
  </conditionalFormatting>
  <conditionalFormatting sqref="F462 F464:F466 G424:I425 E430:E431">
    <cfRule type="expression" priority="1418" aboveAverage="0" equalAverage="0" bottom="0" percent="0" rank="0" text="" dxfId="1428">
      <formula>$F424:I2268="pp"</formula>
    </cfRule>
  </conditionalFormatting>
  <conditionalFormatting sqref="F824">
    <cfRule type="expression" priority="1419" aboveAverage="0" equalAverage="0" bottom="0" percent="0" rank="0" text="" dxfId="1429">
      <formula>$F824:J2592="pp"</formula>
    </cfRule>
  </conditionalFormatting>
  <conditionalFormatting sqref="F1489 G1449:I1450">
    <cfRule type="expression" priority="1420" aboveAverage="0" equalAverage="0" bottom="0" percent="0" rank="0" text="" dxfId="1430">
      <formula>$F1449:J2307="pp"</formula>
    </cfRule>
  </conditionalFormatting>
  <conditionalFormatting sqref="C978:D978">
    <cfRule type="expression" priority="1421" aboveAverage="0" equalAverage="0" bottom="0" percent="0" rank="0" text="" dxfId="1431">
      <formula>$F978:H2340="pp"</formula>
    </cfRule>
  </conditionalFormatting>
  <conditionalFormatting sqref="E778 G771:I776">
    <cfRule type="expression" priority="1422" aboveAverage="0" equalAverage="0" bottom="0" percent="0" rank="0" text="" dxfId="1432">
      <formula>$F771:I2275="pp"</formula>
    </cfRule>
  </conditionalFormatting>
  <conditionalFormatting sqref="G1458:I1458">
    <cfRule type="expression" priority="1423" aboveAverage="0" equalAverage="0" bottom="0" percent="0" rank="0" text="" dxfId="1433">
      <formula>$F1458:K2311="pp"</formula>
    </cfRule>
  </conditionalFormatting>
  <conditionalFormatting sqref="C899:D899">
    <cfRule type="expression" priority="1424" aboveAverage="0" equalAverage="0" bottom="0" percent="0" rank="0" text="" dxfId="1434">
      <formula>$F899:H2337="pp"</formula>
    </cfRule>
  </conditionalFormatting>
  <conditionalFormatting sqref="F819">
    <cfRule type="expression" priority="1425" aboveAverage="0" equalAverage="0" bottom="0" percent="0" rank="0" text="" dxfId="1435">
      <formula>$F819:J2583="pp"</formula>
    </cfRule>
  </conditionalFormatting>
  <conditionalFormatting sqref="K266">
    <cfRule type="expression" priority="1426" aboveAverage="0" equalAverage="0" bottom="0" percent="0" rank="0" text="" dxfId="1436">
      <formula>$F266:P2303="pp"</formula>
    </cfRule>
  </conditionalFormatting>
  <conditionalFormatting sqref="A1468 L1454:L1457 B1454:B1457 J1454:J1457">
    <cfRule type="expression" priority="1427" aboveAverage="0" equalAverage="0" bottom="0" percent="0" rank="0" text="" dxfId="1437">
      <formula>$F1454:F2305="pp"</formula>
    </cfRule>
  </conditionalFormatting>
  <conditionalFormatting sqref="J193">
    <cfRule type="expression" priority="1428" aboveAverage="0" equalAverage="0" bottom="0" percent="0" rank="0" text="" dxfId="1438">
      <formula>$F193:O2228="pp"</formula>
    </cfRule>
  </conditionalFormatting>
  <conditionalFormatting sqref="A577">
    <cfRule type="expression" priority="1429" aboveAverage="0" equalAverage="0" bottom="0" percent="0" rank="0" text="" dxfId="1439">
      <formula>$F577:F2312="pp"</formula>
    </cfRule>
  </conditionalFormatting>
  <conditionalFormatting sqref="L1130">
    <cfRule type="expression" priority="1430" aboveAverage="0" equalAverage="0" bottom="0" percent="0" rank="0" text="" dxfId="1440">
      <formula>$F1130:Q2276="pp"</formula>
    </cfRule>
  </conditionalFormatting>
  <conditionalFormatting sqref="E269 F296:F306">
    <cfRule type="expression" priority="1431" aboveAverage="0" equalAverage="0" bottom="0" percent="0" rank="0" text="" dxfId="1441">
      <formula>$F269:I2298="pp"</formula>
    </cfRule>
  </conditionalFormatting>
  <conditionalFormatting sqref="G442:I442">
    <cfRule type="expression" priority="1432" aboveAverage="0" equalAverage="0" bottom="0" percent="0" rank="0" text="" dxfId="1442">
      <formula>$F442:K2266="pp"</formula>
    </cfRule>
  </conditionalFormatting>
  <conditionalFormatting sqref="Q442">
    <cfRule type="expression" priority="1433" aboveAverage="0" equalAverage="0" bottom="0" percent="0" rank="0" text="" dxfId="1443">
      <formula>$F442:T2294="pp"</formula>
    </cfRule>
  </conditionalFormatting>
  <conditionalFormatting sqref="E1483">
    <cfRule type="expression" priority="1434" aboveAverage="0" equalAverage="0" bottom="0" percent="0" rank="0" text="" dxfId="1444">
      <formula>$F1483:I2312="pp"</formula>
    </cfRule>
  </conditionalFormatting>
  <conditionalFormatting sqref="F1503">
    <cfRule type="expression" priority="1435" aboveAverage="0" equalAverage="0" bottom="0" percent="0" rank="0" text="" dxfId="1445">
      <formula>$F1503:J2346="pp"</formula>
    </cfRule>
  </conditionalFormatting>
  <conditionalFormatting sqref="E1097">
    <cfRule type="expression" priority="1436" aboveAverage="0" equalAverage="0" bottom="0" percent="0" rank="0" text="" dxfId="1446">
      <formula>$F1097:I2303="pp"</formula>
    </cfRule>
  </conditionalFormatting>
  <conditionalFormatting sqref="J1503">
    <cfRule type="expression" priority="1437" aboveAverage="0" equalAverage="0" bottom="0" percent="0" rank="0" text="" dxfId="1447">
      <formula>$F1503:O2307="pp"</formula>
    </cfRule>
  </conditionalFormatting>
  <conditionalFormatting sqref="E1098">
    <cfRule type="expression" priority="1438" aboveAverage="0" equalAverage="0" bottom="0" percent="0" rank="0" text="" dxfId="1448">
      <formula>$F1098:I2303="pp"</formula>
    </cfRule>
  </conditionalFormatting>
  <conditionalFormatting sqref="O1098 E1099:E1114">
    <cfRule type="expression" priority="1439" aboveAverage="0" equalAverage="0" bottom="0" percent="0" rank="0" text="" dxfId="1449">
      <formula>$F1098:I2302="pp"</formula>
    </cfRule>
  </conditionalFormatting>
  <conditionalFormatting sqref="F1496 O1464:O1465">
    <cfRule type="expression" priority="1440" aboveAverage="0" equalAverage="0" bottom="0" percent="0" rank="0" text="" dxfId="1450">
      <formula>$F1464:J2314="pp"</formula>
    </cfRule>
  </conditionalFormatting>
  <conditionalFormatting sqref="G1098:I1098">
    <cfRule type="expression" priority="1441" aboveAverage="0" equalAverage="0" bottom="0" percent="0" rank="0" text="" dxfId="1451">
      <formula>$F1098:K2287="pp"</formula>
    </cfRule>
  </conditionalFormatting>
  <conditionalFormatting sqref="O1496">
    <cfRule type="expression" priority="1442" aboveAverage="0" equalAverage="0" bottom="0" percent="0" rank="0" text="" dxfId="1452">
      <formula>$F1496:S2322="pp"</formula>
    </cfRule>
  </conditionalFormatting>
  <conditionalFormatting sqref="C1033:D1033 C1039:D1049">
    <cfRule type="expression" priority="1443" aboveAverage="0" equalAverage="0" bottom="0" percent="0" rank="0" text="" dxfId="1453">
      <formula>$F1033:H2337="pp"</formula>
    </cfRule>
  </conditionalFormatting>
  <conditionalFormatting sqref="L1096">
    <cfRule type="expression" priority="1444" aboveAverage="0" equalAverage="0" bottom="0" percent="0" rank="0" text="" dxfId="1454">
      <formula>$F1096:Q2287="pp"</formula>
    </cfRule>
  </conditionalFormatting>
  <conditionalFormatting sqref="F828">
    <cfRule type="expression" priority="1445" aboveAverage="0" equalAverage="0" bottom="0" percent="0" rank="0" text="" dxfId="1455">
      <formula>$F828:J2596="pp"</formula>
    </cfRule>
  </conditionalFormatting>
  <conditionalFormatting sqref="O279">
    <cfRule type="expression" priority="1446" aboveAverage="0" equalAverage="0" bottom="0" percent="0" rank="0" text="" dxfId="1456">
      <formula>$F279:S2289="pp"</formula>
    </cfRule>
  </conditionalFormatting>
  <conditionalFormatting sqref="F894">
    <cfRule type="expression" priority="1447" aboveAverage="0" equalAverage="0" bottom="0" percent="0" rank="0" text="" dxfId="1457">
      <formula>$F894:J2621="pp"</formula>
    </cfRule>
  </conditionalFormatting>
  <conditionalFormatting sqref="B1097 C1137:D1142">
    <cfRule type="expression" priority="1448" aboveAverage="0" equalAverage="0" bottom="0" percent="0" rank="0" text="" dxfId="1458">
      <formula>$F1097:G2287="pp"</formula>
    </cfRule>
  </conditionalFormatting>
  <conditionalFormatting sqref="L875">
    <cfRule type="expression" priority="1449" aboveAverage="0" equalAverage="0" bottom="0" percent="0" rank="0" text="" dxfId="1459">
      <formula>$F875:Q2282="pp"</formula>
    </cfRule>
  </conditionalFormatting>
  <conditionalFormatting sqref="F1232">
    <cfRule type="expression" priority="1450" aboveAverage="0" equalAverage="0" bottom="0" percent="0" rank="0" text="" dxfId="1460">
      <formula>$F1232:J2626="pp"</formula>
    </cfRule>
  </conditionalFormatting>
  <conditionalFormatting sqref="B1098">
    <cfRule type="expression" priority="1451" aboveAverage="0" equalAverage="0" bottom="0" percent="0" rank="0" text="" dxfId="1461">
      <formula>$F1098:G2287="pp"</formula>
    </cfRule>
  </conditionalFormatting>
  <conditionalFormatting sqref="C1098:D1098 C1080:D1092 B1049:B1051 L1049:L1051 J1049:J1051">
    <cfRule type="expression" priority="1452" aboveAverage="0" equalAverage="0" bottom="0" percent="0" rank="0" text="" dxfId="1462">
      <formula>$F1049:G2291="pp"</formula>
    </cfRule>
  </conditionalFormatting>
  <conditionalFormatting sqref="E1096 O1080:O1095">
    <cfRule type="expression" priority="1453" aboveAverage="0" equalAverage="0" bottom="0" percent="0" rank="0" text="" dxfId="1463">
      <formula>$F1080:I2287="pp"</formula>
    </cfRule>
  </conditionalFormatting>
  <conditionalFormatting sqref="F1098 G737:I738 O754:O758">
    <cfRule type="expression" priority="1454" aboveAverage="0" equalAverage="0" bottom="0" percent="0" rank="0" text="" dxfId="1464">
      <formula>$F737:J2268="pp"</formula>
    </cfRule>
  </conditionalFormatting>
  <conditionalFormatting sqref="J1098">
    <cfRule type="expression" priority="1455" aboveAverage="0" equalAverage="0" bottom="0" percent="0" rank="0" text="" dxfId="1465">
      <formula>$F1098:O2287="pp"</formula>
    </cfRule>
  </conditionalFormatting>
  <conditionalFormatting sqref="K1098 B1052:B1054 J1052:J1054 L1052:L1054">
    <cfRule type="expression" priority="1456" aboveAverage="0" equalAverage="0" bottom="0" percent="0" rank="0" text="" dxfId="1466">
      <formula>$F1052:G2278="pp"</formula>
    </cfRule>
  </conditionalFormatting>
  <conditionalFormatting sqref="Q1098">
    <cfRule type="expression" priority="1457" aboveAverage="0" equalAverage="0" bottom="0" percent="0" rank="0" text="" dxfId="1467">
      <formula>$F1098:T2315="pp"</formula>
    </cfRule>
  </conditionalFormatting>
  <conditionalFormatting sqref="C1097:D1097">
    <cfRule type="expression" priority="1458" aboveAverage="0" equalAverage="0" bottom="0" percent="0" rank="0" text="" dxfId="1468">
      <formula>$F1097:H2340="pp"</formula>
    </cfRule>
  </conditionalFormatting>
  <conditionalFormatting sqref="F1097">
    <cfRule type="expression" priority="1459" aboveAverage="0" equalAverage="0" bottom="0" percent="0" rank="0" text="" dxfId="1469">
      <formula>$F1097:J2629="pp"</formula>
    </cfRule>
  </conditionalFormatting>
  <conditionalFormatting sqref="J1097">
    <cfRule type="expression" priority="1460" aboveAverage="0" equalAverage="0" bottom="0" percent="0" rank="0" text="" dxfId="1470">
      <formula>$F1097:O2287="pp"</formula>
    </cfRule>
  </conditionalFormatting>
  <conditionalFormatting sqref="K1097 A1078:A1079">
    <cfRule type="expression" priority="1461" aboveAverage="0" equalAverage="0" bottom="0" percent="0" rank="0" text="" dxfId="1471">
      <formula>$F1078:F2305="pp"</formula>
    </cfRule>
  </conditionalFormatting>
  <conditionalFormatting sqref="Q1097">
    <cfRule type="expression" priority="1462" aboveAverage="0" equalAverage="0" bottom="0" percent="0" rank="0" text="" dxfId="1472">
      <formula>$F1097:T2315="pp"</formula>
    </cfRule>
  </conditionalFormatting>
  <conditionalFormatting sqref="B1096">
    <cfRule type="expression" priority="1463" aboveAverage="0" equalAverage="0" bottom="0" percent="0" rank="0" text="" dxfId="1473">
      <formula>$F1096:G2287="pp"</formula>
    </cfRule>
  </conditionalFormatting>
  <conditionalFormatting sqref="C1096:D1096 C1078:D1079">
    <cfRule type="expression" priority="1464" aboveAverage="0" equalAverage="0" bottom="0" percent="0" rank="0" text="" dxfId="1474">
      <formula>$F1078:H2322="pp"</formula>
    </cfRule>
  </conditionalFormatting>
  <conditionalFormatting sqref="F1096 G741:I747">
    <cfRule type="expression" priority="1465" aboveAverage="0" equalAverage="0" bottom="0" percent="0" rank="0" text="" dxfId="1475">
      <formula>$F741:J2274="pp"</formula>
    </cfRule>
  </conditionalFormatting>
  <conditionalFormatting sqref="J1096">
    <cfRule type="expression" priority="1466" aboveAverage="0" equalAverage="0" bottom="0" percent="0" rank="0" text="" dxfId="1476">
      <formula>$F1096:O2287="pp"</formula>
    </cfRule>
  </conditionalFormatting>
  <conditionalFormatting sqref="K1096 A1093:A1098">
    <cfRule type="expression" priority="1467" aboveAverage="0" equalAverage="0" bottom="0" percent="0" rank="0" text="" dxfId="1477">
      <formula>$F1093:F2321="pp"</formula>
    </cfRule>
  </conditionalFormatting>
  <conditionalFormatting sqref="Q1096">
    <cfRule type="expression" priority="1468" aboveAverage="0" equalAverage="0" bottom="0" percent="0" rank="0" text="" dxfId="1478">
      <formula>$F1096:T2315="pp"</formula>
    </cfRule>
  </conditionalFormatting>
  <conditionalFormatting sqref="O1073">
    <cfRule type="expression" priority="1469" aboveAverage="0" equalAverage="0" bottom="0" percent="0" rank="0" text="" dxfId="1479">
      <formula>$F1073:S2300="pp"</formula>
    </cfRule>
  </conditionalFormatting>
  <conditionalFormatting sqref="E1522 E1519:E1520">
    <cfRule type="expression" priority="1470" aboveAverage="0" equalAverage="0" bottom="0" percent="0" rank="0" text="" dxfId="1480">
      <formula>$F1519:I2314="pp"</formula>
    </cfRule>
  </conditionalFormatting>
  <conditionalFormatting sqref="C1496:D1496 A1486:A1488 A1476:A1479 A1472:A1473">
    <cfRule type="expression" priority="1471" aboveAverage="0" equalAverage="0" bottom="0" percent="0" rank="0" text="" dxfId="1481">
      <formula>$F1472:F2317="pp"</formula>
    </cfRule>
  </conditionalFormatting>
  <conditionalFormatting sqref="B1496 A1517:A1521 K1537:K1538 M1537:N1538">
    <cfRule type="expression" priority="1472" aboveAverage="0" equalAverage="0" bottom="0" percent="0" rank="0" text="" dxfId="1482">
      <formula>$F1496:F2307="pp"</formula>
    </cfRule>
  </conditionalFormatting>
  <conditionalFormatting sqref="K1496">
    <cfRule type="expression" priority="1473" aboveAverage="0" equalAverage="0" bottom="0" percent="0" rank="0" text="" dxfId="1483">
      <formula>$F1496:P2344="pp"</formula>
    </cfRule>
  </conditionalFormatting>
  <conditionalFormatting sqref="Q1496">
    <cfRule type="expression" priority="1474" aboveAverage="0" equalAverage="0" bottom="0" percent="0" rank="0" text="" dxfId="1484">
      <formula>$F1496:T2335="pp"</formula>
    </cfRule>
  </conditionalFormatting>
  <conditionalFormatting sqref="C458:D458">
    <cfRule type="expression" priority="1475" aboveAverage="0" equalAverage="0" bottom="0" percent="0" rank="0" text="" dxfId="1485">
      <formula>$F458:H2316="pp"</formula>
    </cfRule>
  </conditionalFormatting>
  <conditionalFormatting sqref="F326">
    <cfRule type="expression" priority="1476" aboveAverage="0" equalAverage="0" bottom="0" percent="0" rank="0" text="" dxfId="1486">
      <formula>$F326:J2338="pp"</formula>
    </cfRule>
  </conditionalFormatting>
  <conditionalFormatting sqref="G1096:I1096">
    <cfRule type="expression" priority="1477" aboveAverage="0" equalAverage="0" bottom="0" percent="0" rank="0" text="" dxfId="1487">
      <formula>$F1096:K2287="pp"</formula>
    </cfRule>
  </conditionalFormatting>
  <conditionalFormatting sqref="M1096:N1096">
    <cfRule type="expression" priority="1478" aboveAverage="0" equalAverage="0" bottom="0" percent="0" rank="0" text="" dxfId="1488">
      <formula>$F1096:R2324="pp"</formula>
    </cfRule>
  </conditionalFormatting>
  <conditionalFormatting sqref="O1096">
    <cfRule type="expression" priority="1479" aboveAverage="0" equalAverage="0" bottom="0" percent="0" rank="0" text="" dxfId="1489">
      <formula>$F1096:S2302="pp"</formula>
    </cfRule>
  </conditionalFormatting>
  <conditionalFormatting sqref="L442">
    <cfRule type="expression" priority="1480" aboveAverage="0" equalAverage="0" bottom="0" percent="0" rank="0" text="" dxfId="1490">
      <formula>$F442:Q2266="pp"</formula>
    </cfRule>
  </conditionalFormatting>
  <conditionalFormatting sqref="L1097">
    <cfRule type="expression" priority="1481" aboveAverage="0" equalAverage="0" bottom="0" percent="0" rank="0" text="" dxfId="1491">
      <formula>$F1097:Q2287="pp"</formula>
    </cfRule>
  </conditionalFormatting>
  <conditionalFormatting sqref="M1097:N1097">
    <cfRule type="expression" priority="1482" aboveAverage="0" equalAverage="0" bottom="0" percent="0" rank="0" text="" dxfId="1492">
      <formula>$F1097:R2324="pp"</formula>
    </cfRule>
  </conditionalFormatting>
  <conditionalFormatting sqref="B192 A248:A265">
    <cfRule type="expression" priority="1483" aboveAverage="0" equalAverage="0" bottom="0" percent="0" rank="0" text="" dxfId="1493">
      <formula>$F192:F2230="pp"</formula>
    </cfRule>
  </conditionalFormatting>
  <conditionalFormatting sqref="A1573">
    <cfRule type="expression" priority="1484" aboveAverage="0" equalAverage="0" bottom="0" percent="0" rank="0" text="" dxfId="1494">
      <formula>$F1573:F2329="pp"</formula>
    </cfRule>
  </conditionalFormatting>
  <conditionalFormatting sqref="E920">
    <cfRule type="expression" priority="1485" aboveAverage="0" equalAverage="0" bottom="0" percent="0" rank="0" text="" dxfId="1495">
      <formula>$F920:I2296="pp"</formula>
    </cfRule>
  </conditionalFormatting>
  <conditionalFormatting sqref="G275:I275">
    <cfRule type="expression" priority="1486" aboveAverage="0" equalAverage="0" bottom="0" percent="0" rank="0" text="" dxfId="1496">
      <formula>$F275:K2287="pp"</formula>
    </cfRule>
  </conditionalFormatting>
  <conditionalFormatting sqref="O919 F1264:F1265">
    <cfRule type="expression" priority="1487" aboveAverage="0" equalAverage="0" bottom="0" percent="0" rank="0" text="" dxfId="1497">
      <formula>$F919:J2306="pp"</formula>
    </cfRule>
  </conditionalFormatting>
  <conditionalFormatting sqref="L1503">
    <cfRule type="expression" priority="1488" aboveAverage="0" equalAverage="0" bottom="0" percent="0" rank="0" text="" dxfId="1498">
      <formula>$F1503:Q2307="pp"</formula>
    </cfRule>
  </conditionalFormatting>
  <conditionalFormatting sqref="A1132 A1135:A1136 M1137:N1142 K1137:K1142">
    <cfRule type="expression" priority="1489" aboveAverage="0" equalAverage="0" bottom="0" percent="0" rank="0" text="" dxfId="1499">
      <formula>$F1132:F2309="pp"</formula>
    </cfRule>
  </conditionalFormatting>
  <conditionalFormatting sqref="E1524">
    <cfRule type="expression" priority="1490" aboveAverage="0" equalAverage="0" bottom="0" percent="0" rank="0" text="" dxfId="1500">
      <formula>$F1524:I2319="pp"</formula>
    </cfRule>
  </conditionalFormatting>
  <conditionalFormatting sqref="G1496:I1496">
    <cfRule type="expression" priority="1491" aboveAverage="0" equalAverage="0" bottom="0" percent="0" rank="0" text="" dxfId="1501">
      <formula>$F1496:K2307="pp"</formula>
    </cfRule>
  </conditionalFormatting>
  <conditionalFormatting sqref="C1569:D1569">
    <cfRule type="expression" priority="1492" aboveAverage="0" equalAverage="0" bottom="0" percent="0" rank="0" text="" dxfId="1502">
      <formula>$F1569:H2351="pp"</formula>
    </cfRule>
  </conditionalFormatting>
  <conditionalFormatting sqref="A875 B852:B854 B856:B860 J852:J854 L852:L854 J856:J860 L856:L860">
    <cfRule type="expression" priority="1493" aboveAverage="0" equalAverage="0" bottom="0" percent="0" rank="0" text="" dxfId="1503">
      <formula>$F852:F2292="pp"</formula>
    </cfRule>
  </conditionalFormatting>
  <conditionalFormatting sqref="E1503 F1535:F1536">
    <cfRule type="expression" priority="1494" aboveAverage="0" equalAverage="0" bottom="0" percent="0" rank="0" text="" dxfId="1504">
      <formula>$F1503:I2317="pp"</formula>
    </cfRule>
  </conditionalFormatting>
  <conditionalFormatting sqref="G1097:I1097">
    <cfRule type="expression" priority="1495" aboveAverage="0" equalAverage="0" bottom="0" percent="0" rank="0" text="" dxfId="1505">
      <formula>$F1097:K2287="pp"</formula>
    </cfRule>
  </conditionalFormatting>
  <conditionalFormatting sqref="E1486 G1469:I1471">
    <cfRule type="expression" priority="1496" aboveAverage="0" equalAverage="0" bottom="0" percent="0" rank="0" text="" dxfId="1506">
      <formula>$F1469:I2299="pp"</formula>
    </cfRule>
  </conditionalFormatting>
  <conditionalFormatting sqref="A461">
    <cfRule type="expression" priority="1497" aboveAverage="0" equalAverage="0" bottom="0" percent="0" rank="0" text="" dxfId="1507">
      <formula>$F461:F2300="pp"</formula>
    </cfRule>
  </conditionalFormatting>
  <conditionalFormatting sqref="C494:D494">
    <cfRule type="expression" priority="1498" aboveAverage="0" equalAverage="0" bottom="0" percent="0" rank="0" text="" dxfId="1508">
      <formula>$F494:H2307="pp"</formula>
    </cfRule>
  </conditionalFormatting>
  <conditionalFormatting sqref="F804 F836:F839 G512:I514 G516:I520">
    <cfRule type="expression" priority="1499" aboveAverage="0" equalAverage="0" bottom="0" percent="0" rank="0" text="" dxfId="1509">
      <formula>$F512:J2273="pp"</formula>
    </cfRule>
  </conditionalFormatting>
  <conditionalFormatting sqref="F795">
    <cfRule type="expression" priority="1500" aboveAverage="0" equalAverage="0" bottom="0" percent="0" rank="0" text="" dxfId="1510">
      <formula>$F795:J2551="pp"</formula>
    </cfRule>
  </conditionalFormatting>
  <conditionalFormatting sqref="O1097">
    <cfRule type="expression" priority="1501" aboveAverage="0" equalAverage="0" bottom="0" percent="0" rank="0" text="" dxfId="1511">
      <formula>$F1097:S2302="pp"</formula>
    </cfRule>
  </conditionalFormatting>
  <conditionalFormatting sqref="M1098:N1098">
    <cfRule type="expression" priority="1502" aboveAverage="0" equalAverage="0" bottom="0" percent="0" rank="0" text="" dxfId="1512">
      <formula>$F1098:R2324="pp"</formula>
    </cfRule>
  </conditionalFormatting>
  <conditionalFormatting sqref="E1523">
    <cfRule type="expression" priority="1503" aboveAverage="0" equalAverage="0" bottom="0" percent="0" rank="0" text="" dxfId="1513">
      <formula>$F1523:I2317="pp"</formula>
    </cfRule>
  </conditionalFormatting>
  <conditionalFormatting sqref="J1522">
    <cfRule type="expression" priority="1504" aboveAverage="0" equalAverage="0" bottom="0" percent="0" rank="0" text="" dxfId="1514">
      <formula>$F1522:O2307="pp"</formula>
    </cfRule>
  </conditionalFormatting>
  <conditionalFormatting sqref="O275">
    <cfRule type="expression" priority="1505" aboveAverage="0" equalAverage="0" bottom="0" percent="0" rank="0" text="" dxfId="1515">
      <formula>$F275:S2287="pp"</formula>
    </cfRule>
  </conditionalFormatting>
  <conditionalFormatting sqref="M1496:N1496">
    <cfRule type="expression" priority="1506" aboveAverage="0" equalAverage="0" bottom="0" percent="0" rank="0" text="" dxfId="1516">
      <formula>$F1496:R2344="pp"</formula>
    </cfRule>
  </conditionalFormatting>
  <conditionalFormatting sqref="G1569:I1569">
    <cfRule type="expression" priority="1507" aboveAverage="0" equalAverage="0" bottom="0" percent="0" rank="0" text="" dxfId="1517">
      <formula>$F1569:K2317="pp"</formula>
    </cfRule>
  </conditionalFormatting>
  <conditionalFormatting sqref="F1569">
    <cfRule type="expression" priority="1508" aboveAverage="0" equalAverage="0" bottom="0" percent="0" rank="0" text="" dxfId="1518">
      <formula>$F1569:J2356="pp"</formula>
    </cfRule>
  </conditionalFormatting>
  <conditionalFormatting sqref="J1569">
    <cfRule type="expression" priority="1509" aboveAverage="0" equalAverage="0" bottom="0" percent="0" rank="0" text="" dxfId="1519">
      <formula>$F1569:O2317="pp"</formula>
    </cfRule>
  </conditionalFormatting>
  <conditionalFormatting sqref="Q1569">
    <cfRule type="expression" priority="1510" aboveAverage="0" equalAverage="0" bottom="0" percent="0" rank="0" text="" dxfId="1520">
      <formula>$F1569:T2345="pp"</formula>
    </cfRule>
  </conditionalFormatting>
  <conditionalFormatting sqref="E1525">
    <cfRule type="expression" priority="1511" aboveAverage="0" equalAverage="0" bottom="0" percent="0" rank="0" text="" dxfId="1521">
      <formula>$F1525:I2319="pp"</formula>
    </cfRule>
  </conditionalFormatting>
  <conditionalFormatting sqref="K1569">
    <cfRule type="expression" priority="1512" aboveAverage="0" equalAverage="0" bottom="0" percent="0" rank="0" text="" dxfId="1522">
      <formula>$F1569:P2354="pp"</formula>
    </cfRule>
  </conditionalFormatting>
  <conditionalFormatting sqref="G1522:I1522 G1519:I1520 E1533:E1536">
    <cfRule type="expression" priority="1513" aboveAverage="0" equalAverage="0" bottom="0" percent="0" rank="0" text="" dxfId="1523">
      <formula>$F1519:I2304="pp"</formula>
    </cfRule>
  </conditionalFormatting>
  <conditionalFormatting sqref="B1521 B1523:B1528 J1523:J1528 L1523:L1528">
    <cfRule type="expression" priority="1514" aboveAverage="0" equalAverage="0" bottom="0" percent="0" rank="0" text="" dxfId="1524">
      <formula>$F1521:G2305="pp"</formula>
    </cfRule>
  </conditionalFormatting>
  <conditionalFormatting sqref="G1503:I1503 F1552:F1559 E1510:E1513 O1517:O1518">
    <cfRule type="expression" priority="1515" aboveAverage="0" equalAverage="0" bottom="0" percent="0" rank="0" text="" dxfId="1525">
      <formula>$F1503:I2307="pp"</formula>
    </cfRule>
  </conditionalFormatting>
  <conditionalFormatting sqref="J1496">
    <cfRule type="expression" priority="1516" aboveAverage="0" equalAverage="0" bottom="0" percent="0" rank="0" text="" dxfId="1526">
      <formula>$F1496:O2307="pp"</formula>
    </cfRule>
  </conditionalFormatting>
  <conditionalFormatting sqref="G1521:I1521 E1537:E1538 G1523:I1528">
    <cfRule type="expression" priority="1517" aboveAverage="0" equalAverage="0" bottom="0" percent="0" rank="0" text="" dxfId="1527">
      <formula>$F1521:I2305="pp"</formula>
    </cfRule>
  </conditionalFormatting>
  <conditionalFormatting sqref="E1526">
    <cfRule type="expression" priority="1518" aboveAverage="0" equalAverage="0" bottom="0" percent="0" rank="0" text="" dxfId="1528">
      <formula>$F1526:I2321="pp"</formula>
    </cfRule>
  </conditionalFormatting>
  <conditionalFormatting sqref="B1503 C1541:D1542">
    <cfRule type="expression" priority="1519" aboveAverage="0" equalAverage="0" bottom="0" percent="0" rank="0" text="" dxfId="1529">
      <formula>$F1503:G2307="pp"</formula>
    </cfRule>
  </conditionalFormatting>
  <conditionalFormatting sqref="L1496">
    <cfRule type="expression" priority="1520" aboveAverage="0" equalAverage="0" bottom="0" percent="0" rank="0" text="" dxfId="1530">
      <formula>$F1496:Q2307="pp"</formula>
    </cfRule>
  </conditionalFormatting>
  <conditionalFormatting sqref="G443:I443">
    <cfRule type="expression" priority="1521" aboveAverage="0" equalAverage="0" bottom="0" percent="0" rank="0" text="" dxfId="1531">
      <formula>$F443:K2269="pp"</formula>
    </cfRule>
  </conditionalFormatting>
  <conditionalFormatting sqref="L443">
    <cfRule type="expression" priority="1522" aboveAverage="0" equalAverage="0" bottom="0" percent="0" rank="0" text="" dxfId="1532">
      <formula>$F443:Q2269="pp"</formula>
    </cfRule>
  </conditionalFormatting>
  <conditionalFormatting sqref="M1134:N1134">
    <cfRule type="expression" priority="1523" aboveAverage="0" equalAverage="0" bottom="0" percent="0" rank="0" text="" dxfId="1533">
      <formula>$F1134:R2314="pp"</formula>
    </cfRule>
  </conditionalFormatting>
  <conditionalFormatting sqref="F793">
    <cfRule type="expression" priority="1524" aboveAverage="0" equalAverage="0" bottom="0" percent="0" rank="0" text="" dxfId="1534">
      <formula>$F793:J2549="pp"</formula>
    </cfRule>
  </conditionalFormatting>
  <conditionalFormatting sqref="E295">
    <cfRule type="expression" priority="1525" aboveAverage="0" equalAverage="0" bottom="0" percent="0" rank="0" text="" dxfId="1535">
      <formula>$F295:I2311="pp"</formula>
    </cfRule>
  </conditionalFormatting>
  <conditionalFormatting sqref="O412">
    <cfRule type="expression" priority="1526" aboveAverage="0" equalAverage="0" bottom="0" percent="0" rank="0" text="" dxfId="1536">
      <formula>$F412:S2285="pp"</formula>
    </cfRule>
  </conditionalFormatting>
  <conditionalFormatting sqref="C269:D269 A227:A232 M233:N235 K233:K235">
    <cfRule type="expression" priority="1527" aboveAverage="0" equalAverage="0" bottom="0" percent="0" rank="0" text="" dxfId="1537">
      <formula>$F227:F2280="pp"</formula>
    </cfRule>
  </conditionalFormatting>
  <conditionalFormatting sqref="M443:N443">
    <cfRule type="expression" priority="1528" aboveAverage="0" equalAverage="0" bottom="0" percent="0" rank="0" text="" dxfId="1538">
      <formula>$F443:R2306="pp"</formula>
    </cfRule>
  </conditionalFormatting>
  <conditionalFormatting sqref="E1485">
    <cfRule type="expression" priority="1529" aboveAverage="0" equalAverage="0" bottom="0" percent="0" rank="0" text="" dxfId="1539">
      <formula>$F1485:I2314="pp"</formula>
    </cfRule>
  </conditionalFormatting>
  <conditionalFormatting sqref="F810">
    <cfRule type="expression" priority="1530" aboveAverage="0" equalAverage="0" bottom="0" percent="0" rank="0" text="" dxfId="1540">
      <formula>$F810:J2571="pp"</formula>
    </cfRule>
  </conditionalFormatting>
  <conditionalFormatting sqref="L1458">
    <cfRule type="expression" priority="1531" aboveAverage="0" equalAverage="0" bottom="0" percent="0" rank="0" text="" dxfId="1541">
      <formula>$F1458:Q2311="pp"</formula>
    </cfRule>
  </conditionalFormatting>
  <conditionalFormatting sqref="L1521">
    <cfRule type="expression" priority="1532" aboveAverage="0" equalAverage="0" bottom="0" percent="0" rank="0" text="" dxfId="1542">
      <formula>$F1521:Q2305="pp"</formula>
    </cfRule>
  </conditionalFormatting>
  <conditionalFormatting sqref="K1542 C1545:D1554 C1539:D1540">
    <cfRule type="expression" priority="1533" aboveAverage="0" equalAverage="0" bottom="0" percent="0" rank="0" text="" dxfId="1543">
      <formula>$F1539:H2346="pp"</formula>
    </cfRule>
  </conditionalFormatting>
  <conditionalFormatting sqref="Q1542">
    <cfRule type="expression" priority="1534" aboveAverage="0" equalAverage="0" bottom="0" percent="0" rank="0" text="" dxfId="1544">
      <formula>$F1542:T2340="pp"</formula>
    </cfRule>
  </conditionalFormatting>
  <conditionalFormatting sqref="O1542">
    <cfRule type="expression" priority="1535" aboveAverage="0" equalAverage="0" bottom="0" percent="0" rank="0" text="" dxfId="1545">
      <formula>$F1542:S2327="pp"</formula>
    </cfRule>
  </conditionalFormatting>
  <conditionalFormatting sqref="O1577">
    <cfRule type="expression" priority="1536" aboveAverage="0" equalAverage="0" bottom="0" percent="0" rank="0" text="" dxfId="1546">
      <formula>$F1577:S2322="pp"</formula>
    </cfRule>
  </conditionalFormatting>
  <conditionalFormatting sqref="K1577">
    <cfRule type="expression" priority="1537" aboveAverage="0" equalAverage="0" bottom="0" percent="0" rank="0" text="" dxfId="1547">
      <formula>$F1577:P2344="pp"</formula>
    </cfRule>
  </conditionalFormatting>
  <conditionalFormatting sqref="Q1577">
    <cfRule type="expression" priority="1538" aboveAverage="0" equalAverage="0" bottom="0" percent="0" rank="0" text="" dxfId="1548">
      <formula>$F1577:T2335="pp"</formula>
    </cfRule>
  </conditionalFormatting>
  <conditionalFormatting sqref="E1569">
    <cfRule type="expression" priority="1539" aboveAverage="0" equalAverage="0" bottom="0" percent="0" rank="0" text="" dxfId="1549">
      <formula>$F1569:I2327="pp"</formula>
    </cfRule>
  </conditionalFormatting>
  <conditionalFormatting sqref="J1596">
    <cfRule type="expression" priority="1540" aboveAverage="0" equalAverage="0" bottom="0" percent="0" rank="0" text="" dxfId="1550">
      <formula>$F1596:O2309="pp"</formula>
    </cfRule>
  </conditionalFormatting>
  <conditionalFormatting sqref="K1596">
    <cfRule type="expression" priority="1541" aboveAverage="0" equalAverage="0" bottom="0" percent="0" rank="0" text="" dxfId="1551">
      <formula>$F1596:P2346="pp"</formula>
    </cfRule>
  </conditionalFormatting>
  <conditionalFormatting sqref="Q1596">
    <cfRule type="expression" priority="1542" aboveAverage="0" equalAverage="0" bottom="0" percent="0" rank="0" text="" dxfId="1552">
      <formula>$F1596:T2337="pp"</formula>
    </cfRule>
  </conditionalFormatting>
  <conditionalFormatting sqref="E1579 E1574:E1577">
    <cfRule type="expression" priority="1543" aboveAverage="0" equalAverage="0" bottom="0" percent="0" rank="0" text="" dxfId="1553">
      <formula>$F1574:I2314="pp"</formula>
    </cfRule>
  </conditionalFormatting>
  <conditionalFormatting sqref="E1578 E1582:E1590">
    <cfRule type="expression" priority="1544" aboveAverage="0" equalAverage="0" bottom="0" percent="0" rank="0" text="" dxfId="1554">
      <formula>$F1578:I2315="pp"</formula>
    </cfRule>
  </conditionalFormatting>
  <conditionalFormatting sqref="E1580">
    <cfRule type="expression" priority="1545" aboveAverage="0" equalAverage="0" bottom="0" percent="0" rank="0" text="" dxfId="1555">
      <formula>$F1580:I2317="pp"</formula>
    </cfRule>
  </conditionalFormatting>
  <conditionalFormatting sqref="J1768">
    <cfRule type="expression" priority="1546" aboveAverage="0" equalAverage="0" bottom="0" percent="0" rank="0" text="" dxfId="1556">
      <formula>$F1768:O2302="pp"</formula>
    </cfRule>
  </conditionalFormatting>
  <conditionalFormatting sqref="F1769 G1696:I1696">
    <cfRule type="expression" priority="1547" aboveAverage="0" equalAverage="0" bottom="0" percent="0" rank="0" text="" dxfId="1557">
      <formula>$F1696:J2307="pp"</formula>
    </cfRule>
  </conditionalFormatting>
  <conditionalFormatting sqref="G1596:I1596">
    <cfRule type="expression" priority="1548" aboveAverage="0" equalAverage="0" bottom="0" percent="0" rank="0" text="" dxfId="1558">
      <formula>$F1596:K2309="pp"</formula>
    </cfRule>
  </conditionalFormatting>
  <conditionalFormatting sqref="F1417 O1380:O1386 F1423:F1425">
    <cfRule type="expression" priority="1549" aboveAverage="0" equalAverage="0" bottom="0" percent="0" rank="0" text="" dxfId="1559">
      <formula>$F1380:J2293="pp"</formula>
    </cfRule>
  </conditionalFormatting>
  <conditionalFormatting sqref="F1416">
    <cfRule type="expression" priority="1550" aboveAverage="0" equalAverage="0" bottom="0" percent="0" rank="0" text="" dxfId="1560">
      <formula>$F1416:J2330="pp"</formula>
    </cfRule>
  </conditionalFormatting>
  <conditionalFormatting sqref="F1573">
    <cfRule type="expression" priority="1551" aboveAverage="0" equalAverage="0" bottom="0" percent="0" rank="0" text="" dxfId="1561">
      <formula>$F1573:J2350="pp"</formula>
    </cfRule>
  </conditionalFormatting>
  <conditionalFormatting sqref="C1573:D1573">
    <cfRule type="expression" priority="1552" aboveAverage="0" equalAverage="0" bottom="0" percent="0" rank="0" text="" dxfId="1562">
      <formula>$F1573:H2345="pp"</formula>
    </cfRule>
  </conditionalFormatting>
  <conditionalFormatting sqref="G1417:I1417">
    <cfRule type="expression" priority="1553" aboveAverage="0" equalAverage="0" bottom="0" percent="0" rank="0" text="" dxfId="1563">
      <formula>$F1417:K2291="pp"</formula>
    </cfRule>
  </conditionalFormatting>
  <conditionalFormatting sqref="G1573:I1573">
    <cfRule type="expression" priority="1554" aboveAverage="0" equalAverage="0" bottom="0" percent="0" rank="0" text="" dxfId="1564">
      <formula>$F1573:K2311="pp"</formula>
    </cfRule>
  </conditionalFormatting>
  <conditionalFormatting sqref="E1416 G1397:I1400 O1428:O1433">
    <cfRule type="expression" priority="1555" aboveAverage="0" equalAverage="0" bottom="0" percent="0" rank="0" text="" dxfId="1565">
      <formula>$F1397:I2282="pp"</formula>
    </cfRule>
  </conditionalFormatting>
  <conditionalFormatting sqref="M1569:N1569">
    <cfRule type="expression" priority="1556" aboveAverage="0" equalAverage="0" bottom="0" percent="0" rank="0" text="" dxfId="1566">
      <formula>$F1569:R2354="pp"</formula>
    </cfRule>
  </conditionalFormatting>
  <conditionalFormatting sqref="J1417">
    <cfRule type="expression" priority="1557" aboveAverage="0" equalAverage="0" bottom="0" percent="0" rank="0" text="" dxfId="1567">
      <formula>$F1417:O2291="pp"</formula>
    </cfRule>
  </conditionalFormatting>
  <conditionalFormatting sqref="O1569 E1565:E1568">
    <cfRule type="expression" priority="1558" aboveAverage="0" equalAverage="0" bottom="0" percent="0" rank="0" text="" dxfId="1568">
      <formula>$F1565:I2328="pp"</formula>
    </cfRule>
  </conditionalFormatting>
  <conditionalFormatting sqref="O1573 G1565:I1568">
    <cfRule type="expression" priority="1559" aboveAverage="0" equalAverage="0" bottom="0" percent="0" rank="0" text="" dxfId="1569">
      <formula>$F1565:K2318="pp"</formula>
    </cfRule>
  </conditionalFormatting>
  <conditionalFormatting sqref="J1573">
    <cfRule type="expression" priority="1560" aboveAverage="0" equalAverage="0" bottom="0" percent="0" rank="0" text="" dxfId="1570">
      <formula>$F1573:O2311="pp"</formula>
    </cfRule>
  </conditionalFormatting>
  <conditionalFormatting sqref="A1393 C1414:D1415 M1426:N1427 K1418:K1422 M1418:N1422 K1426:K1427">
    <cfRule type="expression" priority="1561" aboveAverage="0" equalAverage="0" bottom="0" percent="0" rank="0" text="" dxfId="1571">
      <formula>$F1393:F2303="pp"</formula>
    </cfRule>
  </conditionalFormatting>
  <conditionalFormatting sqref="C1574:D1574 C1570:D1572 B1545:B1551 B1539:B1540 L1545:L1551 J1539:J1540 L1539:L1540 J1545:J1551">
    <cfRule type="expression" priority="1562" aboveAverage="0" equalAverage="0" bottom="0" percent="0" rank="0" text="" dxfId="1572">
      <formula>$F1539:G2312="pp"</formula>
    </cfRule>
  </conditionalFormatting>
  <conditionalFormatting sqref="B1569 A1574:A1590 K1597:K1601 M1597:N1601">
    <cfRule type="expression" priority="1563" aboveAverage="0" equalAverage="0" bottom="0" percent="0" rank="0" text="" dxfId="1573">
      <formula>$F1569:F2317="pp"</formula>
    </cfRule>
  </conditionalFormatting>
  <conditionalFormatting sqref="M1542:N1542">
    <cfRule type="expression" priority="1564" aboveAverage="0" equalAverage="0" bottom="0" percent="0" rank="0" text="" dxfId="1574">
      <formula>$F1542:R2349="pp"</formula>
    </cfRule>
  </conditionalFormatting>
  <conditionalFormatting sqref="F789">
    <cfRule type="expression" priority="1565" aboveAverage="0" equalAverage="0" bottom="0" percent="0" rank="0" text="" dxfId="1575">
      <formula>$F789:J2545="pp"</formula>
    </cfRule>
  </conditionalFormatting>
  <conditionalFormatting sqref="J1416">
    <cfRule type="expression" priority="1566" aboveAverage="0" equalAverage="0" bottom="0" percent="0" rank="0" text="" dxfId="1576">
      <formula>$F1416:O2291="pp"</formula>
    </cfRule>
  </conditionalFormatting>
  <conditionalFormatting sqref="C1416:D1416 A1394:A1400 B1367:B1370 L1367:L1370 J1367:J1370">
    <cfRule type="expression" priority="1567" aboveAverage="0" equalAverage="0" bottom="0" percent="0" rank="0" text="" dxfId="1577">
      <formula>$F1367:F2276="pp"</formula>
    </cfRule>
  </conditionalFormatting>
  <conditionalFormatting sqref="E1573">
    <cfRule type="expression" priority="1568" aboveAverage="0" equalAverage="0" bottom="0" percent="0" rank="0" text="" dxfId="1578">
      <formula>$F1573:I2321="pp"</formula>
    </cfRule>
  </conditionalFormatting>
  <conditionalFormatting sqref="E1489">
    <cfRule type="expression" priority="1569" aboveAverage="0" equalAverage="0" bottom="0" percent="0" rank="0" text="" dxfId="1579">
      <formula>$F1489:I2318="pp"</formula>
    </cfRule>
  </conditionalFormatting>
  <conditionalFormatting sqref="C1601:D1601">
    <cfRule type="expression" priority="1570" aboveAverage="0" equalAverage="0" bottom="0" percent="0" rank="0" text="" dxfId="1580">
      <formula>$F1601:H2346="pp"</formula>
    </cfRule>
  </conditionalFormatting>
  <conditionalFormatting sqref="L1569">
    <cfRule type="expression" priority="1571" aboveAverage="0" equalAverage="0" bottom="0" percent="0" rank="0" text="" dxfId="1581">
      <formula>$F1569:Q2317="pp"</formula>
    </cfRule>
  </conditionalFormatting>
  <conditionalFormatting sqref="G342:I342 G336:I340 O336:O340">
    <cfRule type="expression" priority="1572" aboveAverage="0" equalAverage="0" bottom="0" percent="0" rank="0" text="" dxfId="1582">
      <formula>$F336:K2271="pp"</formula>
    </cfRule>
  </conditionalFormatting>
  <conditionalFormatting sqref="E1521 E1527:E1528 G1510:I1513">
    <cfRule type="expression" priority="1573" aboveAverage="0" equalAverage="0" bottom="0" percent="0" rank="0" text="" dxfId="1583">
      <formula>$F1510:I2304="pp"</formula>
    </cfRule>
  </conditionalFormatting>
  <conditionalFormatting sqref="F787">
    <cfRule type="expression" priority="1574" aboveAverage="0" equalAverage="0" bottom="0" percent="0" rank="0" text="" dxfId="1584">
      <formula>$F787:J2543="pp"</formula>
    </cfRule>
  </conditionalFormatting>
  <conditionalFormatting sqref="K1640 A1616:A1619">
    <cfRule type="expression" priority="1575" aboveAverage="0" equalAverage="0" bottom="0" percent="0" rank="0" text="" dxfId="1585">
      <formula>$F1616:F2320="pp"</formula>
    </cfRule>
  </conditionalFormatting>
  <conditionalFormatting sqref="C1640:D1640">
    <cfRule type="expression" priority="1576" aboveAverage="0" equalAverage="0" bottom="0" percent="0" rank="0" text="" dxfId="1586">
      <formula>$F1640:H2341="pp"</formula>
    </cfRule>
  </conditionalFormatting>
  <conditionalFormatting sqref="B1416">
    <cfRule type="expression" priority="1577" aboveAverage="0" equalAverage="0" bottom="0" percent="0" rank="0" text="" dxfId="1587">
      <formula>$F1416:G2291="pp"</formula>
    </cfRule>
  </conditionalFormatting>
  <conditionalFormatting sqref="F821">
    <cfRule type="expression" priority="1578" aboveAverage="0" equalAverage="0" bottom="0" percent="0" rank="0" text="" dxfId="1588">
      <formula>$F821:J2585="pp"</formula>
    </cfRule>
  </conditionalFormatting>
  <conditionalFormatting sqref="B1596">
    <cfRule type="expression" priority="1579" aboveAverage="0" equalAverage="0" bottom="0" percent="0" rank="0" text="" dxfId="1589">
      <formula>$F1596:G2309="pp"</formula>
    </cfRule>
  </conditionalFormatting>
  <conditionalFormatting sqref="L1417">
    <cfRule type="expression" priority="1580" aboveAverage="0" equalAverage="0" bottom="0" percent="0" rank="0" text="" dxfId="1590">
      <formula>$F1417:Q2291="pp"</formula>
    </cfRule>
  </conditionalFormatting>
  <conditionalFormatting sqref="M1577:N1577">
    <cfRule type="expression" priority="1581" aboveAverage="0" equalAverage="0" bottom="0" percent="0" rank="0" text="" dxfId="1591">
      <formula>$F1577:R2344="pp"</formula>
    </cfRule>
  </conditionalFormatting>
  <conditionalFormatting sqref="L1596">
    <cfRule type="expression" priority="1582" aboveAverage="0" equalAverage="0" bottom="0" percent="0" rank="0" text="" dxfId="1592">
      <formula>$F1596:Q2309="pp"</formula>
    </cfRule>
  </conditionalFormatting>
  <conditionalFormatting sqref="F1640 O1611:O1614">
    <cfRule type="expression" priority="1583" aboveAverage="0" equalAverage="0" bottom="0" percent="0" rank="0" text="" dxfId="1593">
      <formula>$F1611:J2317="pp"</formula>
    </cfRule>
  </conditionalFormatting>
  <conditionalFormatting sqref="C300:D300">
    <cfRule type="expression" priority="1584" aboveAverage="0" equalAverage="0" bottom="0" percent="0" rank="0" text="" dxfId="1594">
      <formula>$F300:H2322="pp"</formula>
    </cfRule>
  </conditionalFormatting>
  <conditionalFormatting sqref="L342">
    <cfRule type="expression" priority="1585" aboveAverage="0" equalAverage="0" bottom="0" percent="0" rank="0" text="" dxfId="1595">
      <formula>$F342:Q2277="pp"</formula>
    </cfRule>
  </conditionalFormatting>
  <conditionalFormatting sqref="M626:N626">
    <cfRule type="expression" priority="1586" aboveAverage="0" equalAverage="0" bottom="0" percent="0" rank="0" text="" dxfId="1596">
      <formula>$F626:R2309="pp"</formula>
    </cfRule>
  </conditionalFormatting>
  <conditionalFormatting sqref="L1134">
    <cfRule type="expression" priority="1587" aboveAverage="0" equalAverage="0" bottom="0" percent="0" rank="0" text="" dxfId="1597">
      <formula>$F1134:Q2277="pp"</formula>
    </cfRule>
  </conditionalFormatting>
  <conditionalFormatting sqref="J1640">
    <cfRule type="expression" priority="1588" aboveAverage="0" equalAverage="0" bottom="0" percent="0" rank="0" text="" dxfId="1598">
      <formula>$F1640:O2307="pp"</formula>
    </cfRule>
  </conditionalFormatting>
  <conditionalFormatting sqref="M1596:N1596">
    <cfRule type="expression" priority="1589" aboveAverage="0" equalAverage="0" bottom="0" percent="0" rank="0" text="" dxfId="1599">
      <formula>$F1596:R2346="pp"</formula>
    </cfRule>
  </conditionalFormatting>
  <conditionalFormatting sqref="Q1640">
    <cfRule type="expression" priority="1590" aboveAverage="0" equalAverage="0" bottom="0" percent="0" rank="0" text="" dxfId="1600">
      <formula>$F1640:T2335="pp"</formula>
    </cfRule>
  </conditionalFormatting>
  <conditionalFormatting sqref="K1665">
    <cfRule type="expression" priority="1591" aboveAverage="0" equalAverage="0" bottom="0" percent="0" rank="0" text="" dxfId="1601">
      <formula>$F1665:P2350="pp"</formula>
    </cfRule>
  </conditionalFormatting>
  <conditionalFormatting sqref="Q1665">
    <cfRule type="expression" priority="1592" aboveAverage="0" equalAverage="0" bottom="0" percent="0" rank="0" text="" dxfId="1602">
      <formula>$F1665:T2341="pp"</formula>
    </cfRule>
  </conditionalFormatting>
  <conditionalFormatting sqref="G1640:I1640">
    <cfRule type="expression" priority="1593" aboveAverage="0" equalAverage="0" bottom="0" percent="0" rank="0" text="" dxfId="1603">
      <formula>$F1640:K2307="pp"</formula>
    </cfRule>
  </conditionalFormatting>
  <conditionalFormatting sqref="O1615">
    <cfRule type="expression" priority="1594" aboveAverage="0" equalAverage="0" bottom="0" percent="0" rank="0" text="" dxfId="1604">
      <formula>$F1615:S2315="pp"</formula>
    </cfRule>
  </conditionalFormatting>
  <conditionalFormatting sqref="G1665:I1665">
    <cfRule type="expression" priority="1595" aboveAverage="0" equalAverage="0" bottom="0" percent="0" rank="0" text="" dxfId="1605">
      <formula>$F1665:K2313="pp"</formula>
    </cfRule>
  </conditionalFormatting>
  <conditionalFormatting sqref="E1665">
    <cfRule type="expression" priority="1596" aboveAverage="0" equalAverage="0" bottom="0" percent="0" rank="0" text="" dxfId="1606">
      <formula>$F1665:I2323="pp"</formula>
    </cfRule>
  </conditionalFormatting>
  <conditionalFormatting sqref="O1665 G1654:I1660">
    <cfRule type="expression" priority="1597" aboveAverage="0" equalAverage="0" bottom="0" percent="0" rank="0" text="" dxfId="1607">
      <formula>$F1654:K2317="pp"</formula>
    </cfRule>
  </conditionalFormatting>
  <conditionalFormatting sqref="A2062">
    <cfRule type="expression" priority="1598" aboveAverage="0" equalAverage="0" bottom="0" percent="0" rank="0" text="" dxfId="1608">
      <formula>$F2062:F2325="pp"</formula>
    </cfRule>
  </conditionalFormatting>
  <conditionalFormatting sqref="O1722 F1786:F1788 O1724:O1725">
    <cfRule type="expression" priority="1599" aboveAverage="0" equalAverage="0" bottom="0" percent="0" rank="0" text="" dxfId="1609">
      <formula>$F1722:J2316="pp"</formula>
    </cfRule>
  </conditionalFormatting>
  <conditionalFormatting sqref="C1722:D1722 C1724:D1725 M1726:N1745 K1726:K1745">
    <cfRule type="expression" priority="1600" aboveAverage="0" equalAverage="0" bottom="0" percent="0" rank="0" text="" dxfId="1610">
      <formula>$F1722:H2335="pp"</formula>
    </cfRule>
  </conditionalFormatting>
  <conditionalFormatting sqref="E1722 E1724:E1725">
    <cfRule type="expression" priority="1601" aboveAverage="0" equalAverage="0" bottom="0" percent="0" rank="0" text="" dxfId="1611">
      <formula>$F1722:I2311="pp"</formula>
    </cfRule>
  </conditionalFormatting>
  <conditionalFormatting sqref="O1769">
    <cfRule type="expression" priority="1602" aboveAverage="0" equalAverage="0" bottom="0" percent="0" rank="0" text="" dxfId="1612">
      <formula>$F1769:S2320="pp"</formula>
    </cfRule>
  </conditionalFormatting>
  <conditionalFormatting sqref="J1722">
    <cfRule type="expression" priority="1603" aboveAverage="0" equalAverage="0" bottom="0" percent="0" rank="0" text="" dxfId="1613">
      <formula>$F1722:O2301="pp"</formula>
    </cfRule>
  </conditionalFormatting>
  <conditionalFormatting sqref="K1722 A1716:A1720 K1724:K1725 M1724:N1725">
    <cfRule type="expression" priority="1604" aboveAverage="0" equalAverage="0" bottom="0" percent="0" rank="0" text="" dxfId="1614">
      <formula>$F1716:F2332="pp"</formula>
    </cfRule>
  </conditionalFormatting>
  <conditionalFormatting sqref="Q1722 Q1724:Q1725">
    <cfRule type="expression" priority="1605" aboveAverage="0" equalAverage="0" bottom="0" percent="0" rank="0" text="" dxfId="1615">
      <formula>$F1722:T2329="pp"</formula>
    </cfRule>
  </conditionalFormatting>
  <conditionalFormatting sqref="F1722 F1724:F1725">
    <cfRule type="expression" priority="1606" aboveAverage="0" equalAverage="0" bottom="0" percent="0" rank="0" text="" dxfId="1616">
      <formula>$F1722:J2376="pp"</formula>
    </cfRule>
  </conditionalFormatting>
  <conditionalFormatting sqref="K1693">
    <cfRule type="expression" priority="1607" aboveAverage="0" equalAverage="0" bottom="0" percent="0" rank="0" text="" dxfId="1617">
      <formula>$F1693:P2355="pp"</formula>
    </cfRule>
  </conditionalFormatting>
  <conditionalFormatting sqref="A1640 B1615 C1661:D1664">
    <cfRule type="expression" priority="1608" aboveAverage="0" equalAverage="0" bottom="0" percent="0" rank="0" text="" dxfId="1618">
      <formula>$F1615:F2300="pp"</formula>
    </cfRule>
  </conditionalFormatting>
  <conditionalFormatting sqref="L1665">
    <cfRule type="expression" priority="1609" aboveAverage="0" equalAverage="0" bottom="0" percent="0" rank="0" text="" dxfId="1619">
      <formula>$F1665:Q2313="pp"</formula>
    </cfRule>
  </conditionalFormatting>
  <conditionalFormatting sqref="C1693:D1693">
    <cfRule type="expression" priority="1610" aboveAverage="0" equalAverage="0" bottom="0" percent="0" rank="0" text="" dxfId="1620">
      <formula>$F1693:H2352="pp"</formula>
    </cfRule>
  </conditionalFormatting>
  <conditionalFormatting sqref="J1693">
    <cfRule type="expression" priority="1611" aboveAverage="0" equalAverage="0" bottom="0" percent="0" rank="0" text="" dxfId="1621">
      <formula>$F1693:O2318="pp"</formula>
    </cfRule>
  </conditionalFormatting>
  <conditionalFormatting sqref="Q1693">
    <cfRule type="expression" priority="1612" aboveAverage="0" equalAverage="0" bottom="0" percent="0" rank="0" text="" dxfId="1622">
      <formula>$F1693:T2346="pp"</formula>
    </cfRule>
  </conditionalFormatting>
  <conditionalFormatting sqref="F1693">
    <cfRule type="expression" priority="1613" aboveAverage="0" equalAverage="0" bottom="0" percent="0" rank="0" text="" dxfId="1623">
      <formula>$F1693:J2393="pp"</formula>
    </cfRule>
  </conditionalFormatting>
  <conditionalFormatting sqref="C1576:D1576">
    <cfRule type="expression" priority="1614" aboveAverage="0" equalAverage="0" bottom="0" percent="0" rank="0" text="" dxfId="1624">
      <formula>$F1576:H2349="pp"</formula>
    </cfRule>
  </conditionalFormatting>
  <conditionalFormatting sqref="M1681:N1681">
    <cfRule type="expression" priority="1615" aboveAverage="0" equalAverage="0" bottom="0" percent="0" rank="0" text="" dxfId="1625">
      <formula>$F1681:R2337="pp"</formula>
    </cfRule>
  </conditionalFormatting>
  <conditionalFormatting sqref="F1721">
    <cfRule type="expression" priority="1616" aboveAverage="0" equalAverage="0" bottom="0" percent="0" rank="0" text="" dxfId="1626">
      <formula>$F1721:J2386="pp"</formula>
    </cfRule>
  </conditionalFormatting>
  <conditionalFormatting sqref="J1665">
    <cfRule type="expression" priority="1617" aboveAverage="0" equalAverage="0" bottom="0" percent="0" rank="0" text="" dxfId="1627">
      <formula>$F1665:O2313="pp"</formula>
    </cfRule>
  </conditionalFormatting>
  <conditionalFormatting sqref="B1640">
    <cfRule type="expression" priority="1618" aboveAverage="0" equalAverage="0" bottom="0" percent="0" rank="0" text="" dxfId="1628">
      <formula>$F1640:G2307="pp"</formula>
    </cfRule>
  </conditionalFormatting>
  <conditionalFormatting sqref="A1496">
    <cfRule type="expression" priority="1619" aboveAverage="0" equalAverage="0" bottom="0" percent="0" rank="0" text="" dxfId="1629">
      <formula>$F1496:F2325="pp"</formula>
    </cfRule>
  </conditionalFormatting>
  <conditionalFormatting sqref="M1680:N1680">
    <cfRule type="expression" priority="1620" aboveAverage="0" equalAverage="0" bottom="0" percent="0" rank="0" text="" dxfId="1630">
      <formula>$F1680:R2338="pp"</formula>
    </cfRule>
  </conditionalFormatting>
  <conditionalFormatting sqref="L1098">
    <cfRule type="expression" priority="1621" aboveAverage="0" equalAverage="0" bottom="0" percent="0" rank="0" text="" dxfId="1631">
      <formula>$F1098:Q2287="pp"</formula>
    </cfRule>
  </conditionalFormatting>
  <conditionalFormatting sqref="A1721 B1701:B1702 L1701:L1702 J1701:J1702">
    <cfRule type="expression" priority="1622" aboveAverage="0" equalAverage="0" bottom="0" percent="0" rank="0" text="" dxfId="1632">
      <formula>$F1701:F2309="pp"</formula>
    </cfRule>
  </conditionalFormatting>
  <conditionalFormatting sqref="E1721 G1707:I1715 F1780:F1782">
    <cfRule type="expression" priority="1623" aboveAverage="0" equalAverage="0" bottom="0" percent="0" rank="0" text="" dxfId="1633">
      <formula>$F1707:I2307="pp"</formula>
    </cfRule>
  </conditionalFormatting>
  <conditionalFormatting sqref="C1721:D1721 A1703:A1704">
    <cfRule type="expression" priority="1624" aboveAverage="0" equalAverage="0" bottom="0" percent="0" rank="0" text="" dxfId="1634">
      <formula>$F1703:F2327="pp"</formula>
    </cfRule>
  </conditionalFormatting>
  <conditionalFormatting sqref="J1721">
    <cfRule type="expression" priority="1625" aboveAverage="0" equalAverage="0" bottom="0" percent="0" rank="0" text="" dxfId="1635">
      <formula>$F1721:O2311="pp"</formula>
    </cfRule>
  </conditionalFormatting>
  <conditionalFormatting sqref="K1721">
    <cfRule type="expression" priority="1626" aboveAverage="0" equalAverage="0" bottom="0" percent="0" rank="0" text="" dxfId="1636">
      <formula>$F1721:P2348="pp"</formula>
    </cfRule>
  </conditionalFormatting>
  <conditionalFormatting sqref="Q1721">
    <cfRule type="expression" priority="1627" aboveAverage="0" equalAverage="0" bottom="0" percent="0" rank="0" text="" dxfId="1637">
      <formula>$F1721:T2339="pp"</formula>
    </cfRule>
  </conditionalFormatting>
  <conditionalFormatting sqref="O1721 G1705:I1706">
    <cfRule type="expression" priority="1628" aboveAverage="0" equalAverage="0" bottom="0" percent="0" rank="0" text="" dxfId="1638">
      <formula>$F1705:K2310="pp"</formula>
    </cfRule>
  </conditionalFormatting>
  <conditionalFormatting sqref="C1575:D1575">
    <cfRule type="expression" priority="1629" aboveAverage="0" equalAverage="0" bottom="0" percent="0" rank="0" text="" dxfId="1639">
      <formula>$F1575:H2347="pp"</formula>
    </cfRule>
  </conditionalFormatting>
  <conditionalFormatting sqref="A1489">
    <cfRule type="expression" priority="1630" aboveAverage="0" equalAverage="0" bottom="0" percent="0" rank="0" text="" dxfId="1640">
      <formula>$F1489:F2326="pp"</formula>
    </cfRule>
  </conditionalFormatting>
  <conditionalFormatting sqref="F823">
    <cfRule type="expression" priority="1631" aboveAverage="0" equalAverage="0" bottom="0" percent="0" rank="0" text="" dxfId="1641">
      <formula>$F823:J2587="pp"</formula>
    </cfRule>
  </conditionalFormatting>
  <conditionalFormatting sqref="L1416">
    <cfRule type="expression" priority="1632" aboveAverage="0" equalAverage="0" bottom="0" percent="0" rank="0" text="" dxfId="1642">
      <formula>$F1416:Q2291="pp"</formula>
    </cfRule>
  </conditionalFormatting>
  <conditionalFormatting sqref="E1484">
    <cfRule type="expression" priority="1633" aboveAverage="0" equalAverage="0" bottom="0" percent="0" rank="0" text="" dxfId="1643">
      <formula>$F1484:I2320="pp"</formula>
    </cfRule>
  </conditionalFormatting>
  <conditionalFormatting sqref="L1693">
    <cfRule type="expression" priority="1634" aboveAverage="0" equalAverage="0" bottom="0" percent="0" rank="0" text="" dxfId="1644">
      <formula>$F1693:Q2318="pp"</formula>
    </cfRule>
  </conditionalFormatting>
  <conditionalFormatting sqref="G1693:I1693">
    <cfRule type="expression" priority="1635" aboveAverage="0" equalAverage="0" bottom="0" percent="0" rank="0" text="" dxfId="1645">
      <formula>$F1693:K2318="pp"</formula>
    </cfRule>
  </conditionalFormatting>
  <conditionalFormatting sqref="A911 A913:A915">
    <cfRule type="expression" priority="1636" aboveAverage="0" equalAverage="0" bottom="0" percent="0" rank="0" text="" dxfId="1646">
      <formula>$F911:F2307="pp"</formula>
    </cfRule>
  </conditionalFormatting>
  <conditionalFormatting sqref="B1573 A1591:A1600">
    <cfRule type="expression" priority="1637" aboveAverage="0" equalAverage="0" bottom="0" percent="0" rank="0" text="" dxfId="1647">
      <formula>$F1573:F2311="pp"</formula>
    </cfRule>
  </conditionalFormatting>
  <conditionalFormatting sqref="L1573">
    <cfRule type="expression" priority="1638" aboveAverage="0" equalAverage="0" bottom="0" percent="0" rank="0" text="" dxfId="1648">
      <formula>$F1573:Q2311="pp"</formula>
    </cfRule>
  </conditionalFormatting>
  <conditionalFormatting sqref="M1693:N1693">
    <cfRule type="expression" priority="1639" aboveAverage="0" equalAverage="0" bottom="0" percent="0" rank="0" text="" dxfId="1649">
      <formula>$F1693:R2355="pp"</formula>
    </cfRule>
  </conditionalFormatting>
  <conditionalFormatting sqref="G1681:I1681">
    <cfRule type="expression" priority="1640" aboveAverage="0" equalAverage="0" bottom="0" percent="0" rank="0" text="" dxfId="1650">
      <formula>$F1681:K2300="pp"</formula>
    </cfRule>
  </conditionalFormatting>
  <conditionalFormatting sqref="M1665:N1665">
    <cfRule type="expression" priority="1641" aboveAverage="0" equalAverage="0" bottom="0" percent="0" rank="0" text="" dxfId="1651">
      <formula>$F1665:R2350="pp"</formula>
    </cfRule>
  </conditionalFormatting>
  <conditionalFormatting sqref="C1645:D1645">
    <cfRule type="expression" priority="1642" aboveAverage="0" equalAverage="0" bottom="0" percent="0" rank="0" text="" dxfId="1652">
      <formula>$F1645:H2341="pp"</formula>
    </cfRule>
  </conditionalFormatting>
  <conditionalFormatting sqref="F1845 F1851:F1865">
    <cfRule type="expression" priority="1643" aboveAverage="0" equalAverage="0" bottom="0" percent="0" rank="0" text="" dxfId="1653">
      <formula>$F1845:J2392="pp"</formula>
    </cfRule>
  </conditionalFormatting>
  <conditionalFormatting sqref="G1721:I1721">
    <cfRule type="expression" priority="1644" aboveAverage="0" equalAverage="0" bottom="0" percent="0" rank="0" text="" dxfId="1654">
      <formula>$F1721:K2311="pp"</formula>
    </cfRule>
  </conditionalFormatting>
  <conditionalFormatting sqref="L1770">
    <cfRule type="expression" priority="1645" aboveAverage="0" equalAverage="0" bottom="0" percent="0" rank="0" text="" dxfId="1655">
      <formula>$F1770:Q2303="pp"</formula>
    </cfRule>
  </conditionalFormatting>
  <conditionalFormatting sqref="K1769">
    <cfRule type="expression" priority="1646" aboveAverage="0" equalAverage="0" bottom="0" percent="0" rank="0" text="" dxfId="1656">
      <formula>$F1769:P2342="pp"</formula>
    </cfRule>
  </conditionalFormatting>
  <conditionalFormatting sqref="Q1769">
    <cfRule type="expression" priority="1647" aboveAverage="0" equalAverage="0" bottom="0" percent="0" rank="0" text="" dxfId="1657">
      <formula>$F1769:T2333="pp"</formula>
    </cfRule>
  </conditionalFormatting>
  <conditionalFormatting sqref="G1722:I1722 G1724:I1725">
    <cfRule type="expression" priority="1648" aboveAverage="0" equalAverage="0" bottom="0" percent="0" rank="0" text="" dxfId="1658">
      <formula>$F1722:K2301="pp"</formula>
    </cfRule>
  </conditionalFormatting>
  <conditionalFormatting sqref="F1768">
    <cfRule type="expression" priority="1649" aboveAverage="0" equalAverage="0" bottom="0" percent="0" rank="0" text="" dxfId="1659">
      <formula>$F1768:J2377="pp"</formula>
    </cfRule>
  </conditionalFormatting>
  <conditionalFormatting sqref="K1768">
    <cfRule type="expression" priority="1650" aboveAverage="0" equalAverage="0" bottom="0" percent="0" rank="0" text="" dxfId="1660">
      <formula>$F1768:P2339="pp"</formula>
    </cfRule>
  </conditionalFormatting>
  <conditionalFormatting sqref="C1768:D1768">
    <cfRule type="expression" priority="1651" aboveAverage="0" equalAverage="0" bottom="0" percent="0" rank="0" text="" dxfId="1661">
      <formula>$F1768:H2336="pp"</formula>
    </cfRule>
  </conditionalFormatting>
  <conditionalFormatting sqref="G1676:I1676">
    <cfRule type="expression" priority="1652" aboveAverage="0" equalAverage="0" bottom="0" percent="0" rank="0" text="" dxfId="1662">
      <formula>$F1676:K2316="pp"</formula>
    </cfRule>
  </conditionalFormatting>
  <conditionalFormatting sqref="O1676">
    <cfRule type="expression" priority="1653" aboveAverage="0" equalAverage="0" bottom="0" percent="0" rank="0" text="" dxfId="1663">
      <formula>$F1676:S2331="pp"</formula>
    </cfRule>
  </conditionalFormatting>
  <conditionalFormatting sqref="E1676 P1689:P1690">
    <cfRule type="expression" priority="1654" aboveAverage="0" equalAverage="0" bottom="0" percent="0" rank="0" text="" dxfId="1664">
      <formula>$F1676:I2326="pp"</formula>
    </cfRule>
  </conditionalFormatting>
  <conditionalFormatting sqref="K1676">
    <cfRule type="expression" priority="1655" aboveAverage="0" equalAverage="0" bottom="0" percent="0" rank="0" text="" dxfId="1665">
      <formula>$F1676:P2353="pp"</formula>
    </cfRule>
  </conditionalFormatting>
  <conditionalFormatting sqref="Q1676">
    <cfRule type="expression" priority="1656" aboveAverage="0" equalAverage="0" bottom="0" percent="0" rank="0" text="" dxfId="1666">
      <formula>$F1676:T2344="pp"</formula>
    </cfRule>
  </conditionalFormatting>
  <conditionalFormatting sqref="O1489 O1483:O1485 G1466:I1467">
    <cfRule type="expression" priority="1657" aboveAverage="0" equalAverage="0" bottom="0" percent="0" rank="0" text="" dxfId="1667">
      <formula>$F1466:K2300="pp"</formula>
    </cfRule>
  </conditionalFormatting>
  <conditionalFormatting sqref="C1577:D1577">
    <cfRule type="expression" priority="1658" aboveAverage="0" equalAverage="0" bottom="0" percent="0" rank="0" text="" dxfId="1668">
      <formula>$F1577:H2349="pp"</formula>
    </cfRule>
  </conditionalFormatting>
  <conditionalFormatting sqref="O1768">
    <cfRule type="expression" priority="1659" aboveAverage="0" equalAverage="0" bottom="0" percent="0" rank="0" text="" dxfId="1669">
      <formula>$F1768:S2317="pp"</formula>
    </cfRule>
  </conditionalFormatting>
  <conditionalFormatting sqref="L1769">
    <cfRule type="expression" priority="1660" aboveAverage="0" equalAverage="0" bottom="0" percent="0" rank="0" text="" dxfId="1670">
      <formula>$F1769:Q2305="pp"</formula>
    </cfRule>
  </conditionalFormatting>
  <conditionalFormatting sqref="Q1768">
    <cfRule type="expression" priority="1661" aboveAverage="0" equalAverage="0" bottom="0" percent="0" rank="0" text="" dxfId="1671">
      <formula>$F1768:T2330="pp"</formula>
    </cfRule>
  </conditionalFormatting>
  <conditionalFormatting sqref="F1770 E1716:E1720 G1701:I1702">
    <cfRule type="expression" priority="1662" aboveAverage="0" equalAverage="0" bottom="0" percent="0" rank="0" text="" dxfId="1672">
      <formula>$F1701:I2309="pp"</formula>
    </cfRule>
  </conditionalFormatting>
  <conditionalFormatting sqref="J1489">
    <cfRule type="expression" priority="1663" aboveAverage="0" equalAverage="0" bottom="0" percent="0" rank="0" text="" dxfId="1673">
      <formula>$F1489:O2308="pp"</formula>
    </cfRule>
  </conditionalFormatting>
  <conditionalFormatting sqref="E1581">
    <cfRule type="expression" priority="1664" aboveAverage="0" equalAverage="0" bottom="0" percent="0" rank="0" text="" dxfId="1674">
      <formula>$F1581:I2321="pp"</formula>
    </cfRule>
  </conditionalFormatting>
  <conditionalFormatting sqref="F1676 F1643:F1653 O1616:O1619 E1611:E1614">
    <cfRule type="expression" priority="1665" aboveAverage="0" equalAverage="0" bottom="0" percent="0" rank="0" text="" dxfId="1675">
      <formula>$F1611:I2312="pp"</formula>
    </cfRule>
  </conditionalFormatting>
  <conditionalFormatting sqref="Q1489 Q1483:Q1485">
    <cfRule type="expression" priority="1666" aboveAverage="0" equalAverage="0" bottom="0" percent="0" rank="0" text="" dxfId="1676">
      <formula>$F1483:T2330="pp"</formula>
    </cfRule>
  </conditionalFormatting>
  <conditionalFormatting sqref="K1489 K1483:K1485 M1483:N1485">
    <cfRule type="expression" priority="1667" aboveAverage="0" equalAverage="0" bottom="0" percent="0" rank="0" text="" dxfId="1677">
      <formula>$F1483:P2339="pp"</formula>
    </cfRule>
  </conditionalFormatting>
  <conditionalFormatting sqref="C1585:D1585">
    <cfRule type="expression" priority="1668" aboveAverage="0" equalAverage="0" bottom="0" percent="0" rank="0" text="" dxfId="1678">
      <formula>$F1585:H2357="pp"</formula>
    </cfRule>
  </conditionalFormatting>
  <conditionalFormatting sqref="C1581:D1581">
    <cfRule type="expression" priority="1669" aboveAverage="0" equalAverage="0" bottom="0" percent="0" rank="0" text="" dxfId="1679">
      <formula>$F1581:H2353="pp"</formula>
    </cfRule>
  </conditionalFormatting>
  <conditionalFormatting sqref="C1579:D1579">
    <cfRule type="expression" priority="1670" aboveAverage="0" equalAverage="0" bottom="0" percent="0" rank="0" text="" dxfId="1680">
      <formula>$F1579:H2351="pp"</formula>
    </cfRule>
  </conditionalFormatting>
  <conditionalFormatting sqref="A1722 A1724:A1725">
    <cfRule type="expression" priority="1671" aboveAverage="0" equalAverage="0" bottom="0" percent="0" rank="0" text="" dxfId="1681">
      <formula>$F1722:F2319="pp"</formula>
    </cfRule>
  </conditionalFormatting>
  <conditionalFormatting sqref="G1769:I1769">
    <cfRule type="expression" priority="1672" aboveAverage="0" equalAverage="0" bottom="0" percent="0" rank="0" text="" dxfId="1682">
      <formula>$F1769:K2305="pp"</formula>
    </cfRule>
  </conditionalFormatting>
  <conditionalFormatting sqref="L627">
    <cfRule type="expression" priority="1673" aboveAverage="0" equalAverage="0" bottom="0" percent="0" rank="0" text="" dxfId="1683">
      <formula>$F627:Q2272="pp"</formula>
    </cfRule>
  </conditionalFormatting>
  <conditionalFormatting sqref="L1721">
    <cfRule type="expression" priority="1674" aboveAverage="0" equalAverage="0" bottom="0" percent="0" rank="0" text="" dxfId="1684">
      <formula>$F1721:Q2311="pp"</formula>
    </cfRule>
  </conditionalFormatting>
  <conditionalFormatting sqref="J1770">
    <cfRule type="expression" priority="1675" aboveAverage="0" equalAverage="0" bottom="0" percent="0" rank="0" text="" dxfId="1685">
      <formula>$F1770:O2303="pp"</formula>
    </cfRule>
  </conditionalFormatting>
  <conditionalFormatting sqref="M1721:N1721">
    <cfRule type="expression" priority="1676" aboveAverage="0" equalAverage="0" bottom="0" percent="0" rank="0" text="" dxfId="1686">
      <formula>$F1721:R2348="pp"</formula>
    </cfRule>
  </conditionalFormatting>
  <conditionalFormatting sqref="L341">
    <cfRule type="expression" priority="1677" aboveAverage="0" equalAverage="0" bottom="0" percent="0" rank="0" text="" dxfId="1687">
      <formula>$F341:Q2272="pp"</formula>
    </cfRule>
  </conditionalFormatting>
  <conditionalFormatting sqref="L1115">
    <cfRule type="expression" priority="1678" aboveAverage="0" equalAverage="0" bottom="0" percent="0" rank="0" text="" dxfId="1688">
      <formula>$F1115:Q2294="pp"</formula>
    </cfRule>
  </conditionalFormatting>
  <conditionalFormatting sqref="L1489">
    <cfRule type="expression" priority="1679" aboveAverage="0" equalAverage="0" bottom="0" percent="0" rank="0" text="" dxfId="1689">
      <formula>$F1489:Q2308="pp"</formula>
    </cfRule>
  </conditionalFormatting>
  <conditionalFormatting sqref="E1746 E1750:E1762">
    <cfRule type="expression" priority="1680" aboveAverage="0" equalAverage="0" bottom="0" percent="0" rank="0" text="" dxfId="1690">
      <formula>$F1746:I2317="pp"</formula>
    </cfRule>
  </conditionalFormatting>
  <conditionalFormatting sqref="E1749">
    <cfRule type="expression" priority="1681" aboveAverage="0" equalAverage="0" bottom="0" percent="0" rank="0" text="" dxfId="1691">
      <formula>$F1749:I2335="pp"</formula>
    </cfRule>
  </conditionalFormatting>
  <conditionalFormatting sqref="E1747 E1726:E1745">
    <cfRule type="expression" priority="1682" aboveAverage="0" equalAverage="0" bottom="0" percent="0" rank="0" text="" dxfId="1692">
      <formula>$F1726:I2312="pp"</formula>
    </cfRule>
  </conditionalFormatting>
  <conditionalFormatting sqref="G1770:I1770">
    <cfRule type="expression" priority="1683" aboveAverage="0" equalAverage="0" bottom="0" percent="0" rank="0" text="" dxfId="1693">
      <formula>$F1770:K2303="pp"</formula>
    </cfRule>
  </conditionalFormatting>
  <conditionalFormatting sqref="G1489:I1489 G1483:I1485 O1503:O1507">
    <cfRule type="expression" priority="1684" aboveAverage="0" equalAverage="0" bottom="0" percent="0" rank="0" text="" dxfId="1694">
      <formula>$F1483:K2302="pp"</formula>
    </cfRule>
  </conditionalFormatting>
  <conditionalFormatting sqref="A1814 M1837:N1844 K1837:K1844">
    <cfRule type="expression" priority="1685" aboveAverage="0" equalAverage="0" bottom="0" percent="0" rank="0" text="" dxfId="1695">
      <formula>$F1814:F2330="pp"</formula>
    </cfRule>
  </conditionalFormatting>
  <conditionalFormatting sqref="C1583:D1583">
    <cfRule type="expression" priority="1686" aboveAverage="0" equalAverage="0" bottom="0" percent="0" rank="0" text="" dxfId="1696">
      <formula>$F1583:H2355="pp"</formula>
    </cfRule>
  </conditionalFormatting>
  <conditionalFormatting sqref="L1475">
    <cfRule type="expression" priority="1687" aboveAverage="0" equalAverage="0" bottom="0" percent="0" rank="0" text="" dxfId="1697">
      <formula>$F1475:Q2301="pp"</formula>
    </cfRule>
  </conditionalFormatting>
  <conditionalFormatting sqref="F788">
    <cfRule type="expression" priority="1688" aboveAverage="0" equalAverage="0" bottom="0" percent="0" rank="0" text="" dxfId="1698">
      <formula>$F788:J2548="pp"</formula>
    </cfRule>
  </conditionalFormatting>
  <conditionalFormatting sqref="G1475:I1475 G1480:I1482">
    <cfRule type="expression" priority="1689" aboveAverage="0" equalAverage="0" bottom="0" percent="0" rank="0" text="" dxfId="1699">
      <formula>$F1475:K2301="pp"</formula>
    </cfRule>
  </conditionalFormatting>
  <conditionalFormatting sqref="F827">
    <cfRule type="expression" priority="1690" aboveAverage="0" equalAverage="0" bottom="0" percent="0" rank="0" text="" dxfId="1700">
      <formula>$F827:J2591="pp"</formula>
    </cfRule>
  </conditionalFormatting>
  <conditionalFormatting sqref="C544:D544">
    <cfRule type="expression" priority="1691" aboveAverage="0" equalAverage="0" bottom="0" percent="0" rank="0" text="" dxfId="1701">
      <formula>$F544:H2310="pp"</formula>
    </cfRule>
  </conditionalFormatting>
  <conditionalFormatting sqref="A1475 A1480:A1485 C1490:D1495 B1459:B1460 L1459:L1460 J1459:J1460">
    <cfRule type="expression" priority="1692" aboveAverage="0" equalAverage="0" bottom="0" percent="0" rank="0" text="" dxfId="1702">
      <formula>$F1459:F2303="pp"</formula>
    </cfRule>
  </conditionalFormatting>
  <conditionalFormatting sqref="C1475:D1475 C1480:D1485">
    <cfRule type="expression" priority="1693" aboveAverage="0" equalAverage="0" bottom="0" percent="0" rank="0" text="" dxfId="1703">
      <formula>$F1475:H2335="pp"</formula>
    </cfRule>
  </conditionalFormatting>
  <conditionalFormatting sqref="E1770 O1777:O1779">
    <cfRule type="expression" priority="1694" aboveAverage="0" equalAverage="0" bottom="0" percent="0" rank="0" text="" dxfId="1704">
      <formula>$F1770:I2313="pp"</formula>
    </cfRule>
  </conditionalFormatting>
  <conditionalFormatting sqref="F1475 F1480:F1485">
    <cfRule type="expression" priority="1695" aboveAverage="0" equalAverage="0" bottom="0" percent="0" rank="0" text="" dxfId="1705">
      <formula>$F1475:J2340="pp"</formula>
    </cfRule>
  </conditionalFormatting>
  <conditionalFormatting sqref="O1475 O1480:O1482">
    <cfRule type="expression" priority="1696" aboveAverage="0" equalAverage="0" bottom="0" percent="0" rank="0" text="" dxfId="1706">
      <formula>$F1475:S2316="pp"</formula>
    </cfRule>
  </conditionalFormatting>
  <conditionalFormatting sqref="F1884 E1822:E1828 G1810:I1813 E1815:E1816">
    <cfRule type="expression" priority="1697" aboveAverage="0" equalAverage="0" bottom="0" percent="0" rank="0" text="" dxfId="1707">
      <formula>$F1810:I2313="pp"</formula>
    </cfRule>
  </conditionalFormatting>
  <conditionalFormatting sqref="M1489:N1489">
    <cfRule type="expression" priority="1698" aboveAverage="0" equalAverage="0" bottom="0" percent="0" rank="0" text="" dxfId="1708">
      <formula>$F1489:R2345="pp"</formula>
    </cfRule>
  </conditionalFormatting>
  <conditionalFormatting sqref="L1676">
    <cfRule type="expression" priority="1699" aboveAverage="0" equalAverage="0" bottom="0" percent="0" rank="0" text="" dxfId="1709">
      <formula>$F1676:Q2316="pp"</formula>
    </cfRule>
  </conditionalFormatting>
  <conditionalFormatting sqref="M1676:N1676">
    <cfRule type="expression" priority="1700" aboveAverage="0" equalAverage="0" bottom="0" percent="0" rank="0" text="" dxfId="1710">
      <formula>$F1676:R2353="pp"</formula>
    </cfRule>
  </conditionalFormatting>
  <conditionalFormatting sqref="Q1475 Q1480:Q1482">
    <cfRule type="expression" priority="1701" aboveAverage="0" equalAverage="0" bottom="0" percent="0" rank="0" text="" dxfId="1711">
      <formula>$F1475:T2329="pp"</formula>
    </cfRule>
  </conditionalFormatting>
  <conditionalFormatting sqref="B275 K296:K297 M296:N297">
    <cfRule type="expression" priority="1702" aboveAverage="0" equalAverage="0" bottom="0" percent="0" rank="0" text="" dxfId="1712">
      <formula>$F275:G2287="pp"</formula>
    </cfRule>
  </conditionalFormatting>
  <conditionalFormatting sqref="M1769:N1769">
    <cfRule type="expression" priority="1703" aboveAverage="0" equalAverage="0" bottom="0" percent="0" rank="0" text="" dxfId="1713">
      <formula>$F1769:R2342="pp"</formula>
    </cfRule>
  </conditionalFormatting>
  <conditionalFormatting sqref="B2062 L2062">
    <cfRule type="expression" priority="1704" aboveAverage="0" equalAverage="0" bottom="0" percent="0" rank="0" text="" dxfId="1714">
      <formula>$F2062:G2307="pp"</formula>
    </cfRule>
  </conditionalFormatting>
  <conditionalFormatting sqref="F2062 G1988:I1991">
    <cfRule type="expression" priority="1705" aboveAverage="0" equalAverage="0" bottom="0" percent="0" rank="0" text="" dxfId="1715">
      <formula>$F1988:J2308="pp"</formula>
    </cfRule>
  </conditionalFormatting>
  <conditionalFormatting sqref="J2062">
    <cfRule type="expression" priority="1706" aboveAverage="0" equalAverage="0" bottom="0" percent="0" rank="0" text="" dxfId="1716">
      <formula>$F2062:O2307="pp"</formula>
    </cfRule>
  </conditionalFormatting>
  <conditionalFormatting sqref="K2062">
    <cfRule type="expression" priority="1707" aboveAverage="0" equalAverage="0" bottom="0" percent="0" rank="0" text="" dxfId="1717">
      <formula>$F2062:P2344="pp"</formula>
    </cfRule>
  </conditionalFormatting>
  <conditionalFormatting sqref="P2062">
    <cfRule type="expression" priority="1708" aboveAverage="0" equalAverage="0" bottom="0" percent="0" rank="0" text="" dxfId="1718">
      <formula>$F2062:T3052="pp"</formula>
    </cfRule>
    <cfRule type="expression" priority="1709" aboveAverage="0" equalAverage="0" bottom="0" percent="0" rank="0" text="" dxfId="1719">
      <formula>$F2062:T2335="pp"</formula>
    </cfRule>
  </conditionalFormatting>
  <conditionalFormatting sqref="Q2062">
    <cfRule type="expression" priority="1710" aboveAverage="0" equalAverage="0" bottom="0" percent="0" rank="0" text="" dxfId="1720">
      <formula>$F2062:T2335="pp"</formula>
    </cfRule>
  </conditionalFormatting>
  <conditionalFormatting sqref="O1596">
    <cfRule type="expression" priority="1711" aboveAverage="0" equalAverage="0" bottom="0" percent="0" rank="0" text="" dxfId="1721">
      <formula>$F1596:S2324="pp"</formula>
    </cfRule>
  </conditionalFormatting>
  <conditionalFormatting sqref="F829">
    <cfRule type="expression" priority="1712" aboveAverage="0" equalAverage="0" bottom="0" percent="0" rank="0" text="" dxfId="1722">
      <formula>$F829:J2593="pp"</formula>
    </cfRule>
  </conditionalFormatting>
  <conditionalFormatting sqref="B664 K706:K707 M706:N707">
    <cfRule type="expression" priority="1713" aboveAverage="0" equalAverage="0" bottom="0" percent="0" rank="0" text="" dxfId="1723">
      <formula>$F664:G2270="pp"</formula>
    </cfRule>
  </conditionalFormatting>
  <conditionalFormatting sqref="O949">
    <cfRule type="expression" priority="1714" aboveAverage="0" equalAverage="0" bottom="0" percent="0" rank="0" text="" dxfId="1724">
      <formula>$F949:S2297="pp"</formula>
    </cfRule>
  </conditionalFormatting>
  <conditionalFormatting sqref="C1589:D1589">
    <cfRule type="expression" priority="1715" aboveAverage="0" equalAverage="0" bottom="0" percent="0" rank="0" text="" dxfId="1725">
      <formula>$F1589:H2361="pp"</formula>
    </cfRule>
  </conditionalFormatting>
  <conditionalFormatting sqref="B603">
    <cfRule type="expression" priority="1716" aboveAverage="0" equalAverage="0" bottom="0" percent="0" rank="0" text="" dxfId="1726">
      <formula>$F603:G2278="pp"</formula>
    </cfRule>
  </conditionalFormatting>
  <conditionalFormatting sqref="A1612">
    <cfRule type="expression" priority="1717" aboveAverage="0" equalAverage="0" bottom="0" percent="0" rank="0" text="" dxfId="1727">
      <formula>$F1612:F2321="pp"</formula>
    </cfRule>
  </conditionalFormatting>
  <conditionalFormatting sqref="C1587:D1587">
    <cfRule type="expression" priority="1718" aboveAverage="0" equalAverage="0" bottom="0" percent="0" rank="0" text="" dxfId="1728">
      <formula>$F1587:H2359="pp"</formula>
    </cfRule>
  </conditionalFormatting>
  <conditionalFormatting sqref="E1156">
    <cfRule type="expression" priority="1719" aboveAverage="0" equalAverage="0" bottom="0" percent="0" rank="0" text="" dxfId="1729">
      <formula>$F1156:I2298="pp"</formula>
    </cfRule>
  </conditionalFormatting>
  <conditionalFormatting sqref="L1131">
    <cfRule type="expression" priority="1720" aboveAverage="0" equalAverage="0" bottom="0" percent="0" rank="0" text="" dxfId="1730">
      <formula>$F1131:Q2279="pp"</formula>
    </cfRule>
  </conditionalFormatting>
  <conditionalFormatting sqref="E910">
    <cfRule type="expression" priority="1721" aboveAverage="0" equalAverage="0" bottom="0" percent="0" rank="0" text="" dxfId="1731">
      <formula>$F910:I2293="pp"</formula>
    </cfRule>
  </conditionalFormatting>
  <conditionalFormatting sqref="E911 E913:E915">
    <cfRule type="expression" priority="1722" aboveAverage="0" equalAverage="0" bottom="0" percent="0" rank="0" text="" dxfId="1732">
      <formula>$F911:I2290="pp"</formula>
    </cfRule>
  </conditionalFormatting>
  <conditionalFormatting sqref="J1156">
    <cfRule type="expression" priority="1723" aboveAverage="0" equalAverage="0" bottom="0" percent="0" rank="0" text="" dxfId="1733">
      <formula>$F1156:O2282="pp"</formula>
    </cfRule>
  </conditionalFormatting>
  <conditionalFormatting sqref="M1722:N1722">
    <cfRule type="expression" priority="1724" aboveAverage="0" equalAverage="0" bottom="0" percent="0" rank="0" text="" dxfId="1734">
      <formula>$F1722:R2338="pp"</formula>
    </cfRule>
  </conditionalFormatting>
  <conditionalFormatting sqref="L1768">
    <cfRule type="expression" priority="1725" aboveAverage="0" equalAverage="0" bottom="0" percent="0" rank="0" text="" dxfId="1735">
      <formula>$F1768:Q2302="pp"</formula>
    </cfRule>
  </conditionalFormatting>
  <conditionalFormatting sqref="B667">
    <cfRule type="expression" priority="1726" aboveAverage="0" equalAverage="0" bottom="0" percent="0" rank="0" text="" dxfId="1736">
      <formula>$F667:G2272="pp"</formula>
    </cfRule>
  </conditionalFormatting>
  <conditionalFormatting sqref="C1578:D1578">
    <cfRule type="expression" priority="1727" aboveAverage="0" equalAverage="0" bottom="0" percent="0" rank="0" text="" dxfId="1737">
      <formula>$F1578:H2351="pp"</formula>
    </cfRule>
  </conditionalFormatting>
  <conditionalFormatting sqref="G1677:I1677 O1694:O1695 O1697:O1699">
    <cfRule type="expression" priority="1728" aboveAverage="0" equalAverage="0" bottom="0" percent="0" rank="0" text="" dxfId="1738">
      <formula>$F1677:K2302="pp"</formula>
    </cfRule>
  </conditionalFormatting>
  <conditionalFormatting sqref="C1417:D1417 C1423:D1425 B1371:B1374 L1371:L1374 J1371:J1374">
    <cfRule type="expression" priority="1729" aboveAverage="0" equalAverage="0" bottom="0" percent="0" rank="0" text="" dxfId="1739">
      <formula>$F1371:G2279="pp"</formula>
    </cfRule>
  </conditionalFormatting>
  <conditionalFormatting sqref="L682">
    <cfRule type="expression" priority="1730" aboveAverage="0" equalAverage="0" bottom="0" percent="0" rank="0" text="" dxfId="1740">
      <formula>$F682:Q2275="pp"</formula>
    </cfRule>
  </conditionalFormatting>
  <conditionalFormatting sqref="M1768:N1768">
    <cfRule type="expression" priority="1731" aboveAverage="0" equalAverage="0" bottom="0" percent="0" rank="0" text="" dxfId="1741">
      <formula>$F1768:R2339="pp"</formula>
    </cfRule>
  </conditionalFormatting>
  <conditionalFormatting sqref="A683">
    <cfRule type="expression" priority="1732" aboveAverage="0" equalAverage="0" bottom="0" percent="0" rank="0" text="" dxfId="1742">
      <formula>$F683:F2296="pp"</formula>
    </cfRule>
  </conditionalFormatting>
  <conditionalFormatting sqref="B1417 B1423:B1425 J1423:J1425 L1423:L1425">
    <cfRule type="expression" priority="1733" aboveAverage="0" equalAverage="0" bottom="0" percent="0" rank="0" text="" dxfId="1743">
      <formula>$F1417:G2291="pp"</formula>
    </cfRule>
  </conditionalFormatting>
  <conditionalFormatting sqref="E1394 G1375:I1376 F1437:F1441 P1426:P1427 P1418:P1422">
    <cfRule type="expression" priority="1734" aboveAverage="0" equalAverage="0" bottom="0" percent="0" rank="0" text="" dxfId="1744">
      <formula>$F1375:I2276="pp"</formula>
    </cfRule>
  </conditionalFormatting>
  <conditionalFormatting sqref="E1696 F1765:F1767 O1703:O1704">
    <cfRule type="expression" priority="1735" aboveAverage="0" equalAverage="0" bottom="0" percent="0" rank="0" text="" dxfId="1745">
      <formula>$F1696:I2317="pp"</formula>
    </cfRule>
  </conditionalFormatting>
  <conditionalFormatting sqref="B753 A787:A802">
    <cfRule type="expression" priority="1736" aboveAverage="0" equalAverage="0" bottom="0" percent="0" rank="0" text="" dxfId="1746">
      <formula>$F753:F2273="pp"</formula>
    </cfRule>
  </conditionalFormatting>
  <conditionalFormatting sqref="J596">
    <cfRule type="expression" priority="1737" aboveAverage="0" equalAverage="0" bottom="0" percent="0" rank="0" text="" dxfId="1747">
      <formula>$F596:O2278="pp"</formula>
    </cfRule>
  </conditionalFormatting>
  <conditionalFormatting sqref="F864">
    <cfRule type="expression" priority="1738" aboveAverage="0" equalAverage="0" bottom="0" percent="0" rank="0" text="" dxfId="1748">
      <formula>$F864:J2632="pp"</formula>
    </cfRule>
  </conditionalFormatting>
  <conditionalFormatting sqref="C342:D342">
    <cfRule type="expression" priority="1739" aboveAverage="0" equalAverage="0" bottom="0" percent="0" rank="0" text="" dxfId="1749">
      <formula>$F342:H2311="pp"</formula>
    </cfRule>
  </conditionalFormatting>
  <conditionalFormatting sqref="C572:D572 B524:B526 L524:L526 J524:J526">
    <cfRule type="expression" priority="1740" aboveAverage="0" equalAverage="0" bottom="0" percent="0" rank="0" text="" dxfId="1750">
      <formula>$F524:G2272="pp"</formula>
    </cfRule>
  </conditionalFormatting>
  <conditionalFormatting sqref="E656 G647:I653 O665:O667">
    <cfRule type="expression" priority="1741" aboveAverage="0" equalAverage="0" bottom="0" percent="0" rank="0" text="" dxfId="1751">
      <formula>$F647:I2269="pp"</formula>
    </cfRule>
  </conditionalFormatting>
  <conditionalFormatting sqref="K682">
    <cfRule type="expression" priority="1742" aboveAverage="0" equalAverage="0" bottom="0" percent="0" rank="0" text="" dxfId="1752">
      <formula>$F682:P2312="pp"</formula>
    </cfRule>
  </conditionalFormatting>
  <conditionalFormatting sqref="J682">
    <cfRule type="expression" priority="1743" aboveAverage="0" equalAverage="0" bottom="0" percent="0" rank="0" text="" dxfId="1753">
      <formula>$F682:O2275="pp"</formula>
    </cfRule>
  </conditionalFormatting>
  <conditionalFormatting sqref="Q682">
    <cfRule type="expression" priority="1744" aboveAverage="0" equalAverage="0" bottom="0" percent="0" rank="0" text="" dxfId="1754">
      <formula>$F682:T2303="pp"</formula>
    </cfRule>
  </conditionalFormatting>
  <conditionalFormatting sqref="C815:D815">
    <cfRule type="expression" priority="1745" aboveAverage="0" equalAverage="0" bottom="0" percent="0" rank="0" text="" dxfId="1755">
      <formula>$F815:H2333="pp"</formula>
    </cfRule>
  </conditionalFormatting>
  <conditionalFormatting sqref="A848">
    <cfRule type="expression" priority="1746" aboveAverage="0" equalAverage="0" bottom="0" percent="0" rank="0" text="" dxfId="1756">
      <formula>$F848:F2328="pp"</formula>
    </cfRule>
  </conditionalFormatting>
  <conditionalFormatting sqref="B777 C832:D833">
    <cfRule type="expression" priority="1747" aboveAverage="0" equalAverage="0" bottom="0" percent="0" rank="0" text="" dxfId="1757">
      <formula>$F777:G2280="pp"</formula>
    </cfRule>
  </conditionalFormatting>
  <conditionalFormatting sqref="A574">
    <cfRule type="expression" priority="1748" aboveAverage="0" equalAverage="0" bottom="0" percent="0" rank="0" text="" dxfId="1758">
      <formula>$F574:F2315="pp"</formula>
    </cfRule>
  </conditionalFormatting>
  <conditionalFormatting sqref="A874 B849:B851 K881:K882 M881:N882 J849:J851 L849:L851 A883:A892">
    <cfRule type="expression" priority="1749" aboveAverage="0" equalAverage="0" bottom="0" percent="0" rank="0" text="" dxfId="1759">
      <formula>$F849:F2290="pp"</formula>
    </cfRule>
  </conditionalFormatting>
  <conditionalFormatting sqref="C1677:D1677 A1666:A1676 M1689:N1690 K1689:K1690">
    <cfRule type="expression" priority="1750" aboveAverage="0" equalAverage="0" bottom="0" percent="0" rank="0" text="" dxfId="1760">
      <formula>$F1666:F2325="pp"</formula>
    </cfRule>
  </conditionalFormatting>
  <conditionalFormatting sqref="A565 A556:A558">
    <cfRule type="expression" priority="1751" aboveAverage="0" equalAverage="0" bottom="0" percent="0" rank="0" text="" dxfId="1761">
      <formula>$F556:F2310="pp"</formula>
    </cfRule>
  </conditionalFormatting>
  <conditionalFormatting sqref="K848 K856:K860 M856:N860 K852:K854 M852:N854">
    <cfRule type="expression" priority="1752" aboveAverage="0" equalAverage="0" bottom="0" percent="0" rank="0" text="" dxfId="1762">
      <formula>$F848:P2325="pp"</formula>
    </cfRule>
  </conditionalFormatting>
  <conditionalFormatting sqref="K1677 B1643:B1653 J1643:J1653 L1643:L1653">
    <cfRule type="expression" priority="1753" aboveAverage="0" equalAverage="0" bottom="0" percent="0" rank="0" text="" dxfId="1763">
      <formula>$F1643:G2305="pp"</formula>
    </cfRule>
  </conditionalFormatting>
  <conditionalFormatting sqref="C628:D628 A623:A624 B597:B602 L597:L602 J597:J602">
    <cfRule type="expression" priority="1754" aboveAverage="0" equalAverage="0" bottom="0" percent="0" rank="0" text="" dxfId="1764">
      <formula>$F597:F2275="pp"</formula>
    </cfRule>
  </conditionalFormatting>
  <conditionalFormatting sqref="Q848 Q852:Q854 Q857:Q860">
    <cfRule type="expression" priority="1755" aboveAverage="0" equalAverage="0" bottom="0" percent="0" rank="0" text="" dxfId="1765">
      <formula>$F848:T2316="pp"</formula>
    </cfRule>
  </conditionalFormatting>
  <conditionalFormatting sqref="Q1677">
    <cfRule type="expression" priority="1756" aboveAverage="0" equalAverage="0" bottom="0" percent="0" rank="0" text="" dxfId="1766">
      <formula>$F1677:T2330="pp"</formula>
    </cfRule>
  </conditionalFormatting>
  <conditionalFormatting sqref="F342">
    <cfRule type="expression" priority="1757" aboveAverage="0" equalAverage="0" bottom="0" percent="0" rank="0" text="" dxfId="1767">
      <formula>$F342:J2316="pp"</formula>
    </cfRule>
  </conditionalFormatting>
  <conditionalFormatting sqref="C813:D813 B754:B758 L754:L758 J754:J758">
    <cfRule type="expression" priority="1758" aboveAverage="0" equalAverage="0" bottom="0" percent="0" rank="0" text="" dxfId="1768">
      <formula>$F754:G2270="pp"</formula>
    </cfRule>
  </conditionalFormatting>
  <conditionalFormatting sqref="O533">
    <cfRule type="expression" priority="1759" aboveAverage="0" equalAverage="0" bottom="0" percent="0" rank="0" text="" dxfId="1769">
      <formula>$F533:S2292="pp"</formula>
    </cfRule>
  </conditionalFormatting>
  <conditionalFormatting sqref="C814:D814">
    <cfRule type="expression" priority="1760" aboveAverage="0" equalAverage="0" bottom="0" percent="0" rank="0" text="" dxfId="1770">
      <formula>$F814:H2331="pp"</formula>
    </cfRule>
  </conditionalFormatting>
  <conditionalFormatting sqref="A814 M784:N785 K784:K785">
    <cfRule type="expression" priority="1761" aboveAverage="0" equalAverage="0" bottom="0" percent="0" rank="0" text="" dxfId="1771">
      <formula>$F784:F2311="pp"</formula>
    </cfRule>
  </conditionalFormatting>
  <conditionalFormatting sqref="C507:D507 B471:B475 J471:J475 L471:L475">
    <cfRule type="expression" priority="1762" aboveAverage="0" equalAverage="0" bottom="0" percent="0" rank="0" text="" dxfId="1772">
      <formula>$F471:G2267="pp"</formula>
    </cfRule>
  </conditionalFormatting>
  <conditionalFormatting sqref="E840">
    <cfRule type="expression" priority="1763" aboveAverage="0" equalAverage="0" bottom="0" percent="0" rank="0" text="" dxfId="1773">
      <formula>$F840:I2304="pp"</formula>
    </cfRule>
  </conditionalFormatting>
  <conditionalFormatting sqref="E603">
    <cfRule type="expression" priority="1764" aboveAverage="0" equalAverage="0" bottom="0" percent="0" rank="0" text="" dxfId="1774">
      <formula>$F603:I2288="pp"</formula>
    </cfRule>
  </conditionalFormatting>
  <conditionalFormatting sqref="G682:I682">
    <cfRule type="expression" priority="1765" aboveAverage="0" equalAverage="0" bottom="0" percent="0" rank="0" text="" dxfId="1775">
      <formula>$F682:K2275="pp"</formula>
    </cfRule>
  </conditionalFormatting>
  <conditionalFormatting sqref="B497">
    <cfRule type="expression" priority="1766" aboveAverage="0" equalAverage="0" bottom="0" percent="0" rank="0" text="" dxfId="1776">
      <formula>$F497:G2273="pp"</formula>
    </cfRule>
  </conditionalFormatting>
  <conditionalFormatting sqref="C1580:D1580">
    <cfRule type="expression" priority="1767" aboveAverage="0" equalAverage="0" bottom="0" percent="0" rank="0" text="" dxfId="1777">
      <formula>$F1580:H2353="pp"</formula>
    </cfRule>
  </conditionalFormatting>
  <conditionalFormatting sqref="O1436">
    <cfRule type="expression" priority="1768" aboveAverage="0" equalAverage="0" bottom="0" percent="0" rank="0" text="" dxfId="1778">
      <formula>$F1436:S2315="pp"</formula>
    </cfRule>
  </conditionalFormatting>
  <conditionalFormatting sqref="E1417 G1401:I1407 E1423:E1425">
    <cfRule type="expression" priority="1769" aboveAverage="0" equalAverage="0" bottom="0" percent="0" rank="0" text="" dxfId="1779">
      <formula>$F1401:I2285="pp"</formula>
    </cfRule>
  </conditionalFormatting>
  <conditionalFormatting sqref="M1436:N1436">
    <cfRule type="expression" priority="1770" aboveAverage="0" equalAverage="0" bottom="0" percent="0" rank="0" text="" dxfId="1780">
      <formula>$F1436:R2337="pp"</formula>
    </cfRule>
  </conditionalFormatting>
  <conditionalFormatting sqref="B1468">
    <cfRule type="expression" priority="1771" aboveAverage="0" equalAverage="0" bottom="0" percent="0" rank="0" text="" dxfId="1781">
      <formula>$F1468:G2301="pp"</formula>
    </cfRule>
  </conditionalFormatting>
  <conditionalFormatting sqref="Q507 Q512:Q514">
    <cfRule type="expression" priority="1772" aboveAverage="0" equalAverage="0" bottom="0" percent="0" rank="0" text="" dxfId="1782">
      <formula>$F507:T2297="pp"</formula>
    </cfRule>
  </conditionalFormatting>
  <conditionalFormatting sqref="O1394">
    <cfRule type="expression" priority="1773" aboveAverage="0" equalAverage="0" bottom="0" percent="0" rank="0" text="" dxfId="1783">
      <formula>$F1394:S2300="pp"</formula>
    </cfRule>
  </conditionalFormatting>
  <conditionalFormatting sqref="F1678">
    <cfRule type="expression" priority="1774" aboveAverage="0" equalAverage="0" bottom="0" percent="0" rank="0" text="" dxfId="1784">
      <formula>$F1678:J2379="pp"</formula>
    </cfRule>
  </conditionalFormatting>
  <conditionalFormatting sqref="E876 G865:I871">
    <cfRule type="expression" priority="1775" aboveAverage="0" equalAverage="0" bottom="0" percent="0" rank="0" text="" dxfId="1785">
      <formula>$F865:I2287="pp"</formula>
    </cfRule>
  </conditionalFormatting>
  <conditionalFormatting sqref="E753">
    <cfRule type="expression" priority="1776" aboveAverage="0" equalAverage="0" bottom="0" percent="0" rank="0" text="" dxfId="1786">
      <formula>$F753:I2297="pp"</formula>
    </cfRule>
  </conditionalFormatting>
  <conditionalFormatting sqref="O848 F1188:F1189 O852:O854 O856:O860">
    <cfRule type="expression" priority="1777" aboveAverage="0" equalAverage="0" bottom="0" percent="0" rank="0" text="" dxfId="1787">
      <formula>$F848:J2303="pp"</formula>
    </cfRule>
  </conditionalFormatting>
  <conditionalFormatting sqref="E1458">
    <cfRule type="expression" priority="1778" aboveAverage="0" equalAverage="0" bottom="0" percent="0" rank="0" text="" dxfId="1788">
      <formula>$F1458:I2321="pp"</formula>
    </cfRule>
  </conditionalFormatting>
  <conditionalFormatting sqref="A353:B353 B354:B356 A354:A358 A359:B361 L353:L356 J359:J361 L359:L361 J353:J356">
    <cfRule type="expression" priority="1779" aboveAverage="0" equalAverage="0" bottom="0" percent="0" rank="0" text="" dxfId="1789">
      <formula>$F353:F2484="pp"</formula>
    </cfRule>
  </conditionalFormatting>
  <conditionalFormatting sqref="E497 G485:I488">
    <cfRule type="expression" priority="1780" aboveAverage="0" equalAverage="0" bottom="0" percent="0" rank="0" text="" dxfId="1790">
      <formula>$F485:I2271="pp"</formula>
    </cfRule>
  </conditionalFormatting>
  <conditionalFormatting sqref="E498">
    <cfRule type="expression" priority="1781" aboveAverage="0" equalAverage="0" bottom="0" percent="0" rank="0" text="" dxfId="1791">
      <formula>$F498:I2283="pp"</formula>
    </cfRule>
  </conditionalFormatting>
  <conditionalFormatting sqref="J507 B507 K559:K564 M559:N564">
    <cfRule type="expression" priority="1782" aboveAverage="0" equalAverage="0" bottom="0" percent="0" rank="0" text="" dxfId="1792">
      <formula>$F507:G2269="pp"</formula>
    </cfRule>
  </conditionalFormatting>
  <conditionalFormatting sqref="K507">
    <cfRule type="expression" priority="1783" aboveAverage="0" equalAverage="0" bottom="0" percent="0" rank="0" text="" dxfId="1793">
      <formula>$F507:P2306="pp"</formula>
    </cfRule>
  </conditionalFormatting>
  <conditionalFormatting sqref="C625:D625 A617:A620">
    <cfRule type="expression" priority="1784" aboveAverage="0" equalAverage="0" bottom="0" percent="0" rank="0" text="" dxfId="1794">
      <formula>$F617:F2298="pp"</formula>
    </cfRule>
  </conditionalFormatting>
  <conditionalFormatting sqref="E625">
    <cfRule type="expression" priority="1785" aboveAverage="0" equalAverage="0" bottom="0" percent="0" rank="0" text="" dxfId="1795">
      <formula>$F625:I2282="pp"</formula>
    </cfRule>
  </conditionalFormatting>
  <conditionalFormatting sqref="E626">
    <cfRule type="expression" priority="1786" aboveAverage="0" equalAverage="0" bottom="0" percent="0" rank="0" text="" dxfId="1796">
      <formula>$F626:I2282="pp"</formula>
    </cfRule>
  </conditionalFormatting>
  <conditionalFormatting sqref="A876">
    <cfRule type="expression" priority="1787" aboveAverage="0" equalAverage="0" bottom="0" percent="0" rank="0" text="" dxfId="1797">
      <formula>$F876:F2315="pp"</formula>
    </cfRule>
  </conditionalFormatting>
  <conditionalFormatting sqref="C912:D912 C916:D918">
    <cfRule type="expression" priority="1788" aboveAverage="0" equalAverage="0" bottom="0" percent="0" rank="0" text="" dxfId="1798">
      <formula>$F912:H2324="pp"</formula>
    </cfRule>
  </conditionalFormatting>
  <conditionalFormatting sqref="C1025:D1025 M1007:N1009 K1007:K1009">
    <cfRule type="expression" priority="1789" aboveAverage="0" equalAverage="0" bottom="0" percent="0" rank="0" text="" dxfId="1799">
      <formula>$F1007:H2314="pp"</formula>
    </cfRule>
  </conditionalFormatting>
  <conditionalFormatting sqref="E909 O913:O915 O907:O908">
    <cfRule type="expression" priority="1790" aboveAverage="0" equalAverage="0" bottom="0" percent="0" rank="0" text="" dxfId="1800">
      <formula>$F907:I2296="pp"</formula>
    </cfRule>
  </conditionalFormatting>
  <conditionalFormatting sqref="O1025">
    <cfRule type="expression" priority="1791" aboveAverage="0" equalAverage="0" bottom="0" percent="0" rank="0" text="" dxfId="1801">
      <formula>$F1025:S2297="pp"</formula>
    </cfRule>
  </conditionalFormatting>
  <conditionalFormatting sqref="Q1025">
    <cfRule type="expression" priority="1792" aboveAverage="0" equalAverage="0" bottom="0" percent="0" rank="0" text="" dxfId="1802">
      <formula>$F1025:T2310="pp"</formula>
    </cfRule>
  </conditionalFormatting>
  <conditionalFormatting sqref="C882:D882">
    <cfRule type="expression" priority="1793" aboveAverage="0" equalAverage="0" bottom="0" percent="0" rank="0" text="" dxfId="1803">
      <formula>$F882:H2336="pp"</formula>
    </cfRule>
  </conditionalFormatting>
  <conditionalFormatting sqref="K1436 B1375:B1376 J1375:J1376 L1375:L1376">
    <cfRule type="expression" priority="1794" aboveAverage="0" equalAverage="0" bottom="0" percent="0" rank="0" text="" dxfId="1804">
      <formula>$F1375:G2276="pp"</formula>
    </cfRule>
  </conditionalFormatting>
  <conditionalFormatting sqref="Q1436">
    <cfRule type="expression" priority="1795" aboveAverage="0" equalAverage="0" bottom="0" percent="0" rank="0" text="" dxfId="1805">
      <formula>$F1436:T2328="pp"</formula>
    </cfRule>
  </conditionalFormatting>
  <conditionalFormatting sqref="E848 O849:O851 E852:E854 E856:E860">
    <cfRule type="expression" priority="1796" aboveAverage="0" equalAverage="0" bottom="0" percent="0" rank="0" text="" dxfId="1806">
      <formula>$F848:I2304="pp"</formula>
    </cfRule>
  </conditionalFormatting>
  <conditionalFormatting sqref="E759 E763:E766">
    <cfRule type="expression" priority="1797" aboveAverage="0" equalAverage="0" bottom="0" percent="0" rank="0" text="" dxfId="1807">
      <formula>$F759:I2281="pp"</formula>
    </cfRule>
  </conditionalFormatting>
  <conditionalFormatting sqref="B682 A697:A705 K717:K718 M717:N718">
    <cfRule type="expression" priority="1798" aboveAverage="0" equalAverage="0" bottom="0" percent="0" rank="0" text="" dxfId="1808">
      <formula>$F682:F2275="pp"</formula>
    </cfRule>
  </conditionalFormatting>
  <conditionalFormatting sqref="J460">
    <cfRule type="expression" priority="1799" aboveAverage="0" equalAverage="0" bottom="0" percent="0" rank="0" text="" dxfId="1809">
      <formula>$F460:O2282="pp"</formula>
    </cfRule>
  </conditionalFormatting>
  <conditionalFormatting sqref="A840 A849:A851">
    <cfRule type="expression" priority="1800" aboveAverage="0" equalAverage="0" bottom="0" percent="0" rank="0" text="" dxfId="1810">
      <formula>$F840:F2321="pp"</formula>
    </cfRule>
  </conditionalFormatting>
  <conditionalFormatting sqref="A493 C508:D509 M512:N514 K516:K520 M516:N520 K512:K514">
    <cfRule type="expression" priority="1801" aboveAverage="0" equalAverage="0" bottom="0" percent="0" rank="0" text="" dxfId="1811">
      <formula>$F493:F2291="pp"</formula>
    </cfRule>
  </conditionalFormatting>
  <conditionalFormatting sqref="E1134 O1135:O1136">
    <cfRule type="expression" priority="1802" aboveAverage="0" equalAverage="0" bottom="0" percent="0" rank="0" text="" dxfId="1812">
      <formula>$F1134:I2293="pp"</formula>
    </cfRule>
  </conditionalFormatting>
  <conditionalFormatting sqref="M682:N682">
    <cfRule type="expression" priority="1803" aboveAverage="0" equalAverage="0" bottom="0" percent="0" rank="0" text="" dxfId="1813">
      <formula>$F682:R2312="pp"</formula>
    </cfRule>
  </conditionalFormatting>
  <conditionalFormatting sqref="B386 A403:A405">
    <cfRule type="expression" priority="1804" aboveAverage="0" equalAverage="0" bottom="0" percent="0" rank="0" text="" dxfId="1814">
      <formula>$F386:F2285="pp"</formula>
    </cfRule>
  </conditionalFormatting>
  <conditionalFormatting sqref="J386">
    <cfRule type="expression" priority="1805" aboveAverage="0" equalAverage="0" bottom="0" percent="0" rank="0" text="" dxfId="1815">
      <formula>$F386:O2285="pp"</formula>
    </cfRule>
  </conditionalFormatting>
  <conditionalFormatting sqref="F1677 F1641:F1642">
    <cfRule type="expression" priority="1806" aboveAverage="0" equalAverage="0" bottom="0" percent="0" rank="0" text="" dxfId="1816">
      <formula>$F1641:J2341="pp"</formula>
    </cfRule>
  </conditionalFormatting>
  <conditionalFormatting sqref="L1522">
    <cfRule type="expression" priority="1807" aboveAverage="0" equalAverage="0" bottom="0" percent="0" rank="0" text="" dxfId="1817">
      <formula>$F1522:Q2307="pp"</formula>
    </cfRule>
  </conditionalFormatting>
  <conditionalFormatting sqref="A815">
    <cfRule type="expression" priority="1808" aboveAverage="0" equalAverage="0" bottom="0" percent="0" rank="0" text="" dxfId="1818">
      <formula>$F815:F2343="pp"</formula>
    </cfRule>
  </conditionalFormatting>
  <conditionalFormatting sqref="E942">
    <cfRule type="expression" priority="1809" aboveAverage="0" equalAverage="0" bottom="0" percent="0" rank="0" text="" dxfId="1819">
      <formula>$F942:I2300="pp"</formula>
    </cfRule>
  </conditionalFormatting>
  <conditionalFormatting sqref="M1475:N1475">
    <cfRule type="expression" priority="1810" aboveAverage="0" equalAverage="0" bottom="0" percent="0" rank="0" text="" dxfId="1820">
      <formula>$F1475:R2338="pp"</formula>
    </cfRule>
  </conditionalFormatting>
  <conditionalFormatting sqref="B906">
    <cfRule type="expression" priority="1811" aboveAverage="0" equalAverage="0" bottom="0" percent="0" rank="0" text="" dxfId="1821">
      <formula>$F906:G2284="pp"</formula>
    </cfRule>
  </conditionalFormatting>
  <conditionalFormatting sqref="E543">
    <cfRule type="expression" priority="1812" aboveAverage="0" equalAverage="0" bottom="0" percent="0" rank="0" text="" dxfId="1822">
      <formula>$F543:I2286="pp"</formula>
    </cfRule>
  </conditionalFormatting>
  <conditionalFormatting sqref="E814 E816:E818">
    <cfRule type="expression" priority="1813" aboveAverage="0" equalAverage="0" bottom="0" percent="0" rank="0" text="" dxfId="1823">
      <formula>$F814:I2293="pp"</formula>
    </cfRule>
  </conditionalFormatting>
  <conditionalFormatting sqref="J1130">
    <cfRule type="expression" priority="1814" aboveAverage="0" equalAverage="0" bottom="0" percent="0" rank="0" text="" dxfId="1824">
      <formula>$F1130:O2276="pp"</formula>
    </cfRule>
  </conditionalFormatting>
  <conditionalFormatting sqref="O507">
    <cfRule type="expression" priority="1815" aboveAverage="0" equalAverage="0" bottom="0" percent="0" rank="0" text="" dxfId="1825">
      <formula>$F507:S2284="pp"</formula>
    </cfRule>
  </conditionalFormatting>
  <conditionalFormatting sqref="C565:D565">
    <cfRule type="expression" priority="1816" aboveAverage="0" equalAverage="0" bottom="0" percent="0" rank="0" text="" dxfId="1826">
      <formula>$F565:H2323="pp"</formula>
    </cfRule>
  </conditionalFormatting>
  <conditionalFormatting sqref="B455 K480:K484 M480:N484">
    <cfRule type="expression" priority="1817" aboveAverage="0" equalAverage="0" bottom="0" percent="0" rank="0" text="" dxfId="1827">
      <formula>$F455:G2282="pp"</formula>
    </cfRule>
  </conditionalFormatting>
  <conditionalFormatting sqref="O1814 E1810:E1813">
    <cfRule type="expression" priority="1818" aboveAverage="0" equalAverage="0" bottom="0" percent="0" rank="0" text="" dxfId="1828">
      <formula>$F1810:I2323="pp"</formula>
    </cfRule>
  </conditionalFormatting>
  <conditionalFormatting sqref="O2062">
    <cfRule type="expression" priority="1819" aboveAverage="0" equalAverage="0" bottom="0" percent="0" rank="0" text="" dxfId="1829">
      <formula>$F2062:S2322="pp"</formula>
    </cfRule>
  </conditionalFormatting>
  <conditionalFormatting sqref="F1814">
    <cfRule type="expression" priority="1820" aboveAverage="0" equalAverage="0" bottom="0" percent="0" rank="0" text="" dxfId="1830">
      <formula>$F1814:J2387="pp"</formula>
    </cfRule>
  </conditionalFormatting>
  <conditionalFormatting sqref="J1814">
    <cfRule type="expression" priority="1821" aboveAverage="0" equalAverage="0" bottom="0" percent="0" rank="0" text="" dxfId="1831">
      <formula>$F1814:O2312="pp"</formula>
    </cfRule>
  </conditionalFormatting>
  <conditionalFormatting sqref="K1814 A1789:A1790">
    <cfRule type="expression" priority="1822" aboveAverage="0" equalAverage="0" bottom="0" percent="0" rank="0" text="" dxfId="1832">
      <formula>$F1789:F2324="pp"</formula>
    </cfRule>
  </conditionalFormatting>
  <conditionalFormatting sqref="Q1814">
    <cfRule type="expression" priority="1823" aboveAverage="0" equalAverage="0" bottom="0" percent="0" rank="0" text="" dxfId="1833">
      <formula>$F1814:T2340="pp"</formula>
    </cfRule>
  </conditionalFormatting>
  <conditionalFormatting sqref="J493">
    <cfRule type="expression" priority="1824" aboveAverage="0" equalAverage="0" bottom="0" percent="0" rank="0" text="" dxfId="1834">
      <formula>$F493:O2273="pp"</formula>
    </cfRule>
  </conditionalFormatting>
  <conditionalFormatting sqref="J664">
    <cfRule type="expression" priority="1825" aboveAverage="0" equalAverage="0" bottom="0" percent="0" rank="0" text="" dxfId="1835">
      <formula>$F664:O2270="pp"</formula>
    </cfRule>
  </conditionalFormatting>
  <conditionalFormatting sqref="J494">
    <cfRule type="expression" priority="1826" aboveAverage="0" equalAverage="0" bottom="0" percent="0" rank="0" text="" dxfId="1836">
      <formula>$F494:O2273="pp"</formula>
    </cfRule>
  </conditionalFormatting>
  <conditionalFormatting sqref="M553:N553">
    <cfRule type="expression" priority="1827" aboveAverage="0" equalAverage="0" bottom="0" percent="0" rank="0" text="" dxfId="1837">
      <formula>$F553:R2319="pp"</formula>
    </cfRule>
  </conditionalFormatting>
  <conditionalFormatting sqref="J533">
    <cfRule type="expression" priority="1828" aboveAverage="0" equalAverage="0" bottom="0" percent="0" rank="0" text="" dxfId="1838">
      <formula>$F533:O2277="pp"</formula>
    </cfRule>
  </conditionalFormatting>
  <conditionalFormatting sqref="J663">
    <cfRule type="expression" priority="1829" aboveAverage="0" equalAverage="0" bottom="0" percent="0" rank="0" text="" dxfId="1839">
      <formula>$F663:O2273="pp"</formula>
    </cfRule>
  </conditionalFormatting>
  <conditionalFormatting sqref="J1025">
    <cfRule type="expression" priority="1830" aboveAverage="0" equalAverage="0" bottom="0" percent="0" rank="0" text="" dxfId="1840">
      <formula>$F1025:O2282="pp"</formula>
    </cfRule>
  </conditionalFormatting>
  <conditionalFormatting sqref="K1025">
    <cfRule type="expression" priority="1831" aboveAverage="0" equalAverage="0" bottom="0" percent="0" rank="0" text="" dxfId="1841">
      <formula>$F1025:P2319="pp"</formula>
    </cfRule>
  </conditionalFormatting>
  <conditionalFormatting sqref="B1026 B1020:B1024 J1020:J1024 L1020:L1024">
    <cfRule type="expression" priority="1832" aboveAverage="0" equalAverage="0" bottom="0" percent="0" rank="0" text="" dxfId="1842">
      <formula>$F1020:G2278="pp"</formula>
    </cfRule>
  </conditionalFormatting>
  <conditionalFormatting sqref="A603">
    <cfRule type="expression" priority="1833" aboveAverage="0" equalAverage="0" bottom="0" percent="0" rank="0" text="" dxfId="1843">
      <formula>$F603:F2308="pp"</formula>
    </cfRule>
  </conditionalFormatting>
  <conditionalFormatting sqref="O1696 G1678:I1679">
    <cfRule type="expression" priority="1834" aboveAverage="0" equalAverage="0" bottom="0" percent="0" rank="0" text="" dxfId="1844">
      <formula>$F1678:K2304="pp"</formula>
    </cfRule>
  </conditionalFormatting>
  <conditionalFormatting sqref="M1677:N1677">
    <cfRule type="expression" priority="1835" aboveAverage="0" equalAverage="0" bottom="0" percent="0" rank="0" text="" dxfId="1845">
      <formula>$F1677:R2339="pp"</formula>
    </cfRule>
  </conditionalFormatting>
  <conditionalFormatting sqref="J1458">
    <cfRule type="expression" priority="1836" aboveAverage="0" equalAverage="0" bottom="0" percent="0" rank="0" text="" dxfId="1846">
      <formula>$F1458:O2311="pp"</formula>
    </cfRule>
  </conditionalFormatting>
  <conditionalFormatting sqref="F331">
    <cfRule type="expression" priority="1837" aboveAverage="0" equalAverage="0" bottom="0" percent="0" rank="0" text="" dxfId="1847">
      <formula>$F331:J2317="pp"</formula>
    </cfRule>
  </conditionalFormatting>
  <conditionalFormatting sqref="E2062">
    <cfRule type="expression" priority="1838" aboveAverage="0" equalAverage="0" bottom="0" percent="0" rank="0" text="" dxfId="1848">
      <formula>$F2062:I2317="pp"</formula>
    </cfRule>
  </conditionalFormatting>
  <conditionalFormatting sqref="J1884">
    <cfRule type="expression" priority="1839" aboveAverage="0" equalAverage="0" bottom="0" percent="0" rank="0" text="" dxfId="1849">
      <formula>$F1884:O2312="pp"</formula>
    </cfRule>
  </conditionalFormatting>
  <conditionalFormatting sqref="F1954 O1891:O1895">
    <cfRule type="expression" priority="1840" aboveAverage="0" equalAverage="0" bottom="0" percent="0" rank="0" text="" dxfId="1850">
      <formula>$F1891:J2337="pp"</formula>
    </cfRule>
  </conditionalFormatting>
  <conditionalFormatting sqref="C848:D848 B780:B781 B784:B785 C852:D854 C856:D860 M832:N833 J780:J781 L780:L781 J784:J785 L784:L785 K832:K833">
    <cfRule type="expression" priority="1841" aboveAverage="0" equalAverage="0" bottom="0" percent="0" rank="0" text="" dxfId="1851">
      <formula>$F780:G2270="pp"</formula>
    </cfRule>
  </conditionalFormatting>
  <conditionalFormatting sqref="B982 A1015:A1019">
    <cfRule type="expression" priority="1842" aboveAverage="0" equalAverage="0" bottom="0" percent="0" rank="0" text="" dxfId="1852">
      <formula>$F982:F2284="pp"</formula>
    </cfRule>
  </conditionalFormatting>
  <conditionalFormatting sqref="J443">
    <cfRule type="expression" priority="1843" aboveAverage="0" equalAverage="0" bottom="0" percent="0" rank="0" text="" dxfId="1853">
      <formula>$F443:O2269="pp"</formula>
    </cfRule>
  </conditionalFormatting>
  <conditionalFormatting sqref="O1677">
    <cfRule type="expression" priority="1844" aboveAverage="0" equalAverage="0" bottom="0" percent="0" rank="0" text="" dxfId="1854">
      <formula>$F1677:S2317="pp"</formula>
    </cfRule>
  </conditionalFormatting>
  <conditionalFormatting sqref="O1640">
    <cfRule type="expression" priority="1845" aboveAverage="0" equalAverage="0" bottom="0" percent="0" rank="0" text="" dxfId="1855">
      <formula>$F1640:S2322="pp"</formula>
    </cfRule>
  </conditionalFormatting>
  <conditionalFormatting sqref="C1884:D1884">
    <cfRule type="expression" priority="1846" aboveAverage="0" equalAverage="0" bottom="0" percent="0" rank="0" text="" dxfId="1856">
      <formula>$F1884:H2346="pp"</formula>
    </cfRule>
  </conditionalFormatting>
  <conditionalFormatting sqref="A462 A464:A466 B459 K485:K488 M485:N488">
    <cfRule type="expression" priority="1847" aboveAverage="0" equalAverage="0" bottom="0" percent="0" rank="0" text="" dxfId="1857">
      <formula>$F459:F2282="pp"</formula>
    </cfRule>
  </conditionalFormatting>
  <conditionalFormatting sqref="C1681:D1681">
    <cfRule type="expression" priority="1848" aboveAverage="0" equalAverage="0" bottom="0" percent="0" rank="0" text="" dxfId="1858">
      <formula>$F1681:H2334="pp"</formula>
    </cfRule>
  </conditionalFormatting>
  <conditionalFormatting sqref="G1814:I1814">
    <cfRule type="expression" priority="1849" aboveAverage="0" equalAverage="0" bottom="0" percent="0" rank="0" text="" dxfId="1859">
      <formula>$F1814:K2312="pp"</formula>
    </cfRule>
  </conditionalFormatting>
  <conditionalFormatting sqref="E1814 O1822:O1828 O1815:O1816">
    <cfRule type="expression" priority="1850" aboveAverage="0" equalAverage="0" bottom="0" percent="0" rank="0" text="" dxfId="1860">
      <formula>$F1814:I2322="pp"</formula>
    </cfRule>
  </conditionalFormatting>
  <conditionalFormatting sqref="K1702">
    <cfRule type="expression" priority="1851" aboveAverage="0" equalAverage="0" bottom="0" percent="0" rank="0" text="" dxfId="1861">
      <formula>$F1702:P2347="pp"</formula>
    </cfRule>
  </conditionalFormatting>
  <conditionalFormatting sqref="A1665">
    <cfRule type="expression" priority="1852" aboveAverage="0" equalAverage="0" bottom="0" percent="0" rank="0" text="" dxfId="1862">
      <formula>$F1665:F2331="pp"</formula>
    </cfRule>
  </conditionalFormatting>
  <conditionalFormatting sqref="C1591:D1591">
    <cfRule type="expression" priority="1853" aboveAverage="0" equalAverage="0" bottom="0" percent="0" rank="0" text="" dxfId="1863">
      <formula>$F1591:H2363="pp"</formula>
    </cfRule>
  </conditionalFormatting>
  <conditionalFormatting sqref="B1227 C1285:D1286 L1227">
    <cfRule type="expression" priority="1854" aboveAverage="0" equalAverage="0" bottom="0" percent="0" rank="0" text="" dxfId="1864">
      <formula>$F1227:G2280="pp"</formula>
    </cfRule>
  </conditionalFormatting>
  <conditionalFormatting sqref="E1677">
    <cfRule type="expression" priority="1855" aboveAverage="0" equalAverage="0" bottom="0" percent="0" rank="0" text="" dxfId="1865">
      <formula>$F1677:I2312="pp"</formula>
    </cfRule>
  </conditionalFormatting>
  <conditionalFormatting sqref="J1769">
    <cfRule type="expression" priority="1856" aboveAverage="0" equalAverage="0" bottom="0" percent="0" rank="0" text="" dxfId="1866">
      <formula>$F1769:O2305="pp"</formula>
    </cfRule>
  </conditionalFormatting>
  <conditionalFormatting sqref="J1231 B1233:B1237 B1231 J1233:J1237 L1233:L1237 L1231 K1271:K1275 M1271:N1275">
    <cfRule type="expression" priority="1857" aboveAverage="0" equalAverage="0" bottom="0" percent="0" rank="0" text="" dxfId="1867">
      <formula>$F1231:G2282="pp"</formula>
    </cfRule>
  </conditionalFormatting>
  <conditionalFormatting sqref="B1474 B1469:B1471 J1469:J1471 L1469:L1471">
    <cfRule type="expression" priority="1858" aboveAverage="0" equalAverage="0" bottom="0" percent="0" rank="0" text="" dxfId="1868">
      <formula>$F1469:G2299="pp"</formula>
    </cfRule>
  </conditionalFormatting>
  <conditionalFormatting sqref="A861">
    <cfRule type="expression" priority="1859" aboveAverage="0" equalAverage="0" bottom="0" percent="0" rank="0" text="" dxfId="1869">
      <formula>$F861:F2328="pp"</formula>
    </cfRule>
  </conditionalFormatting>
  <conditionalFormatting sqref="O1700">
    <cfRule type="expression" priority="1860" aboveAverage="0" equalAverage="0" bottom="0" percent="0" rank="0" text="" dxfId="1870">
      <formula>$F1700:S2324="pp"</formula>
    </cfRule>
  </conditionalFormatting>
  <conditionalFormatting sqref="B663">
    <cfRule type="expression" priority="1861" aboveAverage="0" equalAverage="0" bottom="0" percent="0" rank="0" text="" dxfId="1871">
      <formula>$F663:G2273="pp"</formula>
    </cfRule>
  </conditionalFormatting>
  <conditionalFormatting sqref="B938">
    <cfRule type="expression" priority="1862" aboveAverage="0" equalAverage="0" bottom="0" percent="0" rank="0" text="" dxfId="1872">
      <formula>$F938:G2284="pp"</formula>
    </cfRule>
  </conditionalFormatting>
  <conditionalFormatting sqref="L1680">
    <cfRule type="expression" priority="1863" aboveAverage="0" equalAverage="0" bottom="0" percent="0" rank="0" text="" dxfId="1873">
      <formula>$F1680:Q2301="pp"</formula>
    </cfRule>
  </conditionalFormatting>
  <conditionalFormatting sqref="E711">
    <cfRule type="expression" priority="1864" aboveAverage="0" equalAverage="0" bottom="0" percent="0" rank="0" text="" dxfId="1874">
      <formula>$F711:I2290="pp"</formula>
    </cfRule>
  </conditionalFormatting>
  <conditionalFormatting sqref="A1544 B1517:B1518 L1517:L1518 J1517:J1518">
    <cfRule type="expression" priority="1865" aboveAverage="0" equalAverage="0" bottom="0" percent="0" rank="0" text="" dxfId="1875">
      <formula>$F1517:F2306="pp"</formula>
    </cfRule>
  </conditionalFormatting>
  <conditionalFormatting sqref="C1232:D1232">
    <cfRule type="expression" priority="1866" aboveAverage="0" equalAverage="0" bottom="0" percent="0" rank="0" text="" dxfId="1876">
      <formula>$F1232:H2334="pp"</formula>
    </cfRule>
  </conditionalFormatting>
  <conditionalFormatting sqref="E1232">
    <cfRule type="expression" priority="1867" aboveAverage="0" equalAverage="0" bottom="0" percent="0" rank="0" text="" dxfId="1877">
      <formula>$F1232:I2300="pp"</formula>
    </cfRule>
  </conditionalFormatting>
  <conditionalFormatting sqref="F1474 F1469:F1471 O1454:O1457 E1442:E1448">
    <cfRule type="expression" priority="1868" aboveAverage="0" equalAverage="0" bottom="0" percent="0" rank="0" text="" dxfId="1878">
      <formula>$F1442:I2311="pp"</formula>
    </cfRule>
  </conditionalFormatting>
  <conditionalFormatting sqref="C1597:D1597">
    <cfRule type="expression" priority="1869" aboveAverage="0" equalAverage="0" bottom="0" percent="0" rank="0" text="" dxfId="1879">
      <formula>$F1597:H2369="pp"</formula>
    </cfRule>
  </conditionalFormatting>
  <conditionalFormatting sqref="B1232">
    <cfRule type="expression" priority="1870" aboveAverage="0" equalAverage="0" bottom="0" percent="0" rank="0" text="" dxfId="1880">
      <formula>$F1232:G2284="pp"</formula>
    </cfRule>
  </conditionalFormatting>
  <conditionalFormatting sqref="C1593:D1593">
    <cfRule type="expression" priority="1871" aboveAverage="0" equalAverage="0" bottom="0" percent="0" rank="0" text="" dxfId="1881">
      <formula>$F1593:H2365="pp"</formula>
    </cfRule>
  </conditionalFormatting>
  <conditionalFormatting sqref="A1232">
    <cfRule type="expression" priority="1872" aboveAverage="0" equalAverage="0" bottom="0" percent="0" rank="0" text="" dxfId="1882">
      <formula>$F1232:F2317="pp"</formula>
    </cfRule>
  </conditionalFormatting>
  <conditionalFormatting sqref="J1232">
    <cfRule type="expression" priority="1873" aboveAverage="0" equalAverage="0" bottom="0" percent="0" rank="0" text="" dxfId="1883">
      <formula>$F1232:O2284="pp"</formula>
    </cfRule>
  </conditionalFormatting>
  <conditionalFormatting sqref="K1232">
    <cfRule type="expression" priority="1874" aboveAverage="0" equalAverage="0" bottom="0" percent="0" rank="0" text="" dxfId="1884">
      <formula>$F1232:P2321="pp"</formula>
    </cfRule>
  </conditionalFormatting>
  <conditionalFormatting sqref="C1231:D1231 C1233:D1237">
    <cfRule type="expression" priority="1875" aboveAverage="0" equalAverage="0" bottom="0" percent="0" rank="0" text="" dxfId="1885">
      <formula>$F1231:H2332="pp"</formula>
    </cfRule>
  </conditionalFormatting>
  <conditionalFormatting sqref="O1232">
    <cfRule type="expression" priority="1876" aboveAverage="0" equalAverage="0" bottom="0" percent="0" rank="0" text="" dxfId="1886">
      <formula>$F1232:S2299="pp"</formula>
    </cfRule>
  </conditionalFormatting>
  <conditionalFormatting sqref="Q1232">
    <cfRule type="expression" priority="1877" aboveAverage="0" equalAverage="0" bottom="0" percent="0" rank="0" text="" dxfId="1887">
      <formula>$F1232:T2312="pp"</formula>
    </cfRule>
  </conditionalFormatting>
  <conditionalFormatting sqref="A1145 M1157:N1161 K1157:K1161">
    <cfRule type="expression" priority="1878" aboveAverage="0" equalAverage="0" bottom="0" percent="0" rank="0" text="" dxfId="1888">
      <formula>$F1145:F2312="pp"</formula>
    </cfRule>
  </conditionalFormatting>
  <conditionalFormatting sqref="E1474 E1469:E1471">
    <cfRule type="expression" priority="1879" aboveAverage="0" equalAverage="0" bottom="0" percent="0" rank="0" text="" dxfId="1889">
      <formula>$F1469:I2309="pp"</formula>
    </cfRule>
  </conditionalFormatting>
  <conditionalFormatting sqref="C1680:D1680 M1682:N1688 K1682:K1688">
    <cfRule type="expression" priority="1880" aboveAverage="0" equalAverage="0" bottom="0" percent="0" rank="0" text="" dxfId="1890">
      <formula>$F1680:H2335="pp"</formula>
    </cfRule>
  </conditionalFormatting>
  <conditionalFormatting sqref="K1680">
    <cfRule type="expression" priority="1881" aboveAverage="0" equalAverage="0" bottom="0" percent="0" rank="0" text="" dxfId="1891">
      <formula>$F1680:P2338="pp"</formula>
    </cfRule>
  </conditionalFormatting>
  <conditionalFormatting sqref="L1681">
    <cfRule type="expression" priority="1882" aboveAverage="0" equalAverage="0" bottom="0" percent="0" rank="0" text="" dxfId="1892">
      <formula>$F1681:Q2300="pp"</formula>
    </cfRule>
  </conditionalFormatting>
  <conditionalFormatting sqref="Q1680">
    <cfRule type="expression" priority="1883" aboveAverage="0" equalAverage="0" bottom="0" percent="0" rank="0" text="" dxfId="1893">
      <formula>$F1680:T2329="pp"</formula>
    </cfRule>
  </conditionalFormatting>
  <conditionalFormatting sqref="J497">
    <cfRule type="expression" priority="1884" aboveAverage="0" equalAverage="0" bottom="0" percent="0" rank="0" text="" dxfId="1894">
      <formula>$F497:O2273="pp"</formula>
    </cfRule>
  </conditionalFormatting>
  <conditionalFormatting sqref="E192 G190:I191 O190:O191 E190">
    <cfRule type="expression" priority="1885" aboveAverage="0" equalAverage="0" bottom="0" percent="0" rank="0" text="" dxfId="1895">
      <formula>$F190:I2232="pp"</formula>
    </cfRule>
  </conditionalFormatting>
  <conditionalFormatting sqref="A1231 A1233:A1238">
    <cfRule type="expression" priority="1886" aboveAverage="0" equalAverage="0" bottom="0" percent="0" rank="0" text="" dxfId="1896">
      <formula>$F1231:F2315="pp"</formula>
    </cfRule>
  </conditionalFormatting>
  <conditionalFormatting sqref="E980 G960:I964">
    <cfRule type="expression" priority="1887" aboveAverage="0" equalAverage="0" bottom="0" percent="0" rank="0" text="" dxfId="1897">
      <formula>$F960:I2279="pp"</formula>
    </cfRule>
  </conditionalFormatting>
  <conditionalFormatting sqref="J855">
    <cfRule type="expression" priority="1888" aboveAverage="0" equalAverage="0" bottom="0" percent="0" rank="0" text="" dxfId="1898">
      <formula>$F855:O2296="pp"</formula>
    </cfRule>
  </conditionalFormatting>
  <conditionalFormatting sqref="K1231 B1202:B1208 K1233:K1237 M1233:N1237 J1202:J1208 L1202:L1208">
    <cfRule type="expression" priority="1889" aboveAverage="0" equalAverage="0" bottom="0" percent="0" rank="0" text="" dxfId="1899">
      <formula>$F1202:G2290="pp"</formula>
    </cfRule>
  </conditionalFormatting>
  <conditionalFormatting sqref="B1130 A1188:A1189">
    <cfRule type="expression" priority="1890" aboveAverage="0" equalAverage="0" bottom="0" percent="0" rank="0" text="" dxfId="1900">
      <formula>$F1130:F2276="pp"</formula>
    </cfRule>
  </conditionalFormatting>
  <conditionalFormatting sqref="O1231 O1233:O1237">
    <cfRule type="expression" priority="1891" aboveAverage="0" equalAverage="0" bottom="0" percent="0" rank="0" text="" dxfId="1901">
      <formula>$F1231:S2297="pp"</formula>
    </cfRule>
  </conditionalFormatting>
  <conditionalFormatting sqref="Q1231 Q1233:Q1237">
    <cfRule type="expression" priority="1892" aboveAverage="0" equalAverage="0" bottom="0" percent="0" rank="0" text="" dxfId="1902">
      <formula>$F1231:T2310="pp"</formula>
    </cfRule>
  </conditionalFormatting>
  <conditionalFormatting sqref="C573:D573 M575:N576 K575:K576">
    <cfRule type="expression" priority="1893" aboveAverage="0" equalAverage="0" bottom="0" percent="0" rank="0" text="" dxfId="1903">
      <formula>$F573:H2320="pp"</formula>
    </cfRule>
  </conditionalFormatting>
  <conditionalFormatting sqref="C874:D874 B819:B829 C883:D892 M862:N864 J819:J829 L819:L829 K862:K864">
    <cfRule type="expression" priority="1894" aboveAverage="0" equalAverage="0" bottom="0" percent="0" rank="0" text="" dxfId="1904">
      <formula>$F819:G2277="pp"</formula>
    </cfRule>
  </conditionalFormatting>
  <conditionalFormatting sqref="O840 G815:I818">
    <cfRule type="expression" priority="1895" aboveAverage="0" equalAverage="0" bottom="0" percent="0" rank="0" text="" dxfId="1905">
      <formula>$F815:K2278="pp"</formula>
    </cfRule>
  </conditionalFormatting>
  <conditionalFormatting sqref="L848">
    <cfRule type="expression" priority="1896" aboveAverage="0" equalAverage="0" bottom="0" percent="0" rank="0" text="" dxfId="1906">
      <formula>$F848:Q2288="pp"</formula>
    </cfRule>
  </conditionalFormatting>
  <conditionalFormatting sqref="K861">
    <cfRule type="expression" priority="1897" aboveAverage="0" equalAverage="0" bottom="0" percent="0" rank="0" text="" dxfId="1907">
      <formula>$F861:P2317="pp"</formula>
    </cfRule>
  </conditionalFormatting>
  <conditionalFormatting sqref="Q861">
    <cfRule type="expression" priority="1898" aboveAverage="0" equalAverage="0" bottom="0" percent="0" rank="0" text="" dxfId="1908">
      <formula>$F861:T2308="pp"</formula>
    </cfRule>
  </conditionalFormatting>
  <conditionalFormatting sqref="C335:D335">
    <cfRule type="expression" priority="1899" aboveAverage="0" equalAverage="0" bottom="0" percent="0" rank="0" text="" dxfId="1909">
      <formula>$F335:H2326="pp"</formula>
    </cfRule>
  </conditionalFormatting>
  <conditionalFormatting sqref="B876 C925:D926">
    <cfRule type="expression" priority="1900" aboveAverage="0" equalAverage="0" bottom="0" percent="0" rank="0" text="" dxfId="1910">
      <formula>$F876:G2282="pp"</formula>
    </cfRule>
  </conditionalFormatting>
  <conditionalFormatting sqref="B874 J883:J886 L883:L886 B883:B886">
    <cfRule type="expression" priority="1901" aboveAverage="0" equalAverage="0" bottom="0" percent="0" rank="0" text="" dxfId="1911">
      <formula>$F874:G2282="pp"</formula>
    </cfRule>
  </conditionalFormatting>
  <conditionalFormatting sqref="E882 O877:O880">
    <cfRule type="expression" priority="1902" aboveAverage="0" equalAverage="0" bottom="0" percent="0" rank="0" text="" dxfId="1912">
      <formula>$F877:I2297="pp"</formula>
    </cfRule>
  </conditionalFormatting>
  <conditionalFormatting sqref="O753">
    <cfRule type="expression" priority="1903" aboveAverage="0" equalAverage="0" bottom="0" percent="0" rank="0" text="" dxfId="1913">
      <formula>$F753:S2288="pp"</formula>
    </cfRule>
  </conditionalFormatting>
  <conditionalFormatting sqref="A783 A771:A776">
    <cfRule type="expression" priority="1904" aboveAverage="0" equalAverage="0" bottom="0" percent="0" rank="0" text="" dxfId="1914">
      <formula>$F771:F2293="pp"</formula>
    </cfRule>
  </conditionalFormatting>
  <conditionalFormatting sqref="A812">
    <cfRule type="expression" priority="1905" aboveAverage="0" equalAverage="0" bottom="0" percent="0" rank="0" text="" dxfId="1915">
      <formula>$F812:F2337="pp"</formula>
    </cfRule>
  </conditionalFormatting>
  <conditionalFormatting sqref="E874 E883:E886 O872:O873 F1209:F1219">
    <cfRule type="expression" priority="1906" aboveAverage="0" equalAverage="0" bottom="0" percent="0" rank="0" text="" dxfId="1916">
      <formula>$F872:I2296="pp"</formula>
    </cfRule>
  </conditionalFormatting>
  <conditionalFormatting sqref="F1231 F1233:F1237">
    <cfRule type="expression" priority="1907" aboveAverage="0" equalAverage="0" bottom="0" percent="0" rank="0" text="" dxfId="1917">
      <formula>$F1231:J2624="pp"</formula>
    </cfRule>
  </conditionalFormatting>
  <conditionalFormatting sqref="E1227 O1228:O1230">
    <cfRule type="expression" priority="1908" aboveAverage="0" equalAverage="0" bottom="0" percent="0" rank="0" text="" dxfId="1918">
      <formula>$F1227:I2296="pp"</formula>
    </cfRule>
  </conditionalFormatting>
  <conditionalFormatting sqref="E982">
    <cfRule type="expression" priority="1909" aboveAverage="0" equalAverage="0" bottom="0" percent="0" rank="0" text="" dxfId="1919">
      <formula>$F982:I2301="pp"</formula>
    </cfRule>
  </conditionalFormatting>
  <conditionalFormatting sqref="E804 G787:I801">
    <cfRule type="expression" priority="1910" aboveAverage="0" equalAverage="0" bottom="0" percent="0" rank="0" text="" dxfId="1920">
      <formula>$F787:I2274="pp"</formula>
    </cfRule>
  </conditionalFormatting>
  <conditionalFormatting sqref="B912 B916:B918 J916:J918 L916:L918 K950:K959 M950:N959">
    <cfRule type="expression" priority="1911" aboveAverage="0" equalAverage="0" bottom="0" percent="0" rank="0" text="" dxfId="1921">
      <formula>$F912:G2274="pp"</formula>
    </cfRule>
  </conditionalFormatting>
  <conditionalFormatting sqref="B596 K627:K630 M627:N630">
    <cfRule type="expression" priority="1912" aboveAverage="0" equalAverage="0" bottom="0" percent="0" rank="0" text="" dxfId="1922">
      <formula>$F596:G2278="pp"</formula>
    </cfRule>
  </conditionalFormatting>
  <conditionalFormatting sqref="B782">
    <cfRule type="expression" priority="1913" aboveAverage="0" equalAverage="0" bottom="0" percent="0" rank="0" text="" dxfId="1923">
      <formula>$F782:G2270="pp"</formula>
    </cfRule>
  </conditionalFormatting>
  <conditionalFormatting sqref="C1270:D1270 C1277:D1279">
    <cfRule type="expression" priority="1914" aboveAverage="0" equalAverage="0" bottom="0" percent="0" rank="0" text="" dxfId="1924">
      <formula>$F1270:H2333="pp"</formula>
    </cfRule>
  </conditionalFormatting>
  <conditionalFormatting sqref="M861:N861">
    <cfRule type="expression" priority="1915" aboveAverage="0" equalAverage="0" bottom="0" percent="0" rank="0" text="" dxfId="1925">
      <formula>$F861:R2317="pp"</formula>
    </cfRule>
  </conditionalFormatting>
  <conditionalFormatting sqref="A810">
    <cfRule type="expression" priority="1916" aboveAverage="0" equalAverage="0" bottom="0" percent="0" rank="0" text="" dxfId="1926">
      <formula>$F810:F2335="pp"</formula>
    </cfRule>
  </conditionalFormatting>
  <conditionalFormatting sqref="E544 O547:O552">
    <cfRule type="expression" priority="1917" aboveAverage="0" equalAverage="0" bottom="0" percent="0" rank="0" text="" dxfId="1927">
      <formula>$F544:I2286="pp"</formula>
    </cfRule>
  </conditionalFormatting>
  <conditionalFormatting sqref="O861">
    <cfRule type="expression" priority="1918" aboveAverage="0" equalAverage="0" bottom="0" percent="0" rank="0" text="" dxfId="1928">
      <formula>$F861:S2295="pp"</formula>
    </cfRule>
  </conditionalFormatting>
  <conditionalFormatting sqref="C876:D876">
    <cfRule type="expression" priority="1919" aboveAverage="0" equalAverage="0" bottom="0" percent="0" rank="0" text="" dxfId="1929">
      <formula>$F876:H2332="pp"</formula>
    </cfRule>
  </conditionalFormatting>
  <conditionalFormatting sqref="O625 G615:I616">
    <cfRule type="expression" priority="1920" aboveAverage="0" equalAverage="0" bottom="0" percent="0" rank="0" text="" dxfId="1930">
      <formula>$F615:K2277="pp"</formula>
    </cfRule>
  </conditionalFormatting>
  <conditionalFormatting sqref="E777">
    <cfRule type="expression" priority="1921" aboveAverage="0" equalAverage="0" bottom="0" percent="0" rank="0" text="" dxfId="1931">
      <formula>$F777:I2290="pp"</formula>
    </cfRule>
  </conditionalFormatting>
  <conditionalFormatting sqref="B1266 A1287:A1289">
    <cfRule type="expression" priority="1922" aboveAverage="0" equalAverage="0" bottom="0" percent="0" rank="0" text="" dxfId="1932">
      <formula>$F1266:F2301="pp"</formula>
    </cfRule>
  </conditionalFormatting>
  <conditionalFormatting sqref="G1270:I1270 G1277:I1279 E1288:E1290">
    <cfRule type="expression" priority="1923" aboveAverage="0" equalAverage="0" bottom="0" percent="0" rank="0" text="" dxfId="1933">
      <formula>$F1270:I2283="pp"</formula>
    </cfRule>
  </conditionalFormatting>
  <conditionalFormatting sqref="O1474 F1499:F1500 O1469:O1471 E1461:E1465">
    <cfRule type="expression" priority="1924" aboveAverage="0" equalAverage="0" bottom="0" percent="0" rank="0" text="" dxfId="1934">
      <formula>$F1461:I2306="pp"</formula>
    </cfRule>
  </conditionalFormatting>
  <conditionalFormatting sqref="A753 B722:B724 L722:L724 J722:J724">
    <cfRule type="expression" priority="1925" aboveAverage="0" equalAverage="0" bottom="0" percent="0" rank="0" text="" dxfId="1935">
      <formula>$F722:F2274="pp"</formula>
    </cfRule>
  </conditionalFormatting>
  <conditionalFormatting sqref="C786:D786 M771:N776 K771:K776">
    <cfRule type="expression" priority="1926" aboveAverage="0" equalAverage="0" bottom="0" percent="0" rank="0" text="" dxfId="1936">
      <formula>$F771:H2312="pp"</formula>
    </cfRule>
  </conditionalFormatting>
  <conditionalFormatting sqref="A1270 C1291:D1292 A1277:A1279 B1238:B1248 L1238:L1248 J1238:J1248">
    <cfRule type="expression" priority="1927" aboveAverage="0" equalAverage="0" bottom="0" percent="0" rank="0" text="" dxfId="1937">
      <formula>$F1238:F2284="pp"</formula>
    </cfRule>
  </conditionalFormatting>
  <conditionalFormatting sqref="F1830">
    <cfRule type="expression" priority="1928" aboveAverage="0" equalAverage="0" bottom="0" percent="0" rank="0" text="" dxfId="1938">
      <formula>$F1830:J2400="pp"</formula>
    </cfRule>
  </conditionalFormatting>
  <conditionalFormatting sqref="A1835 B1791:B1794 J1791:J1794 L1791:L1794">
    <cfRule type="expression" priority="1929" aboveAverage="0" equalAverage="0" bottom="0" percent="0" rank="0" text="" dxfId="1939">
      <formula>$F1791:F2301="pp"</formula>
    </cfRule>
  </conditionalFormatting>
  <conditionalFormatting sqref="G864:I864 E877:E881">
    <cfRule type="expression" priority="1930" aboveAverage="0" equalAverage="0" bottom="0" percent="0" rank="0" text="" dxfId="1940">
      <formula>$F864:I2285="pp"</formula>
    </cfRule>
  </conditionalFormatting>
  <conditionalFormatting sqref="A1723">
    <cfRule type="expression" priority="1931" aboveAverage="0" equalAverage="0" bottom="0" percent="0" rank="0" text="" dxfId="1941">
      <formula>$F1723:F2319="pp"</formula>
    </cfRule>
  </conditionalFormatting>
  <conditionalFormatting sqref="F1836">
    <cfRule type="expression" priority="1932" aboveAverage="0" equalAverage="0" bottom="0" percent="0" rank="0" text="" dxfId="1942">
      <formula>$F1836:J2396="pp"</formula>
    </cfRule>
  </conditionalFormatting>
  <conditionalFormatting sqref="J912">
    <cfRule type="expression" priority="1933" aboveAverage="0" equalAverage="0" bottom="0" percent="0" rank="0" text="" dxfId="1943">
      <formula>$F912:O2274="pp"</formula>
    </cfRule>
  </conditionalFormatting>
  <conditionalFormatting sqref="J1677">
    <cfRule type="expression" priority="1934" aboveAverage="0" equalAverage="0" bottom="0" percent="0" rank="0" text="" dxfId="1944">
      <formula>$F1677:O2302="pp"</formula>
    </cfRule>
  </conditionalFormatting>
  <conditionalFormatting sqref="K1723">
    <cfRule type="expression" priority="1935" aboveAverage="0" equalAverage="0" bottom="0" percent="0" rank="0" text="" dxfId="1945">
      <formula>$F1723:P2338="pp"</formula>
    </cfRule>
  </conditionalFormatting>
  <conditionalFormatting sqref="K1474">
    <cfRule type="expression" priority="1936" aboveAverage="0" equalAverage="0" bottom="0" percent="0" rank="0" text="" dxfId="1946">
      <formula>$F1474:P2341="pp"</formula>
    </cfRule>
  </conditionalFormatting>
  <conditionalFormatting sqref="C1227:D1227">
    <cfRule type="expression" priority="1937" aboveAverage="0" equalAverage="0" bottom="0" percent="0" rank="0" text="" dxfId="1947">
      <formula>$F1227:H2330="pp"</formula>
    </cfRule>
  </conditionalFormatting>
  <conditionalFormatting sqref="G1227:I1227 O1264:O1265">
    <cfRule type="expression" priority="1938" aboveAverage="0" equalAverage="0" bottom="0" percent="0" rank="0" text="" dxfId="1948">
      <formula>$F1227:K2280="pp"</formula>
    </cfRule>
  </conditionalFormatting>
  <conditionalFormatting sqref="E515 F834:F835 F865:F866">
    <cfRule type="expression" priority="1939" aboveAverage="0" equalAverage="0" bottom="0" percent="0" rank="0" text="" dxfId="1949">
      <formula>$F515:I2284="pp"</formula>
    </cfRule>
  </conditionalFormatting>
  <conditionalFormatting sqref="C783:D783 C767:D770">
    <cfRule type="expression" priority="1940" aboveAverage="0" equalAverage="0" bottom="0" percent="0" rank="0" text="" dxfId="1950">
      <formula>$F767:H2306="pp"</formula>
    </cfRule>
  </conditionalFormatting>
  <conditionalFormatting sqref="J786">
    <cfRule type="expression" priority="1941" aboveAverage="0" equalAverage="0" bottom="0" percent="0" rank="0" text="" dxfId="1951">
      <formula>$F786:O2277="pp"</formula>
    </cfRule>
  </conditionalFormatting>
  <conditionalFormatting sqref="K1270 K1277:K1279 M1277:N1279">
    <cfRule type="expression" priority="1942" aboveAverage="0" equalAverage="0" bottom="0" percent="0" rank="0" text="" dxfId="1952">
      <formula>$F1270:P2320="pp"</formula>
    </cfRule>
  </conditionalFormatting>
  <conditionalFormatting sqref="Q1270 Q1277:Q1279">
    <cfRule type="expression" priority="1943" aboveAverage="0" equalAverage="0" bottom="0" percent="0" rank="0" text="" dxfId="1953">
      <formula>$F1270:T2311="pp"</formula>
    </cfRule>
  </conditionalFormatting>
  <conditionalFormatting sqref="A1474 A1469:A1471">
    <cfRule type="expression" priority="1944" aboveAverage="0" equalAverage="0" bottom="0" percent="0" rank="0" text="" dxfId="1954">
      <formula>$F1469:F2317="pp"</formula>
    </cfRule>
  </conditionalFormatting>
  <conditionalFormatting sqref="C1595:D1595">
    <cfRule type="expression" priority="1945" aboveAverage="0" equalAverage="0" bottom="0" percent="0" rank="0" text="" dxfId="1955">
      <formula>$F1595:H2367="pp"</formula>
    </cfRule>
  </conditionalFormatting>
  <conditionalFormatting sqref="A1691 C1694:D1695 A1678:A1679 C1697:D1699">
    <cfRule type="expression" priority="1946" aboveAverage="0" equalAverage="0" bottom="0" percent="0" rank="0" text="" dxfId="1956">
      <formula>$F1678:F2322="pp"</formula>
    </cfRule>
  </conditionalFormatting>
  <conditionalFormatting sqref="B840 C893:D896">
    <cfRule type="expression" priority="1947" aboveAverage="0" equalAverage="0" bottom="0" percent="0" rank="0" text="" dxfId="1957">
      <formula>$F840:G2288="pp"</formula>
    </cfRule>
  </conditionalFormatting>
  <conditionalFormatting sqref="B1436 C1469:D1471 K1472:K1473 M1472:N1473 K1476:K1479 M1476:N1479">
    <cfRule type="expression" priority="1948" aboveAverage="0" equalAverage="0" bottom="0" percent="0" rank="0" text="" dxfId="1958">
      <formula>$F1436:G2300="pp"</formula>
    </cfRule>
  </conditionalFormatting>
  <conditionalFormatting sqref="B1722 B1724:B1725 L1722 J1724:J1725 L1724:L1725">
    <cfRule type="expression" priority="1949" aboveAverage="0" equalAverage="0" bottom="0" percent="0" rank="0" text="" dxfId="1959">
      <formula>$F1722:G2301="pp"</formula>
    </cfRule>
  </conditionalFormatting>
  <conditionalFormatting sqref="C1836:D1836 B1786:B1788 L1786:L1788 J1786:J1788">
    <cfRule type="expression" priority="1950" aboveAverage="0" equalAverage="0" bottom="0" percent="0" rank="0" text="" dxfId="1960">
      <formula>$F1786:G2305="pp"</formula>
    </cfRule>
  </conditionalFormatting>
  <conditionalFormatting sqref="F1832">
    <cfRule type="expression" priority="1951" aboveAverage="0" equalAverage="0" bottom="0" percent="0" rank="0" text="" dxfId="1961">
      <formula>$F1832:J2402="pp"</formula>
    </cfRule>
  </conditionalFormatting>
  <conditionalFormatting sqref="C1835:D1835">
    <cfRule type="expression" priority="1952" aboveAverage="0" equalAverage="0" bottom="0" percent="0" rank="0" text="" dxfId="1962">
      <formula>$F1835:H2361="pp"</formula>
    </cfRule>
  </conditionalFormatting>
  <conditionalFormatting sqref="C334:D334">
    <cfRule type="expression" priority="1953" aboveAverage="0" equalAverage="0" bottom="0" percent="0" rank="0" text="" dxfId="1963">
      <formula>$F334:H2326="pp"</formula>
    </cfRule>
  </conditionalFormatting>
  <conditionalFormatting sqref="C1696:D1696 M1701:N1702">
    <cfRule type="expression" priority="1954" aboveAverage="0" equalAverage="0" bottom="0" percent="0" rank="0" text="" dxfId="1964">
      <formula>$F1696:H2341="pp"</formula>
    </cfRule>
  </conditionalFormatting>
  <conditionalFormatting sqref="J553">
    <cfRule type="expression" priority="1955" aboveAverage="0" equalAverage="0" bottom="0" percent="0" rank="0" text="" dxfId="1965">
      <formula>$F553:O2282="pp"</formula>
    </cfRule>
  </conditionalFormatting>
  <conditionalFormatting sqref="Q1474">
    <cfRule type="expression" priority="1956" aboveAverage="0" equalAverage="0" bottom="0" percent="0" rank="0" text="" dxfId="1966">
      <formula>$F1474:T2332="pp"</formula>
    </cfRule>
  </conditionalFormatting>
  <conditionalFormatting sqref="C911:D911 C913:D915">
    <cfRule type="expression" priority="1957" aboveAverage="0" equalAverage="0" bottom="0" percent="0" rank="0" text="" dxfId="1967">
      <formula>$F911:H2324="pp"</formula>
    </cfRule>
  </conditionalFormatting>
  <conditionalFormatting sqref="K786">
    <cfRule type="expression" priority="1958" aboveAverage="0" equalAverage="0" bottom="0" percent="0" rank="0" text="" dxfId="1968">
      <formula>$F786:P2314="pp"</formula>
    </cfRule>
  </conditionalFormatting>
  <conditionalFormatting sqref="J782">
    <cfRule type="expression" priority="1959" aboveAverage="0" equalAverage="0" bottom="0" percent="0" rank="0" text="" dxfId="1969">
      <formula>$F782:O2270="pp"</formula>
    </cfRule>
  </conditionalFormatting>
  <conditionalFormatting sqref="C725:D725 A706:A712">
    <cfRule type="expression" priority="1960" aboveAverage="0" equalAverage="0" bottom="0" percent="0" rank="0" text="" dxfId="1970">
      <formula>$F706:F2293="pp"</formula>
    </cfRule>
  </conditionalFormatting>
  <conditionalFormatting sqref="E813 O815:O818">
    <cfRule type="expression" priority="1961" aboveAverage="0" equalAverage="0" bottom="0" percent="0" rank="0" text="" dxfId="1971">
      <formula>$F813:I2291="pp"</formula>
    </cfRule>
  </conditionalFormatting>
  <conditionalFormatting sqref="Q553">
    <cfRule type="expression" priority="1962" aboveAverage="0" equalAverage="0" bottom="0" percent="0" rank="0" text="" dxfId="1972">
      <formula>$F553:T2310="pp"</formula>
    </cfRule>
  </conditionalFormatting>
  <conditionalFormatting sqref="E553 O554:O558">
    <cfRule type="expression" priority="1963" aboveAverage="0" equalAverage="0" bottom="0" percent="0" rank="0" text="" dxfId="1973">
      <formula>$F553:I2292="pp"</formula>
    </cfRule>
  </conditionalFormatting>
  <conditionalFormatting sqref="E783 G767:I770 O784:O785">
    <cfRule type="expression" priority="1964" aboveAverage="0" equalAverage="0" bottom="0" percent="0" rank="0" text="" dxfId="1974">
      <formula>$F767:I2272="pp"</formula>
    </cfRule>
  </conditionalFormatting>
  <conditionalFormatting sqref="A786 M787:N801 K787:K801">
    <cfRule type="expression" priority="1965" aboveAverage="0" equalAverage="0" bottom="0" percent="0" rank="0" text="" dxfId="1975">
      <formula>$F786:F2310="pp"</formula>
    </cfRule>
  </conditionalFormatting>
  <conditionalFormatting sqref="O777 P1539:P1540 P1545:P1551">
    <cfRule type="expression" priority="1966" aboveAverage="0" equalAverage="0" bottom="0" percent="0" rank="0" text="" dxfId="1976">
      <formula>$F777:S2295="pp"</formula>
    </cfRule>
  </conditionalFormatting>
  <conditionalFormatting sqref="O786 E784:E785">
    <cfRule type="expression" priority="1967" aboveAverage="0" equalAverage="0" bottom="0" percent="0" rank="0" text="" dxfId="1977">
      <formula>$F784:I2290="pp"</formula>
    </cfRule>
  </conditionalFormatting>
  <conditionalFormatting sqref="E594 F916:F918 F906:F912">
    <cfRule type="expression" priority="1968" aboveAverage="0" equalAverage="0" bottom="0" percent="0" rank="0" text="" dxfId="1978">
      <formula>$F594:I2294="pp"</formula>
    </cfRule>
  </conditionalFormatting>
  <conditionalFormatting sqref="L783">
    <cfRule type="expression" priority="1969" aboveAverage="0" equalAverage="0" bottom="0" percent="0" rank="0" text="" dxfId="1979">
      <formula>$F783:Q2272="pp"</formula>
    </cfRule>
  </conditionalFormatting>
  <conditionalFormatting sqref="J864">
    <cfRule type="expression" priority="1970" aboveAverage="0" equalAverage="0" bottom="0" percent="0" rank="0" text="" dxfId="1980">
      <formula>$F864:O2285="pp"</formula>
    </cfRule>
  </conditionalFormatting>
  <conditionalFormatting sqref="M786:N786">
    <cfRule type="expression" priority="1971" aboveAverage="0" equalAverage="0" bottom="0" percent="0" rank="0" text="" dxfId="1981">
      <formula>$F786:R2314="pp"</formula>
    </cfRule>
  </conditionalFormatting>
  <conditionalFormatting sqref="C904:D904">
    <cfRule type="expression" priority="1972" aboveAverage="0" equalAverage="0" bottom="0" percent="0" rank="0" text="" dxfId="1982">
      <formula>$F904:H2341="pp"</formula>
    </cfRule>
  </conditionalFormatting>
  <conditionalFormatting sqref="A906 M907:N908 K913:K915 M913:N915 K907:K908">
    <cfRule type="expression" priority="1973" aboveAverage="0" equalAverage="0" bottom="0" percent="0" rank="0" text="" dxfId="1983">
      <formula>$F906:F2317="pp"</formula>
    </cfRule>
  </conditionalFormatting>
  <conditionalFormatting sqref="E906">
    <cfRule type="expression" priority="1974" aboveAverage="0" equalAverage="0" bottom="0" percent="0" rank="0" text="" dxfId="1984">
      <formula>$F906:I2300="pp"</formula>
    </cfRule>
  </conditionalFormatting>
  <conditionalFormatting sqref="B595">
    <cfRule type="expression" priority="1975" aboveAverage="0" equalAverage="0" bottom="0" percent="0" rank="0" text="" dxfId="1985">
      <formula>$F595:G2284="pp"</formula>
    </cfRule>
  </conditionalFormatting>
  <conditionalFormatting sqref="C875:D875">
    <cfRule type="expression" priority="1976" aboveAverage="0" equalAverage="0" bottom="0" percent="0" rank="0" text="" dxfId="1986">
      <formula>$F875:H2332="pp"</formula>
    </cfRule>
  </conditionalFormatting>
  <conditionalFormatting sqref="C1026:D1026 C1020:D1024">
    <cfRule type="expression" priority="1977" aboveAverage="0" equalAverage="0" bottom="0" percent="0" rank="0" text="" dxfId="1987">
      <formula>$F1020:H2328="pp"</formula>
    </cfRule>
  </conditionalFormatting>
  <conditionalFormatting sqref="O1026">
    <cfRule type="expression" priority="1978" aboveAverage="0" equalAverage="0" bottom="0" percent="0" rank="0" text="" dxfId="1988">
      <formula>$F1026:S2299="pp"</formula>
    </cfRule>
  </conditionalFormatting>
  <conditionalFormatting sqref="J1026">
    <cfRule type="expression" priority="1979" aboveAverage="0" equalAverage="0" bottom="0" percent="0" rank="0" text="" dxfId="1989">
      <formula>$F1026:O2284="pp"</formula>
    </cfRule>
  </conditionalFormatting>
  <conditionalFormatting sqref="K1026 B988:B989 K1020:K1024 M1020:N1024 J988:J989 L988:L989">
    <cfRule type="expression" priority="1980" aboveAverage="0" equalAverage="0" bottom="0" percent="0" rank="0" text="" dxfId="1990">
      <formula>$F988:G2283="pp"</formula>
    </cfRule>
  </conditionalFormatting>
  <conditionalFormatting sqref="Q1026 Q1020:Q1024">
    <cfRule type="expression" priority="1981" aboveAverage="0" equalAverage="0" bottom="0" percent="0" rank="0" text="" dxfId="1991">
      <formula>$F1020:T2306="pp"</formula>
    </cfRule>
  </conditionalFormatting>
  <conditionalFormatting sqref="E1132 E1135:E1136">
    <cfRule type="expression" priority="1982" aboveAverage="0" equalAverage="0" bottom="0" percent="0" rank="0" text="" dxfId="1992">
      <formula>$F1132:I2292="pp"</formula>
    </cfRule>
  </conditionalFormatting>
  <conditionalFormatting sqref="A1227">
    <cfRule type="expression" priority="1983" aboveAverage="0" equalAverage="0" bottom="0" percent="0" rank="0" text="" dxfId="1993">
      <formula>$F1227:F2313="pp"</formula>
    </cfRule>
  </conditionalFormatting>
  <conditionalFormatting sqref="J1227">
    <cfRule type="expression" priority="1984" aboveAverage="0" equalAverage="0" bottom="0" percent="0" rank="0" text="" dxfId="1994">
      <formula>$F1227:O2280="pp"</formula>
    </cfRule>
  </conditionalFormatting>
  <conditionalFormatting sqref="K1227 M1227:N1227">
    <cfRule type="expression" priority="1985" aboveAverage="0" equalAverage="0" bottom="0" percent="0" rank="0" text="" dxfId="1995">
      <formula>$F1227:P2317="pp"</formula>
    </cfRule>
  </conditionalFormatting>
  <conditionalFormatting sqref="Q1227">
    <cfRule type="expression" priority="1986" aboveAverage="0" equalAverage="0" bottom="0" percent="0" rank="0" text="" dxfId="1996">
      <formula>$F1227:T2308="pp"</formula>
    </cfRule>
  </conditionalFormatting>
  <conditionalFormatting sqref="O1266">
    <cfRule type="expression" priority="1987" aboveAverage="0" equalAverage="0" bottom="0" percent="0" rank="0" text="" dxfId="1997">
      <formula>$F1266:S2316="pp"</formula>
    </cfRule>
  </conditionalFormatting>
  <conditionalFormatting sqref="O1270 O1277:O1279">
    <cfRule type="expression" priority="1988" aboveAverage="0" equalAverage="0" bottom="0" percent="0" rank="0" text="" dxfId="1998">
      <formula>$F1270:S2298="pp"</formula>
    </cfRule>
  </conditionalFormatting>
  <conditionalFormatting sqref="G1231:I1231 G1233:I1237">
    <cfRule type="expression" priority="1989" aboveAverage="0" equalAverage="0" bottom="0" percent="0" rank="0" text="" dxfId="1999">
      <formula>$F1231:K2282="pp"</formula>
    </cfRule>
  </conditionalFormatting>
  <conditionalFormatting sqref="E1276">
    <cfRule type="expression" priority="1990" aboveAverage="0" equalAverage="0" bottom="0" percent="0" rank="0" text="" dxfId="2000">
      <formula>$F1276:I2307="pp"</formula>
    </cfRule>
  </conditionalFormatting>
  <conditionalFormatting sqref="L1270">
    <cfRule type="expression" priority="1991" aboveAverage="0" equalAverage="0" bottom="0" percent="0" rank="0" text="" dxfId="2001">
      <formula>$F1270:Q2283="pp"</formula>
    </cfRule>
  </conditionalFormatting>
  <conditionalFormatting sqref="A1543 B1514:B1516 M1565:N1568 J1514:J1516 L1514:L1516 K1565:K1568">
    <cfRule type="expression" priority="1992" aboveAverage="0" equalAverage="0" bottom="0" percent="0" rank="0" text="" dxfId="2002">
      <formula>$F1514:F2304="pp"</formula>
    </cfRule>
  </conditionalFormatting>
  <conditionalFormatting sqref="G1416:I1416">
    <cfRule type="expression" priority="1993" aboveAverage="0" equalAverage="0" bottom="0" percent="0" rank="0" text="" dxfId="2003">
      <formula>$F1416:K2291="pp"</formula>
    </cfRule>
  </conditionalFormatting>
  <conditionalFormatting sqref="A1615">
    <cfRule type="expression" priority="1994" aboveAverage="0" equalAverage="0" bottom="0" percent="0" rank="0" text="" dxfId="2004">
      <formula>$F1615:F2318="pp"</formula>
    </cfRule>
  </conditionalFormatting>
  <conditionalFormatting sqref="C1615:D1615">
    <cfRule type="expression" priority="1995" aboveAverage="0" equalAverage="0" bottom="0" percent="0" rank="0" text="" dxfId="2005">
      <formula>$F1615:H2334="pp"</formula>
    </cfRule>
  </conditionalFormatting>
  <conditionalFormatting sqref="F1615 E1591:E1598">
    <cfRule type="expression" priority="1996" aboveAverage="0" equalAverage="0" bottom="0" percent="0" rank="0" text="" dxfId="2006">
      <formula>$F1591:I2315="pp"</formula>
    </cfRule>
  </conditionalFormatting>
  <conditionalFormatting sqref="J1615">
    <cfRule type="expression" priority="1997" aboveAverage="0" equalAverage="0" bottom="0" percent="0" rank="0" text="" dxfId="2007">
      <formula>$F1615:O2300="pp"</formula>
    </cfRule>
  </conditionalFormatting>
  <conditionalFormatting sqref="K1615">
    <cfRule type="expression" priority="1998" aboveAverage="0" equalAverage="0" bottom="0" percent="0" rank="0" text="" dxfId="2008">
      <formula>$F1615:P2337="pp"</formula>
    </cfRule>
  </conditionalFormatting>
  <conditionalFormatting sqref="Q1615">
    <cfRule type="expression" priority="1999" aboveAverage="0" equalAverage="0" bottom="0" percent="0" rank="0" text="" dxfId="2009">
      <formula>$F1615:T2328="pp"</formula>
    </cfRule>
  </conditionalFormatting>
  <conditionalFormatting sqref="B949">
    <cfRule type="expression" priority="2000" aboveAverage="0" equalAverage="0" bottom="0" percent="0" rank="0" text="" dxfId="2010">
      <formula>$F949:G2282="pp"</formula>
    </cfRule>
  </conditionalFormatting>
  <conditionalFormatting sqref="G783:I783">
    <cfRule type="expression" priority="2001" aboveAverage="0" equalAverage="0" bottom="0" percent="0" rank="0" text="" dxfId="2011">
      <formula>$F783:K2272="pp"</formula>
    </cfRule>
  </conditionalFormatting>
  <conditionalFormatting sqref="E1681">
    <cfRule type="expression" priority="2002" aboveAverage="0" equalAverage="0" bottom="0" percent="0" rank="0" text="" dxfId="2012">
      <formula>$F1681:I2310="pp"</formula>
    </cfRule>
  </conditionalFormatting>
  <conditionalFormatting sqref="L1677">
    <cfRule type="expression" priority="2003" aboveAverage="0" equalAverage="0" bottom="0" percent="0" rank="0" text="" dxfId="2013">
      <formula>$F1677:Q2302="pp"</formula>
    </cfRule>
  </conditionalFormatting>
  <conditionalFormatting sqref="P1680 E927:E931">
    <cfRule type="expression" priority="2004" aboveAverage="0" equalAverage="0" bottom="0" percent="0" rank="0" text="" dxfId="2014">
      <formula>$F927:I2293="pp"</formula>
    </cfRule>
  </conditionalFormatting>
  <conditionalFormatting sqref="Q1681">
    <cfRule type="expression" priority="2005" aboveAverage="0" equalAverage="0" bottom="0" percent="0" rank="0" text="" dxfId="2015">
      <formula>$F1681:T2328="pp"</formula>
    </cfRule>
  </conditionalFormatting>
  <conditionalFormatting sqref="C1582:D1582">
    <cfRule type="expression" priority="2006" aboveAverage="0" equalAverage="0" bottom="0" percent="0" rank="0" text="" dxfId="2016">
      <formula>$F1582:H2355="pp"</formula>
    </cfRule>
  </conditionalFormatting>
  <conditionalFormatting sqref="J1681">
    <cfRule type="expression" priority="2007" aboveAverage="0" equalAverage="0" bottom="0" percent="0" rank="0" text="" dxfId="2017">
      <formula>$F1681:O2300="pp"</formula>
    </cfRule>
  </conditionalFormatting>
  <conditionalFormatting sqref="K1681 C1689:D1690">
    <cfRule type="expression" priority="2008" aboveAverage="0" equalAverage="0" bottom="0" percent="0" rank="0" text="" dxfId="2018">
      <formula>$F1681:H2337="pp"</formula>
    </cfRule>
  </conditionalFormatting>
  <conditionalFormatting sqref="E725 O726:O727">
    <cfRule type="expression" priority="2009" aboveAverage="0" equalAverage="0" bottom="0" percent="0" rank="0" text="" dxfId="2019">
      <formula>$F725:I2288="pp"</formula>
    </cfRule>
  </conditionalFormatting>
  <conditionalFormatting sqref="B740 B737:B738 K778:K782 M778:N782 J737:J738 L737:L738">
    <cfRule type="expression" priority="2010" aboveAverage="0" equalAverage="0" bottom="0" percent="0" rank="0" text="" dxfId="2020">
      <formula>$F737:G2268="pp"</formula>
    </cfRule>
  </conditionalFormatting>
  <conditionalFormatting sqref="B1134">
    <cfRule type="expression" priority="2011" aboveAverage="0" equalAverage="0" bottom="0" percent="0" rank="0" text="" dxfId="2021">
      <formula>$F1134:G2277="pp"</formula>
    </cfRule>
  </conditionalFormatting>
  <conditionalFormatting sqref="A740 A737:A738 M759:N766 K759:K766">
    <cfRule type="expression" priority="2012" aboveAverage="0" equalAverage="0" bottom="0" percent="0" rank="0" text="" dxfId="2022">
      <formula>$F737:F2286="pp"</formula>
    </cfRule>
  </conditionalFormatting>
  <conditionalFormatting sqref="G739:I739 F1099:F1118">
    <cfRule type="expression" priority="2013" aboveAverage="0" equalAverage="0" bottom="0" percent="0" rank="0" text="" dxfId="2023">
      <formula>$F739:J2269="pp"</formula>
    </cfRule>
  </conditionalFormatting>
  <conditionalFormatting sqref="M1231:N1231">
    <cfRule type="expression" priority="2014" aboveAverage="0" equalAverage="0" bottom="0" percent="0" rank="0" text="" dxfId="2024">
      <formula>$F1231:R2319="pp"</formula>
    </cfRule>
  </conditionalFormatting>
  <conditionalFormatting sqref="B1025">
    <cfRule type="expression" priority="2015" aboveAverage="0" equalAverage="0" bottom="0" percent="0" rank="0" text="" dxfId="2025">
      <formula>$F1025:G2282="pp"</formula>
    </cfRule>
  </conditionalFormatting>
  <conditionalFormatting sqref="A739 B726:B727 L726:L727 J726:J727">
    <cfRule type="expression" priority="2016" aboveAverage="0" equalAverage="0" bottom="0" percent="0" rank="0" text="" dxfId="2026">
      <formula>$F726:F2274="pp"</formula>
    </cfRule>
  </conditionalFormatting>
  <conditionalFormatting sqref="B905">
    <cfRule type="expression" priority="2017" aboveAverage="0" equalAverage="0" bottom="0" percent="0" rank="0" text="" dxfId="2027">
      <formula>$F905:G2285="pp"</formula>
    </cfRule>
  </conditionalFormatting>
  <conditionalFormatting sqref="C740:D740 A728:A730 C737:D738 B708:B712 L708:L712 J708:J712">
    <cfRule type="expression" priority="2018" aboveAverage="0" equalAverage="0" bottom="0" percent="0" rank="0" text="" dxfId="2028">
      <formula>$F708:F2273="pp"</formula>
    </cfRule>
  </conditionalFormatting>
  <conditionalFormatting sqref="B855">
    <cfRule type="expression" priority="2019" aboveAverage="0" equalAverage="0" bottom="0" percent="0" rank="0" text="" dxfId="2029">
      <formula>$F855:G2296="pp"</formula>
    </cfRule>
  </conditionalFormatting>
  <conditionalFormatting sqref="B904">
    <cfRule type="expression" priority="2020" aboveAverage="0" equalAverage="0" bottom="0" percent="0" rank="0" text="" dxfId="2030">
      <formula>$F904:G2285="pp"</formula>
    </cfRule>
  </conditionalFormatting>
  <conditionalFormatting sqref="G1026:I1026 E1049:E1051 G1020:I1024">
    <cfRule type="expression" priority="2021" aboveAverage="0" equalAverage="0" bottom="0" percent="0" rank="0" text="" dxfId="2031">
      <formula>$F1020:I2278="pp"</formula>
    </cfRule>
  </conditionalFormatting>
  <conditionalFormatting sqref="C1474:D1474">
    <cfRule type="expression" priority="2022" aboveAverage="0" equalAverage="0" bottom="0" percent="0" rank="0" text="" dxfId="2032">
      <formula>$F1474:H2338="pp"</formula>
    </cfRule>
  </conditionalFormatting>
  <conditionalFormatting sqref="O1468">
    <cfRule type="expression" priority="2023" aboveAverage="0" equalAverage="0" bottom="0" percent="0" rank="0" text="" dxfId="2033">
      <formula>$F1468:S2316="pp"</formula>
    </cfRule>
  </conditionalFormatting>
  <conditionalFormatting sqref="G1474:I1474">
    <cfRule type="expression" priority="2024" aboveAverage="0" equalAverage="0" bottom="0" percent="0" rank="0" text="" dxfId="2034">
      <formula>$F1474:K2304="pp"</formula>
    </cfRule>
  </conditionalFormatting>
  <conditionalFormatting sqref="F860">
    <cfRule type="expression" priority="2025" aboveAverage="0" equalAverage="0" bottom="0" percent="0" rank="0" text="" dxfId="2035">
      <formula>$F860:J2622="pp"</formula>
    </cfRule>
  </conditionalFormatting>
  <conditionalFormatting sqref="O740 G728:I730">
    <cfRule type="expression" priority="2026" aboveAverage="0" equalAverage="0" bottom="0" percent="0" rank="0" text="" dxfId="2036">
      <formula>$F728:K2275="pp"</formula>
    </cfRule>
  </conditionalFormatting>
  <conditionalFormatting sqref="B1723 L1723">
    <cfRule type="expression" priority="2027" aboveAverage="0" equalAverage="0" bottom="0" percent="0" rank="0" text="" dxfId="2037">
      <formula>$F1723:G2301="pp"</formula>
    </cfRule>
  </conditionalFormatting>
  <conditionalFormatting sqref="E1723">
    <cfRule type="expression" priority="2028" aboveAverage="0" equalAverage="0" bottom="0" percent="0" rank="0" text="" dxfId="2038">
      <formula>$F1723:I2311="pp"</formula>
    </cfRule>
  </conditionalFormatting>
  <conditionalFormatting sqref="F1723">
    <cfRule type="expression" priority="2029" aboveAverage="0" equalAverage="0" bottom="0" percent="0" rank="0" text="" dxfId="2039">
      <formula>$F1723:J2376="pp"</formula>
    </cfRule>
  </conditionalFormatting>
  <conditionalFormatting sqref="O1723">
    <cfRule type="expression" priority="2030" aboveAverage="0" equalAverage="0" bottom="0" percent="0" rank="0" text="" dxfId="2040">
      <formula>$F1723:S2316="pp"</formula>
    </cfRule>
  </conditionalFormatting>
  <conditionalFormatting sqref="M1474:N1474">
    <cfRule type="expression" priority="2031" aboveAverage="0" equalAverage="0" bottom="0" percent="0" rank="0" text="" dxfId="2041">
      <formula>$F1474:R2341="pp"</formula>
    </cfRule>
  </conditionalFormatting>
  <conditionalFormatting sqref="J1680">
    <cfRule type="expression" priority="2032" aboveAverage="0" equalAverage="0" bottom="0" percent="0" rank="0" text="" dxfId="2042">
      <formula>$F1680:O2301="pp"</formula>
    </cfRule>
  </conditionalFormatting>
  <conditionalFormatting sqref="J1723">
    <cfRule type="expression" priority="2033" aboveAverage="0" equalAverage="0" bottom="0" percent="0" rank="0" text="" dxfId="2043">
      <formula>$F1723:O2301="pp"</formula>
    </cfRule>
  </conditionalFormatting>
  <conditionalFormatting sqref="J783">
    <cfRule type="expression" priority="2034" aboveAverage="0" equalAverage="0" bottom="0" percent="0" rank="0" text="" dxfId="2044">
      <formula>$F783:O2272="pp"</formula>
    </cfRule>
  </conditionalFormatting>
  <conditionalFormatting sqref="J1270">
    <cfRule type="expression" priority="2035" aboveAverage="0" equalAverage="0" bottom="0" percent="0" rank="0" text="" dxfId="2045">
      <formula>$F1270:O2283="pp"</formula>
    </cfRule>
  </conditionalFormatting>
  <conditionalFormatting sqref="B553 K583:K588 M583:N588">
    <cfRule type="expression" priority="2036" aboveAverage="0" equalAverage="0" bottom="0" percent="0" rank="0" text="" dxfId="2046">
      <formula>$F553:G2282="pp"</formula>
    </cfRule>
  </conditionalFormatting>
  <conditionalFormatting sqref="Q1723">
    <cfRule type="expression" priority="2037" aboveAverage="0" equalAverage="0" bottom="0" percent="0" rank="0" text="" dxfId="2047">
      <formula>$F1723:T2329="pp"</formula>
    </cfRule>
  </conditionalFormatting>
  <conditionalFormatting sqref="A1769 M1789:N1790 K1789:K1790">
    <cfRule type="expression" priority="2038" aboveAverage="0" equalAverage="0" bottom="0" percent="0" rank="0" text="" dxfId="2048">
      <formula>$F1769:F2323="pp"</formula>
    </cfRule>
  </conditionalFormatting>
  <conditionalFormatting sqref="F1829">
    <cfRule type="expression" priority="2039" aboveAverage="0" equalAverage="0" bottom="0" percent="0" rank="0" text="" dxfId="2049">
      <formula>$F1829:J2393="pp"</formula>
    </cfRule>
  </conditionalFormatting>
  <conditionalFormatting sqref="F553 F832:F833 G503:I505">
    <cfRule type="expression" priority="2040" aboveAverage="0" equalAverage="0" bottom="0" percent="0" rank="0" text="" dxfId="2050">
      <formula>$F503:J2271="pp"</formula>
    </cfRule>
  </conditionalFormatting>
  <conditionalFormatting sqref="B476 C512:D514 C516:D520">
    <cfRule type="expression" priority="2041" aboveAverage="0" equalAverage="0" bottom="0" percent="0" rank="0" text="" dxfId="2051">
      <formula>$F476:G2271="pp"</formula>
    </cfRule>
  </conditionalFormatting>
  <conditionalFormatting sqref="J442">
    <cfRule type="expression" priority="2042" aboveAverage="0" equalAverage="0" bottom="0" percent="0" rank="0" text="" dxfId="2052">
      <formula>$F442:O2266="pp"</formula>
    </cfRule>
  </conditionalFormatting>
  <conditionalFormatting sqref="J515">
    <cfRule type="expression" priority="2043" aboveAverage="0" equalAverage="0" bottom="0" percent="0" rank="0" text="" dxfId="2053">
      <formula>$F515:O2274="pp"</formula>
    </cfRule>
  </conditionalFormatting>
  <conditionalFormatting sqref="J740">
    <cfRule type="expression" priority="2044" aboveAverage="0" equalAverage="0" bottom="0" percent="0" rank="0" text="" dxfId="2054">
      <formula>$F740:O2271="pp"</formula>
    </cfRule>
  </conditionalFormatting>
  <conditionalFormatting sqref="K740">
    <cfRule type="expression" priority="2045" aboveAverage="0" equalAverage="0" bottom="0" percent="0" rank="0" text="" dxfId="2055">
      <formula>$F740:P2309="pp"</formula>
    </cfRule>
  </conditionalFormatting>
  <conditionalFormatting sqref="E595">
    <cfRule type="expression" priority="2046" aboveAverage="0" equalAverage="0" bottom="0" percent="0" rank="0" text="" dxfId="2056">
      <formula>$F595:I2294="pp"</formula>
    </cfRule>
  </conditionalFormatting>
  <conditionalFormatting sqref="E739 F1074:F1077">
    <cfRule type="expression" priority="2047" aboveAverage="0" equalAverage="0" bottom="0" percent="0" rank="0" text="" dxfId="2057">
      <formula>$F739:I2279="pp"</formula>
    </cfRule>
  </conditionalFormatting>
  <conditionalFormatting sqref="A811 A803:A809">
    <cfRule type="expression" priority="2048" aboveAverage="0" equalAverage="0" bottom="0" percent="0" rank="0" text="" dxfId="2058">
      <formula>$F803:F2310="pp"</formula>
    </cfRule>
  </conditionalFormatting>
  <conditionalFormatting sqref="Q740">
    <cfRule type="expression" priority="2049" aboveAverage="0" equalAverage="0" bottom="0" percent="0" rank="0" text="" dxfId="2059">
      <formula>$F740:T2300="pp"</formula>
    </cfRule>
  </conditionalFormatting>
  <conditionalFormatting sqref="B739 A764:A766">
    <cfRule type="expression" priority="2050" aboveAverage="0" equalAverage="0" bottom="0" percent="0" rank="0" text="" dxfId="2060">
      <formula>$F739:F2269="pp"</formula>
    </cfRule>
  </conditionalFormatting>
  <conditionalFormatting sqref="F740 O534:O537 F725:F727 E527:E532">
    <cfRule type="expression" priority="2051" aboveAverage="0" equalAverage="0" bottom="0" percent="0" rank="0" text="" dxfId="2061">
      <formula>$F527:I2282="pp"</formula>
    </cfRule>
  </conditionalFormatting>
  <conditionalFormatting sqref="C543:D543">
    <cfRule type="expression" priority="2052" aboveAverage="0" equalAverage="0" bottom="0" percent="0" rank="0" text="" dxfId="2062">
      <formula>$F543:H2310="pp"</formula>
    </cfRule>
  </conditionalFormatting>
  <conditionalFormatting sqref="E736">
    <cfRule type="expression" priority="2053" aboveAverage="0" equalAverage="0" bottom="0" percent="0" rank="0" text="" dxfId="2063">
      <formula>$F736:I2281="pp"</formula>
    </cfRule>
  </conditionalFormatting>
  <conditionalFormatting sqref="J739">
    <cfRule type="expression" priority="2054" aboveAverage="0" equalAverage="0" bottom="0" percent="0" rank="0" text="" dxfId="2064">
      <formula>$F739:O2269="pp"</formula>
    </cfRule>
  </conditionalFormatting>
  <conditionalFormatting sqref="A1836 B1810:B1813 L1810:L1813 J1810:J1813">
    <cfRule type="expression" priority="2055" aboveAverage="0" equalAverage="0" bottom="0" percent="0" rank="0" text="" dxfId="2065">
      <formula>$F1810:F2313="pp"</formula>
    </cfRule>
  </conditionalFormatting>
  <conditionalFormatting sqref="C1847:D1847">
    <cfRule type="expression" priority="2056" aboveAverage="0" equalAverage="0" bottom="0" percent="0" rank="0" text="" dxfId="2066">
      <formula>$F1847:H2353="pp"</formula>
    </cfRule>
  </conditionalFormatting>
  <conditionalFormatting sqref="C1584:D1584">
    <cfRule type="expression" priority="2057" aboveAverage="0" equalAverage="0" bottom="0" percent="0" rank="0" text="" dxfId="2067">
      <formula>$F1584:H2357="pp"</formula>
    </cfRule>
  </conditionalFormatting>
  <conditionalFormatting sqref="C1845:D1845 C1851:D1865">
    <cfRule type="expression" priority="2058" aboveAverage="0" equalAverage="0" bottom="0" percent="0" rank="0" text="" dxfId="2068">
      <formula>$F1845:H2351="pp"</formula>
    </cfRule>
  </conditionalFormatting>
  <conditionalFormatting sqref="F1848">
    <cfRule type="expression" priority="2059" aboveAverage="0" equalAverage="0" bottom="0" percent="0" rank="0" text="" dxfId="2069">
      <formula>$F1848:J2402="pp"</formula>
    </cfRule>
  </conditionalFormatting>
  <conditionalFormatting sqref="C1848:D1848">
    <cfRule type="expression" priority="2060" aboveAverage="0" equalAverage="0" bottom="0" percent="0" rank="0" text="" dxfId="2070">
      <formula>$F1848:H2361="pp"</formula>
    </cfRule>
  </conditionalFormatting>
  <conditionalFormatting sqref="F1846 F1837:F1844">
    <cfRule type="expression" priority="2061" aboveAverage="0" equalAverage="0" bottom="0" percent="0" rank="0" text="" dxfId="2071">
      <formula>$F1837:J2391="pp"</formula>
    </cfRule>
  </conditionalFormatting>
  <conditionalFormatting sqref="G912:I912 G916:I918">
    <cfRule type="expression" priority="2062" aboveAverage="0" equalAverage="0" bottom="0" percent="0" rank="0" text="" dxfId="2072">
      <formula>$F912:K2274="pp"</formula>
    </cfRule>
  </conditionalFormatting>
  <conditionalFormatting sqref="C1846:D1846 C1837:D1844">
    <cfRule type="expression" priority="2063" aboveAverage="0" equalAverage="0" bottom="0" percent="0" rank="0" text="" dxfId="2073">
      <formula>$F1837:H2350="pp"</formula>
    </cfRule>
  </conditionalFormatting>
  <conditionalFormatting sqref="E1025 O1020:O1024">
    <cfRule type="expression" priority="2064" aboveAverage="0" equalAverage="0" bottom="0" percent="0" rank="0" text="" dxfId="2074">
      <formula>$F1020:I2293="pp"</formula>
    </cfRule>
  </conditionalFormatting>
  <conditionalFormatting sqref="K442">
    <cfRule type="expression" priority="2065" aboveAverage="0" equalAverage="0" bottom="0" percent="0" rank="0" text="" dxfId="2075">
      <formula>$F442:P2303="pp"</formula>
    </cfRule>
  </conditionalFormatting>
  <conditionalFormatting sqref="B443 C477:D478">
    <cfRule type="expression" priority="2066" aboveAverage="0" equalAverage="0" bottom="0" percent="0" rank="0" text="" dxfId="2076">
      <formula>$F443:G2269="pp"</formula>
    </cfRule>
  </conditionalFormatting>
  <conditionalFormatting sqref="J848">
    <cfRule type="expression" priority="2067" aboveAverage="0" equalAverage="0" bottom="0" percent="0" rank="0" text="" dxfId="2077">
      <formula>$F848:O2288="pp"</formula>
    </cfRule>
  </conditionalFormatting>
  <conditionalFormatting sqref="J1133">
    <cfRule type="expression" priority="2068" aboveAverage="0" equalAverage="0" bottom="0" percent="0" rank="0" text="" dxfId="2078">
      <formula>$F1133:O2280="pp"</formula>
    </cfRule>
  </conditionalFormatting>
  <conditionalFormatting sqref="C1586:D1586">
    <cfRule type="expression" priority="2069" aboveAverage="0" equalAverage="0" bottom="0" percent="0" rank="0" text="" dxfId="2079">
      <formula>$F1586:H2359="pp"</formula>
    </cfRule>
  </conditionalFormatting>
  <conditionalFormatting sqref="B1270 B1277:B1279 J1277:J1279 L1277:L1279">
    <cfRule type="expression" priority="2070" aboveAverage="0" equalAverage="0" bottom="0" percent="0" rank="0" text="" dxfId="2080">
      <formula>$F1270:G2283="pp"</formula>
    </cfRule>
  </conditionalFormatting>
  <conditionalFormatting sqref="G740:I740">
    <cfRule type="expression" priority="2071" aboveAverage="0" equalAverage="0" bottom="0" percent="0" rank="0" text="" dxfId="2081">
      <formula>$F740:K2271="pp"</formula>
    </cfRule>
  </conditionalFormatting>
  <conditionalFormatting sqref="B911 B913:B915 C972:D977 C979:D979 C985:D986 L911 J913:J915 L913:L915">
    <cfRule type="expression" priority="2072" aboveAverage="0" equalAverage="0" bottom="0" percent="0" rank="0" text="" dxfId="2082">
      <formula>$F911:G2274="pp"</formula>
    </cfRule>
  </conditionalFormatting>
  <conditionalFormatting sqref="B983">
    <cfRule type="expression" priority="2073" aboveAverage="0" equalAverage="0" bottom="0" percent="0" rank="0" text="" dxfId="2083">
      <formula>$F983:G2284="pp"</formula>
    </cfRule>
  </conditionalFormatting>
  <conditionalFormatting sqref="F1834">
    <cfRule type="expression" priority="2074" aboveAverage="0" equalAverage="0" bottom="0" percent="0" rank="0" text="" dxfId="2084">
      <formula>$F1834:J2404="pp"</formula>
    </cfRule>
  </conditionalFormatting>
  <conditionalFormatting sqref="J906">
    <cfRule type="expression" priority="2075" aboveAverage="0" equalAverage="0" bottom="0" percent="0" rank="0" text="" dxfId="2085">
      <formula>$F906:O2284="pp"</formula>
    </cfRule>
  </conditionalFormatting>
  <conditionalFormatting sqref="L1026">
    <cfRule type="expression" priority="2076" aboveAverage="0" equalAverage="0" bottom="0" percent="0" rank="0" text="" dxfId="2086">
      <formula>$F1026:Q2284="pp"</formula>
    </cfRule>
  </conditionalFormatting>
  <conditionalFormatting sqref="M1026:N1026">
    <cfRule type="expression" priority="2077" aboveAverage="0" equalAverage="0" bottom="0" percent="0" rank="0" text="" dxfId="2087">
      <formula>$F1026:R2321="pp"</formula>
    </cfRule>
  </conditionalFormatting>
  <conditionalFormatting sqref="G786:I786">
    <cfRule type="expression" priority="2078" aboveAverage="0" equalAverage="0" bottom="0" percent="0" rank="0" text="" dxfId="2088">
      <formula>$F786:K2277="pp"</formula>
    </cfRule>
  </conditionalFormatting>
  <conditionalFormatting sqref="C178:D178 C176:D176">
    <cfRule type="expression" priority="2079" aboveAverage="0" equalAverage="0" bottom="0" percent="0" rank="0" text="" dxfId="2089">
      <formula>$F176:H2266="pp"</formula>
    </cfRule>
  </conditionalFormatting>
  <conditionalFormatting sqref="G1723:I1723 F1810:F1813">
    <cfRule type="expression" priority="2080" aboveAverage="0" equalAverage="0" bottom="0" percent="0" rank="0" text="" dxfId="2090">
      <formula>$F1723:J2301="pp"</formula>
    </cfRule>
  </conditionalFormatting>
  <conditionalFormatting sqref="A813 B748:B752 L748:L752 J748:J752">
    <cfRule type="expression" priority="2081" aboveAverage="0" equalAverage="0" bottom="0" percent="0" rank="0" text="" dxfId="2091">
      <formula>$F748:F2274="pp"</formula>
    </cfRule>
  </conditionalFormatting>
  <conditionalFormatting sqref="M740:N740">
    <cfRule type="expression" priority="2082" aboveAverage="0" equalAverage="0" bottom="0" percent="0" rank="0" text="" dxfId="2092">
      <formula>$F740:R2309="pp"</formula>
    </cfRule>
  </conditionalFormatting>
  <conditionalFormatting sqref="B864 A897:A898">
    <cfRule type="expression" priority="2083" aboveAverage="0" equalAverage="0" bottom="0" percent="0" rank="0" text="" dxfId="2093">
      <formula>$F864:F2285="pp"</formula>
    </cfRule>
  </conditionalFormatting>
  <conditionalFormatting sqref="E1231 E1233:E1237">
    <cfRule type="expression" priority="2084" aboveAverage="0" equalAverage="0" bottom="0" percent="0" rank="0" text="" dxfId="2094">
      <formula>$F1231:I2298="pp"</formula>
    </cfRule>
  </conditionalFormatting>
  <conditionalFormatting sqref="C1723:D1723">
    <cfRule type="expression" priority="2085" aboveAverage="0" equalAverage="0" bottom="0" percent="0" rank="0" text="" dxfId="2095">
      <formula>$F1723:H2335="pp"</formula>
    </cfRule>
  </conditionalFormatting>
  <conditionalFormatting sqref="C1700:D1700">
    <cfRule type="expression" priority="2086" aboveAverage="0" equalAverage="0" bottom="0" percent="0" rank="0" text="" dxfId="2096">
      <formula>$F1700:H2343="pp"</formula>
    </cfRule>
  </conditionalFormatting>
  <conditionalFormatting sqref="O1681">
    <cfRule type="expression" priority="2087" aboveAverage="0" equalAverage="0" bottom="0" percent="0" rank="0" text="" dxfId="2097">
      <formula>$F1681:S2315="pp"</formula>
    </cfRule>
  </conditionalFormatting>
  <conditionalFormatting sqref="L507">
    <cfRule type="expression" priority="2088" aboveAverage="0" equalAverage="0" bottom="0" percent="0" rank="0" text="" dxfId="2098">
      <formula>$F507:Q2269="pp"</formula>
    </cfRule>
  </conditionalFormatting>
  <conditionalFormatting sqref="L912">
    <cfRule type="expression" priority="2089" aboveAverage="0" equalAverage="0" bottom="0" percent="0" rank="0" text="" dxfId="2099">
      <formula>$F912:Q2274="pp"</formula>
    </cfRule>
  </conditionalFormatting>
  <conditionalFormatting sqref="L1615">
    <cfRule type="expression" priority="2090" aboveAverage="0" equalAverage="0" bottom="0" percent="0" rank="0" text="" dxfId="2100">
      <formula>$F1615:Q2300="pp"</formula>
    </cfRule>
  </conditionalFormatting>
  <conditionalFormatting sqref="M507:N507">
    <cfRule type="expression" priority="2091" aboveAverage="0" equalAverage="0" bottom="0" percent="0" rank="0" text="" dxfId="2101">
      <formula>$F507:R2306="pp"</formula>
    </cfRule>
  </conditionalFormatting>
  <conditionalFormatting sqref="M1270:N1270">
    <cfRule type="expression" priority="2092" aboveAverage="0" equalAverage="0" bottom="0" percent="0" rank="0" text="" dxfId="2102">
      <formula>$F1270:R2320="pp"</formula>
    </cfRule>
  </conditionalFormatting>
  <conditionalFormatting sqref="M1615:N1615">
    <cfRule type="expression" priority="2093" aboveAverage="0" equalAverage="0" bottom="0" percent="0" rank="0" text="" dxfId="2103">
      <formula>$F1615:R2337="pp"</formula>
    </cfRule>
  </conditionalFormatting>
  <conditionalFormatting sqref="E740 O748:O752 E737:E738">
    <cfRule type="expression" priority="2094" aboveAverage="0" equalAverage="0" bottom="0" percent="0" rank="0" text="" dxfId="2104">
      <formula>$F737:I2278="pp"</formula>
    </cfRule>
  </conditionalFormatting>
  <conditionalFormatting sqref="C333:D333">
    <cfRule type="expression" priority="2095" aboveAverage="0" equalAverage="0" bottom="0" percent="0" rank="0" text="" dxfId="2105">
      <formula>$F333:H2326="pp"</formula>
    </cfRule>
  </conditionalFormatting>
  <conditionalFormatting sqref="B515 A553:A555 C559:D564">
    <cfRule type="expression" priority="2096" aboveAverage="0" equalAverage="0" bottom="0" percent="0" rank="0" text="" dxfId="2106">
      <formula>$F515:F2274="pp"</formula>
    </cfRule>
  </conditionalFormatting>
  <conditionalFormatting sqref="L740">
    <cfRule type="expression" priority="2097" aboveAverage="0" equalAverage="0" bottom="0" percent="0" rank="0" text="" dxfId="2107">
      <formula>$F740:Q2271="pp"</formula>
    </cfRule>
  </conditionalFormatting>
  <conditionalFormatting sqref="A1799 C1817:D1821 B1777:B1779 A1791:A1794 M1830:N1834 J1777:J1779 L1777:L1779 K1830:K1834">
    <cfRule type="expression" priority="2098" aboveAverage="0" equalAverage="0" bottom="0" percent="0" rank="0" text="" dxfId="2108">
      <formula>$F1777:F2305="pp"</formula>
    </cfRule>
  </conditionalFormatting>
  <conditionalFormatting sqref="O1799 G1780:I1782 O1791:O1794">
    <cfRule type="expression" priority="2099" aboveAverage="0" equalAverage="0" bottom="0" percent="0" rank="0" text="" dxfId="2109">
      <formula>$F1780:K2305="pp"</formula>
    </cfRule>
  </conditionalFormatting>
  <conditionalFormatting sqref="F2061">
    <cfRule type="expression" priority="2100" aboveAverage="0" equalAverage="0" bottom="0" percent="0" rank="0" text="" dxfId="2110">
      <formula>$F2061:J2384="pp"</formula>
    </cfRule>
  </conditionalFormatting>
  <conditionalFormatting sqref="J1799">
    <cfRule type="expression" priority="2101" aboveAverage="0" equalAverage="0" bottom="0" percent="0" rank="0" text="" dxfId="2111">
      <formula>$F1799:O2309="pp"</formula>
    </cfRule>
  </conditionalFormatting>
  <conditionalFormatting sqref="K1799 K1791:K1794 M1791:N1794">
    <cfRule type="expression" priority="2102" aboveAverage="0" equalAverage="0" bottom="0" percent="0" rank="0" text="" dxfId="2112">
      <formula>$F1791:P2338="pp"</formula>
    </cfRule>
  </conditionalFormatting>
  <conditionalFormatting sqref="C1850:D1850">
    <cfRule type="expression" priority="2103" aboveAverage="0" equalAverage="0" bottom="0" percent="0" rank="0" text="" dxfId="2113">
      <formula>$F1850:H2363="pp"</formula>
    </cfRule>
  </conditionalFormatting>
  <conditionalFormatting sqref="M1799:N1799">
    <cfRule type="expression" priority="2104" aboveAverage="0" equalAverage="0" bottom="0" percent="0" rank="0" text="" dxfId="2114">
      <formula>$F1799:R2346="pp"</formula>
    </cfRule>
  </conditionalFormatting>
  <conditionalFormatting sqref="B574">
    <cfRule type="expression" priority="2105" aboveAverage="0" equalAverage="0" bottom="0" percent="0" rank="0" text="" dxfId="2115">
      <formula>$F574:G2285="pp"</formula>
    </cfRule>
  </conditionalFormatting>
  <conditionalFormatting sqref="C1599:D1599">
    <cfRule type="expression" priority="2106" aboveAverage="0" equalAverage="0" bottom="0" percent="0" rank="0" text="" dxfId="2116">
      <formula>$F1599:H2371="pp"</formula>
    </cfRule>
  </conditionalFormatting>
  <conditionalFormatting sqref="Q1799 Q1791:Q1794">
    <cfRule type="expression" priority="2107" aboveAverage="0" equalAverage="0" bottom="0" percent="0" rank="0" text="" dxfId="2117">
      <formula>$F1791:T2329="pp"</formula>
    </cfRule>
  </conditionalFormatting>
  <conditionalFormatting sqref="F1799 F1791:F1794">
    <cfRule type="expression" priority="2108" aboveAverage="0" equalAverage="0" bottom="0" percent="0" rank="0" text="" dxfId="2118">
      <formula>$F1791:J2376="pp"</formula>
    </cfRule>
  </conditionalFormatting>
  <conditionalFormatting sqref="M1723:N1723">
    <cfRule type="expression" priority="2109" aboveAverage="0" equalAverage="0" bottom="0" percent="0" rank="0" text="" dxfId="2119">
      <formula>$F1723:R2338="pp"</formula>
    </cfRule>
  </conditionalFormatting>
  <conditionalFormatting sqref="G1768:I1768 F1866:F1868 F1873:F1879 O1786:O1788">
    <cfRule type="expression" priority="2110" aboveAverage="0" equalAverage="0" bottom="0" percent="0" rank="0" text="" dxfId="2120">
      <formula>$F1768:J2302="pp"</formula>
    </cfRule>
  </conditionalFormatting>
  <conditionalFormatting sqref="B1770">
    <cfRule type="expression" priority="2111" aboveAverage="0" equalAverage="0" bottom="0" percent="0" rank="0" text="" dxfId="2121">
      <formula>$F1770:G2303="pp"</formula>
    </cfRule>
  </conditionalFormatting>
  <conditionalFormatting sqref="E815 O810:O812">
    <cfRule type="expression" priority="2112" aboveAverage="0" equalAverage="0" bottom="0" percent="0" rank="0" text="" dxfId="2122">
      <formula>$F810:I2290="pp"</formula>
    </cfRule>
  </conditionalFormatting>
  <conditionalFormatting sqref="J874">
    <cfRule type="expression" priority="2113" aboveAverage="0" equalAverage="0" bottom="0" percent="0" rank="0" text="" dxfId="2123">
      <formula>$F874:O2282="pp"</formula>
    </cfRule>
  </conditionalFormatting>
  <conditionalFormatting sqref="K553">
    <cfRule type="expression" priority="2114" aboveAverage="0" equalAverage="0" bottom="0" percent="0" rank="0" text="" dxfId="2124">
      <formula>$F553:P2319="pp"</formula>
    </cfRule>
  </conditionalFormatting>
  <conditionalFormatting sqref="E1130">
    <cfRule type="expression" priority="2115" aboveAverage="0" equalAverage="0" bottom="0" percent="0" rank="0" text="" dxfId="2125">
      <formula>$F1130:I2292="pp"</formula>
    </cfRule>
  </conditionalFormatting>
  <conditionalFormatting sqref="F1847">
    <cfRule type="expression" priority="2116" aboveAverage="0" equalAverage="0" bottom="0" percent="0" rank="0" text="" dxfId="2126">
      <formula>$F1847:J2394="pp"</formula>
    </cfRule>
  </conditionalFormatting>
  <conditionalFormatting sqref="C1849:D1849">
    <cfRule type="expression" priority="2117" aboveAverage="0" equalAverage="0" bottom="0" percent="0" rank="0" text="" dxfId="2127">
      <formula>$F1849:H2355="pp"</formula>
    </cfRule>
  </conditionalFormatting>
  <conditionalFormatting sqref="M1814:N1814">
    <cfRule type="expression" priority="2118" aboveAverage="0" equalAverage="0" bottom="0" percent="0" rank="0" text="" dxfId="2128">
      <formula>$F1814:R2349="pp"</formula>
    </cfRule>
  </conditionalFormatting>
  <conditionalFormatting sqref="A2061 B2048:B2049 L2048:L2049 J2048:J2049">
    <cfRule type="expression" priority="2119" aboveAverage="0" equalAverage="0" bottom="0" percent="0" rank="0" text="" dxfId="2129">
      <formula>$F2048:F2314="pp"</formula>
    </cfRule>
  </conditionalFormatting>
  <conditionalFormatting sqref="B2061 L2061">
    <cfRule type="expression" priority="2120" aboveAverage="0" equalAverage="0" bottom="0" percent="0" rank="0" text="" dxfId="2130">
      <formula>$F2061:G2309="pp"</formula>
    </cfRule>
  </conditionalFormatting>
  <conditionalFormatting sqref="C2062:D2062 A2053:A2054">
    <cfRule type="expression" priority="2121" aboveAverage="0" equalAverage="0" bottom="0" percent="0" rank="0" text="" dxfId="2131">
      <formula>$F2053:F2332="pp"</formula>
    </cfRule>
  </conditionalFormatting>
  <conditionalFormatting sqref="E2061">
    <cfRule type="expression" priority="2122" aboveAverage="0" equalAverage="0" bottom="0" percent="0" rank="0" text="" dxfId="2132">
      <formula>$F2061:I2319="pp"</formula>
    </cfRule>
  </conditionalFormatting>
  <conditionalFormatting sqref="J2061">
    <cfRule type="expression" priority="2123" aboveAverage="0" equalAverage="0" bottom="0" percent="0" rank="0" text="" dxfId="2133">
      <formula>$F2061:O2309="pp"</formula>
    </cfRule>
  </conditionalFormatting>
  <conditionalFormatting sqref="K2061">
    <cfRule type="expression" priority="2124" aboveAverage="0" equalAverage="0" bottom="0" percent="0" rank="0" text="" dxfId="2134">
      <formula>$F2061:P2346="pp"</formula>
    </cfRule>
  </conditionalFormatting>
  <conditionalFormatting sqref="P2061">
    <cfRule type="expression" priority="2125" aboveAverage="0" equalAverage="0" bottom="0" percent="0" rank="0" text="" dxfId="2135">
      <formula>$F2061:T3054="pp"</formula>
    </cfRule>
    <cfRule type="expression" priority="2126" aboveAverage="0" equalAverage="0" bottom="0" percent="0" rank="0" text="" dxfId="2136">
      <formula>$F2061:T2337="pp"</formula>
    </cfRule>
  </conditionalFormatting>
  <conditionalFormatting sqref="Q2061">
    <cfRule type="expression" priority="2127" aboveAverage="0" equalAverage="0" bottom="0" percent="0" rank="0" text="" dxfId="2137">
      <formula>$F2061:T2337="pp"</formula>
    </cfRule>
  </conditionalFormatting>
  <conditionalFormatting sqref="K1903 C1891:D1895 B1880:B1881 J1880:J1881 L1880:L1881">
    <cfRule type="expression" priority="2128" aboveAverage="0" equalAverage="0" bottom="0" percent="0" rank="0" text="" dxfId="2138">
      <formula>$F1880:G2329="pp"</formula>
    </cfRule>
  </conditionalFormatting>
  <conditionalFormatting sqref="O1903">
    <cfRule type="expression" priority="2129" aboveAverage="0" equalAverage="0" bottom="0" percent="0" rank="0" text="" dxfId="2139">
      <formula>$F1903:S2330="pp"</formula>
    </cfRule>
  </conditionalFormatting>
  <conditionalFormatting sqref="C604:D604">
    <cfRule type="expression" priority="2130" aboveAverage="0" equalAverage="0" bottom="0" percent="0" rank="0" text="" dxfId="2140">
      <formula>$F604:H2305="pp"</formula>
    </cfRule>
  </conditionalFormatting>
  <conditionalFormatting sqref="A1175">
    <cfRule type="expression" priority="2131" aboveAverage="0" equalAverage="0" bottom="0" percent="0" rank="0" text="" dxfId="2141">
      <formula>$F1175:F2328="pp"</formula>
    </cfRule>
  </conditionalFormatting>
  <conditionalFormatting sqref="F1850">
    <cfRule type="expression" priority="2132" aboveAverage="0" equalAverage="0" bottom="0" percent="0" rank="0" text="" dxfId="2142">
      <formula>$F1850:J2404="pp"</formula>
    </cfRule>
  </conditionalFormatting>
  <conditionalFormatting sqref="E1615">
    <cfRule type="expression" priority="2133" aboveAverage="0" equalAverage="0" bottom="0" percent="0" rank="0" text="" dxfId="2143">
      <formula>$F1615:I2310="pp"</formula>
    </cfRule>
  </conditionalFormatting>
  <conditionalFormatting sqref="L1814">
    <cfRule type="expression" priority="2134" aboveAverage="0" equalAverage="0" bottom="0" percent="0" rank="0" text="" dxfId="2144">
      <formula>$F1814:Q2312="pp"</formula>
    </cfRule>
  </conditionalFormatting>
  <conditionalFormatting sqref="B544">
    <cfRule type="expression" priority="2135" aboveAverage="0" equalAverage="0" bottom="0" percent="0" rank="0" text="" dxfId="2145">
      <formula>$F544:G2276="pp"</formula>
    </cfRule>
  </conditionalFormatting>
  <conditionalFormatting sqref="C304:D304">
    <cfRule type="expression" priority="2136" aboveAverage="0" equalAverage="0" bottom="0" percent="0" rank="0" text="" dxfId="2146">
      <formula>$F304:H2326="pp"</formula>
    </cfRule>
  </conditionalFormatting>
  <conditionalFormatting sqref="C739:D739 A731:A732">
    <cfRule type="expression" priority="2137" aboveAverage="0" equalAverage="0" bottom="0" percent="0" rank="0" text="" dxfId="2147">
      <formula>$F731:F2295="pp"</formula>
    </cfRule>
  </conditionalFormatting>
  <conditionalFormatting sqref="K1890 C1882:D1883 M1889:N1890 K1896:K1902 M1896:N1902">
    <cfRule type="expression" priority="2138" aboveAverage="0" equalAverage="0" bottom="0" percent="0" rank="0" text="" dxfId="2148">
      <formula>$F1882:H2351="pp"</formula>
    </cfRule>
  </conditionalFormatting>
  <conditionalFormatting sqref="B1888 K1922:K1924 M1922:N1924">
    <cfRule type="expression" priority="2139" aboveAverage="0" equalAverage="0" bottom="0" percent="0" rank="0" text="" dxfId="2149">
      <formula>$F1888:G2310="pp"</formula>
    </cfRule>
  </conditionalFormatting>
  <conditionalFormatting sqref="F1888">
    <cfRule type="expression" priority="2140" aboveAverage="0" equalAverage="0" bottom="0" percent="0" rank="0" text="" dxfId="2150">
      <formula>$F1888:J2385="pp"</formula>
    </cfRule>
  </conditionalFormatting>
  <conditionalFormatting sqref="G1884:I1884">
    <cfRule type="expression" priority="2141" aboveAverage="0" equalAverage="0" bottom="0" percent="0" rank="0" text="" dxfId="2151">
      <formula>$F1884:K2312="pp"</formula>
    </cfRule>
  </conditionalFormatting>
  <conditionalFormatting sqref="J1887">
    <cfRule type="expression" priority="2142" aboveAverage="0" equalAverage="0" bottom="0" percent="0" rank="0" text="" dxfId="2152">
      <formula>$F1887:O2310="pp"</formula>
    </cfRule>
  </conditionalFormatting>
  <conditionalFormatting sqref="F1175 E841:E847 G813:I814">
    <cfRule type="expression" priority="2143" aboveAverage="0" equalAverage="0" bottom="0" percent="0" rank="0" text="" dxfId="2153">
      <formula>$F813:I2275="pp"</formula>
    </cfRule>
  </conditionalFormatting>
  <conditionalFormatting sqref="A1887 C1904:D1910">
    <cfRule type="expression" priority="2144" aboveAverage="0" equalAverage="0" bottom="0" percent="0" rank="0" text="" dxfId="2154">
      <formula>$F1887:F2328="pp"</formula>
    </cfRule>
  </conditionalFormatting>
  <conditionalFormatting sqref="F1887">
    <cfRule type="expression" priority="2145" aboveAverage="0" equalAverage="0" bottom="0" percent="0" rank="0" text="" dxfId="2155">
      <formula>$F1887:J2385="pp"</formula>
    </cfRule>
  </conditionalFormatting>
  <conditionalFormatting sqref="B1475 B1480:B1482 K1517:K1518 M1517:N1518 J1480:J1482 L1480:L1482">
    <cfRule type="expression" priority="2146" aboveAverage="0" equalAverage="0" bottom="0" percent="0" rank="0" text="" dxfId="2156">
      <formula>$F1475:G2301="pp"</formula>
    </cfRule>
  </conditionalFormatting>
  <conditionalFormatting sqref="C1175:D1175">
    <cfRule type="expression" priority="2147" aboveAverage="0" equalAverage="0" bottom="0" percent="0" rank="0" text="" dxfId="2157">
      <formula>$F1175:H2345="pp"</formula>
    </cfRule>
  </conditionalFormatting>
  <conditionalFormatting sqref="O1175">
    <cfRule type="expression" priority="2148" aboveAverage="0" equalAverage="0" bottom="0" percent="0" rank="0" text="" dxfId="2158">
      <formula>$F1175:S2310="pp"</formula>
    </cfRule>
  </conditionalFormatting>
  <conditionalFormatting sqref="J462 B464:B466 B462 J464:J466 L464:L466 K503:K505 M503:N505 L462">
    <cfRule type="expression" priority="2149" aboveAverage="0" equalAverage="0" bottom="0" percent="0" rank="0" text="" dxfId="2159">
      <formula>$F462:G2267="pp"</formula>
    </cfRule>
  </conditionalFormatting>
  <conditionalFormatting sqref="B1884">
    <cfRule type="expression" priority="2150" aboveAverage="0" equalAverage="0" bottom="0" percent="0" rank="0" text="" dxfId="2160">
      <formula>$F1884:G2312="pp"</formula>
    </cfRule>
  </conditionalFormatting>
  <conditionalFormatting sqref="C1888:D1888">
    <cfRule type="expression" priority="2151" aboveAverage="0" equalAverage="0" bottom="0" percent="0" rank="0" text="" dxfId="2161">
      <formula>$F1888:H2344="pp"</formula>
    </cfRule>
  </conditionalFormatting>
  <conditionalFormatting sqref="E1888">
    <cfRule type="expression" priority="2152" aboveAverage="0" equalAverage="0" bottom="0" percent="0" rank="0" text="" dxfId="2162">
      <formula>$F1888:I2320="pp"</formula>
    </cfRule>
  </conditionalFormatting>
  <conditionalFormatting sqref="B1175">
    <cfRule type="expression" priority="2153" aboveAverage="0" equalAverage="0" bottom="0" percent="0" rank="0" text="" dxfId="2163">
      <formula>$F1175:G2295="pp"</formula>
    </cfRule>
  </conditionalFormatting>
  <conditionalFormatting sqref="O462 O464:O466 F491:F492">
    <cfRule type="expression" priority="2154" aboveAverage="0" equalAverage="0" bottom="0" percent="0" rank="0" text="" dxfId="2164">
      <formula>$F462:J2282="pp"</formula>
    </cfRule>
  </conditionalFormatting>
  <conditionalFormatting sqref="K1175 B1116:B1118 J1116:J1118 L1116:L1118">
    <cfRule type="expression" priority="2155" aboveAverage="0" equalAverage="0" bottom="0" percent="0" rank="0" text="" dxfId="2165">
      <formula>$F1116:G2273="pp"</formula>
    </cfRule>
  </conditionalFormatting>
  <conditionalFormatting sqref="A1528 M1552:N1559 K1552:K1559">
    <cfRule type="expression" priority="2156" aboveAverage="0" equalAverage="0" bottom="0" percent="0" rank="0" text="" dxfId="2166">
      <formula>$F1528:F2330="pp"</formula>
    </cfRule>
  </conditionalFormatting>
  <conditionalFormatting sqref="J1175">
    <cfRule type="expression" priority="2157" aboveAverage="0" equalAverage="0" bottom="0" percent="0" rank="0" text="" dxfId="2167">
      <formula>$F1175:O2295="pp"</formula>
    </cfRule>
  </conditionalFormatting>
  <conditionalFormatting sqref="B1721">
    <cfRule type="expression" priority="2158" aboveAverage="0" equalAverage="0" bottom="0" percent="0" rank="0" text="" dxfId="2168">
      <formula>$F1721:G2311="pp"</formula>
    </cfRule>
  </conditionalFormatting>
  <conditionalFormatting sqref="Q1175">
    <cfRule type="expression" priority="2159" aboveAverage="0" equalAverage="0" bottom="0" percent="0" rank="0" text="" dxfId="2169">
      <formula>$F1175:T2323="pp"</formula>
    </cfRule>
  </conditionalFormatting>
  <conditionalFormatting sqref="A1152 C1190:D1199 M1162:N1170 K1162:K1170">
    <cfRule type="expression" priority="2160" aboveAverage="0" equalAverage="0" bottom="0" percent="0" rank="0" text="" dxfId="2170">
      <formula>$F1152:F2314="pp"</formula>
    </cfRule>
  </conditionalFormatting>
  <conditionalFormatting sqref="B460 A467:A470">
    <cfRule type="expression" priority="2161" aboveAverage="0" equalAverage="0" bottom="0" percent="0" rank="0" text="" dxfId="2171">
      <formula>$F460:F2282="pp"</formula>
    </cfRule>
  </conditionalFormatting>
  <conditionalFormatting sqref="E1468">
    <cfRule type="expression" priority="2162" aboveAverage="0" equalAverage="0" bottom="0" percent="0" rank="0" text="" dxfId="2172">
      <formula>$F1468:I2311="pp"</formula>
    </cfRule>
  </conditionalFormatting>
  <conditionalFormatting sqref="Q462 Q464:Q466">
    <cfRule type="expression" priority="2163" aboveAverage="0" equalAverage="0" bottom="0" percent="0" rank="0" text="" dxfId="2173">
      <formula>$F462:T2295="pp"</formula>
    </cfRule>
  </conditionalFormatting>
  <conditionalFormatting sqref="J463">
    <cfRule type="expression" priority="2164" aboveAverage="0" equalAverage="0" bottom="0" percent="0" rank="0" text="" dxfId="2174">
      <formula>$F463:O2269="pp"</formula>
    </cfRule>
  </conditionalFormatting>
  <conditionalFormatting sqref="Q463">
    <cfRule type="expression" priority="2165" aboveAverage="0" equalAverage="0" bottom="0" percent="0" rank="0" text="" dxfId="2175">
      <formula>$F463:T2297="pp"</formula>
    </cfRule>
  </conditionalFormatting>
  <conditionalFormatting sqref="E459">
    <cfRule type="expression" priority="2166" aboveAverage="0" equalAverage="0" bottom="0" percent="0" rank="0" text="" dxfId="2176">
      <formula>$F459:I2292="pp"</formula>
    </cfRule>
  </conditionalFormatting>
  <conditionalFormatting sqref="B1522 B1519:B1520 J1519:J1520 L1519:L1520">
    <cfRule type="expression" priority="2167" aboveAverage="0" equalAverage="0" bottom="0" percent="0" rank="0" text="" dxfId="2177">
      <formula>$F1519:G2304="pp"</formula>
    </cfRule>
  </conditionalFormatting>
  <conditionalFormatting sqref="F1831">
    <cfRule type="expression" priority="2168" aboveAverage="0" equalAverage="0" bottom="0" percent="0" rank="0" text="" dxfId="2178">
      <formula>$F1831:J2397="pp"</formula>
    </cfRule>
  </conditionalFormatting>
  <conditionalFormatting sqref="A864 B830:B831 B834:B835 L830:L831 J834:J835 L834:L835 J830:J831">
    <cfRule type="expression" priority="2169" aboveAverage="0" equalAverage="0" bottom="0" percent="0" rank="0" text="" dxfId="2179">
      <formula>$F830:F2284="pp"</formula>
    </cfRule>
  </conditionalFormatting>
  <conditionalFormatting sqref="G1175:I1175 O1198:O1201">
    <cfRule type="expression" priority="2170" aboveAverage="0" equalAverage="0" bottom="0" percent="0" rank="0" text="" dxfId="2180">
      <formula>$F1175:K2295="pp"</formula>
    </cfRule>
  </conditionalFormatting>
  <conditionalFormatting sqref="G1888:I1888 E1896:E1903 O1904:O1910">
    <cfRule type="expression" priority="2171" aboveAverage="0" equalAverage="0" bottom="0" percent="0" rank="0" text="" dxfId="2181">
      <formula>$F1888:I2310="pp"</formula>
    </cfRule>
  </conditionalFormatting>
  <conditionalFormatting sqref="B1156 C1220:D1226">
    <cfRule type="expression" priority="2172" aboveAverage="0" equalAverage="0" bottom="0" percent="0" rank="0" text="" dxfId="2182">
      <formula>$F1156:G2282="pp"</formula>
    </cfRule>
  </conditionalFormatting>
  <conditionalFormatting sqref="C1887:D1887">
    <cfRule type="expression" priority="2173" aboveAverage="0" equalAverage="0" bottom="0" percent="0" rank="0" text="" dxfId="2183">
      <formula>$F1887:H2344="pp"</formula>
    </cfRule>
  </conditionalFormatting>
  <conditionalFormatting sqref="L1888">
    <cfRule type="expression" priority="2174" aboveAverage="0" equalAverage="0" bottom="0" percent="0" rank="0" text="" dxfId="2184">
      <formula>$F1888:Q2310="pp"</formula>
    </cfRule>
  </conditionalFormatting>
  <conditionalFormatting sqref="J1475">
    <cfRule type="expression" priority="2175" aboveAverage="0" equalAverage="0" bottom="0" percent="0" rank="0" text="" dxfId="2185">
      <formula>$F1475:O2301="pp"</formula>
    </cfRule>
  </conditionalFormatting>
  <conditionalFormatting sqref="K1541 A1510:A1516 K1543:K1544 M1543:N1544 K1535:K1536 M1535:N1536">
    <cfRule type="expression" priority="2176" aboveAverage="0" equalAverage="0" bottom="0" percent="0" rank="0" text="" dxfId="2186">
      <formula>$F1510:F2322="pp"</formula>
    </cfRule>
  </conditionalFormatting>
  <conditionalFormatting sqref="E1496 O1499:O1500">
    <cfRule type="expression" priority="2177" aboveAverage="0" equalAverage="0" bottom="0" percent="0" rank="0" text="" dxfId="2187">
      <formula>$F1496:I2317="pp"</formula>
    </cfRule>
  </conditionalFormatting>
  <conditionalFormatting sqref="Q1541 Q1543:Q1544 Q1535:Q1536">
    <cfRule type="expression" priority="2178" aboveAverage="0" equalAverage="0" bottom="0" percent="0" rank="0" text="" dxfId="2188">
      <formula>$F1535:T2338="pp"</formula>
    </cfRule>
  </conditionalFormatting>
  <conditionalFormatting sqref="Q1903">
    <cfRule type="expression" priority="2179" aboveAverage="0" equalAverage="0" bottom="0" percent="0" rank="0" text="" dxfId="2189">
      <formula>$F1903:T2343="pp"</formula>
    </cfRule>
  </conditionalFormatting>
  <conditionalFormatting sqref="E238">
    <cfRule type="expression" priority="2180" aboveAverage="0" equalAverage="0" bottom="0" percent="0" rank="0" text="" dxfId="2190">
      <formula>$F238:I2277="pp"</formula>
    </cfRule>
  </conditionalFormatting>
  <conditionalFormatting sqref="C220:D220">
    <cfRule type="expression" priority="2181" aboveAverage="0" equalAverage="0" bottom="0" percent="0" rank="0" text="" dxfId="2191">
      <formula>$F220:H2302="pp"</formula>
    </cfRule>
  </conditionalFormatting>
  <conditionalFormatting sqref="E875 O874:O876 O883:O886">
    <cfRule type="expression" priority="2182" aboveAverage="0" equalAverage="0" bottom="0" percent="0" rank="0" text="" dxfId="2192">
      <formula>$F874:I2297="pp"</formula>
    </cfRule>
  </conditionalFormatting>
  <conditionalFormatting sqref="E987 O978:O979">
    <cfRule type="expression" priority="2183" aboveAverage="0" equalAverage="0" bottom="0" percent="0" rank="0" text="" dxfId="2193">
      <formula>$F978:I2305="pp"</formula>
    </cfRule>
  </conditionalFormatting>
  <conditionalFormatting sqref="E1131">
    <cfRule type="expression" priority="2184" aboveAverage="0" equalAverage="0" bottom="0" percent="0" rank="0" text="" dxfId="2194">
      <formula>$F1131:I2295="pp"</formula>
    </cfRule>
  </conditionalFormatting>
  <conditionalFormatting sqref="E1175">
    <cfRule type="expression" priority="2185" aboveAverage="0" equalAverage="0" bottom="0" percent="0" rank="0" text="" dxfId="2195">
      <formula>$F1175:I2311="pp"</formula>
    </cfRule>
  </conditionalFormatting>
  <conditionalFormatting sqref="O920">
    <cfRule type="expression" priority="2186" aboveAverage="0" equalAverage="0" bottom="0" percent="0" rank="0" text="" dxfId="2196">
      <formula>$F920:S2306="pp"</formula>
    </cfRule>
  </conditionalFormatting>
  <conditionalFormatting sqref="O1130">
    <cfRule type="expression" priority="2187" aboveAverage="0" equalAverage="0" bottom="0" percent="0" rank="0" text="" dxfId="2197">
      <formula>$F1130:S2291="pp"</formula>
    </cfRule>
  </conditionalFormatting>
  <conditionalFormatting sqref="L1474">
    <cfRule type="expression" priority="2188" aboveAverage="0" equalAverage="0" bottom="0" percent="0" rank="0" text="" dxfId="2198">
      <formula>$F1474:Q2304="pp"</formula>
    </cfRule>
  </conditionalFormatting>
  <conditionalFormatting sqref="A1601">
    <cfRule type="expression" priority="2189" aboveAverage="0" equalAverage="0" bottom="0" percent="0" rank="0" text="" dxfId="2199">
      <formula>$F1601:F2330="pp"</formula>
    </cfRule>
  </conditionalFormatting>
  <conditionalFormatting sqref="B1132 B1135:B1136 J1135:J1136 L1135:L1136">
    <cfRule type="expression" priority="2190" aboveAverage="0" equalAverage="0" bottom="0" percent="0" rank="0" text="" dxfId="2200">
      <formula>$F1132:G2276="pp"</formula>
    </cfRule>
  </conditionalFormatting>
  <conditionalFormatting sqref="J1131">
    <cfRule type="expression" priority="2191" aboveAverage="0" equalAverage="0" bottom="0" percent="0" rank="0" text="" dxfId="2201">
      <formula>$F1131:O2279="pp"</formula>
    </cfRule>
  </conditionalFormatting>
  <conditionalFormatting sqref="B193 A270:A273 J227:J232 L227:L232 B227:B232">
    <cfRule type="expression" priority="2192" aboveAverage="0" equalAverage="0" bottom="0" percent="0" rank="0" text="" dxfId="2202">
      <formula>$F193:F2228="pp"</formula>
    </cfRule>
  </conditionalFormatting>
  <conditionalFormatting sqref="F463">
    <cfRule type="expression" priority="2193" aboveAverage="0" equalAverage="0" bottom="0" percent="0" rank="0" text="" dxfId="2203">
      <formula>$F463:J2308="pp"</formula>
    </cfRule>
  </conditionalFormatting>
  <conditionalFormatting sqref="A442 K464:K466 M464:N466">
    <cfRule type="expression" priority="2194" aboveAverage="0" equalAverage="0" bottom="0" percent="0" rank="0" text="" dxfId="2204">
      <formula>$F442:F2284="pp"</formula>
    </cfRule>
  </conditionalFormatting>
  <conditionalFormatting sqref="O553">
    <cfRule type="expression" priority="2195" aboveAverage="0" equalAverage="0" bottom="0" percent="0" rank="0" text="" dxfId="2205">
      <formula>$F553:S2297="pp"</formula>
    </cfRule>
  </conditionalFormatting>
  <conditionalFormatting sqref="G848:I848 G852:I854 G856:I860">
    <cfRule type="expression" priority="2196" aboveAverage="0" equalAverage="0" bottom="0" percent="0" rank="0" text="" dxfId="2206">
      <formula>$F848:K2288="pp"</formula>
    </cfRule>
  </conditionalFormatting>
  <conditionalFormatting sqref="C1588:D1588">
    <cfRule type="expression" priority="2197" aboveAverage="0" equalAverage="0" bottom="0" percent="0" rank="0" text="" dxfId="2207">
      <formula>$F1588:H2361="pp"</formula>
    </cfRule>
  </conditionalFormatting>
  <conditionalFormatting sqref="G280:I280 O280:O282">
    <cfRule type="expression" priority="2198" aboveAverage="0" equalAverage="0" bottom="0" percent="0" rank="0" text="" dxfId="2208">
      <formula>$F280:K2289="pp"</formula>
    </cfRule>
  </conditionalFormatting>
  <conditionalFormatting sqref="E855 E849:E851">
    <cfRule type="expression" priority="2199" aboveAverage="0" equalAverage="0" bottom="0" percent="0" rank="0" text="" dxfId="2209">
      <formula>$F849:I2306="pp"</formula>
    </cfRule>
  </conditionalFormatting>
  <conditionalFormatting sqref="B897 A921">
    <cfRule type="expression" priority="2200" aboveAverage="0" equalAverage="0" bottom="0" percent="0" rank="0" text="" dxfId="2210">
      <formula>$F897:F2285="pp"</formula>
    </cfRule>
  </conditionalFormatting>
  <conditionalFormatting sqref="O1227">
    <cfRule type="expression" priority="2201" aboveAverage="0" equalAverage="0" bottom="0" percent="0" rank="0" text="" dxfId="2211">
      <formula>$F1227:S2295="pp"</formula>
    </cfRule>
  </conditionalFormatting>
  <conditionalFormatting sqref="K462">
    <cfRule type="expression" priority="2202" aboveAverage="0" equalAverage="0" bottom="0" percent="0" rank="0" text="" dxfId="2212">
      <formula>$F462:P2304="pp"</formula>
    </cfRule>
  </conditionalFormatting>
  <conditionalFormatting sqref="L553">
    <cfRule type="expression" priority="2203" aboveAverage="0" equalAverage="0" bottom="0" percent="0" rank="0" text="" dxfId="2213">
      <formula>$F553:Q2282="pp"</formula>
    </cfRule>
  </conditionalFormatting>
  <conditionalFormatting sqref="L1232">
    <cfRule type="expression" priority="2204" aboveAverage="0" equalAverage="0" bottom="0" percent="0" rank="0" text="" dxfId="2214">
      <formula>$F1232:Q2284="pp"</formula>
    </cfRule>
  </conditionalFormatting>
  <conditionalFormatting sqref="M1232:N1232">
    <cfRule type="expression" priority="2205" aboveAverage="0" equalAverage="0" bottom="0" percent="0" rank="0" text="" dxfId="2215">
      <formula>$F1232:R2321="pp"</formula>
    </cfRule>
  </conditionalFormatting>
  <conditionalFormatting sqref="E1475 E1480:E1482">
    <cfRule type="expression" priority="2206" aboveAverage="0" equalAverage="0" bottom="0" percent="0" rank="0" text="" dxfId="2216">
      <formula>$F1475:I2311="pp"</formula>
    </cfRule>
  </conditionalFormatting>
  <conditionalFormatting sqref="A1798 A1800:A1803 C1815:D1816 C1822:D1828">
    <cfRule type="expression" priority="2207" aboveAverage="0" equalAverage="0" bottom="0" percent="0" rank="0" text="" dxfId="2217">
      <formula>$F1798:F2325="pp"</formula>
    </cfRule>
  </conditionalFormatting>
  <conditionalFormatting sqref="B1677 B1693">
    <cfRule type="expression" priority="2208" aboveAverage="0" equalAverage="0" bottom="0" percent="0" rank="0" text="" dxfId="2218">
      <formula>$F1677:G2302="pp"</formula>
    </cfRule>
  </conditionalFormatting>
  <conditionalFormatting sqref="G1798:I1798 O1817:O1821 G1800:I1803">
    <cfRule type="expression" priority="2209" aboveAverage="0" equalAverage="0" bottom="0" percent="0" rank="0" text="" dxfId="2219">
      <formula>$F1798:K2307="pp"</formula>
    </cfRule>
  </conditionalFormatting>
  <conditionalFormatting sqref="C1590:D1590">
    <cfRule type="expression" priority="2210" aboveAverage="0" equalAverage="0" bottom="0" percent="0" rank="0" text="" dxfId="2220">
      <formula>$F1590:H2363="pp"</formula>
    </cfRule>
  </conditionalFormatting>
  <conditionalFormatting sqref="B1665 K1696 M1696:N1696">
    <cfRule type="expression" priority="2211" aboveAverage="0" equalAverage="0" bottom="0" percent="0" rank="0" text="" dxfId="2221">
      <formula>$F1665:G2313="pp"</formula>
    </cfRule>
  </conditionalFormatting>
  <conditionalFormatting sqref="F1849">
    <cfRule type="expression" priority="2212" aboveAverage="0" equalAverage="0" bottom="0" percent="0" rank="0" text="" dxfId="2222">
      <formula>$F1849:J2396="pp"</formula>
    </cfRule>
  </conditionalFormatting>
  <conditionalFormatting sqref="K1798 B1761:B1767 A1777:A1779 K1800:K1803 M1800:N1803 J1761:J1767 L1761:L1767">
    <cfRule type="expression" priority="2213" aboveAverage="0" equalAverage="0" bottom="0" percent="0" rank="0" text="" dxfId="2223">
      <formula>$F1761:F2307="pp"</formula>
    </cfRule>
  </conditionalFormatting>
  <conditionalFormatting sqref="K1701">
    <cfRule type="expression" priority="2214" aboveAverage="0" equalAverage="0" bottom="0" percent="0" rank="0" text="" dxfId="2224">
      <formula>$F1701:P2349="pp"</formula>
    </cfRule>
  </conditionalFormatting>
  <conditionalFormatting sqref="E1748">
    <cfRule type="expression" priority="2215" aboveAverage="0" equalAverage="0" bottom="0" percent="0" rank="0" text="" dxfId="2225">
      <formula>$F1748:I2319="pp"</formula>
    </cfRule>
  </conditionalFormatting>
  <conditionalFormatting sqref="G1799:I1799 F1882:F1883 G1791:I1794">
    <cfRule type="expression" priority="2216" aboveAverage="0" equalAverage="0" bottom="0" percent="0" rank="0" text="" dxfId="2226">
      <formula>$F1791:J2301="pp"</formula>
    </cfRule>
  </conditionalFormatting>
  <conditionalFormatting sqref="C1798:D1798 C1800:D1803 A1780:A1782">
    <cfRule type="expression" priority="2217" aboveAverage="0" equalAverage="0" bottom="0" percent="0" rank="0" text="" dxfId="2227">
      <formula>$F1780:F2323="pp"</formula>
    </cfRule>
  </conditionalFormatting>
  <conditionalFormatting sqref="E1693">
    <cfRule type="expression" priority="2218" aboveAverage="0" equalAverage="0" bottom="0" percent="0" rank="0" text="" dxfId="2228">
      <formula>$F1693:I2328="pp"</formula>
    </cfRule>
  </conditionalFormatting>
  <conditionalFormatting sqref="B1768">
    <cfRule type="expression" priority="2219" aboveAverage="0" equalAverage="0" bottom="0" percent="0" rank="0" text="" dxfId="2229">
      <formula>$F1768:G2302="pp"</formula>
    </cfRule>
  </conditionalFormatting>
  <conditionalFormatting sqref="F1798 F1800:F1803">
    <cfRule type="expression" priority="2220" aboveAverage="0" equalAverage="0" bottom="0" percent="0" rank="0" text="" dxfId="2230">
      <formula>$F1798:J2382="pp"</formula>
    </cfRule>
  </conditionalFormatting>
  <conditionalFormatting sqref="M1175:N1175">
    <cfRule type="expression" priority="2221" aboveAverage="0" equalAverage="0" bottom="0" percent="0" rank="0" text="" dxfId="2231">
      <formula>$F1175:R2332="pp"</formula>
    </cfRule>
  </conditionalFormatting>
  <conditionalFormatting sqref="J1798">
    <cfRule type="expression" priority="2222" aboveAverage="0" equalAverage="0" bottom="0" percent="0" rank="0" text="" dxfId="2232">
      <formula>$F1798:O2307="pp"</formula>
    </cfRule>
  </conditionalFormatting>
  <conditionalFormatting sqref="E1798 G1786:I1788 E1800:E1803">
    <cfRule type="expression" priority="2223" aboveAverage="0" equalAverage="0" bottom="0" percent="0" rank="0" text="" dxfId="2233">
      <formula>$F1786:I2305="pp"</formula>
    </cfRule>
  </conditionalFormatting>
  <conditionalFormatting sqref="Q1798 Q1800:Q1803">
    <cfRule type="expression" priority="2224" aboveAverage="0" equalAverage="0" bottom="0" percent="0" rank="0" text="" dxfId="2234">
      <formula>$F1798:T2335="pp"</formula>
    </cfRule>
  </conditionalFormatting>
  <conditionalFormatting sqref="C1769:D1769 M1770:N1776 K1770:K1776">
    <cfRule type="expression" priority="2225" aboveAverage="0" equalAverage="0" bottom="0" percent="0" rank="0" text="" dxfId="2235">
      <formula>$F1769:H2339="pp"</formula>
    </cfRule>
  </conditionalFormatting>
  <conditionalFormatting sqref="E1799 E1791:E1794">
    <cfRule type="expression" priority="2226" aboveAverage="0" equalAverage="0" bottom="0" percent="0" rank="0" text="" dxfId="2236">
      <formula>$F1791:I2311="pp"</formula>
    </cfRule>
  </conditionalFormatting>
  <conditionalFormatting sqref="C1665:D1665">
    <cfRule type="expression" priority="2227" aboveAverage="0" equalAverage="0" bottom="0" percent="0" rank="0" text="" dxfId="2237">
      <formula>$F1665:H2347="pp"</formula>
    </cfRule>
  </conditionalFormatting>
  <conditionalFormatting sqref="B1798 B1800:B1803 A1830:A1834 K1845:K1865 M1845:N1865 J1800:J1803 L1800:L1803">
    <cfRule type="expression" priority="2228" aboveAverage="0" equalAverage="0" bottom="0" percent="0" rank="0" text="" dxfId="2238">
      <formula>$F1798:F2307="pp"</formula>
    </cfRule>
  </conditionalFormatting>
  <conditionalFormatting sqref="J1474">
    <cfRule type="expression" priority="2229" aboveAverage="0" equalAverage="0" bottom="0" percent="0" rank="0" text="" dxfId="2239">
      <formula>$F1474:O2304="pp"</formula>
    </cfRule>
  </conditionalFormatting>
  <conditionalFormatting sqref="B463 C500:D502">
    <cfRule type="expression" priority="2230" aboveAverage="0" equalAverage="0" bottom="0" percent="0" rank="0" text="" dxfId="2240">
      <formula>$F463:G2269="pp"</formula>
    </cfRule>
  </conditionalFormatting>
  <conditionalFormatting sqref="G1954:I1954">
    <cfRule type="expression" priority="2231" aboveAverage="0" equalAverage="0" bottom="0" percent="0" rank="0" text="" dxfId="2241">
      <formula>$F1954:K2325="pp"</formula>
    </cfRule>
  </conditionalFormatting>
  <conditionalFormatting sqref="A1925 B1911:B1917 M1964:N1967 J1911:J1917 L1911:L1917 K1964:K1967">
    <cfRule type="expression" priority="2232" aboveAverage="0" equalAverage="0" bottom="0" percent="0" rank="0" text="" dxfId="2242">
      <formula>$F1911:F2311="pp"</formula>
    </cfRule>
  </conditionalFormatting>
  <conditionalFormatting sqref="L1799">
    <cfRule type="expression" priority="2233" aboveAverage="0" equalAverage="0" bottom="0" percent="0" rank="0" text="" dxfId="2243">
      <formula>$F1799:Q2309="pp"</formula>
    </cfRule>
  </conditionalFormatting>
  <conditionalFormatting sqref="L1887">
    <cfRule type="expression" priority="2234" aboveAverage="0" equalAverage="0" bottom="0" percent="0" rank="0" text="" dxfId="2244">
      <formula>$F1887:Q2310="pp"</formula>
    </cfRule>
  </conditionalFormatting>
  <conditionalFormatting sqref="M1798:N1798">
    <cfRule type="expression" priority="2235" aboveAverage="0" equalAverage="0" bottom="0" percent="0" rank="0" text="" dxfId="2245">
      <formula>$F1798:R2344="pp"</formula>
    </cfRule>
  </conditionalFormatting>
  <conditionalFormatting sqref="B1489 B1483:B1485 L1483:L1485 J1483:J1485">
    <cfRule type="expression" priority="2236" aboveAverage="0" equalAverage="0" bottom="0" percent="0" rank="0" text="" dxfId="2246">
      <formula>$F1483:G2302="pp"</formula>
    </cfRule>
  </conditionalFormatting>
  <conditionalFormatting sqref="F1925">
    <cfRule type="expression" priority="2237" aboveAverage="0" equalAverage="0" bottom="0" percent="0" rank="0" text="" dxfId="2247">
      <formula>$F1925:J2382="pp"</formula>
    </cfRule>
  </conditionalFormatting>
  <conditionalFormatting sqref="K1925">
    <cfRule type="expression" priority="2238" aboveAverage="0" equalAverage="0" bottom="0" percent="0" rank="0" text="" dxfId="2248">
      <formula>$F1925:P2344="pp"</formula>
    </cfRule>
  </conditionalFormatting>
  <conditionalFormatting sqref="M1903:N1903">
    <cfRule type="expression" priority="2239" aboveAverage="0" equalAverage="0" bottom="0" percent="0" rank="0" text="" dxfId="2249">
      <formula>$F1903:R2352="pp"</formula>
    </cfRule>
  </conditionalFormatting>
  <conditionalFormatting sqref="P1693">
    <cfRule type="expression" priority="2240" aboveAverage="0" equalAverage="0" bottom="0" percent="0" rank="0" text="" dxfId="2250">
      <formula>$F1693:T3063="pp"</formula>
    </cfRule>
    <cfRule type="expression" priority="2241" aboveAverage="0" equalAverage="0" bottom="0" percent="0" rank="0" text="" dxfId="2251">
      <formula>$F1693:T2346="pp"</formula>
    </cfRule>
  </conditionalFormatting>
  <conditionalFormatting sqref="G1887:I1887">
    <cfRule type="expression" priority="2242" aboveAverage="0" equalAverage="0" bottom="0" percent="0" rank="0" text="" dxfId="2252">
      <formula>$F1887:K2310="pp"</formula>
    </cfRule>
  </conditionalFormatting>
  <conditionalFormatting sqref="C1925:D1925 M1933:N1944 K1933:K1944">
    <cfRule type="expression" priority="2243" aboveAverage="0" equalAverage="0" bottom="0" percent="0" rank="0" text="" dxfId="2253">
      <formula>$F1925:H2341="pp"</formula>
    </cfRule>
  </conditionalFormatting>
  <conditionalFormatting sqref="J1925">
    <cfRule type="expression" priority="2244" aboveAverage="0" equalAverage="0" bottom="0" percent="0" rank="0" text="" dxfId="2254">
      <formula>$F1925:O2307="pp"</formula>
    </cfRule>
  </conditionalFormatting>
  <conditionalFormatting sqref="Q1925">
    <cfRule type="expression" priority="2245" aboveAverage="0" equalAverage="0" bottom="0" percent="0" rank="0" text="" dxfId="2255">
      <formula>$F1925:T2335="pp"</formula>
    </cfRule>
  </conditionalFormatting>
  <conditionalFormatting sqref="A912 A916:A920">
    <cfRule type="expression" priority="2246" aboveAverage="0" equalAverage="0" bottom="0" percent="0" rank="0" text="" dxfId="2256">
      <formula>$F912:F2307="pp"</formula>
    </cfRule>
  </conditionalFormatting>
  <conditionalFormatting sqref="B1799">
    <cfRule type="expression" priority="2247" aboveAverage="0" equalAverage="0" bottom="0" percent="0" rank="0" text="" dxfId="2257">
      <formula>$F1799:G2309="pp"</formula>
    </cfRule>
  </conditionalFormatting>
  <conditionalFormatting sqref="F1833">
    <cfRule type="expression" priority="2248" aboveAverage="0" equalAverage="0" bottom="0" percent="0" rank="0" text="" dxfId="2258">
      <formula>$F1833:J2399="pp"</formula>
    </cfRule>
  </conditionalFormatting>
  <conditionalFormatting sqref="G553:I553">
    <cfRule type="expression" priority="2249" aboveAverage="0" equalAverage="0" bottom="0" percent="0" rank="0" text="" dxfId="2259">
      <formula>$F553:K2282="pp"</formula>
    </cfRule>
  </conditionalFormatting>
  <conditionalFormatting sqref="B848">
    <cfRule type="expression" priority="2250" aboveAverage="0" equalAverage="0" bottom="0" percent="0" rank="0" text="" dxfId="2260">
      <formula>$F848:G2288="pp"</formula>
    </cfRule>
  </conditionalFormatting>
  <conditionalFormatting sqref="K463">
    <cfRule type="expression" priority="2251" aboveAverage="0" equalAverage="0" bottom="0" percent="0" rank="0" text="" dxfId="2261">
      <formula>$F463:P2306="pp"</formula>
    </cfRule>
  </conditionalFormatting>
  <conditionalFormatting sqref="O1925">
    <cfRule type="expression" priority="2252" aboveAverage="0" equalAverage="0" bottom="0" percent="0" rank="0" text="" dxfId="2262">
      <formula>$F1925:S2322="pp"</formula>
    </cfRule>
  </conditionalFormatting>
  <conditionalFormatting sqref="O1918">
    <cfRule type="expression" priority="2253" aboveAverage="0" equalAverage="0" bottom="0" percent="0" rank="0" text="" dxfId="2263">
      <formula>$F1918:S2334="pp"</formula>
    </cfRule>
  </conditionalFormatting>
  <conditionalFormatting sqref="B1987">
    <cfRule type="expression" priority="2254" aboveAverage="0" equalAverage="0" bottom="0" percent="0" rank="0" text="" dxfId="2264">
      <formula>$F1987:G2309="pp"</formula>
    </cfRule>
  </conditionalFormatting>
  <conditionalFormatting sqref="E1981">
    <cfRule type="expression" priority="2255" aboveAverage="0" equalAverage="0" bottom="0" percent="0" rank="0" text="" dxfId="2265">
      <formula>$F1981:I2337="pp"</formula>
    </cfRule>
  </conditionalFormatting>
  <conditionalFormatting sqref="J1987">
    <cfRule type="expression" priority="2256" aboveAverage="0" equalAverage="0" bottom="0" percent="0" rank="0" text="" dxfId="2266">
      <formula>$F1987:O2309="pp"</formula>
    </cfRule>
  </conditionalFormatting>
  <conditionalFormatting sqref="K1987">
    <cfRule type="expression" priority="2257" aboveAverage="0" equalAverage="0" bottom="0" percent="0" rank="0" text="" dxfId="2267">
      <formula>$F1987:P2346="pp"</formula>
    </cfRule>
  </conditionalFormatting>
  <conditionalFormatting sqref="Q1987">
    <cfRule type="expression" priority="2258" aboveAverage="0" equalAverage="0" bottom="0" percent="0" rank="0" text="" dxfId="2268">
      <formula>$F1987:T2337="pp"</formula>
    </cfRule>
  </conditionalFormatting>
  <conditionalFormatting sqref="F1918">
    <cfRule type="expression" priority="2259" aboveAverage="0" equalAverage="0" bottom="0" percent="0" rank="0" text="" dxfId="2269">
      <formula>$F1918:J2394="pp"</formula>
    </cfRule>
  </conditionalFormatting>
  <conditionalFormatting sqref="L1798">
    <cfRule type="expression" priority="2260" aboveAverage="0" equalAverage="0" bottom="0" percent="0" rank="0" text="" dxfId="2270">
      <formula>$F1798:Q2307="pp"</formula>
    </cfRule>
  </conditionalFormatting>
  <conditionalFormatting sqref="F1835">
    <cfRule type="expression" priority="2261" aboveAverage="0" equalAverage="0" bottom="0" percent="0" rank="0" text="" dxfId="2271">
      <formula>$F1835:J2401="pp"</formula>
    </cfRule>
  </conditionalFormatting>
  <conditionalFormatting sqref="M1541:N1541">
    <cfRule type="expression" priority="2262" aboveAverage="0" equalAverage="0" bottom="0" percent="0" rank="0" text="" dxfId="2272">
      <formula>$F1541:R2353="pp"</formula>
    </cfRule>
  </conditionalFormatting>
  <conditionalFormatting sqref="F1917 O1869:O1872">
    <cfRule type="expression" priority="2263" aboveAverage="0" equalAverage="0" bottom="0" percent="0" rank="0" text="" dxfId="2273">
      <formula>$F1869:J2344="pp"</formula>
    </cfRule>
  </conditionalFormatting>
  <conditionalFormatting sqref="B238 A276:A278">
    <cfRule type="expression" priority="2264" aboveAverage="0" equalAverage="0" bottom="0" percent="0" rank="0" text="" dxfId="2274">
      <formula>$F238:F2267="pp"</formula>
    </cfRule>
  </conditionalFormatting>
  <conditionalFormatting sqref="A1918">
    <cfRule type="expression" priority="2265" aboveAverage="0" equalAverage="0" bottom="0" percent="0" rank="0" text="" dxfId="2275">
      <formula>$F1918:F2337="pp"</formula>
    </cfRule>
  </conditionalFormatting>
  <conditionalFormatting sqref="M1918:N1918">
    <cfRule type="expression" priority="2266" aboveAverage="0" equalAverage="0" bottom="0" percent="0" rank="0" text="" dxfId="2276">
      <formula>$F1918:R2356="pp"</formula>
    </cfRule>
  </conditionalFormatting>
  <conditionalFormatting sqref="Q1918">
    <cfRule type="expression" priority="2267" aboveAverage="0" equalAverage="0" bottom="0" percent="0" rank="0" text="" dxfId="2277">
      <formula>$F1918:T2347="pp"</formula>
    </cfRule>
  </conditionalFormatting>
  <conditionalFormatting sqref="C1918:D1918 B1882:B1883 L1882:L1883 J1882:J1883">
    <cfRule type="expression" priority="2268" aboveAverage="0" equalAverage="0" bottom="0" percent="0" rank="0" text="" dxfId="2278">
      <formula>$F1882:G2317="pp"</formula>
    </cfRule>
  </conditionalFormatting>
  <conditionalFormatting sqref="B1918 K1962:K1963 M1962:N1963">
    <cfRule type="expression" priority="2269" aboveAverage="0" equalAverage="0" bottom="0" percent="0" rank="0" text="" dxfId="2279">
      <formula>$F1918:G2319="pp"</formula>
    </cfRule>
  </conditionalFormatting>
  <conditionalFormatting sqref="C1594:D1594">
    <cfRule type="expression" priority="2270" aboveAverage="0" equalAverage="0" bottom="0" percent="0" rank="0" text="" dxfId="2280">
      <formula>$F1594:H2367="pp"</formula>
    </cfRule>
  </conditionalFormatting>
  <conditionalFormatting sqref="F1700">
    <cfRule type="expression" priority="2271" aboveAverage="0" equalAverage="0" bottom="0" percent="0" rank="0" text="" dxfId="2281">
      <formula>$F1700:J2384="pp"</formula>
    </cfRule>
  </conditionalFormatting>
  <conditionalFormatting sqref="M463:N463">
    <cfRule type="expression" priority="2272" aboveAverage="0" equalAverage="0" bottom="0" percent="0" rank="0" text="" dxfId="2282">
      <formula>$F463:R2306="pp"</formula>
    </cfRule>
  </conditionalFormatting>
  <conditionalFormatting sqref="A882">
    <cfRule type="expression" priority="2273" aboveAverage="0" equalAverage="0" bottom="0" percent="0" rank="0" text="" dxfId="2283">
      <formula>$F882:F2319="pp"</formula>
    </cfRule>
  </conditionalFormatting>
  <conditionalFormatting sqref="M462:N462">
    <cfRule type="expression" priority="2274" aboveAverage="0" equalAverage="0" bottom="0" percent="0" rank="0" text="" dxfId="2284">
      <formula>$F462:R2304="pp"</formula>
    </cfRule>
  </conditionalFormatting>
  <conditionalFormatting sqref="B428 K467:K470 M467:N470">
    <cfRule type="expression" priority="2275" aboveAverage="0" equalAverage="0" bottom="0" percent="0" rank="0" text="" dxfId="2285">
      <formula>$F428:G2269="pp"</formula>
    </cfRule>
  </conditionalFormatting>
  <conditionalFormatting sqref="J1521">
    <cfRule type="expression" priority="2276" aboveAverage="0" equalAverage="0" bottom="0" percent="0" rank="0" text="" dxfId="2286">
      <formula>$F1521:O2305="pp"</formula>
    </cfRule>
  </conditionalFormatting>
  <conditionalFormatting sqref="B783">
    <cfRule type="expression" priority="2277" aboveAverage="0" equalAverage="0" bottom="0" percent="0" rank="0" text="" dxfId="2287">
      <formula>$F783:G2272="pp"</formula>
    </cfRule>
  </conditionalFormatting>
  <conditionalFormatting sqref="C1799:D1799 C1791:D1794 M1804:N1809 K1795:K1796 M1795:N1796 K1804:K1809">
    <cfRule type="expression" priority="2278" aboveAverage="0" equalAverage="0" bottom="0" percent="0" rank="0" text="" dxfId="2288">
      <formula>$F1791:H2335="pp"</formula>
    </cfRule>
  </conditionalFormatting>
  <conditionalFormatting sqref="J429">
    <cfRule type="expression" priority="2279" aboveAverage="0" equalAverage="0" bottom="0" percent="0" rank="0" text="" dxfId="2289">
      <formula>$F429:O2268="pp"</formula>
    </cfRule>
  </conditionalFormatting>
  <conditionalFormatting sqref="M848:N848">
    <cfRule type="expression" priority="2280" aboveAverage="0" equalAverage="0" bottom="0" percent="0" rank="0" text="" dxfId="2290">
      <formula>$F848:R2325="pp"</formula>
    </cfRule>
  </conditionalFormatting>
  <conditionalFormatting sqref="K1918">
    <cfRule type="expression" priority="2281" aboveAverage="0" equalAverage="0" bottom="0" percent="0" rank="0" text="" dxfId="2291">
      <formula>$F1918:P2356="pp"</formula>
    </cfRule>
  </conditionalFormatting>
  <conditionalFormatting sqref="O1987 F2050:F2052">
    <cfRule type="expression" priority="2282" aboveAverage="0" equalAverage="0" bottom="0" percent="0" rank="0" text="" dxfId="2292">
      <formula>$F1987:J2324="pp"</formula>
    </cfRule>
  </conditionalFormatting>
  <conditionalFormatting sqref="B921">
    <cfRule type="expression" priority="2283" aboveAverage="0" equalAverage="0" bottom="0" percent="0" rank="0" text="" dxfId="2293">
      <formula>$F921:G2276="pp"</formula>
    </cfRule>
  </conditionalFormatting>
  <conditionalFormatting sqref="C1592:D1592">
    <cfRule type="expression" priority="2284" aboveAverage="0" equalAverage="0" bottom="0" percent="0" rank="0" text="" dxfId="2294">
      <formula>$F1592:H2365="pp"</formula>
    </cfRule>
  </conditionalFormatting>
  <conditionalFormatting sqref="E443">
    <cfRule type="expression" priority="2285" aboveAverage="0" equalAverage="0" bottom="0" percent="0" rank="0" text="" dxfId="2295">
      <formula>$F443:I2279="pp"</formula>
    </cfRule>
  </conditionalFormatting>
  <conditionalFormatting sqref="E981 E978:E979 O972:O977 E985:E986 F1301:F1302">
    <cfRule type="expression" priority="2286" aboveAverage="0" equalAverage="0" bottom="0" percent="0" rank="0" text="" dxfId="2296">
      <formula>$F972:I2300="pp"</formula>
    </cfRule>
  </conditionalFormatting>
  <conditionalFormatting sqref="L864">
    <cfRule type="expression" priority="2287" aboveAverage="0" equalAverage="0" bottom="0" percent="0" rank="0" text="" dxfId="2297">
      <formula>$F864:Q2285="pp"</formula>
    </cfRule>
  </conditionalFormatting>
  <conditionalFormatting sqref="C2061:D2061 M2062:N2062">
    <cfRule type="expression" priority="2288" aboveAverage="0" equalAverage="0" bottom="0" percent="0" rank="0" text="" dxfId="2298">
      <formula>$F2061:H2343="pp"</formula>
    </cfRule>
  </conditionalFormatting>
  <conditionalFormatting sqref="L1700">
    <cfRule type="expression" priority="2289" aboveAverage="0" equalAverage="0" bottom="0" percent="0" rank="0" text="" dxfId="2299">
      <formula>$F1700:Q2309="pp"</formula>
    </cfRule>
  </conditionalFormatting>
  <conditionalFormatting sqref="J506 C545:D549 B506">
    <cfRule type="expression" priority="2290" aboveAverage="0" equalAverage="0" bottom="0" percent="0" rank="0" text="" dxfId="2300">
      <formula>$F506:G2271="pp"</formula>
    </cfRule>
  </conditionalFormatting>
  <conditionalFormatting sqref="E1640 O1647:O1653">
    <cfRule type="expression" priority="2291" aboveAverage="0" equalAverage="0" bottom="0" percent="0" rank="0" text="" dxfId="2301">
      <formula>$F1640:I2317="pp"</formula>
    </cfRule>
  </conditionalFormatting>
  <conditionalFormatting sqref="B1769">
    <cfRule type="expression" priority="2292" aboveAverage="0" equalAverage="0" bottom="0" percent="0" rank="0" text="" dxfId="2302">
      <formula>$F1769:G2305="pp"</formula>
    </cfRule>
  </conditionalFormatting>
  <conditionalFormatting sqref="L1696">
    <cfRule type="expression" priority="2293" aboveAverage="0" equalAverage="0" bottom="0" percent="0" rank="0" text="" dxfId="2303">
      <formula>$F1696:Q2307="pp"</formula>
    </cfRule>
  </conditionalFormatting>
  <conditionalFormatting sqref="A1696">
    <cfRule type="expression" priority="2294" aboveAverage="0" equalAverage="0" bottom="0" percent="0" rank="0" text="" dxfId="2304">
      <formula>$F1696:F2325="pp"</formula>
    </cfRule>
  </conditionalFormatting>
  <conditionalFormatting sqref="O1693">
    <cfRule type="expression" priority="2295" aboveAverage="0" equalAverage="0" bottom="0" percent="0" rank="0" text="" dxfId="2305">
      <formula>$F1693:S2333="pp"</formula>
    </cfRule>
  </conditionalFormatting>
  <conditionalFormatting sqref="B1696">
    <cfRule type="expression" priority="2296" aboveAverage="0" equalAverage="0" bottom="0" percent="0" rank="0" text="" dxfId="2306">
      <formula>$F1696:G2307="pp"</formula>
    </cfRule>
  </conditionalFormatting>
  <conditionalFormatting sqref="A1700">
    <cfRule type="expression" priority="2297" aboveAverage="0" equalAverage="0" bottom="0" percent="0" rank="0" text="" dxfId="2307">
      <formula>$F1700:F2329="pp"</formula>
    </cfRule>
  </conditionalFormatting>
  <conditionalFormatting sqref="B1676 A1689:A1690 C1703:D1704">
    <cfRule type="expression" priority="2298" aboveAverage="0" equalAverage="0" bottom="0" percent="0" rank="0" text="" dxfId="2308">
      <formula>$F1676:F2316="pp"</formula>
    </cfRule>
  </conditionalFormatting>
  <conditionalFormatting sqref="G1700:I1700">
    <cfRule type="expression" priority="2299" aboveAverage="0" equalAverage="0" bottom="0" percent="0" rank="0" text="" dxfId="2309">
      <formula>$F1700:K2309="pp"</formula>
    </cfRule>
  </conditionalFormatting>
  <conditionalFormatting sqref="M1700:N1700">
    <cfRule type="expression" priority="2300" aboveAverage="0" equalAverage="0" bottom="0" percent="0" rank="0" text="" dxfId="2310">
      <formula>$F1700:R2346="pp"</formula>
    </cfRule>
  </conditionalFormatting>
  <conditionalFormatting sqref="J1676">
    <cfRule type="expression" priority="2301" aboveAverage="0" equalAverage="0" bottom="0" percent="0" rank="0" text="" dxfId="2311">
      <formula>$F1676:O2316="pp"</formula>
    </cfRule>
  </conditionalFormatting>
  <conditionalFormatting sqref="E1680">
    <cfRule type="expression" priority="2302" aboveAverage="0" equalAverage="0" bottom="0" percent="0" rank="0" text="" dxfId="2312">
      <formula>$F1680:I2311="pp"</formula>
    </cfRule>
  </conditionalFormatting>
  <conditionalFormatting sqref="J1700">
    <cfRule type="expression" priority="2303" aboveAverage="0" equalAverage="0" bottom="0" percent="0" rank="0" text="" dxfId="2313">
      <formula>$F1700:O2309="pp"</formula>
    </cfRule>
  </conditionalFormatting>
  <conditionalFormatting sqref="K1700">
    <cfRule type="expression" priority="2304" aboveAverage="0" equalAverage="0" bottom="0" percent="0" rank="0" text="" dxfId="2314">
      <formula>$F1700:P2346="pp"</formula>
    </cfRule>
  </conditionalFormatting>
  <conditionalFormatting sqref="O1680 E1678:E1679">
    <cfRule type="expression" priority="2305" aboveAverage="0" equalAverage="0" bottom="0" percent="0" rank="0" text="" dxfId="2315">
      <formula>$F1678:I2314="pp"</formula>
    </cfRule>
  </conditionalFormatting>
  <conditionalFormatting sqref="E1700">
    <cfRule type="expression" priority="2306" aboveAverage="0" equalAverage="0" bottom="0" percent="0" rank="0" text="" dxfId="2316">
      <formula>$F1700:I2319="pp"</formula>
    </cfRule>
  </conditionalFormatting>
  <conditionalFormatting sqref="Q1700">
    <cfRule type="expression" priority="2307" aboveAverage="0" equalAverage="0" bottom="0" percent="0" rank="0" text="" dxfId="2317">
      <formula>$F1700:T2337="pp"</formula>
    </cfRule>
  </conditionalFormatting>
  <conditionalFormatting sqref="A1797">
    <cfRule type="expression" priority="2308" aboveAverage="0" equalAverage="0" bottom="0" percent="0" rank="0" text="" dxfId="2318">
      <formula>$F1797:F2323="pp"</formula>
    </cfRule>
  </conditionalFormatting>
  <conditionalFormatting sqref="O1798 F1880:F1881 O1800:O1803">
    <cfRule type="expression" priority="2309" aboveAverage="0" equalAverage="0" bottom="0" percent="0" rank="0" text="" dxfId="2319">
      <formula>$F1798:J2322="pp"</formula>
    </cfRule>
  </conditionalFormatting>
  <conditionalFormatting sqref="C1797:D1797">
    <cfRule type="expression" priority="2310" aboveAverage="0" equalAverage="0" bottom="0" percent="0" rank="0" text="" dxfId="2320">
      <formula>$F1797:H2339="pp"</formula>
    </cfRule>
  </conditionalFormatting>
  <conditionalFormatting sqref="C1926:D1926">
    <cfRule type="expression" priority="2311" aboveAverage="0" equalAverage="0" bottom="0" percent="0" rank="0" text="" dxfId="2321">
      <formula>$F1926:H2346="pp"</formula>
    </cfRule>
  </conditionalFormatting>
  <conditionalFormatting sqref="F1696 G1616:I1619">
    <cfRule type="expression" priority="2312" aboveAverage="0" equalAverage="0" bottom="0" percent="0" rank="0" text="" dxfId="2322">
      <formula>$F1616:J2302="pp"</formula>
    </cfRule>
  </conditionalFormatting>
  <conditionalFormatting sqref="F1797">
    <cfRule type="expression" priority="2313" aboveAverage="0" equalAverage="0" bottom="0" percent="0" rank="0" text="" dxfId="2323">
      <formula>$F1797:J2380="pp"</formula>
    </cfRule>
  </conditionalFormatting>
  <conditionalFormatting sqref="J1696">
    <cfRule type="expression" priority="2314" aboveAverage="0" equalAverage="0" bottom="0" percent="0" rank="0" text="" dxfId="2324">
      <formula>$F1696:O2307="pp"</formula>
    </cfRule>
  </conditionalFormatting>
  <conditionalFormatting sqref="J1797">
    <cfRule type="expression" priority="2315" aboveAverage="0" equalAverage="0" bottom="0" percent="0" rank="0" text="" dxfId="2325">
      <formula>$F1797:O2305="pp"</formula>
    </cfRule>
  </conditionalFormatting>
  <conditionalFormatting sqref="K1797">
    <cfRule type="expression" priority="2316" aboveAverage="0" equalAverage="0" bottom="0" percent="0" rank="0" text="" dxfId="2326">
      <formula>$F1797:P2342="pp"</formula>
    </cfRule>
  </conditionalFormatting>
  <conditionalFormatting sqref="E1797 O1810:O1813">
    <cfRule type="expression" priority="2317" aboveAverage="0" equalAverage="0" bottom="0" percent="0" rank="0" text="" dxfId="2327">
      <formula>$F1797:I2315="pp"</formula>
    </cfRule>
  </conditionalFormatting>
  <conditionalFormatting sqref="Q1696">
    <cfRule type="expression" priority="2318" aboveAverage="0" equalAverage="0" bottom="0" percent="0" rank="0" text="" dxfId="2328">
      <formula>$F1696:T2335="pp"</formula>
    </cfRule>
  </conditionalFormatting>
  <conditionalFormatting sqref="Q1797">
    <cfRule type="expression" priority="2319" aboveAverage="0" equalAverage="0" bottom="0" percent="0" rank="0" text="" dxfId="2329">
      <formula>$F1797:T2333="pp"</formula>
    </cfRule>
  </conditionalFormatting>
  <conditionalFormatting sqref="E507 F683:F684 G500:I502">
    <cfRule type="expression" priority="2320" aboveAverage="0" equalAverage="0" bottom="0" percent="0" rank="0" text="" dxfId="2330">
      <formula>$F500:I2272="pp"</formula>
    </cfRule>
  </conditionalFormatting>
  <conditionalFormatting sqref="B1680">
    <cfRule type="expression" priority="2321" aboveAverage="0" equalAverage="0" bottom="0" percent="0" rank="0" text="" dxfId="2331">
      <formula>$F1680:G2301="pp"</formula>
    </cfRule>
  </conditionalFormatting>
  <conditionalFormatting sqref="P1680">
    <cfRule type="expression" priority="2322" aboveAverage="0" equalAverage="0" bottom="0" percent="0" rank="0" text="" dxfId="2332">
      <formula>$F1680:T2329="pp"</formula>
    </cfRule>
  </conditionalFormatting>
  <conditionalFormatting sqref="A1692 B1666:B1675 L1666:L1675 J1666:J1675">
    <cfRule type="expression" priority="2323" aboveAverage="0" equalAverage="0" bottom="0" percent="0" rank="0" text="" dxfId="2333">
      <formula>$F1666:F2307="pp"</formula>
    </cfRule>
  </conditionalFormatting>
  <conditionalFormatting sqref="C1770:D1770">
    <cfRule type="expression" priority="2324" aboveAverage="0" equalAverage="0" bottom="0" percent="0" rank="0" text="" dxfId="2334">
      <formula>$F1770:H2337="pp"</formula>
    </cfRule>
  </conditionalFormatting>
  <conditionalFormatting sqref="G1945:I1945 F2014:F2026 G1949:I1950">
    <cfRule type="expression" priority="2325" aboveAverage="0" equalAverage="0" bottom="0" percent="0" rank="0" text="" dxfId="2335">
      <formula>$F1945:J2320="pp"</formula>
    </cfRule>
  </conditionalFormatting>
  <conditionalFormatting sqref="L1945">
    <cfRule type="expression" priority="2326" aboveAverage="0" equalAverage="0" bottom="0" percent="0" rank="0" text="" dxfId="2336">
      <formula>$F1945:Q2320="pp"</formula>
    </cfRule>
  </conditionalFormatting>
  <conditionalFormatting sqref="M1945:N1945">
    <cfRule type="expression" priority="2327" aboveAverage="0" equalAverage="0" bottom="0" percent="0" rank="0" text="" dxfId="2337">
      <formula>$F1945:R2357="pp"</formula>
    </cfRule>
  </conditionalFormatting>
  <conditionalFormatting sqref="E1270 O1271:O1275 E1277:E1279">
    <cfRule type="expression" priority="2328" aboveAverage="0" equalAverage="0" bottom="0" percent="0" rank="0" text="" dxfId="2338">
      <formula>$F1270:I2299="pp"</formula>
    </cfRule>
  </conditionalFormatting>
  <conditionalFormatting sqref="B1700">
    <cfRule type="expression" priority="2329" aboveAverage="0" equalAverage="0" bottom="0" percent="0" rank="0" text="" dxfId="2339">
      <formula>$F1700:G2309="pp"</formula>
    </cfRule>
  </conditionalFormatting>
  <conditionalFormatting sqref="E1829 F1885:F1886">
    <cfRule type="expression" priority="2330" aboveAverage="0" equalAverage="0" bottom="0" percent="0" rank="0" text="" dxfId="2340">
      <formula>$F1829:I2328="pp"</formula>
    </cfRule>
  </conditionalFormatting>
  <conditionalFormatting sqref="C1596:D1596">
    <cfRule type="expression" priority="2331" aboveAverage="0" equalAverage="0" bottom="0" percent="0" rank="0" text="" dxfId="2341">
      <formula>$F1596:H2369="pp"</formula>
    </cfRule>
  </conditionalFormatting>
  <conditionalFormatting sqref="L1918">
    <cfRule type="expression" priority="2332" aboveAverage="0" equalAverage="0" bottom="0" percent="0" rank="0" text="" dxfId="2342">
      <formula>$F1918:Q2319="pp"</formula>
    </cfRule>
  </conditionalFormatting>
  <conditionalFormatting sqref="A1868 A1873:A1879">
    <cfRule type="expression" priority="2333" aboveAverage="0" equalAverage="0" bottom="0" percent="0" rank="0" text="" dxfId="2343">
      <formula>$F1868:F2345="pp"</formula>
    </cfRule>
  </conditionalFormatting>
  <conditionalFormatting sqref="O1945 O1949:O1950 E1927:E1932">
    <cfRule type="expression" priority="2334" aboveAverage="0" equalAverage="0" bottom="0" percent="0" rank="0" text="" dxfId="2344">
      <formula>$F1927:I2317="pp"</formula>
    </cfRule>
  </conditionalFormatting>
  <conditionalFormatting sqref="F1926">
    <cfRule type="expression" priority="2335" aboveAverage="0" equalAverage="0" bottom="0" percent="0" rank="0" text="" dxfId="2345">
      <formula>$F1926:J2387="pp"</formula>
    </cfRule>
  </conditionalFormatting>
  <conditionalFormatting sqref="A1768">
    <cfRule type="expression" priority="2336" aboveAverage="0" equalAverage="0" bottom="0" percent="0" rank="0" text="" dxfId="2346">
      <formula>$F1768:F2320="pp"</formula>
    </cfRule>
  </conditionalFormatting>
  <conditionalFormatting sqref="C1814:D1814">
    <cfRule type="expression" priority="2337" aboveAverage="0" equalAverage="0" bottom="0" percent="0" rank="0" text="" dxfId="2347">
      <formula>$F1814:H2346="pp"</formula>
    </cfRule>
  </conditionalFormatting>
  <conditionalFormatting sqref="A1889">
    <cfRule type="expression" priority="2338" aboveAverage="0" equalAverage="0" bottom="0" percent="0" rank="0" text="" dxfId="2348">
      <formula>$F1889:F2328="pp"</formula>
    </cfRule>
  </conditionalFormatting>
  <conditionalFormatting sqref="E1887">
    <cfRule type="expression" priority="2339" aboveAverage="0" equalAverage="0" bottom="0" percent="0" rank="0" text="" dxfId="2349">
      <formula>$F1887:I2320="pp"</formula>
    </cfRule>
  </conditionalFormatting>
  <conditionalFormatting sqref="A1130 C1151:D1152">
    <cfRule type="expression" priority="2340" aboveAverage="0" equalAverage="0" bottom="0" percent="0" rank="0" text="" dxfId="2350">
      <formula>$F1130:F2309="pp"</formula>
    </cfRule>
  </conditionalFormatting>
  <conditionalFormatting sqref="C1945:D1945 C1949:D1950 M1951:N1953 K1951:K1953">
    <cfRule type="expression" priority="2341" aboveAverage="0" equalAverage="0" bottom="0" percent="0" rank="0" text="" dxfId="2351">
      <formula>$F1945:H2354="pp"</formula>
    </cfRule>
  </conditionalFormatting>
  <conditionalFormatting sqref="A515 K534:K537 M534:N537">
    <cfRule type="expression" priority="2342" aboveAverage="0" equalAverage="0" bottom="0" percent="0" rank="0" text="" dxfId="2352">
      <formula>$F515:F2292="pp"</formula>
    </cfRule>
  </conditionalFormatting>
  <conditionalFormatting sqref="C1643:D1643 C1647:D1653">
    <cfRule type="expression" priority="2343" aboveAverage="0" equalAverage="0" bottom="0" percent="0" rank="0" text="" dxfId="2353">
      <formula>$F1643:H2339="pp"</formula>
    </cfRule>
  </conditionalFormatting>
  <conditionalFormatting sqref="G1680:I1680">
    <cfRule type="expression" priority="2344" aboveAverage="0" equalAverage="0" bottom="0" percent="0" rank="0" text="" dxfId="2354">
      <formula>$F1680:K2301="pp"</formula>
    </cfRule>
  </conditionalFormatting>
  <conditionalFormatting sqref="C1644:D1644 C1641:D1642">
    <cfRule type="expression" priority="2345" aboveAverage="0" equalAverage="0" bottom="0" percent="0" rank="0" text="" dxfId="2355">
      <formula>$F1641:H2336="pp"</formula>
    </cfRule>
  </conditionalFormatting>
  <conditionalFormatting sqref="B1681">
    <cfRule type="expression" priority="2346" aboveAverage="0" equalAverage="0" bottom="0" percent="0" rank="0" text="" dxfId="2356">
      <formula>$F1681:G2300="pp"</formula>
    </cfRule>
  </conditionalFormatting>
  <conditionalFormatting sqref="E912 E916:E918">
    <cfRule type="expression" priority="2347" aboveAverage="0" equalAverage="0" bottom="0" percent="0" rank="0" text="" dxfId="2357">
      <formula>$F912:I2290="pp"</formula>
    </cfRule>
  </conditionalFormatting>
  <conditionalFormatting sqref="B442">
    <cfRule type="expression" priority="2348" aboveAverage="0" equalAverage="0" bottom="0" percent="0" rank="0" text="" dxfId="2358">
      <formula>$F442:G2266="pp"</formula>
    </cfRule>
  </conditionalFormatting>
  <conditionalFormatting sqref="B270">
    <cfRule type="expression" priority="2349" aboveAverage="0" equalAverage="0" bottom="0" percent="0" rank="0" text="" dxfId="2359">
      <formula>$F270:G2287="pp"</formula>
    </cfRule>
  </conditionalFormatting>
  <conditionalFormatting sqref="A1945 A1949:A1950">
    <cfRule type="expression" priority="2350" aboveAverage="0" equalAverage="0" bottom="0" percent="0" rank="0" text="" dxfId="2360">
      <formula>$F1945:F2338="pp"</formula>
    </cfRule>
  </conditionalFormatting>
  <conditionalFormatting sqref="G1926:I1926 E1946:E1948 F2004">
    <cfRule type="expression" priority="2351" aboveAverage="0" equalAverage="0" bottom="0" percent="0" rank="0" text="" dxfId="2361">
      <formula>$F1926:I2312="pp"</formula>
    </cfRule>
  </conditionalFormatting>
  <conditionalFormatting sqref="A1883">
    <cfRule type="expression" priority="2352" aboveAverage="0" equalAverage="0" bottom="0" percent="0" rank="0" text="" dxfId="2362">
      <formula>$F1883:F2336="pp"</formula>
    </cfRule>
  </conditionalFormatting>
  <conditionalFormatting sqref="G1925:I1925 F2006:F2013 E1951:E1953">
    <cfRule type="expression" priority="2353" aboveAverage="0" equalAverage="0" bottom="0" percent="0" rank="0" text="" dxfId="2363">
      <formula>$F1925:I2307="pp"</formula>
    </cfRule>
  </conditionalFormatting>
  <conditionalFormatting sqref="K1956">
    <cfRule type="expression" priority="2354" aboveAverage="0" equalAverage="0" bottom="0" percent="0" rank="0" text="" dxfId="2364">
      <formula>$F1956:P2361="pp"</formula>
    </cfRule>
  </conditionalFormatting>
  <conditionalFormatting sqref="Q1956 Q1960:Q1961">
    <cfRule type="expression" priority="2355" aboveAverage="0" equalAverage="0" bottom="0" percent="0" rank="0" text="" dxfId="2365">
      <formula>$F1956:T2352="pp"</formula>
    </cfRule>
  </conditionalFormatting>
  <conditionalFormatting sqref="B1887">
    <cfRule type="expression" priority="2356" aboveAverage="0" equalAverage="0" bottom="0" percent="0" rank="0" text="" dxfId="2366">
      <formula>$F1887:G2310="pp"</formula>
    </cfRule>
  </conditionalFormatting>
  <conditionalFormatting sqref="O1541 O1543:O1544 O1535:O1536 G1514:I1516">
    <cfRule type="expression" priority="2357" aboveAverage="0" equalAverage="0" bottom="0" percent="0" rank="0" text="" dxfId="2367">
      <formula>$F1514:K2304="pp"</formula>
    </cfRule>
  </conditionalFormatting>
  <conditionalFormatting sqref="C1646:D1646">
    <cfRule type="expression" priority="2358" aboveAverage="0" equalAverage="0" bottom="0" percent="0" rank="0" text="" dxfId="2368">
      <formula>$F1646:H2341="pp"</formula>
    </cfRule>
  </conditionalFormatting>
  <conditionalFormatting sqref="F1945 F1949:F1950 O1882:O1888">
    <cfRule type="expression" priority="2359" aboveAverage="0" equalAverage="0" bottom="0" percent="0" rank="0" text="" dxfId="2369">
      <formula>$F1882:J2332="pp"</formula>
    </cfRule>
  </conditionalFormatting>
  <conditionalFormatting sqref="B1945 B1949:B1950 J1949:J1950 L1949:L1950">
    <cfRule type="expression" priority="2360" aboveAverage="0" equalAverage="0" bottom="0" percent="0" rank="0" text="" dxfId="2370">
      <formula>$F1945:G2320="pp"</formula>
    </cfRule>
  </conditionalFormatting>
  <conditionalFormatting sqref="K1945 B1896:B1903 K1949:K1950 M1949:N1950 J1896:J1903 L1896:L1903">
    <cfRule type="expression" priority="2361" aboveAverage="0" equalAverage="0" bottom="0" percent="0" rank="0" text="" dxfId="2371">
      <formula>$F1896:G2308="pp"</formula>
    </cfRule>
  </conditionalFormatting>
  <conditionalFormatting sqref="J1945">
    <cfRule type="expression" priority="2362" aboveAverage="0" equalAverage="0" bottom="0" percent="0" rank="0" text="" dxfId="2372">
      <formula>$F1945:O2320="pp"</formula>
    </cfRule>
  </conditionalFormatting>
  <conditionalFormatting sqref="Q1945 Q1949:Q1950">
    <cfRule type="expression" priority="2363" aboveAverage="0" equalAverage="0" bottom="0" percent="0" rank="0" text="" dxfId="2373">
      <formula>$F1945:T2348="pp"</formula>
    </cfRule>
  </conditionalFormatting>
  <conditionalFormatting sqref="J194">
    <cfRule type="expression" priority="2364" aboveAverage="0" equalAverage="0" bottom="0" percent="0" rank="0" text="" dxfId="2374">
      <formula>$F194:O2226="pp"</formula>
    </cfRule>
  </conditionalFormatting>
  <conditionalFormatting sqref="K1926">
    <cfRule type="expression" priority="2365" aboveAverage="0" equalAverage="0" bottom="0" percent="0" rank="0" text="" dxfId="2375">
      <formula>$F1926:P2349="pp"</formula>
    </cfRule>
  </conditionalFormatting>
  <conditionalFormatting sqref="A1973">
    <cfRule type="expression" priority="2366" aboveAverage="0" equalAverage="0" bottom="0" percent="0" rank="0" text="" dxfId="2376">
      <formula>$F1973:F2343="pp"</formula>
    </cfRule>
  </conditionalFormatting>
  <conditionalFormatting sqref="Q1955 Q1957:Q1959">
    <cfRule type="expression" priority="2367" aboveAverage="0" equalAverage="0" bottom="0" percent="0" rank="0" text="" dxfId="2377">
      <formula>$F1955:T2352="pp"</formula>
    </cfRule>
  </conditionalFormatting>
  <conditionalFormatting sqref="M1926:N1926">
    <cfRule type="expression" priority="2368" aboveAverage="0" equalAverage="0" bottom="0" percent="0" rank="0" text="" dxfId="2378">
      <formula>$F1926:R2349="pp"</formula>
    </cfRule>
  </conditionalFormatting>
  <conditionalFormatting sqref="E1945 E1949:E1950 G1922:I1924">
    <cfRule type="expression" priority="2369" aboveAverage="0" equalAverage="0" bottom="0" percent="0" rank="0" text="" dxfId="2379">
      <formula>$F1922:I2307="pp"</formula>
    </cfRule>
  </conditionalFormatting>
  <conditionalFormatting sqref="C1954:D1954 K1960:K1961 M1956:N1961">
    <cfRule type="expression" priority="2370" aboveAverage="0" equalAverage="0" bottom="0" percent="0" rank="0" text="" dxfId="2380">
      <formula>$F1954:H2359="pp"</formula>
    </cfRule>
  </conditionalFormatting>
  <conditionalFormatting sqref="J1954">
    <cfRule type="expression" priority="2371" aboveAverage="0" equalAverage="0" bottom="0" percent="0" rank="0" text="" dxfId="2381">
      <formula>$F1954:O2325="pp"</formula>
    </cfRule>
  </conditionalFormatting>
  <conditionalFormatting sqref="K1954">
    <cfRule type="expression" priority="2372" aboveAverage="0" equalAverage="0" bottom="0" percent="0" rank="0" text="" dxfId="2382">
      <formula>$F1954:P2362="pp"</formula>
    </cfRule>
  </conditionalFormatting>
  <conditionalFormatting sqref="E1954">
    <cfRule type="expression" priority="2373" aboveAverage="0" equalAverage="0" bottom="0" percent="0" rank="0" text="" dxfId="2383">
      <formula>$F1954:I2335="pp"</formula>
    </cfRule>
  </conditionalFormatting>
  <conditionalFormatting sqref="M1955:N1955">
    <cfRule type="expression" priority="2374" aboveAverage="0" equalAverage="0" bottom="0" percent="0" rank="0" text="" dxfId="2384">
      <formula>$F1955:R2361="pp"</formula>
    </cfRule>
  </conditionalFormatting>
  <conditionalFormatting sqref="G1829:I1829 E1837:E1844">
    <cfRule type="expression" priority="2375" aboveAverage="0" equalAverage="0" bottom="0" percent="0" rank="0" text="" dxfId="2385">
      <formula>$F1829:I2318="pp"</formula>
    </cfRule>
  </conditionalFormatting>
  <conditionalFormatting sqref="L1926">
    <cfRule type="expression" priority="2376" aboveAverage="0" equalAverage="0" bottom="0" percent="0" rank="0" text="" dxfId="2386">
      <formula>$F1926:Q2312="pp"</formula>
    </cfRule>
  </conditionalFormatting>
  <conditionalFormatting sqref="B1829">
    <cfRule type="expression" priority="2377" aboveAverage="0" equalAverage="0" bottom="0" percent="0" rank="0" text="" dxfId="2387">
      <formula>$F1829:G2318="pp"</formula>
    </cfRule>
  </conditionalFormatting>
  <conditionalFormatting sqref="K1829">
    <cfRule type="expression" priority="2378" aboveAverage="0" equalAverage="0" bottom="0" percent="0" rank="0" text="" dxfId="2388">
      <formula>$F1829:P2355="pp"</formula>
    </cfRule>
  </conditionalFormatting>
  <conditionalFormatting sqref="K1955 C1951:D1953 K1957:K1959">
    <cfRule type="expression" priority="2379" aboveAverage="0" equalAverage="0" bottom="0" percent="0" rank="0" text="" dxfId="2389">
      <formula>$F1951:H2357="pp"</formula>
    </cfRule>
  </conditionalFormatting>
  <conditionalFormatting sqref="L1954">
    <cfRule type="expression" priority="2380" aboveAverage="0" equalAverage="0" bottom="0" percent="0" rank="0" text="" dxfId="2390">
      <formula>$F1954:Q2325="pp"</formula>
    </cfRule>
  </conditionalFormatting>
  <conditionalFormatting sqref="O1829 E1817:E1821">
    <cfRule type="expression" priority="2381" aboveAverage="0" equalAverage="0" bottom="0" percent="0" rank="0" text="" dxfId="2391">
      <formula>$F1817:I2321="pp"</formula>
    </cfRule>
  </conditionalFormatting>
  <conditionalFormatting sqref="O1954">
    <cfRule type="expression" priority="2382" aboveAverage="0" equalAverage="0" bottom="0" percent="0" rank="0" text="" dxfId="2392">
      <formula>$F1954:S2340="pp"</formula>
    </cfRule>
  </conditionalFormatting>
  <conditionalFormatting sqref="M1954:N1954">
    <cfRule type="expression" priority="2383" aboveAverage="0" equalAverage="0" bottom="0" percent="0" rank="0" text="" dxfId="2393">
      <formula>$F1954:R2362="pp"</formula>
    </cfRule>
  </conditionalFormatting>
  <conditionalFormatting sqref="G1797:I1797">
    <cfRule type="expression" priority="2384" aboveAverage="0" equalAverage="0" bottom="0" percent="0" rank="0" text="" dxfId="2394">
      <formula>$F1797:K2305="pp"</formula>
    </cfRule>
  </conditionalFormatting>
  <conditionalFormatting sqref="B1797">
    <cfRule type="expression" priority="2385" aboveAverage="0" equalAverage="0" bottom="0" percent="0" rank="0" text="" dxfId="2395">
      <formula>$F1797:G2305="pp"</formula>
    </cfRule>
  </conditionalFormatting>
  <conditionalFormatting sqref="L1797">
    <cfRule type="expression" priority="2386" aboveAverage="0" equalAverage="0" bottom="0" percent="0" rank="0" text="" dxfId="2396">
      <formula>$F1797:Q2305="pp"</formula>
    </cfRule>
  </conditionalFormatting>
  <conditionalFormatting sqref="C1829:D1829">
    <cfRule type="expression" priority="2387" aboveAverage="0" equalAverage="0" bottom="0" percent="0" rank="0" text="" dxfId="2397">
      <formula>$F1829:H2352="pp"</formula>
    </cfRule>
  </conditionalFormatting>
  <conditionalFormatting sqref="A1829 B1795:B1796 B1804:B1809 L1804:L1809 J1795:J1796 L1795:L1796 J1804:J1809">
    <cfRule type="expression" priority="2388" aboveAverage="0" equalAverage="0" bottom="0" percent="0" rank="0" text="" dxfId="2398">
      <formula>$F1795:F2302="pp"</formula>
    </cfRule>
  </conditionalFormatting>
  <conditionalFormatting sqref="E1769 G1761:I1767">
    <cfRule type="expression" priority="2389" aboveAverage="0" equalAverage="0" bottom="0" percent="0" rank="0" text="" dxfId="2399">
      <formula>$F1761:I2307="pp"</formula>
    </cfRule>
  </conditionalFormatting>
  <conditionalFormatting sqref="J1829">
    <cfRule type="expression" priority="2390" aboveAverage="0" equalAverage="0" bottom="0" percent="0" rank="0" text="" dxfId="2400">
      <formula>$F1829:O2318="pp"</formula>
    </cfRule>
  </conditionalFormatting>
  <conditionalFormatting sqref="Q1829">
    <cfRule type="expression" priority="2391" aboveAverage="0" equalAverage="0" bottom="0" percent="0" rank="0" text="" dxfId="2401">
      <formula>$F1829:T2346="pp"</formula>
    </cfRule>
  </conditionalFormatting>
  <conditionalFormatting sqref="O1981">
    <cfRule type="expression" priority="2392" aboveAverage="0" equalAverage="0" bottom="0" percent="0" rank="0" text="" dxfId="2402">
      <formula>$F1981:S2342="pp"</formula>
    </cfRule>
  </conditionalFormatting>
  <conditionalFormatting sqref="G1973:I1973">
    <cfRule type="expression" priority="2393" aboveAverage="0" equalAverage="0" bottom="0" percent="0" rank="0" text="" dxfId="2403">
      <formula>$F1973:K2325="pp"</formula>
    </cfRule>
  </conditionalFormatting>
  <conditionalFormatting sqref="C1903:D1903">
    <cfRule type="expression" priority="2394" aboveAverage="0" equalAverage="0" bottom="0" percent="0" rank="0" text="" dxfId="2404">
      <formula>$F1903:H2349="pp"</formula>
    </cfRule>
  </conditionalFormatting>
  <conditionalFormatting sqref="O1972 G1960:I1961">
    <cfRule type="expression" priority="2395" aboveAverage="0" equalAverage="0" bottom="0" percent="0" rank="0" text="" dxfId="2405">
      <formula>$F1960:K2328="pp"</formula>
    </cfRule>
  </conditionalFormatting>
  <conditionalFormatting sqref="L1972">
    <cfRule type="expression" priority="2396" aboveAverage="0" equalAverage="0" bottom="0" percent="0" rank="0" text="" dxfId="2406">
      <formula>$F1972:Q2325="pp"</formula>
    </cfRule>
  </conditionalFormatting>
  <conditionalFormatting sqref="M1829:N1829">
    <cfRule type="expression" priority="2397" aboveAverage="0" equalAverage="0" bottom="0" percent="0" rank="0" text="" dxfId="2407">
      <formula>$F1829:R2355="pp"</formula>
    </cfRule>
  </conditionalFormatting>
  <conditionalFormatting sqref="J1888">
    <cfRule type="expression" priority="2398" aboveAverage="0" equalAverage="0" bottom="0" percent="0" rank="0" text="" dxfId="2408">
      <formula>$F1888:O2310="pp"</formula>
    </cfRule>
  </conditionalFormatting>
  <conditionalFormatting sqref="E1884 F1964:F1965">
    <cfRule type="expression" priority="2399" aboveAverage="0" equalAverage="0" bottom="0" percent="0" rank="0" text="" dxfId="2409">
      <formula>$F1884:I2322="pp"</formula>
    </cfRule>
  </conditionalFormatting>
  <conditionalFormatting sqref="E1973">
    <cfRule type="expression" priority="2400" aboveAverage="0" equalAverage="0" bottom="0" percent="0" rank="0" text="" dxfId="2410">
      <formula>$F1973:I2335="pp"</formula>
    </cfRule>
  </conditionalFormatting>
  <conditionalFormatting sqref="L1973">
    <cfRule type="expression" priority="2401" aboveAverage="0" equalAverage="0" bottom="0" percent="0" rank="0" text="" dxfId="2411">
      <formula>$F1973:Q2325="pp"</formula>
    </cfRule>
  </conditionalFormatting>
  <conditionalFormatting sqref="O1973 F2027:F2030">
    <cfRule type="expression" priority="2402" aboveAverage="0" equalAverage="0" bottom="0" percent="0" rank="0" text="" dxfId="2412">
      <formula>$F1973:J2340="pp"</formula>
    </cfRule>
  </conditionalFormatting>
  <conditionalFormatting sqref="B1954">
    <cfRule type="expression" priority="2403" aboveAverage="0" equalAverage="0" bottom="0" percent="0" rank="0" text="" dxfId="2413">
      <formula>$F1954:G2325="pp"</formula>
    </cfRule>
  </conditionalFormatting>
  <conditionalFormatting sqref="F1973">
    <cfRule type="expression" priority="2404" aboveAverage="0" equalAverage="0" bottom="0" percent="0" rank="0" text="" dxfId="2414">
      <formula>$F1973:J2400="pp"</formula>
    </cfRule>
  </conditionalFormatting>
  <conditionalFormatting sqref="M1973:N1973">
    <cfRule type="expression" priority="2405" aboveAverage="0" equalAverage="0" bottom="0" percent="0" rank="0" text="" dxfId="2415">
      <formula>$F1973:R2370="pp"</formula>
    </cfRule>
  </conditionalFormatting>
  <conditionalFormatting sqref="E1972 G1964:I1965">
    <cfRule type="expression" priority="2406" aboveAverage="0" equalAverage="0" bottom="0" percent="0" rank="0" text="" dxfId="2416">
      <formula>$F1964:I2327="pp"</formula>
    </cfRule>
  </conditionalFormatting>
  <conditionalFormatting sqref="J1972">
    <cfRule type="expression" priority="2407" aboveAverage="0" equalAverage="0" bottom="0" percent="0" rank="0" text="" dxfId="2417">
      <formula>$F1972:O2325="pp"</formula>
    </cfRule>
  </conditionalFormatting>
  <conditionalFormatting sqref="F1972">
    <cfRule type="expression" priority="2408" aboveAverage="0" equalAverage="0" bottom="0" percent="0" rank="0" text="" dxfId="2418">
      <formula>$F1972:J2400="pp"</formula>
    </cfRule>
  </conditionalFormatting>
  <conditionalFormatting sqref="K1973 C1964:D1965 A1933:A1944">
    <cfRule type="expression" priority="2409" aboveAverage="0" equalAverage="0" bottom="0" percent="0" rank="0" text="" dxfId="2419">
      <formula>$F1933:F2330="pp"</formula>
    </cfRule>
  </conditionalFormatting>
  <conditionalFormatting sqref="Q1974 Q1964:Q1967">
    <cfRule type="expression" priority="2410" aboveAverage="0" equalAverage="0" bottom="0" percent="0" rank="0" text="" dxfId="2420">
      <formula>$F1964:T2355="pp"</formula>
    </cfRule>
  </conditionalFormatting>
  <conditionalFormatting sqref="C1973:D1973">
    <cfRule type="expression" priority="2411" aboveAverage="0" equalAverage="0" bottom="0" percent="0" rank="0" text="" dxfId="2421">
      <formula>$F1973:H2359="pp"</formula>
    </cfRule>
  </conditionalFormatting>
  <conditionalFormatting sqref="K1972 C1962:D1963 A1927:A1932">
    <cfRule type="expression" priority="2412" aboveAverage="0" equalAverage="0" bottom="0" percent="0" rank="0" text="" dxfId="2422">
      <formula>$F1927:F2325="pp"</formula>
    </cfRule>
  </conditionalFormatting>
  <conditionalFormatting sqref="C1972:D1972 A1955:A1959 M1974:N1976 K1974:K1976">
    <cfRule type="expression" priority="2413" aboveAverage="0" equalAverage="0" bottom="0" percent="0" rank="0" text="" dxfId="2423">
      <formula>$F1955:F2342="pp"</formula>
    </cfRule>
  </conditionalFormatting>
  <conditionalFormatting sqref="K1981">
    <cfRule type="expression" priority="2414" aboveAverage="0" equalAverage="0" bottom="0" percent="0" rank="0" text="" dxfId="2424">
      <formula>$F1981:P2364="pp"</formula>
    </cfRule>
  </conditionalFormatting>
  <conditionalFormatting sqref="P270">
    <cfRule type="expression" priority="2415" aboveAverage="0" equalAverage="0" bottom="0" percent="0" rank="0" text="" dxfId="2425">
      <formula>$F270:T3017="pp"</formula>
    </cfRule>
    <cfRule type="expression" priority="2416" aboveAverage="0" equalAverage="0" bottom="0" percent="0" rank="0" text="" dxfId="2426">
      <formula>$F270:T2300="pp"</formula>
    </cfRule>
  </conditionalFormatting>
  <conditionalFormatting sqref="P266 P272">
    <cfRule type="expression" priority="2417" aboveAverage="0" equalAverage="0" bottom="0" percent="0" rank="0" text="" dxfId="2427">
      <formula>$F266:T3011="pp"</formula>
    </cfRule>
    <cfRule type="expression" priority="2418" aboveAverage="0" equalAverage="0" bottom="0" percent="0" rank="0" text="" dxfId="2428">
      <formula>$F266:T2294="pp"</formula>
    </cfRule>
  </conditionalFormatting>
  <conditionalFormatting sqref="J1981">
    <cfRule type="expression" priority="2419" aboveAverage="0" equalAverage="0" bottom="0" percent="0" rank="0" text="" dxfId="2429">
      <formula>$F1981:O2327="pp"</formula>
    </cfRule>
  </conditionalFormatting>
  <conditionalFormatting sqref="P271">
    <cfRule type="expression" priority="2420" aboveAverage="0" equalAverage="0" bottom="0" percent="0" rank="0" text="" dxfId="2430">
      <formula>$F271:T3017="pp"</formula>
    </cfRule>
    <cfRule type="expression" priority="2421" aboveAverage="0" equalAverage="0" bottom="0" percent="0" rank="0" text="" dxfId="2431">
      <formula>$F271:T2300="pp"</formula>
    </cfRule>
  </conditionalFormatting>
  <conditionalFormatting sqref="Q1981">
    <cfRule type="expression" priority="2422" aboveAverage="0" equalAverage="0" bottom="0" percent="0" rank="0" text="" dxfId="2432">
      <formula>$F1981:T2355="pp"</formula>
    </cfRule>
  </conditionalFormatting>
  <conditionalFormatting sqref="P444 P457">
    <cfRule type="expression" priority="2423" aboveAverage="0" equalAverage="0" bottom="0" percent="0" rank="0" text="" dxfId="2433">
      <formula>$F444:T3014="pp"</formula>
    </cfRule>
    <cfRule type="expression" priority="2424" aboveAverage="0" equalAverage="0" bottom="0" percent="0" rank="0" text="" dxfId="2434">
      <formula>$F444:T2297="pp"</formula>
    </cfRule>
  </conditionalFormatting>
  <conditionalFormatting sqref="B1814">
    <cfRule type="expression" priority="2425" aboveAverage="0" equalAverage="0" bottom="0" percent="0" rank="0" text="" dxfId="2435">
      <formula>$F1814:G2312="pp"</formula>
    </cfRule>
  </conditionalFormatting>
  <conditionalFormatting sqref="J1926">
    <cfRule type="expression" priority="2426" aboveAverage="0" equalAverage="0" bottom="0" percent="0" rank="0" text="" dxfId="2436">
      <formula>$F1926:O2312="pp"</formula>
    </cfRule>
  </conditionalFormatting>
  <conditionalFormatting sqref="M1972:N1972">
    <cfRule type="expression" priority="2427" aboveAverage="0" equalAverage="0" bottom="0" percent="0" rank="0" text="" dxfId="2437">
      <formula>$F1972:R2370="pp"</formula>
    </cfRule>
  </conditionalFormatting>
  <conditionalFormatting sqref="P273">
    <cfRule type="expression" priority="2428" aboveAverage="0" equalAverage="0" bottom="0" percent="0" rank="0" text="" dxfId="2438">
      <formula>$F273:T3017="pp"</formula>
    </cfRule>
    <cfRule type="expression" priority="2429" aboveAverage="0" equalAverage="0" bottom="0" percent="0" rank="0" text="" dxfId="2439">
      <formula>$F273:T2300="pp"</formula>
    </cfRule>
  </conditionalFormatting>
  <conditionalFormatting sqref="P304">
    <cfRule type="expression" priority="2430" aboveAverage="0" equalAverage="0" bottom="0" percent="0" rank="0" text="" dxfId="2440">
      <formula>$F304:T3016="pp"</formula>
    </cfRule>
    <cfRule type="expression" priority="2431" aboveAverage="0" equalAverage="0" bottom="0" percent="0" rank="0" text="" dxfId="2441">
      <formula>$F304:T2299="pp"</formula>
    </cfRule>
  </conditionalFormatting>
  <conditionalFormatting sqref="P1096">
    <cfRule type="expression" priority="2432" aboveAverage="0" equalAverage="0" bottom="0" percent="0" rank="0" text="" dxfId="2442">
      <formula>$F1096:T3032="pp"</formula>
    </cfRule>
    <cfRule type="expression" priority="2433" aboveAverage="0" equalAverage="0" bottom="0" percent="0" rank="0" text="" dxfId="2443">
      <formula>$F1096:T2315="pp"</formula>
    </cfRule>
  </conditionalFormatting>
  <conditionalFormatting sqref="P1799 P1791:P1794">
    <cfRule type="expression" priority="2434" aboveAverage="0" equalAverage="0" bottom="0" percent="0" rank="0" text="" dxfId="2444">
      <formula>$F1791:T3046="pp"</formula>
    </cfRule>
    <cfRule type="expression" priority="2435" aboveAverage="0" equalAverage="0" bottom="0" percent="0" rank="0" text="" dxfId="2445">
      <formula>$F1791:T2329="pp"</formula>
    </cfRule>
  </conditionalFormatting>
  <conditionalFormatting sqref="P458">
    <cfRule type="expression" priority="2436" aboveAverage="0" equalAverage="0" bottom="0" percent="0" rank="0" text="" dxfId="2446">
      <formula>$F458:T3027="pp"</formula>
    </cfRule>
    <cfRule type="expression" priority="2437" aboveAverage="0" equalAverage="0" bottom="0" percent="0" rank="0" text="" dxfId="2447">
      <formula>$F458:T2310="pp"</formula>
    </cfRule>
  </conditionalFormatting>
  <conditionalFormatting sqref="P1131">
    <cfRule type="expression" priority="2438" aboveAverage="0" equalAverage="0" bottom="0" percent="0" rank="0" text="" dxfId="2448">
      <formula>$F1131:T3024="pp"</formula>
    </cfRule>
    <cfRule type="expression" priority="2439" aboveAverage="0" equalAverage="0" bottom="0" percent="0" rank="0" text="" dxfId="2449">
      <formula>$F1131:T2307="pp"</formula>
    </cfRule>
  </conditionalFormatting>
  <conditionalFormatting sqref="P1227">
    <cfRule type="expression" priority="2440" aboveAverage="0" equalAverage="0" bottom="0" percent="0" rank="0" text="" dxfId="2450">
      <formula>$F1227:T3025="pp"</formula>
    </cfRule>
    <cfRule type="expression" priority="2441" aboveAverage="0" equalAverage="0" bottom="0" percent="0" rank="0" text="" dxfId="2451">
      <formula>$F1227:T2308="pp"</formula>
    </cfRule>
  </conditionalFormatting>
  <conditionalFormatting sqref="C2059:D2060">
    <cfRule type="expression" priority="2442" aboveAverage="0" equalAverage="0" bottom="0" percent="0" rank="0" text="" dxfId="2452">
      <formula>$F2059:H2344="pp"</formula>
    </cfRule>
  </conditionalFormatting>
  <conditionalFormatting sqref="A2059:A2060">
    <cfRule type="expression" priority="2443" aboveAverage="0" equalAverage="0" bottom="0" percent="0" rank="0" text="" dxfId="2453">
      <formula>$F2059:F2328="pp"</formula>
    </cfRule>
  </conditionalFormatting>
  <conditionalFormatting sqref="B2059:B2060 L2059:L2060 J2059:J2060">
    <cfRule type="expression" priority="2444" aboveAverage="0" equalAverage="0" bottom="0" percent="0" rank="0" text="" dxfId="2454">
      <formula>$F2059:G2310="pp"</formula>
    </cfRule>
  </conditionalFormatting>
  <conditionalFormatting sqref="E2059:E2060 G2053:I2054">
    <cfRule type="expression" priority="2445" aboveAverage="0" equalAverage="0" bottom="0" percent="0" rank="0" text="" dxfId="2455">
      <formula>$F2053:I2314="pp"</formula>
    </cfRule>
  </conditionalFormatting>
  <conditionalFormatting sqref="K2059:K2060 M2059:N2060">
    <cfRule type="expression" priority="2446" aboveAverage="0" equalAverage="0" bottom="0" percent="0" rank="0" text="" dxfId="2456">
      <formula>$F2059:P2347="pp"</formula>
    </cfRule>
  </conditionalFormatting>
  <conditionalFormatting sqref="O2059:O2060 G2048:I2049">
    <cfRule type="expression" priority="2447" aboveAverage="0" equalAverage="0" bottom="0" percent="0" rank="0" text="" dxfId="2457">
      <formula>$F2048:K2314="pp"</formula>
    </cfRule>
  </conditionalFormatting>
  <conditionalFormatting sqref="P2059:P2060">
    <cfRule type="expression" priority="2448" aboveAverage="0" equalAverage="0" bottom="0" percent="0" rank="0" text="" dxfId="2458">
      <formula>$F2059:T3055="pp"</formula>
    </cfRule>
    <cfRule type="expression" priority="2449" aboveAverage="0" equalAverage="0" bottom="0" percent="0" rank="0" text="" dxfId="2459">
      <formula>$F2059:T2338="pp"</formula>
    </cfRule>
  </conditionalFormatting>
  <conditionalFormatting sqref="Q2059:Q2060">
    <cfRule type="expression" priority="2450" aboveAverage="0" equalAverage="0" bottom="0" percent="0" rank="0" text="" dxfId="2460">
      <formula>$F2059:T2338="pp"</formula>
    </cfRule>
  </conditionalFormatting>
  <conditionalFormatting sqref="G1972:I1972">
    <cfRule type="expression" priority="2451" aboveAverage="0" equalAverage="0" bottom="0" percent="0" rank="0" text="" dxfId="2461">
      <formula>$F1972:K2325="pp"</formula>
    </cfRule>
  </conditionalFormatting>
  <conditionalFormatting sqref="F2059:F2060 O2001:O2004">
    <cfRule type="expression" priority="2452" aboveAverage="0" equalAverage="0" bottom="0" percent="0" rank="0" text="" dxfId="2462">
      <formula>$F2001:J2327="pp"</formula>
    </cfRule>
  </conditionalFormatting>
  <conditionalFormatting sqref="O2031">
    <cfRule type="expression" priority="2453" aboveAverage="0" equalAverage="0" bottom="0" percent="0" rank="0" text="" dxfId="2463">
      <formula>$F2031:S2329="pp"</formula>
    </cfRule>
  </conditionalFormatting>
  <conditionalFormatting sqref="C2031:D2031">
    <cfRule type="expression" priority="2454" aboveAverage="0" equalAverage="0" bottom="0" percent="0" rank="0" text="" dxfId="2464">
      <formula>$F2031:H2348="pp"</formula>
    </cfRule>
  </conditionalFormatting>
  <conditionalFormatting sqref="O2005 E1998:E2002">
    <cfRule type="expression" priority="2455" aboveAverage="0" equalAverage="0" bottom="0" percent="0" rank="0" text="" dxfId="2465">
      <formula>$F1998:I2322="pp"</formula>
    </cfRule>
  </conditionalFormatting>
  <conditionalFormatting sqref="J2031">
    <cfRule type="expression" priority="2456" aboveAverage="0" equalAverage="0" bottom="0" percent="0" rank="0" text="" dxfId="2466">
      <formula>$F2031:O2314="pp"</formula>
    </cfRule>
  </conditionalFormatting>
  <conditionalFormatting sqref="K2031 B1988:B1991 L1988:L1991 J1988:J1991">
    <cfRule type="expression" priority="2457" aboveAverage="0" equalAverage="0" bottom="0" percent="0" rank="0" text="" dxfId="2467">
      <formula>$F1988:G2308="pp"</formula>
    </cfRule>
  </conditionalFormatting>
  <conditionalFormatting sqref="E2031">
    <cfRule type="expression" priority="2458" aboveAverage="0" equalAverage="0" bottom="0" percent="0" rank="0" text="" dxfId="2468">
      <formula>$F2031:I2324="pp"</formula>
    </cfRule>
  </conditionalFormatting>
  <conditionalFormatting sqref="F2031">
    <cfRule type="expression" priority="2459" aboveAverage="0" equalAverage="0" bottom="0" percent="0" rank="0" text="" dxfId="2469">
      <formula>$F2031:J2389="pp"</formula>
    </cfRule>
  </conditionalFormatting>
  <conditionalFormatting sqref="C2005:D2005">
    <cfRule type="expression" priority="2460" aboveAverage="0" equalAverage="0" bottom="0" percent="0" rank="0" text="" dxfId="2470">
      <formula>$F2005:H2348="pp"</formula>
    </cfRule>
  </conditionalFormatting>
  <conditionalFormatting sqref="E2005">
    <cfRule type="expression" priority="2461" aboveAverage="0" equalAverage="0" bottom="0" percent="0" rank="0" text="" dxfId="2471">
      <formula>$F2005:I2324="pp"</formula>
    </cfRule>
  </conditionalFormatting>
  <conditionalFormatting sqref="M2061:N2061">
    <cfRule type="expression" priority="2462" aboveAverage="0" equalAverage="0" bottom="0" percent="0" rank="0" text="" dxfId="2472">
      <formula>$F2061:R2346="pp"</formula>
    </cfRule>
  </conditionalFormatting>
  <conditionalFormatting sqref="Q2005">
    <cfRule type="expression" priority="2463" aboveAverage="0" equalAverage="0" bottom="0" percent="0" rank="0" text="" dxfId="2473">
      <formula>$F2005:T2342="pp"</formula>
    </cfRule>
  </conditionalFormatting>
  <conditionalFormatting sqref="F2005 O1955:O1959">
    <cfRule type="expression" priority="2464" aboveAverage="0" equalAverage="0" bottom="0" percent="0" rank="0" text="" dxfId="2474">
      <formula>$F1955:J2339="pp"</formula>
    </cfRule>
  </conditionalFormatting>
  <conditionalFormatting sqref="A1954 C1966:D1967">
    <cfRule type="expression" priority="2465" aboveAverage="0" equalAverage="0" bottom="0" percent="0" rank="0" text="" dxfId="2475">
      <formula>$F1954:F2343="pp"</formula>
    </cfRule>
  </conditionalFormatting>
  <conditionalFormatting sqref="G1232:I1232">
    <cfRule type="expression" priority="2466" aboveAverage="0" equalAverage="0" bottom="0" percent="0" rank="0" text="" dxfId="2476">
      <formula>$F1232:K2284="pp"</formula>
    </cfRule>
  </conditionalFormatting>
  <conditionalFormatting sqref="F817">
    <cfRule type="expression" priority="2467" aboveAverage="0" equalAverage="0" bottom="0" percent="0" rank="0" text="" dxfId="2477">
      <formula>$F817:J2581="pp"</formula>
    </cfRule>
  </conditionalFormatting>
  <conditionalFormatting sqref="L1884">
    <cfRule type="expression" priority="2468" aboveAverage="0" equalAverage="0" bottom="0" percent="0" rank="0" text="" dxfId="2478">
      <formula>$F1884:Q2312="pp"</formula>
    </cfRule>
  </conditionalFormatting>
  <conditionalFormatting sqref="A1677 A1693 M1703:N1704 K1703:K1704">
    <cfRule type="expression" priority="2469" aboveAverage="0" equalAverage="0" bottom="0" percent="0" rank="0" text="" dxfId="2479">
      <formula>$F1677:F2320="pp"</formula>
    </cfRule>
  </conditionalFormatting>
  <conditionalFormatting sqref="G1987:I1987 O2006:O2013">
    <cfRule type="expression" priority="2470" aboveAverage="0" equalAverage="0" bottom="0" percent="0" rank="0" text="" dxfId="2480">
      <formula>$F1987:K2309="pp"</formula>
    </cfRule>
  </conditionalFormatting>
  <conditionalFormatting sqref="M1640:N1640">
    <cfRule type="expression" priority="2471" aboveAverage="0" equalAverage="0" bottom="0" percent="0" rank="0" text="" dxfId="2481">
      <formula>$F1640:R2344="pp"</formula>
    </cfRule>
  </conditionalFormatting>
  <conditionalFormatting sqref="B499">
    <cfRule type="expression" priority="2472" aboveAverage="0" equalAverage="0" bottom="0" percent="0" rank="0" text="" dxfId="2482">
      <formula>$F499:G2273="pp"</formula>
    </cfRule>
  </conditionalFormatting>
  <conditionalFormatting sqref="G1918:I1918 O1926">
    <cfRule type="expression" priority="2473" aboveAverage="0" equalAverage="0" bottom="0" percent="0" rank="0" text="" dxfId="2483">
      <formula>$F1918:K2319="pp"</formula>
    </cfRule>
  </conditionalFormatting>
  <conditionalFormatting sqref="B920">
    <cfRule type="expression" priority="2474" aboveAverage="0" equalAverage="0" bottom="0" percent="0" rank="0" text="" dxfId="2484">
      <formula>$F920:G2280="pp"</formula>
    </cfRule>
  </conditionalFormatting>
  <conditionalFormatting sqref="B461">
    <cfRule type="expression" priority="2475" aboveAverage="0" equalAverage="0" bottom="0" percent="0" rank="0" text="" dxfId="2485">
      <formula>$F461:G2282="pp"</formula>
    </cfRule>
  </conditionalFormatting>
  <conditionalFormatting sqref="C558:D558">
    <cfRule type="expression" priority="2476" aboveAverage="0" equalAverage="0" bottom="0" percent="0" rank="0" text="" dxfId="2486">
      <formula>$F558:H2316="pp"</formula>
    </cfRule>
  </conditionalFormatting>
  <conditionalFormatting sqref="C907:D907">
    <cfRule type="expression" priority="2477" aboveAverage="0" equalAverage="0" bottom="0" percent="0" rank="0" text="" dxfId="2487">
      <formula>$F907:H2331="pp"</formula>
    </cfRule>
  </conditionalFormatting>
  <conditionalFormatting sqref="C306:D306">
    <cfRule type="expression" priority="2478" aboveAverage="0" equalAverage="0" bottom="0" percent="0" rank="0" text="" dxfId="2488">
      <formula>$F306:H2328="pp"</formula>
    </cfRule>
  </conditionalFormatting>
  <conditionalFormatting sqref="L1829">
    <cfRule type="expression" priority="2479" aboveAverage="0" equalAverage="0" bottom="0" percent="0" rank="0" text="" dxfId="2489">
      <formula>$F1829:Q2318="pp"</formula>
    </cfRule>
  </conditionalFormatting>
  <conditionalFormatting sqref="A2031">
    <cfRule type="expression" priority="2480" aboveAverage="0" equalAverage="0" bottom="0" percent="0" rank="0" text="" dxfId="2490">
      <formula>$F2031:F2332="pp"</formula>
    </cfRule>
  </conditionalFormatting>
  <conditionalFormatting sqref="A2005">
    <cfRule type="expression" priority="2481" aboveAverage="0" equalAverage="0" bottom="0" percent="0" rank="0" text="" dxfId="2491">
      <formula>$F2005:F2332="pp"</formula>
    </cfRule>
  </conditionalFormatting>
  <conditionalFormatting sqref="E1925 F1992:F2003">
    <cfRule type="expression" priority="2482" aboveAverage="0" equalAverage="0" bottom="0" percent="0" rank="0" text="" dxfId="2492">
      <formula>$F1925:I2317="pp"</formula>
    </cfRule>
  </conditionalFormatting>
  <conditionalFormatting sqref="C1598:D1598">
    <cfRule type="expression" priority="2483" aboveAverage="0" equalAverage="0" bottom="0" percent="0" rank="0" text="" dxfId="2493">
      <formula>$F1598:H2371="pp"</formula>
    </cfRule>
  </conditionalFormatting>
  <conditionalFormatting sqref="E1918 O1919:O1921">
    <cfRule type="expression" priority="2484" aboveAverage="0" equalAverage="0" bottom="0" percent="0" rank="0" text="" dxfId="2494">
      <formula>$F1918:I2329="pp"</formula>
    </cfRule>
  </conditionalFormatting>
  <conditionalFormatting sqref="M1981:N1981">
    <cfRule type="expression" priority="2485" aboveAverage="0" equalAverage="0" bottom="0" percent="0" rank="0" text="" dxfId="2495">
      <formula>$F1981:R2364="pp"</formula>
    </cfRule>
  </conditionalFormatting>
  <conditionalFormatting sqref="J1918">
    <cfRule type="expression" priority="2486" aboveAverage="0" equalAverage="0" bottom="0" percent="0" rank="0" text="" dxfId="2496">
      <formula>$F1918:O2319="pp"</formula>
    </cfRule>
  </conditionalFormatting>
  <conditionalFormatting sqref="C557:D557 J510:J511 C553:D555 B510:B511 L510:L511">
    <cfRule type="expression" priority="2487" aboveAverage="0" equalAverage="0" bottom="0" percent="0" rank="0" text="" dxfId="2497">
      <formula>$F510:G2273="pp"</formula>
    </cfRule>
  </conditionalFormatting>
  <conditionalFormatting sqref="B1973">
    <cfRule type="expression" priority="2488" aboveAverage="0" equalAverage="0" bottom="0" percent="0" rank="0" text="" dxfId="2498">
      <formula>$F1973:G2325="pp"</formula>
    </cfRule>
  </conditionalFormatting>
  <conditionalFormatting sqref="B1925 A1962:A1963 K1977:K1980 M1977:N1980">
    <cfRule type="expression" priority="2489" aboveAverage="0" equalAverage="0" bottom="0" percent="0" rank="0" text="" dxfId="2499">
      <formula>$F1925:F2307="pp"</formula>
    </cfRule>
  </conditionalFormatting>
  <conditionalFormatting sqref="B1981">
    <cfRule type="expression" priority="2490" aboveAverage="0" equalAverage="0" bottom="0" percent="0" rank="0" text="" dxfId="2500">
      <formula>$F1981:G2327="pp"</formula>
    </cfRule>
  </conditionalFormatting>
  <conditionalFormatting sqref="L1981">
    <cfRule type="expression" priority="2491" aboveAverage="0" equalAverage="0" bottom="0" percent="0" rank="0" text="" dxfId="2501">
      <formula>$F1981:Q2327="pp"</formula>
    </cfRule>
  </conditionalFormatting>
  <conditionalFormatting sqref="J1973">
    <cfRule type="expression" priority="2492" aboveAverage="0" equalAverage="0" bottom="0" percent="0" rank="0" text="" dxfId="2502">
      <formula>$F1973:O2325="pp"</formula>
    </cfRule>
  </conditionalFormatting>
  <conditionalFormatting sqref="A1888">
    <cfRule type="expression" priority="2493" aboveAverage="0" equalAverage="0" bottom="0" percent="0" rank="0" text="" dxfId="2503">
      <formula>$F1888:F2328="pp"</formula>
    </cfRule>
  </conditionalFormatting>
  <conditionalFormatting sqref="A1926">
    <cfRule type="expression" priority="2494" aboveAverage="0" equalAverage="0" bottom="0" percent="0" rank="0" text="" dxfId="2504">
      <formula>$F1926:F2330="pp"</formula>
    </cfRule>
  </conditionalFormatting>
  <conditionalFormatting sqref="A463 C480:D484">
    <cfRule type="expression" priority="2495" aboveAverage="0" equalAverage="0" bottom="0" percent="0" rank="0" text="" dxfId="2505">
      <formula>$F463:F2287="pp"</formula>
    </cfRule>
  </conditionalFormatting>
  <conditionalFormatting sqref="E1926 G1919:I1921">
    <cfRule type="expression" priority="2496" aboveAverage="0" equalAverage="0" bottom="0" percent="0" rank="0" text="" dxfId="2506">
      <formula>$F1919:I2315="pp"</formula>
    </cfRule>
  </conditionalFormatting>
  <conditionalFormatting sqref="P274">
    <cfRule type="expression" priority="2497" aboveAverage="0" equalAverage="0" bottom="0" percent="0" rank="0" text="" dxfId="2507">
      <formula>$F274:T3017="pp"</formula>
    </cfRule>
    <cfRule type="expression" priority="2498" aboveAverage="0" equalAverage="0" bottom="0" percent="0" rank="0" text="" dxfId="2508">
      <formula>$F274:T2300="pp"</formula>
    </cfRule>
  </conditionalFormatting>
  <conditionalFormatting sqref="P305">
    <cfRule type="expression" priority="2499" aboveAverage="0" equalAverage="0" bottom="0" percent="0" rank="0" text="" dxfId="2509">
      <formula>$F305:T3016="pp"</formula>
    </cfRule>
    <cfRule type="expression" priority="2500" aboveAverage="0" equalAverage="0" bottom="0" percent="0" rank="0" text="" dxfId="2510">
      <formula>$F305:T2299="pp"</formula>
    </cfRule>
  </conditionalFormatting>
  <conditionalFormatting sqref="P463">
    <cfRule type="expression" priority="2501" aboveAverage="0" equalAverage="0" bottom="0" percent="0" rank="0" text="" dxfId="2511">
      <formula>$F463:T3014="pp"</formula>
    </cfRule>
    <cfRule type="expression" priority="2502" aboveAverage="0" equalAverage="0" bottom="0" percent="0" rank="0" text="" dxfId="2512">
      <formula>$F463:T2297="pp"</formula>
    </cfRule>
  </conditionalFormatting>
  <conditionalFormatting sqref="P512:P514">
    <cfRule type="expression" priority="2503" aboveAverage="0" equalAverage="0" bottom="0" percent="0" rank="0" text="" dxfId="2513">
      <formula>$F512:T3019="pp"</formula>
    </cfRule>
    <cfRule type="expression" priority="2504" aboveAverage="0" equalAverage="0" bottom="0" percent="0" rank="0" text="" dxfId="2514">
      <formula>$F512:T2302="pp"</formula>
    </cfRule>
  </conditionalFormatting>
  <conditionalFormatting sqref="P625">
    <cfRule type="expression" priority="2505" aboveAverage="0" equalAverage="0" bottom="0" percent="0" rank="0" text="" dxfId="2515">
      <formula>$F625:T3017="pp"</formula>
    </cfRule>
    <cfRule type="expression" priority="2506" aboveAverage="0" equalAverage="0" bottom="0" percent="0" rank="0" text="" dxfId="2516">
      <formula>$F625:T2300="pp"</formula>
    </cfRule>
  </conditionalFormatting>
  <conditionalFormatting sqref="P1044">
    <cfRule type="expression" priority="2507" aboveAverage="0" equalAverage="0" bottom="0" percent="0" rank="0" text="" dxfId="2517">
      <formula>$F1044:T3042="pp"</formula>
    </cfRule>
    <cfRule type="expression" priority="2508" aboveAverage="0" equalAverage="0" bottom="0" percent="0" rank="0" text="" dxfId="2518">
      <formula>$F1044:T2325="pp"</formula>
    </cfRule>
  </conditionalFormatting>
  <conditionalFormatting sqref="P1097">
    <cfRule type="expression" priority="2509" aboveAverage="0" equalAverage="0" bottom="0" percent="0" rank="0" text="" dxfId="2519">
      <formula>$F1097:T3032="pp"</formula>
    </cfRule>
    <cfRule type="expression" priority="2510" aboveAverage="0" equalAverage="0" bottom="0" percent="0" rank="0" text="" dxfId="2520">
      <formula>$F1097:T2315="pp"</formula>
    </cfRule>
  </conditionalFormatting>
  <conditionalFormatting sqref="P1798 P1800:P1803">
    <cfRule type="expression" priority="2511" aboveAverage="0" equalAverage="0" bottom="0" percent="0" rank="0" text="" dxfId="2521">
      <formula>$F1798:T3052="pp"</formula>
    </cfRule>
    <cfRule type="expression" priority="2512" aboveAverage="0" equalAverage="0" bottom="0" percent="0" rank="0" text="" dxfId="2522">
      <formula>$F1798:T2335="pp"</formula>
    </cfRule>
  </conditionalFormatting>
  <conditionalFormatting sqref="A1972">
    <cfRule type="expression" priority="2513" aboveAverage="0" equalAverage="0" bottom="0" percent="0" rank="0" text="" dxfId="2523">
      <formula>$F1972:F2343="pp"</formula>
    </cfRule>
  </conditionalFormatting>
  <conditionalFormatting sqref="O2055:O2058 E2050:E2052 G2038:I2043">
    <cfRule type="expression" priority="2514" aboveAverage="0" equalAverage="0" bottom="0" percent="0" rank="0" text="" dxfId="2524">
      <formula>$F2038:I2310="pp"</formula>
    </cfRule>
  </conditionalFormatting>
  <conditionalFormatting sqref="B1972">
    <cfRule type="expression" priority="2515" aboveAverage="0" equalAverage="0" bottom="0" percent="0" rank="0" text="" dxfId="2525">
      <formula>$F1972:G2325="pp"</formula>
    </cfRule>
  </conditionalFormatting>
  <conditionalFormatting sqref="M2031:N2031">
    <cfRule type="expression" priority="2516" aboveAverage="0" equalAverage="0" bottom="0" percent="0" rank="0" text="" dxfId="2526">
      <formula>$F2031:R2351="pp"</formula>
    </cfRule>
  </conditionalFormatting>
  <conditionalFormatting sqref="P144:P148">
    <cfRule type="expression" priority="2517" aboveAverage="0" equalAverage="0" bottom="0" percent="0" rank="0" text="" dxfId="2527">
      <formula>$F144:T2994="pp"</formula>
    </cfRule>
    <cfRule type="expression" priority="2518" aboveAverage="0" equalAverage="0" bottom="0" percent="0" rank="0" text="" dxfId="2528">
      <formula>$F144:T2277="pp"</formula>
    </cfRule>
  </conditionalFormatting>
  <conditionalFormatting sqref="P406 P346:P352">
    <cfRule type="expression" priority="2519" aboveAverage="0" equalAverage="0" bottom="0" percent="0" rank="0" text="" dxfId="2529">
      <formula>$F346:T3124="pp"</formula>
    </cfRule>
  </conditionalFormatting>
  <conditionalFormatting sqref="P406 G201:I203 O201:O203 P346:P352">
    <cfRule type="expression" priority="2520" aboveAverage="0" equalAverage="0" bottom="0" percent="0" rank="0" text="" dxfId="2530">
      <formula>$F201:K2262="pp"</formula>
    </cfRule>
  </conditionalFormatting>
  <conditionalFormatting sqref="P459">
    <cfRule type="expression" priority="2521" aboveAverage="0" equalAverage="0" bottom="0" percent="0" rank="0" text="" dxfId="2531">
      <formula>$F459:T3027="pp"</formula>
    </cfRule>
    <cfRule type="expression" priority="2522" aboveAverage="0" equalAverage="0" bottom="0" percent="0" rank="0" text="" dxfId="2532">
      <formula>$F459:T2310="pp"</formula>
    </cfRule>
  </conditionalFormatting>
  <conditionalFormatting sqref="P554:P558">
    <cfRule type="expression" priority="2523" aboveAverage="0" equalAverage="0" bottom="0" percent="0" rank="0" text="" dxfId="2533">
      <formula>$F554:T3023="pp"</formula>
    </cfRule>
    <cfRule type="expression" priority="2524" aboveAverage="0" equalAverage="0" bottom="0" percent="0" rank="0" text="" dxfId="2534">
      <formula>$F554:T2306="pp"</formula>
    </cfRule>
  </conditionalFormatting>
  <conditionalFormatting sqref="P594">
    <cfRule type="expression" priority="2525" aboveAverage="0" equalAverage="0" bottom="0" percent="0" rank="0" text="" dxfId="2535">
      <formula>$F594:T3029="pp"</formula>
    </cfRule>
    <cfRule type="expression" priority="2526" aboveAverage="0" equalAverage="0" bottom="0" percent="0" rank="0" text="" dxfId="2536">
      <formula>$F594:T2312="pp"</formula>
    </cfRule>
  </conditionalFormatting>
  <conditionalFormatting sqref="P919">
    <cfRule type="expression" priority="2527" aboveAverage="0" equalAverage="0" bottom="0" percent="0" rank="0" text="" dxfId="2537">
      <formula>$F919:T3036="pp"</formula>
    </cfRule>
    <cfRule type="expression" priority="2528" aboveAverage="0" equalAverage="0" bottom="0" percent="0" rank="0" text="" dxfId="2538">
      <formula>$F919:T2319="pp"</formula>
    </cfRule>
  </conditionalFormatting>
  <conditionalFormatting sqref="P1133">
    <cfRule type="expression" priority="2529" aboveAverage="0" equalAverage="0" bottom="0" percent="0" rank="0" text="" dxfId="2539">
      <formula>$F1133:T3025="pp"</formula>
    </cfRule>
    <cfRule type="expression" priority="2530" aboveAverage="0" equalAverage="0" bottom="0" percent="0" rank="0" text="" dxfId="2540">
      <formula>$F1133:T2308="pp"</formula>
    </cfRule>
  </conditionalFormatting>
  <conditionalFormatting sqref="P1132 P1135:P1136">
    <cfRule type="expression" priority="2531" aboveAverage="0" equalAverage="0" bottom="0" percent="0" rank="0" text="" dxfId="2541">
      <formula>$F1132:T3021="pp"</formula>
    </cfRule>
    <cfRule type="expression" priority="2532" aboveAverage="0" equalAverage="0" bottom="0" percent="0" rank="0" text="" dxfId="2542">
      <formula>$F1132:T2304="pp"</formula>
    </cfRule>
  </conditionalFormatting>
  <conditionalFormatting sqref="P1232">
    <cfRule type="expression" priority="2533" aboveAverage="0" equalAverage="0" bottom="0" percent="0" rank="0" text="" dxfId="2543">
      <formula>$F1232:T3029="pp"</formula>
    </cfRule>
    <cfRule type="expression" priority="2534" aboveAverage="0" equalAverage="0" bottom="0" percent="0" rank="0" text="" dxfId="2544">
      <formula>$F1232:T2312="pp"</formula>
    </cfRule>
  </conditionalFormatting>
  <conditionalFormatting sqref="P1277:P1279">
    <cfRule type="expression" priority="2535" aboveAverage="0" equalAverage="0" bottom="0" percent="0" rank="0" text="" dxfId="2545">
      <formula>$F1277:T3035="pp"</formula>
    </cfRule>
    <cfRule type="expression" priority="2536" aboveAverage="0" equalAverage="0" bottom="0" percent="0" rank="0" text="" dxfId="2546">
      <formula>$F1277:T2318="pp"</formula>
    </cfRule>
  </conditionalFormatting>
  <conditionalFormatting sqref="P1722 P1724:P1725">
    <cfRule type="expression" priority="2537" aboveAverage="0" equalAverage="0" bottom="0" percent="0" rank="0" text="" dxfId="2547">
      <formula>$F1722:T3046="pp"</formula>
    </cfRule>
    <cfRule type="expression" priority="2538" aboveAverage="0" equalAverage="0" bottom="0" percent="0" rank="0" text="" dxfId="2548">
      <formula>$F1722:T2329="pp"</formula>
    </cfRule>
  </conditionalFormatting>
  <conditionalFormatting sqref="P1949:P1950">
    <cfRule type="expression" priority="2539" aboveAverage="0" equalAverage="0" bottom="0" percent="0" rank="0" text="" dxfId="2549">
      <formula>$F1949:T3069="pp"</formula>
    </cfRule>
    <cfRule type="expression" priority="2540" aboveAverage="0" equalAverage="0" bottom="0" percent="0" rank="0" text="" dxfId="2550">
      <formula>$F1949:T2352="pp"</formula>
    </cfRule>
  </conditionalFormatting>
  <conditionalFormatting sqref="P1955 P1957:P1959">
    <cfRule type="expression" priority="2541" aboveAverage="0" equalAverage="0" bottom="0" percent="0" rank="0" text="" dxfId="2551">
      <formula>$F1955:T3069="pp"</formula>
    </cfRule>
    <cfRule type="expression" priority="2542" aboveAverage="0" equalAverage="0" bottom="0" percent="0" rank="0" text="" dxfId="2552">
      <formula>$F1955:T2352="pp"</formula>
    </cfRule>
  </conditionalFormatting>
  <conditionalFormatting sqref="L1640">
    <cfRule type="expression" priority="2543" aboveAverage="0" equalAverage="0" bottom="0" percent="0" rank="0" text="" dxfId="2553">
      <formula>$F1640:Q2307="pp"</formula>
    </cfRule>
  </conditionalFormatting>
  <conditionalFormatting sqref="B174:D174">
    <cfRule type="expression" priority="2544" aboveAverage="0" equalAverage="0" bottom="0" percent="0" rank="0" text="" dxfId="2554">
      <formula>$F174:G2274="pp"</formula>
    </cfRule>
  </conditionalFormatting>
  <conditionalFormatting sqref="B2005 J2005 L2005 K2038:K2043 M2038:N2043">
    <cfRule type="expression" priority="2545" aboveAverage="0" equalAverage="0" bottom="0" percent="0" rank="0" text="" dxfId="2555">
      <formula>$F2005:G2314="pp"</formula>
    </cfRule>
  </conditionalFormatting>
  <conditionalFormatting sqref="A150:D150 A144:D148 J144:J148 L144:L148 K157:K159 M157:N161">
    <cfRule type="expression" priority="2546" aboveAverage="0" equalAverage="0" bottom="0" percent="0" rank="0" text="" dxfId="2556">
      <formula>$F144:F2274="pp"</formula>
    </cfRule>
  </conditionalFormatting>
  <conditionalFormatting sqref="B1926 A1960:A1961">
    <cfRule type="expression" priority="2547" aboveAverage="0" equalAverage="0" bottom="0" percent="0" rank="0" text="" dxfId="2557">
      <formula>$F1926:F2312="pp"</formula>
    </cfRule>
  </conditionalFormatting>
  <conditionalFormatting sqref="G269:I269">
    <cfRule type="expression" priority="2548" aboveAverage="0" equalAverage="0" bottom="0" percent="0" rank="0" text="" dxfId="2558">
      <formula>$F269:K2288="pp"</formula>
    </cfRule>
  </conditionalFormatting>
  <conditionalFormatting sqref="A173:D173 J173:J174 L173:L174">
    <cfRule type="expression" priority="2549" aboveAverage="0" equalAverage="0" bottom="0" percent="0" rank="0" text="" dxfId="2559">
      <formula>$F173:F2273="pp"</formula>
    </cfRule>
  </conditionalFormatting>
  <conditionalFormatting sqref="E533 F719:F724 F728:F739">
    <cfRule type="expression" priority="2550" aboveAverage="0" equalAverage="0" bottom="0" percent="0" rank="0" text="" dxfId="2560">
      <formula>$F533:I2287="pp"</formula>
    </cfRule>
  </conditionalFormatting>
  <conditionalFormatting sqref="G1615:I1615 F1694:F1695 F1697:F1699">
    <cfRule type="expression" priority="2551" aboveAverage="0" equalAverage="0" bottom="0" percent="0" rank="0" text="" dxfId="2561">
      <formula>$F1615:J2300="pp"</formula>
    </cfRule>
  </conditionalFormatting>
  <conditionalFormatting sqref="O2061">
    <cfRule type="expression" priority="2552" aboveAverage="0" equalAverage="0" bottom="0" percent="0" rank="0" text="" dxfId="2562">
      <formula>$F2061:S2324="pp"</formula>
    </cfRule>
  </conditionalFormatting>
  <conditionalFormatting sqref="F271 G209:I216 O209:O216">
    <cfRule type="expression" priority="2553" aboveAverage="0" equalAverage="0" bottom="0" percent="0" rank="0" text="" dxfId="2563">
      <formula>$F209:J2264="pp"</formula>
    </cfRule>
  </conditionalFormatting>
  <conditionalFormatting sqref="G2059:I2060">
    <cfRule type="expression" priority="2554" aboveAverage="0" equalAverage="0" bottom="0" percent="0" rank="0" text="" dxfId="2564">
      <formula>$F2059:K2310="pp"</formula>
    </cfRule>
  </conditionalFormatting>
  <conditionalFormatting sqref="G2061:I2061">
    <cfRule type="expression" priority="2555" aboveAverage="0" equalAverage="0" bottom="0" percent="0" rank="0" text="" dxfId="2565">
      <formula>$F2061:K2309="pp"</formula>
    </cfRule>
  </conditionalFormatting>
  <conditionalFormatting sqref="G2062:I2062">
    <cfRule type="expression" priority="2556" aboveAverage="0" equalAverage="0" bottom="0" percent="0" rank="0" text="" dxfId="2566">
      <formula>$F2062:K2307="pp"</formula>
    </cfRule>
  </conditionalFormatting>
  <conditionalFormatting sqref="F275">
    <cfRule type="expression" priority="2557" aboveAverage="0" equalAverage="0" bottom="0" percent="0" rank="0" text="" dxfId="2567">
      <formula>$F275:J2326="pp"</formula>
    </cfRule>
  </conditionalFormatting>
  <conditionalFormatting sqref="F281">
    <cfRule type="expression" priority="2558" aboveAverage="0" equalAverage="0" bottom="0" percent="0" rank="0" text="" dxfId="2568">
      <formula>$F281:J2328="pp"</formula>
    </cfRule>
  </conditionalFormatting>
  <conditionalFormatting sqref="F861">
    <cfRule type="expression" priority="2559" aboveAverage="0" equalAverage="0" bottom="0" percent="0" rank="0" text="" dxfId="2569">
      <formula>$F861:J2625="pp"</formula>
    </cfRule>
  </conditionalFormatting>
  <conditionalFormatting sqref="E1768">
    <cfRule type="expression" priority="2560" aboveAverage="0" equalAverage="0" bottom="0" percent="0" rank="0" text="" dxfId="2570">
      <formula>$F1768:I2312="pp"</formula>
    </cfRule>
  </conditionalFormatting>
  <conditionalFormatting sqref="O1797">
    <cfRule type="expression" priority="2561" aboveAverage="0" equalAverage="0" bottom="0" percent="0" rank="0" text="" dxfId="2571">
      <formula>$F1797:S2320="pp"</formula>
    </cfRule>
  </conditionalFormatting>
  <conditionalFormatting sqref="A1451:A1453 B1428:B1433 J1428:J1433 L1428:L1433 K1468:K1471">
    <cfRule type="expression" priority="2562" aboveAverage="0" equalAverage="0" bottom="0" percent="0" rank="0" text="" dxfId="2572">
      <formula>$F1428:F2298="pp"</formula>
    </cfRule>
  </conditionalFormatting>
  <conditionalFormatting sqref="L1987">
    <cfRule type="expression" priority="2563" aboveAverage="0" equalAverage="0" bottom="0" percent="0" rank="0" text="" dxfId="2573">
      <formula>$F1987:Q2309="pp"</formula>
    </cfRule>
  </conditionalFormatting>
  <conditionalFormatting sqref="L463">
    <cfRule type="expression" priority="2564" aboveAverage="0" equalAverage="0" bottom="0" percent="0" rank="0" text="" dxfId="2574">
      <formula>$F463:Q2269="pp"</formula>
    </cfRule>
  </conditionalFormatting>
  <conditionalFormatting sqref="M1797:N1797">
    <cfRule type="expression" priority="2565" aboveAverage="0" equalAverage="0" bottom="0" percent="0" rank="0" text="" dxfId="2575">
      <formula>$F1797:R2342="pp"</formula>
    </cfRule>
  </conditionalFormatting>
  <conditionalFormatting sqref="A1770 C1789:D1790">
    <cfRule type="expression" priority="2566" aboveAverage="0" equalAverage="0" bottom="0" percent="0" rank="0" text="" dxfId="2576">
      <formula>$F1770:F2321="pp"</formula>
    </cfRule>
  </conditionalFormatting>
  <conditionalFormatting sqref="F1968:F1971">
    <cfRule type="expression" priority="2567" aboveAverage="0" equalAverage="0" bottom="0" percent="0" rank="0" text="" dxfId="2577">
      <formula>$F1968:J2397="pp"</formula>
    </cfRule>
  </conditionalFormatting>
  <conditionalFormatting sqref="A1649:A1653 M1521:N1534 K1521:K1534">
    <cfRule type="expression" priority="2568" aboveAverage="0" equalAverage="0" bottom="0" percent="0" rank="0" text="" dxfId="2578">
      <formula>$F1521:F2342="pp"</formula>
    </cfRule>
  </conditionalFormatting>
  <conditionalFormatting sqref="J432:J439 B432:B439 L432:L439">
    <cfRule type="expression" priority="2569" aboveAverage="0" equalAverage="0" bottom="0" percent="0" rank="0" text="" dxfId="2579">
      <formula>$F432:G2264="pp"</formula>
    </cfRule>
  </conditionalFormatting>
  <conditionalFormatting sqref="P1974 P1964:P1967">
    <cfRule type="expression" priority="2570" aboveAverage="0" equalAverage="0" bottom="0" percent="0" rank="0" text="" dxfId="2580">
      <formula>$F1964:T3072="pp"</formula>
    </cfRule>
    <cfRule type="expression" priority="2571" aboveAverage="0" equalAverage="0" bottom="0" percent="0" rank="0" text="" dxfId="2581">
      <formula>$F1964:T2355="pp"</formula>
    </cfRule>
  </conditionalFormatting>
  <conditionalFormatting sqref="J1919:J1921 B1919:B1921 L1919:L1921">
    <cfRule type="expression" priority="2572" aboveAverage="0" equalAverage="0" bottom="0" percent="0" rank="0" text="" dxfId="2582">
      <formula>$F1919:G2315="pp"</formula>
    </cfRule>
  </conditionalFormatting>
  <conditionalFormatting sqref="A189:B189 A190:A194">
    <cfRule type="expression" priority="2573" aboveAverage="0" equalAverage="0" bottom="0" percent="0" rank="0" text="" dxfId="2583">
      <formula>$F189:F2239="pp"</formula>
    </cfRule>
  </conditionalFormatting>
  <conditionalFormatting sqref="M442:N442">
    <cfRule type="expression" priority="2574" aboveAverage="0" equalAverage="0" bottom="0" percent="0" rank="0" text="" dxfId="2584">
      <formula>$F442:R2303="pp"</formula>
    </cfRule>
  </conditionalFormatting>
  <conditionalFormatting sqref="L739">
    <cfRule type="expression" priority="2575" aboveAverage="0" equalAverage="0" bottom="0" percent="0" rank="0" text="" dxfId="2585">
      <formula>$F739:Q2269="pp"</formula>
    </cfRule>
  </conditionalFormatting>
  <conditionalFormatting sqref="J1437:J1441 B1437:B1441 L1437:L1441">
    <cfRule type="expression" priority="2576" aboveAverage="0" equalAverage="0" bottom="0" percent="0" rank="0" text="" dxfId="2586">
      <formula>$F1437:G2299="pp"</formula>
    </cfRule>
  </conditionalFormatting>
  <conditionalFormatting sqref="B1499:B1500 L1499:L1500 J1499:J1500">
    <cfRule type="expression" priority="2577" aboveAverage="0" equalAverage="0" bottom="0" percent="0" rank="0" text="" dxfId="2587">
      <formula>$F1499:G2305="pp"</formula>
    </cfRule>
  </conditionalFormatting>
  <conditionalFormatting sqref="C1600:D1600">
    <cfRule type="expression" priority="2578" aboveAverage="0" equalAverage="0" bottom="0" percent="0" rank="0" text="" dxfId="2588">
      <formula>$F1600:H2373="pp"</formula>
    </cfRule>
  </conditionalFormatting>
  <conditionalFormatting sqref="L1925">
    <cfRule type="expression" priority="2579" aboveAverage="0" equalAverage="0" bottom="0" percent="0" rank="0" text="" dxfId="2589">
      <formula>$F1925:Q2307="pp"</formula>
    </cfRule>
  </conditionalFormatting>
  <conditionalFormatting sqref="K2005">
    <cfRule type="expression" priority="2580" aboveAverage="0" equalAverage="0" bottom="0" percent="0" rank="0" text="" dxfId="2590">
      <formula>$F2005:P2351="pp"</formula>
    </cfRule>
  </conditionalFormatting>
  <conditionalFormatting sqref="K731:K732 M731:N732">
    <cfRule type="expression" priority="2581" aboveAverage="0" equalAverage="0" bottom="0" percent="0" rank="0" text="" dxfId="2591">
      <formula>$F731:P2314="pp"</formula>
    </cfRule>
  </conditionalFormatting>
  <conditionalFormatting sqref="B778:B779 L778:L779 J778:J779">
    <cfRule type="expression" priority="2582" aboveAverage="0" equalAverage="0" bottom="0" percent="0" rank="0" text="" dxfId="2592">
      <formula>$F778:G2272="pp"</formula>
    </cfRule>
  </conditionalFormatting>
  <conditionalFormatting sqref="M1987:N1987">
    <cfRule type="expression" priority="2583" aboveAverage="0" equalAverage="0" bottom="0" percent="0" rank="0" text="" dxfId="2593">
      <formula>$F1987:R2346="pp"</formula>
    </cfRule>
  </conditionalFormatting>
  <conditionalFormatting sqref="A1884">
    <cfRule type="expression" priority="2584" aboveAverage="0" equalAverage="0" bottom="0" percent="0" rank="0" text="" dxfId="2594">
      <formula>$F1884:F2330="pp"</formula>
    </cfRule>
  </conditionalFormatting>
  <conditionalFormatting sqref="F2055:F2058 O1992:O1997">
    <cfRule type="expression" priority="2585" aboveAverage="0" equalAverage="0" bottom="0" percent="0" rank="0" text="" dxfId="2595">
      <formula>$F1992:J2324="pp"</formula>
    </cfRule>
  </conditionalFormatting>
  <conditionalFormatting sqref="O407">
    <cfRule type="expression" priority="2586" aboveAverage="0" equalAverage="0" bottom="0" percent="0" rank="0" text="" dxfId="2596">
      <formula>$F407:S2456="pp"</formula>
    </cfRule>
  </conditionalFormatting>
  <conditionalFormatting sqref="O463">
    <cfRule type="expression" priority="2587" aboveAverage="0" equalAverage="0" bottom="0" percent="0" rank="0" text="" dxfId="2597">
      <formula>$F463:S2284="pp"</formula>
    </cfRule>
  </conditionalFormatting>
  <conditionalFormatting sqref="G1350:I1354">
    <cfRule type="expression" priority="2588" aboveAverage="0" equalAverage="0" bottom="0" percent="0" rank="0" text="" dxfId="2598">
      <formula>$F1350:K2272="pp"</formula>
    </cfRule>
  </conditionalFormatting>
  <conditionalFormatting sqref="F2053:F2054">
    <cfRule type="expression" priority="2589" aboveAverage="0" equalAverage="0" bottom="0" percent="0" rank="0" text="" dxfId="2599">
      <formula>$F2053:J2389="pp"</formula>
    </cfRule>
  </conditionalFormatting>
  <conditionalFormatting sqref="A396:D396 C398:D398 C400:D400 C402:D402">
    <cfRule type="expression" priority="2590" aboveAverage="0" equalAverage="0" bottom="0" percent="0" rank="0" text="" dxfId="2600">
      <formula>$F396:F2517="pp"</formula>
    </cfRule>
  </conditionalFormatting>
  <conditionalFormatting sqref="G1504:I1509 F1563:F1564">
    <cfRule type="expression" priority="2591" aboveAverage="0" equalAverage="0" bottom="0" percent="0" rank="0" text="" dxfId="2601">
      <formula>$F1504:J2302="pp"</formula>
    </cfRule>
  </conditionalFormatting>
  <conditionalFormatting sqref="Q1968:Q1973">
    <cfRule type="expression" priority="2592" aboveAverage="0" equalAverage="0" bottom="0" percent="0" rank="0" text="" dxfId="2602">
      <formula>$F1968:T2358="pp"</formula>
    </cfRule>
  </conditionalFormatting>
  <conditionalFormatting sqref="C623:D624">
    <cfRule type="expression" priority="2593" aboveAverage="0" equalAverage="0" bottom="0" percent="0" rank="0" text="" dxfId="2603">
      <formula>$F623:H2317="pp"</formula>
    </cfRule>
  </conditionalFormatting>
  <conditionalFormatting sqref="A2055:A2058">
    <cfRule type="expression" priority="2594" aboveAverage="0" equalAverage="0" bottom="0" percent="0" rank="0" text="" dxfId="2604">
      <formula>$F2055:F2330="pp"</formula>
    </cfRule>
  </conditionalFormatting>
  <conditionalFormatting sqref="B2055:B2058 L2055:L2058 J2055:J2058">
    <cfRule type="expression" priority="2595" aboveAverage="0" equalAverage="0" bottom="0" percent="0" rank="0" text="" dxfId="2605">
      <formula>$F2055:G2312="pp"</formula>
    </cfRule>
  </conditionalFormatting>
  <conditionalFormatting sqref="C2055:D2058">
    <cfRule type="expression" priority="2596" aboveAverage="0" equalAverage="0" bottom="0" percent="0" rank="0" text="" dxfId="2606">
      <formula>$F2055:H2346="pp"</formula>
    </cfRule>
  </conditionalFormatting>
  <conditionalFormatting sqref="F1057:F1059 G717:I718 E731:E732">
    <cfRule type="expression" priority="2597" aboveAverage="0" equalAverage="0" bottom="0" percent="0" rank="0" text="" dxfId="2607">
      <formula>$F717:I2273="pp"</formula>
    </cfRule>
  </conditionalFormatting>
  <conditionalFormatting sqref="O1426:O1427 O1418:O1422 E1408:E1411">
    <cfRule type="expression" priority="2598" aboveAverage="0" equalAverage="0" bottom="0" percent="0" rank="0" text="" dxfId="2608">
      <formula>$F1408:I2296="pp"</formula>
    </cfRule>
  </conditionalFormatting>
  <conditionalFormatting sqref="G1962:I1963 E1968:E1971">
    <cfRule type="expression" priority="2599" aboveAverage="0" equalAverage="0" bottom="0" percent="0" rank="0" text="" dxfId="2609">
      <formula>$F1962:I2326="pp"</formula>
    </cfRule>
  </conditionalFormatting>
  <conditionalFormatting sqref="G731:I732 O737:O739">
    <cfRule type="expression" priority="2600" aboveAverage="0" equalAverage="0" bottom="0" percent="0" rank="0" text="" dxfId="2610">
      <formula>$F731:K2277="pp"</formula>
    </cfRule>
  </conditionalFormatting>
  <conditionalFormatting sqref="E1882:E1883">
    <cfRule type="expression" priority="2601" aboveAverage="0" equalAverage="0" bottom="0" percent="0" rank="0" text="" dxfId="2611">
      <formula>$F1882:I2327="pp"</formula>
    </cfRule>
  </conditionalFormatting>
  <conditionalFormatting sqref="G2055:I2058">
    <cfRule type="expression" priority="2602" aboveAverage="0" equalAverage="0" bottom="0" percent="0" rank="0" text="" dxfId="2612">
      <formula>$F2055:K2312="pp"</formula>
    </cfRule>
  </conditionalFormatting>
  <conditionalFormatting sqref="C713:D716 M719:N721 K719:K721">
    <cfRule type="expression" priority="2603" aboveAverage="0" equalAverage="0" bottom="0" percent="0" rank="0" text="" dxfId="2613">
      <formula>$F713:H2307="pp"</formula>
    </cfRule>
  </conditionalFormatting>
  <conditionalFormatting sqref="K2055:K2058 M2055:N2058">
    <cfRule type="expression" priority="2604" aboveAverage="0" equalAverage="0" bottom="0" percent="0" rank="0" text="" dxfId="2614">
      <formula>$F2055:P2349="pp"</formula>
    </cfRule>
  </conditionalFormatting>
  <conditionalFormatting sqref="E1517:E1518 O1521:O1534">
    <cfRule type="expression" priority="2605" aboveAverage="0" equalAverage="0" bottom="0" percent="0" rank="0" text="" dxfId="2615">
      <formula>$F1517:I2316="pp"</formula>
    </cfRule>
  </conditionalFormatting>
  <conditionalFormatting sqref="E2055:E2058">
    <cfRule type="expression" priority="2606" aboveAverage="0" equalAverage="0" bottom="0" percent="0" rank="0" text="" dxfId="2616">
      <formula>$F2055:I2322="pp"</formula>
    </cfRule>
  </conditionalFormatting>
  <conditionalFormatting sqref="P731:P732">
    <cfRule type="expression" priority="2607" aboveAverage="0" equalAverage="0" bottom="0" percent="0" rank="0" text="" dxfId="2617">
      <formula>$F731:T3022="pp"</formula>
    </cfRule>
    <cfRule type="expression" priority="2608" aboveAverage="0" equalAverage="0" bottom="0" percent="0" rank="0" text="" dxfId="2618">
      <formula>$F731:T2305="pp"</formula>
    </cfRule>
  </conditionalFormatting>
  <conditionalFormatting sqref="P2055:P2058">
    <cfRule type="expression" priority="2609" aboveAverage="0" equalAverage="0" bottom="0" percent="0" rank="0" text="" dxfId="2619">
      <formula>$F2055:T3057="pp"</formula>
    </cfRule>
    <cfRule type="expression" priority="2610" aboveAverage="0" equalAverage="0" bottom="0" percent="0" rank="0" text="" dxfId="2620">
      <formula>$F2055:T2340="pp"</formula>
    </cfRule>
  </conditionalFormatting>
  <conditionalFormatting sqref="Q731:Q732">
    <cfRule type="expression" priority="2611" aboveAverage="0" equalAverage="0" bottom="0" percent="0" rank="0" text="" dxfId="2621">
      <formula>$F731:T2305="pp"</formula>
    </cfRule>
  </conditionalFormatting>
  <conditionalFormatting sqref="Q2055:Q2058">
    <cfRule type="expression" priority="2612" aboveAverage="0" equalAverage="0" bottom="0" percent="0" rank="0" text="" dxfId="2622">
      <formula>$F2055:T2340="pp"</formula>
    </cfRule>
  </conditionalFormatting>
  <conditionalFormatting sqref="C1410:D1411">
    <cfRule type="expression" priority="2613" aboveAverage="0" equalAverage="0" bottom="0" percent="0" rank="0" text="" dxfId="2623">
      <formula>$F1410:H2322="pp"</formula>
    </cfRule>
  </conditionalFormatting>
  <conditionalFormatting sqref="K621:K622 M621:N622">
    <cfRule type="expression" priority="2614" aboveAverage="0" equalAverage="0" bottom="0" percent="0" rank="0" text="" dxfId="2624">
      <formula>$F621:P2319="pp"</formula>
    </cfRule>
  </conditionalFormatting>
  <conditionalFormatting sqref="K1459:K1463 B1401:B1407 M1459:N1463 J1401:J1407 L1401:L1407">
    <cfRule type="expression" priority="2615" aboveAverage="0" equalAverage="0" bottom="0" percent="0" rank="0" text="" dxfId="2625">
      <formula>$F1401:G2285="pp"</formula>
    </cfRule>
  </conditionalFormatting>
  <conditionalFormatting sqref="L1175">
    <cfRule type="expression" priority="2616" aboveAverage="0" equalAverage="0" bottom="0" percent="0" rank="0" text="" dxfId="2626">
      <formula>$F1175:Q2295="pp"</formula>
    </cfRule>
  </conditionalFormatting>
  <conditionalFormatting sqref="B2053:B2054 L2053:L2054 J2053:J2054">
    <cfRule type="expression" priority="2617" aboveAverage="0" equalAverage="0" bottom="0" percent="0" rank="0" text="" dxfId="2627">
      <formula>$F2053:G2314="pp"</formula>
    </cfRule>
  </conditionalFormatting>
  <conditionalFormatting sqref="A1503:A1507 A1654:A1660 M1519:N1520 K1519:K1520">
    <cfRule type="expression" priority="2618" aboveAverage="0" equalAverage="0" bottom="0" percent="0" rank="0" text="" dxfId="2628">
      <formula>$F1503:F2325="pp"</formula>
    </cfRule>
  </conditionalFormatting>
  <conditionalFormatting sqref="C2053:D2054">
    <cfRule type="expression" priority="2619" aboveAverage="0" equalAverage="0" bottom="0" percent="0" rank="0" text="" dxfId="2629">
      <formula>$F2053:H2348="pp"</formula>
    </cfRule>
  </conditionalFormatting>
  <conditionalFormatting sqref="G713:I716">
    <cfRule type="expression" priority="2620" aboveAverage="0" equalAverage="0" bottom="0" percent="0" rank="0" text="" dxfId="2630">
      <formula>$F713:K2273="pp"</formula>
    </cfRule>
  </conditionalFormatting>
  <conditionalFormatting sqref="F1151:F1152 G804:I806">
    <cfRule type="expression" priority="2621" aboveAverage="0" equalAverage="0" bottom="0" percent="0" rank="0" text="" dxfId="2631">
      <formula>$F804:J2275="pp"</formula>
    </cfRule>
  </conditionalFormatting>
  <conditionalFormatting sqref="F1412:F1413 O1375:O1376 G1357:I1366">
    <cfRule type="expression" priority="2622" aboveAverage="0" equalAverage="0" bottom="0" percent="0" rank="0" text="" dxfId="2632">
      <formula>$F1357:J2273="pp"</formula>
    </cfRule>
  </conditionalFormatting>
  <conditionalFormatting sqref="G1552:I1559">
    <cfRule type="expression" priority="2623" aboveAverage="0" equalAverage="0" bottom="0" percent="0" rank="0" text="" dxfId="2633">
      <formula>$F1552:K2317="pp"</formula>
    </cfRule>
  </conditionalFormatting>
  <conditionalFormatting sqref="E1412:E1413">
    <cfRule type="expression" priority="2624" aboveAverage="0" equalAverage="0" bottom="0" percent="0" rank="0" text="" dxfId="2634">
      <formula>$F1412:I2299="pp"</formula>
    </cfRule>
  </conditionalFormatting>
  <conditionalFormatting sqref="O1565:O1568">
    <cfRule type="expression" priority="2625" aboveAverage="0" equalAverage="0" bottom="0" percent="0" rank="0" text="" dxfId="2635">
      <formula>$F1565:S2333="pp"</formula>
    </cfRule>
  </conditionalFormatting>
  <conditionalFormatting sqref="F1288:F1290">
    <cfRule type="expression" priority="2626" aboveAverage="0" equalAverage="0" bottom="0" percent="0" rank="0" text="" dxfId="2636">
      <formula>$F1288:J2627="pp"</formula>
    </cfRule>
  </conditionalFormatting>
  <conditionalFormatting sqref="G1171:I1174 G1176:I1185">
    <cfRule type="expression" priority="2627" aboveAverage="0" equalAverage="0" bottom="0" percent="0" rank="0" text="" dxfId="2637">
      <formula>$F1171:K2290="pp"</formula>
    </cfRule>
  </conditionalFormatting>
  <conditionalFormatting sqref="F1490:F1495 O1466:O1467">
    <cfRule type="expression" priority="2628" aboveAverage="0" equalAverage="0" bottom="0" percent="0" rank="0" text="" dxfId="2638">
      <formula>$F1466:J2315="pp"</formula>
    </cfRule>
  </conditionalFormatting>
  <conditionalFormatting sqref="B990:B1000 L990:L1000 J990:J1000">
    <cfRule type="expression" priority="2629" aboveAverage="0" equalAverage="0" bottom="0" percent="0" rank="0" text="" dxfId="2639">
      <formula>$F990:G2276="pp"</formula>
    </cfRule>
  </conditionalFormatting>
  <conditionalFormatting sqref="K1293:K1295 M1293:N1295">
    <cfRule type="expression" priority="2630" aboveAverage="0" equalAverage="0" bottom="0" percent="0" rank="0" text="" dxfId="2640">
      <formula>$F1293:P2324="pp"</formula>
    </cfRule>
  </conditionalFormatting>
  <conditionalFormatting sqref="A2032:A2034 K2053:K2054 M2053:N2054">
    <cfRule type="expression" priority="2631" aboveAverage="0" equalAverage="0" bottom="0" percent="0" rank="0" text="" dxfId="2641">
      <formula>$F2032:F2330="pp"</formula>
    </cfRule>
  </conditionalFormatting>
  <conditionalFormatting sqref="E2048:E2049 O2053:O2054">
    <cfRule type="expression" priority="2632" aboveAverage="0" equalAverage="0" bottom="0" percent="0" rank="0" text="" dxfId="2642">
      <formula>$F2048:I2324="pp"</formula>
    </cfRule>
  </conditionalFormatting>
  <conditionalFormatting sqref="E2053:E2054">
    <cfRule type="expression" priority="2633" aboveAverage="0" equalAverage="0" bottom="0" percent="0" rank="0" text="" dxfId="2643">
      <formula>$F2053:I2324="pp"</formula>
    </cfRule>
  </conditionalFormatting>
  <conditionalFormatting sqref="P2053:P2054">
    <cfRule type="expression" priority="2634" aboveAverage="0" equalAverage="0" bottom="0" percent="0" rank="0" text="" dxfId="2644">
      <formula>$F2053:T3059="pp"</formula>
    </cfRule>
    <cfRule type="expression" priority="2635" aboveAverage="0" equalAverage="0" bottom="0" percent="0" rank="0" text="" dxfId="2645">
      <formula>$F2053:T2342="pp"</formula>
    </cfRule>
  </conditionalFormatting>
  <conditionalFormatting sqref="Q2053:Q2054">
    <cfRule type="expression" priority="2636" aboveAverage="0" equalAverage="0" bottom="0" percent="0" rank="0" text="" dxfId="2646">
      <formula>$F2053:T2342="pp"</formula>
    </cfRule>
  </conditionalFormatting>
  <conditionalFormatting sqref="K733:K735 M733:N735 C731:D732">
    <cfRule type="expression" priority="2637" aboveAverage="0" equalAverage="0" bottom="0" percent="0" rank="0" text="" dxfId="2647">
      <formula>$F731:H2311="pp"</formula>
    </cfRule>
  </conditionalFormatting>
  <conditionalFormatting sqref="L2031 B2031">
    <cfRule type="expression" priority="2638" aboveAverage="0" equalAverage="0" bottom="0" percent="0" rank="0" text="" dxfId="2648">
      <formula>$F2031:G2314="pp"</formula>
    </cfRule>
  </conditionalFormatting>
  <conditionalFormatting sqref="K572:K573 M572:N573">
    <cfRule type="expression" priority="2639" aboveAverage="0" equalAverage="0" bottom="0" percent="0" rank="0" text="" dxfId="2649">
      <formula>$F572:P2323="pp"</formula>
    </cfRule>
  </conditionalFormatting>
  <conditionalFormatting sqref="C570:D571 B521:B523 L521:L523 J521:J523">
    <cfRule type="expression" priority="2640" aboveAverage="0" equalAverage="0" bottom="0" percent="0" rank="0" text="" dxfId="2650">
      <formula>$F521:G2270="pp"</formula>
    </cfRule>
  </conditionalFormatting>
  <conditionalFormatting sqref="K1414:K1417 M1414:N1417">
    <cfRule type="expression" priority="2641" aboveAverage="0" equalAverage="0" bottom="0" percent="0" rank="0" text="" dxfId="2651">
      <formula>$F1414:P2327="pp"</formula>
    </cfRule>
  </conditionalFormatting>
  <conditionalFormatting sqref="K1412:K1413 M1412:N1413">
    <cfRule type="expression" priority="2642" aboveAverage="0" equalAverage="0" bottom="0" percent="0" rank="0" text="" dxfId="2652">
      <formula>$F1412:P2326="pp"</formula>
    </cfRule>
  </conditionalFormatting>
  <conditionalFormatting sqref="C413:D414">
    <cfRule type="expression" priority="2643" aboveAverage="0" equalAverage="0" bottom="0" percent="0" rank="0" text="" dxfId="2653">
      <formula>$F413:H2309="pp"</formula>
    </cfRule>
  </conditionalFormatting>
  <conditionalFormatting sqref="J683:J684 A695:A696 B683:B684 L683:L684">
    <cfRule type="expression" priority="2644" aboveAverage="0" equalAverage="0" bottom="0" percent="0" rank="0" text="" dxfId="2654">
      <formula>$F683:F2278="pp"</formula>
    </cfRule>
  </conditionalFormatting>
  <conditionalFormatting sqref="C1303:D1329">
    <cfRule type="expression" priority="2645" aboveAverage="0" equalAverage="0" bottom="0" percent="0" rank="0" text="" dxfId="2655">
      <formula>$F1303:H2335="pp"</formula>
    </cfRule>
  </conditionalFormatting>
  <conditionalFormatting sqref="A1537:A1538 A1545:A1546">
    <cfRule type="expression" priority="2646" aboveAverage="0" equalAverage="0" bottom="0" percent="0" rank="0" text="" dxfId="2656">
      <formula>$F1537:F2329="pp"</formula>
    </cfRule>
  </conditionalFormatting>
  <conditionalFormatting sqref="C2035:D2037">
    <cfRule type="expression" priority="2647" aboveAverage="0" equalAverage="0" bottom="0" percent="0" rank="0" text="" dxfId="2657">
      <formula>$F2035:H2343="pp"</formula>
    </cfRule>
  </conditionalFormatting>
  <conditionalFormatting sqref="K2044:K2047 M2044:N2047">
    <cfRule type="expression" priority="2648" aboveAverage="0" equalAverage="0" bottom="0" percent="0" rank="0" text="" dxfId="2658">
      <formula>$F2044:P2349="pp"</formula>
    </cfRule>
  </conditionalFormatting>
  <conditionalFormatting sqref="B1264:B1265 J1264:J1265 L1264:L1265">
    <cfRule type="expression" priority="2649" aboveAverage="0" equalAverage="0" bottom="0" percent="0" rank="0" text="" dxfId="2659">
      <formula>$F1264:G2302="pp"</formula>
    </cfRule>
  </conditionalFormatting>
  <conditionalFormatting sqref="A1522:A1527">
    <cfRule type="expression" priority="2650" aboveAverage="0" equalAverage="0" bottom="0" percent="0" rank="0" text="" dxfId="2660">
      <formula>$F1522:F2325="pp"</formula>
    </cfRule>
  </conditionalFormatting>
  <conditionalFormatting sqref="K2050:K2052 M2050:N2052">
    <cfRule type="expression" priority="2651" aboveAverage="0" equalAverage="0" bottom="0" percent="0" rank="0" text="" dxfId="2661">
      <formula>$F2050:P2349="pp"</formula>
    </cfRule>
  </conditionalFormatting>
  <conditionalFormatting sqref="E621:E622">
    <cfRule type="expression" priority="2652" aboveAverage="0" equalAverage="0" bottom="0" percent="0" rank="0" text="" dxfId="2662">
      <formula>$F621:I2292="pp"</formula>
    </cfRule>
  </conditionalFormatting>
  <conditionalFormatting sqref="E1080:E1095">
    <cfRule type="expression" priority="2653" aboveAverage="0" equalAverage="0" bottom="0" percent="0" rank="0" text="" dxfId="2663">
      <formula>$F1080:I2288="pp"</formula>
    </cfRule>
  </conditionalFormatting>
  <conditionalFormatting sqref="F1574:F1581 E1563:E1564">
    <cfRule type="expression" priority="2654" aboveAverage="0" equalAverage="0" bottom="0" percent="0" rank="0" text="" dxfId="2664">
      <formula>$F1563:I2332="pp"</formula>
    </cfRule>
  </conditionalFormatting>
  <conditionalFormatting sqref="G1951:I1953">
    <cfRule type="expression" priority="2655" aboveAverage="0" equalAverage="0" bottom="0" percent="0" rank="0" text="" dxfId="2665">
      <formula>$F1951:K2323="pp"</formula>
    </cfRule>
  </conditionalFormatting>
  <conditionalFormatting sqref="O2050:O2052">
    <cfRule type="expression" priority="2656" aboveAverage="0" equalAverage="0" bottom="0" percent="0" rank="0" text="" dxfId="2666">
      <formula>$F2050:S2327="pp"</formula>
    </cfRule>
  </conditionalFormatting>
  <conditionalFormatting sqref="E830:E831 E834:E835">
    <cfRule type="expression" priority="2657" aboveAverage="0" equalAverage="0" bottom="0" percent="0" rank="0" text="" dxfId="2667">
      <formula>$F830:I2300="pp"</formula>
    </cfRule>
  </conditionalFormatting>
  <conditionalFormatting sqref="O836:O839 G807:I812">
    <cfRule type="expression" priority="2658" aboveAverage="0" equalAverage="0" bottom="0" percent="0" rank="0" text="" dxfId="2668">
      <formula>$F807:K2272="pp"</formula>
    </cfRule>
  </conditionalFormatting>
  <conditionalFormatting sqref="F1408:F1411 O1377:O1379">
    <cfRule type="expression" priority="2659" aboveAverage="0" equalAverage="0" bottom="0" percent="0" rank="0" text="" dxfId="2669">
      <formula>$F1377:J2294="pp"</formula>
    </cfRule>
  </conditionalFormatting>
  <conditionalFormatting sqref="O1560:O1562">
    <cfRule type="expression" priority="2660" aboveAverage="0" equalAverage="0" bottom="0" percent="0" rank="0" text="" dxfId="2670">
      <formula>$F1560:S2332="pp"</formula>
    </cfRule>
  </conditionalFormatting>
  <conditionalFormatting sqref="E1616:E1619 O1620:O1639">
    <cfRule type="expression" priority="2661" aboveAverage="0" equalAverage="0" bottom="0" percent="0" rank="0" text="" dxfId="2671">
      <formula>$F1616:I2312="pp"</formula>
    </cfRule>
  </conditionalFormatting>
  <conditionalFormatting sqref="E1933:E1944">
    <cfRule type="expression" priority="2662" aboveAverage="0" equalAverage="0" bottom="0" percent="0" rank="0" text="" dxfId="2672">
      <formula>$F1933:I2322="pp"</formula>
    </cfRule>
  </conditionalFormatting>
  <conditionalFormatting sqref="G708:I712">
    <cfRule type="expression" priority="2663" aboveAverage="0" equalAverage="0" bottom="0" percent="0" rank="0" text="" dxfId="2673">
      <formula>$F708:K2273="pp"</formula>
    </cfRule>
  </conditionalFormatting>
  <conditionalFormatting sqref="O1143:O1145">
    <cfRule type="expression" priority="2664" aboveAverage="0" equalAverage="0" bottom="0" percent="0" rank="0" text="" dxfId="2674">
      <formula>$F1143:S2292="pp"</formula>
    </cfRule>
  </conditionalFormatting>
  <conditionalFormatting sqref="F1414:F1415">
    <cfRule type="expression" priority="2665" aboveAverage="0" equalAverage="0" bottom="0" percent="0" rank="0" text="" dxfId="2675">
      <formula>$F1414:J2329="pp"</formula>
    </cfRule>
  </conditionalFormatting>
  <conditionalFormatting sqref="E1560:E1562">
    <cfRule type="expression" priority="2666" aboveAverage="0" equalAverage="0" bottom="0" percent="0" rank="0" text="" dxfId="2676">
      <formula>$F1560:I2327="pp"</formula>
    </cfRule>
  </conditionalFormatting>
  <conditionalFormatting sqref="F1960:F1961">
    <cfRule type="expression" priority="2667" aboveAverage="0" equalAverage="0" bottom="0" percent="0" rank="0" text="" dxfId="2677">
      <formula>$F1960:J2403="pp"</formula>
    </cfRule>
  </conditionalFormatting>
  <conditionalFormatting sqref="E1962:E1963">
    <cfRule type="expression" priority="2668" aboveAverage="0" equalAverage="0" bottom="0" percent="0" rank="0" text="" dxfId="2678">
      <formula>$F1962:I2336="pp"</formula>
    </cfRule>
  </conditionalFormatting>
  <conditionalFormatting sqref="G1998:I2000">
    <cfRule type="expression" priority="2669" aboveAverage="0" equalAverage="0" bottom="0" percent="0" rank="0" text="" dxfId="2679">
      <formula>$F1998:K2312="pp"</formula>
    </cfRule>
  </conditionalFormatting>
  <conditionalFormatting sqref="B311:B316 L311:L316 J311:J316">
    <cfRule type="expression" priority="2670" aboveAverage="0" equalAverage="0" bottom="0" percent="0" rank="0" text="" dxfId="2680">
      <formula>$F311:G2284="pp"</formula>
    </cfRule>
  </conditionalFormatting>
  <conditionalFormatting sqref="K722:K724 M722:N724">
    <cfRule type="expression" priority="2671" aboveAverage="0" equalAverage="0" bottom="0" percent="0" rank="0" text="" dxfId="2681">
      <formula>$F722:P2311="pp"</formula>
    </cfRule>
  </conditionalFormatting>
  <conditionalFormatting sqref="K1052:K1054 M1052:N1054">
    <cfRule type="expression" priority="2672" aboveAverage="0" equalAverage="0" bottom="0" percent="0" rank="0" text="" dxfId="2682">
      <formula>$F1052:P2315="pp"</formula>
    </cfRule>
  </conditionalFormatting>
  <conditionalFormatting sqref="B1151:B1152 L1151:L1152 J1151:J1152">
    <cfRule type="expression" priority="2673" aboveAverage="0" equalAverage="0" bottom="0" percent="0" rank="0" text="" dxfId="2683">
      <formula>$F1151:G2280="pp"</formula>
    </cfRule>
  </conditionalFormatting>
  <conditionalFormatting sqref="A1357:A1366 M1387:N1389 K1387:K1389">
    <cfRule type="expression" priority="2674" aboveAverage="0" equalAverage="0" bottom="0" percent="0" rank="0" text="" dxfId="2684">
      <formula>$F1357:F2291="pp"</formula>
    </cfRule>
  </conditionalFormatting>
  <conditionalFormatting sqref="K1466:K1467 M1466:N1467 A1458:A1461">
    <cfRule type="expression" priority="2675" aboveAverage="0" equalAverage="0" bottom="0" percent="0" rank="0" text="" dxfId="2685">
      <formula>$F1458:F2329="pp"</formula>
    </cfRule>
  </conditionalFormatting>
  <conditionalFormatting sqref="J1933:J1944 L1933:L1944 B1933:B1944 C1977:D1980">
    <cfRule type="expression" priority="2676" aboveAverage="0" equalAverage="0" bottom="0" percent="0" rank="0" text="" dxfId="2686">
      <formula>$F1933:G2312="pp"</formula>
    </cfRule>
  </conditionalFormatting>
  <conditionalFormatting sqref="A1020:A1024 M1033:N1043 K1033:K1043">
    <cfRule type="expression" priority="2677" aboveAverage="0" equalAverage="0" bottom="0" percent="0" rank="0" text="" dxfId="2687">
      <formula>$F1020:F2311="pp"</formula>
    </cfRule>
  </conditionalFormatting>
  <conditionalFormatting sqref="K1503:K1507 M1503:N1507">
    <cfRule type="expression" priority="2678" aboveAverage="0" equalAverage="0" bottom="0" percent="0" rank="0" text="" dxfId="2688">
      <formula>$F1503:P2344="pp"</formula>
    </cfRule>
  </conditionalFormatting>
  <conditionalFormatting sqref="C2044:D2047">
    <cfRule type="expression" priority="2679" aboveAverage="0" equalAverage="0" bottom="0" percent="0" rank="0" text="" dxfId="2689">
      <formula>$F2044:H2346="pp"</formula>
    </cfRule>
  </conditionalFormatting>
  <conditionalFormatting sqref="F1001:F1009 E623:E624">
    <cfRule type="expression" priority="2680" aboveAverage="0" equalAverage="0" bottom="0" percent="0" rank="0" text="" dxfId="2690">
      <formula>$F623:I2293="pp"</formula>
    </cfRule>
  </conditionalFormatting>
  <conditionalFormatting sqref="E1190:E1197 O1188:O1189">
    <cfRule type="expression" priority="2681" aboveAverage="0" equalAverage="0" bottom="0" percent="0" rank="0" text="" dxfId="2691">
      <formula>$F1188:I2316="pp"</formula>
    </cfRule>
  </conditionalFormatting>
  <conditionalFormatting sqref="O1408:O1411">
    <cfRule type="expression" priority="2682" aboveAverage="0" equalAverage="0" bottom="0" percent="0" rank="0" text="" dxfId="2692">
      <formula>$F1408:S2301="pp"</formula>
    </cfRule>
  </conditionalFormatting>
  <conditionalFormatting sqref="F1582:F1598">
    <cfRule type="expression" priority="2683" aboveAverage="0" equalAverage="0" bottom="0" percent="0" rank="0" text="" dxfId="2693">
      <formula>$F1582:J2348="pp"</formula>
    </cfRule>
  </conditionalFormatting>
  <conditionalFormatting sqref="O1837:O1844 G1817:I1821">
    <cfRule type="expression" priority="2684" aboveAverage="0" equalAverage="0" bottom="0" percent="0" rank="0" text="" dxfId="2694">
      <formula>$F1817:K2311="pp"</formula>
    </cfRule>
  </conditionalFormatting>
  <conditionalFormatting sqref="G2031:I2031">
    <cfRule type="expression" priority="2685" aboveAverage="0" equalAverage="0" bottom="0" percent="0" rank="0" text="" dxfId="2695">
      <formula>$F2031:K2314="pp"</formula>
    </cfRule>
  </conditionalFormatting>
  <conditionalFormatting sqref="P479">
    <cfRule type="expression" priority="2686" aboveAverage="0" equalAverage="0" bottom="0" percent="0" rank="0" text="" dxfId="2696">
      <formula>$F479:T3015="pp"</formula>
    </cfRule>
    <cfRule type="expression" priority="2687" aboveAverage="0" equalAverage="0" bottom="0" percent="0" rank="0" text="" dxfId="2697">
      <formula>$F479:T2298="pp"</formula>
    </cfRule>
  </conditionalFormatting>
  <conditionalFormatting sqref="P621:P622">
    <cfRule type="expression" priority="2688" aboveAverage="0" equalAverage="0" bottom="0" percent="0" rank="0" text="" dxfId="2698">
      <formula>$F621:T3027="pp"</formula>
    </cfRule>
    <cfRule type="expression" priority="2689" aboveAverage="0" equalAverage="0" bottom="0" percent="0" rank="0" text="" dxfId="2699">
      <formula>$F621:T2310="pp"</formula>
    </cfRule>
  </conditionalFormatting>
  <conditionalFormatting sqref="P1151:P1152">
    <cfRule type="expression" priority="2690" aboveAverage="0" equalAverage="0" bottom="0" percent="0" rank="0" text="" dxfId="2700">
      <formula>$F1151:T3025="pp"</formula>
    </cfRule>
    <cfRule type="expression" priority="2691" aboveAverage="0" equalAverage="0" bottom="0" percent="0" rank="0" text="" dxfId="2701">
      <formula>$F1151:T2308="pp"</formula>
    </cfRule>
  </conditionalFormatting>
  <conditionalFormatting sqref="P1503:P1507">
    <cfRule type="expression" priority="2692" aboveAverage="0" equalAverage="0" bottom="0" percent="0" rank="0" text="" dxfId="2702">
      <formula>$F1503:T3052="pp"</formula>
    </cfRule>
    <cfRule type="expression" priority="2693" aboveAverage="0" equalAverage="0" bottom="0" percent="0" rank="0" text="" dxfId="2703">
      <formula>$F1503:T2335="pp"</formula>
    </cfRule>
  </conditionalFormatting>
  <conditionalFormatting sqref="Q621:Q622">
    <cfRule type="expression" priority="2694" aboveAverage="0" equalAverage="0" bottom="0" percent="0" rank="0" text="" dxfId="2704">
      <formula>$F621:T2310="pp"</formula>
    </cfRule>
  </conditionalFormatting>
  <conditionalFormatting sqref="Q1151:Q1152">
    <cfRule type="expression" priority="2695" aboveAverage="0" equalAverage="0" bottom="0" percent="0" rank="0" text="" dxfId="2705">
      <formula>$F1151:T2308="pp"</formula>
    </cfRule>
  </conditionalFormatting>
  <conditionalFormatting sqref="Q1503:Q1507">
    <cfRule type="expression" priority="2696" aboveAverage="0" equalAverage="0" bottom="0" percent="0" rank="0" text="" dxfId="2706">
      <formula>$F1503:T2335="pp"</formula>
    </cfRule>
  </conditionalFormatting>
  <conditionalFormatting sqref="A1377:A1379">
    <cfRule type="expression" priority="2697" aboveAverage="0" equalAverage="0" bottom="0" percent="0" rank="0" text="" dxfId="2707">
      <formula>$F1377:F2297="pp"</formula>
    </cfRule>
  </conditionalFormatting>
  <conditionalFormatting sqref="G1982:I1986">
    <cfRule type="expression" priority="2698" aboveAverage="0" equalAverage="0" bottom="0" percent="0" rank="0" text="" dxfId="2708">
      <formula>$F1982:K2322="pp"</formula>
    </cfRule>
  </conditionalFormatting>
  <conditionalFormatting sqref="B1137:B1142 L1137:L1142 J1137:J1142">
    <cfRule type="expression" priority="2699" aboveAverage="0" equalAverage="0" bottom="0" percent="0" rank="0" text="" dxfId="2709">
      <formula>$F1137:G2277="pp"</formula>
    </cfRule>
  </conditionalFormatting>
  <conditionalFormatting sqref="K728:K730 M728:N730">
    <cfRule type="expression" priority="2700" aboveAverage="0" equalAverage="0" bottom="0" percent="0" rank="0" text="" dxfId="2710">
      <formula>$F728:P2312="pp"</formula>
    </cfRule>
  </conditionalFormatting>
  <conditionalFormatting sqref="C728:D730">
    <cfRule type="expression" priority="2701" aboveAverage="0" equalAverage="0" bottom="0" percent="0" rank="0" text="" dxfId="2711">
      <formula>$F728:H2309="pp"</formula>
    </cfRule>
  </conditionalFormatting>
  <conditionalFormatting sqref="E1387:E1389 O1390:O1393 F1434:F1435">
    <cfRule type="expression" priority="2702" aboveAverage="0" equalAverage="0" bottom="0" percent="0" rank="0" text="" dxfId="2712">
      <formula>$F1387:I2294="pp"</formula>
    </cfRule>
  </conditionalFormatting>
  <conditionalFormatting sqref="O950:O959">
    <cfRule type="expression" priority="2703" aboveAverage="0" equalAverage="0" bottom="0" percent="0" rank="0" text="" dxfId="2713">
      <formula>$F950:S2290="pp"</formula>
    </cfRule>
  </conditionalFormatting>
  <conditionalFormatting sqref="A1412:A1413">
    <cfRule type="expression" priority="2704" aboveAverage="0" equalAverage="0" bottom="0" percent="0" rank="0" text="" dxfId="2714">
      <formula>$F1412:F2307="pp"</formula>
    </cfRule>
  </conditionalFormatting>
  <conditionalFormatting sqref="K1143:K1145 M1143:N1145">
    <cfRule type="expression" priority="2705" aboveAverage="0" equalAverage="0" bottom="0" percent="0" rank="0" text="" dxfId="2715">
      <formula>$F1143:P2314="pp"</formula>
    </cfRule>
  </conditionalFormatting>
  <conditionalFormatting sqref="J804:J806 C862:D864 B804:B806 L804:L806">
    <cfRule type="expression" priority="2706" aboveAverage="0" equalAverage="0" bottom="0" percent="0" rank="0" text="" dxfId="2716">
      <formula>$F804:G2275="pp"</formula>
    </cfRule>
  </conditionalFormatting>
  <conditionalFormatting sqref="A777:A782">
    <cfRule type="expression" priority="2707" aboveAverage="0" equalAverage="0" bottom="0" percent="0" rank="0" text="" dxfId="2717">
      <formula>$F777:F2298="pp"</formula>
    </cfRule>
  </conditionalFormatting>
  <conditionalFormatting sqref="K960:K964 B925:B926 M960:N964 J925:J926 L925:L926">
    <cfRule type="expression" priority="2708" aboveAverage="0" equalAverage="0" bottom="0" percent="0" rank="0" text="" dxfId="2718">
      <formula>$F925:G2281="pp"</formula>
    </cfRule>
  </conditionalFormatting>
  <conditionalFormatting sqref="C1401:D1409">
    <cfRule type="expression" priority="2709" aboveAverage="0" equalAverage="0" bottom="0" percent="0" rank="0" text="" dxfId="2719">
      <formula>$F1401:H2319="pp"</formula>
    </cfRule>
  </conditionalFormatting>
  <conditionalFormatting sqref="A1414:A1417">
    <cfRule type="expression" priority="2710" aboveAverage="0" equalAverage="0" bottom="0" percent="0" rank="0" text="" dxfId="2720">
      <formula>$F1414:F2308="pp"</formula>
    </cfRule>
  </conditionalFormatting>
  <conditionalFormatting sqref="B1390:B1393 A1423:A1425 C1449:D1453 M1451:N1453 J1390:J1393 L1390:L1393 K1451:K1453">
    <cfRule type="expression" priority="2711" aboveAverage="0" equalAverage="0" bottom="0" percent="0" rank="0" text="" dxfId="2721">
      <formula>$F1390:F2282="pp"</formula>
    </cfRule>
  </conditionalFormatting>
  <conditionalFormatting sqref="J1486:J1488 L1486:L1488 B1486:B1488">
    <cfRule type="expression" priority="2712" aboveAverage="0" equalAverage="0" bottom="0" percent="0" rank="0" text="" dxfId="2722">
      <formula>$F1486:G2306="pp"</formula>
    </cfRule>
  </conditionalFormatting>
  <conditionalFormatting sqref="C1560:D1562 A1547:A1554 A1539:A1540">
    <cfRule type="expression" priority="2713" aboveAverage="0" equalAverage="0" bottom="0" percent="0" rank="0" text="" dxfId="2723">
      <formula>$F1539:F2330="pp"</formula>
    </cfRule>
  </conditionalFormatting>
  <conditionalFormatting sqref="J1533:J1536 A1561:A1562 B1533:B1536 L1533:L1536">
    <cfRule type="expression" priority="2714" aboveAverage="0" equalAverage="0" bottom="0" percent="0" rank="0" text="" dxfId="2724">
      <formula>$F1533:F2308="pp"</formula>
    </cfRule>
  </conditionalFormatting>
  <conditionalFormatting sqref="J1602:J1606 B1602:B1606 C1654:D1660 L1602:L1606">
    <cfRule type="expression" priority="2715" aboveAverage="0" equalAverage="0" bottom="0" percent="0" rank="0" text="" dxfId="2725">
      <formula>$F1602:G2299="pp"</formula>
    </cfRule>
  </conditionalFormatting>
  <conditionalFormatting sqref="K1666:K1675 M1666:N1675">
    <cfRule type="expression" priority="2716" aboveAverage="0" equalAverage="0" bottom="0" percent="0" rank="0" text="" dxfId="2726">
      <formula>$F1666:P2344="pp"</formula>
    </cfRule>
  </conditionalFormatting>
  <conditionalFormatting sqref="C1707:D1720">
    <cfRule type="expression" priority="2717" aboveAverage="0" equalAverage="0" bottom="0" percent="0" rank="0" text="" dxfId="2727">
      <formula>$F1707:H2341="pp"</formula>
    </cfRule>
  </conditionalFormatting>
  <conditionalFormatting sqref="B180:B181 L180:L181 J180:J181">
    <cfRule type="expression" priority="2718" aboveAverage="0" equalAverage="0" bottom="0" percent="0" rank="0" text="" dxfId="2728">
      <formula>$F180:G2261="pp"</formula>
    </cfRule>
  </conditionalFormatting>
  <conditionalFormatting sqref="B298:B300 L298:L300 J298:J300">
    <cfRule type="expression" priority="2719" aboveAverage="0" equalAverage="0" bottom="0" percent="0" rank="0" text="" dxfId="2729">
      <formula>$F298:G2286="pp"</formula>
    </cfRule>
  </conditionalFormatting>
  <conditionalFormatting sqref="K409:K411 M409:N411">
    <cfRule type="expression" priority="2720" aboveAverage="0" equalAverage="0" bottom="0" percent="0" rank="0" text="" dxfId="2730">
      <formula>$F409:P2310="pp"</formula>
    </cfRule>
  </conditionalFormatting>
  <conditionalFormatting sqref="K990:K1000 M990:N1000">
    <cfRule type="expression" priority="2721" aboveAverage="0" equalAverage="0" bottom="0" percent="0" rank="0" text="" dxfId="2731">
      <formula>$F990:P2313="pp"</formula>
    </cfRule>
  </conditionalFormatting>
  <conditionalFormatting sqref="A1049:A1052">
    <cfRule type="expression" priority="2722" aboveAverage="0" equalAverage="0" bottom="0" percent="0" rank="0" text="" dxfId="2732">
      <formula>$F1049:F2324="pp"</formula>
    </cfRule>
  </conditionalFormatting>
  <conditionalFormatting sqref="A1285:A1286 C1301:D1302">
    <cfRule type="expression" priority="2723" aboveAverage="0" equalAverage="0" bottom="0" percent="0" rank="0" text="" dxfId="2733">
      <formula>$F1285:F2321="pp"</formula>
    </cfRule>
  </conditionalFormatting>
  <conditionalFormatting sqref="A1375:A1376">
    <cfRule type="expression" priority="2724" aboveAverage="0" equalAverage="0" bottom="0" percent="0" rank="0" text="" dxfId="2734">
      <formula>$F1375:F2294="pp"</formula>
    </cfRule>
  </conditionalFormatting>
  <conditionalFormatting sqref="K1486:K1488 M1486:N1488">
    <cfRule type="expression" priority="2725" aboveAverage="0" equalAverage="0" bottom="0" percent="0" rank="0" text="" dxfId="2735">
      <formula>$F1486:P2343="pp"</formula>
    </cfRule>
  </conditionalFormatting>
  <conditionalFormatting sqref="C1885:D1886">
    <cfRule type="expression" priority="2726" aboveAverage="0" equalAverage="0" bottom="0" percent="0" rank="0" text="" dxfId="2736">
      <formula>$F1885:H2343="pp"</formula>
    </cfRule>
  </conditionalFormatting>
  <conditionalFormatting sqref="K491:K493 M491:N493">
    <cfRule type="expression" priority="2727" aboveAverage="0" equalAverage="0" bottom="0" percent="0" rank="0" text="" dxfId="2737">
      <formula>$F491:P2309="pp"</formula>
    </cfRule>
  </conditionalFormatting>
  <conditionalFormatting sqref="B887:B896 L887:L896 J887:J896">
    <cfRule type="expression" priority="2728" aboveAverage="0" equalAverage="0" bottom="0" percent="0" rank="0" text="" dxfId="2738">
      <formula>$F887:G2285="pp"</formula>
    </cfRule>
  </conditionalFormatting>
  <conditionalFormatting sqref="B1157:B1161 L1157:L1161 J1157:J1161">
    <cfRule type="expression" priority="2729" aboveAverage="0" equalAverage="0" bottom="0" percent="0" rank="0" text="" dxfId="2739">
      <formula>$F1157:G2287="pp"</formula>
    </cfRule>
  </conditionalFormatting>
  <conditionalFormatting sqref="B1442:B1448 L1442:L1448 J1442:J1448">
    <cfRule type="expression" priority="2730" aboveAverage="0" equalAverage="0" bottom="0" percent="0" rank="0" text="" dxfId="2740">
      <formula>$F1442:G2301="pp"</formula>
    </cfRule>
  </conditionalFormatting>
  <conditionalFormatting sqref="E538:E539 G524:I526">
    <cfRule type="expression" priority="2731" aboveAverage="0" equalAverage="0" bottom="0" percent="0" rank="0" text="" dxfId="2741">
      <formula>$F524:I2272="pp"</formula>
    </cfRule>
  </conditionalFormatting>
  <conditionalFormatting sqref="F1010:F1022 F989:F1000">
    <cfRule type="expression" priority="2732" aboveAverage="0" equalAverage="0" bottom="0" percent="0" rank="0" text="" dxfId="2742">
      <formula>$F989:J2658="pp"</formula>
    </cfRule>
  </conditionalFormatting>
  <conditionalFormatting sqref="E697:E705">
    <cfRule type="expression" priority="2733" aboveAverage="0" equalAverage="0" bottom="0" percent="0" rank="0" text="" dxfId="2743">
      <formula>$F697:I2282="pp"</formula>
    </cfRule>
  </conditionalFormatting>
  <conditionalFormatting sqref="O862:O864 P874:P876">
    <cfRule type="expression" priority="2734" aboveAverage="0" equalAverage="0" bottom="0" percent="0" rank="0" text="" dxfId="2744">
      <formula>$F862:S2298="pp"</formula>
    </cfRule>
  </conditionalFormatting>
  <conditionalFormatting sqref="E1119:E1125">
    <cfRule type="expression" priority="2735" aboveAverage="0" equalAverage="0" bottom="0" percent="0" rank="0" text="" dxfId="2745">
      <formula>$F1119:I2290="pp"</formula>
    </cfRule>
  </conditionalFormatting>
  <conditionalFormatting sqref="G1249:I1263">
    <cfRule type="expression" priority="2736" aboveAverage="0" equalAverage="0" bottom="0" percent="0" rank="0" text="" dxfId="2746">
      <formula>$F1249:K2288="pp"</formula>
    </cfRule>
  </conditionalFormatting>
  <conditionalFormatting sqref="G1291:I1292">
    <cfRule type="expression" priority="2737" aboveAverage="0" equalAverage="0" bottom="0" percent="0" rank="0" text="" dxfId="2747">
      <formula>$F1291:K2287="pp"</formula>
    </cfRule>
  </conditionalFormatting>
  <conditionalFormatting sqref="G1380:I1386 F1442:F1448">
    <cfRule type="expression" priority="2738" aboveAverage="0" equalAverage="0" bottom="0" percent="0" rank="0" text="" dxfId="2748">
      <formula>$F1380:J2278="pp"</formula>
    </cfRule>
  </conditionalFormatting>
  <conditionalFormatting sqref="O1449:O1450 G1414:I1415">
    <cfRule type="expression" priority="2739" aboveAverage="0" equalAverage="0" bottom="0" percent="0" rank="0" text="" dxfId="2749">
      <formula>$F1414:K2290="pp"</formula>
    </cfRule>
  </conditionalFormatting>
  <conditionalFormatting sqref="G1539:I1540 G1545:I1551">
    <cfRule type="expression" priority="2740" aboveAverage="0" equalAverage="0" bottom="0" percent="0" rank="0" text="" dxfId="2750">
      <formula>$F1539:K2312="pp"</formula>
    </cfRule>
  </conditionalFormatting>
  <conditionalFormatting sqref="E1641:E1642">
    <cfRule type="expression" priority="2741" aboveAverage="0" equalAverage="0" bottom="0" percent="0" rank="0" text="" dxfId="2751">
      <formula>$F1641:I2312="pp"</formula>
    </cfRule>
  </conditionalFormatting>
  <conditionalFormatting sqref="E1789:E1790">
    <cfRule type="expression" priority="2742" aboveAverage="0" equalAverage="0" bottom="0" percent="0" rank="0" text="" dxfId="2752">
      <formula>$F1789:I2316="pp"</formula>
    </cfRule>
  </conditionalFormatting>
  <conditionalFormatting sqref="G1815:I1816 G1822:I1828">
    <cfRule type="expression" priority="2743" aboveAverage="0" equalAverage="0" bottom="0" percent="0" rank="0" text="" dxfId="2753">
      <formula>$F1815:K2308="pp"</formula>
    </cfRule>
  </conditionalFormatting>
  <conditionalFormatting sqref="O2048:O2049">
    <cfRule type="expression" priority="2744" aboveAverage="0" equalAverage="0" bottom="0" percent="0" rank="0" text="" dxfId="2754">
      <formula>$F2048:S2329="pp"</formula>
    </cfRule>
  </conditionalFormatting>
  <conditionalFormatting sqref="O830:O831 E832:E833 O834:O835 P849:P851 P855:P856">
    <cfRule type="expression" priority="2745" aboveAverage="0" equalAverage="0" bottom="0" percent="0" rank="0" text="" dxfId="2755">
      <formula>$F830:I2299="pp"</formula>
    </cfRule>
  </conditionalFormatting>
  <conditionalFormatting sqref="G1355:I1356">
    <cfRule type="expression" priority="2746" aboveAverage="0" equalAverage="0" bottom="0" percent="0" rank="0" text="" dxfId="2756">
      <formula>$F1355:K2276="pp"</formula>
    </cfRule>
  </conditionalFormatting>
  <conditionalFormatting sqref="E1866:E1868 E1873:E1879">
    <cfRule type="expression" priority="2747" aboveAverage="0" equalAverage="0" bottom="0" percent="0" rank="0" text="" dxfId="2757">
      <formula>$F1866:I2335="pp"</formula>
    </cfRule>
  </conditionalFormatting>
  <conditionalFormatting sqref="G180:I181 O180:O181">
    <cfRule type="expression" priority="2748" aboveAverage="0" equalAverage="0" bottom="0" percent="0" rank="0" text="" dxfId="2758">
      <formula>$F180:K2261="pp"</formula>
    </cfRule>
  </conditionalFormatting>
  <conditionalFormatting sqref="E267:E268">
    <cfRule type="expression" priority="2749" aboveAverage="0" equalAverage="0" bottom="0" percent="0" rank="0" text="" dxfId="2759">
      <formula>$F267:I2295="pp"</formula>
    </cfRule>
  </conditionalFormatting>
  <conditionalFormatting sqref="G285:I287 O285:O287 P1020:P1024">
    <cfRule type="expression" priority="2750" aboveAverage="0" equalAverage="0" bottom="0" percent="0" rank="0" text="" dxfId="2760">
      <formula>$F285:K2288="pp"</formula>
    </cfRule>
  </conditionalFormatting>
  <conditionalFormatting sqref="G298:I300 O298:O300">
    <cfRule type="expression" priority="2751" aboveAverage="0" equalAverage="0" bottom="0" percent="0" rank="0" text="" dxfId="2761">
      <formula>$F298:K2286="pp"</formula>
    </cfRule>
  </conditionalFormatting>
  <conditionalFormatting sqref="F413:F414">
    <cfRule type="expression" priority="2752" aboveAverage="0" equalAverage="0" bottom="0" percent="0" rank="0" text="" dxfId="2762">
      <formula>$F413:J2314="pp"</formula>
    </cfRule>
  </conditionalFormatting>
  <conditionalFormatting sqref="O621:O622">
    <cfRule type="expression" priority="2753" aboveAverage="0" equalAverage="0" bottom="0" percent="0" rank="0" text="" dxfId="2763">
      <formula>$F621:S2297="pp"</formula>
    </cfRule>
  </conditionalFormatting>
  <conditionalFormatting sqref="G706:I707">
    <cfRule type="expression" priority="2754" aboveAverage="0" equalAverage="0" bottom="0" percent="0" rank="0" text="" dxfId="2764">
      <formula>$F706:K2275="pp"</formula>
    </cfRule>
  </conditionalFormatting>
  <conditionalFormatting sqref="E771:E776">
    <cfRule type="expression" priority="2755" aboveAverage="0" equalAverage="0" bottom="0" percent="0" rank="0" text="" dxfId="2765">
      <formula>$F771:I2285="pp"</formula>
    </cfRule>
  </conditionalFormatting>
  <conditionalFormatting sqref="F1157:F1161">
    <cfRule type="expression" priority="2756" aboveAverage="0" equalAverage="0" bottom="0" percent="0" rank="0" text="" dxfId="2766">
      <formula>$F1157:J2629="pp"</formula>
    </cfRule>
  </conditionalFormatting>
  <conditionalFormatting sqref="E988:E993">
    <cfRule type="expression" priority="2757" aboveAverage="0" equalAverage="0" bottom="0" percent="0" rank="0" text="" dxfId="2767">
      <formula>$F988:I2299="pp"</formula>
    </cfRule>
  </conditionalFormatting>
  <conditionalFormatting sqref="O987:O989">
    <cfRule type="expression" priority="2758" aboveAverage="0" equalAverage="0" bottom="0" percent="0" rank="0" text="" dxfId="2768">
      <formula>$F987:S2297="pp"</formula>
    </cfRule>
  </conditionalFormatting>
  <conditionalFormatting sqref="O1010:O1019">
    <cfRule type="expression" priority="2759" aboveAverage="0" equalAverage="0" bottom="0" percent="0" rank="0" text="" dxfId="2769">
      <formula>$F1010:S2294="pp"</formula>
    </cfRule>
  </conditionalFormatting>
  <conditionalFormatting sqref="O1027:O1030 E1031:E1032">
    <cfRule type="expression" priority="2760" aboveAverage="0" equalAverage="0" bottom="0" percent="0" rank="0" text="" dxfId="2770">
      <formula>$F1027:I2302="pp"</formula>
    </cfRule>
  </conditionalFormatting>
  <conditionalFormatting sqref="O1074:O1077">
    <cfRule type="expression" priority="2761" aboveAverage="0" equalAverage="0" bottom="0" percent="0" rank="0" text="" dxfId="2771">
      <formula>$F1074:S2287="pp"</formula>
    </cfRule>
  </conditionalFormatting>
  <conditionalFormatting sqref="G1119:I1125 O1137:O1142">
    <cfRule type="expression" priority="2762" aboveAverage="0" equalAverage="0" bottom="0" percent="0" rank="0" text="" dxfId="2772">
      <formula>$F1119:K2274="pp"</formula>
    </cfRule>
  </conditionalFormatting>
  <conditionalFormatting sqref="O1186:O1187 O1190:O1197">
    <cfRule type="expression" priority="2763" aboveAverage="0" equalAverage="0" bottom="0" percent="0" rank="0" text="" dxfId="2773">
      <formula>$F1186:S2313="pp"</formula>
    </cfRule>
  </conditionalFormatting>
  <conditionalFormatting sqref="G1151:I1152 E1188:E1189">
    <cfRule type="expression" priority="2764" aboveAverage="0" equalAverage="0" bottom="0" percent="0" rank="0" text="" dxfId="2774">
      <formula>$F1151:I2280="pp"</formula>
    </cfRule>
  </conditionalFormatting>
  <conditionalFormatting sqref="O1202:O1208">
    <cfRule type="expression" priority="2765" aboveAverage="0" equalAverage="0" bottom="0" percent="0" rank="0" text="" dxfId="2775">
      <formula>$F1202:S2305="pp"</formula>
    </cfRule>
  </conditionalFormatting>
  <conditionalFormatting sqref="G1543:I1544">
    <cfRule type="expression" priority="2766" aboveAverage="0" equalAverage="0" bottom="0" percent="0" rank="0" text="" dxfId="2776">
      <formula>$F1543:K2314="pp"</formula>
    </cfRule>
  </conditionalFormatting>
  <conditionalFormatting sqref="F1616:F1619">
    <cfRule type="expression" priority="2767" aboveAverage="0" equalAverage="0" bottom="0" percent="0" rank="0" text="" dxfId="2777">
      <formula>$F1616:J2341="pp"</formula>
    </cfRule>
  </conditionalFormatting>
  <conditionalFormatting sqref="E1869:E1872">
    <cfRule type="expression" priority="2768" aboveAverage="0" equalAverage="0" bottom="0" percent="0" rank="0" text="" dxfId="2778">
      <formula>$F1869:I2339="pp"</formula>
    </cfRule>
  </conditionalFormatting>
  <conditionalFormatting sqref="E1911:E1917">
    <cfRule type="expression" priority="2769" aboveAverage="0" equalAverage="0" bottom="0" percent="0" rank="0" text="" dxfId="2779">
      <formula>$F1911:I2321="pp"</formula>
    </cfRule>
  </conditionalFormatting>
  <conditionalFormatting sqref="E1960:E1961 O1964:O1965">
    <cfRule type="expression" priority="2770" aboveAverage="0" equalAverage="0" bottom="0" percent="0" rank="0" text="" dxfId="2780">
      <formula>$F1960:I2338="pp"</formula>
    </cfRule>
  </conditionalFormatting>
  <conditionalFormatting sqref="O2035:O2037">
    <cfRule type="expression" priority="2771" aboveAverage="0" equalAverage="0" bottom="0" percent="0" rank="0" text="" dxfId="2781">
      <formula>$F2035:S2324="pp"</formula>
    </cfRule>
  </conditionalFormatting>
  <conditionalFormatting sqref="A283:A294">
    <cfRule type="expression" priority="2772" aboveAverage="0" equalAverage="0" bottom="0" percent="0" rank="0" text="" dxfId="2782">
      <formula>$F283:F2306="pp"</formula>
    </cfRule>
  </conditionalFormatting>
  <conditionalFormatting sqref="A534:A537">
    <cfRule type="expression" priority="2773" aboveAverage="0" equalAverage="0" bottom="0" percent="0" rank="0" text="" dxfId="2783">
      <formula>$F534:F2304="pp"</formula>
    </cfRule>
  </conditionalFormatting>
  <conditionalFormatting sqref="C643:D655">
    <cfRule type="expression" priority="2774" aboveAverage="0" equalAverage="0" bottom="0" percent="0" rank="0" text="" dxfId="2784">
      <formula>$F643:H2302="pp"</formula>
    </cfRule>
  </conditionalFormatting>
  <conditionalFormatting sqref="K1301:K1302 M1301:N1302">
    <cfRule type="expression" priority="2775" aboveAverage="0" equalAverage="0" bottom="0" percent="0" rank="0" text="" dxfId="2785">
      <formula>$F1301:P2324="pp"</formula>
    </cfRule>
  </conditionalFormatting>
  <conditionalFormatting sqref="J1414:J1415 L1414:L1415 A1449:A1450 B1414:B1415">
    <cfRule type="expression" priority="2776" aboveAverage="0" equalAverage="0" bottom="0" percent="0" rank="0" text="" dxfId="2786">
      <formula>$F1414:F2290="pp"</formula>
    </cfRule>
  </conditionalFormatting>
  <conditionalFormatting sqref="K1570:K1573 M1570:N1574">
    <cfRule type="expression" priority="2777" aboveAverage="0" equalAverage="0" bottom="0" percent="0" rank="0" text="" dxfId="2787">
      <formula>$F1570:P2346="pp"</formula>
    </cfRule>
  </conditionalFormatting>
  <conditionalFormatting sqref="A1641:A1642">
    <cfRule type="expression" priority="2778" aboveAverage="0" equalAverage="0" bottom="0" percent="0" rank="0" text="" dxfId="2788">
      <formula>$F1641:F2320="pp"</formula>
    </cfRule>
  </conditionalFormatting>
  <conditionalFormatting sqref="C1933:D1944 M1946:N1948 K1946:K1948">
    <cfRule type="expression" priority="2779" aboveAverage="0" equalAverage="0" bottom="0" percent="0" rank="0" text="" dxfId="2789">
      <formula>$F1933:H2346="pp"</formula>
    </cfRule>
  </conditionalFormatting>
  <conditionalFormatting sqref="K423:K429 M423:N429">
    <cfRule type="expression" priority="2780" aboveAverage="0" equalAverage="0" bottom="0" percent="0" rank="0" text="" dxfId="2790">
      <formula>$F423:P2305="pp"</formula>
    </cfRule>
  </conditionalFormatting>
  <conditionalFormatting sqref="B401:B405 C416:D420 L401:L405 J401:J405">
    <cfRule type="expression" priority="2781" aboveAverage="0" equalAverage="0" bottom="0" percent="0" rank="0" text="" dxfId="2791">
      <formula>$F401:G2282="pp"</formula>
    </cfRule>
  </conditionalFormatting>
  <conditionalFormatting sqref="C566:D569">
    <cfRule type="expression" priority="2782" aboveAverage="0" equalAverage="0" bottom="0" percent="0" rank="0" text="" dxfId="2792">
      <formula>$F566:H2316="pp"</formula>
    </cfRule>
  </conditionalFormatting>
  <conditionalFormatting sqref="K623:K624 M623:N624 C617:D620">
    <cfRule type="expression" priority="2783" aboveAverage="0" equalAverage="0" bottom="0" percent="0" rank="0" text="" dxfId="2793">
      <formula>$F617:H2314="pp"</formula>
    </cfRule>
  </conditionalFormatting>
  <conditionalFormatting sqref="J578:J582 B578:B582 C615:D616 L578:L582">
    <cfRule type="expression" priority="2784" aboveAverage="0" equalAverage="0" bottom="0" percent="0" rank="0" text="" dxfId="2794">
      <formula>$F578:G2274="pp"</formula>
    </cfRule>
  </conditionalFormatting>
  <conditionalFormatting sqref="C621:D622">
    <cfRule type="expression" priority="2785" aboveAverage="0" equalAverage="0" bottom="0" percent="0" rank="0" text="" dxfId="2795">
      <formula>$F621:H2316="pp"</formula>
    </cfRule>
  </conditionalFormatting>
  <conditionalFormatting sqref="B623:B624 L623:L624 J623:J624">
    <cfRule type="expression" priority="2786" aboveAverage="0" equalAverage="0" bottom="0" percent="0" rank="0" text="" dxfId="2796">
      <formula>$F623:G2283="pp"</formula>
    </cfRule>
  </conditionalFormatting>
  <conditionalFormatting sqref="J672:J675 B672:B675 L672:L675">
    <cfRule type="expression" priority="2787" aboveAverage="0" equalAverage="0" bottom="0" percent="0" rank="0" text="" dxfId="2797">
      <formula>$F672:G2272="pp"</formula>
    </cfRule>
  </conditionalFormatting>
  <conditionalFormatting sqref="C726:D727">
    <cfRule type="expression" priority="2788" aboveAverage="0" equalAverage="0" bottom="0" percent="0" rank="0" text="" dxfId="2798">
      <formula>$F726:H2308="pp"</formula>
    </cfRule>
  </conditionalFormatting>
  <conditionalFormatting sqref="K874:K876 M874:N876 K883:K886 M883:N886">
    <cfRule type="expression" priority="2789" aboveAverage="0" equalAverage="0" bottom="0" percent="0" rank="0" text="" dxfId="2799">
      <formula>$F874:P2319="pp"</formula>
    </cfRule>
  </conditionalFormatting>
  <conditionalFormatting sqref="B978:B979 L978:L979 J978:J979">
    <cfRule type="expression" priority="2790" aboveAverage="0" equalAverage="0" bottom="0" percent="0" rank="0" text="" dxfId="2800">
      <formula>$F978:G2290="pp"</formula>
    </cfRule>
  </conditionalFormatting>
  <conditionalFormatting sqref="A1154:A1156">
    <cfRule type="expression" priority="2791" aboveAverage="0" equalAverage="0" bottom="0" percent="0" rank="0" text="" dxfId="2801">
      <formula>$F1154:F2318="pp"</formula>
    </cfRule>
  </conditionalFormatting>
  <conditionalFormatting sqref="C1412:D1413 M1423:N1425 K1423:K1425">
    <cfRule type="expression" priority="2792" aboveAverage="0" equalAverage="0" bottom="0" percent="0" rank="0" text="" dxfId="2802">
      <formula>$F1412:H2323="pp"</formula>
    </cfRule>
  </conditionalFormatting>
  <conditionalFormatting sqref="A1454:A1457 C1462:D1465">
    <cfRule type="expression" priority="2793" aboveAverage="0" equalAverage="0" bottom="0" percent="0" rank="0" text="" dxfId="2803">
      <formula>$F1454:F2323="pp"</formula>
    </cfRule>
  </conditionalFormatting>
  <conditionalFormatting sqref="C1499:D1500">
    <cfRule type="expression" priority="2794" aboveAverage="0" equalAverage="0" bottom="0" percent="0" rank="0" text="" dxfId="2804">
      <formula>$F1499:H2339="pp"</formula>
    </cfRule>
  </conditionalFormatting>
  <conditionalFormatting sqref="C1501:D1502 C1497:D1498">
    <cfRule type="expression" priority="2795" aboveAverage="0" equalAverage="0" bottom="0" percent="0" rank="0" text="" dxfId="2805">
      <formula>$F1497:H2336="pp"</formula>
    </cfRule>
  </conditionalFormatting>
  <conditionalFormatting sqref="C1537:D1538">
    <cfRule type="expression" priority="2796" aboveAverage="0" equalAverage="0" bottom="0" percent="0" rank="0" text="" dxfId="2806">
      <formula>$F1537:H2345="pp"</formula>
    </cfRule>
  </conditionalFormatting>
  <conditionalFormatting sqref="K1574:K1576 M1575:N1576 J1537:J1538 L1537:L1538 B1537:B1538">
    <cfRule type="expression" priority="2797" aboveAverage="0" equalAverage="0" bottom="0" percent="0" rank="0" text="" dxfId="2807">
      <formula>$F1537:G2311="pp"</formula>
    </cfRule>
  </conditionalFormatting>
  <conditionalFormatting sqref="K1641:K1646 M1641:N1646">
    <cfRule type="expression" priority="2798" aboveAverage="0" equalAverage="0" bottom="0" percent="0" rank="0" text="" dxfId="2808">
      <formula>$F1641:P2339="pp"</formula>
    </cfRule>
  </conditionalFormatting>
  <conditionalFormatting sqref="J1641:J1642 B1641:B1642 L1641:L1642">
    <cfRule type="expression" priority="2799" aboveAverage="0" equalAverage="0" bottom="0" percent="0" rank="0" text="" dxfId="2809">
      <formula>$F1641:G2302="pp"</formula>
    </cfRule>
  </conditionalFormatting>
  <conditionalFormatting sqref="K1716:K1717 M1716:N1717">
    <cfRule type="expression" priority="2800" aboveAverage="0" equalAverage="0" bottom="0" percent="0" rank="0" text="" dxfId="2810">
      <formula>$F1716:P2351="pp"</formula>
    </cfRule>
  </conditionalFormatting>
  <conditionalFormatting sqref="C2038:D2043">
    <cfRule type="expression" priority="2801" aboveAverage="0" equalAverage="0" bottom="0" percent="0" rank="0" text="" dxfId="2811">
      <formula>$F2038:H2344="pp"</formula>
    </cfRule>
  </conditionalFormatting>
  <conditionalFormatting sqref="E629:E630">
    <cfRule type="expression" priority="2802" aboveAverage="0" equalAverage="0" bottom="0" percent="0" rank="0" text="" dxfId="2812">
      <formula>$F629:I2277="pp"</formula>
    </cfRule>
  </conditionalFormatting>
  <conditionalFormatting sqref="F1291:F1292">
    <cfRule type="expression" priority="2803" aboveAverage="0" equalAverage="0" bottom="0" percent="0" rank="0" text="" dxfId="2813">
      <formula>$F1291:J2629="pp"</formula>
    </cfRule>
  </conditionalFormatting>
  <conditionalFormatting sqref="O1119:O1125">
    <cfRule type="expression" priority="2804" aboveAverage="0" equalAverage="0" bottom="0" percent="0" rank="0" text="" dxfId="2814">
      <formula>$F1119:S2289="pp"</formula>
    </cfRule>
  </conditionalFormatting>
  <conditionalFormatting sqref="G1264:I1265">
    <cfRule type="expression" priority="2805" aboveAverage="0" equalAverage="0" bottom="0" percent="0" rank="0" text="" dxfId="2815">
      <formula>$F1264:K2302="pp"</formula>
    </cfRule>
  </conditionalFormatting>
  <conditionalFormatting sqref="E1293:E1295">
    <cfRule type="expression" priority="2806" aboveAverage="0" equalAverage="0" bottom="0" percent="0" rank="0" text="" dxfId="2816">
      <formula>$F1293:I2303="pp"</formula>
    </cfRule>
  </conditionalFormatting>
  <conditionalFormatting sqref="F1449:F1450 G1387:I1389">
    <cfRule type="expression" priority="2807" aboveAverage="0" equalAverage="0" bottom="0" percent="0" rank="0" text="" dxfId="2817">
      <formula>$F1387:J2284="pp"</formula>
    </cfRule>
  </conditionalFormatting>
  <conditionalFormatting sqref="E1414:E1415">
    <cfRule type="expression" priority="2808" aboveAverage="0" equalAverage="0" bottom="0" percent="0" rank="0" text="" dxfId="2818">
      <formula>$F1414:I2300="pp"</formula>
    </cfRule>
  </conditionalFormatting>
  <conditionalFormatting sqref="G1541:I1542">
    <cfRule type="expression" priority="2809" aboveAverage="0" equalAverage="0" bottom="0" percent="0" rank="0" text="" dxfId="2819">
      <formula>$F1541:K2311="pp"</formula>
    </cfRule>
  </conditionalFormatting>
  <conditionalFormatting sqref="P236:P237">
    <cfRule type="expression" priority="2810" aboveAverage="0" equalAverage="0" bottom="0" percent="0" rank="0" text="" dxfId="2820">
      <formula>$F236:T2996="pp"</formula>
    </cfRule>
    <cfRule type="expression" priority="2811" aboveAverage="0" equalAverage="0" bottom="0" percent="0" rank="0" text="" dxfId="2821">
      <formula>$F236:T2279="pp"</formula>
    </cfRule>
  </conditionalFormatting>
  <conditionalFormatting sqref="P423:P429">
    <cfRule type="expression" priority="2812" aboveAverage="0" equalAverage="0" bottom="0" percent="0" rank="0" text="" dxfId="2822">
      <formula>$F423:T3013="pp"</formula>
    </cfRule>
    <cfRule type="expression" priority="2813" aboveAverage="0" equalAverage="0" bottom="0" percent="0" rank="0" text="" dxfId="2823">
      <formula>$F423:T2296="pp"</formula>
    </cfRule>
  </conditionalFormatting>
  <conditionalFormatting sqref="P507">
    <cfRule type="expression" priority="2814" aboveAverage="0" equalAverage="0" bottom="0" percent="0" rank="0" text="" dxfId="2824">
      <formula>$F507:T3014="pp"</formula>
    </cfRule>
    <cfRule type="expression" priority="2815" aboveAverage="0" equalAverage="0" bottom="0" percent="0" rank="0" text="" dxfId="2825">
      <formula>$F507:T2297="pp"</formula>
    </cfRule>
  </conditionalFormatting>
  <conditionalFormatting sqref="P623:P624">
    <cfRule type="expression" priority="2816" aboveAverage="0" equalAverage="0" bottom="0" percent="0" rank="0" text="" dxfId="2826">
      <formula>$F623:T3028="pp"</formula>
    </cfRule>
    <cfRule type="expression" priority="2817" aboveAverage="0" equalAverage="0" bottom="0" percent="0" rank="0" text="" dxfId="2827">
      <formula>$F623:T2311="pp"</formula>
    </cfRule>
  </conditionalFormatting>
  <conditionalFormatting sqref="P740">
    <cfRule type="expression" priority="2818" aboveAverage="0" equalAverage="0" bottom="0" percent="0" rank="0" text="" dxfId="2828">
      <formula>$F740:T3017="pp"</formula>
    </cfRule>
    <cfRule type="expression" priority="2819" aboveAverage="0" equalAverage="0" bottom="0" percent="0" rank="0" text="" dxfId="2829">
      <formula>$F740:T2300="pp"</formula>
    </cfRule>
  </conditionalFormatting>
  <conditionalFormatting sqref="O1007:O1009 E1010:E1019">
    <cfRule type="expression" priority="2820" aboveAverage="0" equalAverage="0" bottom="0" percent="0" rank="0" text="" dxfId="2830">
      <formula>$F1007:I2292="pp"</formula>
    </cfRule>
  </conditionalFormatting>
  <conditionalFormatting sqref="P1346">
    <cfRule type="expression" priority="2821" aboveAverage="0" equalAverage="0" bottom="0" percent="0" rank="0" text="" dxfId="2831">
      <formula>$F1346:T3020="pp"</formula>
    </cfRule>
    <cfRule type="expression" priority="2822" aboveAverage="0" equalAverage="0" bottom="0" percent="0" rank="0" text="" dxfId="2832">
      <formula>$F1346:T2303="pp"</formula>
    </cfRule>
  </conditionalFormatting>
  <conditionalFormatting sqref="P1394">
    <cfRule type="expression" priority="2823" aboveAverage="0" equalAverage="0" bottom="0" percent="0" rank="0" text="" dxfId="2833">
      <formula>$F1394:T3030="pp"</formula>
    </cfRule>
    <cfRule type="expression" priority="2824" aboveAverage="0" equalAverage="0" bottom="0" percent="0" rank="0" text="" dxfId="2834">
      <formula>$F1394:T2313="pp"</formula>
    </cfRule>
  </conditionalFormatting>
  <conditionalFormatting sqref="P1414:P1417">
    <cfRule type="expression" priority="2825" aboveAverage="0" equalAverage="0" bottom="0" percent="0" rank="0" text="" dxfId="2835">
      <formula>$F1414:T3035="pp"</formula>
    </cfRule>
    <cfRule type="expression" priority="2826" aboveAverage="0" equalAverage="0" bottom="0" percent="0" rank="0" text="" dxfId="2836">
      <formula>$F1414:T2318="pp"</formula>
    </cfRule>
  </conditionalFormatting>
  <conditionalFormatting sqref="P1454:P1457">
    <cfRule type="expression" priority="2827" aboveAverage="0" equalAverage="0" bottom="0" percent="0" rank="0" text="" dxfId="2837">
      <formula>$F1454:T3053="pp"</formula>
    </cfRule>
    <cfRule type="expression" priority="2828" aboveAverage="0" equalAverage="0" bottom="0" percent="0" rank="0" text="" dxfId="2838">
      <formula>$F1454:T2336="pp"</formula>
    </cfRule>
  </conditionalFormatting>
  <conditionalFormatting sqref="E713:E716">
    <cfRule type="expression" priority="2829" aboveAverage="0" equalAverage="0" bottom="0" percent="0" rank="0" text="" dxfId="2839">
      <formula>$F713:I2283="pp"</formula>
    </cfRule>
  </conditionalFormatting>
  <conditionalFormatting sqref="P1641:P1646">
    <cfRule type="expression" priority="2830" aboveAverage="0" equalAverage="0" bottom="0" percent="0" rank="0" text="" dxfId="2840">
      <formula>$F1641:T3047="pp"</formula>
    </cfRule>
    <cfRule type="expression" priority="2831" aboveAverage="0" equalAverage="0" bottom="0" percent="0" rank="0" text="" dxfId="2841">
      <formula>$F1641:T2330="pp"</formula>
    </cfRule>
  </conditionalFormatting>
  <conditionalFormatting sqref="E1504:E1509">
    <cfRule type="expression" priority="2832" aboveAverage="0" equalAverage="0" bottom="0" percent="0" rank="0" text="" dxfId="2842">
      <formula>$F1504:I2312="pp"</formula>
    </cfRule>
  </conditionalFormatting>
  <conditionalFormatting sqref="Q236:Q237">
    <cfRule type="expression" priority="2833" aboveAverage="0" equalAverage="0" bottom="0" percent="0" rank="0" text="" dxfId="2843">
      <formula>$F236:T2279="pp"</formula>
    </cfRule>
  </conditionalFormatting>
  <conditionalFormatting sqref="Q423:Q429">
    <cfRule type="expression" priority="2834" aboveAverage="0" equalAverage="0" bottom="0" percent="0" rank="0" text="" dxfId="2844">
      <formula>$F423:T2296="pp"</formula>
    </cfRule>
  </conditionalFormatting>
  <conditionalFormatting sqref="Q623:Q624">
    <cfRule type="expression" priority="2835" aboveAverage="0" equalAverage="0" bottom="0" percent="0" rank="0" text="" dxfId="2845">
      <formula>$F623:T2311="pp"</formula>
    </cfRule>
  </conditionalFormatting>
  <conditionalFormatting sqref="Q874:Q876 Q883:Q886">
    <cfRule type="expression" priority="2836" aboveAverage="0" equalAverage="0" bottom="0" percent="0" rank="0" text="" dxfId="2846">
      <formula>$F874:T2310="pp"</formula>
    </cfRule>
  </conditionalFormatting>
  <conditionalFormatting sqref="Q1414:Q1417">
    <cfRule type="expression" priority="2837" aboveAverage="0" equalAverage="0" bottom="0" percent="0" rank="0" text="" dxfId="2847">
      <formula>$F1414:T2318="pp"</formula>
    </cfRule>
  </conditionalFormatting>
  <conditionalFormatting sqref="Q1468:Q1471">
    <cfRule type="expression" priority="2838" aboveAverage="0" equalAverage="0" bottom="0" percent="0" rank="0" text="" dxfId="2848">
      <formula>$F1468:T2329="pp"</formula>
    </cfRule>
  </conditionalFormatting>
  <conditionalFormatting sqref="Q1641:Q1646">
    <cfRule type="expression" priority="2839" aboveAverage="0" equalAverage="0" bottom="0" percent="0" rank="0" text="" dxfId="2849">
      <formula>$F1641:T2330="pp"</formula>
    </cfRule>
  </conditionalFormatting>
  <conditionalFormatting sqref="C578:D582">
    <cfRule type="expression" priority="2840" aboveAverage="0" equalAverage="0" bottom="0" percent="0" rank="0" text="" dxfId="2850">
      <formula>$F578:H2308="pp"</formula>
    </cfRule>
  </conditionalFormatting>
  <conditionalFormatting sqref="K672:K675 M672:N675">
    <cfRule type="expression" priority="2841" aboveAverage="0" equalAverage="0" bottom="0" percent="0" rank="0" text="" dxfId="2851">
      <formula>$F672:P2309="pp"</formula>
    </cfRule>
  </conditionalFormatting>
  <conditionalFormatting sqref="C1428:D1433">
    <cfRule type="expression" priority="2842" aboveAverage="0" equalAverage="0" bottom="0" percent="0" rank="0" text="" dxfId="2852">
      <formula>$F1428:H2332="pp"</formula>
    </cfRule>
  </conditionalFormatting>
  <conditionalFormatting sqref="M1464:N1465 K1464:K1465">
    <cfRule type="expression" priority="2843" aboveAverage="0" equalAverage="0" bottom="0" percent="0" rank="0" text="" dxfId="2853">
      <formula>$F1464:P2336="pp"</formula>
    </cfRule>
  </conditionalFormatting>
  <conditionalFormatting sqref="C1960:D1961">
    <cfRule type="expression" priority="2844" aboveAverage="0" equalAverage="0" bottom="0" percent="0" rank="0" text="" dxfId="2854">
      <formula>$F1960:H2362="pp"</formula>
    </cfRule>
  </conditionalFormatting>
  <conditionalFormatting sqref="C231:D235">
    <cfRule type="expression" priority="2845" aboveAverage="0" equalAverage="0" bottom="0" percent="0" rank="0" text="" dxfId="2855">
      <formula>$F231:H2300="pp"</formula>
    </cfRule>
  </conditionalFormatting>
  <conditionalFormatting sqref="K726:K727 M726:N727">
    <cfRule type="expression" priority="2846" aboveAverage="0" equalAverage="0" bottom="0" percent="0" rank="0" text="" dxfId="2856">
      <formula>$F726:P2311="pp"</formula>
    </cfRule>
  </conditionalFormatting>
  <conditionalFormatting sqref="J1001:J1003 L1001:L1003 A1033:A1048 B1001:B1003">
    <cfRule type="expression" priority="2847" aboveAverage="0" equalAverage="0" bottom="0" percent="0" rank="0" text="" dxfId="2857">
      <formula>$F1001:F2288="pp"</formula>
    </cfRule>
  </conditionalFormatting>
  <conditionalFormatting sqref="J1143:J1145 L1143:L1145 B1143:B1145">
    <cfRule type="expression" priority="2848" aboveAverage="0" equalAverage="0" bottom="0" percent="0" rank="0" text="" dxfId="2858">
      <formula>$F1143:G2277="pp"</formula>
    </cfRule>
  </conditionalFormatting>
  <conditionalFormatting sqref="A1501:A1502 A1497:A1498">
    <cfRule type="expression" priority="2849" aboveAverage="0" equalAverage="0" bottom="0" percent="0" rank="0" text="" dxfId="2859">
      <formula>$F1497:F2320="pp"</formula>
    </cfRule>
  </conditionalFormatting>
  <conditionalFormatting sqref="B1951:B1953 A1968:A1971 L1951:L1953 J1951:J1953">
    <cfRule type="expression" priority="2850" aboveAverage="0" equalAverage="0" bottom="0" percent="0" rank="0" text="" dxfId="2860">
      <formula>$F1951:F2323="pp"</formula>
    </cfRule>
  </conditionalFormatting>
  <conditionalFormatting sqref="B1960:B1961 A1974:A1976 L1960:L1961 J1960:J1961">
    <cfRule type="expression" priority="2851" aboveAverage="0" equalAverage="0" bottom="0" percent="0" rank="0" text="" dxfId="2861">
      <formula>$F1960:F2328="pp"</formula>
    </cfRule>
  </conditionalFormatting>
  <conditionalFormatting sqref="F1190:F1199 G830:I831 G834:I835">
    <cfRule type="expression" priority="2852" aboveAverage="0" equalAverage="0" bottom="0" percent="0" rank="0" text="" dxfId="2862">
      <formula>$F830:J2284="pp"</formula>
    </cfRule>
  </conditionalFormatting>
  <conditionalFormatting sqref="O1519:O1520 E1514:E1516">
    <cfRule type="expression" priority="2853" aboveAverage="0" equalAverage="0" bottom="0" percent="0" rank="0" text="" dxfId="2863">
      <formula>$F1514:I2314="pp"</formula>
    </cfRule>
  </conditionalFormatting>
  <conditionalFormatting sqref="E549:E552">
    <cfRule type="expression" priority="2854" aboveAverage="0" equalAverage="0" bottom="0" percent="0" rank="0" text="" dxfId="2864">
      <formula>$F549:I2286="pp"</formula>
    </cfRule>
  </conditionalFormatting>
  <conditionalFormatting sqref="O1545:O1551 E1529:E1532 O1539:O1540">
    <cfRule type="expression" priority="2855" aboveAverage="0" equalAverage="0" bottom="0" percent="0" rank="0" text="" dxfId="2865">
      <formula>$F1529:I2317="pp"</formula>
    </cfRule>
  </conditionalFormatting>
  <conditionalFormatting sqref="O1552:O1559 E1541:E1542">
    <cfRule type="expression" priority="2856" aboveAverage="0" equalAverage="0" bottom="0" percent="0" rank="0" text="" dxfId="2866">
      <formula>$F1541:I2321="pp"</formula>
    </cfRule>
  </conditionalFormatting>
  <conditionalFormatting sqref="O1962:O1963 E1955:E1959 G1933:I1944">
    <cfRule type="expression" priority="2857" aboveAverage="0" equalAverage="0" bottom="0" percent="0" rank="0" text="" dxfId="2867">
      <formula>$F1933:I2312="pp"</formula>
    </cfRule>
  </conditionalFormatting>
  <conditionalFormatting sqref="K741:K747 M741:N747">
    <cfRule type="expression" priority="2858" aboveAverage="0" equalAverage="0" bottom="0" percent="0" rank="0" text="" dxfId="2868">
      <formula>$F741:P2311="pp"</formula>
    </cfRule>
  </conditionalFormatting>
  <conditionalFormatting sqref="C1466:D1467 B1434:B1435 L1434:L1435 J1434:J1435">
    <cfRule type="expression" priority="2859" aboveAverage="0" equalAverage="0" bottom="0" percent="0" rank="0" text="" dxfId="2869">
      <formula>$F1434:G2302="pp"</formula>
    </cfRule>
  </conditionalFormatting>
  <conditionalFormatting sqref="K1510:K1513 M1510:N1513">
    <cfRule type="expression" priority="2860" aboveAverage="0" equalAverage="0" bottom="0" percent="0" rank="0" text="" dxfId="2870">
      <formula>$F1510:P2341="pp"</formula>
    </cfRule>
  </conditionalFormatting>
  <conditionalFormatting sqref="C1517:D1521 B1476:B1479 B1472:B1473 M1514:N1516 J1476:J1479 L1476:L1479 J1472:J1473 L1472:L1473 K1514:K1516">
    <cfRule type="expression" priority="2861" aboveAverage="0" equalAverage="0" bottom="0" percent="0" rank="0" text="" dxfId="2871">
      <formula>$F1472:G2299="pp"</formula>
    </cfRule>
  </conditionalFormatting>
  <conditionalFormatting sqref="K1001:K1003 M1001:N1003">
    <cfRule type="expression" priority="2862" aboveAverage="0" equalAverage="0" bottom="0" percent="0" rank="0" text="" dxfId="2872">
      <formula>$F1001:P2325="pp"</formula>
    </cfRule>
  </conditionalFormatting>
  <conditionalFormatting sqref="C771:D782">
    <cfRule type="expression" priority="2863" aboveAverage="0" equalAverage="0" bottom="0" percent="0" rank="0" text="" dxfId="2873">
      <formula>$F771:H2309="pp"</formula>
    </cfRule>
  </conditionalFormatting>
  <conditionalFormatting sqref="B1946:B1948 L1946:L1948 J1946:J1948">
    <cfRule type="expression" priority="2864" aboveAverage="0" equalAverage="0" bottom="0" percent="0" rank="0" text="" dxfId="2874">
      <formula>$F1946:G2322="pp"</formula>
    </cfRule>
  </conditionalFormatting>
  <conditionalFormatting sqref="E1375:E1376">
    <cfRule type="expression" priority="2865" aboveAverage="0" equalAverage="0" bottom="0" percent="0" rank="0" text="" dxfId="2875">
      <formula>$F1375:I2286="pp"</formula>
    </cfRule>
  </conditionalFormatting>
  <conditionalFormatting sqref="F1060:F1072 G719:I721 E728:E730">
    <cfRule type="expression" priority="2866" aboveAverage="0" equalAverage="0" bottom="0" percent="0" rank="0" text="" dxfId="2876">
      <formula>$F719:I2276="pp"</formula>
    </cfRule>
  </conditionalFormatting>
  <conditionalFormatting sqref="A717:A718">
    <cfRule type="expression" priority="2867" aboveAverage="0" equalAverage="0" bottom="0" percent="0" rank="0" text="" dxfId="2877">
      <formula>$F717:F2291="pp"</formula>
    </cfRule>
  </conditionalFormatting>
  <conditionalFormatting sqref="A692:A694">
    <cfRule type="expression" priority="2868" aboveAverage="0" equalAverage="0" bottom="0" percent="0" rank="0" text="" dxfId="2878">
      <formula>$F692:F2288="pp"</formula>
    </cfRule>
  </conditionalFormatting>
  <conditionalFormatting sqref="C733:D735 B694:B696 L694:L696 J694:J696">
    <cfRule type="expression" priority="2869" aboveAverage="0" equalAverage="0" bottom="0" percent="0" rank="0" text="" dxfId="2879">
      <formula>$F694:G2271="pp"</formula>
    </cfRule>
  </conditionalFormatting>
  <conditionalFormatting sqref="A1301:A1303 M1303:N1310 K1303:K1310">
    <cfRule type="expression" priority="2870" aboveAverage="0" equalAverage="0" bottom="0" percent="0" rank="0" text="" dxfId="2880">
      <formula>$F1301:F2320="pp"</formula>
    </cfRule>
  </conditionalFormatting>
  <conditionalFormatting sqref="C1200:D1201">
    <cfRule type="expression" priority="2871" aboveAverage="0" equalAverage="0" bottom="0" percent="0" rank="0" text="" dxfId="2881">
      <formula>$F1200:H2365="pp"</formula>
    </cfRule>
  </conditionalFormatting>
  <conditionalFormatting sqref="A629:A630">
    <cfRule type="expression" priority="2872" aboveAverage="0" equalAverage="0" bottom="0" percent="0" rank="0" text="" dxfId="2882">
      <formula>$F629:F2285="pp"</formula>
    </cfRule>
  </conditionalFormatting>
  <conditionalFormatting sqref="K1927:K1932 M1927:N1932">
    <cfRule type="expression" priority="2873" aboveAverage="0" equalAverage="0" bottom="0" percent="0" rank="0" text="" dxfId="2883">
      <formula>$F1927:P2344="pp"</formula>
    </cfRule>
  </conditionalFormatting>
  <conditionalFormatting sqref="J1974:J1976 B1974:B1976 L1974:L1976">
    <cfRule type="expression" priority="2874" aboveAverage="0" equalAverage="0" bottom="0" percent="0" rank="0" text="" dxfId="2884">
      <formula>$F1974:G2324="pp"</formula>
    </cfRule>
  </conditionalFormatting>
  <conditionalFormatting sqref="A307:A326 B291:B293 L291:L293 J291:J293">
    <cfRule type="expression" priority="2875" aboveAverage="0" equalAverage="0" bottom="0" percent="0" rank="0" text="" dxfId="2885">
      <formula>$F291:F2288="pp"</formula>
    </cfRule>
  </conditionalFormatting>
  <conditionalFormatting sqref="J771:J776 B771:B776 C830:D831 C834:D835 L771:L776">
    <cfRule type="expression" priority="2876" aboveAverage="0" equalAverage="0" bottom="0" percent="0" rank="0" text="" dxfId="2886">
      <formula>$F771:G2275="pp"</formula>
    </cfRule>
  </conditionalFormatting>
  <conditionalFormatting sqref="C803:D809 M767:N770 K767:K770">
    <cfRule type="expression" priority="2877" aboveAverage="0" equalAverage="0" bottom="0" percent="0" rank="0" text="" dxfId="2887">
      <formula>$F767:H2309="pp"</formula>
    </cfRule>
  </conditionalFormatting>
  <conditionalFormatting sqref="A1228:A1230">
    <cfRule type="expression" priority="2878" aboveAverage="0" equalAverage="0" bottom="0" percent="0" rank="0" text="" dxfId="2888">
      <formula>$F1228:F2315="pp"</formula>
    </cfRule>
  </conditionalFormatting>
  <conditionalFormatting sqref="C1371:D1374">
    <cfRule type="expression" priority="2879" aboveAverage="0" equalAverage="0" bottom="0" percent="0" rank="0" text="" dxfId="2889">
      <formula>$F1371:H2313="pp"</formula>
    </cfRule>
  </conditionalFormatting>
  <conditionalFormatting sqref="A1555:A1560">
    <cfRule type="expression" priority="2880" aboveAverage="0" equalAverage="0" bottom="0" percent="0" rank="0" text="" dxfId="2890">
      <formula>$F1555:F2338="pp"</formula>
    </cfRule>
  </conditionalFormatting>
  <conditionalFormatting sqref="C1981:D1987 B1927:B1932 L1927:L1932 J1927:J1932">
    <cfRule type="expression" priority="2881" aboveAverage="0" equalAverage="0" bottom="0" percent="0" rank="0" text="" dxfId="2891">
      <formula>$F1927:G2307="pp"</formula>
    </cfRule>
  </conditionalFormatting>
  <conditionalFormatting sqref="A2006:A2013">
    <cfRule type="expression" priority="2882" aboveAverage="0" equalAverage="0" bottom="0" percent="0" rank="0" text="" dxfId="2892">
      <formula>$F2006:F2331="pp"</formula>
    </cfRule>
  </conditionalFormatting>
  <conditionalFormatting sqref="E722:E724 O728:O730">
    <cfRule type="expression" priority="2883" aboveAverage="0" equalAverage="0" bottom="0" percent="0" rank="0" text="" dxfId="2893">
      <formula>$F722:I2284="pp"</formula>
    </cfRule>
  </conditionalFormatting>
  <conditionalFormatting sqref="F1153:F1155 O819:O829">
    <cfRule type="expression" priority="2884" aboveAverage="0" equalAverage="0" bottom="0" percent="0" rank="0" text="" dxfId="2894">
      <formula>$F819:J2292="pp"</formula>
    </cfRule>
  </conditionalFormatting>
  <conditionalFormatting sqref="E1371:E1374">
    <cfRule type="expression" priority="2885" aboveAverage="0" equalAverage="0" bottom="0" percent="0" rank="0" text="" dxfId="2895">
      <formula>$F1371:I2289="pp"</formula>
    </cfRule>
  </conditionalFormatting>
  <conditionalFormatting sqref="E1401:E1407">
    <cfRule type="expression" priority="2886" aboveAverage="0" equalAverage="0" bottom="0" percent="0" rank="0" text="" dxfId="2896">
      <formula>$F1401:I2295="pp"</formula>
    </cfRule>
  </conditionalFormatting>
  <conditionalFormatting sqref="G527:I532">
    <cfRule type="expression" priority="2887" aboveAverage="0" equalAverage="0" bottom="0" percent="0" rank="0" text="" dxfId="2897">
      <formula>$F527:K2272="pp"</formula>
    </cfRule>
  </conditionalFormatting>
  <conditionalFormatting sqref="F1371:F1374">
    <cfRule type="expression" priority="2888" aboveAverage="0" equalAverage="0" bottom="0" percent="0" rank="0" text="" dxfId="2898">
      <formula>$F1371:J2318="pp"</formula>
    </cfRule>
  </conditionalFormatting>
  <conditionalFormatting sqref="G1371:I1374 E1380:E1386">
    <cfRule type="expression" priority="2889" aboveAverage="0" equalAverage="0" bottom="0" percent="0" rank="0" text="" dxfId="2899">
      <formula>$F1371:I2279="pp"</formula>
    </cfRule>
  </conditionalFormatting>
  <conditionalFormatting sqref="O1423:O1425">
    <cfRule type="expression" priority="2890" aboveAverage="0" equalAverage="0" bottom="0" percent="0" rank="0" text="" dxfId="2900">
      <formula>$F1423:S2312="pp"</formula>
    </cfRule>
  </conditionalFormatting>
  <conditionalFormatting sqref="E1643:E1653">
    <cfRule type="expression" priority="2891" aboveAverage="0" equalAverage="0" bottom="0" percent="0" rank="0" text="" dxfId="2901">
      <formula>$F1643:I2315="pp"</formula>
    </cfRule>
  </conditionalFormatting>
  <conditionalFormatting sqref="F1981:F1987 G1889:I1890">
    <cfRule type="expression" priority="2892" aboveAverage="0" equalAverage="0" bottom="0" percent="0" rank="0" text="" dxfId="2902">
      <formula>$F1889:J2310="pp"</formula>
    </cfRule>
  </conditionalFormatting>
  <conditionalFormatting sqref="O731:O732">
    <cfRule type="expression" priority="2893" aboveAverage="0" equalAverage="0" bottom="0" percent="0" rank="0" text="" dxfId="2903">
      <formula>$F731:S2292="pp"</formula>
    </cfRule>
  </conditionalFormatting>
  <conditionalFormatting sqref="G722:I724">
    <cfRule type="expression" priority="2894" aboveAverage="0" equalAverage="0" bottom="0" percent="0" rank="0" text="" dxfId="2904">
      <formula>$F722:K2274="pp"</formula>
    </cfRule>
  </conditionalFormatting>
  <conditionalFormatting sqref="E836:E839">
    <cfRule type="expression" priority="2895" aboveAverage="0" equalAverage="0" bottom="0" percent="0" rank="0" text="" dxfId="2905">
      <formula>$F836:I2302="pp"</formula>
    </cfRule>
  </conditionalFormatting>
  <conditionalFormatting sqref="E950:E959">
    <cfRule type="expression" priority="2896" aboveAverage="0" equalAverage="0" bottom="0" percent="0" rank="0" text="" dxfId="2906">
      <formula>$F950:I2291="pp"</formula>
    </cfRule>
  </conditionalFormatting>
  <conditionalFormatting sqref="G1454:I1457">
    <cfRule type="expression" priority="2897" aboveAverage="0" equalAverage="0" bottom="0" percent="0" rank="0" text="" dxfId="2907">
      <formula>$F1454:K2305="pp"</formula>
    </cfRule>
  </conditionalFormatting>
  <conditionalFormatting sqref="C741:D752">
    <cfRule type="expression" priority="2898" aboveAverage="0" equalAverage="0" bottom="0" percent="0" rank="0" text="" dxfId="2908">
      <formula>$F741:H2308="pp"</formula>
    </cfRule>
  </conditionalFormatting>
  <conditionalFormatting sqref="A872:A873 M877:N880 K877:K880">
    <cfRule type="expression" priority="2899" aboveAverage="0" equalAverage="0" bottom="0" percent="0" rank="0" text="" dxfId="2909">
      <formula>$F872:F2314="pp"</formula>
    </cfRule>
  </conditionalFormatting>
  <conditionalFormatting sqref="J1541:J1542 B1541:B1542 L1541:L1542">
    <cfRule type="expression" priority="2900" aboveAverage="0" equalAverage="0" bottom="0" percent="0" rank="0" text="" dxfId="2910">
      <formula>$F1541:G2311="pp"</formula>
    </cfRule>
  </conditionalFormatting>
  <conditionalFormatting sqref="B589:B593 L589:L593 J589:J593">
    <cfRule type="expression" priority="2901" aboveAverage="0" equalAverage="0" bottom="0" percent="0" rank="0" text="" dxfId="2911">
      <formula>$F589:G2280="pp"</formula>
    </cfRule>
  </conditionalFormatting>
  <conditionalFormatting sqref="B932:B937 L932:L937 M978:N979 K978:K986 J932:J937">
    <cfRule type="expression" priority="2902" aboveAverage="0" equalAverage="0" bottom="0" percent="0" rank="0" text="" dxfId="2912">
      <formula>$F932:G2281="pp"</formula>
    </cfRule>
  </conditionalFormatting>
  <conditionalFormatting sqref="A1200:A1201">
    <cfRule type="expression" priority="2903" aboveAverage="0" equalAverage="0" bottom="0" percent="0" rank="0" text="" dxfId="2913">
      <formula>$F1200:F2341="pp"</formula>
    </cfRule>
  </conditionalFormatting>
  <conditionalFormatting sqref="K1291:K1292 M1291:N1292">
    <cfRule type="expression" priority="2904" aboveAverage="0" equalAverage="0" bottom="0" percent="0" rank="0" text="" dxfId="2914">
      <formula>$F1291:P2324="pp"</formula>
    </cfRule>
  </conditionalFormatting>
  <conditionalFormatting sqref="A1541:A1542">
    <cfRule type="expression" priority="2905" aboveAverage="0" equalAverage="0" bottom="0" percent="0" rank="0" text="" dxfId="2915">
      <formula>$F1541:F2329="pp"</formula>
    </cfRule>
  </conditionalFormatting>
  <conditionalFormatting sqref="A1613:A1614">
    <cfRule type="expression" priority="2906" aboveAverage="0" equalAverage="0" bottom="0" percent="0" rank="0" text="" dxfId="2916">
      <formula>$F1613:F2323="pp"</formula>
    </cfRule>
  </conditionalFormatting>
  <conditionalFormatting sqref="F1539:F1540 F1545:F1551">
    <cfRule type="expression" priority="2907" aboveAverage="0" equalAverage="0" bottom="0" percent="0" rank="0" text="" dxfId="2917">
      <formula>$F1539:J2351="pp"</formula>
    </cfRule>
  </conditionalFormatting>
  <conditionalFormatting sqref="G1497:I1498 G1501:I1502 O1514:O1516">
    <cfRule type="expression" priority="2908" aboveAverage="0" equalAverage="0" bottom="0" percent="0" rank="0" text="" dxfId="2918">
      <formula>$F1497:K2302="pp"</formula>
    </cfRule>
  </conditionalFormatting>
  <conditionalFormatting sqref="P725">
    <cfRule type="expression" priority="2909" aboveAverage="0" equalAverage="0" bottom="0" percent="0" rank="0" text="" dxfId="2919">
      <formula>$F725:T3023="pp"</formula>
    </cfRule>
    <cfRule type="expression" priority="2910" aboveAverage="0" equalAverage="0" bottom="0" percent="0" rank="0" text="" dxfId="2920">
      <formula>$F725:T2306="pp"</formula>
    </cfRule>
  </conditionalFormatting>
  <conditionalFormatting sqref="B421:B422 A440:A441 A446:A456 L421:L422 J421:J422">
    <cfRule type="expression" priority="2911" aboveAverage="0" equalAverage="0" bottom="0" percent="0" rank="0" text="" dxfId="2921">
      <formula>$F421:F2267="pp"</formula>
    </cfRule>
  </conditionalFormatting>
  <conditionalFormatting sqref="K692:K696 A677:A682 M692:N696">
    <cfRule type="expression" priority="2912" aboveAverage="0" equalAverage="0" bottom="0" percent="0" rank="0" text="" dxfId="2922">
      <formula>$F677:F2292="pp"</formula>
    </cfRule>
  </conditionalFormatting>
  <conditionalFormatting sqref="K1408:K1411 A1387:A1392 M1408:N1411">
    <cfRule type="expression" priority="2913" aboveAverage="0" equalAverage="0" bottom="0" percent="0" rank="0" text="" dxfId="2923">
      <formula>$F1387:F2302="pp"</formula>
    </cfRule>
  </conditionalFormatting>
  <conditionalFormatting sqref="C1927:D1932 A1919:A1921">
    <cfRule type="expression" priority="2914" aboveAverage="0" equalAverage="0" bottom="0" percent="0" rank="0" text="" dxfId="2924">
      <formula>$F1919:F2333="pp"</formula>
    </cfRule>
  </conditionalFormatting>
  <conditionalFormatting sqref="J1968:J1971 C1988:D1991 B1968:B1971 L1968:L1971 K1992:K1997 M1992:N1997">
    <cfRule type="expression" priority="2915" aboveAverage="0" equalAverage="0" bottom="0" percent="0" rank="0" text="" dxfId="2925">
      <formula>$F1968:G2322="pp"</formula>
    </cfRule>
  </conditionalFormatting>
  <conditionalFormatting sqref="J717:J718 B717:B718 L717:L718">
    <cfRule type="expression" priority="2916" aboveAverage="0" equalAverage="0" bottom="0" percent="0" rank="0" text="" dxfId="2926">
      <formula>$F717:G2273="pp"</formula>
    </cfRule>
  </conditionalFormatting>
  <conditionalFormatting sqref="C1031:D1032 A1010:A1014">
    <cfRule type="expression" priority="2917" aboveAverage="0" equalAverage="0" bottom="0" percent="0" rank="0" text="" dxfId="2927">
      <formula>$F1010:F2319="pp"</formula>
    </cfRule>
  </conditionalFormatting>
  <conditionalFormatting sqref="A1264:A1265">
    <cfRule type="expression" priority="2918" aboveAverage="0" equalAverage="0" bottom="0" percent="0" rank="0" text="" dxfId="2928">
      <formula>$F1264:F2342="pp"</formula>
    </cfRule>
  </conditionalFormatting>
  <conditionalFormatting sqref="A1726:A1765">
    <cfRule type="expression" priority="2919" aboveAverage="0" equalAverage="0" bottom="0" percent="0" rank="0" text="" dxfId="2929">
      <formula>$F1726:F2320="pp"</formula>
    </cfRule>
  </conditionalFormatting>
  <conditionalFormatting sqref="A2027:A2030">
    <cfRule type="expression" priority="2920" aboveAverage="0" equalAverage="0" bottom="0" percent="0" rank="0" text="" dxfId="2930">
      <formula>$F2027:F2337="pp"</formula>
    </cfRule>
  </conditionalFormatting>
  <conditionalFormatting sqref="B2006:B2013 J2006:J2013 L2006:L2013">
    <cfRule type="expression" priority="2921" aboveAverage="0" equalAverage="0" bottom="0" percent="0" rank="0" text="" dxfId="2931">
      <formula>$F2006:G2313="pp"</formula>
    </cfRule>
  </conditionalFormatting>
  <conditionalFormatting sqref="A566:A573">
    <cfRule type="expression" priority="2922" aboveAverage="0" equalAverage="0" bottom="0" percent="0" rank="0" text="" dxfId="2932">
      <formula>$F566:F2312="pp"</formula>
    </cfRule>
  </conditionalFormatting>
  <conditionalFormatting sqref="C764:D766 B731:B732 L731:L732 J731:J732">
    <cfRule type="expression" priority="2923" aboveAverage="0" equalAverage="0" bottom="0" percent="0" rank="0" text="" dxfId="2933">
      <formula>$F731:G2277="pp"</formula>
    </cfRule>
  </conditionalFormatting>
  <conditionalFormatting sqref="B741:B747 L741:L747 J741:J747">
    <cfRule type="expression" priority="2924" aboveAverage="0" equalAverage="0" bottom="0" percent="0" rank="0" text="" dxfId="2934">
      <formula>$F741:G2274="pp"</formula>
    </cfRule>
  </conditionalFormatting>
  <conditionalFormatting sqref="K1284:K1286 M1284:N1286">
    <cfRule type="expression" priority="2925" aboveAverage="0" equalAverage="0" bottom="0" percent="0" rank="0" text="" dxfId="2935">
      <formula>$F1284:P2324="pp"</formula>
    </cfRule>
  </conditionalFormatting>
  <conditionalFormatting sqref="A1330:A1333 K1355:K1357 M1355:N1356">
    <cfRule type="expression" priority="2926" aboveAverage="0" equalAverage="0" bottom="0" percent="0" rank="0" text="" dxfId="2936">
      <formula>$F1330:F2288="pp"</formula>
    </cfRule>
  </conditionalFormatting>
  <conditionalFormatting sqref="C1543:D1544 B1501:B1502 B1497:B1498 L1501:L1502 J1497:J1498 L1497:L1498 J1501:J1502">
    <cfRule type="expression" priority="2927" aboveAverage="0" equalAverage="0" bottom="0" percent="0" rank="0" text="" dxfId="2937">
      <formula>$F1497:G2302="pp"</formula>
    </cfRule>
  </conditionalFormatting>
  <conditionalFormatting sqref="C1565:D1568">
    <cfRule type="expression" priority="2928" aboveAverage="0" equalAverage="0" bottom="0" percent="0" rank="0" text="" dxfId="2938">
      <formula>$F1565:H2352="pp"</formula>
    </cfRule>
  </conditionalFormatting>
  <conditionalFormatting sqref="C1607:D1610 B1578:B1590 L1578:L1590 J1578:J1590">
    <cfRule type="expression" priority="2929" aboveAverage="0" equalAverage="0" bottom="0" percent="0" rank="0" text="" dxfId="2939">
      <formula>$F1578:G2305="pp"</formula>
    </cfRule>
  </conditionalFormatting>
  <conditionalFormatting sqref="B1746:B1760 L1746:L1760 J1746:J1760">
    <cfRule type="expression" priority="2930" aboveAverage="0" equalAverage="0" bottom="0" percent="0" rank="0" text="" dxfId="2940">
      <formula>$F1746:G2307="pp"</formula>
    </cfRule>
  </conditionalFormatting>
  <conditionalFormatting sqref="C1974:D1976">
    <cfRule type="expression" priority="2931" aboveAverage="0" equalAverage="0" bottom="0" percent="0" rank="0" text="" dxfId="2941">
      <formula>$F1974:H2358="pp"</formula>
    </cfRule>
  </conditionalFormatting>
  <conditionalFormatting sqref="G471:I475 E485:E488 O491:O493">
    <cfRule type="expression" priority="2932" aboveAverage="0" equalAverage="0" bottom="0" percent="0" rank="0" text="" dxfId="2942">
      <formula>$F471:I2267="pp"</formula>
    </cfRule>
  </conditionalFormatting>
  <conditionalFormatting sqref="O706:O707">
    <cfRule type="expression" priority="2933" aboveAverage="0" equalAverage="0" bottom="0" percent="0" rank="0" text="" dxfId="2943">
      <formula>$F706:S2290="pp"</formula>
    </cfRule>
  </conditionalFormatting>
  <conditionalFormatting sqref="E717:E718">
    <cfRule type="expression" priority="2934" aboveAverage="0" equalAverage="0" bottom="0" percent="0" rank="0" text="" dxfId="2944">
      <formula>$F717:I2283="pp"</formula>
    </cfRule>
  </conditionalFormatting>
  <conditionalFormatting sqref="O1783:O1785">
    <cfRule type="expression" priority="2935" aboveAverage="0" equalAverage="0" bottom="0" percent="0" rank="0" text="" dxfId="2945">
      <formula>$F1783:S2320="pp"</formula>
    </cfRule>
  </conditionalFormatting>
  <conditionalFormatting sqref="G1771:I1776">
    <cfRule type="expression" priority="2936" aboveAverage="0" equalAverage="0" bottom="0" percent="0" rank="0" text="" dxfId="2946">
      <formula>$F1771:K2302="pp"</formula>
    </cfRule>
  </conditionalFormatting>
  <conditionalFormatting sqref="G1777:I1779">
    <cfRule type="expression" priority="2937" aboveAverage="0" equalAverage="0" bottom="0" percent="0" rank="0" text="" dxfId="2947">
      <formula>$F1777:K2305="pp"</formula>
    </cfRule>
  </conditionalFormatting>
  <conditionalFormatting sqref="F1966:F1967">
    <cfRule type="expression" priority="2938" aboveAverage="0" equalAverage="0" bottom="0" percent="0" rank="0" text="" dxfId="2948">
      <formula>$F1966:J2396="pp"</formula>
    </cfRule>
  </conditionalFormatting>
  <conditionalFormatting sqref="E1919:E1921">
    <cfRule type="expression" priority="2939" aboveAverage="0" equalAverage="0" bottom="0" percent="0" rank="0" text="" dxfId="2949">
      <formula>$F1919:I2325="pp"</formula>
    </cfRule>
  </conditionalFormatting>
  <conditionalFormatting sqref="G1955:I1959 O1968:O1971">
    <cfRule type="expression" priority="2940" aboveAverage="0" equalAverage="0" bottom="0" percent="0" rank="0" text="" dxfId="2950">
      <formula>$F1955:K2324="pp"</formula>
    </cfRule>
  </conditionalFormatting>
  <conditionalFormatting sqref="G521:I523 O540:O544">
    <cfRule type="expression" priority="2941" aboveAverage="0" equalAverage="0" bottom="0" percent="0" rank="0" text="" dxfId="2951">
      <formula>$F521:K2270="pp"</formula>
    </cfRule>
  </conditionalFormatting>
  <conditionalFormatting sqref="E1377:E1379 O1387:O1389 F1418:F1422 F1426:F1427">
    <cfRule type="expression" priority="2942" aboveAverage="0" equalAverage="0" bottom="0" percent="0" rank="0" text="" dxfId="2952">
      <formula>$F1377:I2289="pp"</formula>
    </cfRule>
  </conditionalFormatting>
  <conditionalFormatting sqref="O1563:O1564 G1537:I1538">
    <cfRule type="expression" priority="2943" aboveAverage="0" equalAverage="0" bottom="0" percent="0" rank="0" text="" dxfId="2953">
      <formula>$F1537:K2311="pp"</formula>
    </cfRule>
  </conditionalFormatting>
  <conditionalFormatting sqref="O1597:O1601">
    <cfRule type="expression" priority="2944" aboveAverage="0" equalAverage="0" bottom="0" percent="0" rank="0" text="" dxfId="2954">
      <formula>$F1597:S2323="pp"</formula>
    </cfRule>
  </conditionalFormatting>
  <conditionalFormatting sqref="E578:E582 O589:O593">
    <cfRule type="expression" priority="2945" aboveAverage="0" equalAverage="0" bottom="0" percent="0" rank="0" text="" dxfId="2955">
      <formula>$F578:I2284="pp"</formula>
    </cfRule>
  </conditionalFormatting>
  <conditionalFormatting sqref="F1285:F1286">
    <cfRule type="expression" priority="2946" aboveAverage="0" equalAverage="0" bottom="0" percent="0" rank="0" text="" dxfId="2956">
      <formula>$F1285:J2630="pp"</formula>
    </cfRule>
  </conditionalFormatting>
  <conditionalFormatting sqref="E1602:E1606">
    <cfRule type="expression" priority="2947" aboveAverage="0" equalAverage="0" bottom="0" percent="0" rank="0" text="" dxfId="2957">
      <formula>$F1602:I2309="pp"</formula>
    </cfRule>
  </conditionalFormatting>
  <conditionalFormatting sqref="O1689:O1690">
    <cfRule type="expression" priority="2948" aboveAverage="0" equalAverage="0" bottom="0" percent="0" rank="0" text="" dxfId="2958">
      <formula>$F1689:S2326="pp"</formula>
    </cfRule>
  </conditionalFormatting>
  <conditionalFormatting sqref="O1726:O1745">
    <cfRule type="expression" priority="2949" aboveAverage="0" equalAverage="0" bottom="0" percent="0" rank="0" text="" dxfId="2959">
      <formula>$F1726:S2317="pp"</formula>
    </cfRule>
  </conditionalFormatting>
  <conditionalFormatting sqref="F1977:F1980">
    <cfRule type="expression" priority="2950" aboveAverage="0" equalAverage="0" bottom="0" percent="0" rank="0" text="" dxfId="2960">
      <formula>$F1977:J2397="pp"</formula>
    </cfRule>
  </conditionalFormatting>
  <conditionalFormatting sqref="K510:K511 A489:A490 M510:N511">
    <cfRule type="expression" priority="2951" aboveAverage="0" equalAverage="0" bottom="0" percent="0" rank="0" text="" dxfId="2961">
      <formula>$F489:F2289="pp"</formula>
    </cfRule>
  </conditionalFormatting>
  <conditionalFormatting sqref="A589:A593">
    <cfRule type="expression" priority="2952" aboveAverage="0" equalAverage="0" bottom="0" percent="0" rank="0" text="" dxfId="2962">
      <formula>$F589:F2310="pp"</formula>
    </cfRule>
  </conditionalFormatting>
  <conditionalFormatting sqref="A672:A676">
    <cfRule type="expression" priority="2953" aboveAverage="0" equalAverage="0" bottom="0" percent="0" rank="0" text="" dxfId="2963">
      <formula>$F672:F2290="pp"</formula>
    </cfRule>
  </conditionalFormatting>
  <conditionalFormatting sqref="C872:D873 M865:N871 K865:K871">
    <cfRule type="expression" priority="2954" aboveAverage="0" equalAverage="0" bottom="0" percent="0" rank="0" text="" dxfId="2964">
      <formula>$F865:H2324="pp"</formula>
    </cfRule>
  </conditionalFormatting>
  <conditionalFormatting sqref="B841:B847 M872:N873 J841:J847 L841:L847 K872:K873">
    <cfRule type="expression" priority="2955" aboveAverage="0" equalAverage="0" bottom="0" percent="0" rank="0" text="" dxfId="2965">
      <formula>$F841:G2287="pp"</formula>
    </cfRule>
  </conditionalFormatting>
  <conditionalFormatting sqref="J1153:J1155 B1153:B1155 L1153:L1155">
    <cfRule type="expression" priority="2956" aboveAverage="0" equalAverage="0" bottom="0" percent="0" rank="0" text="" dxfId="2966">
      <formula>$F1153:G2284="pp"</formula>
    </cfRule>
  </conditionalFormatting>
  <conditionalFormatting sqref="B1449:B1450 L1449:L1450 J1449:J1450">
    <cfRule type="expression" priority="2957" aboveAverage="0" equalAverage="0" bottom="0" percent="0" rank="0" text="" dxfId="2967">
      <formula>$F1449:G2307="pp"</formula>
    </cfRule>
  </conditionalFormatting>
  <conditionalFormatting sqref="B1689:B1690 L1689:L1690 J1689:J1690">
    <cfRule type="expression" priority="2958" aboveAverage="0" equalAverage="0" bottom="0" percent="0" rank="0" text="" dxfId="2968">
      <formula>$F1689:G2311="pp"</formula>
    </cfRule>
  </conditionalFormatting>
  <conditionalFormatting sqref="A1810:A1813">
    <cfRule type="expression" priority="2959" aboveAverage="0" equalAverage="0" bottom="0" percent="0" rank="0" text="" dxfId="2969">
      <formula>$F1810:F2331="pp"</formula>
    </cfRule>
  </conditionalFormatting>
  <conditionalFormatting sqref="A1845:A1867">
    <cfRule type="expression" priority="2960" aboveAverage="0" equalAverage="0" bottom="0" percent="0" rank="0" text="" dxfId="2970">
      <formula>$F1845:F2335="pp"</formula>
    </cfRule>
  </conditionalFormatting>
  <conditionalFormatting sqref="A1964:A1965">
    <cfRule type="expression" priority="2961" aboveAverage="0" equalAverage="0" bottom="0" percent="0" rank="0" text="" dxfId="2971">
      <formula>$F1964:F2345="pp"</formula>
    </cfRule>
  </conditionalFormatting>
  <conditionalFormatting sqref="A375:A378 M387:N395 K387:K395">
    <cfRule type="expression" priority="2962" aboveAverage="0" equalAverage="0" bottom="0" percent="0" rank="0" text="" dxfId="2972">
      <formula>$F375:F2295="pp"</formula>
    </cfRule>
  </conditionalFormatting>
  <conditionalFormatting sqref="A409:A411">
    <cfRule type="expression" priority="2963" aboveAverage="0" equalAverage="0" bottom="0" percent="0" rank="0" text="" dxfId="2973">
      <formula>$F409:F2306="pp"</formula>
    </cfRule>
  </conditionalFormatting>
  <conditionalFormatting sqref="A416:A420 M440:N441 K446:K454 M446:N454 K440:K441">
    <cfRule type="expression" priority="2964" aboveAverage="0" equalAverage="0" bottom="0" percent="0" rank="0" text="" dxfId="2974">
      <formula>$F416:F2281="pp"</formula>
    </cfRule>
  </conditionalFormatting>
  <conditionalFormatting sqref="C491:D492">
    <cfRule type="expression" priority="2965" aboveAverage="0" equalAverage="0" bottom="0" percent="0" rank="0" text="" dxfId="2975">
      <formula>$F491:H2306="pp"</formula>
    </cfRule>
  </conditionalFormatting>
  <conditionalFormatting sqref="K819:K829 M819:N829">
    <cfRule type="expression" priority="2966" aboveAverage="0" equalAverage="0" bottom="0" percent="0" rank="0" text="" dxfId="2976">
      <formula>$F819:P2314="pp"</formula>
    </cfRule>
  </conditionalFormatting>
  <conditionalFormatting sqref="B960:B964 C1015:D1019 L960:L964 J960:J964">
    <cfRule type="expression" priority="2967" aboveAverage="0" equalAverage="0" bottom="0" percent="0" rank="0" text="" dxfId="2977">
      <formula>$F960:G2279="pp"</formula>
    </cfRule>
  </conditionalFormatting>
  <conditionalFormatting sqref="C1050:D1051 A1031:A1032">
    <cfRule type="expression" priority="2968" aboveAverage="0" equalAverage="0" bottom="0" percent="0" rank="0" text="" dxfId="2978">
      <formula>$F1031:F2323="pp"</formula>
    </cfRule>
  </conditionalFormatting>
  <conditionalFormatting sqref="B1031:B1032 A1053:A1054 L1031:L1032 J1031:J1032">
    <cfRule type="expression" priority="2969" aboveAverage="0" equalAverage="0" bottom="0" percent="0" rank="0" text="" dxfId="2979">
      <formula>$F1031:F2290="pp"</formula>
    </cfRule>
  </conditionalFormatting>
  <conditionalFormatting sqref="A1080:A1092 M1099:N1114 K1099:K1114">
    <cfRule type="expression" priority="2970" aboveAverage="0" equalAverage="0" bottom="0" percent="0" rank="0" text="" dxfId="2980">
      <formula>$F1080:F2305="pp"</formula>
    </cfRule>
  </conditionalFormatting>
  <conditionalFormatting sqref="A1146:A1151 M1153:N1155 K1153:K1155">
    <cfRule type="expression" priority="2971" aboveAverage="0" equalAverage="0" bottom="0" percent="0" rank="0" text="" dxfId="2981">
      <formula>$F1146:F2314="pp"</formula>
    </cfRule>
  </conditionalFormatting>
  <conditionalFormatting sqref="A1190:A1199">
    <cfRule type="expression" priority="2972" aboveAverage="0" equalAverage="0" bottom="0" percent="0" rank="0" text="" dxfId="2982">
      <formula>$F1190:F2335="pp"</formula>
    </cfRule>
  </conditionalFormatting>
  <conditionalFormatting sqref="C1297:D1300 A1280:A1284">
    <cfRule type="expression" priority="2973" aboveAverage="0" equalAverage="0" bottom="0" percent="0" rank="0" text="" dxfId="2983">
      <formula>$F1280:F2317="pp"</formula>
    </cfRule>
  </conditionalFormatting>
  <conditionalFormatting sqref="C1355:D1356">
    <cfRule type="expression" priority="2974" aboveAverage="0" equalAverage="0" bottom="0" percent="0" rank="0" text="" dxfId="2984">
      <formula>$F1355:H2310="pp"</formula>
    </cfRule>
  </conditionalFormatting>
  <conditionalFormatting sqref="K1607:K1610 B1574:B1577 M1607:N1610 J1574:J1577 L1574:L1577">
    <cfRule type="expression" priority="2975" aboveAverage="0" equalAverage="0" bottom="0" percent="0" rank="0" text="" dxfId="2985">
      <formula>$F1574:G2304="pp"</formula>
    </cfRule>
  </conditionalFormatting>
  <conditionalFormatting sqref="B1591:B1595 L1591:L1595 J1591:J1595">
    <cfRule type="expression" priority="2976" aboveAverage="0" equalAverage="0" bottom="0" percent="0" rank="0" text="" dxfId="2986">
      <formula>$F1591:G2305="pp"</formula>
    </cfRule>
  </conditionalFormatting>
  <conditionalFormatting sqref="C1873:D1879 C1866:D1868 B1822:B1828 B1815:B1816 L1822:L1828 J1815:J1816 L1815:L1816 J1822:J1828">
    <cfRule type="expression" priority="2977" aboveAverage="0" equalAverage="0" bottom="0" percent="0" rank="0" text="" dxfId="2987">
      <formula>$F1815:G2308="pp"</formula>
    </cfRule>
  </conditionalFormatting>
  <conditionalFormatting sqref="C1010:D1014">
    <cfRule type="expression" priority="2978" aboveAverage="0" equalAverage="0" bottom="0" percent="0" rank="0" text="" dxfId="2988">
      <formula>$F1010:H2346="pp"</formula>
    </cfRule>
  </conditionalFormatting>
  <conditionalFormatting sqref="A1890:A1895 M1919:N1921 K1919:K1921">
    <cfRule type="expression" priority="2979" aboveAverage="0" equalAverage="0" bottom="0" percent="0" rank="0" text="" dxfId="2989">
      <formula>$F1890:F2323="pp"</formula>
    </cfRule>
  </conditionalFormatting>
  <conditionalFormatting sqref="E615:E616">
    <cfRule type="expression" priority="2980" aboveAverage="0" equalAverage="0" bottom="0" percent="0" rank="0" text="" dxfId="2990">
      <formula>$F615:I2287="pp"</formula>
    </cfRule>
  </conditionalFormatting>
  <conditionalFormatting sqref="E767:E770">
    <cfRule type="expression" priority="2981" aboveAverage="0" equalAverage="0" bottom="0" percent="0" rank="0" text="" dxfId="2991">
      <formula>$F767:I2282="pp"</formula>
    </cfRule>
  </conditionalFormatting>
  <conditionalFormatting sqref="G872:I873">
    <cfRule type="expression" priority="2982" aboveAverage="0" equalAverage="0" bottom="0" percent="0" rank="0" text="" dxfId="2992">
      <formula>$F872:K2281="pp"</formula>
    </cfRule>
  </conditionalFormatting>
  <conditionalFormatting sqref="O1078:O1079">
    <cfRule type="expression" priority="2983" aboveAverage="0" equalAverage="0" bottom="0" percent="0" rank="0" text="" dxfId="2993">
      <formula>$F1078:S2287="pp"</formula>
    </cfRule>
  </conditionalFormatting>
  <conditionalFormatting sqref="E1151:E1152 O1157:O1161">
    <cfRule type="expression" priority="2984" aboveAverage="0" equalAverage="0" bottom="0" percent="0" rank="0" text="" dxfId="2994">
      <formula>$F1151:I2296="pp"</formula>
    </cfRule>
  </conditionalFormatting>
  <conditionalFormatting sqref="G1157:I1161">
    <cfRule type="expression" priority="2985" aboveAverage="0" equalAverage="0" bottom="0" percent="0" rank="0" text="" dxfId="2995">
      <formula>$F1157:K2287="pp"</formula>
    </cfRule>
  </conditionalFormatting>
  <conditionalFormatting sqref="O1303:O1310 G1288:I1290">
    <cfRule type="expression" priority="2986" aboveAverage="0" equalAverage="0" bottom="0" percent="0" rank="0" text="" dxfId="2996">
      <formula>$F1288:K2285="pp"</formula>
    </cfRule>
  </conditionalFormatting>
  <conditionalFormatting sqref="O1510:O1513 F1541:F1542">
    <cfRule type="expression" priority="2987" aboveAverage="0" equalAverage="0" bottom="0" percent="0" rank="0" text="" dxfId="2997">
      <formula>$F1510:J2319="pp"</formula>
    </cfRule>
  </conditionalFormatting>
  <conditionalFormatting sqref="G1643:I1653">
    <cfRule type="expression" priority="2988" aboveAverage="0" equalAverage="0" bottom="0" percent="0" rank="0" text="" dxfId="2998">
      <formula>$F1643:K2305="pp"</formula>
    </cfRule>
  </conditionalFormatting>
  <conditionalFormatting sqref="F1891:F1895">
    <cfRule type="expression" priority="2989" aboveAverage="0" equalAverage="0" bottom="0" percent="0" rank="0" text="" dxfId="2999">
      <formula>$F1891:J2381="pp"</formula>
    </cfRule>
  </conditionalFormatting>
  <conditionalFormatting sqref="G2032:I2034">
    <cfRule type="expression" priority="2990" aboveAverage="0" equalAverage="0" bottom="0" percent="0" rank="0" text="" dxfId="3000">
      <formula>$F2032:K2312="pp"</formula>
    </cfRule>
  </conditionalFormatting>
  <conditionalFormatting sqref="P233:P235">
    <cfRule type="expression" priority="2991" aboveAverage="0" equalAverage="0" bottom="0" percent="0" rank="0" text="" dxfId="3001">
      <formula>$F233:T2994="pp"</formula>
    </cfRule>
    <cfRule type="expression" priority="2992" aboveAverage="0" equalAverage="0" bottom="0" percent="0" rank="0" text="" dxfId="3002">
      <formula>$F233:T2277="pp"</formula>
    </cfRule>
  </conditionalFormatting>
  <conditionalFormatting sqref="P295">
    <cfRule type="expression" priority="2993" aboveAverage="0" equalAverage="0" bottom="0" percent="0" rank="0" text="" dxfId="3003">
      <formula>$F295:T3031="pp"</formula>
    </cfRule>
    <cfRule type="expression" priority="2994" aboveAverage="0" equalAverage="0" bottom="0" percent="0" rank="0" text="" dxfId="3004">
      <formula>$F295:T2314="pp"</formula>
    </cfRule>
  </conditionalFormatting>
  <conditionalFormatting sqref="P506">
    <cfRule type="expression" priority="2995" aboveAverage="0" equalAverage="0" bottom="0" percent="0" rank="0" text="" dxfId="3005">
      <formula>$F506:T3016="pp"</formula>
    </cfRule>
    <cfRule type="expression" priority="2996" aboveAverage="0" equalAverage="0" bottom="0" percent="0" rank="0" text="" dxfId="3006">
      <formula>$F506:T2299="pp"</formula>
    </cfRule>
  </conditionalFormatting>
  <conditionalFormatting sqref="P717:P718">
    <cfRule type="expression" priority="2997" aboveAverage="0" equalAverage="0" bottom="0" percent="0" rank="0" text="" dxfId="3007">
      <formula>$F717:T3018="pp"</formula>
    </cfRule>
    <cfRule type="expression" priority="2998" aboveAverage="0" equalAverage="0" bottom="0" percent="0" rank="0" text="" dxfId="3008">
      <formula>$F717:T2301="pp"</formula>
    </cfRule>
  </conditionalFormatting>
  <conditionalFormatting sqref="P784:P785">
    <cfRule type="expression" priority="2999" aboveAverage="0" equalAverage="0" bottom="0" percent="0" rank="0" text="" dxfId="3009">
      <formula>$F784:T3019="pp"</formula>
    </cfRule>
    <cfRule type="expression" priority="3000" aboveAverage="0" equalAverage="0" bottom="0" percent="0" rank="0" text="" dxfId="3010">
      <formula>$F784:T2302="pp"</formula>
    </cfRule>
  </conditionalFormatting>
  <conditionalFormatting sqref="P880 P877:P878">
    <cfRule type="expression" priority="3001" aboveAverage="0" equalAverage="0" bottom="0" percent="0" rank="0" text="" dxfId="3011">
      <formula>$F877:T3027="pp"</formula>
    </cfRule>
    <cfRule type="expression" priority="3002" aboveAverage="0" equalAverage="0" bottom="0" percent="0" rank="0" text="" dxfId="3012">
      <formula>$F877:T2310="pp"</formula>
    </cfRule>
  </conditionalFormatting>
  <conditionalFormatting sqref="P1098">
    <cfRule type="expression" priority="3003" aboveAverage="0" equalAverage="0" bottom="0" percent="0" rank="0" text="" dxfId="3013">
      <formula>$F1098:T3032="pp"</formula>
    </cfRule>
    <cfRule type="expression" priority="3004" aboveAverage="0" equalAverage="0" bottom="0" percent="0" rank="0" text="" dxfId="3014">
      <formula>$F1098:T2315="pp"</formula>
    </cfRule>
  </conditionalFormatting>
  <conditionalFormatting sqref="P1157:P1161">
    <cfRule type="expression" priority="3005" aboveAverage="0" equalAverage="0" bottom="0" percent="0" rank="0" text="" dxfId="3015">
      <formula>$F1157:T3032="pp"</formula>
    </cfRule>
    <cfRule type="expression" priority="3006" aboveAverage="0" equalAverage="0" bottom="0" percent="0" rank="0" text="" dxfId="3016">
      <formula>$F1157:T2315="pp"</formula>
    </cfRule>
  </conditionalFormatting>
  <conditionalFormatting sqref="P1156">
    <cfRule type="expression" priority="3007" aboveAverage="0" equalAverage="0" bottom="0" percent="0" rank="0" text="" dxfId="3017">
      <formula>$F1156:T3027="pp"</formula>
    </cfRule>
    <cfRule type="expression" priority="3008" aboveAverage="0" equalAverage="0" bottom="0" percent="0" rank="0" text="" dxfId="3018">
      <formula>$F1156:T2310="pp"</formula>
    </cfRule>
  </conditionalFormatting>
  <conditionalFormatting sqref="P1387:P1389">
    <cfRule type="expression" priority="3009" aboveAverage="0" equalAverage="0" bottom="0" percent="0" rank="0" text="" dxfId="3019">
      <formula>$F1387:T3029="pp"</formula>
    </cfRule>
    <cfRule type="expression" priority="3010" aboveAverage="0" equalAverage="0" bottom="0" percent="0" rank="0" text="" dxfId="3020">
      <formula>$F1387:T2312="pp"</formula>
    </cfRule>
  </conditionalFormatting>
  <conditionalFormatting sqref="P1449:P1450">
    <cfRule type="expression" priority="3011" aboveAverage="0" equalAverage="0" bottom="0" percent="0" rank="0" text="" dxfId="3021">
      <formula>$F1449:T3055="pp"</formula>
    </cfRule>
    <cfRule type="expression" priority="3012" aboveAverage="0" equalAverage="0" bottom="0" percent="0" rank="0" text="" dxfId="3022">
      <formula>$F1449:T2338="pp"</formula>
    </cfRule>
  </conditionalFormatting>
  <conditionalFormatting sqref="P1891:P1895">
    <cfRule type="expression" priority="3013" aboveAverage="0" equalAverage="0" bottom="0" percent="0" rank="0" text="" dxfId="3023">
      <formula>$F1891:T3067="pp"</formula>
    </cfRule>
    <cfRule type="expression" priority="3014" aboveAverage="0" equalAverage="0" bottom="0" percent="0" rank="0" text="" dxfId="3024">
      <formula>$F1891:T2350="pp"</formula>
    </cfRule>
  </conditionalFormatting>
  <conditionalFormatting sqref="Q233:Q235">
    <cfRule type="expression" priority="3015" aboveAverage="0" equalAverage="0" bottom="0" percent="0" rank="0" text="" dxfId="3025">
      <formula>$F233:T2277="pp"</formula>
    </cfRule>
  </conditionalFormatting>
  <conditionalFormatting sqref="Q717:Q718">
    <cfRule type="expression" priority="3016" aboveAverage="0" equalAverage="0" bottom="0" percent="0" rank="0" text="" dxfId="3026">
      <formula>$F717:T2301="pp"</formula>
    </cfRule>
  </conditionalFormatting>
  <conditionalFormatting sqref="Q784:Q785">
    <cfRule type="expression" priority="3017" aboveAverage="0" equalAverage="0" bottom="0" percent="0" rank="0" text="" dxfId="3027">
      <formula>$F784:T2302="pp"</formula>
    </cfRule>
  </conditionalFormatting>
  <conditionalFormatting sqref="Q881:Q882">
    <cfRule type="expression" priority="3018" aboveAverage="0" equalAverage="0" bottom="0" percent="0" rank="0" text="" dxfId="3028">
      <formula>$F881:T2313="pp"</formula>
    </cfRule>
  </conditionalFormatting>
  <conditionalFormatting sqref="Q1157:Q1161">
    <cfRule type="expression" priority="3019" aboveAverage="0" equalAverage="0" bottom="0" percent="0" rank="0" text="" dxfId="3029">
      <formula>$F1157:T2315="pp"</formula>
    </cfRule>
  </conditionalFormatting>
  <conditionalFormatting sqref="Q1387:Q1389">
    <cfRule type="expression" priority="3020" aboveAverage="0" equalAverage="0" bottom="0" percent="0" rank="0" text="" dxfId="3030">
      <formula>$F1387:T2312="pp"</formula>
    </cfRule>
  </conditionalFormatting>
  <conditionalFormatting sqref="Q1418:Q1422 Q1426:Q1427">
    <cfRule type="expression" priority="3021" aboveAverage="0" equalAverage="0" bottom="0" percent="0" rank="0" text="" dxfId="3031">
      <formula>$F1418:T2319="pp"</formula>
    </cfRule>
  </conditionalFormatting>
  <conditionalFormatting sqref="Q1449:Q1450">
    <cfRule type="expression" priority="3022" aboveAverage="0" equalAverage="0" bottom="0" percent="0" rank="0" text="" dxfId="3032">
      <formula>$F1449:T2338="pp"</formula>
    </cfRule>
  </conditionalFormatting>
  <conditionalFormatting sqref="Q1689:Q1690">
    <cfRule type="expression" priority="3023" aboveAverage="0" equalAverage="0" bottom="0" percent="0" rank="0" text="" dxfId="3033">
      <formula>$F1689:T2339="pp"</formula>
    </cfRule>
  </conditionalFormatting>
  <conditionalFormatting sqref="Q1891:Q1895">
    <cfRule type="expression" priority="3024" aboveAverage="0" equalAverage="0" bottom="0" percent="0" rank="0" text="" dxfId="3034">
      <formula>$F1891:T2350="pp"</formula>
    </cfRule>
  </conditionalFormatting>
  <conditionalFormatting sqref="K227:K232 M227:N232">
    <cfRule type="expression" priority="3025" aboveAverage="0" equalAverage="0" bottom="0" percent="0" rank="0" text="" dxfId="3035">
      <formula>$F227:P2284="pp"</formula>
    </cfRule>
  </conditionalFormatting>
  <conditionalFormatting sqref="E1454:E1457">
    <cfRule type="expression" priority="3026" aboveAverage="0" equalAverage="0" bottom="0" percent="0" rank="0" text="" dxfId="3036">
      <formula>$F1454:I2315="pp"</formula>
    </cfRule>
  </conditionalFormatting>
  <conditionalFormatting sqref="E1459:E1460">
    <cfRule type="expression" priority="3027" aboveAverage="0" equalAverage="0" bottom="0" percent="0" rank="0" text="" dxfId="3037">
      <formula>$F1459:I2313="pp"</formula>
    </cfRule>
  </conditionalFormatting>
  <conditionalFormatting sqref="O1998:O2000">
    <cfRule type="expression" priority="3028" aboveAverage="0" equalAverage="0" bottom="0" percent="0" rank="0" text="" dxfId="3038">
      <formula>$F1998:S2327="pp"</formula>
    </cfRule>
  </conditionalFormatting>
  <conditionalFormatting sqref="A832:A833">
    <cfRule type="expression" priority="3029" aboveAverage="0" equalAverage="0" bottom="0" percent="0" rank="0" text="" dxfId="3039">
      <formula>$F832:F2318="pp"</formula>
    </cfRule>
  </conditionalFormatting>
  <conditionalFormatting sqref="O559:O564 G534:I537">
    <cfRule type="expression" priority="3030" aboveAverage="0" equalAverage="0" bottom="0" percent="0" rank="0" text="" dxfId="3040">
      <formula>$F534:K2274="pp"</formula>
    </cfRule>
  </conditionalFormatting>
  <conditionalFormatting sqref="F540:F545 F685:F691 F706:F713 E510:E511">
    <cfRule type="expression" priority="3031" aboveAverage="0" equalAverage="0" bottom="0" percent="0" rank="0" text="" dxfId="3041">
      <formula>$F510:I2283="pp"</formula>
    </cfRule>
  </conditionalFormatting>
  <conditionalFormatting sqref="E1570:E1572">
    <cfRule type="expression" priority="3032" aboveAverage="0" equalAverage="0" bottom="0" percent="0" rank="0" text="" dxfId="3042">
      <formula>$F1570:I2319="pp"</formula>
    </cfRule>
  </conditionalFormatting>
  <conditionalFormatting sqref="K540:K544 M540:N544">
    <cfRule type="expression" priority="3033" aboveAverage="0" equalAverage="0" bottom="0" percent="0" rank="0" text="" dxfId="3043">
      <formula>$F540:P2311="pp"</formula>
    </cfRule>
  </conditionalFormatting>
  <conditionalFormatting sqref="A852:A854 A856:A860">
    <cfRule type="expression" priority="3034" aboveAverage="0" equalAverage="0" bottom="0" percent="0" rank="0" text="" dxfId="3044">
      <formula>$F852:F2325="pp"</formula>
    </cfRule>
  </conditionalFormatting>
  <conditionalFormatting sqref="A174:A175">
    <cfRule type="expression" priority="3035" aboveAverage="0" equalAverage="0" bottom="0" percent="0" rank="0" text="" dxfId="3045">
      <formula>$F174:F2280="pp"</formula>
    </cfRule>
  </conditionalFormatting>
  <conditionalFormatting sqref="C249:D249 B204:B208 C239:D247 L204:L208 J204:J208">
    <cfRule type="expression" priority="3036" aboveAverage="0" equalAverage="0" bottom="0" percent="0" rank="0" text="" dxfId="3046">
      <formula>$F204:G2263="pp"</formula>
    </cfRule>
  </conditionalFormatting>
  <conditionalFormatting sqref="A668:A671">
    <cfRule type="expression" priority="3037" aboveAverage="0" equalAverage="0" bottom="0" percent="0" rank="0" text="" dxfId="3047">
      <formula>$F668:F2287="pp"</formula>
    </cfRule>
  </conditionalFormatting>
  <conditionalFormatting sqref="A741:A752">
    <cfRule type="expression" priority="3038" aboveAverage="0" equalAverage="0" bottom="0" percent="0" rank="0" text="" dxfId="3048">
      <formula>$F741:F2292="pp"</formula>
    </cfRule>
  </conditionalFormatting>
  <conditionalFormatting sqref="A767:A770 A784:A785">
    <cfRule type="expression" priority="3039" aboveAverage="0" equalAverage="0" bottom="0" percent="0" rank="0" text="" dxfId="3049">
      <formula>$F767:F2290="pp"</formula>
    </cfRule>
  </conditionalFormatting>
  <conditionalFormatting sqref="A1057:A1059">
    <cfRule type="expression" priority="3040" aboveAverage="0" equalAverage="0" bottom="0" percent="0" rank="0" text="" dxfId="3050">
      <formula>$F1057:F2304="pp"</formula>
    </cfRule>
  </conditionalFormatting>
  <conditionalFormatting sqref="A1410:A1411 C1437:D1441">
    <cfRule type="expression" priority="3041" aboveAverage="0" equalAverage="0" bottom="0" percent="0" rank="0" text="" dxfId="3051">
      <formula>$F1410:F2306="pp"</formula>
    </cfRule>
  </conditionalFormatting>
  <conditionalFormatting sqref="A1466:A1467 B1451:B1453 L1451:L1453 J1451:J1453">
    <cfRule type="expression" priority="3042" aboveAverage="0" equalAverage="0" bottom="0" percent="0" rank="0" text="" dxfId="3052">
      <formula>$F1451:F2303="pp"</formula>
    </cfRule>
  </conditionalFormatting>
  <conditionalFormatting sqref="A1535:A1536 C1563:D1564">
    <cfRule type="expression" priority="3043" aboveAverage="0" equalAverage="0" bottom="0" percent="0" rank="0" text="" dxfId="3053">
      <formula>$F1535:F2328="pp"</formula>
    </cfRule>
  </conditionalFormatting>
  <conditionalFormatting sqref="A1563:A1564">
    <cfRule type="expression" priority="3044" aboveAverage="0" equalAverage="0" bottom="0" percent="0" rank="0" text="" dxfId="3054">
      <formula>$F1563:F2340="pp"</formula>
    </cfRule>
  </conditionalFormatting>
  <conditionalFormatting sqref="A1620:A1639 M1647:N1653 K1647:K1653">
    <cfRule type="expression" priority="3045" aboveAverage="0" equalAverage="0" bottom="0" percent="0" rank="0" text="" dxfId="3055">
      <formula>$F1620:F2319="pp"</formula>
    </cfRule>
  </conditionalFormatting>
  <conditionalFormatting sqref="A1643:A1648">
    <cfRule type="expression" priority="3046" aboveAverage="0" equalAverage="0" bottom="0" percent="0" rank="0" text="" dxfId="3056">
      <formula>$F1643:F2323="pp"</formula>
    </cfRule>
  </conditionalFormatting>
  <conditionalFormatting sqref="A1683:A1688">
    <cfRule type="expression" priority="3047" aboveAverage="0" equalAverage="0" bottom="0" percent="0" rank="0" text="" dxfId="3057">
      <formula>$F1683:F2319="pp"</formula>
    </cfRule>
  </conditionalFormatting>
  <conditionalFormatting sqref="A1766:A1767">
    <cfRule type="expression" priority="3048" aboveAverage="0" equalAverage="0" bottom="0" percent="0" rank="0" text="" dxfId="3058">
      <formula>$F1766:F2330="pp"</formula>
    </cfRule>
  </conditionalFormatting>
  <conditionalFormatting sqref="A1783:A1785 M1810:N1813 K1810:K1813">
    <cfRule type="expression" priority="3049" aboveAverage="0" equalAverage="0" bottom="0" percent="0" rank="0" text="" dxfId="3059">
      <formula>$F1783:F2323="pp"</formula>
    </cfRule>
  </conditionalFormatting>
  <conditionalFormatting sqref="A1815:A1816 A1822:A1828">
    <cfRule type="expression" priority="3050" aboveAverage="0" equalAverage="0" bottom="0" percent="0" rank="0" text="" dxfId="3060">
      <formula>$F1815:F2326="pp"</formula>
    </cfRule>
  </conditionalFormatting>
  <conditionalFormatting sqref="A1817:A1821">
    <cfRule type="expression" priority="3051" aboveAverage="0" equalAverage="0" bottom="0" percent="0" rank="0" text="" dxfId="3061">
      <formula>$F1817:F2329="pp"</formula>
    </cfRule>
  </conditionalFormatting>
  <conditionalFormatting sqref="A1869:A1872">
    <cfRule type="expression" priority="3052" aboveAverage="0" equalAverage="0" bottom="0" percent="0" rank="0" text="" dxfId="3062">
      <formula>$F1869:F2347="pp"</formula>
    </cfRule>
  </conditionalFormatting>
  <conditionalFormatting sqref="A1880:A1882">
    <cfRule type="expression" priority="3053" aboveAverage="0" equalAverage="0" bottom="0" percent="0" rank="0" text="" dxfId="3063">
      <formula>$F1880:F2347="pp"</formula>
    </cfRule>
  </conditionalFormatting>
  <conditionalFormatting sqref="M1925:N1925 C1922:D1924">
    <cfRule type="expression" priority="3054" aboveAverage="0" equalAverage="0" bottom="0" percent="0" rank="0" text="" dxfId="3064">
      <formula>$F1922:H2341="pp"</formula>
    </cfRule>
  </conditionalFormatting>
  <conditionalFormatting sqref="B288:B290 L288:L290 J288:J290">
    <cfRule type="expression" priority="3055" aboveAverage="0" equalAverage="0" bottom="0" percent="0" rank="0" text="" dxfId="3065">
      <formula>$F288:G2288="pp"</formula>
    </cfRule>
  </conditionalFormatting>
  <conditionalFormatting sqref="B369:B370 L369:L370 K155:K156 J369:J370">
    <cfRule type="expression" priority="3056" aboveAverage="0" equalAverage="0" bottom="0" percent="0" rank="0" text="" dxfId="3066">
      <formula>$F155:G2307="pp"</formula>
    </cfRule>
  </conditionalFormatting>
  <conditionalFormatting sqref="B375:B378 L375:L378 J375:J378">
    <cfRule type="expression" priority="3057" aboveAverage="0" equalAverage="0" bottom="0" percent="0" rank="0" text="" dxfId="3067">
      <formula>$F375:G2277="pp"</formula>
    </cfRule>
  </conditionalFormatting>
  <conditionalFormatting sqref="B629:B630 M668:N671 J629:J630 L629:L630 K668:K671">
    <cfRule type="expression" priority="3058" aboveAverage="0" equalAverage="0" bottom="0" percent="0" rank="0" text="" dxfId="3068">
      <formula>$F629:G2267="pp"</formula>
    </cfRule>
  </conditionalFormatting>
  <conditionalFormatting sqref="B668:B671 L668:L671 J668:J671">
    <cfRule type="expression" priority="3059" aboveAverage="0" equalAverage="0" bottom="0" percent="0" rank="0" text="" dxfId="3069">
      <formula>$F668:G2269="pp"</formula>
    </cfRule>
  </conditionalFormatting>
  <conditionalFormatting sqref="B713:B716 L713:L716 J713:J716">
    <cfRule type="expression" priority="3060" aboveAverage="0" equalAverage="0" bottom="0" percent="0" rank="0" text="" dxfId="3070">
      <formula>$F713:G2273="pp"</formula>
    </cfRule>
  </conditionalFormatting>
  <conditionalFormatting sqref="B759:B766 L759:L766 K803:K809 M803:N809 J759:J766">
    <cfRule type="expression" priority="3061" aboveAverage="0" equalAverage="0" bottom="0" percent="0" rank="0" text="" dxfId="3071">
      <formula>$F759:G2271="pp"</formula>
    </cfRule>
  </conditionalFormatting>
  <conditionalFormatting sqref="B907:B908 L907:L908 J907:J908">
    <cfRule type="expression" priority="3062" aboveAverage="0" equalAverage="0" bottom="0" percent="0" rank="0" text="" dxfId="3072">
      <formula>$F907:G2281="pp"</formula>
    </cfRule>
  </conditionalFormatting>
  <conditionalFormatting sqref="B972:B977 L972:L977 J972:J977">
    <cfRule type="expression" priority="3063" aboveAverage="0" equalAverage="0" bottom="0" percent="0" rank="0" text="" dxfId="3073">
      <formula>$F972:G2285="pp"</formula>
    </cfRule>
  </conditionalFormatting>
  <conditionalFormatting sqref="B980:B981 L980:L981 J980:J981">
    <cfRule type="expression" priority="3064" aboveAverage="0" equalAverage="0" bottom="0" percent="0" rank="0" text="" dxfId="3074">
      <formula>$F980:G2283="pp"</formula>
    </cfRule>
  </conditionalFormatting>
  <conditionalFormatting sqref="B1055:B1056 L1055:L1056 J1055:J1056">
    <cfRule type="expression" priority="3065" aboveAverage="0" equalAverage="0" bottom="0" percent="0" rank="0" text="" dxfId="3075">
      <formula>$F1055:G2275="pp"</formula>
    </cfRule>
  </conditionalFormatting>
  <conditionalFormatting sqref="B1119:B1125 L1119:L1125 J1119:J1125">
    <cfRule type="expression" priority="3066" aboveAverage="0" equalAverage="0" bottom="0" percent="0" rank="0" text="" dxfId="3076">
      <formula>$F1119:G2274="pp"</formula>
    </cfRule>
  </conditionalFormatting>
  <conditionalFormatting sqref="B1186:B1187 B1190:B1197 L1186:L1187 J1190:J1197 L1190:L1197 J1186:J1187">
    <cfRule type="expression" priority="3067" aboveAverage="0" equalAverage="0" bottom="0" percent="0" rank="0" text="" dxfId="3077">
      <formula>$F1186:G2298="pp"</formula>
    </cfRule>
  </conditionalFormatting>
  <conditionalFormatting sqref="B1209:B1219 L1209:L1219 J1209:J1219">
    <cfRule type="expression" priority="3068" aboveAverage="0" equalAverage="0" bottom="0" percent="0" rank="0" text="" dxfId="3078">
      <formula>$F1209:G2291="pp"</formula>
    </cfRule>
  </conditionalFormatting>
  <conditionalFormatting sqref="B1291:B1292 L1291:L1292 J1291:J1292">
    <cfRule type="expression" priority="3069" aboveAverage="0" equalAverage="0" bottom="0" percent="0" rank="0" text="" dxfId="3079">
      <formula>$F1291:G2287="pp"</formula>
    </cfRule>
  </conditionalFormatting>
  <conditionalFormatting sqref="B1301:B1302 L1301:L1302 J1301:J1302">
    <cfRule type="expression" priority="3070" aboveAverage="0" equalAverage="0" bottom="0" percent="0" rank="0" text="" dxfId="3080">
      <formula>$F1301:G2287="pp"</formula>
    </cfRule>
  </conditionalFormatting>
  <conditionalFormatting sqref="B1318:B1319 L1318:L1319 J1318:J1319">
    <cfRule type="expression" priority="3071" aboveAverage="0" equalAverage="0" bottom="0" percent="0" rank="0" text="" dxfId="3081">
      <formula>$F1318:G2289="pp"</formula>
    </cfRule>
  </conditionalFormatting>
  <conditionalFormatting sqref="B1355:B1356 M1401:N1407 J1355:J1356 L1355:L1356 K1401:K1407">
    <cfRule type="expression" priority="3072" aboveAverage="0" equalAverage="0" bottom="0" percent="0" rank="0" text="" dxfId="3082">
      <formula>$F1355:G2276="pp"</formula>
    </cfRule>
  </conditionalFormatting>
  <conditionalFormatting sqref="B1397:B1400 L1397:L1400 J1397:J1400">
    <cfRule type="expression" priority="3073" aboveAverage="0" equalAverage="0" bottom="0" percent="0" rank="0" text="" dxfId="3083">
      <formula>$F1397:G2282="pp"</formula>
    </cfRule>
  </conditionalFormatting>
  <conditionalFormatting sqref="B1504:B1509 L1504:L1509 J1504:J1509">
    <cfRule type="expression" priority="3074" aboveAverage="0" equalAverage="0" bottom="0" percent="0" rank="0" text="" dxfId="3084">
      <formula>$F1504:G2302="pp"</formula>
    </cfRule>
  </conditionalFormatting>
  <conditionalFormatting sqref="B1661:B1664 L1661:L1664 J1661:J1664">
    <cfRule type="expression" priority="3075" aboveAverage="0" equalAverage="0" bottom="0" percent="0" rank="0" text="" dxfId="3085">
      <formula>$F1661:G2312="pp"</formula>
    </cfRule>
  </conditionalFormatting>
  <conditionalFormatting sqref="B1691:B1692 A1705:A1706 L1691:L1692 J1691:J1692">
    <cfRule type="expression" priority="3076" aboveAverage="0" equalAverage="0" bottom="0" percent="0" rank="0" text="" dxfId="3086">
      <formula>$F1691:F2314="pp"</formula>
    </cfRule>
  </conditionalFormatting>
  <conditionalFormatting sqref="B1705:B1706 L1705:L1706 J1705:J1706">
    <cfRule type="expression" priority="3077" aboveAverage="0" equalAverage="0" bottom="0" percent="0" rank="0" text="" dxfId="3087">
      <formula>$F1705:G2310="pp"</formula>
    </cfRule>
  </conditionalFormatting>
  <conditionalFormatting sqref="B1835:B1836 L1835:L1836 J1835:J1836">
    <cfRule type="expression" priority="3078" aboveAverage="0" equalAverage="0" bottom="0" percent="0" rank="0" text="" dxfId="3088">
      <formula>$F1835:G2320="pp"</formula>
    </cfRule>
  </conditionalFormatting>
  <conditionalFormatting sqref="B1866:B1868 B1873:B1879 L1873:L1879 J1866:J1868 L1866:L1868 J1873:J1879">
    <cfRule type="expression" priority="3079" aboveAverage="0" equalAverage="0" bottom="0" percent="0" rank="0" text="" dxfId="3089">
      <formula>$F1866:G2325="pp"</formula>
    </cfRule>
  </conditionalFormatting>
  <conditionalFormatting sqref="B1885:B1886 L1885:L1886 J1885:J1886">
    <cfRule type="expression" priority="3080" aboveAverage="0" equalAverage="0" bottom="0" percent="0" rank="0" text="" dxfId="3090">
      <formula>$F1885:G2309="pp"</formula>
    </cfRule>
  </conditionalFormatting>
  <conditionalFormatting sqref="B1964:B1965 A1977:A1980 L1964:L1965 J1964:J1965">
    <cfRule type="expression" priority="3081" aboveAverage="0" equalAverage="0" bottom="0" percent="0" rank="0" text="" dxfId="3091">
      <formula>$F1964:F2327="pp"</formula>
    </cfRule>
  </conditionalFormatting>
  <conditionalFormatting sqref="M2005:N2005">
    <cfRule type="expression" priority="3082" aboveAverage="0" equalAverage="0" bottom="0" percent="0" rank="0" text="" dxfId="3092">
      <formula>$F2005:R2351="pp"</formula>
    </cfRule>
  </conditionalFormatting>
  <conditionalFormatting sqref="M2032:N2034 K2032:K2034 B1992:B1997 L1992:L1997 J1992:J1997">
    <cfRule type="expression" priority="3083" aboveAverage="0" equalAverage="0" bottom="0" percent="0" rank="0" text="" dxfId="3093">
      <formula>$F1992:G2309="pp"</formula>
    </cfRule>
  </conditionalFormatting>
  <conditionalFormatting sqref="C336:D341">
    <cfRule type="expression" priority="3084" aboveAverage="0" equalAverage="0" bottom="0" percent="0" rank="0" text="" dxfId="3094">
      <formula>$F336:H2325="pp"</formula>
    </cfRule>
  </conditionalFormatting>
  <conditionalFormatting sqref="C375:D378">
    <cfRule type="expression" priority="3085" aboveAverage="0" equalAverage="0" bottom="0" percent="0" rank="0" text="" dxfId="3095">
      <formula>$F375:H2311="pp"</formula>
    </cfRule>
  </conditionalFormatting>
  <conditionalFormatting sqref="C403:D405">
    <cfRule type="expression" priority="3086" aboveAverage="0" equalAverage="0" bottom="0" percent="0" rank="0" text="" dxfId="3096">
      <formula>$F403:H2318="pp"</formula>
    </cfRule>
  </conditionalFormatting>
  <conditionalFormatting sqref="C430:D431">
    <cfRule type="expression" priority="3087" aboveAverage="0" equalAverage="0" bottom="0" percent="0" rank="0" text="" dxfId="3097">
      <formula>$F430:H2298="pp"</formula>
    </cfRule>
  </conditionalFormatting>
  <conditionalFormatting sqref="C685:D688 A664:A666">
    <cfRule type="expression" priority="3088" aboveAverage="0" equalAverage="0" bottom="0" percent="0" rank="0" text="" dxfId="3098">
      <formula>$F664:F2288="pp"</formula>
    </cfRule>
  </conditionalFormatting>
  <conditionalFormatting sqref="C754:D763">
    <cfRule type="expression" priority="3089" aboveAverage="0" equalAverage="0" bottom="0" percent="0" rank="0" text="" dxfId="3099">
      <formula>$F754:H2304="pp"</formula>
    </cfRule>
  </conditionalFormatting>
  <conditionalFormatting sqref="C787:D802">
    <cfRule type="expression" priority="3090" aboveAverage="0" equalAverage="0" bottom="0" percent="0" rank="0" text="" dxfId="3100">
      <formula>$F787:H2324="pp"</formula>
    </cfRule>
  </conditionalFormatting>
  <conditionalFormatting sqref="C810:D812">
    <cfRule type="expression" priority="3091" aboveAverage="0" equalAverage="0" bottom="0" percent="0" rank="0" text="" dxfId="3101">
      <formula>$F810:H2325="pp"</formula>
    </cfRule>
  </conditionalFormatting>
  <conditionalFormatting sqref="C865:D871">
    <cfRule type="expression" priority="3092" aboveAverage="0" equalAverage="0" bottom="0" percent="0" rank="0" text="" dxfId="3102">
      <formula>$F865:H2337="pp"</formula>
    </cfRule>
  </conditionalFormatting>
  <conditionalFormatting sqref="C932:D941">
    <cfRule type="expression" priority="3093" aboveAverage="0" equalAverage="0" bottom="0" percent="0" rank="0" text="" dxfId="3103">
      <formula>$F932:H2331="pp"</formula>
    </cfRule>
  </conditionalFormatting>
  <conditionalFormatting sqref="C942:D949">
    <cfRule type="expression" priority="3094" aboveAverage="0" equalAverage="0" bottom="0" percent="0" rank="0" text="" dxfId="3104">
      <formula>$F942:H2334="pp"</formula>
    </cfRule>
  </conditionalFormatting>
  <conditionalFormatting sqref="C960:D964">
    <cfRule type="expression" priority="3095" aboveAverage="0" equalAverage="0" bottom="0" percent="0" rank="0" text="" dxfId="3105">
      <formula>$F960:H2329="pp"</formula>
    </cfRule>
  </conditionalFormatting>
  <conditionalFormatting sqref="C1052:D1054">
    <cfRule type="expression" priority="3096" aboveAverage="0" equalAverage="0" bottom="0" percent="0" rank="0" text="" dxfId="3106">
      <formula>$F1052:H2328="pp"</formula>
    </cfRule>
  </conditionalFormatting>
  <conditionalFormatting sqref="C1057:D1059 M1055:N1059 K1055:K1059">
    <cfRule type="expression" priority="3097" aboveAverage="0" equalAverage="0" bottom="0" percent="0" rank="0" text="" dxfId="3107">
      <formula>$F1055:H2319="pp"</formula>
    </cfRule>
  </conditionalFormatting>
  <conditionalFormatting sqref="C1228:D1230">
    <cfRule type="expression" priority="3098" aboveAverage="0" equalAverage="0" bottom="0" percent="0" rank="0" text="" dxfId="3108">
      <formula>$F1228:H2332="pp"</formula>
    </cfRule>
  </conditionalFormatting>
  <conditionalFormatting sqref="C1264:D1265">
    <cfRule type="expression" priority="3099" aboveAverage="0" equalAverage="0" bottom="0" percent="0" rank="0" text="" dxfId="3109">
      <formula>$F1264:H2359="pp"</formula>
    </cfRule>
  </conditionalFormatting>
  <conditionalFormatting sqref="C1340:D1345">
    <cfRule type="expression" priority="3100" aboveAverage="0" equalAverage="0" bottom="0" percent="0" rank="0" text="" dxfId="3110">
      <formula>$F1340:H2304="pp"</formula>
    </cfRule>
  </conditionalFormatting>
  <conditionalFormatting sqref="C1357:D1366">
    <cfRule type="expression" priority="3101" aboveAverage="0" equalAverage="0" bottom="0" percent="0" rank="0" text="" dxfId="3111">
      <formula>$F1357:H2307="pp"</formula>
    </cfRule>
  </conditionalFormatting>
  <conditionalFormatting sqref="C1375:D1376 B1335:B1339 M1380:N1386 J1335:J1339 L1335:L1339 K1380:K1386">
    <cfRule type="expression" priority="3102" aboveAverage="0" equalAverage="0" bottom="0" percent="0" rank="0" text="" dxfId="3112">
      <formula>$F1335:G2270="pp"</formula>
    </cfRule>
  </conditionalFormatting>
  <conditionalFormatting sqref="C1472:D1473 C1476:D1479 C1486:D1488">
    <cfRule type="expression" priority="3103" aboveAverage="0" equalAverage="0" bottom="0" percent="0" rank="0" text="" dxfId="3113">
      <formula>$F1472:H2333="pp"</formula>
    </cfRule>
  </conditionalFormatting>
  <conditionalFormatting sqref="C1535:D1536">
    <cfRule type="expression" priority="3104" aboveAverage="0" equalAverage="0" bottom="0" percent="0" rank="0" text="" dxfId="3114">
      <formula>$F1535:H2344="pp"</formula>
    </cfRule>
  </conditionalFormatting>
  <conditionalFormatting sqref="C1678:D1679 M1691:N1692 K1691:K1692">
    <cfRule type="expression" priority="3105" aboveAverage="0" equalAverage="0" bottom="0" percent="0" rank="0" text="" dxfId="3115">
      <formula>$F1678:H2338="pp"</formula>
    </cfRule>
  </conditionalFormatting>
  <conditionalFormatting sqref="C1911:D1917 A1896:A1901">
    <cfRule type="expression" priority="3106" aboveAverage="0" equalAverage="0" bottom="0" percent="0" rank="0" text="" dxfId="3116">
      <formula>$F1896:F2330="pp"</formula>
    </cfRule>
  </conditionalFormatting>
  <conditionalFormatting sqref="B1982:B1986 L1982:L1986 J1982:J1986">
    <cfRule type="expression" priority="3107" aboveAverage="0" equalAverage="0" bottom="0" percent="0" rank="0" text="" dxfId="3117">
      <formula>$F1982:G2322="pp"</formula>
    </cfRule>
  </conditionalFormatting>
  <conditionalFormatting sqref="E307:E310">
    <cfRule type="expression" priority="3108" aboveAverage="0" equalAverage="0" bottom="0" percent="0" rank="0" text="" dxfId="3118">
      <formula>$F307:I2296="pp"</formula>
    </cfRule>
  </conditionalFormatting>
  <conditionalFormatting sqref="E317:E326">
    <cfRule type="expression" priority="3109" aboveAverage="0" equalAverage="0" bottom="0" percent="0" rank="0" text="" dxfId="3119">
      <formula>$F317:I2285="pp"</formula>
    </cfRule>
  </conditionalFormatting>
  <conditionalFormatting sqref="E413:E414">
    <cfRule type="expression" priority="3110" aboveAverage="0" equalAverage="0" bottom="0" percent="0" rank="0" text="" dxfId="3120">
      <formula>$F413:I2285="pp"</formula>
    </cfRule>
  </conditionalFormatting>
  <conditionalFormatting sqref="E570:E571 O575:O576 G559:I564">
    <cfRule type="expression" priority="3111" aboveAverage="0" equalAverage="0" bottom="0" percent="0" rank="0" text="" dxfId="3121">
      <formula>$F559:I2284="pp"</formula>
    </cfRule>
  </conditionalFormatting>
  <conditionalFormatting sqref="E589:E593 F913:F915">
    <cfRule type="expression" priority="3112" aboveAverage="0" equalAverage="0" bottom="0" percent="0" rank="0" text="" dxfId="3122">
      <formula>$F589:I2290="pp"</formula>
    </cfRule>
  </conditionalFormatting>
  <conditionalFormatting sqref="E604:E614 O615:O616">
    <cfRule type="expression" priority="3113" aboveAverage="0" equalAverage="0" bottom="0" percent="0" rank="0" text="" dxfId="3123">
      <formula>$F604:I2281="pp"</formula>
    </cfRule>
  </conditionalFormatting>
  <conditionalFormatting sqref="E631:E632">
    <cfRule type="expression" priority="3114" aboveAverage="0" equalAverage="0" bottom="0" percent="0" rank="0" text="" dxfId="3124">
      <formula>$F631:I2280="pp"</formula>
    </cfRule>
  </conditionalFormatting>
  <conditionalFormatting sqref="E654:E655 O660:O662">
    <cfRule type="expression" priority="3115" aboveAverage="0" equalAverage="0" bottom="0" percent="0" rank="0" text="" dxfId="3125">
      <formula>$F654:I2280="pp"</formula>
    </cfRule>
  </conditionalFormatting>
  <conditionalFormatting sqref="E665:E666">
    <cfRule type="expression" priority="3116" aboveAverage="0" equalAverage="0" bottom="0" percent="0" rank="0" text="" dxfId="3126">
      <formula>$F665:I2282="pp"</formula>
    </cfRule>
  </conditionalFormatting>
  <conditionalFormatting sqref="E685:E688 G672:I675">
    <cfRule type="expression" priority="3117" aboveAverage="0" equalAverage="0" bottom="0" percent="0" rank="0" text="" dxfId="3127">
      <formula>$F672:I2272="pp"</formula>
    </cfRule>
  </conditionalFormatting>
  <conditionalFormatting sqref="E694:E696">
    <cfRule type="expression" priority="3118" aboveAverage="0" equalAverage="0" bottom="0" percent="0" rank="0" text="" dxfId="3128">
      <formula>$F694:I2281="pp"</formula>
    </cfRule>
  </conditionalFormatting>
  <conditionalFormatting sqref="E810:E812">
    <cfRule type="expression" priority="3119" aboveAverage="0" equalAverage="0" bottom="0" percent="0" rank="0" text="" dxfId="3129">
      <formula>$F810:I2291="pp"</formula>
    </cfRule>
  </conditionalFormatting>
  <conditionalFormatting sqref="E1027:E1030">
    <cfRule type="expression" priority="3120" aboveAverage="0" equalAverage="0" bottom="0" percent="0" rank="0" text="" dxfId="3130">
      <formula>$F1027:I2303="pp"</formula>
    </cfRule>
  </conditionalFormatting>
  <conditionalFormatting sqref="E1057:E1059 O1060:O1072">
    <cfRule type="expression" priority="3121" aboveAverage="0" equalAverage="0" bottom="0" percent="0" rank="0" text="" dxfId="3131">
      <formula>$F1057:I2287="pp"</formula>
    </cfRule>
  </conditionalFormatting>
  <conditionalFormatting sqref="E1074:E1077 G1057:I1059">
    <cfRule type="expression" priority="3122" aboveAverage="0" equalAverage="0" bottom="0" percent="0" rank="0" text="" dxfId="3132">
      <formula>$F1057:I2271="pp"</formula>
    </cfRule>
  </conditionalFormatting>
  <conditionalFormatting sqref="E1137:E1142">
    <cfRule type="expression" priority="3123" aboveAverage="0" equalAverage="0" bottom="0" percent="0" rank="0" text="" dxfId="3133">
      <formula>$F1137:I2293="pp"</formula>
    </cfRule>
  </conditionalFormatting>
  <conditionalFormatting sqref="E1202:E1208">
    <cfRule type="expression" priority="3124" aboveAverage="0" equalAverage="0" bottom="0" percent="0" rank="0" text="" dxfId="3134">
      <formula>$F1202:I2306="pp"</formula>
    </cfRule>
  </conditionalFormatting>
  <conditionalFormatting sqref="E1264:E1265 O1238:O1248">
    <cfRule type="expression" priority="3125" aboveAverage="0" equalAverage="0" bottom="0" percent="0" rank="0" text="" dxfId="3135">
      <formula>$F1238:I2299="pp"</formula>
    </cfRule>
  </conditionalFormatting>
  <conditionalFormatting sqref="E1297:E1300 G1285:I1286">
    <cfRule type="expression" priority="3126" aboveAverage="0" equalAverage="0" bottom="0" percent="0" rank="0" text="" dxfId="3136">
      <formula>$F1285:I2288="pp"</formula>
    </cfRule>
  </conditionalFormatting>
  <conditionalFormatting sqref="E1329:E1333 O1335:O1339">
    <cfRule type="expression" priority="3127" aboveAverage="0" equalAverage="0" bottom="0" percent="0" rank="0" text="" dxfId="3137">
      <formula>$F1329:I2279="pp"</formula>
    </cfRule>
  </conditionalFormatting>
  <conditionalFormatting sqref="E1501:E1502 E1497:E1498">
    <cfRule type="expression" priority="3128" aboveAverage="0" equalAverage="0" bottom="0" percent="0" rank="0" text="" dxfId="3138">
      <formula>$F1497:I2312="pp"</formula>
    </cfRule>
  </conditionalFormatting>
  <conditionalFormatting sqref="E1545:E1554 E1539:E1540">
    <cfRule type="expression" priority="3129" aboveAverage="0" equalAverage="0" bottom="0" percent="0" rank="0" text="" dxfId="3139">
      <formula>$F1539:I2322="pp"</formula>
    </cfRule>
  </conditionalFormatting>
  <conditionalFormatting sqref="E1661:E1664 G1641:I1642">
    <cfRule type="expression" priority="3130" aboveAverage="0" equalAverage="0" bottom="0" percent="0" rank="0" text="" dxfId="3140">
      <formula>$F1641:I2302="pp"</formula>
    </cfRule>
  </conditionalFormatting>
  <conditionalFormatting sqref="E1689:E1690">
    <cfRule type="expression" priority="3131" aboveAverage="0" equalAverage="0" bottom="0" percent="0" rank="0" text="" dxfId="3141">
      <formula>$F1689:I2321="pp"</formula>
    </cfRule>
  </conditionalFormatting>
  <conditionalFormatting sqref="E1835:E1836">
    <cfRule type="expression" priority="3132" aboveAverage="0" equalAverage="0" bottom="0" percent="0" rank="0" text="" dxfId="3142">
      <formula>$F1835:I2330="pp"</formula>
    </cfRule>
  </conditionalFormatting>
  <conditionalFormatting sqref="E1885:E1886">
    <cfRule type="expression" priority="3133" aboveAverage="0" equalAverage="0" bottom="0" percent="0" rank="0" text="" dxfId="3143">
      <formula>$F1885:I2319="pp"</formula>
    </cfRule>
  </conditionalFormatting>
  <conditionalFormatting sqref="E1964:E1965">
    <cfRule type="expression" priority="3134" aboveAverage="0" equalAverage="0" bottom="0" percent="0" rank="0" text="" dxfId="3144">
      <formula>$F1964:I2337="pp"</formula>
    </cfRule>
  </conditionalFormatting>
  <conditionalFormatting sqref="E2003:E2004">
    <cfRule type="expression" priority="3135" aboveAverage="0" equalAverage="0" bottom="0" percent="0" rank="0" text="" dxfId="3145">
      <formula>$F2003:I2324="pp"</formula>
    </cfRule>
  </conditionalFormatting>
  <conditionalFormatting sqref="O2044:O2047">
    <cfRule type="expression" priority="3136" aboveAverage="0" equalAverage="0" bottom="0" percent="0" rank="0" text="" dxfId="3146">
      <formula>$F2044:S2327="pp"</formula>
    </cfRule>
  </conditionalFormatting>
  <conditionalFormatting sqref="F218:F221">
    <cfRule type="expression" priority="3137" aboveAverage="0" equalAverage="0" bottom="0" percent="0" rank="0" text="" dxfId="3147">
      <formula>$F218:J2300="pp"</formula>
    </cfRule>
  </conditionalFormatting>
  <conditionalFormatting sqref="F403:F405">
    <cfRule type="expression" priority="3138" aboveAverage="0" equalAverage="0" bottom="0" percent="0" rank="0" text="" dxfId="3148">
      <formula>$F403:J2323="pp"</formula>
    </cfRule>
  </conditionalFormatting>
  <conditionalFormatting sqref="F510:F511 E477:E478">
    <cfRule type="expression" priority="3139" aboveAverage="0" equalAverage="0" bottom="0" percent="0" rank="0" text="" dxfId="3149">
      <formula>$F477:I2279="pp"</formula>
    </cfRule>
  </conditionalFormatting>
  <conditionalFormatting sqref="F1143:F1145">
    <cfRule type="expression" priority="3140" aboveAverage="0" equalAverage="0" bottom="0" percent="0" rank="0" text="" dxfId="3150">
      <formula>$F1143:J2619="pp"</formula>
    </cfRule>
  </conditionalFormatting>
  <conditionalFormatting sqref="F1220:F1226">
    <cfRule type="expression" priority="3141" aboveAverage="0" equalAverage="0" bottom="0" percent="0" rank="0" text="" dxfId="3151">
      <formula>$F1220:J2638="pp"</formula>
    </cfRule>
  </conditionalFormatting>
  <conditionalFormatting sqref="F1271:F1275 G925:I926">
    <cfRule type="expression" priority="3142" aboveAverage="0" equalAverage="0" bottom="0" percent="0" rank="0" text="" dxfId="3152">
      <formula>$F925:J2281="pp"</formula>
    </cfRule>
  </conditionalFormatting>
  <conditionalFormatting sqref="F1303:F1329">
    <cfRule type="expression" priority="3143" aboveAverage="0" equalAverage="0" bottom="0" percent="0" rank="0" text="" dxfId="3153">
      <formula>$F1303:J2627="pp"</formula>
    </cfRule>
  </conditionalFormatting>
  <conditionalFormatting sqref="F1355:F1356">
    <cfRule type="expression" priority="3144" aboveAverage="0" equalAverage="0" bottom="0" percent="0" rank="0" text="" dxfId="3154">
      <formula>$F1355:J2315="pp"</formula>
    </cfRule>
  </conditionalFormatting>
  <conditionalFormatting sqref="F1375:F1376 E1340:E1345 G1329:I1333">
    <cfRule type="expression" priority="3145" aboveAverage="0" equalAverage="0" bottom="0" percent="0" rank="0" text="" dxfId="3155">
      <formula>$F1329:I2269="pp"</formula>
    </cfRule>
  </conditionalFormatting>
  <conditionalFormatting sqref="F1401:F1407 O1371:O1374">
    <cfRule type="expression" priority="3146" aboveAverage="0" equalAverage="0" bottom="0" percent="0" rank="0" text="" dxfId="3156">
      <formula>$F1371:J2294="pp"</formula>
    </cfRule>
  </conditionalFormatting>
  <conditionalFormatting sqref="F1497:F1498 E1466:E1467 G1459:I1460 F1501:F1502">
    <cfRule type="expression" priority="3147" aboveAverage="0" equalAverage="0" bottom="0" percent="0" rank="0" text="" dxfId="3157">
      <formula>$F1459:I2303="pp"</formula>
    </cfRule>
  </conditionalFormatting>
  <conditionalFormatting sqref="F1517:F1521">
    <cfRule type="expression" priority="3148" aboveAverage="0" equalAverage="0" bottom="0" percent="0" rank="0" text="" dxfId="3158">
      <formula>$F1517:J2349="pp"</formula>
    </cfRule>
  </conditionalFormatting>
  <conditionalFormatting sqref="F1620:F1639">
    <cfRule type="expression" priority="3149" aboveAverage="0" equalAverage="0" bottom="0" percent="0" rank="0" text="" dxfId="3159">
      <formula>$F1620:J2340="pp"</formula>
    </cfRule>
  </conditionalFormatting>
  <conditionalFormatting sqref="F1654:F1675">
    <cfRule type="expression" priority="3150" aboveAverage="0" equalAverage="0" bottom="0" percent="0" rank="0" text="" dxfId="3160">
      <formula>$F1654:J2356="pp"</formula>
    </cfRule>
  </conditionalFormatting>
  <conditionalFormatting sqref="F1689:F1690 G1602:I1606">
    <cfRule type="expression" priority="3151" aboveAverage="0" equalAverage="0" bottom="0" percent="0" rank="0" text="" dxfId="3161">
      <formula>$F1602:J2299="pp"</formula>
    </cfRule>
  </conditionalFormatting>
  <conditionalFormatting sqref="F1705:F1706">
    <cfRule type="expression" priority="3152" aboveAverage="0" equalAverage="0" bottom="0" percent="0" rank="0" text="" dxfId="3162">
      <formula>$F1705:J2385="pp"</formula>
    </cfRule>
  </conditionalFormatting>
  <conditionalFormatting sqref="F1707:F1720">
    <cfRule type="expression" priority="3153" aboveAverage="0" equalAverage="0" bottom="0" percent="0" rank="0" text="" dxfId="3163">
      <formula>$F1707:J2382="pp"</formula>
    </cfRule>
  </conditionalFormatting>
  <conditionalFormatting sqref="F1783:F1785">
    <cfRule type="expression" priority="3154" aboveAverage="0" equalAverage="0" bottom="0" percent="0" rank="0" text="" dxfId="3164">
      <formula>$F1783:J2380="pp"</formula>
    </cfRule>
  </conditionalFormatting>
  <conditionalFormatting sqref="F1815:F1816 F1822:F1828">
    <cfRule type="expression" priority="3155" aboveAverage="0" equalAverage="0" bottom="0" percent="0" rank="0" text="" dxfId="3165">
      <formula>$F1815:J2383="pp"</formula>
    </cfRule>
  </conditionalFormatting>
  <conditionalFormatting sqref="F1919:F1921">
    <cfRule type="expression" priority="3156" aboveAverage="0" equalAverage="0" bottom="0" percent="0" rank="0" text="" dxfId="3166">
      <formula>$F1919:J2390="pp"</formula>
    </cfRule>
  </conditionalFormatting>
  <conditionalFormatting sqref="F1933:F1944">
    <cfRule type="expression" priority="3157" aboveAverage="0" equalAverage="0" bottom="0" percent="0" rank="0" text="" dxfId="3167">
      <formula>$F1933:J2387="pp"</formula>
    </cfRule>
  </conditionalFormatting>
  <conditionalFormatting sqref="F1955:F1959">
    <cfRule type="expression" priority="3158" aboveAverage="0" equalAverage="0" bottom="0" percent="0" rank="0" text="" dxfId="3168">
      <formula>$F1955:J2399="pp"</formula>
    </cfRule>
  </conditionalFormatting>
  <conditionalFormatting sqref="G1968:I1971">
    <cfRule type="expression" priority="3159" aboveAverage="0" equalAverage="0" bottom="0" percent="0" rank="0" text="" dxfId="3169">
      <formula>$F1968:K2322="pp"</formula>
    </cfRule>
  </conditionalFormatting>
  <conditionalFormatting sqref="F369:I370 O369:O370">
    <cfRule type="expression" priority="3160" aboveAverage="0" equalAverage="0" bottom="0" percent="0" rank="0" text="" dxfId="3170">
      <formula>$F369:J2521="pp"</formula>
    </cfRule>
  </conditionalFormatting>
  <conditionalFormatting sqref="G221:I226 O221:O226 E236:E237">
    <cfRule type="expression" priority="3161" aboveAverage="0" equalAverage="0" bottom="0" percent="0" rank="0" text="" dxfId="3171">
      <formula>$F221:I2261="pp"</formula>
    </cfRule>
  </conditionalFormatting>
  <conditionalFormatting sqref="G236:I237 O236:O237 E248:E265">
    <cfRule type="expression" priority="3162" aboveAverage="0" equalAverage="0" bottom="0" percent="0" rank="0" text="" dxfId="3172">
      <formula>$F236:I2266="pp"</formula>
    </cfRule>
  </conditionalFormatting>
  <conditionalFormatting sqref="G375:I378 O375:O378">
    <cfRule type="expression" priority="3163" aboveAverage="0" equalAverage="0" bottom="0" percent="0" rank="0" text="" dxfId="3173">
      <formula>$F375:K2277="pp"</formula>
    </cfRule>
  </conditionalFormatting>
  <conditionalFormatting sqref="G421:I422">
    <cfRule type="expression" priority="3164" aboveAverage="0" equalAverage="0" bottom="0" percent="0" rank="0" text="" dxfId="3174">
      <formula>$F421:K2267="pp"</formula>
    </cfRule>
  </conditionalFormatting>
  <conditionalFormatting sqref="G440:I441 G446:I454">
    <cfRule type="expression" priority="3165" aboveAverage="0" equalAverage="0" bottom="0" percent="0" rank="0" text="" dxfId="3175">
      <formula>$F440:K2268="pp"</formula>
    </cfRule>
  </conditionalFormatting>
  <conditionalFormatting sqref="G491:I492">
    <cfRule type="expression" priority="3166" aboveAverage="0" equalAverage="0" bottom="0" percent="0" rank="0" text="" dxfId="3176">
      <formula>$F491:K2272="pp"</formula>
    </cfRule>
  </conditionalFormatting>
  <conditionalFormatting sqref="G623:I624 O627:O630">
    <cfRule type="expression" priority="3167" aboveAverage="0" equalAverage="0" bottom="0" percent="0" rank="0" text="" dxfId="3177">
      <formula>$F623:K2283="pp"</formula>
    </cfRule>
  </conditionalFormatting>
  <conditionalFormatting sqref="G694:I696">
    <cfRule type="expression" priority="3168" aboveAverage="0" equalAverage="0" bottom="0" percent="0" rank="0" text="" dxfId="3178">
      <formula>$F694:K2271="pp"</formula>
    </cfRule>
  </conditionalFormatting>
  <conditionalFormatting sqref="G702:I705 O717:O718">
    <cfRule type="expression" priority="3169" aboveAverage="0" equalAverage="0" bottom="0" percent="0" rank="0" text="" dxfId="3179">
      <formula>$F702:K2273="pp"</formula>
    </cfRule>
  </conditionalFormatting>
  <conditionalFormatting sqref="G832:I833">
    <cfRule type="expression" priority="3170" aboveAverage="0" equalAverage="0" bottom="0" percent="0" rank="0" text="" dxfId="3180">
      <formula>$F832:K2285="pp"</formula>
    </cfRule>
  </conditionalFormatting>
  <conditionalFormatting sqref="G841:I847">
    <cfRule type="expression" priority="3171" aboveAverage="0" equalAverage="0" bottom="0" percent="0" rank="0" text="" dxfId="3181">
      <formula>$F841:K2287="pp"</formula>
    </cfRule>
  </conditionalFormatting>
  <conditionalFormatting sqref="G932:I937">
    <cfRule type="expression" priority="3172" aboveAverage="0" equalAverage="0" bottom="0" percent="0" rank="0" text="" dxfId="3182">
      <formula>$F932:K2281="pp"</formula>
    </cfRule>
  </conditionalFormatting>
  <conditionalFormatting sqref="G978:I979">
    <cfRule type="expression" priority="3173" aboveAverage="0" equalAverage="0" bottom="0" percent="0" rank="0" text="" dxfId="3183">
      <formula>$F978:K2290="pp"</formula>
    </cfRule>
  </conditionalFormatting>
  <conditionalFormatting sqref="G990:I1000 E1007:E1009 P1020:P1024">
    <cfRule type="expression" priority="3174" aboveAverage="0" equalAverage="0" bottom="0" percent="0" rank="0" text="" dxfId="3184">
      <formula>$F990:I2276="pp"</formula>
    </cfRule>
  </conditionalFormatting>
  <conditionalFormatting sqref="G1031:I1032">
    <cfRule type="expression" priority="3175" aboveAverage="0" equalAverage="0" bottom="0" percent="0" rank="0" text="" dxfId="3185">
      <formula>$F1031:K2290="pp"</formula>
    </cfRule>
  </conditionalFormatting>
  <conditionalFormatting sqref="G1126:I1129 E1143:E1145 O1146:O1150">
    <cfRule type="expression" priority="3176" aboveAverage="0" equalAverage="0" bottom="0" percent="0" rank="0" text="" dxfId="3186">
      <formula>$F1126:I2276="pp"</formula>
    </cfRule>
  </conditionalFormatting>
  <conditionalFormatting sqref="G1186:I1187 G1190:I1197">
    <cfRule type="expression" priority="3177" aboveAverage="0" equalAverage="0" bottom="0" percent="0" rank="0" text="" dxfId="3187">
      <formula>$F1186:K2298="pp"</formula>
    </cfRule>
  </conditionalFormatting>
  <conditionalFormatting sqref="G1301:I1302 O1318:O1329">
    <cfRule type="expression" priority="3178" aboveAverage="0" equalAverage="0" bottom="0" percent="0" rank="0" text="" dxfId="3188">
      <formula>$F1301:K2287="pp"</formula>
    </cfRule>
  </conditionalFormatting>
  <conditionalFormatting sqref="G1318:I1319">
    <cfRule type="expression" priority="3179" aboveAverage="0" equalAverage="0" bottom="0" percent="0" rank="0" text="" dxfId="3189">
      <formula>$F1318:K2289="pp"</formula>
    </cfRule>
  </conditionalFormatting>
  <conditionalFormatting sqref="G1335:I1339">
    <cfRule type="expression" priority="3180" aboveAverage="0" equalAverage="0" bottom="0" percent="0" rank="0" text="" dxfId="3190">
      <formula>$F1335:K2270="pp"</formula>
    </cfRule>
  </conditionalFormatting>
  <conditionalFormatting sqref="G1517:I1518 O1537:O1538">
    <cfRule type="expression" priority="3181" aboveAverage="0" equalAverage="0" bottom="0" percent="0" rank="0" text="" dxfId="3191">
      <formula>$F1517:K2306="pp"</formula>
    </cfRule>
  </conditionalFormatting>
  <conditionalFormatting sqref="G1597:I1601">
    <cfRule type="expression" priority="3182" aboveAverage="0" equalAverage="0" bottom="0" percent="0" rank="0" text="" dxfId="3192">
      <formula>$F1597:K2308="pp"</formula>
    </cfRule>
  </conditionalFormatting>
  <conditionalFormatting sqref="G1689:I1690">
    <cfRule type="expression" priority="3183" aboveAverage="0" equalAverage="0" bottom="0" percent="0" rank="0" text="" dxfId="3193">
      <formula>$F1689:K2311="pp"</formula>
    </cfRule>
  </conditionalFormatting>
  <conditionalFormatting sqref="G1866:I1868 G1873:I1879 E1880:E1881">
    <cfRule type="expression" priority="3184" aboveAverage="0" equalAverage="0" bottom="0" percent="0" rank="0" text="" dxfId="3194">
      <formula>$F1866:I2325="pp"</formula>
    </cfRule>
  </conditionalFormatting>
  <conditionalFormatting sqref="G1885:I1886">
    <cfRule type="expression" priority="3185" aboveAverage="0" equalAverage="0" bottom="0" percent="0" rank="0" text="" dxfId="3195">
      <formula>$F1885:K2309="pp"</formula>
    </cfRule>
  </conditionalFormatting>
  <conditionalFormatting sqref="G1981:I1981">
    <cfRule type="expression" priority="3186" aboveAverage="0" equalAverage="0" bottom="0" percent="0" rank="0" text="" dxfId="3196">
      <formula>$F1981:K2327="pp"</formula>
    </cfRule>
  </conditionalFormatting>
  <conditionalFormatting sqref="J155:J156 A155:D156 L155:L156">
    <cfRule type="expression" priority="3187" aboveAverage="0" equalAverage="0" bottom="0" percent="0" rank="0" text="" dxfId="3197">
      <formula>$F155:F2280="pp"</formula>
    </cfRule>
  </conditionalFormatting>
  <conditionalFormatting sqref="J182:J185 A182:D185 L182:L185">
    <cfRule type="expression" priority="3188" aboveAverage="0" equalAverage="0" bottom="0" percent="0" rank="0" text="" dxfId="3198">
      <formula>$F182:F2287="pp"</formula>
    </cfRule>
  </conditionalFormatting>
  <conditionalFormatting sqref="J559:J564 C589:D593 B559:B564 L559:L564">
    <cfRule type="expression" priority="3189" aboveAverage="0" equalAverage="0" bottom="0" percent="0" rank="0" text="" dxfId="3199">
      <formula>$F559:G2284="pp"</formula>
    </cfRule>
  </conditionalFormatting>
  <conditionalFormatting sqref="J621:J622 L621:L622 B621:B622">
    <cfRule type="expression" priority="3190" aboveAverage="0" equalAverage="0" bottom="0" percent="0" rank="0" text="" dxfId="3200">
      <formula>$F621:G2282="pp"</formula>
    </cfRule>
  </conditionalFormatting>
  <conditionalFormatting sqref="J813:J814 B813:B814 L813:L814">
    <cfRule type="expression" priority="3191" aboveAverage="0" equalAverage="0" bottom="0" percent="0" rank="0" text="" dxfId="3201">
      <formula>$F813:G2275="pp"</formula>
    </cfRule>
  </conditionalFormatting>
  <conditionalFormatting sqref="J1010:J1019 L1010:L1019 B1010:B1019">
    <cfRule type="expression" priority="3192" aboveAverage="0" equalAverage="0" bottom="0" percent="0" rank="0" text="" dxfId="3202">
      <formula>$F1010:G2279="pp"</formula>
    </cfRule>
  </conditionalFormatting>
  <conditionalFormatting sqref="J1057:J1059 B1057:B1059 L1057:L1059">
    <cfRule type="expression" priority="3193" aboveAverage="0" equalAverage="0" bottom="0" percent="0" rank="0" text="" dxfId="3203">
      <formula>$F1057:G2271="pp"</formula>
    </cfRule>
  </conditionalFormatting>
  <conditionalFormatting sqref="J1285:J1286 B1285:B1286 L1285:L1286">
    <cfRule type="expression" priority="3194" aboveAverage="0" equalAverage="0" bottom="0" percent="0" rank="0" text="" dxfId="3204">
      <formula>$F1285:G2288="pp"</formula>
    </cfRule>
  </conditionalFormatting>
  <conditionalFormatting sqref="J1412:J1413 L1412:L1413 A1442:A1448 B1412:B1413">
    <cfRule type="expression" priority="3195" aboveAverage="0" equalAverage="0" bottom="0" percent="0" rank="0" text="" dxfId="3205">
      <formula>$F1412:F2289="pp"</formula>
    </cfRule>
  </conditionalFormatting>
  <conditionalFormatting sqref="J1466:J1467 L1466:L1467 B1466:B1467">
    <cfRule type="expression" priority="3196" aboveAverage="0" equalAverage="0" bottom="0" percent="0" rank="0" text="" dxfId="3206">
      <formula>$F1466:G2300="pp"</formula>
    </cfRule>
  </conditionalFormatting>
  <conditionalFormatting sqref="K182:K185 M182:N185">
    <cfRule type="expression" priority="3197" aboveAverage="0" equalAverage="0" bottom="0" percent="0" rank="0" text="" dxfId="3207">
      <formula>$F182:P2299="pp"</formula>
    </cfRule>
  </conditionalFormatting>
  <conditionalFormatting sqref="K324:K326 M324:N326">
    <cfRule type="expression" priority="3198" aboveAverage="0" equalAverage="0" bottom="0" percent="0" rank="0" text="" dxfId="3208">
      <formula>$F324:P2298="pp"</formula>
    </cfRule>
  </conditionalFormatting>
  <conditionalFormatting sqref="K396:K400 M396:N400 M155:N156">
    <cfRule type="expression" priority="3199" aboveAverage="0" equalAverage="0" bottom="0" percent="0" rank="0" text="" dxfId="3209">
      <formula>$F155:P2292="pp"</formula>
    </cfRule>
  </conditionalFormatting>
  <conditionalFormatting sqref="K421:K422 M421:N422">
    <cfRule type="expression" priority="3200" aboveAverage="0" equalAverage="0" bottom="0" percent="0" rank="0" text="" dxfId="3210">
      <formula>$F421:P2304="pp"</formula>
    </cfRule>
  </conditionalFormatting>
  <conditionalFormatting sqref="K471:K475 M471:N475">
    <cfRule type="expression" priority="3201" aboveAverage="0" equalAverage="0" bottom="0" percent="0" rank="0" text="" dxfId="3211">
      <formula>$F471:P2304="pp"</formula>
    </cfRule>
  </conditionalFormatting>
  <conditionalFormatting sqref="K489:K490 M489:N490">
    <cfRule type="expression" priority="3202" aboveAverage="0" equalAverage="0" bottom="0" percent="0" rank="0" text="" dxfId="3212">
      <formula>$F489:P2308="pp"</formula>
    </cfRule>
  </conditionalFormatting>
  <conditionalFormatting sqref="K524:K526 M524:N526">
    <cfRule type="expression" priority="3203" aboveAverage="0" equalAverage="0" bottom="0" percent="0" rank="0" text="" dxfId="3213">
      <formula>$F524:P2309="pp"</formula>
    </cfRule>
  </conditionalFormatting>
  <conditionalFormatting sqref="K570:K571 M570:N571">
    <cfRule type="expression" priority="3204" aboveAverage="0" equalAverage="0" bottom="0" percent="0" rank="0" text="" dxfId="3214">
      <formula>$F570:P2322="pp"</formula>
    </cfRule>
  </conditionalFormatting>
  <conditionalFormatting sqref="K615:K616 M615:N616">
    <cfRule type="expression" priority="3205" aboveAverage="0" equalAverage="0" bottom="0" percent="0" rank="0" text="" dxfId="3215">
      <formula>$F615:P2314="pp"</formula>
    </cfRule>
  </conditionalFormatting>
  <conditionalFormatting sqref="K634:K641 C629:D630 M634:N641">
    <cfRule type="expression" priority="3206" aboveAverage="0" equalAverage="0" bottom="0" percent="0" rank="0" text="" dxfId="3216">
      <formula>$F629:H2301="pp"</formula>
    </cfRule>
  </conditionalFormatting>
  <conditionalFormatting sqref="K660:K662 M660:N662">
    <cfRule type="expression" priority="3207" aboveAverage="0" equalAverage="0" bottom="0" percent="0" rank="0" text="" dxfId="3217">
      <formula>$F660:P2308="pp"</formula>
    </cfRule>
  </conditionalFormatting>
  <conditionalFormatting sqref="K813:K814 M813:N814">
    <cfRule type="expression" priority="3208" aboveAverage="0" equalAverage="0" bottom="0" percent="0" rank="0" text="" dxfId="3218">
      <formula>$F813:P2312="pp"</formula>
    </cfRule>
  </conditionalFormatting>
  <conditionalFormatting sqref="K932:K937 M932:N937">
    <cfRule type="expression" priority="3209" aboveAverage="0" equalAverage="0" bottom="0" percent="0" rank="0" text="" dxfId="3219">
      <formula>$F932:P2318="pp"</formula>
    </cfRule>
  </conditionalFormatting>
  <conditionalFormatting sqref="K965:K971 M965:N971">
    <cfRule type="expression" priority="3210" aboveAverage="0" equalAverage="0" bottom="0" percent="0" rank="0" text="" dxfId="3220">
      <formula>$F965:P2322="pp"</formula>
    </cfRule>
  </conditionalFormatting>
  <conditionalFormatting sqref="K1031:K1032 M1031:N1032">
    <cfRule type="expression" priority="3211" aboveAverage="0" equalAverage="0" bottom="0" percent="0" rank="0" text="" dxfId="3221">
      <formula>$F1031:P2327="pp"</formula>
    </cfRule>
  </conditionalFormatting>
  <conditionalFormatting sqref="K1126:K1129 M1126:N1129">
    <cfRule type="expression" priority="3212" aboveAverage="0" equalAverage="0" bottom="0" percent="0" rank="0" text="" dxfId="3222">
      <formula>$F1126:P2313="pp"</formula>
    </cfRule>
  </conditionalFormatting>
  <conditionalFormatting sqref="K1146:K1150 M1146:N1150">
    <cfRule type="expression" priority="3213" aboveAverage="0" equalAverage="0" bottom="0" percent="0" rank="0" text="" dxfId="3223">
      <formula>$F1146:P2318="pp"</formula>
    </cfRule>
  </conditionalFormatting>
  <conditionalFormatting sqref="K1191:K1197 M1190:N1197 K1186:K1187 M1186:N1187">
    <cfRule type="expression" priority="3214" aboveAverage="0" equalAverage="0" bottom="0" percent="0" rank="0" text="" dxfId="3224">
      <formula>$F1186:P2335="pp"</formula>
    </cfRule>
  </conditionalFormatting>
  <conditionalFormatting sqref="K1297:K1300 M1297:N1300">
    <cfRule type="expression" priority="3215" aboveAverage="0" equalAverage="0" bottom="0" percent="0" rank="0" text="" dxfId="3225">
      <formula>$F1297:P2321="pp"</formula>
    </cfRule>
  </conditionalFormatting>
  <conditionalFormatting sqref="K1318:K1329 M1318:N1329">
    <cfRule type="expression" priority="3216" aboveAverage="0" equalAverage="0" bottom="0" percent="0" rank="0" text="" dxfId="3226">
      <formula>$F1318:P2326="pp"</formula>
    </cfRule>
  </conditionalFormatting>
  <conditionalFormatting sqref="K1371:K1374 M1371:N1374">
    <cfRule type="expression" priority="3217" aboveAverage="0" equalAverage="0" bottom="0" percent="0" rank="0" text="" dxfId="3227">
      <formula>$F1371:P2316="pp"</formula>
    </cfRule>
  </conditionalFormatting>
  <conditionalFormatting sqref="K1501:K1502 M1501:N1502 K1497:K1498 M1497:N1498">
    <cfRule type="expression" priority="3218" aboveAverage="0" equalAverage="0" bottom="0" percent="0" rank="0" text="" dxfId="3228">
      <formula>$F1497:P2339="pp"</formula>
    </cfRule>
  </conditionalFormatting>
  <conditionalFormatting sqref="K1578:K1590 M1578:N1590">
    <cfRule type="expression" priority="3219" aboveAverage="0" equalAverage="0" bottom="0" percent="0" rank="0" text="" dxfId="3229">
      <formula>$F1578:P2342="pp"</formula>
    </cfRule>
  </conditionalFormatting>
  <conditionalFormatting sqref="K1822:K1828 M1822:N1828 K1815:K1816 M1815:N1816">
    <cfRule type="expression" priority="3220" aboveAverage="0" equalAverage="0" bottom="0" percent="0" rank="0" text="" dxfId="3230">
      <formula>$F1815:P2345="pp"</formula>
    </cfRule>
  </conditionalFormatting>
  <conditionalFormatting sqref="K1873:K1879 M1873:N1879 K1866:K1868 M1866:N1868">
    <cfRule type="expression" priority="3221" aboveAverage="0" equalAverage="0" bottom="0" percent="0" rank="0" text="" dxfId="3231">
      <formula>$F1866:P2362="pp"</formula>
    </cfRule>
  </conditionalFormatting>
  <conditionalFormatting sqref="K1988:K1991 M1988:N1991">
    <cfRule type="expression" priority="3222" aboveAverage="0" equalAverage="0" bottom="0" percent="0" rank="0" text="" dxfId="3232">
      <formula>$F1988:P2345="pp"</formula>
    </cfRule>
  </conditionalFormatting>
  <conditionalFormatting sqref="O570:O571">
    <cfRule type="expression" priority="3223" aboveAverage="0" equalAverage="0" bottom="0" percent="0" rank="0" text="" dxfId="3233">
      <formula>$F570:S2300="pp"</formula>
    </cfRule>
  </conditionalFormatting>
  <conditionalFormatting sqref="O865:O871 E862:E864">
    <cfRule type="expression" priority="3224" aboveAverage="0" equalAverage="0" bottom="0" percent="0" rank="0" text="" dxfId="3234">
      <formula>$F862:I2299="pp"</formula>
    </cfRule>
  </conditionalFormatting>
  <conditionalFormatting sqref="O887:O896">
    <cfRule type="expression" priority="3225" aboveAverage="0" equalAverage="0" bottom="0" percent="0" rank="0" text="" dxfId="3235">
      <formula>$F887:S2300="pp"</formula>
    </cfRule>
  </conditionalFormatting>
  <conditionalFormatting sqref="O922:O924 E872:E873">
    <cfRule type="expression" priority="3226" aboveAverage="0" equalAverage="0" bottom="0" percent="0" rank="0" text="" dxfId="3236">
      <formula>$F872:I2297="pp"</formula>
    </cfRule>
  </conditionalFormatting>
  <conditionalFormatting sqref="O1004:O1006">
    <cfRule type="expression" priority="3227" aboveAverage="0" equalAverage="0" bottom="0" percent="0" rank="0" text="" dxfId="3237">
      <formula>$F1004:S2296="pp"</formula>
    </cfRule>
  </conditionalFormatting>
  <conditionalFormatting sqref="O1033:O1043 G1010:I1019">
    <cfRule type="expression" priority="3228" aboveAverage="0" equalAverage="0" bottom="0" percent="0" rank="0" text="" dxfId="3238">
      <formula>$F1010:K2279="pp"</formula>
    </cfRule>
  </conditionalFormatting>
  <conditionalFormatting sqref="O1052:O1054">
    <cfRule type="expression" priority="3229" aboveAverage="0" equalAverage="0" bottom="0" percent="0" rank="0" text="" dxfId="3239">
      <formula>$F1052:S2293="pp"</formula>
    </cfRule>
  </conditionalFormatting>
  <conditionalFormatting sqref="O1116:O1118">
    <cfRule type="expression" priority="3230" aboveAverage="0" equalAverage="0" bottom="0" percent="0" rank="0" text="" dxfId="3240">
      <formula>$F1116:S2288="pp"</formula>
    </cfRule>
  </conditionalFormatting>
  <conditionalFormatting sqref="O1126:O1129">
    <cfRule type="expression" priority="3231" aboveAverage="0" equalAverage="0" bottom="0" percent="0" rank="0" text="" dxfId="3241">
      <formula>$F1126:S2291="pp"</formula>
    </cfRule>
  </conditionalFormatting>
  <conditionalFormatting sqref="O1209:O1219">
    <cfRule type="expression" priority="3232" aboveAverage="0" equalAverage="0" bottom="0" percent="0" rank="0" text="" dxfId="3242">
      <formula>$F1209:S2306="pp"</formula>
    </cfRule>
  </conditionalFormatting>
  <conditionalFormatting sqref="O1220:O1226">
    <cfRule type="expression" priority="3233" aboveAverage="0" equalAverage="0" bottom="0" percent="0" rank="0" text="" dxfId="3243">
      <formula>$F1220:S2311="pp"</formula>
    </cfRule>
  </conditionalFormatting>
  <conditionalFormatting sqref="O1267:O1269">
    <cfRule type="expression" priority="3234" aboveAverage="0" equalAverage="0" bottom="0" percent="0" rank="0" text="" dxfId="3244">
      <formula>$F1267:S2307="pp"</formula>
    </cfRule>
  </conditionalFormatting>
  <conditionalFormatting sqref="O1280:O1283 E1285:E1286">
    <cfRule type="expression" priority="3235" aboveAverage="0" equalAverage="0" bottom="0" percent="0" rank="0" text="" dxfId="3245">
      <formula>$F1280:I2299="pp"</formula>
    </cfRule>
  </conditionalFormatting>
  <conditionalFormatting sqref="O1291:O1292">
    <cfRule type="expression" priority="3236" aboveAverage="0" equalAverage="0" bottom="0" percent="0" rank="0" text="" dxfId="3246">
      <formula>$F1291:S2302="pp"</formula>
    </cfRule>
  </conditionalFormatting>
  <conditionalFormatting sqref="O1401:O1407">
    <cfRule type="expression" priority="3237" aboveAverage="0" equalAverage="0" bottom="0" percent="0" rank="0" text="" dxfId="3247">
      <formula>$F1401:S2300="pp"</formula>
    </cfRule>
  </conditionalFormatting>
  <conditionalFormatting sqref="O1442:O1448 G1412:I1413">
    <cfRule type="expression" priority="3238" aboveAverage="0" equalAverage="0" bottom="0" percent="0" rank="0" text="" dxfId="3248">
      <formula>$F1412:K2289="pp"</formula>
    </cfRule>
  </conditionalFormatting>
  <conditionalFormatting sqref="O1591:O1595">
    <cfRule type="expression" priority="3239" aboveAverage="0" equalAverage="0" bottom="0" percent="0" rank="0" text="" dxfId="3249">
      <formula>$F1591:S2320="pp"</formula>
    </cfRule>
  </conditionalFormatting>
  <conditionalFormatting sqref="O1710:O1715 E1705:E1706">
    <cfRule type="expression" priority="3240" aboveAverage="0" equalAverage="0" bottom="0" percent="0" rank="0" text="" dxfId="3250">
      <formula>$F1705:I2320="pp"</formula>
    </cfRule>
  </conditionalFormatting>
  <conditionalFormatting sqref="O1780:O1782">
    <cfRule type="expression" priority="3241" aboveAverage="0" equalAverage="0" bottom="0" percent="0" rank="0" text="" dxfId="3251">
      <formula>$F1780:S2320="pp"</formula>
    </cfRule>
  </conditionalFormatting>
  <conditionalFormatting sqref="O1830:O1834">
    <cfRule type="expression" priority="3242" aboveAverage="0" equalAverage="0" bottom="0" percent="0" rank="0" text="" dxfId="3252">
      <formula>$F1830:S2336="pp"</formula>
    </cfRule>
  </conditionalFormatting>
  <conditionalFormatting sqref="O1835:O1836">
    <cfRule type="expression" priority="3243" aboveAverage="0" equalAverage="0" bottom="0" percent="0" rank="0" text="" dxfId="3253">
      <formula>$F1835:S2335="pp"</formula>
    </cfRule>
  </conditionalFormatting>
  <conditionalFormatting sqref="O1933:O1944">
    <cfRule type="expression" priority="3244" aboveAverage="0" equalAverage="0" bottom="0" percent="0" rank="0" text="" dxfId="3254">
      <formula>$F1933:S2327="pp"</formula>
    </cfRule>
  </conditionalFormatting>
  <conditionalFormatting sqref="P149">
    <cfRule type="expression" priority="3245" aboveAverage="0" equalAverage="0" bottom="0" percent="0" rank="0" text="" dxfId="3255">
      <formula>$F149:T2279="pp"</formula>
    </cfRule>
    <cfRule type="expression" priority="3246" aboveAverage="0" equalAverage="0" bottom="0" percent="0" rank="0" text="" dxfId="3256">
      <formula>$F149:T2996="pp"</formula>
    </cfRule>
  </conditionalFormatting>
  <conditionalFormatting sqref="P269">
    <cfRule type="expression" priority="3247" aboveAverage="0" equalAverage="0" bottom="0" percent="0" rank="0" text="" dxfId="3257">
      <formula>$F269:T3018="pp"</formula>
    </cfRule>
    <cfRule type="expression" priority="3248" aboveAverage="0" equalAverage="0" bottom="0" percent="0" rank="0" text="" dxfId="3258">
      <formula>$F269:T2301="pp"</formula>
    </cfRule>
  </conditionalFormatting>
  <conditionalFormatting sqref="P275">
    <cfRule type="expression" priority="3249" aboveAverage="0" equalAverage="0" bottom="0" percent="0" rank="0" text="" dxfId="3259">
      <formula>$F275:T3017="pp"</formula>
    </cfRule>
    <cfRule type="expression" priority="3250" aboveAverage="0" equalAverage="0" bottom="0" percent="0" rank="0" text="" dxfId="3260">
      <formula>$F275:T2300="pp"</formula>
    </cfRule>
  </conditionalFormatting>
  <conditionalFormatting sqref="P306">
    <cfRule type="expression" priority="3251" aboveAverage="0" equalAverage="0" bottom="0" percent="0" rank="0" text="" dxfId="3261">
      <formula>$F306:T3016="pp"</formula>
    </cfRule>
    <cfRule type="expression" priority="3252" aboveAverage="0" equalAverage="0" bottom="0" percent="0" rank="0" text="" dxfId="3262">
      <formula>$F306:T2299="pp"</formula>
    </cfRule>
  </conditionalFormatting>
  <conditionalFormatting sqref="P322:P323">
    <cfRule type="expression" priority="3253" aboveAverage="0" equalAverage="0" bottom="0" percent="0" rank="0" text="" dxfId="3263">
      <formula>$F322:T3009="pp"</formula>
    </cfRule>
    <cfRule type="expression" priority="3254" aboveAverage="0" equalAverage="0" bottom="0" percent="0" rank="0" text="" dxfId="3264">
      <formula>$F322:T2292="pp"</formula>
    </cfRule>
  </conditionalFormatting>
  <conditionalFormatting sqref="P324:P326">
    <cfRule type="expression" priority="3255" aboveAverage="0" equalAverage="0" bottom="0" percent="0" rank="0" text="" dxfId="3265">
      <formula>$F324:T3006="pp"</formula>
    </cfRule>
    <cfRule type="expression" priority="3256" aboveAverage="0" equalAverage="0" bottom="0" percent="0" rank="0" text="" dxfId="3266">
      <formula>$F324:T2289="pp"</formula>
    </cfRule>
  </conditionalFormatting>
  <conditionalFormatting sqref="P329">
    <cfRule type="expression" priority="3257" aboveAverage="0" equalAverage="0" bottom="0" percent="0" rank="0" text="" dxfId="3267">
      <formula>$F329:T3006="pp"</formula>
    </cfRule>
    <cfRule type="expression" priority="3258" aboveAverage="0" equalAverage="0" bottom="0" percent="0" rank="0" text="" dxfId="3268">
      <formula>$F329:T2289="pp"</formula>
    </cfRule>
  </conditionalFormatting>
  <conditionalFormatting sqref="P421:P422">
    <cfRule type="expression" priority="3259" aboveAverage="0" equalAverage="0" bottom="0" percent="0" rank="0" text="" dxfId="3269">
      <formula>$F421:T3012="pp"</formula>
    </cfRule>
    <cfRule type="expression" priority="3260" aboveAverage="0" equalAverage="0" bottom="0" percent="0" rank="0" text="" dxfId="3270">
      <formula>$F421:T2295="pp"</formula>
    </cfRule>
  </conditionalFormatting>
  <conditionalFormatting sqref="P462 P464:P466">
    <cfRule type="expression" priority="3261" aboveAverage="0" equalAverage="0" bottom="0" percent="0" rank="0" text="" dxfId="3271">
      <formula>$F462:T3012="pp"</formula>
    </cfRule>
    <cfRule type="expression" priority="3262" aboveAverage="0" equalAverage="0" bottom="0" percent="0" rank="0" text="" dxfId="3272">
      <formula>$F462:T2295="pp"</formula>
    </cfRule>
  </conditionalFormatting>
  <conditionalFormatting sqref="P491:P493">
    <cfRule type="expression" priority="3263" aboveAverage="0" equalAverage="0" bottom="0" percent="0" rank="0" text="" dxfId="3273">
      <formula>$F491:T3017="pp"</formula>
    </cfRule>
    <cfRule type="expression" priority="3264" aboveAverage="0" equalAverage="0" bottom="0" percent="0" rank="0" text="" dxfId="3274">
      <formula>$F491:T2300="pp"</formula>
    </cfRule>
  </conditionalFormatting>
  <conditionalFormatting sqref="P510:P511">
    <cfRule type="expression" priority="3265" aboveAverage="0" equalAverage="0" bottom="0" percent="0" rank="0" text="" dxfId="3275">
      <formula>$F510:T3018="pp"</formula>
    </cfRule>
    <cfRule type="expression" priority="3266" aboveAverage="0" equalAverage="0" bottom="0" percent="0" rank="0" text="" dxfId="3276">
      <formula>$F510:T2301="pp"</formula>
    </cfRule>
  </conditionalFormatting>
  <conditionalFormatting sqref="P524:P526">
    <cfRule type="expression" priority="3267" aboveAverage="0" equalAverage="0" bottom="0" percent="0" rank="0" text="" dxfId="3277">
      <formula>$F524:T3017="pp"</formula>
    </cfRule>
    <cfRule type="expression" priority="3268" aboveAverage="0" equalAverage="0" bottom="0" percent="0" rank="0" text="" dxfId="3278">
      <formula>$F524:T2300="pp"</formula>
    </cfRule>
  </conditionalFormatting>
  <conditionalFormatting sqref="P570:P573">
    <cfRule type="expression" priority="3269" aboveAverage="0" equalAverage="0" bottom="0" percent="0" rank="0" text="" dxfId="3279">
      <formula>$F570:T3030="pp"</formula>
    </cfRule>
    <cfRule type="expression" priority="3270" aboveAverage="0" equalAverage="0" bottom="0" percent="0" rank="0" text="" dxfId="3280">
      <formula>$F570:T2313="pp"</formula>
    </cfRule>
  </conditionalFormatting>
  <conditionalFormatting sqref="P574">
    <cfRule type="expression" priority="3271" aboveAverage="0" equalAverage="0" bottom="0" percent="0" rank="0" text="" dxfId="3281">
      <formula>$F574:T3030="pp"</formula>
    </cfRule>
    <cfRule type="expression" priority="3272" aboveAverage="0" equalAverage="0" bottom="0" percent="0" rank="0" text="" dxfId="3282">
      <formula>$F574:T2313="pp"</formula>
    </cfRule>
  </conditionalFormatting>
  <conditionalFormatting sqref="P589:P593">
    <cfRule type="expression" priority="3273" aboveAverage="0" equalAverage="0" bottom="0" percent="0" rank="0" text="" dxfId="3283">
      <formula>$F589:T3025="pp"</formula>
    </cfRule>
    <cfRule type="expression" priority="3274" aboveAverage="0" equalAverage="0" bottom="0" percent="0" rank="0" text="" dxfId="3284">
      <formula>$F589:T2308="pp"</formula>
    </cfRule>
  </conditionalFormatting>
  <conditionalFormatting sqref="P615:P616">
    <cfRule type="expression" priority="3275" aboveAverage="0" equalAverage="0" bottom="0" percent="0" rank="0" text="" dxfId="3285">
      <formula>$F615:T3022="pp"</formula>
    </cfRule>
    <cfRule type="expression" priority="3276" aboveAverage="0" equalAverage="0" bottom="0" percent="0" rank="0" text="" dxfId="3286">
      <formula>$F615:T2305="pp"</formula>
    </cfRule>
  </conditionalFormatting>
  <conditionalFormatting sqref="P626 P631:P633">
    <cfRule type="expression" priority="3277" aboveAverage="0" equalAverage="0" bottom="0" percent="0" rank="0" text="" dxfId="3287">
      <formula>$F626:T3017="pp"</formula>
    </cfRule>
    <cfRule type="expression" priority="3278" aboveAverage="0" equalAverage="0" bottom="0" percent="0" rank="0" text="" dxfId="3288">
      <formula>$F626:T2300="pp"</formula>
    </cfRule>
  </conditionalFormatting>
  <conditionalFormatting sqref="P660:P662">
    <cfRule type="expression" priority="3279" aboveAverage="0" equalAverage="0" bottom="0" percent="0" rank="0" text="" dxfId="3289">
      <formula>$F660:T3016="pp"</formula>
    </cfRule>
    <cfRule type="expression" priority="3280" aboveAverage="0" equalAverage="0" bottom="0" percent="0" rank="0" text="" dxfId="3290">
      <formula>$F660:T2299="pp"</formula>
    </cfRule>
  </conditionalFormatting>
  <conditionalFormatting sqref="P672:P675">
    <cfRule type="expression" priority="3281" aboveAverage="0" equalAverage="0" bottom="0" percent="0" rank="0" text="" dxfId="3291">
      <formula>$F672:T3017="pp"</formula>
    </cfRule>
    <cfRule type="expression" priority="3282" aboveAverage="0" equalAverage="0" bottom="0" percent="0" rank="0" text="" dxfId="3292">
      <formula>$F672:T2300="pp"</formula>
    </cfRule>
  </conditionalFormatting>
  <conditionalFormatting sqref="P728:P730">
    <cfRule type="expression" priority="3283" aboveAverage="0" equalAverage="0" bottom="0" percent="0" rank="0" text="" dxfId="3293">
      <formula>$F728:T3020="pp"</formula>
    </cfRule>
    <cfRule type="expression" priority="3284" aboveAverage="0" equalAverage="0" bottom="0" percent="0" rank="0" text="" dxfId="3294">
      <formula>$F728:T2303="pp"</formula>
    </cfRule>
  </conditionalFormatting>
  <conditionalFormatting sqref="P771:P776">
    <cfRule type="expression" priority="3285" aboveAverage="0" equalAverage="0" bottom="0" percent="0" rank="0" text="" dxfId="3295">
      <formula>$F771:T3020="pp"</formula>
    </cfRule>
    <cfRule type="expression" priority="3286" aboveAverage="0" equalAverage="0" bottom="0" percent="0" rank="0" text="" dxfId="3296">
      <formula>$F771:T2303="pp"</formula>
    </cfRule>
  </conditionalFormatting>
  <conditionalFormatting sqref="P783">
    <cfRule type="expression" priority="3287" aboveAverage="0" equalAverage="0" bottom="0" percent="0" rank="0" text="" dxfId="3297">
      <formula>$F783:T3023="pp"</formula>
    </cfRule>
    <cfRule type="expression" priority="3288" aboveAverage="0" equalAverage="0" bottom="0" percent="0" rank="0" text="" dxfId="3298">
      <formula>$F783:T2306="pp"</formula>
    </cfRule>
  </conditionalFormatting>
  <conditionalFormatting sqref="P813:P814">
    <cfRule type="expression" priority="3289" aboveAverage="0" equalAverage="0" bottom="0" percent="0" rank="0" text="" dxfId="3299">
      <formula>$F813:T3020="pp"</formula>
    </cfRule>
    <cfRule type="expression" priority="3290" aboveAverage="0" equalAverage="0" bottom="0" percent="0" rank="0" text="" dxfId="3300">
      <formula>$F813:T2303="pp"</formula>
    </cfRule>
  </conditionalFormatting>
  <conditionalFormatting sqref="P832:P833">
    <cfRule type="expression" priority="3291" aboveAverage="0" equalAverage="0" bottom="0" percent="0" rank="0" text="" dxfId="3301">
      <formula>$F832:T3030="pp"</formula>
    </cfRule>
    <cfRule type="expression" priority="3292" aboveAverage="0" equalAverage="0" bottom="0" percent="0" rank="0" text="" dxfId="3302">
      <formula>$F832:T2313="pp"</formula>
    </cfRule>
  </conditionalFormatting>
  <conditionalFormatting sqref="P862:P864">
    <cfRule type="expression" priority="3293" aboveAverage="0" equalAverage="0" bottom="0" percent="0" rank="0" text="" dxfId="3303">
      <formula>$F862:T3028="pp"</formula>
    </cfRule>
    <cfRule type="expression" priority="3294" aboveAverage="0" equalAverage="0" bottom="0" percent="0" rank="0" text="" dxfId="3304">
      <formula>$F862:T2311="pp"</formula>
    </cfRule>
  </conditionalFormatting>
  <conditionalFormatting sqref="P883:P886">
    <cfRule type="expression" priority="3295" aboveAverage="0" equalAverage="0" bottom="0" percent="0" rank="0" text="" dxfId="3305">
      <formula>$F883:T3036="pp"</formula>
    </cfRule>
    <cfRule type="expression" priority="3296" aboveAverage="0" equalAverage="0" bottom="0" percent="0" rank="0" text="" dxfId="3306">
      <formula>$F883:T2319="pp"</formula>
    </cfRule>
  </conditionalFormatting>
  <conditionalFormatting sqref="P932:P937">
    <cfRule type="expression" priority="3297" aboveAverage="0" equalAverage="0" bottom="0" percent="0" rank="0" text="" dxfId="3307">
      <formula>$F932:T3026="pp"</formula>
    </cfRule>
    <cfRule type="expression" priority="3298" aboveAverage="0" equalAverage="0" bottom="0" percent="0" rank="0" text="" dxfId="3308">
      <formula>$F932:T2309="pp"</formula>
    </cfRule>
  </conditionalFormatting>
  <conditionalFormatting sqref="P960:P964">
    <cfRule type="expression" priority="3299" aboveAverage="0" equalAverage="0" bottom="0" percent="0" rank="0" text="" dxfId="3309">
      <formula>$F960:T3024="pp"</formula>
    </cfRule>
    <cfRule type="expression" priority="3300" aboveAverage="0" equalAverage="0" bottom="0" percent="0" rank="0" text="" dxfId="3310">
      <formula>$F960:T2307="pp"</formula>
    </cfRule>
  </conditionalFormatting>
  <conditionalFormatting sqref="P978:P979">
    <cfRule type="expression" priority="3301" aboveAverage="0" equalAverage="0" bottom="0" percent="0" rank="0" text="" dxfId="3311">
      <formula>$F978:T3035="pp"</formula>
    </cfRule>
    <cfRule type="expression" priority="3302" aboveAverage="0" equalAverage="0" bottom="0" percent="0" rank="0" text="" dxfId="3312">
      <formula>$F978:T2318="pp"</formula>
    </cfRule>
  </conditionalFormatting>
  <conditionalFormatting sqref="P990:P1000">
    <cfRule type="expression" priority="3303" aboveAverage="0" equalAverage="0" bottom="0" percent="0" rank="0" text="" dxfId="3313">
      <formula>$F990:T3021="pp"</formula>
    </cfRule>
    <cfRule type="expression" priority="3304" aboveAverage="0" equalAverage="0" bottom="0" percent="0" rank="0" text="" dxfId="3314">
      <formula>$F990:T2304="pp"</formula>
    </cfRule>
  </conditionalFormatting>
  <conditionalFormatting sqref="P1010:P1019">
    <cfRule type="expression" priority="3305" aboveAverage="0" equalAverage="0" bottom="0" percent="0" rank="0" text="" dxfId="3315">
      <formula>$F1010:T3024="pp"</formula>
    </cfRule>
    <cfRule type="expression" priority="3306" aboveAverage="0" equalAverage="0" bottom="0" percent="0" rank="0" text="" dxfId="3316">
      <formula>$F1010:T2307="pp"</formula>
    </cfRule>
  </conditionalFormatting>
  <conditionalFormatting sqref="P1031:P1032">
    <cfRule type="expression" priority="3307" aboveAverage="0" equalAverage="0" bottom="0" percent="0" rank="0" text="" dxfId="3317">
      <formula>$F1031:T3035="pp"</formula>
    </cfRule>
  </conditionalFormatting>
  <conditionalFormatting sqref="P1045">
    <cfRule type="expression" priority="3308" aboveAverage="0" equalAverage="0" bottom="0" percent="0" rank="0" text="" dxfId="3318">
      <formula>$F1045:T3042="pp"</formula>
    </cfRule>
    <cfRule type="expression" priority="3309" aboveAverage="0" equalAverage="0" bottom="0" percent="0" rank="0" text="" dxfId="3319">
      <formula>$F1045:T2325="pp"</formula>
    </cfRule>
  </conditionalFormatting>
  <conditionalFormatting sqref="P1052:P1054">
    <cfRule type="expression" priority="3310" aboveAverage="0" equalAverage="0" bottom="0" percent="0" rank="0" text="" dxfId="3320">
      <formula>$F1052:T3023="pp"</formula>
    </cfRule>
    <cfRule type="expression" priority="3311" aboveAverage="0" equalAverage="0" bottom="0" percent="0" rank="0" text="" dxfId="3321">
      <formula>$F1052:T2306="pp"</formula>
    </cfRule>
  </conditionalFormatting>
  <conditionalFormatting sqref="P1143:P1145">
    <cfRule type="expression" priority="3312" aboveAverage="0" equalAverage="0" bottom="0" percent="0" rank="0" text="" dxfId="3322">
      <formula>$F1143:T3022="pp"</formula>
    </cfRule>
    <cfRule type="expression" priority="3313" aboveAverage="0" equalAverage="0" bottom="0" percent="0" rank="0" text="" dxfId="3323">
      <formula>$F1143:T2305="pp"</formula>
    </cfRule>
  </conditionalFormatting>
  <conditionalFormatting sqref="P1175">
    <cfRule type="expression" priority="3314" aboveAverage="0" equalAverage="0" bottom="0" percent="0" rank="0" text="" dxfId="3324">
      <formula>$F1175:T3040="pp"</formula>
    </cfRule>
    <cfRule type="expression" priority="3315" aboveAverage="0" equalAverage="0" bottom="0" percent="0" rank="0" text="" dxfId="3325">
      <formula>$F1175:T2323="pp"</formula>
    </cfRule>
  </conditionalFormatting>
  <conditionalFormatting sqref="P1186:P1187 P1190:P1197">
    <cfRule type="expression" priority="3316" aboveAverage="0" equalAverage="0" bottom="0" percent="0" rank="0" text="" dxfId="3326">
      <formula>$F1186:T3043="pp"</formula>
    </cfRule>
    <cfRule type="expression" priority="3317" aboveAverage="0" equalAverage="0" bottom="0" percent="0" rank="0" text="" dxfId="3327">
      <formula>$F1186:T2326="pp"</formula>
    </cfRule>
  </conditionalFormatting>
  <conditionalFormatting sqref="P1264:P1265">
    <cfRule type="expression" priority="3318" aboveAverage="0" equalAverage="0" bottom="0" percent="0" rank="0" text="" dxfId="3328">
      <formula>$F1264:T3047="pp"</formula>
    </cfRule>
    <cfRule type="expression" priority="3319" aboveAverage="0" equalAverage="0" bottom="0" percent="0" rank="0" text="" dxfId="3329">
      <formula>$F1264:T2330="pp"</formula>
    </cfRule>
  </conditionalFormatting>
  <conditionalFormatting sqref="P1276">
    <cfRule type="expression" priority="3320" aboveAverage="0" equalAverage="0" bottom="0" percent="0" rank="0" text="" dxfId="3330">
      <formula>$F1276:T3036="pp"</formula>
    </cfRule>
    <cfRule type="expression" priority="3321" aboveAverage="0" equalAverage="0" bottom="0" percent="0" rank="0" text="" dxfId="3331">
      <formula>$F1276:T2319="pp"</formula>
    </cfRule>
  </conditionalFormatting>
  <conditionalFormatting sqref="P1284:P1286">
    <cfRule type="expression" priority="3322" aboveAverage="0" equalAverage="0" bottom="0" percent="0" rank="0" text="" dxfId="3332">
      <formula>$F1284:T3032="pp"</formula>
    </cfRule>
    <cfRule type="expression" priority="3323" aboveAverage="0" equalAverage="0" bottom="0" percent="0" rank="0" text="" dxfId="3333">
      <formula>$F1284:T2315="pp"</formula>
    </cfRule>
  </conditionalFormatting>
  <conditionalFormatting sqref="P1291:P1292">
    <cfRule type="expression" priority="3324" aboveAverage="0" equalAverage="0" bottom="0" percent="0" rank="0" text="" dxfId="3334">
      <formula>$F1291:T3032="pp"</formula>
    </cfRule>
    <cfRule type="expression" priority="3325" aboveAverage="0" equalAverage="0" bottom="0" percent="0" rank="0" text="" dxfId="3335">
      <formula>$F1291:T2315="pp"</formula>
    </cfRule>
  </conditionalFormatting>
  <conditionalFormatting sqref="P1301:P1302">
    <cfRule type="expression" priority="3326" aboveAverage="0" equalAverage="0" bottom="0" percent="0" rank="0" text="" dxfId="3336">
      <formula>$F1301:T3032="pp"</formula>
    </cfRule>
    <cfRule type="expression" priority="3327" aboveAverage="0" equalAverage="0" bottom="0" percent="0" rank="0" text="" dxfId="3337">
      <formula>$F1301:T2315="pp"</formula>
    </cfRule>
  </conditionalFormatting>
  <conditionalFormatting sqref="P1318:P1329">
    <cfRule type="expression" priority="3328" aboveAverage="0" equalAverage="0" bottom="0" percent="0" rank="0" text="" dxfId="3338">
      <formula>$F1318:T3034="pp"</formula>
    </cfRule>
    <cfRule type="expression" priority="3329" aboveAverage="0" equalAverage="0" bottom="0" percent="0" rank="0" text="" dxfId="3339">
      <formula>$F1318:T2317="pp"</formula>
    </cfRule>
  </conditionalFormatting>
  <conditionalFormatting sqref="P1355:P1356">
    <cfRule type="expression" priority="3330" aboveAverage="0" equalAverage="0" bottom="0" percent="0" rank="0" text="" dxfId="3340">
      <formula>$F1355:T3021="pp"</formula>
    </cfRule>
    <cfRule type="expression" priority="3331" aboveAverage="0" equalAverage="0" bottom="0" percent="0" rank="0" text="" dxfId="3341">
      <formula>$F1355:T2304="pp"</formula>
    </cfRule>
  </conditionalFormatting>
  <conditionalFormatting sqref="P1371:P1374">
    <cfRule type="expression" priority="3332" aboveAverage="0" equalAverage="0" bottom="0" percent="0" rank="0" text="" dxfId="3342">
      <formula>$F1371:T3024="pp"</formula>
    </cfRule>
    <cfRule type="expression" priority="3333" aboveAverage="0" equalAverage="0" bottom="0" percent="0" rank="0" text="" dxfId="3343">
      <formula>$F1371:T2307="pp"</formula>
    </cfRule>
  </conditionalFormatting>
  <conditionalFormatting sqref="P1375:P1376">
    <cfRule type="expression" priority="3334" aboveAverage="0" equalAverage="0" bottom="0" percent="0" rank="0" text="" dxfId="3344">
      <formula>$F1375:T3021="pp"</formula>
    </cfRule>
    <cfRule type="expression" priority="3335" aboveAverage="0" equalAverage="0" bottom="0" percent="0" rank="0" text="" dxfId="3345">
      <formula>$F1375:T2304="pp"</formula>
    </cfRule>
  </conditionalFormatting>
  <conditionalFormatting sqref="P1412:P1413">
    <cfRule type="expression" priority="3336" aboveAverage="0" equalAverage="0" bottom="0" percent="0" rank="0" text="" dxfId="3346">
      <formula>$F1412:T3034="pp"</formula>
    </cfRule>
    <cfRule type="expression" priority="3337" aboveAverage="0" equalAverage="0" bottom="0" percent="0" rank="0" text="" dxfId="3347">
      <formula>$F1412:T2317="pp"</formula>
    </cfRule>
  </conditionalFormatting>
  <conditionalFormatting sqref="P1451:P1453">
    <cfRule type="expression" priority="3338" aboveAverage="0" equalAverage="0" bottom="0" percent="0" rank="0" text="" dxfId="3348">
      <formula>$F1451:T3051="pp"</formula>
    </cfRule>
    <cfRule type="expression" priority="3339" aboveAverage="0" equalAverage="0" bottom="0" percent="0" rank="0" text="" dxfId="3349">
      <formula>$F1451:T2334="pp"</formula>
    </cfRule>
  </conditionalFormatting>
  <conditionalFormatting sqref="P1466:P1467">
    <cfRule type="expression" priority="3340" aboveAverage="0" equalAverage="0" bottom="0" percent="0" rank="0" text="" dxfId="3350">
      <formula>$F1466:T3045="pp"</formula>
    </cfRule>
    <cfRule type="expression" priority="3341" aboveAverage="0" equalAverage="0" bottom="0" percent="0" rank="0" text="" dxfId="3351">
      <formula>$F1466:T2328="pp"</formula>
    </cfRule>
  </conditionalFormatting>
  <conditionalFormatting sqref="P1496">
    <cfRule type="expression" priority="3342" aboveAverage="0" equalAverage="0" bottom="0" percent="0" rank="0" text="" dxfId="3352">
      <formula>$F1496:T3052="pp"</formula>
    </cfRule>
    <cfRule type="expression" priority="3343" aboveAverage="0" equalAverage="0" bottom="0" percent="0" rank="0" text="" dxfId="3353">
      <formula>$F1496:T2335="pp"</formula>
    </cfRule>
  </conditionalFormatting>
  <conditionalFormatting sqref="P1501:P1502 P1497:P1498">
    <cfRule type="expression" priority="3344" aboveAverage="0" equalAverage="0" bottom="0" percent="0" rank="0" text="" dxfId="3354">
      <formula>$F1497:T3047="pp"</formula>
    </cfRule>
    <cfRule type="expression" priority="3345" aboveAverage="0" equalAverage="0" bottom="0" percent="0" rank="0" text="" dxfId="3355">
      <formula>$F1497:T2330="pp"</formula>
    </cfRule>
  </conditionalFormatting>
  <conditionalFormatting sqref="P1517:P1518">
    <cfRule type="expression" priority="3346" aboveAverage="0" equalAverage="0" bottom="0" percent="0" rank="0" text="" dxfId="3356">
      <formula>$F1517:T3051="pp"</formula>
    </cfRule>
    <cfRule type="expression" priority="3347" aboveAverage="0" equalAverage="0" bottom="0" percent="0" rank="0" text="" dxfId="3357">
      <formula>$F1517:T2334="pp"</formula>
    </cfRule>
  </conditionalFormatting>
  <conditionalFormatting sqref="P1521:P1534">
    <cfRule type="expression" priority="3348" aboveAverage="0" equalAverage="0" bottom="0" percent="0" rank="0" text="" dxfId="3358">
      <formula>$F1521:T3050="pp"</formula>
    </cfRule>
    <cfRule type="expression" priority="3349" aboveAverage="0" equalAverage="0" bottom="0" percent="0" rank="0" text="" dxfId="3359">
      <formula>$F1521:T2333="pp"</formula>
    </cfRule>
  </conditionalFormatting>
  <conditionalFormatting sqref="P1541 P1543:P1544 P1535:P1536">
    <cfRule type="expression" priority="3350" aboveAverage="0" equalAverage="0" bottom="0" percent="0" rank="0" text="" dxfId="3360">
      <formula>$F1535:T3055="pp"</formula>
    </cfRule>
    <cfRule type="expression" priority="3351" aboveAverage="0" equalAverage="0" bottom="0" percent="0" rank="0" text="" dxfId="3361">
      <formula>$F1535:T2338="pp"</formula>
    </cfRule>
  </conditionalFormatting>
  <conditionalFormatting sqref="P1647:P1653">
    <cfRule type="expression" priority="3352" aboveAverage="0" equalAverage="0" bottom="0" percent="0" rank="0" text="" dxfId="3362">
      <formula>$F1647:T3054="pp"</formula>
    </cfRule>
    <cfRule type="expression" priority="3353" aboveAverage="0" equalAverage="0" bottom="0" percent="0" rank="0" text="" dxfId="3363">
      <formula>$F1647:T2337="pp"</formula>
    </cfRule>
  </conditionalFormatting>
  <conditionalFormatting sqref="P1681">
    <cfRule type="expression" priority="3354" aboveAverage="0" equalAverage="0" bottom="0" percent="0" rank="0" text="" dxfId="3364">
      <formula>$F1681:T3045="pp"</formula>
    </cfRule>
    <cfRule type="expression" priority="3355" aboveAverage="0" equalAverage="0" bottom="0" percent="0" rank="0" text="" dxfId="3365">
      <formula>$F1681:T2328="pp"</formula>
    </cfRule>
  </conditionalFormatting>
  <conditionalFormatting sqref="P1696 P1700">
    <cfRule type="expression" priority="3356" aboveAverage="0" equalAverage="0" bottom="0" percent="0" rank="0" text="" dxfId="3366">
      <formula>$F1696:T3052="pp"</formula>
    </cfRule>
    <cfRule type="expression" priority="3357" aboveAverage="0" equalAverage="0" bottom="0" percent="0" rank="0" text="" dxfId="3367">
      <formula>$F1696:T2335="pp"</formula>
    </cfRule>
  </conditionalFormatting>
  <conditionalFormatting sqref="P1705:P1709">
    <cfRule type="expression" priority="3358" aboveAverage="0" equalAverage="0" bottom="0" percent="0" rank="0" text="" dxfId="3368">
      <formula>$F1705:T3055="pp"</formula>
    </cfRule>
    <cfRule type="expression" priority="3359" aboveAverage="0" equalAverage="0" bottom="0" percent="0" rank="0" text="" dxfId="3369">
      <formula>$F1705:T2338="pp"</formula>
    </cfRule>
  </conditionalFormatting>
  <conditionalFormatting sqref="P1768">
    <cfRule type="expression" priority="3360" aboveAverage="0" equalAverage="0" bottom="0" percent="0" rank="0" text="" dxfId="3370">
      <formula>$F1768:T3047="pp"</formula>
    </cfRule>
    <cfRule type="expression" priority="3361" aboveAverage="0" equalAverage="0" bottom="0" percent="0" rank="0" text="" dxfId="3371">
      <formula>$F1768:T2330="pp"</formula>
    </cfRule>
  </conditionalFormatting>
  <conditionalFormatting sqref="P1797">
    <cfRule type="expression" priority="3362" aboveAverage="0" equalAverage="0" bottom="0" percent="0" rank="0" text="" dxfId="3372">
      <formula>$F1797:T3050="pp"</formula>
    </cfRule>
    <cfRule type="expression" priority="3363" aboveAverage="0" equalAverage="0" bottom="0" percent="0" rank="0" text="" dxfId="3373">
      <formula>$F1797:T2333="pp"</formula>
    </cfRule>
  </conditionalFormatting>
  <conditionalFormatting sqref="P1866:P1868 P1873:P1879">
    <cfRule type="expression" priority="3364" aboveAverage="0" equalAverage="0" bottom="0" percent="0" rank="0" text="" dxfId="3374">
      <formula>$F1866:T3070="pp"</formula>
    </cfRule>
    <cfRule type="expression" priority="3365" aboveAverage="0" equalAverage="0" bottom="0" percent="0" rank="0" text="" dxfId="3375">
      <formula>$F1866:T2353="pp"</formula>
    </cfRule>
  </conditionalFormatting>
  <conditionalFormatting sqref="P1918">
    <cfRule type="expression" priority="3366" aboveAverage="0" equalAverage="0" bottom="0" percent="0" rank="0" text="" dxfId="3376">
      <formula>$F1918:T3064="pp"</formula>
    </cfRule>
    <cfRule type="expression" priority="3367" aboveAverage="0" equalAverage="0" bottom="0" percent="0" rank="0" text="" dxfId="3377">
      <formula>$F1918:T2347="pp"</formula>
    </cfRule>
  </conditionalFormatting>
  <conditionalFormatting sqref="P1933:P1944">
    <cfRule type="expression" priority="3368" aboveAverage="0" equalAverage="0" bottom="0" percent="0" rank="0" text="" dxfId="3378">
      <formula>$F1933:T3057="pp"</formula>
    </cfRule>
    <cfRule type="expression" priority="3369" aboveAverage="0" equalAverage="0" bottom="0" percent="0" rank="0" text="" dxfId="3379">
      <formula>$F1933:T2340="pp"</formula>
    </cfRule>
  </conditionalFormatting>
  <conditionalFormatting sqref="P1981">
    <cfRule type="expression" priority="3370" aboveAverage="0" equalAverage="0" bottom="0" percent="0" rank="0" text="" dxfId="3380">
      <formula>$F1981:T3072="pp"</formula>
    </cfRule>
    <cfRule type="expression" priority="3371" aboveAverage="0" equalAverage="0" bottom="0" percent="0" rank="0" text="" dxfId="3381">
      <formula>$F1981:T2355="pp"</formula>
    </cfRule>
  </conditionalFormatting>
  <conditionalFormatting sqref="Q155:Q156 Q396:Q400">
    <cfRule type="expression" priority="3372" aboveAverage="0" equalAverage="0" bottom="0" percent="0" rank="0" text="" dxfId="3382">
      <formula>$F155:T2283="pp"</formula>
    </cfRule>
  </conditionalFormatting>
  <conditionalFormatting sqref="Q322:Q323">
    <cfRule type="expression" priority="3373" aboveAverage="0" equalAverage="0" bottom="0" percent="0" rank="0" text="" dxfId="3383">
      <formula>$F322:T2292="pp"</formula>
    </cfRule>
  </conditionalFormatting>
  <conditionalFormatting sqref="Q324:Q326">
    <cfRule type="expression" priority="3374" aboveAverage="0" equalAverage="0" bottom="0" percent="0" rank="0" text="" dxfId="3384">
      <formula>$F324:T2289="pp"</formula>
    </cfRule>
  </conditionalFormatting>
  <conditionalFormatting sqref="Q421:Q422">
    <cfRule type="expression" priority="3375" aboveAverage="0" equalAverage="0" bottom="0" percent="0" rank="0" text="" dxfId="3385">
      <formula>$F421:T2295="pp"</formula>
    </cfRule>
  </conditionalFormatting>
  <conditionalFormatting sqref="Q491:Q493">
    <cfRule type="expression" priority="3376" aboveAverage="0" equalAverage="0" bottom="0" percent="0" rank="0" text="" dxfId="3386">
      <formula>$F491:T2300="pp"</formula>
    </cfRule>
  </conditionalFormatting>
  <conditionalFormatting sqref="Q510:Q511">
    <cfRule type="expression" priority="3377" aboveAverage="0" equalAverage="0" bottom="0" percent="0" rank="0" text="" dxfId="3387">
      <formula>$F510:T2301="pp"</formula>
    </cfRule>
  </conditionalFormatting>
  <conditionalFormatting sqref="Q524:Q526">
    <cfRule type="expression" priority="3378" aboveAverage="0" equalAverage="0" bottom="0" percent="0" rank="0" text="" dxfId="3388">
      <formula>$F524:T2300="pp"</formula>
    </cfRule>
  </conditionalFormatting>
  <conditionalFormatting sqref="Q570:Q573">
    <cfRule type="expression" priority="3379" aboveAverage="0" equalAverage="0" bottom="0" percent="0" rank="0" text="" dxfId="3389">
      <formula>$F570:T2313="pp"</formula>
    </cfRule>
  </conditionalFormatting>
  <conditionalFormatting sqref="Q589:Q593">
    <cfRule type="expression" priority="3380" aboveAverage="0" equalAverage="0" bottom="0" percent="0" rank="0" text="" dxfId="3390">
      <formula>$F589:T2308="pp"</formula>
    </cfRule>
  </conditionalFormatting>
  <conditionalFormatting sqref="Q615:Q616">
    <cfRule type="expression" priority="3381" aboveAverage="0" equalAverage="0" bottom="0" percent="0" rank="0" text="" dxfId="3391">
      <formula>$F615:T2305="pp"</formula>
    </cfRule>
  </conditionalFormatting>
  <conditionalFormatting sqref="Q660:Q662">
    <cfRule type="expression" priority="3382" aboveAverage="0" equalAverage="0" bottom="0" percent="0" rank="0" text="" dxfId="3392">
      <formula>$F660:T2299="pp"</formula>
    </cfRule>
  </conditionalFormatting>
  <conditionalFormatting sqref="Q672:Q675">
    <cfRule type="expression" priority="3383" aboveAverage="0" equalAverage="0" bottom="0" percent="0" rank="0" text="" dxfId="3393">
      <formula>$F672:T2300="pp"</formula>
    </cfRule>
  </conditionalFormatting>
  <conditionalFormatting sqref="Q728:Q730">
    <cfRule type="expression" priority="3384" aboveAverage="0" equalAverage="0" bottom="0" percent="0" rank="0" text="" dxfId="3394">
      <formula>$F728:T2303="pp"</formula>
    </cfRule>
  </conditionalFormatting>
  <conditionalFormatting sqref="Q771:Q776">
    <cfRule type="expression" priority="3385" aboveAverage="0" equalAverage="0" bottom="0" percent="0" rank="0" text="" dxfId="3395">
      <formula>$F771:T2303="pp"</formula>
    </cfRule>
  </conditionalFormatting>
  <conditionalFormatting sqref="Q813:Q814">
    <cfRule type="expression" priority="3386" aboveAverage="0" equalAverage="0" bottom="0" percent="0" rank="0" text="" dxfId="3396">
      <formula>$F813:T2303="pp"</formula>
    </cfRule>
  </conditionalFormatting>
  <conditionalFormatting sqref="Q832:Q833">
    <cfRule type="expression" priority="3387" aboveAverage="0" equalAverage="0" bottom="0" percent="0" rank="0" text="" dxfId="3397">
      <formula>$F832:T2313="pp"</formula>
    </cfRule>
  </conditionalFormatting>
  <conditionalFormatting sqref="Q862:Q864">
    <cfRule type="expression" priority="3388" aboveAverage="0" equalAverage="0" bottom="0" percent="0" rank="0" text="" dxfId="3398">
      <formula>$F862:T2311="pp"</formula>
    </cfRule>
  </conditionalFormatting>
  <conditionalFormatting sqref="Q872:Q873">
    <cfRule type="expression" priority="3389" aboveAverage="0" equalAverage="0" bottom="0" percent="0" rank="0" text="" dxfId="3399">
      <formula>$F872:T2309="pp"</formula>
    </cfRule>
  </conditionalFormatting>
  <conditionalFormatting sqref="Q909:Q912 Q916:Q918">
    <cfRule type="expression" priority="3390" aboveAverage="0" equalAverage="0" bottom="0" percent="0" rank="0" text="" dxfId="3400">
      <formula>$F909:T2310="pp"</formula>
    </cfRule>
  </conditionalFormatting>
  <conditionalFormatting sqref="Q932:Q937">
    <cfRule type="expression" priority="3391" aboveAverage="0" equalAverage="0" bottom="0" percent="0" rank="0" text="" dxfId="3401">
      <formula>$F932:T2309="pp"</formula>
    </cfRule>
  </conditionalFormatting>
  <conditionalFormatting sqref="Q960:Q964">
    <cfRule type="expression" priority="3392" aboveAverage="0" equalAverage="0" bottom="0" percent="0" rank="0" text="" dxfId="3402">
      <formula>$F960:T2307="pp"</formula>
    </cfRule>
  </conditionalFormatting>
  <conditionalFormatting sqref="Q978:Q979">
    <cfRule type="expression" priority="3393" aboveAverage="0" equalAverage="0" bottom="0" percent="0" rank="0" text="" dxfId="3403">
      <formula>$F978:T2318="pp"</formula>
    </cfRule>
  </conditionalFormatting>
  <conditionalFormatting sqref="Q990:Q1000">
    <cfRule type="expression" priority="3394" aboveAverage="0" equalAverage="0" bottom="0" percent="0" rank="0" text="" dxfId="3404">
      <formula>$F990:T2304="pp"</formula>
    </cfRule>
  </conditionalFormatting>
  <conditionalFormatting sqref="Q1010:Q1019">
    <cfRule type="expression" priority="3395" aboveAverage="0" equalAverage="0" bottom="0" percent="0" rank="0" text="" dxfId="3405">
      <formula>$F1010:T2307="pp"</formula>
    </cfRule>
  </conditionalFormatting>
  <conditionalFormatting sqref="Q1031:Q1032">
    <cfRule type="expression" priority="3396" aboveAverage="0" equalAverage="0" bottom="0" percent="0" rank="0" text="" dxfId="3406">
      <formula>$F1031:T2318="pp"</formula>
    </cfRule>
  </conditionalFormatting>
  <conditionalFormatting sqref="Q1052:Q1054">
    <cfRule type="expression" priority="3397" aboveAverage="0" equalAverage="0" bottom="0" percent="0" rank="0" text="" dxfId="3407">
      <formula>$F1052:T2306="pp"</formula>
    </cfRule>
  </conditionalFormatting>
  <conditionalFormatting sqref="Q1143:Q1145">
    <cfRule type="expression" priority="3398" aboveAverage="0" equalAverage="0" bottom="0" percent="0" rank="0" text="" dxfId="3408">
      <formula>$F1143:T2305="pp"</formula>
    </cfRule>
  </conditionalFormatting>
  <conditionalFormatting sqref="Q1186:Q1187 Q1190:Q1197">
    <cfRule type="expression" priority="3399" aboveAverage="0" equalAverage="0" bottom="0" percent="0" rank="0" text="" dxfId="3409">
      <formula>$F1186:T2326="pp"</formula>
    </cfRule>
  </conditionalFormatting>
  <conditionalFormatting sqref="Q1264:Q1265">
    <cfRule type="expression" priority="3400" aboveAverage="0" equalAverage="0" bottom="0" percent="0" rank="0" text="" dxfId="3410">
      <formula>$F1264:T2330="pp"</formula>
    </cfRule>
  </conditionalFormatting>
  <conditionalFormatting sqref="Q1284:Q1286">
    <cfRule type="expression" priority="3401" aboveAverage="0" equalAverage="0" bottom="0" percent="0" rank="0" text="" dxfId="3411">
      <formula>$F1284:T2315="pp"</formula>
    </cfRule>
  </conditionalFormatting>
  <conditionalFormatting sqref="Q1291:Q1292">
    <cfRule type="expression" priority="3402" aboveAverage="0" equalAverage="0" bottom="0" percent="0" rank="0" text="" dxfId="3412">
      <formula>$F1291:T2315="pp"</formula>
    </cfRule>
  </conditionalFormatting>
  <conditionalFormatting sqref="Q1301:Q1302">
    <cfRule type="expression" priority="3403" aboveAverage="0" equalAverage="0" bottom="0" percent="0" rank="0" text="" dxfId="3413">
      <formula>$F1301:T2315="pp"</formula>
    </cfRule>
  </conditionalFormatting>
  <conditionalFormatting sqref="Q1318:Q1329">
    <cfRule type="expression" priority="3404" aboveAverage="0" equalAverage="0" bottom="0" percent="0" rank="0" text="" dxfId="3414">
      <formula>$F1318:T2317="pp"</formula>
    </cfRule>
  </conditionalFormatting>
  <conditionalFormatting sqref="Q1355:Q1358">
    <cfRule type="expression" priority="3405" aboveAverage="0" equalAverage="0" bottom="0" percent="0" rank="0" text="" dxfId="3415">
      <formula>$F1355:T2304="pp"</formula>
    </cfRule>
  </conditionalFormatting>
  <conditionalFormatting sqref="Q1371:Q1374">
    <cfRule type="expression" priority="3406" aboveAverage="0" equalAverage="0" bottom="0" percent="0" rank="0" text="" dxfId="3416">
      <formula>$F1371:T2307="pp"</formula>
    </cfRule>
  </conditionalFormatting>
  <conditionalFormatting sqref="Q1375:Q1376">
    <cfRule type="expression" priority="3407" aboveAverage="0" equalAverage="0" bottom="0" percent="0" rank="0" text="" dxfId="3417">
      <formula>$F1375:T2304="pp"</formula>
    </cfRule>
  </conditionalFormatting>
  <conditionalFormatting sqref="Q1412:Q1413">
    <cfRule type="expression" priority="3408" aboveAverage="0" equalAverage="0" bottom="0" percent="0" rank="0" text="" dxfId="3418">
      <formula>$F1412:T2317="pp"</formula>
    </cfRule>
  </conditionalFormatting>
  <conditionalFormatting sqref="Q1454:Q1457">
    <cfRule type="expression" priority="3409" aboveAverage="0" equalAverage="0" bottom="0" percent="0" rank="0" text="" dxfId="3419">
      <formula>$F1454:T2336="pp"</formula>
    </cfRule>
  </conditionalFormatting>
  <conditionalFormatting sqref="Q1466:Q1467">
    <cfRule type="expression" priority="3410" aboveAverage="0" equalAverage="0" bottom="0" percent="0" rank="0" text="" dxfId="3420">
      <formula>$F1466:T2328="pp"</formula>
    </cfRule>
  </conditionalFormatting>
  <conditionalFormatting sqref="Q1497:Q1498 Q1501:Q1502">
    <cfRule type="expression" priority="3411" aboveAverage="0" equalAverage="0" bottom="0" percent="0" rank="0" text="" dxfId="3421">
      <formula>$F1497:T2330="pp"</formula>
    </cfRule>
  </conditionalFormatting>
  <conditionalFormatting sqref="Q1517:Q1518">
    <cfRule type="expression" priority="3412" aboveAverage="0" equalAverage="0" bottom="0" percent="0" rank="0" text="" dxfId="3422">
      <formula>$F1517:T2334="pp"</formula>
    </cfRule>
  </conditionalFormatting>
  <conditionalFormatting sqref="Q1521:Q1534">
    <cfRule type="expression" priority="3413" aboveAverage="0" equalAverage="0" bottom="0" percent="0" rank="0" text="" dxfId="3423">
      <formula>$F1521:T2333="pp"</formula>
    </cfRule>
  </conditionalFormatting>
  <conditionalFormatting sqref="Q1537:Q1538">
    <cfRule type="expression" priority="3414" aboveAverage="0" equalAverage="0" bottom="0" percent="0" rank="0" text="" dxfId="3424">
      <formula>$F1537:T2339="pp"</formula>
    </cfRule>
  </conditionalFormatting>
  <conditionalFormatting sqref="Q1539:Q1540 Q1545:Q1551">
    <cfRule type="expression" priority="3415" aboveAverage="0" equalAverage="0" bottom="0" percent="0" rank="0" text="" dxfId="3425">
      <formula>$F1539:T2340="pp"</formula>
    </cfRule>
  </conditionalFormatting>
  <conditionalFormatting sqref="Q1647:Q1653">
    <cfRule type="expression" priority="3416" aboveAverage="0" equalAverage="0" bottom="0" percent="0" rank="0" text="" dxfId="3426">
      <formula>$F1647:T2337="pp"</formula>
    </cfRule>
  </conditionalFormatting>
  <conditionalFormatting sqref="Q1705:Q1709">
    <cfRule type="expression" priority="3417" aboveAverage="0" equalAverage="0" bottom="0" percent="0" rank="0" text="" dxfId="3427">
      <formula>$F1705:T2338="pp"</formula>
    </cfRule>
  </conditionalFormatting>
  <conditionalFormatting sqref="Q1815:Q1816 Q1822:Q1828">
    <cfRule type="expression" priority="3418" aboveAverage="0" equalAverage="0" bottom="0" percent="0" rank="0" text="" dxfId="3428">
      <formula>$F1815:T2336="pp"</formula>
    </cfRule>
  </conditionalFormatting>
  <conditionalFormatting sqref="Q1866:Q1868 Q1873:Q1879">
    <cfRule type="expression" priority="3419" aboveAverage="0" equalAverage="0" bottom="0" percent="0" rank="0" text="" dxfId="3429">
      <formula>$F1866:T2353="pp"</formula>
    </cfRule>
  </conditionalFormatting>
  <conditionalFormatting sqref="Q1922:Q1924">
    <cfRule type="expression" priority="3420" aboveAverage="0" equalAverage="0" bottom="0" percent="0" rank="0" text="" dxfId="3430">
      <formula>$F1922:T2335="pp"</formula>
    </cfRule>
  </conditionalFormatting>
  <conditionalFormatting sqref="Q1933:Q1944">
    <cfRule type="expression" priority="3421" aboveAverage="0" equalAverage="0" bottom="0" percent="0" rank="0" text="" dxfId="3431">
      <formula>$F1933:T2340="pp"</formula>
    </cfRule>
  </conditionalFormatting>
  <conditionalFormatting sqref="K2014:K2026 M2014:N2026">
    <cfRule type="expression" priority="3422" aboveAverage="0" equalAverage="0" bottom="0" percent="0" rank="0" text="" dxfId="3432">
      <formula>$F2014:P2351="pp"</formula>
    </cfRule>
  </conditionalFormatting>
  <conditionalFormatting sqref="C2014:D2026">
    <cfRule type="expression" priority="3423" aboveAverage="0" equalAverage="0" bottom="0" percent="0" rank="0" text="" dxfId="3433">
      <formula>$F2014:H2348="pp"</formula>
    </cfRule>
  </conditionalFormatting>
  <conditionalFormatting sqref="M2006:N2013 K2006:K2013">
    <cfRule type="expression" priority="3424" aboveAverage="0" equalAverage="0" bottom="0" percent="0" rank="0" text="" dxfId="3434">
      <formula>$F2006:P2350="pp"</formula>
    </cfRule>
  </conditionalFormatting>
  <conditionalFormatting sqref="F2035:F2037">
    <cfRule type="expression" priority="3425" aboveAverage="0" equalAverage="0" bottom="0" percent="0" rank="0" text="" dxfId="3435">
      <formula>$F2035:J2384="pp"</formula>
    </cfRule>
  </conditionalFormatting>
  <conditionalFormatting sqref="E2014:E2026">
    <cfRule type="expression" priority="3426" aboveAverage="0" equalAverage="0" bottom="0" percent="0" rank="0" text="" dxfId="3436">
      <formula>$F2014:I2324="pp"</formula>
    </cfRule>
  </conditionalFormatting>
  <conditionalFormatting sqref="G2005:I2005">
    <cfRule type="expression" priority="3427" aboveAverage="0" equalAverage="0" bottom="0" percent="0" rank="0" text="" dxfId="3437">
      <formula>$F2005:K2314="pp"</formula>
    </cfRule>
  </conditionalFormatting>
  <conditionalFormatting sqref="P150">
    <cfRule type="expression" priority="3428" aboveAverage="0" equalAverage="0" bottom="0" percent="0" rank="0" text="" dxfId="3438">
      <formula>$F150:T3000="pp"</formula>
    </cfRule>
    <cfRule type="expression" priority="3429" aboveAverage="0" equalAverage="0" bottom="0" percent="0" rank="0" text="" dxfId="3439">
      <formula>$F150:T2283="pp"</formula>
    </cfRule>
  </conditionalFormatting>
  <conditionalFormatting sqref="P188">
    <cfRule type="expression" priority="3430" aboveAverage="0" equalAverage="0" bottom="0" percent="0" rank="0" text="" dxfId="3440">
      <formula>$F188:T2985="pp"</formula>
    </cfRule>
    <cfRule type="expression" priority="3431" aboveAverage="0" equalAverage="0" bottom="0" percent="0" rank="0" text="" dxfId="3441">
      <formula>$F188:T2268="pp"</formula>
    </cfRule>
  </conditionalFormatting>
  <conditionalFormatting sqref="P200">
    <cfRule type="expression" priority="3432" aboveAverage="0" equalAverage="0" bottom="0" percent="0" rank="0" text="" dxfId="3442">
      <formula>$F200:T2984="pp"</formula>
    </cfRule>
    <cfRule type="expression" priority="3433" aboveAverage="0" equalAverage="0" bottom="0" percent="0" rank="0" text="" dxfId="3443">
      <formula>$F200:T2267="pp"</formula>
    </cfRule>
  </conditionalFormatting>
  <conditionalFormatting sqref="P217">
    <cfRule type="expression" priority="3434" aboveAverage="0" equalAverage="0" bottom="0" percent="0" rank="0" text="" dxfId="3444">
      <formula>$F217:T2986="pp"</formula>
    </cfRule>
    <cfRule type="expression" priority="3435" aboveAverage="0" equalAverage="0" bottom="0" percent="0" rank="0" text="" dxfId="3445">
      <formula>$F217:T2269="pp"</formula>
    </cfRule>
  </conditionalFormatting>
  <conditionalFormatting sqref="P238">
    <cfRule type="expression" priority="3436" aboveAverage="0" equalAverage="0" bottom="0" percent="0" rank="0" text="" dxfId="3446">
      <formula>$F238:T2997="pp"</formula>
    </cfRule>
    <cfRule type="expression" priority="3437" aboveAverage="0" equalAverage="0" bottom="0" percent="0" rank="0" text="" dxfId="3447">
      <formula>$F238:T2280="pp"</formula>
    </cfRule>
  </conditionalFormatting>
  <conditionalFormatting sqref="P341">
    <cfRule type="expression" priority="3438" aboveAverage="0" equalAverage="0" bottom="0" percent="0" rank="0" text="" dxfId="3448">
      <formula>$F341:T3002="pp"</formula>
    </cfRule>
    <cfRule type="expression" priority="3439" aboveAverage="0" equalAverage="0" bottom="0" percent="0" rank="0" text="" dxfId="3449">
      <formula>$F341:T2285="pp"</formula>
    </cfRule>
  </conditionalFormatting>
  <conditionalFormatting sqref="P342 P336:P340">
    <cfRule type="expression" priority="3440" aboveAverage="0" equalAverage="0" bottom="0" percent="0" rank="0" text="" dxfId="3450">
      <formula>$F336:T3001="pp"</formula>
    </cfRule>
    <cfRule type="expression" priority="3441" aboveAverage="0" equalAverage="0" bottom="0" percent="0" rank="0" text="" dxfId="3451">
      <formula>$F336:T2284="pp"</formula>
    </cfRule>
  </conditionalFormatting>
  <conditionalFormatting sqref="P379">
    <cfRule type="expression" priority="3442" aboveAverage="0" equalAverage="0" bottom="0" percent="0" rank="0" text="" dxfId="3452">
      <formula>$F379:T3136="pp"</formula>
    </cfRule>
    <cfRule type="expression" priority="3443" aboveAverage="0" equalAverage="0" bottom="0" percent="0" rank="0" text="" dxfId="3453">
      <formula>$F379:T2419="pp"</formula>
    </cfRule>
  </conditionalFormatting>
  <conditionalFormatting sqref="P407 P204:P208">
    <cfRule type="expression" priority="3444" aboveAverage="0" equalAverage="0" bottom="0" percent="0" rank="0" text="" dxfId="3454">
      <formula>$F204:T2983="pp"</formula>
    </cfRule>
    <cfRule type="expression" priority="3445" aboveAverage="0" equalAverage="0" bottom="0" percent="0" rank="0" text="" dxfId="3455">
      <formula>$F204:T2266="pp"</formula>
    </cfRule>
  </conditionalFormatting>
  <conditionalFormatting sqref="P408">
    <cfRule type="expression" priority="3446" aboveAverage="0" equalAverage="0" bottom="0" percent="0" rank="0" text="" dxfId="3456">
      <formula>$F408:T3183="pp"</formula>
    </cfRule>
    <cfRule type="expression" priority="3447" aboveAverage="0" equalAverage="0" bottom="0" percent="0" rank="0" text="" dxfId="3457">
      <formula>$F408:T2466="pp"</formula>
    </cfRule>
  </conditionalFormatting>
  <conditionalFormatting sqref="P412">
    <cfRule type="expression" priority="3448" aboveAverage="0" equalAverage="0" bottom="0" percent="0" rank="0" text="" dxfId="3458">
      <formula>$F412:T3015="pp"</formula>
    </cfRule>
    <cfRule type="expression" priority="3449" aboveAverage="0" equalAverage="0" bottom="0" percent="0" rank="0" text="" dxfId="3459">
      <formula>$F412:T2298="pp"</formula>
    </cfRule>
  </conditionalFormatting>
  <conditionalFormatting sqref="P455">
    <cfRule type="expression" priority="3450" aboveAverage="0" equalAverage="0" bottom="0" percent="0" rank="0" text="" dxfId="3460">
      <formula>$F455:T3027="pp"</formula>
    </cfRule>
    <cfRule type="expression" priority="3451" aboveAverage="0" equalAverage="0" bottom="0" percent="0" rank="0" text="" dxfId="3461">
      <formula>$F455:T2310="pp"</formula>
    </cfRule>
  </conditionalFormatting>
  <conditionalFormatting sqref="P460">
    <cfRule type="expression" priority="3452" aboveAverage="0" equalAverage="0" bottom="0" percent="0" rank="0" text="" dxfId="3462">
      <formula>$F460:T3027="pp"</formula>
    </cfRule>
    <cfRule type="expression" priority="3453" aboveAverage="0" equalAverage="0" bottom="0" percent="0" rank="0" text="" dxfId="3463">
      <formula>$F460:T2310="pp"</formula>
    </cfRule>
  </conditionalFormatting>
  <conditionalFormatting sqref="P476">
    <cfRule type="expression" priority="3454" aboveAverage="0" equalAverage="0" bottom="0" percent="0" rank="0" text="" dxfId="3464">
      <formula>$F476:T3016="pp"</formula>
    </cfRule>
    <cfRule type="expression" priority="3455" aboveAverage="0" equalAverage="0" bottom="0" percent="0" rank="0" text="" dxfId="3465">
      <formula>$F476:T2299="pp"</formula>
    </cfRule>
  </conditionalFormatting>
  <conditionalFormatting sqref="P515">
    <cfRule type="expression" priority="3456" aboveAverage="0" equalAverage="0" bottom="0" percent="0" rank="0" text="" dxfId="3466">
      <formula>$F515:T3020="pp"</formula>
    </cfRule>
    <cfRule type="expression" priority="3457" aboveAverage="0" equalAverage="0" bottom="0" percent="0" rank="0" text="" dxfId="3467">
      <formula>$F515:T2303="pp"</formula>
    </cfRule>
  </conditionalFormatting>
  <conditionalFormatting sqref="P533">
    <cfRule type="expression" priority="3458" aboveAverage="0" equalAverage="0" bottom="0" percent="0" rank="0" text="" dxfId="3468">
      <formula>$F533:T3022="pp"</formula>
    </cfRule>
    <cfRule type="expression" priority="3459" aboveAverage="0" equalAverage="0" bottom="0" percent="0" rank="0" text="" dxfId="3469">
      <formula>$F533:T2305="pp"</formula>
    </cfRule>
  </conditionalFormatting>
  <conditionalFormatting sqref="P553">
    <cfRule type="expression" priority="3460" aboveAverage="0" equalAverage="0" bottom="0" percent="0" rank="0" text="" dxfId="3470">
      <formula>$F553:T3027="pp"</formula>
    </cfRule>
    <cfRule type="expression" priority="3461" aboveAverage="0" equalAverage="0" bottom="0" percent="0" rank="0" text="" dxfId="3471">
      <formula>$F553:T2310="pp"</formula>
    </cfRule>
  </conditionalFormatting>
  <conditionalFormatting sqref="P565">
    <cfRule type="expression" priority="3462" aboveAverage="0" equalAverage="0" bottom="0" percent="0" rank="0" text="" dxfId="3472">
      <formula>$F565:T3034="pp"</formula>
    </cfRule>
    <cfRule type="expression" priority="3463" aboveAverage="0" equalAverage="0" bottom="0" percent="0" rank="0" text="" dxfId="3473">
      <formula>$F565:T2317="pp"</formula>
    </cfRule>
  </conditionalFormatting>
  <conditionalFormatting sqref="P582">
    <cfRule type="expression" priority="3464" aboveAverage="0" equalAverage="0" bottom="0" percent="0" rank="0" text="" dxfId="3474">
      <formula>$F582:T3023="pp"</formula>
    </cfRule>
    <cfRule type="expression" priority="3465" aboveAverage="0" equalAverage="0" bottom="0" percent="0" rank="0" text="" dxfId="3475">
      <formula>$F582:T2306="pp"</formula>
    </cfRule>
  </conditionalFormatting>
  <conditionalFormatting sqref="P595">
    <cfRule type="expression" priority="3466" aboveAverage="0" equalAverage="0" bottom="0" percent="0" rank="0" text="" dxfId="3476">
      <formula>$F595:T3029="pp"</formula>
    </cfRule>
    <cfRule type="expression" priority="3467" aboveAverage="0" equalAverage="0" bottom="0" percent="0" rank="0" text="" dxfId="3477">
      <formula>$F595:T2312="pp"</formula>
    </cfRule>
  </conditionalFormatting>
  <conditionalFormatting sqref="P603">
    <cfRule type="expression" priority="3468" aboveAverage="0" equalAverage="0" bottom="0" percent="0" rank="0" text="" dxfId="3478">
      <formula>$F603:T3023="pp"</formula>
    </cfRule>
    <cfRule type="expression" priority="3469" aboveAverage="0" equalAverage="0" bottom="0" percent="0" rank="0" text="" dxfId="3479">
      <formula>$F603:T2306="pp"</formula>
    </cfRule>
  </conditionalFormatting>
  <conditionalFormatting sqref="P642">
    <cfRule type="expression" priority="3470" aboveAverage="0" equalAverage="0" bottom="0" percent="0" rank="0" text="" dxfId="3480">
      <formula>$F642:T3016="pp"</formula>
    </cfRule>
    <cfRule type="expression" priority="3471" aboveAverage="0" equalAverage="0" bottom="0" percent="0" rank="0" text="" dxfId="3481">
      <formula>$F642:T2299="pp"</formula>
    </cfRule>
  </conditionalFormatting>
  <conditionalFormatting sqref="P663">
    <cfRule type="expression" priority="3472" aboveAverage="0" equalAverage="0" bottom="0" percent="0" rank="0" text="" dxfId="3482">
      <formula>$F663:T3018="pp"</formula>
    </cfRule>
    <cfRule type="expression" priority="3473" aboveAverage="0" equalAverage="0" bottom="0" percent="0" rank="0" text="" dxfId="3483">
      <formula>$F663:T2301="pp"</formula>
    </cfRule>
  </conditionalFormatting>
  <conditionalFormatting sqref="P664">
    <cfRule type="expression" priority="3474" aboveAverage="0" equalAverage="0" bottom="0" percent="0" rank="0" text="" dxfId="3484">
      <formula>$F664:T3015="pp"</formula>
    </cfRule>
    <cfRule type="expression" priority="3475" aboveAverage="0" equalAverage="0" bottom="0" percent="0" rank="0" text="" dxfId="3485">
      <formula>$F664:T2298="pp"</formula>
    </cfRule>
  </conditionalFormatting>
  <conditionalFormatting sqref="P682">
    <cfRule type="expression" priority="3476" aboveAverage="0" equalAverage="0" bottom="0" percent="0" rank="0" text="" dxfId="3486">
      <formula>$F682:T3020="pp"</formula>
    </cfRule>
    <cfRule type="expression" priority="3477" aboveAverage="0" equalAverage="0" bottom="0" percent="0" rank="0" text="" dxfId="3487">
      <formula>$F682:T2303="pp"</formula>
    </cfRule>
  </conditionalFormatting>
  <conditionalFormatting sqref="P736">
    <cfRule type="expression" priority="3478" aboveAverage="0" equalAverage="0" bottom="0" percent="0" rank="0" text="" dxfId="3488">
      <formula>$F736:T3016="pp"</formula>
    </cfRule>
    <cfRule type="expression" priority="3479" aboveAverage="0" equalAverage="0" bottom="0" percent="0" rank="0" text="" dxfId="3489">
      <formula>$F736:T2299="pp"</formula>
    </cfRule>
  </conditionalFormatting>
  <conditionalFormatting sqref="P753">
    <cfRule type="expression" priority="3480" aboveAverage="0" equalAverage="0" bottom="0" percent="0" rank="0" text="" dxfId="3490">
      <formula>$F753:T3018="pp"</formula>
    </cfRule>
    <cfRule type="expression" priority="3481" aboveAverage="0" equalAverage="0" bottom="0" percent="0" rank="0" text="" dxfId="3491">
      <formula>$F753:T2301="pp"</formula>
    </cfRule>
  </conditionalFormatting>
  <conditionalFormatting sqref="P777">
    <cfRule type="expression" priority="3482" aboveAverage="0" equalAverage="0" bottom="0" percent="0" rank="0" text="" dxfId="3492">
      <formula>$F777:T3025="pp"</formula>
    </cfRule>
    <cfRule type="expression" priority="3483" aboveAverage="0" equalAverage="0" bottom="0" percent="0" rank="0" text="" dxfId="3493">
      <formula>$F777:T2308="pp"</formula>
    </cfRule>
  </conditionalFormatting>
  <conditionalFormatting sqref="P840">
    <cfRule type="expression" priority="3484" aboveAverage="0" equalAverage="0" bottom="0" percent="0" rank="0" text="" dxfId="3494">
      <formula>$F840:T3033="pp"</formula>
    </cfRule>
    <cfRule type="expression" priority="3485" aboveAverage="0" equalAverage="0" bottom="0" percent="0" rank="0" text="" dxfId="3495">
      <formula>$F840:T2316="pp"</formula>
    </cfRule>
  </conditionalFormatting>
  <conditionalFormatting sqref="P848 P852:P854 P857:P860">
    <cfRule type="expression" priority="3486" aboveAverage="0" equalAverage="0" bottom="0" percent="0" rank="0" text="" dxfId="3496">
      <formula>$F848:T3033="pp"</formula>
    </cfRule>
    <cfRule type="expression" priority="3487" aboveAverage="0" equalAverage="0" bottom="0" percent="0" rank="0" text="" dxfId="3497">
      <formula>$F848:T2316="pp"</formula>
    </cfRule>
  </conditionalFormatting>
  <conditionalFormatting sqref="P861">
    <cfRule type="expression" priority="3488" aboveAverage="0" equalAverage="0" bottom="0" percent="0" rank="0" text="" dxfId="3498">
      <formula>$F861:T3025="pp"</formula>
    </cfRule>
    <cfRule type="expression" priority="3489" aboveAverage="0" equalAverage="0" bottom="0" percent="0" rank="0" text="" dxfId="3499">
      <formula>$F861:T2308="pp"</formula>
    </cfRule>
  </conditionalFormatting>
  <conditionalFormatting sqref="P879">
    <cfRule type="expression" priority="3490" aboveAverage="0" equalAverage="0" bottom="0" percent="0" rank="0" text="" dxfId="3500">
      <formula>$F879:T3227="pp"</formula>
    </cfRule>
    <cfRule type="expression" priority="3491" aboveAverage="0" equalAverage="0" bottom="0" percent="0" rank="0" text="" dxfId="3501">
      <formula>$F879:T2510="pp"</formula>
    </cfRule>
  </conditionalFormatting>
  <conditionalFormatting sqref="P897">
    <cfRule type="expression" priority="3492" aboveAverage="0" equalAverage="0" bottom="0" percent="0" rank="0" text="" dxfId="3502">
      <formula>$F897:T3030="pp"</formula>
    </cfRule>
    <cfRule type="expression" priority="3493" aboveAverage="0" equalAverage="0" bottom="0" percent="0" rank="0" text="" dxfId="3503">
      <formula>$F897:T2313="pp"</formula>
    </cfRule>
  </conditionalFormatting>
  <conditionalFormatting sqref="P906">
    <cfRule type="expression" priority="3494" aboveAverage="0" equalAverage="0" bottom="0" percent="0" rank="0" text="" dxfId="3504">
      <formula>$F906:T3029="pp"</formula>
    </cfRule>
    <cfRule type="expression" priority="3495" aboveAverage="0" equalAverage="0" bottom="0" percent="0" rank="0" text="" dxfId="3505">
      <formula>$F906:T2312="pp"</formula>
    </cfRule>
  </conditionalFormatting>
  <conditionalFormatting sqref="P920">
    <cfRule type="expression" priority="3496" aboveAverage="0" equalAverage="0" bottom="0" percent="0" rank="0" text="" dxfId="3506">
      <formula>$F920:T3036="pp"</formula>
    </cfRule>
    <cfRule type="expression" priority="3497" aboveAverage="0" equalAverage="0" bottom="0" percent="0" rank="0" text="" dxfId="3507">
      <formula>$F920:T2319="pp"</formula>
    </cfRule>
  </conditionalFormatting>
  <conditionalFormatting sqref="P921">
    <cfRule type="expression" priority="3498" aboveAverage="0" equalAverage="0" bottom="0" percent="0" rank="0" text="" dxfId="3508">
      <formula>$F921:T3032="pp"</formula>
    </cfRule>
    <cfRule type="expression" priority="3499" aboveAverage="0" equalAverage="0" bottom="0" percent="0" rank="0" text="" dxfId="3509">
      <formula>$F921:T2315="pp"</formula>
    </cfRule>
  </conditionalFormatting>
  <conditionalFormatting sqref="P938">
    <cfRule type="expression" priority="3500" aboveAverage="0" equalAverage="0" bottom="0" percent="0" rank="0" text="" dxfId="3510">
      <formula>$F938:T3029="pp"</formula>
    </cfRule>
    <cfRule type="expression" priority="3501" aboveAverage="0" equalAverage="0" bottom="0" percent="0" rank="0" text="" dxfId="3511">
      <formula>$F938:T2312="pp"</formula>
    </cfRule>
  </conditionalFormatting>
  <conditionalFormatting sqref="P949">
    <cfRule type="expression" priority="3502" aboveAverage="0" equalAverage="0" bottom="0" percent="0" rank="0" text="" dxfId="3512">
      <formula>$F949:T3027="pp"</formula>
    </cfRule>
    <cfRule type="expression" priority="3503" aboveAverage="0" equalAverage="0" bottom="0" percent="0" rank="0" text="" dxfId="3513">
      <formula>$F949:T2310="pp"</formula>
    </cfRule>
  </conditionalFormatting>
  <conditionalFormatting sqref="P1025">
    <cfRule type="expression" priority="3504" aboveAverage="0" equalAverage="0" bottom="0" percent="0" rank="0" text="" dxfId="3514">
      <formula>$F1025:T3027="pp"</formula>
    </cfRule>
    <cfRule type="expression" priority="3505" aboveAverage="0" equalAverage="0" bottom="0" percent="0" rank="0" text="" dxfId="3515">
      <formula>$F1025:T2310="pp"</formula>
    </cfRule>
  </conditionalFormatting>
  <conditionalFormatting sqref="P1026">
    <cfRule type="expression" priority="3506" aboveAverage="0" equalAverage="0" bottom="0" percent="0" rank="0" text="" dxfId="3516">
      <formula>$F1026:T2312="pp"</formula>
    </cfRule>
    <cfRule type="expression" priority="3507" aboveAverage="0" equalAverage="0" bottom="0" percent="0" rank="0" text="" dxfId="3517">
      <formula>$F1026:T3029="pp"</formula>
    </cfRule>
  </conditionalFormatting>
  <conditionalFormatting sqref="P1073">
    <cfRule type="expression" priority="3508" aboveAverage="0" equalAverage="0" bottom="0" percent="0" rank="0" text="" dxfId="3518">
      <formula>$F1073:T3030="pp"</formula>
    </cfRule>
    <cfRule type="expression" priority="3509" aboveAverage="0" equalAverage="0" bottom="0" percent="0" rank="0" text="" dxfId="3519">
      <formula>$F1073:T2313="pp"</formula>
    </cfRule>
  </conditionalFormatting>
  <conditionalFormatting sqref="P1115">
    <cfRule type="expression" priority="3510" aboveAverage="0" equalAverage="0" bottom="0" percent="0" rank="0" text="" dxfId="3520">
      <formula>$F1115:T3039="pp"</formula>
    </cfRule>
    <cfRule type="expression" priority="3511" aboveAverage="0" equalAverage="0" bottom="0" percent="0" rank="0" text="" dxfId="3521">
      <formula>$F1115:T2322="pp"</formula>
    </cfRule>
  </conditionalFormatting>
  <conditionalFormatting sqref="P1130">
    <cfRule type="expression" priority="3512" aboveAverage="0" equalAverage="0" bottom="0" percent="0" rank="0" text="" dxfId="3522">
      <formula>$F1130:T3021="pp"</formula>
    </cfRule>
    <cfRule type="expression" priority="3513" aboveAverage="0" equalAverage="0" bottom="0" percent="0" rank="0" text="" dxfId="3523">
      <formula>$F1130:T2304="pp"</formula>
    </cfRule>
  </conditionalFormatting>
  <conditionalFormatting sqref="P1134">
    <cfRule type="expression" priority="3514" aboveAverage="0" equalAverage="0" bottom="0" percent="0" rank="0" text="" dxfId="3524">
      <formula>$F1134:T3022="pp"</formula>
    </cfRule>
    <cfRule type="expression" priority="3515" aboveAverage="0" equalAverage="0" bottom="0" percent="0" rank="0" text="" dxfId="3525">
      <formula>$F1134:T2305="pp"</formula>
    </cfRule>
  </conditionalFormatting>
  <conditionalFormatting sqref="P1231 P1233:P1237">
    <cfRule type="expression" priority="3516" aboveAverage="0" equalAverage="0" bottom="0" percent="0" rank="0" text="" dxfId="3526">
      <formula>$F1231:T3027="pp"</formula>
    </cfRule>
    <cfRule type="expression" priority="3517" aboveAverage="0" equalAverage="0" bottom="0" percent="0" rank="0" text="" dxfId="3527">
      <formula>$F1231:T2310="pp"</formula>
    </cfRule>
  </conditionalFormatting>
  <conditionalFormatting sqref="P1266">
    <cfRule type="expression" priority="3518" aboveAverage="0" equalAverage="0" bottom="0" percent="0" rank="0" text="" dxfId="3528">
      <formula>$F1266:T3046="pp"</formula>
    </cfRule>
    <cfRule type="expression" priority="3519" aboveAverage="0" equalAverage="0" bottom="0" percent="0" rank="0" text="" dxfId="3529">
      <formula>$F1266:T2329="pp"</formula>
    </cfRule>
  </conditionalFormatting>
  <conditionalFormatting sqref="P1270">
    <cfRule type="expression" priority="3520" aboveAverage="0" equalAverage="0" bottom="0" percent="0" rank="0" text="" dxfId="3530">
      <formula>$F1270:T3028="pp"</formula>
    </cfRule>
    <cfRule type="expression" priority="3521" aboveAverage="0" equalAverage="0" bottom="0" percent="0" rank="0" text="" dxfId="3531">
      <formula>$F1270:T2311="pp"</formula>
    </cfRule>
  </conditionalFormatting>
  <conditionalFormatting sqref="P1287">
    <cfRule type="expression" priority="3522" aboveAverage="0" equalAverage="0" bottom="0" percent="0" rank="0" text="" dxfId="3532">
      <formula>$F1287:T3034="pp"</formula>
    </cfRule>
    <cfRule type="expression" priority="3523" aboveAverage="0" equalAverage="0" bottom="0" percent="0" rank="0" text="" dxfId="3533">
      <formula>$F1287:T2317="pp"</formula>
    </cfRule>
  </conditionalFormatting>
  <conditionalFormatting sqref="P1296">
    <cfRule type="expression" priority="3524" aboveAverage="0" equalAverage="0" bottom="0" percent="0" rank="0" text="" dxfId="3534">
      <formula>$F1296:T3034="pp"</formula>
    </cfRule>
    <cfRule type="expression" priority="3525" aboveAverage="0" equalAverage="0" bottom="0" percent="0" rank="0" text="" dxfId="3535">
      <formula>$F1296:T2317="pp"</formula>
    </cfRule>
  </conditionalFormatting>
  <conditionalFormatting sqref="P1334">
    <cfRule type="expression" priority="3526" aboveAverage="0" equalAverage="0" bottom="0" percent="0" rank="0" text="" dxfId="3536">
      <formula>$F1334:T3018="pp"</formula>
    </cfRule>
    <cfRule type="expression" priority="3527" aboveAverage="0" equalAverage="0" bottom="0" percent="0" rank="0" text="" dxfId="3537">
      <formula>$F1334:T2301="pp"</formula>
    </cfRule>
  </conditionalFormatting>
  <conditionalFormatting sqref="P1436">
    <cfRule type="expression" priority="3528" aboveAverage="0" equalAverage="0" bottom="0" percent="0" rank="0" text="" dxfId="3538">
      <formula>$F1436:T3045="pp"</formula>
    </cfRule>
    <cfRule type="expression" priority="3529" aboveAverage="0" equalAverage="0" bottom="0" percent="0" rank="0" text="" dxfId="3539">
      <formula>$F1436:T2328="pp"</formula>
    </cfRule>
  </conditionalFormatting>
  <conditionalFormatting sqref="P1468">
    <cfRule type="expression" priority="3530" aboveAverage="0" equalAverage="0" bottom="0" percent="0" rank="0" text="" dxfId="3540">
      <formula>$F1468:T3046="pp"</formula>
    </cfRule>
    <cfRule type="expression" priority="3531" aboveAverage="0" equalAverage="0" bottom="0" percent="0" rank="0" text="" dxfId="3541">
      <formula>$F1468:T2329="pp"</formula>
    </cfRule>
  </conditionalFormatting>
  <conditionalFormatting sqref="P1474 P1469:P1471">
    <cfRule type="expression" priority="3532" aboveAverage="0" equalAverage="0" bottom="0" percent="0" rank="0" text="" dxfId="3542">
      <formula>$F1469:T3044="pp"</formula>
    </cfRule>
    <cfRule type="expression" priority="3533" aboveAverage="0" equalAverage="0" bottom="0" percent="0" rank="0" text="" dxfId="3543">
      <formula>$F1469:T2327="pp"</formula>
    </cfRule>
  </conditionalFormatting>
  <conditionalFormatting sqref="P1475 P1480:P1482">
    <cfRule type="expression" priority="3534" aboveAverage="0" equalAverage="0" bottom="0" percent="0" rank="0" text="" dxfId="3544">
      <formula>$F1475:T3046="pp"</formula>
    </cfRule>
    <cfRule type="expression" priority="3535" aboveAverage="0" equalAverage="0" bottom="0" percent="0" rank="0" text="" dxfId="3545">
      <formula>$F1475:T2329="pp"</formula>
    </cfRule>
  </conditionalFormatting>
  <conditionalFormatting sqref="P1489">
    <cfRule type="expression" priority="3536" aboveAverage="0" equalAverage="0" bottom="0" percent="0" rank="0" text="" dxfId="3546">
      <formula>$F1489:T3053="pp"</formula>
    </cfRule>
    <cfRule type="expression" priority="3537" aboveAverage="0" equalAverage="0" bottom="0" percent="0" rank="0" text="" dxfId="3547">
      <formula>$F1489:T2336="pp"</formula>
    </cfRule>
  </conditionalFormatting>
  <conditionalFormatting sqref="P1542">
    <cfRule type="expression" priority="3538" aboveAverage="0" equalAverage="0" bottom="0" percent="0" rank="0" text="" dxfId="3548">
      <formula>$F1542:T3057="pp"</formula>
    </cfRule>
    <cfRule type="expression" priority="3539" aboveAverage="0" equalAverage="0" bottom="0" percent="0" rank="0" text="" dxfId="3549">
      <formula>$F1542:T2340="pp"</formula>
    </cfRule>
  </conditionalFormatting>
  <conditionalFormatting sqref="P1569">
    <cfRule type="expression" priority="3540" aboveAverage="0" equalAverage="0" bottom="0" percent="0" rank="0" text="" dxfId="3550">
      <formula>$F1569:T3062="pp"</formula>
    </cfRule>
    <cfRule type="expression" priority="3541" aboveAverage="0" equalAverage="0" bottom="0" percent="0" rank="0" text="" dxfId="3551">
      <formula>$F1569:T2345="pp"</formula>
    </cfRule>
  </conditionalFormatting>
  <conditionalFormatting sqref="P1577">
    <cfRule type="expression" priority="3542" aboveAverage="0" equalAverage="0" bottom="0" percent="0" rank="0" text="" dxfId="3552">
      <formula>$F1577:T3052="pp"</formula>
    </cfRule>
    <cfRule type="expression" priority="3543" aboveAverage="0" equalAverage="0" bottom="0" percent="0" rank="0" text="" dxfId="3553">
      <formula>$F1577:T2335="pp"</formula>
    </cfRule>
  </conditionalFormatting>
  <conditionalFormatting sqref="P1596">
    <cfRule type="expression" priority="3544" aboveAverage="0" equalAverage="0" bottom="0" percent="0" rank="0" text="" dxfId="3554">
      <formula>$F1596:T3054="pp"</formula>
    </cfRule>
    <cfRule type="expression" priority="3545" aboveAverage="0" equalAverage="0" bottom="0" percent="0" rank="0" text="" dxfId="3555">
      <formula>$F1596:T2337="pp"</formula>
    </cfRule>
  </conditionalFormatting>
  <conditionalFormatting sqref="P1615">
    <cfRule type="expression" priority="3546" aboveAverage="0" equalAverage="0" bottom="0" percent="0" rank="0" text="" dxfId="3556">
      <formula>$F1615:T3045="pp"</formula>
    </cfRule>
    <cfRule type="expression" priority="3547" aboveAverage="0" equalAverage="0" bottom="0" percent="0" rank="0" text="" dxfId="3557">
      <formula>$F1615:T2328="pp"</formula>
    </cfRule>
  </conditionalFormatting>
  <conditionalFormatting sqref="P1640">
    <cfRule type="expression" priority="3548" aboveAverage="0" equalAverage="0" bottom="0" percent="0" rank="0" text="" dxfId="3558">
      <formula>$F1640:T3052="pp"</formula>
    </cfRule>
    <cfRule type="expression" priority="3549" aboveAverage="0" equalAverage="0" bottom="0" percent="0" rank="0" text="" dxfId="3559">
      <formula>$F1640:T2335="pp"</formula>
    </cfRule>
  </conditionalFormatting>
  <conditionalFormatting sqref="P1665">
    <cfRule type="expression" priority="3550" aboveAverage="0" equalAverage="0" bottom="0" percent="0" rank="0" text="" dxfId="3560">
      <formula>$F1665:T3058="pp"</formula>
    </cfRule>
    <cfRule type="expression" priority="3551" aboveAverage="0" equalAverage="0" bottom="0" percent="0" rank="0" text="" dxfId="3561">
      <formula>$F1665:T2341="pp"</formula>
    </cfRule>
  </conditionalFormatting>
  <conditionalFormatting sqref="P1676">
    <cfRule type="expression" priority="3552" aboveAverage="0" equalAverage="0" bottom="0" percent="0" rank="0" text="" dxfId="3562">
      <formula>$F1676:T3061="pp"</formula>
    </cfRule>
    <cfRule type="expression" priority="3553" aboveAverage="0" equalAverage="0" bottom="0" percent="0" rank="0" text="" dxfId="3563">
      <formula>$F1676:T2344="pp"</formula>
    </cfRule>
  </conditionalFormatting>
  <conditionalFormatting sqref="P1677">
    <cfRule type="expression" priority="3554" aboveAverage="0" equalAverage="0" bottom="0" percent="0" rank="0" text="" dxfId="3564">
      <formula>$F1677:T3047="pp"</formula>
    </cfRule>
    <cfRule type="expression" priority="3555" aboveAverage="0" equalAverage="0" bottom="0" percent="0" rank="0" text="" dxfId="3565">
      <formula>$F1677:T2330="pp"</formula>
    </cfRule>
  </conditionalFormatting>
  <conditionalFormatting sqref="P1721">
    <cfRule type="expression" priority="3556" aboveAverage="0" equalAverage="0" bottom="0" percent="0" rank="0" text="" dxfId="3566">
      <formula>$F1721:T3056="pp"</formula>
    </cfRule>
    <cfRule type="expression" priority="3557" aboveAverage="0" equalAverage="0" bottom="0" percent="0" rank="0" text="" dxfId="3567">
      <formula>$F1721:T2339="pp"</formula>
    </cfRule>
  </conditionalFormatting>
  <conditionalFormatting sqref="P1723">
    <cfRule type="expression" priority="3558" aboveAverage="0" equalAverage="0" bottom="0" percent="0" rank="0" text="" dxfId="3568">
      <formula>$F1723:T3046="pp"</formula>
    </cfRule>
    <cfRule type="expression" priority="3559" aboveAverage="0" equalAverage="0" bottom="0" percent="0" rank="0" text="" dxfId="3569">
      <formula>$F1723:T2329="pp"</formula>
    </cfRule>
  </conditionalFormatting>
  <conditionalFormatting sqref="P1769">
    <cfRule type="expression" priority="3560" aboveAverage="0" equalAverage="0" bottom="0" percent="0" rank="0" text="" dxfId="3570">
      <formula>$F1769:T3050="pp"</formula>
    </cfRule>
    <cfRule type="expression" priority="3561" aboveAverage="0" equalAverage="0" bottom="0" percent="0" rank="0" text="" dxfId="3571">
      <formula>$F1769:T2333="pp"</formula>
    </cfRule>
  </conditionalFormatting>
  <conditionalFormatting sqref="P1814">
    <cfRule type="expression" priority="3562" aboveAverage="0" equalAverage="0" bottom="0" percent="0" rank="0" text="" dxfId="3572">
      <formula>$F1814:T3057="pp"</formula>
    </cfRule>
    <cfRule type="expression" priority="3563" aboveAverage="0" equalAverage="0" bottom="0" percent="0" rank="0" text="" dxfId="3573">
      <formula>$F1814:T2340="pp"</formula>
    </cfRule>
  </conditionalFormatting>
  <conditionalFormatting sqref="P1829">
    <cfRule type="expression" priority="3564" aboveAverage="0" equalAverage="0" bottom="0" percent="0" rank="0" text="" dxfId="3574">
      <formula>$F1829:T3063="pp"</formula>
    </cfRule>
    <cfRule type="expression" priority="3565" aboveAverage="0" equalAverage="0" bottom="0" percent="0" rank="0" text="" dxfId="3575">
      <formula>$F1829:T2346="pp"</formula>
    </cfRule>
  </conditionalFormatting>
  <conditionalFormatting sqref="P1903">
    <cfRule type="expression" priority="3566" aboveAverage="0" equalAverage="0" bottom="0" percent="0" rank="0" text="" dxfId="3576">
      <formula>$F1903:T3060="pp"</formula>
    </cfRule>
    <cfRule type="expression" priority="3567" aboveAverage="0" equalAverage="0" bottom="0" percent="0" rank="0" text="" dxfId="3577">
      <formula>$F1903:T2343="pp"</formula>
    </cfRule>
  </conditionalFormatting>
  <conditionalFormatting sqref="P1945">
    <cfRule type="expression" priority="3568" aboveAverage="0" equalAverage="0" bottom="0" percent="0" rank="0" text="" dxfId="3578">
      <formula>$F1945:T3065="pp"</formula>
    </cfRule>
    <cfRule type="expression" priority="3569" aboveAverage="0" equalAverage="0" bottom="0" percent="0" rank="0" text="" dxfId="3579">
      <formula>$F1945:T2348="pp"</formula>
    </cfRule>
  </conditionalFormatting>
  <conditionalFormatting sqref="P1956 P1960:P1961">
    <cfRule type="expression" priority="3570" aboveAverage="0" equalAverage="0" bottom="0" percent="0" rank="0" text="" dxfId="3580">
      <formula>$F1956:T3069="pp"</formula>
    </cfRule>
    <cfRule type="expression" priority="3571" aboveAverage="0" equalAverage="0" bottom="0" percent="0" rank="0" text="" dxfId="3581">
      <formula>$F1956:T2352="pp"</formula>
    </cfRule>
  </conditionalFormatting>
  <conditionalFormatting sqref="P1987">
    <cfRule type="expression" priority="3572" aboveAverage="0" equalAverage="0" bottom="0" percent="0" rank="0" text="" dxfId="3582">
      <formula>$F1987:T3054="pp"</formula>
    </cfRule>
    <cfRule type="expression" priority="3573" aboveAverage="0" equalAverage="0" bottom="0" percent="0" rank="0" text="" dxfId="3583">
      <formula>$F1987:T2337="pp"</formula>
    </cfRule>
  </conditionalFormatting>
  <conditionalFormatting sqref="P2005">
    <cfRule type="expression" priority="3574" aboveAverage="0" equalAverage="0" bottom="0" percent="0" rank="0" text="" dxfId="3584">
      <formula>$F2005:T3059="pp"</formula>
    </cfRule>
    <cfRule type="expression" priority="3575" aboveAverage="0" equalAverage="0" bottom="0" percent="0" rank="0" text="" dxfId="3585">
      <formula>$F2005:T2342="pp"</formula>
    </cfRule>
  </conditionalFormatting>
  <conditionalFormatting sqref="A327:A328">
    <cfRule type="expression" priority="3576" aboveAverage="0" equalAverage="0" bottom="0" percent="0" rank="0" text="" dxfId="3586">
      <formula>$F327:F2325="pp"</formula>
    </cfRule>
  </conditionalFormatting>
  <conditionalFormatting sqref="A381:A386">
    <cfRule type="expression" priority="3577" aboveAverage="0" equalAverage="0" bottom="0" percent="0" rank="0" text="" dxfId="3587">
      <formula>$F381:F2302="pp"</formula>
    </cfRule>
  </conditionalFormatting>
  <conditionalFormatting sqref="B387:B395 L387:L395 J387:J395">
    <cfRule type="expression" priority="3578" aboveAverage="0" equalAverage="0" bottom="0" percent="0" rank="0" text="" dxfId="3588">
      <formula>$F387:G2285="pp"</formula>
    </cfRule>
  </conditionalFormatting>
  <conditionalFormatting sqref="C432:D439">
    <cfRule type="expression" priority="3579" aboveAverage="0" equalAverage="0" bottom="0" percent="0" rank="0" text="" dxfId="3589">
      <formula>$F432:H2298="pp"</formula>
    </cfRule>
  </conditionalFormatting>
  <conditionalFormatting sqref="A583:A588">
    <cfRule type="expression" priority="3580" aboveAverage="0" equalAverage="0" bottom="0" percent="0" rank="0" text="" dxfId="3590">
      <formula>$F583:F2305="pp"</formula>
    </cfRule>
  </conditionalFormatting>
  <conditionalFormatting sqref="A631:A633">
    <cfRule type="expression" priority="3581" aboveAverage="0" equalAverage="0" bottom="0" percent="0" rank="0" text="" dxfId="3591">
      <formula>$F631:F2288="pp"</formula>
    </cfRule>
  </conditionalFormatting>
  <conditionalFormatting sqref="J676:J681 B676:B681 L676:L681 K713:K716 M713:N716">
    <cfRule type="expression" priority="3582" aboveAverage="0" equalAverage="0" bottom="0" percent="0" rank="0" text="" dxfId="3592">
      <formula>$F676:G2273="pp"</formula>
    </cfRule>
  </conditionalFormatting>
  <conditionalFormatting sqref="J697:J701 A719:A724 B697:B701 L697:L701">
    <cfRule type="expression" priority="3583" aboveAverage="0" equalAverage="0" bottom="0" percent="0" rank="0" text="" dxfId="3593">
      <formula>$F697:F2272="pp"</formula>
    </cfRule>
  </conditionalFormatting>
  <conditionalFormatting sqref="K836:K839 B787:B801 A830:A831 A834:A835 M836:N839 J787:J801 L787:L801">
    <cfRule type="expression" priority="3584" aboveAverage="0" equalAverage="0" bottom="0" percent="0" rank="0" text="" dxfId="3594">
      <formula>$F787:F2274="pp"</formula>
    </cfRule>
  </conditionalFormatting>
  <conditionalFormatting sqref="A922:A924">
    <cfRule type="expression" priority="3585" aboveAverage="0" equalAverage="0" bottom="0" percent="0" rank="0" text="" dxfId="3595">
      <formula>$F922:F2365="pp"</formula>
    </cfRule>
  </conditionalFormatting>
  <conditionalFormatting sqref="A1060:A1073 C1074:D1077">
    <cfRule type="expression" priority="3586" aboveAverage="0" equalAverage="0" bottom="0" percent="0" rank="0" text="" dxfId="3596">
      <formula>$F1060:F2308="pp"</formula>
    </cfRule>
  </conditionalFormatting>
  <conditionalFormatting sqref="C1176:D1187">
    <cfRule type="expression" priority="3587" aboveAverage="0" equalAverage="0" bottom="0" percent="0" rank="0" text="" dxfId="3597">
      <formula>$F1176:H2345="pp"</formula>
    </cfRule>
  </conditionalFormatting>
  <conditionalFormatting sqref="K1198:K1201 M1198:N1201">
    <cfRule type="expression" priority="3588" aboveAverage="0" equalAverage="0" bottom="0" percent="0" rank="0" text="" dxfId="3598">
      <formula>$F1198:P2340="pp"</formula>
    </cfRule>
  </conditionalFormatting>
  <conditionalFormatting sqref="A1239:A1263">
    <cfRule type="expression" priority="3589" aboveAverage="0" equalAverage="0" bottom="0" percent="0" rank="0" text="" dxfId="3599">
      <formula>$F1239:F2318="pp"</formula>
    </cfRule>
  </conditionalFormatting>
  <conditionalFormatting sqref="A1297:A1300">
    <cfRule type="expression" priority="3590" aboveAverage="0" equalAverage="0" bottom="0" percent="0" rank="0" text="" dxfId="3600">
      <formula>$F1297:F2317="pp"</formula>
    </cfRule>
  </conditionalFormatting>
  <conditionalFormatting sqref="K1350:K1354 M1350:N1354">
    <cfRule type="expression" priority="3591" aboveAverage="0" equalAverage="0" bottom="0" percent="0" rank="0" text="" dxfId="3601">
      <formula>$F1350:P2309="pp"</formula>
    </cfRule>
  </conditionalFormatting>
  <conditionalFormatting sqref="J1387:J1389 B1387:B1389 L1387:L1389">
    <cfRule type="expression" priority="3592" aboveAverage="0" equalAverage="0" bottom="0" percent="0" rank="0" text="" dxfId="3602">
      <formula>$F1387:G2284="pp"</formula>
    </cfRule>
  </conditionalFormatting>
  <conditionalFormatting sqref="A1499:A1500">
    <cfRule type="expression" priority="3593" aboveAverage="0" equalAverage="0" bottom="0" percent="0" rank="0" text="" dxfId="3603">
      <formula>$F1499:F2323="pp"</formula>
    </cfRule>
  </conditionalFormatting>
  <conditionalFormatting sqref="K1560:K1562 B1510:B1513 M1560:N1562 J1510:J1513 L1510:L1513">
    <cfRule type="expression" priority="3594" aboveAverage="0" equalAverage="0" bottom="0" percent="0" rank="0" text="" dxfId="3604">
      <formula>$F1510:G2304="pp"</formula>
    </cfRule>
  </conditionalFormatting>
  <conditionalFormatting sqref="J1529:J1532 B1529:B1532 L1529:L1532">
    <cfRule type="expression" priority="3595" aboveAverage="0" equalAverage="0" bottom="0" percent="0" rank="0" text="" dxfId="3605">
      <formula>$F1529:G2307="pp"</formula>
    </cfRule>
  </conditionalFormatting>
  <conditionalFormatting sqref="A1607:A1611 B1597:B1601 L1597:L1601 J1597:J1601">
    <cfRule type="expression" priority="3596" aboveAverage="0" equalAverage="0" bottom="0" percent="0" rank="0" text="" dxfId="3606">
      <formula>$F1597:F2308="pp"</formula>
    </cfRule>
  </conditionalFormatting>
  <conditionalFormatting sqref="K1654:K1660 M1654:N1660">
    <cfRule type="expression" priority="3597" aboveAverage="0" equalAverage="0" bottom="0" percent="0" rank="0" text="" dxfId="3607">
      <formula>$F1654:P2354="pp"</formula>
    </cfRule>
  </conditionalFormatting>
  <conditionalFormatting sqref="J1620:J1639 B1620:B1639 L1620:L1639">
    <cfRule type="expression" priority="3598" aboveAverage="0" equalAverage="0" bottom="0" percent="0" rank="0" text="" dxfId="3608">
      <formula>$F1620:G2301="pp"</formula>
    </cfRule>
  </conditionalFormatting>
  <conditionalFormatting sqref="K1710:K1715 M1710:N1715">
    <cfRule type="expression" priority="3599" aboveAverage="0" equalAverage="0" bottom="0" percent="0" rank="0" text="" dxfId="3609">
      <formula>$F1710:P2347="pp"</formula>
    </cfRule>
  </conditionalFormatting>
  <conditionalFormatting sqref="B1718:B1720 L1718:L1720 J1718:J1720">
    <cfRule type="expression" priority="3600" aboveAverage="0" equalAverage="0" bottom="0" percent="0" rank="0" text="" dxfId="3610">
      <formula>$F1718:G2313="pp"</formula>
    </cfRule>
  </conditionalFormatting>
  <conditionalFormatting sqref="C1771:D1776 M1777:N1779 K1777:K1779">
    <cfRule type="expression" priority="3601" aboveAverage="0" equalAverage="0" bottom="0" percent="0" rank="0" text="" dxfId="3611">
      <formula>$F1771:H2336="pp"</formula>
    </cfRule>
  </conditionalFormatting>
  <conditionalFormatting sqref="C1808:D1809 C1795:D1796">
    <cfRule type="expression" priority="3602" aboveAverage="0" equalAverage="0" bottom="0" percent="0" rank="0" text="" dxfId="3612">
      <formula>$F1795:H2336="pp"</formula>
    </cfRule>
  </conditionalFormatting>
  <conditionalFormatting sqref="K1835:K1836 M1835:N1836 J1783:J1785 L1783:L1785 B1783:B1785">
    <cfRule type="expression" priority="3603" aboveAverage="0" equalAverage="0" bottom="0" percent="0" rank="0" text="" dxfId="3613">
      <formula>$F1783:G2305="pp"</formula>
    </cfRule>
  </conditionalFormatting>
  <conditionalFormatting sqref="J1830:J1834 B1830:B1834 L1830:L1834">
    <cfRule type="expression" priority="3604" aboveAverage="0" equalAverage="0" bottom="0" percent="0" rank="0" text="" dxfId="3614">
      <formula>$F1830:G2321="pp"</formula>
    </cfRule>
  </conditionalFormatting>
  <conditionalFormatting sqref="B1837:B1844 L1837:L1844 J1837:J1844">
    <cfRule type="expression" priority="3605" aboveAverage="0" equalAverage="0" bottom="0" percent="0" rank="0" text="" dxfId="3615">
      <formula>$F1837:G2316="pp"</formula>
    </cfRule>
  </conditionalFormatting>
  <conditionalFormatting sqref="K1891:K1895 M1891:N1895">
    <cfRule type="expression" priority="3606" aboveAverage="0" equalAverage="0" bottom="0" percent="0" rank="0" text="" dxfId="3616">
      <formula>$F1891:P2359="pp"</formula>
    </cfRule>
  </conditionalFormatting>
  <conditionalFormatting sqref="A2038:A2043">
    <cfRule type="expression" priority="3607" aboveAverage="0" equalAverage="0" bottom="0" percent="0" rank="0" text="" dxfId="3617">
      <formula>$F2038:F2328="pp"</formula>
    </cfRule>
  </conditionalFormatting>
  <conditionalFormatting sqref="A2048:A2049">
    <cfRule type="expression" priority="3608" aboveAverage="0" equalAverage="0" bottom="0" percent="0" rank="0" text="" dxfId="3618">
      <formula>$F2048:F2332="pp"</formula>
    </cfRule>
  </conditionalFormatting>
  <conditionalFormatting sqref="K307:K310 M307:N310">
    <cfRule type="expression" priority="3609" aboveAverage="0" equalAverage="0" bottom="0" percent="0" rank="0" text="" dxfId="3619">
      <formula>$F307:P2308="pp"</formula>
    </cfRule>
  </conditionalFormatting>
  <conditionalFormatting sqref="K151:K154">
    <cfRule type="expression" priority="3610" aboveAverage="0" equalAverage="0" bottom="0" percent="0" rank="0" text="" dxfId="3620">
      <formula>$F151:P2304="pp"</formula>
    </cfRule>
  </conditionalFormatting>
  <conditionalFormatting sqref="B381:B385 M401:N405 J381:J385 L381:L385 K401:K405">
    <cfRule type="expression" priority="3611" aboveAverage="0" equalAverage="0" bottom="0" percent="0" rank="0" text="" dxfId="3621">
      <formula>$F381:G2284="pp"</formula>
    </cfRule>
  </conditionalFormatting>
  <conditionalFormatting sqref="B416:B420 L416:L420 J416:J420">
    <cfRule type="expression" priority="3612" aboveAverage="0" equalAverage="0" bottom="0" percent="0" rank="0" text="" dxfId="3622">
      <formula>$F416:G2263="pp"</formula>
    </cfRule>
  </conditionalFormatting>
  <conditionalFormatting sqref="J583:J588 B583:B588 L583:L588">
    <cfRule type="expression" priority="3613" aboveAverage="0" equalAverage="0" bottom="0" percent="0" rank="0" text="" dxfId="3623">
      <formula>$F583:G2275="pp"</formula>
    </cfRule>
  </conditionalFormatting>
  <conditionalFormatting sqref="K708:K712 M708:N712">
    <cfRule type="expression" priority="3614" aboveAverage="0" equalAverage="0" bottom="0" percent="0" rank="0" text="" dxfId="3624">
      <formula>$F708:P2310="pp"</formula>
    </cfRule>
  </conditionalFormatting>
  <conditionalFormatting sqref="A733:A735">
    <cfRule type="expression" priority="3615" aboveAverage="0" equalAverage="0" bottom="0" percent="0" rank="0" text="" dxfId="3625">
      <formula>$F733:F2294="pp"</formula>
    </cfRule>
  </conditionalFormatting>
  <conditionalFormatting sqref="A754:A763">
    <cfRule type="expression" priority="3616" aboveAverage="0" equalAverage="0" bottom="0" percent="0" rank="0" text="" dxfId="3626">
      <formula>$F754:F2288="pp"</formula>
    </cfRule>
  </conditionalFormatting>
  <conditionalFormatting sqref="C816:D818">
    <cfRule type="expression" priority="3617" aboveAverage="0" equalAverage="0" bottom="0" percent="0" rank="0" text="" dxfId="3627">
      <formula>$F816:H2329="pp"</formula>
    </cfRule>
  </conditionalFormatting>
  <conditionalFormatting sqref="K922:K924 M922:N924">
    <cfRule type="expression" priority="3618" aboveAverage="0" equalAverage="0" bottom="0" percent="0" rank="0" text="" dxfId="3628">
      <formula>$F922:P2369="pp"</formula>
    </cfRule>
  </conditionalFormatting>
  <conditionalFormatting sqref="A942:A949 C950:D959">
    <cfRule type="expression" priority="3619" aboveAverage="0" equalAverage="0" bottom="0" percent="0" rank="0" text="" dxfId="3629">
      <formula>$F942:F2317="pp"</formula>
    </cfRule>
  </conditionalFormatting>
  <conditionalFormatting sqref="B927:B931 L927:L931 K972:K977 M972:N977 J927:J931">
    <cfRule type="expression" priority="3620" aboveAverage="0" equalAverage="0" bottom="0" percent="0" rank="0" text="" dxfId="3630">
      <formula>$F927:G2277="pp"</formula>
    </cfRule>
  </conditionalFormatting>
  <conditionalFormatting sqref="B965:B971 A1001:A1003 L965:L971 J965:J971">
    <cfRule type="expression" priority="3621" aboveAverage="0" equalAverage="0" bottom="0" percent="0" rank="0" text="" dxfId="3631">
      <formula>$F965:F2285="pp"</formula>
    </cfRule>
  </conditionalFormatting>
  <conditionalFormatting sqref="K1004:K1006 M1004:N1006">
    <cfRule type="expression" priority="3622" aboveAverage="0" equalAverage="0" bottom="0" percent="0" rank="0" text="" dxfId="3632">
      <formula>$F1004:P2318="pp"</formula>
    </cfRule>
  </conditionalFormatting>
  <conditionalFormatting sqref="B1027:B1030 L1027:L1030 J1027:J1030">
    <cfRule type="expression" priority="3623" aboveAverage="0" equalAverage="0" bottom="0" percent="0" rank="0" text="" dxfId="3633">
      <formula>$F1027:G2287="pp"</formula>
    </cfRule>
  </conditionalFormatting>
  <conditionalFormatting sqref="A1099:A1118">
    <cfRule type="expression" priority="3624" aboveAverage="0" equalAverage="0" bottom="0" percent="0" rank="0" text="" dxfId="3634">
      <formula>$F1099:F2320="pp"</formula>
    </cfRule>
  </conditionalFormatting>
  <conditionalFormatting sqref="K1176:K1185 M1176:N1185 K1171:K1174 M1171:N1174">
    <cfRule type="expression" priority="3625" aboveAverage="0" equalAverage="0" bottom="0" percent="0" rank="0" text="" dxfId="3635">
      <formula>$F1171:P2327="pp"</formula>
    </cfRule>
  </conditionalFormatting>
  <conditionalFormatting sqref="B1188:B1189 M1220:N1226 J1188:J1189 L1188:L1189 K1220:K1226">
    <cfRule type="expression" priority="3626" aboveAverage="0" equalAverage="0" bottom="0" percent="0" rank="0" text="" dxfId="3636">
      <formula>$F1188:G2301="pp"</formula>
    </cfRule>
  </conditionalFormatting>
  <conditionalFormatting sqref="K1238:K1248 M1238:N1248">
    <cfRule type="expression" priority="3627" aboveAverage="0" equalAverage="0" bottom="0" percent="0" rank="0" text="" dxfId="3637">
      <formula>$F1238:P2321="pp"</formula>
    </cfRule>
  </conditionalFormatting>
  <conditionalFormatting sqref="J1288:J1290 L1288:L1290 B1288:B1290">
    <cfRule type="expression" priority="3628" aboveAverage="0" equalAverage="0" bottom="0" percent="0" rank="0" text="" dxfId="3638">
      <formula>$F1288:G2285="pp"</formula>
    </cfRule>
  </conditionalFormatting>
  <conditionalFormatting sqref="J1297:J1300 L1297:L1300 B1297:B1300">
    <cfRule type="expression" priority="3629" aboveAverage="0" equalAverage="0" bottom="0" percent="0" rank="0" text="" dxfId="3639">
      <formula>$F1297:G2284="pp"</formula>
    </cfRule>
  </conditionalFormatting>
  <conditionalFormatting sqref="B1350:B1354 L1350:L1354 J1350:J1354">
    <cfRule type="expression" priority="3630" aboveAverage="0" equalAverage="0" bottom="0" percent="0" rank="0" text="" dxfId="3640">
      <formula>$F1350:G2272="pp"</formula>
    </cfRule>
  </conditionalFormatting>
  <conditionalFormatting sqref="A1434:A1435">
    <cfRule type="expression" priority="3631" aboveAverage="0" equalAverage="0" bottom="0" percent="0" rank="0" text="" dxfId="3641">
      <formula>$F1434:F2320="pp"</formula>
    </cfRule>
  </conditionalFormatting>
  <conditionalFormatting sqref="C1555:D1559">
    <cfRule type="expression" priority="3632" aboveAverage="0" equalAverage="0" bottom="0" percent="0" rank="0" text="" dxfId="3642">
      <formula>$F1555:H2354="pp"</formula>
    </cfRule>
  </conditionalFormatting>
  <conditionalFormatting sqref="A1602:A1606 C1620:D1639">
    <cfRule type="expression" priority="3633" aboveAverage="0" equalAverage="0" bottom="0" percent="0" rank="0" text="" dxfId="3643">
      <formula>$F1602:F2317="pp"</formula>
    </cfRule>
  </conditionalFormatting>
  <conditionalFormatting sqref="C1682:D1688">
    <cfRule type="expression" priority="3634" aboveAverage="0" equalAverage="0" bottom="0" percent="0" rank="0" text="" dxfId="3644">
      <formula>$F1682:H2334="pp"</formula>
    </cfRule>
  </conditionalFormatting>
  <conditionalFormatting sqref="B1703:B1704 L1703:L1704 J1703:J1704">
    <cfRule type="expression" priority="3635" aboveAverage="0" equalAverage="0" bottom="0" percent="0" rank="0" text="" dxfId="3645">
      <formula>$F1703:G2309="pp"</formula>
    </cfRule>
  </conditionalFormatting>
  <conditionalFormatting sqref="C1777:D1779 M1780:N1782 K1780:K1782">
    <cfRule type="expression" priority="3636" aboveAverage="0" equalAverage="0" bottom="0" percent="0" rank="0" text="" dxfId="3646">
      <formula>$F1777:H2339="pp"</formula>
    </cfRule>
  </conditionalFormatting>
  <conditionalFormatting sqref="K1880:K1881 M1880:N1881">
    <cfRule type="expression" priority="3637" aboveAverage="0" equalAverage="0" bottom="0" percent="0" rank="0" text="" dxfId="3647">
      <formula>$F1880:P2366="pp"</formula>
    </cfRule>
  </conditionalFormatting>
  <conditionalFormatting sqref="B1869:B1872 L1869:L1872 J1869:J1872">
    <cfRule type="expression" priority="3638" aboveAverage="0" equalAverage="0" bottom="0" percent="0" rank="0" text="" dxfId="3648">
      <formula>$F1869:G2329="pp"</formula>
    </cfRule>
  </conditionalFormatting>
  <conditionalFormatting sqref="A1904:A1910">
    <cfRule type="expression" priority="3639" aboveAverage="0" equalAverage="0" bottom="0" percent="0" rank="0" text="" dxfId="3649">
      <formula>$F1904:F2329="pp"</formula>
    </cfRule>
  </conditionalFormatting>
  <conditionalFormatting sqref="K1982:K1986 M1982:N1986">
    <cfRule type="expression" priority="3640" aboveAverage="0" equalAverage="0" bottom="0" percent="0" rank="0" text="" dxfId="3650">
      <formula>$F1982:P2359="pp"</formula>
    </cfRule>
  </conditionalFormatting>
  <conditionalFormatting sqref="A1966:A1967">
    <cfRule type="expression" priority="3641" aboveAverage="0" equalAverage="0" bottom="0" percent="0" rank="0" text="" dxfId="3651">
      <formula>$F1966:F2339="pp"</formula>
    </cfRule>
  </conditionalFormatting>
  <conditionalFormatting sqref="B1955:B1959 L1955:L1959 J1955:J1959">
    <cfRule type="expression" priority="3642" aboveAverage="0" equalAverage="0" bottom="0" percent="0" rank="0" text="" dxfId="3652">
      <formula>$F1955:G2324="pp"</formula>
    </cfRule>
  </conditionalFormatting>
  <conditionalFormatting sqref="B1962:B1963 A1981:A1982 L1962:L1963 J1962:J1963">
    <cfRule type="expression" priority="3643" aboveAverage="0" equalAverage="0" bottom="0" percent="0" rank="0" text="" dxfId="3653">
      <formula>$F1962:F2326="pp"</formula>
    </cfRule>
  </conditionalFormatting>
  <conditionalFormatting sqref="A2014:A2025">
    <cfRule type="expression" priority="3644" aboveAverage="0" equalAverage="0" bottom="0" percent="0" rank="0" text="" dxfId="3654">
      <formula>$F2014:F2332="pp"</formula>
    </cfRule>
  </conditionalFormatting>
  <conditionalFormatting sqref="B2035:B2037 L2035:L2037 J2035:J2037">
    <cfRule type="expression" priority="3645" aboveAverage="0" equalAverage="0" bottom="0" percent="0" rank="0" text="" dxfId="3655">
      <formula>$F2035:G2309="pp"</formula>
    </cfRule>
  </conditionalFormatting>
  <conditionalFormatting sqref="B2038:B2043 L2038:L2043 J2038:J2043">
    <cfRule type="expression" priority="3646" aboveAverage="0" equalAverage="0" bottom="0" percent="0" rank="0" text="" dxfId="3656">
      <formula>$F2038:G2310="pp"</formula>
    </cfRule>
  </conditionalFormatting>
  <conditionalFormatting sqref="B2044:B2047 L2044:L2047 J2044:J2047">
    <cfRule type="expression" priority="3647" aboveAverage="0" equalAverage="0" bottom="0" percent="0" rank="0" text="" dxfId="3657">
      <formula>$F2044:G2312="pp"</formula>
    </cfRule>
  </conditionalFormatting>
  <conditionalFormatting sqref="B2050:B2052 L2050:L2052 J2050:J2052">
    <cfRule type="expression" priority="3648" aboveAverage="0" equalAverage="0" bottom="0" percent="0" rank="0" text="" dxfId="3658">
      <formula>$F2050:G2312="pp"</formula>
    </cfRule>
  </conditionalFormatting>
  <conditionalFormatting sqref="B296:B297 L296:L297 J296:J297">
    <cfRule type="expression" priority="3649" aboveAverage="0" equalAverage="0" bottom="0" percent="0" rank="0" text="" dxfId="3659">
      <formula>$F296:G2286="pp"</formula>
    </cfRule>
  </conditionalFormatting>
  <conditionalFormatting sqref="C381:D394">
    <cfRule type="expression" priority="3650" aboveAverage="0" equalAverage="0" bottom="0" percent="0" rank="0" text="" dxfId="3660">
      <formula>$F381:H2318="pp"</formula>
    </cfRule>
  </conditionalFormatting>
  <conditionalFormatting sqref="A387:A395">
    <cfRule type="expression" priority="3651" aboveAverage="0" equalAverage="0" bottom="0" percent="0" rank="0" text="" dxfId="3661">
      <formula>$F387:F2303="pp"</formula>
    </cfRule>
  </conditionalFormatting>
  <conditionalFormatting sqref="K432:K439 M432:N439">
    <cfRule type="expression" priority="3652" aboveAverage="0" equalAverage="0" bottom="0" percent="0" rank="0" text="" dxfId="3662">
      <formula>$F432:P2301="pp"</formula>
    </cfRule>
  </conditionalFormatting>
  <conditionalFormatting sqref="M494:N499 C489:D490 K494:K500">
    <cfRule type="expression" priority="3653" aboveAverage="0" equalAverage="0" bottom="0" percent="0" rank="0" text="" dxfId="3663">
      <formula>$F489:H2305="pp"</formula>
    </cfRule>
  </conditionalFormatting>
  <conditionalFormatting sqref="J545:J546 L545:L546 B545:B546">
    <cfRule type="expression" priority="3654" aboveAverage="0" equalAverage="0" bottom="0" percent="0" rank="0" text="" dxfId="3664">
      <formula>$F545:G2276="pp"</formula>
    </cfRule>
  </conditionalFormatting>
  <conditionalFormatting sqref="B643:B646 L643:L646 J643:J646">
    <cfRule type="expression" priority="3655" aboveAverage="0" equalAverage="0" bottom="0" percent="0" rank="0" text="" dxfId="3665">
      <formula>$F643:G2268="pp"</formula>
    </cfRule>
  </conditionalFormatting>
  <conditionalFormatting sqref="B692:B693 A713:A716 L692:L693 J692:J693">
    <cfRule type="expression" priority="3656" aboveAverage="0" equalAverage="0" bottom="0" percent="0" rank="0" text="" dxfId="3666">
      <formula>$F692:F2270="pp"</formula>
    </cfRule>
  </conditionalFormatting>
  <conditionalFormatting sqref="J728:J730 L728:L730 B728:B730">
    <cfRule type="expression" priority="3657" aboveAverage="0" equalAverage="0" bottom="0" percent="0" rank="0" text="" dxfId="3667">
      <formula>$F728:G2275="pp"</formula>
    </cfRule>
  </conditionalFormatting>
  <conditionalFormatting sqref="B733:B735 L733:L735 J733:J735">
    <cfRule type="expression" priority="3658" aboveAverage="0" equalAverage="0" bottom="0" percent="0" rank="0" text="" dxfId="3668">
      <formula>$F733:G2276="pp"</formula>
    </cfRule>
  </conditionalFormatting>
  <conditionalFormatting sqref="C922:D924">
    <cfRule type="expression" priority="3659" aboveAverage="0" equalAverage="0" bottom="0" percent="0" rank="0" text="" dxfId="3669">
      <formula>$F922:H2382="pp"</formula>
    </cfRule>
  </conditionalFormatting>
  <conditionalFormatting sqref="C927:D931">
    <cfRule type="expression" priority="3660" aboveAverage="0" equalAverage="0" bottom="0" percent="0" rank="0" text="" dxfId="3670">
      <formula>$F927:H2327="pp"</formula>
    </cfRule>
  </conditionalFormatting>
  <conditionalFormatting sqref="K925:K926 M925:N926">
    <cfRule type="expression" priority="3661" aboveAverage="0" equalAverage="0" bottom="0" percent="0" rank="0" text="" dxfId="3671">
      <formula>$F925:P2318="pp"</formula>
    </cfRule>
  </conditionalFormatting>
  <conditionalFormatting sqref="C1001:D1009">
    <cfRule type="expression" priority="3662" aboveAverage="0" equalAverage="0" bottom="0" percent="0" rank="0" text="" dxfId="3672">
      <formula>$F1001:H2338="pp"</formula>
    </cfRule>
  </conditionalFormatting>
  <conditionalFormatting sqref="A1004:A1009 C1027:D1030">
    <cfRule type="expression" priority="3663" aboveAverage="0" equalAverage="0" bottom="0" percent="0" rank="0" text="" dxfId="3673">
      <formula>$F1004:F2314="pp"</formula>
    </cfRule>
  </conditionalFormatting>
  <conditionalFormatting sqref="A1027:A1030">
    <cfRule type="expression" priority="3664" aboveAverage="0" equalAverage="0" bottom="0" percent="0" rank="0" text="" dxfId="3674">
      <formula>$F1027:F2320="pp"</formula>
    </cfRule>
  </conditionalFormatting>
  <conditionalFormatting sqref="B1004:B1006 L1004:L1006 J1004:J1006">
    <cfRule type="expression" priority="3665" aboveAverage="0" equalAverage="0" bottom="0" percent="0" rank="0" text="" dxfId="3675">
      <formula>$F1004:G2281="pp"</formula>
    </cfRule>
  </conditionalFormatting>
  <conditionalFormatting sqref="C1060:D1072">
    <cfRule type="expression" priority="3666" aboveAverage="0" equalAverage="0" bottom="0" percent="0" rank="0" text="" dxfId="3676">
      <formula>$F1060:H2325="pp"</formula>
    </cfRule>
  </conditionalFormatting>
  <conditionalFormatting sqref="K1151:K1152 M1151:N1152">
    <cfRule type="expression" priority="3667" aboveAverage="0" equalAverage="0" bottom="0" percent="0" rank="0" text="" dxfId="3677">
      <formula>$F1151:P2317="pp"</formula>
    </cfRule>
  </conditionalFormatting>
  <conditionalFormatting sqref="J1198:J1201 B1198:B1201 L1198:L1201">
    <cfRule type="expression" priority="3668" aboveAverage="0" equalAverage="0" bottom="0" percent="0" rank="0" text="" dxfId="3678">
      <formula>$F1198:G2303="pp"</formula>
    </cfRule>
  </conditionalFormatting>
  <conditionalFormatting sqref="C1238:D1263">
    <cfRule type="expression" priority="3669" aboveAverage="0" equalAverage="0" bottom="0" percent="0" rank="0" text="" dxfId="3679">
      <formula>$F1238:H2334="pp"</formula>
    </cfRule>
  </conditionalFormatting>
  <conditionalFormatting sqref="K1347:K1349 M1347:N1349">
    <cfRule type="expression" priority="3670" aboveAverage="0" equalAverage="0" bottom="0" percent="0" rank="0" text="" dxfId="3680">
      <formula>$F1347:P2312="pp"</formula>
    </cfRule>
  </conditionalFormatting>
  <conditionalFormatting sqref="C1350:D1354">
    <cfRule type="expression" priority="3671" aboveAverage="0" equalAverage="0" bottom="0" percent="0" rank="0" text="" dxfId="3681">
      <formula>$F1350:H2306="pp"</formula>
    </cfRule>
  </conditionalFormatting>
  <conditionalFormatting sqref="B1322:B1323 L1322:L1323 J1322:J1323">
    <cfRule type="expression" priority="3672" aboveAverage="0" equalAverage="0" bottom="0" percent="0" rank="0" text="" dxfId="3682">
      <formula>$F1322:G2273="pp"</formula>
    </cfRule>
  </conditionalFormatting>
  <conditionalFormatting sqref="C1367:D1370 B1325:B1328 L1325:L1328 J1325:J1328">
    <cfRule type="expression" priority="3673" aboveAverage="0" equalAverage="0" bottom="0" percent="0" rank="0" text="" dxfId="3683">
      <formula>$F1325:G2268="pp"</formula>
    </cfRule>
  </conditionalFormatting>
  <conditionalFormatting sqref="C1377:D1379">
    <cfRule type="expression" priority="3674" aboveAverage="0" equalAverage="0" bottom="0" percent="0" rank="0" text="" dxfId="3684">
      <formula>$F1377:H2313="pp"</formula>
    </cfRule>
  </conditionalFormatting>
  <conditionalFormatting sqref="K1434:K1435 M1434:N1435">
    <cfRule type="expression" priority="3675" aboveAverage="0" equalAverage="0" bottom="0" percent="0" rank="0" text="" dxfId="3685">
      <formula>$F1434:P2339="pp"</formula>
    </cfRule>
  </conditionalFormatting>
  <conditionalFormatting sqref="C1522:D1534 C1510:D1516 A1490:A1495">
    <cfRule type="expression" priority="3676" aboveAverage="0" equalAverage="0" bottom="0" percent="0" rank="0" text="" dxfId="3686">
      <formula>$F1490:F2318="pp"</formula>
    </cfRule>
  </conditionalFormatting>
  <conditionalFormatting sqref="K1545:K1551 B1490:B1495 M1545:N1551 K1539:K1540 M1539:N1540 J1490:J1495 L1490:L1495">
    <cfRule type="expression" priority="3677" aboveAverage="0" equalAverage="0" bottom="0" percent="0" rank="0" text="" dxfId="3687">
      <formula>$F1490:G2300="pp"</formula>
    </cfRule>
  </conditionalFormatting>
  <conditionalFormatting sqref="K1611:K1614 M1611:N1614">
    <cfRule type="expression" priority="3678" aboveAverage="0" equalAverage="0" bottom="0" percent="0" rank="0" text="" dxfId="3688">
      <formula>$F1611:P2339="pp"</formula>
    </cfRule>
  </conditionalFormatting>
  <conditionalFormatting sqref="J1817:J1821 L1817:L1821 C1869:D1872 B1817:B1821">
    <cfRule type="expression" priority="3679" aboveAverage="0" equalAverage="0" bottom="0" percent="0" rank="0" text="" dxfId="3689">
      <formula>$F1817:G2311="pp"</formula>
    </cfRule>
  </conditionalFormatting>
  <conditionalFormatting sqref="J1891:J1895 L1891:L1895 B1891:B1895">
    <cfRule type="expression" priority="3680" aboveAverage="0" equalAverage="0" bottom="0" percent="0" rank="0" text="" dxfId="3690">
      <formula>$F1891:G2306="pp"</formula>
    </cfRule>
  </conditionalFormatting>
  <conditionalFormatting sqref="C1955:D1959 A1922:A1924">
    <cfRule type="expression" priority="3681" aboveAverage="0" equalAverage="0" bottom="0" percent="0" rank="0" text="" dxfId="3691">
      <formula>$F1922:F2325="pp"</formula>
    </cfRule>
  </conditionalFormatting>
  <conditionalFormatting sqref="J1922:J1924 B1922:B1924 L1922:L1924">
    <cfRule type="expression" priority="3682" aboveAverage="0" equalAverage="0" bottom="0" percent="0" rank="0" text="" dxfId="3692">
      <formula>$F1922:G2307="pp"</formula>
    </cfRule>
  </conditionalFormatting>
  <conditionalFormatting sqref="C2006:D2013">
    <cfRule type="expression" priority="3683" aboveAverage="0" equalAverage="0" bottom="0" percent="0" rank="0" text="" dxfId="3693">
      <formula>$F2006:H2347="pp"</formula>
    </cfRule>
  </conditionalFormatting>
  <conditionalFormatting sqref="C2027:D2030">
    <cfRule type="expression" priority="3684" aboveAverage="0" equalAverage="0" bottom="0" percent="0" rank="0" text="" dxfId="3694">
      <formula>$F2027:H2353="pp"</formula>
    </cfRule>
  </conditionalFormatting>
  <conditionalFormatting sqref="C2032:D2034 B1998:B2000 L1998:L2000 J1998:J2000">
    <cfRule type="expression" priority="3685" aboveAverage="0" equalAverage="0" bottom="0" percent="0" rank="0" text="" dxfId="3695">
      <formula>$F1998:G2312="pp"</formula>
    </cfRule>
  </conditionalFormatting>
  <conditionalFormatting sqref="C2048:D2049 B2014:B2026 L2014:L2026 J2014:J2026">
    <cfRule type="expression" priority="3686" aboveAverage="0" equalAverage="0" bottom="0" percent="0" rank="0" text="" dxfId="3696">
      <formula>$F2014:G2314="pp"</formula>
    </cfRule>
  </conditionalFormatting>
  <conditionalFormatting sqref="C2050:D2052">
    <cfRule type="expression" priority="3687" aboveAverage="0" equalAverage="0" bottom="0" percent="0" rank="0" text="" dxfId="3697">
      <formula>$F2050:H2346="pp"</formula>
    </cfRule>
  </conditionalFormatting>
  <conditionalFormatting sqref="A2035:A2037 B2027:B2030 L2027:L2030 J2027:J2030">
    <cfRule type="expression" priority="3688" aboveAverage="0" equalAverage="0" bottom="0" percent="0" rank="0" text="" dxfId="3698">
      <formula>$F2027:F2319="pp"</formula>
    </cfRule>
  </conditionalFormatting>
  <conditionalFormatting sqref="A2044:A2047">
    <cfRule type="expression" priority="3689" aboveAverage="0" equalAverage="0" bottom="0" percent="0" rank="0" text="" dxfId="3699">
      <formula>$F2044:F2330="pp"</formula>
    </cfRule>
  </conditionalFormatting>
  <conditionalFormatting sqref="A2050:A2052 J2032:J2034 B2032:B2034 L2032:L2034">
    <cfRule type="expression" priority="3690" aboveAverage="0" equalAverage="0" bottom="0" percent="0" rank="0" text="" dxfId="3700">
      <formula>$F2032:F2312="pp"</formula>
    </cfRule>
  </conditionalFormatting>
  <conditionalFormatting sqref="G296:I297 O296:O297">
    <cfRule type="expression" priority="3691" aboveAverage="0" equalAverage="0" bottom="0" percent="0" rank="0" text="" dxfId="3701">
      <formula>$F296:K2286="pp"</formula>
    </cfRule>
  </conditionalFormatting>
  <conditionalFormatting sqref="E327:E328">
    <cfRule type="expression" priority="3692" aboveAverage="0" equalAverage="0" bottom="0" percent="0" rank="0" text="" dxfId="3702">
      <formula>$F327:I2296="pp"</formula>
    </cfRule>
  </conditionalFormatting>
  <conditionalFormatting sqref="G538:I539">
    <cfRule type="expression" priority="3693" aboveAverage="0" equalAverage="0" bottom="0" percent="0" rank="0" text="" dxfId="3703">
      <formula>$F538:K2276="pp"</formula>
    </cfRule>
  </conditionalFormatting>
  <conditionalFormatting sqref="O583:O588">
    <cfRule type="expression" priority="3694" aboveAverage="0" equalAverage="0" bottom="0" percent="0" rank="0" text="" dxfId="3704">
      <formula>$F583:S2290="pp"</formula>
    </cfRule>
  </conditionalFormatting>
  <conditionalFormatting sqref="G597:I602 O617:O620">
    <cfRule type="expression" priority="3695" aboveAverage="0" equalAverage="0" bottom="0" percent="0" rank="0" text="" dxfId="3705">
      <formula>$F597:K2275="pp"</formula>
    </cfRule>
  </conditionalFormatting>
  <conditionalFormatting sqref="E617:E620">
    <cfRule type="expression" priority="3696" aboveAverage="0" equalAverage="0" bottom="0" percent="0" rank="0" text="" dxfId="3706">
      <formula>$F617:I2290="pp"</formula>
    </cfRule>
  </conditionalFormatting>
  <conditionalFormatting sqref="O634:O641">
    <cfRule type="expression" priority="3697" aboveAverage="0" equalAverage="0" bottom="0" percent="0" rank="0" text="" dxfId="3707">
      <formula>$F634:S2284="pp"</formula>
    </cfRule>
  </conditionalFormatting>
  <conditionalFormatting sqref="O656:O659">
    <cfRule type="expression" priority="3698" aboveAverage="0" equalAverage="0" bottom="0" percent="0" rank="0" text="" dxfId="3708">
      <formula>$F656:S2283="pp"</formula>
    </cfRule>
  </conditionalFormatting>
  <conditionalFormatting sqref="P1418:P1422 P1426:P1427">
    <cfRule type="expression" priority="3699" aboveAverage="0" equalAverage="0" bottom="0" percent="0" rank="0" text="" dxfId="3709">
      <formula>$F1418:T3036="pp"</formula>
    </cfRule>
  </conditionalFormatting>
  <conditionalFormatting sqref="G668:I671 O689:O691">
    <cfRule type="expression" priority="3700" aboveAverage="0" equalAverage="0" bottom="0" percent="0" rank="0" text="" dxfId="3710">
      <formula>$F668:K2269="pp"</formula>
    </cfRule>
  </conditionalFormatting>
  <conditionalFormatting sqref="E692:E693">
    <cfRule type="expression" priority="3701" aboveAverage="0" equalAverage="0" bottom="0" percent="0" rank="0" text="" dxfId="3711">
      <formula>$F692:I2280="pp"</formula>
    </cfRule>
  </conditionalFormatting>
  <conditionalFormatting sqref="E719:E721 O722:O724">
    <cfRule type="expression" priority="3702" aboveAverage="0" equalAverage="0" bottom="0" percent="0" rank="0" text="" dxfId="3712">
      <formula>$F719:I2286="pp"</formula>
    </cfRule>
  </conditionalFormatting>
  <conditionalFormatting sqref="G754:I758">
    <cfRule type="expression" priority="3703" aboveAverage="0" equalAverage="0" bottom="0" percent="0" rank="0" text="" dxfId="3713">
      <formula>$F754:K2270="pp"</formula>
    </cfRule>
  </conditionalFormatting>
  <conditionalFormatting sqref="F1137:F1142">
    <cfRule type="expression" priority="3704" aboveAverage="0" equalAverage="0" bottom="0" percent="0" rank="0" text="" dxfId="3714">
      <formula>$F1137:J2619="pp"</formula>
    </cfRule>
  </conditionalFormatting>
  <conditionalFormatting sqref="F1162:F1170">
    <cfRule type="expression" priority="3705" aboveAverage="0" equalAverage="0" bottom="0" percent="0" rank="0" text="" dxfId="3715">
      <formula>$F1162:J2629="pp"</formula>
    </cfRule>
  </conditionalFormatting>
  <conditionalFormatting sqref="G939:I943 H944:H948 G944:G949 I944:I949">
    <cfRule type="expression" priority="3706" aboveAverage="0" equalAverage="0" bottom="0" percent="0" rank="0" text="" dxfId="3716">
      <formula>$F939:K2281="pp"</formula>
    </cfRule>
  </conditionalFormatting>
  <conditionalFormatting sqref="G1004:I1006">
    <cfRule type="expression" priority="3707" aboveAverage="0" equalAverage="0" bottom="0" percent="0" rank="0" text="" dxfId="3717">
      <formula>$F1004:K2281="pp"</formula>
    </cfRule>
  </conditionalFormatting>
  <conditionalFormatting sqref="E1060:E1072">
    <cfRule type="expression" priority="3708" aboveAverage="0" equalAverage="0" bottom="0" percent="0" rank="0" text="" dxfId="3718">
      <formula>$F1060:I2291="pp"</formula>
    </cfRule>
  </conditionalFormatting>
  <conditionalFormatting sqref="G1060:I1072">
    <cfRule type="expression" priority="3709" aboveAverage="0" equalAverage="0" bottom="0" percent="0" rank="0" text="" dxfId="3719">
      <formula>$F1060:K2275="pp"</formula>
    </cfRule>
  </conditionalFormatting>
  <conditionalFormatting sqref="G1116:I1118">
    <cfRule type="expression" priority="3710" aboveAverage="0" equalAverage="0" bottom="0" percent="0" rank="0" text="" dxfId="3720">
      <formula>$F1116:K2273="pp"</formula>
    </cfRule>
  </conditionalFormatting>
  <conditionalFormatting sqref="G1198:I1201">
    <cfRule type="expression" priority="3711" aboveAverage="0" equalAverage="0" bottom="0" percent="0" rank="0" text="" dxfId="3721">
      <formula>$F1198:K2303="pp"</formula>
    </cfRule>
  </conditionalFormatting>
  <conditionalFormatting sqref="E1238:E1263">
    <cfRule type="expression" priority="3712" aboveAverage="0" equalAverage="0" bottom="0" percent="0" rank="0" text="" dxfId="3722">
      <formula>$F1238:I2300="pp"</formula>
    </cfRule>
  </conditionalFormatting>
  <conditionalFormatting sqref="G1280:I1284">
    <cfRule type="expression" priority="3713" aboveAverage="0" equalAverage="0" bottom="0" percent="0" rank="0" text="" dxfId="3723">
      <formula>$F1280:K2284="pp"</formula>
    </cfRule>
  </conditionalFormatting>
  <conditionalFormatting sqref="G1322:I1323">
    <cfRule type="expression" priority="3714" aboveAverage="0" equalAverage="0" bottom="0" percent="0" rank="0" text="" dxfId="3724">
      <formula>$F1322:K2273="pp"</formula>
    </cfRule>
  </conditionalFormatting>
  <conditionalFormatting sqref="E1367:E1370">
    <cfRule type="expression" priority="3715" aboveAverage="0" equalAverage="0" bottom="0" percent="0" rank="0" text="" dxfId="3725">
      <formula>$F1367:I2286="pp"</formula>
    </cfRule>
  </conditionalFormatting>
  <conditionalFormatting sqref="E1397:E1400">
    <cfRule type="expression" priority="3716" aboveAverage="0" equalAverage="0" bottom="0" percent="0" rank="0" text="" dxfId="3726">
      <formula>$F1397:I2292="pp"</formula>
    </cfRule>
  </conditionalFormatting>
  <conditionalFormatting sqref="E1451:E1453 O1459:O1463 G1437:I1441">
    <cfRule type="expression" priority="3717" aboveAverage="0" equalAverage="0" bottom="0" percent="0" rank="0" text="" dxfId="3727">
      <formula>$F1437:I2299="pp"</formula>
    </cfRule>
  </conditionalFormatting>
  <conditionalFormatting sqref="P1476:P1479 P1472:P1473">
    <cfRule type="expression" priority="3718" aboveAverage="0" equalAverage="0" bottom="0" percent="0" rank="0" text="" dxfId="3728">
      <formula>$F1472:T2327="pp"</formula>
    </cfRule>
  </conditionalFormatting>
  <conditionalFormatting sqref="E1499:E1500">
    <cfRule type="expression" priority="3719" aboveAverage="0" equalAverage="0" bottom="0" percent="0" rank="0" text="" dxfId="3729">
      <formula>$F1499:I2315="pp"</formula>
    </cfRule>
  </conditionalFormatting>
  <conditionalFormatting sqref="F1599:F1601">
    <cfRule type="expression" priority="3720" aboveAverage="0" equalAverage="0" bottom="0" percent="0" rank="0" text="" dxfId="3730">
      <formula>$F1599:J2349="pp"</formula>
    </cfRule>
  </conditionalFormatting>
  <conditionalFormatting sqref="O1607:O1610">
    <cfRule type="expression" priority="3721" aboveAverage="0" equalAverage="0" bottom="0" percent="0" rank="0" text="" dxfId="3731">
      <formula>$F1607:S2315="pp"</formula>
    </cfRule>
  </conditionalFormatting>
  <conditionalFormatting sqref="E1654:E1660">
    <cfRule type="expression" priority="3722" aboveAverage="0" equalAverage="0" bottom="0" percent="0" rank="0" text="" dxfId="3732">
      <formula>$F1654:I2327="pp"</formula>
    </cfRule>
  </conditionalFormatting>
  <conditionalFormatting sqref="O1682:O1688 E1691:E1692">
    <cfRule type="expression" priority="3723" aboveAverage="0" equalAverage="0" bottom="0" percent="0" rank="0" text="" dxfId="3733">
      <formula>$F1682:I2315="pp"</formula>
    </cfRule>
  </conditionalFormatting>
  <conditionalFormatting sqref="F1889:F1890">
    <cfRule type="expression" priority="3724" aboveAverage="0" equalAverage="0" bottom="0" percent="0" rank="0" text="" dxfId="3734">
      <formula>$F1889:J2385="pp"</formula>
    </cfRule>
  </conditionalFormatting>
  <conditionalFormatting sqref="G1882:I1883">
    <cfRule type="expression" priority="3725" aboveAverage="0" equalAverage="0" bottom="0" percent="0" rank="0" text="" dxfId="3735">
      <formula>$F1882:K2317="pp"</formula>
    </cfRule>
  </conditionalFormatting>
  <conditionalFormatting sqref="G1904:I1910">
    <cfRule type="expression" priority="3726" aboveAverage="0" equalAverage="0" bottom="0" percent="0" rank="0" text="" dxfId="3736">
      <formula>$F1904:K2311="pp"</formula>
    </cfRule>
  </conditionalFormatting>
  <conditionalFormatting sqref="E2006:E2013 G1992:I1997">
    <cfRule type="expression" priority="3727" aboveAverage="0" equalAverage="0" bottom="0" percent="0" rank="0" text="" dxfId="3737">
      <formula>$F1992:I2309="pp"</formula>
    </cfRule>
  </conditionalFormatting>
  <conditionalFormatting sqref="E2027:E2030">
    <cfRule type="expression" priority="3728" aboveAverage="0" equalAverage="0" bottom="0" percent="0" rank="0" text="" dxfId="3738">
      <formula>$F2027:I2329="pp"</formula>
    </cfRule>
  </conditionalFormatting>
  <conditionalFormatting sqref="E2032:E2034">
    <cfRule type="expression" priority="3729" aboveAverage="0" equalAverage="0" bottom="0" percent="0" rank="0" text="" dxfId="3739">
      <formula>$F2032:I2322="pp"</formula>
    </cfRule>
  </conditionalFormatting>
  <conditionalFormatting sqref="E2035:E2037">
    <cfRule type="expression" priority="3730" aboveAverage="0" equalAverage="0" bottom="0" percent="0" rank="0" text="" dxfId="3740">
      <formula>$F2035:I2319="pp"</formula>
    </cfRule>
  </conditionalFormatting>
  <conditionalFormatting sqref="E2038:E2043">
    <cfRule type="expression" priority="3731" aboveAverage="0" equalAverage="0" bottom="0" percent="0" rank="0" text="" dxfId="3741">
      <formula>$F2038:I2320="pp"</formula>
    </cfRule>
  </conditionalFormatting>
  <conditionalFormatting sqref="E2044:E2047">
    <cfRule type="expression" priority="3732" aboveAverage="0" equalAverage="0" bottom="0" percent="0" rank="0" text="" dxfId="3742">
      <formula>$F2044:I2322="pp"</formula>
    </cfRule>
  </conditionalFormatting>
  <conditionalFormatting sqref="G2044:I2047">
    <cfRule type="expression" priority="3733" aboveAverage="0" equalAverage="0" bottom="0" percent="0" rank="0" text="" dxfId="3743">
      <formula>$F2044:K2312="pp"</formula>
    </cfRule>
  </conditionalFormatting>
  <conditionalFormatting sqref="G2050:I2052">
    <cfRule type="expression" priority="3734" aboveAverage="0" equalAverage="0" bottom="0" percent="0" rank="0" text="" dxfId="3744">
      <formula>$F2050:K2312="pp"</formula>
    </cfRule>
  </conditionalFormatting>
  <conditionalFormatting sqref="G178:I179 O178:O179">
    <cfRule type="expression" priority="3735" aboveAverage="0" equalAverage="0" bottom="0" percent="0" rank="0" text="" dxfId="3745">
      <formula>$F178:K2261="pp"</formula>
    </cfRule>
  </conditionalFormatting>
  <conditionalFormatting sqref="E372:E374">
    <cfRule type="expression" priority="3736" aboveAverage="0" equalAverage="0" bottom="0" percent="0" rank="0" text="" dxfId="3746">
      <formula>$F372:I2293="pp"</formula>
    </cfRule>
  </conditionalFormatting>
  <conditionalFormatting sqref="F508:F509">
    <cfRule type="expression" priority="3737" aboveAverage="0" equalAverage="0" bottom="0" percent="0" rank="0" text="" dxfId="3747">
      <formula>$F508:J2311="pp"</formula>
    </cfRule>
  </conditionalFormatting>
  <conditionalFormatting sqref="F1055:F1056 E726:E727 O733:O735">
    <cfRule type="expression" priority="3738" aboveAverage="0" equalAverage="0" bottom="0" percent="0" rank="0" text="" dxfId="3748">
      <formula>$F726:I2284="pp"</formula>
    </cfRule>
  </conditionalFormatting>
  <conditionalFormatting sqref="F1146:F1150 O813:O814">
    <cfRule type="expression" priority="3739" aboveAverage="0" equalAverage="0" bottom="0" percent="0" rank="0" text="" dxfId="3749">
      <formula>$F813:J2290="pp"</formula>
    </cfRule>
  </conditionalFormatting>
  <conditionalFormatting sqref="G802:I803 E819:E829">
    <cfRule type="expression" priority="3740" aboveAverage="0" equalAverage="0" bottom="0" percent="0" rank="0" text="" dxfId="3750">
      <formula>$F802:I2276="pp"</formula>
    </cfRule>
  </conditionalFormatting>
  <conditionalFormatting sqref="O881:O882 G861:I863">
    <cfRule type="expression" priority="3741" aboveAverage="0" equalAverage="0" bottom="0" percent="0" rank="0" text="" dxfId="3751">
      <formula>$F861:K2280="pp"</formula>
    </cfRule>
  </conditionalFormatting>
  <conditionalFormatting sqref="G950:I959">
    <cfRule type="expression" priority="3742" aboveAverage="0" equalAverage="0" bottom="0" percent="0" rank="0" text="" dxfId="3752">
      <formula>$F950:K2275="pp"</formula>
    </cfRule>
  </conditionalFormatting>
  <conditionalFormatting sqref="F1350:F1354">
    <cfRule type="expression" priority="3743" aboveAverage="0" equalAverage="0" bottom="0" percent="0" rank="0" text="" dxfId="3753">
      <formula>$F1350:J2311="pp"</formula>
    </cfRule>
  </conditionalFormatting>
  <conditionalFormatting sqref="F1367:F1370">
    <cfRule type="expression" priority="3744" aboveAverage="0" equalAverage="0" bottom="0" percent="0" rank="0" text="" dxfId="3754">
      <formula>$F1367:J2315="pp"</formula>
    </cfRule>
  </conditionalFormatting>
  <conditionalFormatting sqref="F1377:F1379">
    <cfRule type="expression" priority="3745" aboveAverage="0" equalAverage="0" bottom="0" percent="0" rank="0" text="" dxfId="3755">
      <formula>$F1377:J2318="pp"</formula>
    </cfRule>
  </conditionalFormatting>
  <conditionalFormatting sqref="F1397:F1400 O1367:O1370">
    <cfRule type="expression" priority="3746" aboveAverage="0" equalAverage="0" bottom="0" percent="0" rank="0" text="" dxfId="3756">
      <formula>$F1367:J2291="pp"</formula>
    </cfRule>
  </conditionalFormatting>
  <conditionalFormatting sqref="O1508:O1509 F1537:F1538">
    <cfRule type="expression" priority="3747" aboveAverage="0" equalAverage="0" bottom="0" percent="0" rank="0" text="" dxfId="3757">
      <formula>$F1508:J2321="pp"</formula>
    </cfRule>
  </conditionalFormatting>
  <conditionalFormatting sqref="E1599:E1601">
    <cfRule type="expression" priority="3748" aboveAverage="0" equalAverage="0" bottom="0" percent="0" rank="0" text="" dxfId="3758">
      <formula>$F1599:I2320="pp"</formula>
    </cfRule>
  </conditionalFormatting>
  <conditionalFormatting sqref="E1607:E1610">
    <cfRule type="expression" priority="3749" aboveAverage="0" equalAverage="0" bottom="0" percent="0" rank="0" text="" dxfId="3759">
      <formula>$F1607:I2310="pp"</formula>
    </cfRule>
  </conditionalFormatting>
  <conditionalFormatting sqref="F1691:F1692">
    <cfRule type="expression" priority="3750" aboveAverage="0" equalAverage="0" bottom="0" percent="0" rank="0" text="" dxfId="3760">
      <formula>$F1691:J2389="pp"</formula>
    </cfRule>
  </conditionalFormatting>
  <conditionalFormatting sqref="F1703:F1704 G1620:I1639">
    <cfRule type="expression" priority="3751" aboveAverage="0" equalAverage="0" bottom="0" percent="0" rank="0" text="" dxfId="3761">
      <formula>$F1620:J2301="pp"</formula>
    </cfRule>
  </conditionalFormatting>
  <conditionalFormatting sqref="O1641:O1646">
    <cfRule type="expression" priority="3752" aboveAverage="0" equalAverage="0" bottom="0" percent="0" rank="0" text="" dxfId="3762">
      <formula>$F1641:S2317="pp"</formula>
    </cfRule>
  </conditionalFormatting>
  <conditionalFormatting sqref="G1716:I1717">
    <cfRule type="expression" priority="3753" aboveAverage="0" equalAverage="0" bottom="0" percent="0" rank="0" text="" dxfId="3763">
      <formula>$F1716:K2314="pp"</formula>
    </cfRule>
  </conditionalFormatting>
  <conditionalFormatting sqref="F1817:F1821">
    <cfRule type="expression" priority="3754" aboveAverage="0" equalAverage="0" bottom="0" percent="0" rank="0" text="" dxfId="3764">
      <formula>$F1817:J2386="pp"</formula>
    </cfRule>
  </conditionalFormatting>
  <conditionalFormatting sqref="G1830:I1834 F1896:F1901">
    <cfRule type="expression" priority="3755" aboveAverage="0" equalAverage="0" bottom="0" percent="0" rank="0" text="" dxfId="3765">
      <formula>$F1830:J2321="pp"</formula>
    </cfRule>
  </conditionalFormatting>
  <conditionalFormatting sqref="G1845:I1865">
    <cfRule type="expression" priority="3756" aboveAverage="0" equalAverage="0" bottom="0" percent="0" rank="0" text="" dxfId="3766">
      <formula>$F1845:K2317="pp"</formula>
    </cfRule>
  </conditionalFormatting>
  <conditionalFormatting sqref="F1927:F1932">
    <cfRule type="expression" priority="3757" aboveAverage="0" equalAverage="0" bottom="0" percent="0" rank="0" text="" dxfId="3767">
      <formula>$F1927:J2382="pp"</formula>
    </cfRule>
  </conditionalFormatting>
  <conditionalFormatting sqref="E1889:E1890">
    <cfRule type="expression" priority="3758" aboveAverage="0" equalAverage="0" bottom="0" percent="0" rank="0" text="" dxfId="3768">
      <formula>$F1889:I2320="pp"</formula>
    </cfRule>
  </conditionalFormatting>
  <conditionalFormatting sqref="F2032:F2034 O1982:O1986 E1977:E1980 G1966:I1967">
    <cfRule type="expression" priority="3759" aboveAverage="0" equalAverage="0" bottom="0" percent="0" rank="0" text="" dxfId="3769">
      <formula>$F1966:I2321="pp"</formula>
    </cfRule>
  </conditionalFormatting>
  <conditionalFormatting sqref="F2044:F2047">
    <cfRule type="expression" priority="3760" aboveAverage="0" equalAverage="0" bottom="0" percent="0" rank="0" text="" dxfId="3770">
      <formula>$F2044:J2387="pp"</formula>
    </cfRule>
  </conditionalFormatting>
  <conditionalFormatting sqref="F2048:F2049">
    <cfRule type="expression" priority="3761" aboveAverage="0" equalAverage="0" bottom="0" percent="0" rank="0" text="" dxfId="3771">
      <formula>$F2048:J2389="pp"</formula>
    </cfRule>
  </conditionalFormatting>
  <conditionalFormatting sqref="E1992:E1997">
    <cfRule type="expression" priority="3762" aboveAverage="0" equalAverage="0" bottom="0" percent="0" rank="0" text="" dxfId="3772">
      <formula>$F1992:I2319="pp"</formula>
    </cfRule>
  </conditionalFormatting>
  <conditionalFormatting sqref="P874:P876">
    <cfRule type="expression" priority="3763" aboveAverage="0" equalAverage="0" bottom="0" percent="0" rank="0" text="" dxfId="3773">
      <formula>$F874:T3027="pp"</formula>
    </cfRule>
  </conditionalFormatting>
  <conditionalFormatting sqref="E233:E235">
    <cfRule type="expression" priority="3764" aboveAverage="0" equalAverage="0" bottom="0" percent="0" rank="0" text="" dxfId="3774">
      <formula>$F233:I2274="pp"</formula>
    </cfRule>
  </conditionalFormatting>
  <conditionalFormatting sqref="G233:I235 O233:O235">
    <cfRule type="expression" priority="3765" aboveAverage="0" equalAverage="0" bottom="0" percent="0" rank="0" text="" dxfId="3775">
      <formula>$F233:K2264="pp"</formula>
    </cfRule>
  </conditionalFormatting>
  <conditionalFormatting sqref="G381:I385 O381:O385">
    <cfRule type="expression" priority="3766" aboveAverage="0" equalAverage="0" bottom="0" percent="0" rank="0" text="" dxfId="3776">
      <formula>$F381:K2284="pp"</formula>
    </cfRule>
  </conditionalFormatting>
  <conditionalFormatting sqref="G416:I420 O432:O439">
    <cfRule type="expression" priority="3767" aboveAverage="0" equalAverage="0" bottom="0" percent="0" rank="0" text="" dxfId="3777">
      <formula>$F416:K2263="pp"</formula>
    </cfRule>
  </conditionalFormatting>
  <conditionalFormatting sqref="F480:F484">
    <cfRule type="expression" priority="3768" aboveAverage="0" equalAverage="0" bottom="0" percent="0" rank="0" text="" dxfId="3778">
      <formula>$F480:J2309="pp"</formula>
    </cfRule>
  </conditionalFormatting>
  <conditionalFormatting sqref="O489:O490">
    <cfRule type="expression" priority="3769" aboveAverage="0" equalAverage="0" bottom="0" percent="0" rank="0" text="" dxfId="3779">
      <formula>$F489:S2286="pp"</formula>
    </cfRule>
  </conditionalFormatting>
  <conditionalFormatting sqref="G489:I490 E500:E502">
    <cfRule type="expression" priority="3770" aboveAverage="0" equalAverage="0" bottom="0" percent="0" rank="0" text="" dxfId="3780">
      <formula>$F489:I2271="pp"</formula>
    </cfRule>
  </conditionalFormatting>
  <conditionalFormatting sqref="E534:E537">
    <cfRule type="expression" priority="3771" aboveAverage="0" equalAverage="0" bottom="0" percent="0" rank="0" text="" dxfId="3781">
      <formula>$F534:I2284="pp"</formula>
    </cfRule>
  </conditionalFormatting>
  <conditionalFormatting sqref="O545:O546">
    <cfRule type="expression" priority="3772" aboveAverage="0" equalAverage="0" bottom="0" percent="0" rank="0" text="" dxfId="3782">
      <formula>$F545:S2291="pp"</formula>
    </cfRule>
  </conditionalFormatting>
  <conditionalFormatting sqref="G692:I693">
    <cfRule type="expression" priority="3773" aboveAverage="0" equalAverage="0" bottom="0" percent="0" rank="0" text="" dxfId="3783">
      <formula>$F692:K2270="pp"</formula>
    </cfRule>
  </conditionalFormatting>
  <conditionalFormatting sqref="P1472:P1473 P1476:P1479 O719:O721">
    <cfRule type="expression" priority="3774" aboveAverage="0" equalAverage="0" bottom="0" percent="0" rank="0" text="" dxfId="3784">
      <formula>$F719:S2291="pp"</formula>
    </cfRule>
  </conditionalFormatting>
  <conditionalFormatting sqref="F1200:F1201">
    <cfRule type="expression" priority="3775" aboveAverage="0" equalAverage="0" bottom="0" percent="0" rank="0" text="" dxfId="3785">
      <formula>$F1200:J2647="pp"</formula>
    </cfRule>
  </conditionalFormatting>
  <conditionalFormatting sqref="G922:I924">
    <cfRule type="expression" priority="3776" aboveAverage="0" equalAverage="0" bottom="0" percent="0" rank="0" text="" dxfId="3786">
      <formula>$F922:K2332="pp"</formula>
    </cfRule>
  </conditionalFormatting>
  <conditionalFormatting sqref="G927:I931">
    <cfRule type="expression" priority="3777" aboveAverage="0" equalAverage="0" bottom="0" percent="0" rank="0" text="" dxfId="3787">
      <formula>$F927:K2277="pp"</formula>
    </cfRule>
  </conditionalFormatting>
  <conditionalFormatting sqref="G972:I977">
    <cfRule type="expression" priority="3778" aboveAverage="0" equalAverage="0" bottom="0" percent="0" rank="0" text="" dxfId="3788">
      <formula>$F972:K2285="pp"</formula>
    </cfRule>
  </conditionalFormatting>
  <conditionalFormatting sqref="P1031:P1032 G1001:I1003">
    <cfRule type="expression" priority="3779" aboveAverage="0" equalAverage="0" bottom="0" percent="0" rank="0" text="" dxfId="3789">
      <formula>$F1001:K2288="pp"</formula>
    </cfRule>
  </conditionalFormatting>
  <conditionalFormatting sqref="G1027:I1030">
    <cfRule type="expression" priority="3780" aboveAverage="0" equalAverage="0" bottom="0" percent="0" rank="0" text="" dxfId="3790">
      <formula>$F1027:K2287="pp"</formula>
    </cfRule>
  </conditionalFormatting>
  <conditionalFormatting sqref="E1146:E1150">
    <cfRule type="expression" priority="3781" aboveAverage="0" equalAverage="0" bottom="0" percent="0" rank="0" text="" dxfId="3791">
      <formula>$F1146:I2297="pp"</formula>
    </cfRule>
  </conditionalFormatting>
  <conditionalFormatting sqref="G1153:I1155">
    <cfRule type="expression" priority="3782" aboveAverage="0" equalAverage="0" bottom="0" percent="0" rank="0" text="" dxfId="3792">
      <formula>$F1153:K2284="pp"</formula>
    </cfRule>
  </conditionalFormatting>
  <conditionalFormatting sqref="G1188:I1189">
    <cfRule type="expression" priority="3783" aboveAverage="0" equalAverage="0" bottom="0" percent="0" rank="0" text="" dxfId="3793">
      <formula>$F1188:K2301="pp"</formula>
    </cfRule>
  </conditionalFormatting>
  <conditionalFormatting sqref="O1316:O1317 G1297:I1300">
    <cfRule type="expression" priority="3784" aboveAverage="0" equalAverage="0" bottom="0" percent="0" rank="0" text="" dxfId="3794">
      <formula>$F1297:K2284="pp"</formula>
    </cfRule>
  </conditionalFormatting>
  <conditionalFormatting sqref="F1387:F1392 O1355:O1356">
    <cfRule type="expression" priority="3785" aboveAverage="0" equalAverage="0" bottom="0" percent="0" rank="0" text="" dxfId="3795">
      <formula>$F1355:J2291="pp"</formula>
    </cfRule>
  </conditionalFormatting>
  <conditionalFormatting sqref="G1367:I1370 F1428:F1433">
    <cfRule type="expression" priority="3786" aboveAverage="0" equalAverage="0" bottom="0" percent="0" rank="0" text="" dxfId="3796">
      <formula>$F1367:J2276="pp"</formula>
    </cfRule>
  </conditionalFormatting>
  <conditionalFormatting sqref="G1451:I1453">
    <cfRule type="expression" priority="3787" aboveAverage="0" equalAverage="0" bottom="0" percent="0" rank="0" text="" dxfId="3797">
      <formula>$F1451:K2303="pp"</formula>
    </cfRule>
  </conditionalFormatting>
  <conditionalFormatting sqref="G1499:I1500">
    <cfRule type="expression" priority="3788" aboveAverage="0" equalAverage="0" bottom="0" percent="0" rank="0" text="" dxfId="3798">
      <formula>$F1499:K2305="pp"</formula>
    </cfRule>
  </conditionalFormatting>
  <conditionalFormatting sqref="O1602:O1606">
    <cfRule type="expression" priority="3789" aboveAverage="0" equalAverage="0" bottom="0" percent="0" rank="0" text="" dxfId="3799">
      <formula>$F1602:S2314="pp"</formula>
    </cfRule>
  </conditionalFormatting>
  <conditionalFormatting sqref="G1691:I1692 O1701:O1702">
    <cfRule type="expression" priority="3790" aboveAverage="0" equalAverage="0" bottom="0" percent="0" rank="0" text="" dxfId="3800">
      <formula>$F1691:K2314="pp"</formula>
    </cfRule>
  </conditionalFormatting>
  <conditionalFormatting sqref="E1783:E1785 O1789:O1790">
    <cfRule type="expression" priority="3791" aboveAverage="0" equalAverage="0" bottom="0" percent="0" rank="0" text="" dxfId="3801">
      <formula>$F1783:I2315="pp"</formula>
    </cfRule>
  </conditionalFormatting>
  <conditionalFormatting sqref="E1786:E1788">
    <cfRule type="expression" priority="3792" aboveAverage="0" equalAverage="0" bottom="0" percent="0" rank="0" text="" dxfId="3802">
      <formula>$F1786:I2315="pp"</formula>
    </cfRule>
  </conditionalFormatting>
  <conditionalFormatting sqref="G1869:I1872 F1922:F1924">
    <cfRule type="expression" priority="3793" aboveAverage="0" equalAverage="0" bottom="0" percent="0" rank="0" text="" dxfId="3803">
      <formula>$F1869:J2329="pp"</formula>
    </cfRule>
  </conditionalFormatting>
  <conditionalFormatting sqref="F1974:F1976 E1891:E1895">
    <cfRule type="expression" priority="3794" aboveAverage="0" equalAverage="0" bottom="0" percent="0" rank="0" text="" dxfId="3804">
      <formula>$F1891:I2316="pp"</formula>
    </cfRule>
  </conditionalFormatting>
  <conditionalFormatting sqref="O1966:O1967">
    <cfRule type="expression" priority="3795" aboveAverage="0" equalAverage="0" bottom="0" percent="0" rank="0" text="" dxfId="3805">
      <formula>$F1966:S2336="pp"</formula>
    </cfRule>
  </conditionalFormatting>
  <conditionalFormatting sqref="O1974:O1976 E1966:E1967">
    <cfRule type="expression" priority="3796" aboveAverage="0" equalAverage="0" bottom="0" percent="0" rank="0" text="" dxfId="3806">
      <formula>$F1966:I2331="pp"</formula>
    </cfRule>
  </conditionalFormatting>
  <conditionalFormatting sqref="F2038:F2043">
    <cfRule type="expression" priority="3797" aboveAverage="0" equalAverage="0" bottom="0" percent="0" rank="0" text="" dxfId="3807">
      <formula>$F2038:J2385="pp"</formula>
    </cfRule>
  </conditionalFormatting>
  <conditionalFormatting sqref="O2014:O2026">
    <cfRule type="expression" priority="3798" aboveAverage="0" equalAverage="0" bottom="0" percent="0" rank="0" text="" dxfId="3808">
      <formula>$F2014:S2329="pp"</formula>
    </cfRule>
  </conditionalFormatting>
  <conditionalFormatting sqref="O2027:O2030 G2006:I2013">
    <cfRule type="expression" priority="3799" aboveAverage="0" equalAverage="0" bottom="0" percent="0" rank="0" text="" dxfId="3809">
      <formula>$F2006:K2313="pp"</formula>
    </cfRule>
  </conditionalFormatting>
  <conditionalFormatting sqref="G2014:I2026">
    <cfRule type="expression" priority="3800" aboveAverage="0" equalAverage="0" bottom="0" percent="0" rank="0" text="" dxfId="3810">
      <formula>$F2014:K2314="pp"</formula>
    </cfRule>
  </conditionalFormatting>
  <conditionalFormatting sqref="G2027:I2030">
    <cfRule type="expression" priority="3801" aboveAverage="0" equalAverage="0" bottom="0" percent="0" rank="0" text="" dxfId="3811">
      <formula>$F2027:K2319="pp"</formula>
    </cfRule>
  </conditionalFormatting>
  <conditionalFormatting sqref="G2035:I2037">
    <cfRule type="expression" priority="3802" aboveAverage="0" equalAverage="0" bottom="0" percent="0" rank="0" text="" dxfId="3812">
      <formula>$F2035:K2309="pp"</formula>
    </cfRule>
  </conditionalFormatting>
  <conditionalFormatting sqref="J151:J154 A151:D154 L151:L154 K160:K161">
    <cfRule type="expression" priority="3803" aboveAverage="0" equalAverage="0" bottom="0" percent="0" rank="0" text="" dxfId="3813">
      <formula>$F151:F2277="pp"</formula>
    </cfRule>
  </conditionalFormatting>
  <conditionalFormatting sqref="K643:K655 M643:N655 J615:J616 L615:L616 B615:B616">
    <cfRule type="expression" priority="3804" aboveAverage="0" equalAverage="0" bottom="0" percent="0" rank="0" text="" dxfId="3814">
      <formula>$F615:G2277="pp"</formula>
    </cfRule>
  </conditionalFormatting>
  <conditionalFormatting sqref="J767:J770 B767:B770 L767:L770">
    <cfRule type="expression" priority="3805" aboveAverage="0" equalAverage="0" bottom="0" percent="0" rank="0" text="" dxfId="3815">
      <formula>$F767:G2272="pp"</formula>
    </cfRule>
  </conditionalFormatting>
  <conditionalFormatting sqref="J815:J818 L815:L818 B815:B818">
    <cfRule type="expression" priority="3806" aboveAverage="0" equalAverage="0" bottom="0" percent="0" rank="0" text="" dxfId="3816">
      <formula>$F815:G2278="pp"</formula>
    </cfRule>
  </conditionalFormatting>
  <conditionalFormatting sqref="K1046:K1048 M1046:N1048">
    <cfRule type="expression" priority="3807" aboveAverage="0" equalAverage="0" bottom="0" percent="0" rank="0" text="" dxfId="3817">
      <formula>$F1046:P2334="pp"</formula>
    </cfRule>
  </conditionalFormatting>
  <conditionalFormatting sqref="B1007:B1009 C1055:D1056 L1007:L1009 J1007:J1009">
    <cfRule type="expression" priority="3808" aboveAverage="0" equalAverage="0" bottom="0" percent="0" rank="0" text="" dxfId="3818">
      <formula>$F1007:G2277="pp"</formula>
    </cfRule>
  </conditionalFormatting>
  <conditionalFormatting sqref="B1060:B1072 L1060:L1072 J1060:J1072">
    <cfRule type="expression" priority="3809" aboveAverage="0" equalAverage="0" bottom="0" percent="0" rank="0" text="" dxfId="3819">
      <formula>$F1060:G2275="pp"</formula>
    </cfRule>
  </conditionalFormatting>
  <conditionalFormatting sqref="J1146:J1150 B1146:B1150 L1146:L1150">
    <cfRule type="expression" priority="3810" aboveAverage="0" equalAverage="0" bottom="0" percent="0" rank="0" text="" dxfId="3820">
      <formula>$F1146:G2281="pp"</formula>
    </cfRule>
  </conditionalFormatting>
  <conditionalFormatting sqref="C1209:D1219">
    <cfRule type="expression" priority="3811" aboveAverage="0" equalAverage="0" bottom="0" percent="0" rank="0" text="" dxfId="3821">
      <formula>$F1209:H2341="pp"</formula>
    </cfRule>
  </conditionalFormatting>
  <conditionalFormatting sqref="B1280:B1284 L1280:L1284 J1280:J1284">
    <cfRule type="expression" priority="3812" aboveAverage="0" equalAverage="0" bottom="0" percent="0" rank="0" text="" dxfId="3822">
      <formula>$F1280:G2284="pp"</formula>
    </cfRule>
  </conditionalFormatting>
  <conditionalFormatting sqref="J1408:J1411 B1408:B1411 L1408:L1411">
    <cfRule type="expression" priority="3813" aboveAverage="0" equalAverage="0" bottom="0" percent="0" rank="0" text="" dxfId="3823">
      <formula>$F1408:G2286="pp"</formula>
    </cfRule>
  </conditionalFormatting>
  <conditionalFormatting sqref="K1508:K1509 M1508:N1509 J1461:J1465 L1461:L1465 B1461:B1465">
    <cfRule type="expression" priority="3814" aboveAverage="0" equalAverage="0" bottom="0" percent="0" rank="0" text="" dxfId="3824">
      <formula>$F1461:G2296="pp"</formula>
    </cfRule>
  </conditionalFormatting>
  <conditionalFormatting sqref="A1565:A1570 B1543:B1544 L1543:L1544 J1543:J1544">
    <cfRule type="expression" priority="3815" aboveAverage="0" equalAverage="0" bottom="0" percent="0" rank="0" text="" dxfId="3825">
      <formula>$F1543:F2314="pp"</formula>
    </cfRule>
  </conditionalFormatting>
  <conditionalFormatting sqref="J1966:J1967 L1966:L1967 B1966:B1967">
    <cfRule type="expression" priority="3816" aboveAverage="0" equalAverage="0" bottom="0" percent="0" rank="0" text="" dxfId="3826">
      <formula>$F1966:G2321="pp"</formula>
    </cfRule>
  </conditionalFormatting>
  <conditionalFormatting sqref="C1992:D2002 M1998:N2000 K1998:K2000">
    <cfRule type="expression" priority="3817" aboveAverage="0" equalAverage="0" bottom="0" percent="0" rank="0" text="" dxfId="3827">
      <formula>$F1992:H2343="pp"</formula>
    </cfRule>
  </conditionalFormatting>
  <conditionalFormatting sqref="J157:J159 L157:L159 A157:D159">
    <cfRule type="expression" priority="3818" aboveAverage="0" equalAverage="0" bottom="0" percent="0" rank="0" text="" dxfId="3828">
      <formula>$F157:F2275="pp"</formula>
    </cfRule>
  </conditionalFormatting>
  <conditionalFormatting sqref="A222:A226 C227:D230">
    <cfRule type="expression" priority="3819" aboveAverage="0" equalAverage="0" bottom="0" percent="0" rank="0" text="" dxfId="3829">
      <formula>$F222:F2280="pp"</formula>
    </cfRule>
  </conditionalFormatting>
  <conditionalFormatting sqref="K327:K328 M327:N328">
    <cfRule type="expression" priority="3820" aboveAverage="0" equalAverage="0" bottom="0" percent="0" rank="0" text="" dxfId="3830">
      <formula>$F327:P2302="pp"</formula>
    </cfRule>
  </conditionalFormatting>
  <conditionalFormatting sqref="M151:N154">
    <cfRule type="expression" priority="3821" aboveAverage="0" equalAverage="0" bottom="0" percent="0" rank="0" text="" dxfId="3831">
      <formula>$F151:R2289="pp"</formula>
    </cfRule>
  </conditionalFormatting>
  <conditionalFormatting sqref="K413:K420 M413:N420">
    <cfRule type="expression" priority="3822" aboveAverage="0" equalAverage="0" bottom="0" percent="0" rank="0" text="" dxfId="3832">
      <formula>$F413:P2297="pp"</formula>
    </cfRule>
  </conditionalFormatting>
  <conditionalFormatting sqref="J430:J431 B430:B431 L430:L431">
    <cfRule type="expression" priority="3823" aboveAverage="0" equalAverage="0" bottom="0" percent="0" rank="0" text="" dxfId="3833">
      <formula>$F430:G2264="pp"</formula>
    </cfRule>
  </conditionalFormatting>
  <conditionalFormatting sqref="C485:D488">
    <cfRule type="expression" priority="3824" aboveAverage="0" equalAverage="0" bottom="0" percent="0" rank="0" text="" dxfId="3834">
      <formula>$F485:H2305="pp"</formula>
    </cfRule>
  </conditionalFormatting>
  <conditionalFormatting sqref="K508:K509 M508:N509">
    <cfRule type="expression" priority="3825" aboveAverage="0" equalAverage="0" bottom="0" percent="0" rank="0" text="" dxfId="3835">
      <formula>$F508:P2309="pp"</formula>
    </cfRule>
  </conditionalFormatting>
  <conditionalFormatting sqref="J485:J488 B485:B488 A503:A505 L485:L488 K521:K523 M521:N523">
    <cfRule type="expression" priority="3826" aboveAverage="0" equalAverage="0" bottom="0" percent="0" rank="0" text="" dxfId="3836">
      <formula>$F485:F2271="pp"</formula>
    </cfRule>
  </conditionalFormatting>
  <conditionalFormatting sqref="J500:J502 C538:D539 B500:B502 L500:L502">
    <cfRule type="expression" priority="3827" aboveAverage="0" equalAverage="0" bottom="0" percent="0" rank="0" text="" dxfId="3837">
      <formula>$F500:G2272="pp"</formula>
    </cfRule>
  </conditionalFormatting>
  <conditionalFormatting sqref="K566:K569 M566:N569">
    <cfRule type="expression" priority="3828" aboveAverage="0" equalAverage="0" bottom="0" percent="0" rank="0" text="" dxfId="3838">
      <formula>$F566:P2319="pp"</formula>
    </cfRule>
  </conditionalFormatting>
  <conditionalFormatting sqref="K617:K620 M617:N620">
    <cfRule type="expression" priority="3829" aboveAverage="0" equalAverage="0" bottom="0" percent="0" rank="0" text="" dxfId="3839">
      <formula>$F617:P2317="pp"</formula>
    </cfRule>
  </conditionalFormatting>
  <conditionalFormatting sqref="C631:D637">
    <cfRule type="expression" priority="3830" aboveAverage="0" equalAverage="0" bottom="0" percent="0" rank="0" text="" dxfId="3840">
      <formula>$F631:H2304="pp"</formula>
    </cfRule>
  </conditionalFormatting>
  <conditionalFormatting sqref="K656:K659 M656:N659">
    <cfRule type="expression" priority="3831" aboveAverage="0" equalAverage="0" bottom="0" percent="0" rank="0" text="" dxfId="3841">
      <formula>$F656:P2305="pp"</formula>
    </cfRule>
  </conditionalFormatting>
  <conditionalFormatting sqref="J654:J655 B654:B655 L654:L655">
    <cfRule type="expression" priority="3832" aboveAverage="0" equalAverage="0" bottom="0" percent="0" rank="0" text="" dxfId="3842">
      <formula>$F654:G2270="pp"</formula>
    </cfRule>
  </conditionalFormatting>
  <conditionalFormatting sqref="J689:J691 B689:B691 L689:L691">
    <cfRule type="expression" priority="3833" aboveAverage="0" equalAverage="0" bottom="0" percent="0" rank="0" text="" dxfId="3843">
      <formula>$F689:G2275="pp"</formula>
    </cfRule>
  </conditionalFormatting>
  <conditionalFormatting sqref="B702:B705 A725:A727 L702:L705 J702:J705">
    <cfRule type="expression" priority="3834" aboveAverage="0" equalAverage="0" bottom="0" percent="0" rank="0" text="" dxfId="3844">
      <formula>$F702:F2273="pp"</formula>
    </cfRule>
  </conditionalFormatting>
  <conditionalFormatting sqref="C836:D839 M815:N818 K815:K818">
    <cfRule type="expression" priority="3835" aboveAverage="0" equalAverage="0" bottom="0" percent="0" rank="0" text="" dxfId="3845">
      <formula>$F815:H2315="pp"</formula>
    </cfRule>
  </conditionalFormatting>
  <conditionalFormatting sqref="A816:A818 C841:D847">
    <cfRule type="expression" priority="3836" aboveAverage="0" equalAverage="0" bottom="0" percent="0" rank="0" text="" dxfId="3846">
      <formula>$F816:F2312="pp"</formula>
    </cfRule>
  </conditionalFormatting>
  <conditionalFormatting sqref="K927:K931 M927:N931">
    <cfRule type="expression" priority="3837" aboveAverage="0" equalAverage="0" bottom="0" percent="0" rank="0" text="" dxfId="3847">
      <formula>$F927:P2314="pp"</formula>
    </cfRule>
  </conditionalFormatting>
  <conditionalFormatting sqref="A950:A959">
    <cfRule type="expression" priority="3838" aboveAverage="0" equalAverage="0" bottom="0" percent="0" rank="0" text="" dxfId="3848">
      <formula>$F950:F2308="pp"</formula>
    </cfRule>
  </conditionalFormatting>
  <conditionalFormatting sqref="B950:B959 L950:L959 J950:J959">
    <cfRule type="expression" priority="3839" aboveAverage="0" equalAverage="0" bottom="0" percent="0" rank="0" text="" dxfId="3849">
      <formula>$F950:G2275="pp"</formula>
    </cfRule>
  </conditionalFormatting>
  <conditionalFormatting sqref="K1027:K1030 M1027:N1030">
    <cfRule type="expression" priority="3840" aboveAverage="0" equalAverage="0" bottom="0" percent="0" rank="0" text="" dxfId="3850">
      <formula>$F1027:P2324="pp"</formula>
    </cfRule>
  </conditionalFormatting>
  <conditionalFormatting sqref="A1119:A1126 B1099:B1114 L1099:L1114 J1099:J1114">
    <cfRule type="expression" priority="3841" aboveAverage="0" equalAverage="0" bottom="0" percent="0" rank="0" text="" dxfId="3851">
      <formula>$F1099:F2287="pp"</formula>
    </cfRule>
  </conditionalFormatting>
  <conditionalFormatting sqref="A1137:A1144">
    <cfRule type="expression" priority="3842" aboveAverage="0" equalAverage="0" bottom="0" percent="0" rank="0" text="" dxfId="3852">
      <formula>$F1137:F2310="pp"</formula>
    </cfRule>
  </conditionalFormatting>
  <conditionalFormatting sqref="B1126:B1129 M1188:N1189 J1126:J1129 L1126:L1129 K1188:K1190">
    <cfRule type="expression" priority="3843" aboveAverage="0" equalAverage="0" bottom="0" percent="0" rank="0" text="" dxfId="3853">
      <formula>$F1126:G2276="pp"</formula>
    </cfRule>
  </conditionalFormatting>
  <conditionalFormatting sqref="K1280:K1283 M1280:N1283">
    <cfRule type="expression" priority="3844" aboveAverage="0" equalAverage="0" bottom="0" percent="0" rank="0" text="" dxfId="3854">
      <formula>$F1280:P2321="pp"</formula>
    </cfRule>
  </conditionalFormatting>
  <conditionalFormatting sqref="K1288:K1290 M1288:N1290">
    <cfRule type="expression" priority="3845" aboveAverage="0" equalAverage="0" bottom="0" percent="0" rank="0" text="" dxfId="3855">
      <formula>$F1288:P2322="pp"</formula>
    </cfRule>
  </conditionalFormatting>
  <conditionalFormatting sqref="J1267:J1269 B1267:B1269 L1267:L1269">
    <cfRule type="expression" priority="3846" aboveAverage="0" equalAverage="0" bottom="0" percent="0" rank="0" text="" dxfId="3856">
      <formula>$F1267:G2292="pp"</formula>
    </cfRule>
  </conditionalFormatting>
  <conditionalFormatting sqref="K1316:K1317 M1316:N1317">
    <cfRule type="expression" priority="3847" aboveAverage="0" equalAverage="0" bottom="0" percent="0" rank="0" text="" dxfId="3857">
      <formula>$F1316:P2325="pp"</formula>
    </cfRule>
  </conditionalFormatting>
  <conditionalFormatting sqref="K1367:K1370 M1367:N1370">
    <cfRule type="expression" priority="3848" aboveAverage="0" equalAverage="0" bottom="0" percent="0" rank="0" text="" dxfId="3858">
      <formula>$F1367:P2313="pp"</formula>
    </cfRule>
  </conditionalFormatting>
  <conditionalFormatting sqref="J1357:J1366 A1380:A1386 B1357:B1366 L1357:L1366">
    <cfRule type="expression" priority="3849" aboveAverage="0" equalAverage="0" bottom="0" percent="0" rank="0" text="" dxfId="3859">
      <formula>$F1357:F2273="pp"</formula>
    </cfRule>
  </conditionalFormatting>
  <conditionalFormatting sqref="K1499:K1500 M1499:N1500">
    <cfRule type="expression" priority="3850" aboveAverage="0" equalAverage="0" bottom="0" percent="0" rank="0" text="" dxfId="3860">
      <formula>$F1499:P2342="pp"</formula>
    </cfRule>
  </conditionalFormatting>
  <conditionalFormatting sqref="C1504:D1509">
    <cfRule type="expression" priority="3851" aboveAverage="0" equalAverage="0" bottom="0" percent="0" rank="0" text="" dxfId="3861">
      <formula>$F1504:H2336="pp"</formula>
    </cfRule>
  </conditionalFormatting>
  <conditionalFormatting sqref="B1552:B1559 L1552:L1559 J1552:J1559">
    <cfRule type="expression" priority="3852" aboveAverage="0" equalAverage="0" bottom="0" percent="0" rank="0" text="" dxfId="3862">
      <formula>$F1552:G2317="pp"</formula>
    </cfRule>
  </conditionalFormatting>
  <conditionalFormatting sqref="C1602:D1606">
    <cfRule type="expression" priority="3853" aboveAverage="0" equalAverage="0" bottom="0" percent="0" rank="0" text="" dxfId="3863">
      <formula>$F1602:H2333="pp"</formula>
    </cfRule>
  </conditionalFormatting>
  <conditionalFormatting sqref="B1771:B1776 M1817:N1821 J1771:J1776 L1771:L1776 K1817:K1821">
    <cfRule type="expression" priority="3854" aboveAverage="0" equalAverage="0" bottom="0" percent="0" rank="0" text="" dxfId="3864">
      <formula>$F1771:G2302="pp"</formula>
    </cfRule>
  </conditionalFormatting>
  <conditionalFormatting sqref="K1869:K1872 A1837:A1844 M1869:N1872">
    <cfRule type="expression" priority="3855" aboveAverage="0" equalAverage="0" bottom="0" percent="0" rank="0" text="" dxfId="3865">
      <formula>$F1837:F2334="pp"</formula>
    </cfRule>
  </conditionalFormatting>
  <conditionalFormatting sqref="A1911:A1917">
    <cfRule type="expression" priority="3856" aboveAverage="0" equalAverage="0" bottom="0" percent="0" rank="0" text="" dxfId="3866">
      <formula>$F1911:F2329="pp"</formula>
    </cfRule>
  </conditionalFormatting>
  <conditionalFormatting sqref="A1983:A1987">
    <cfRule type="expression" priority="3857" aboveAverage="0" equalAverage="0" bottom="0" percent="0" rank="0" text="" dxfId="3867">
      <formula>$F1983:F2341="pp"</formula>
    </cfRule>
  </conditionalFormatting>
  <conditionalFormatting sqref="K2027:K2030 M2027:N2030 A2003:A2004">
    <cfRule type="expression" priority="3858" aboveAverage="0" equalAverage="0" bottom="0" percent="0" rank="0" text="" dxfId="3868">
      <formula>$F2003:F2332="pp"</formula>
    </cfRule>
  </conditionalFormatting>
  <conditionalFormatting sqref="K2035:K2037 M2035:N2037 B2001:B2004 L2001:L2004 J2001:J2004">
    <cfRule type="expression" priority="3859" aboveAverage="0" equalAverage="0" bottom="0" percent="0" rank="0" text="" dxfId="3869">
      <formula>$F2001:G2312="pp"</formula>
    </cfRule>
  </conditionalFormatting>
  <conditionalFormatting sqref="K2048:K2049 M2048:N2049">
    <cfRule type="expression" priority="3860" aboveAverage="0" equalAverage="0" bottom="0" percent="0" rank="0" text="" dxfId="3870">
      <formula>$F2048:P2351="pp"</formula>
    </cfRule>
  </conditionalFormatting>
  <conditionalFormatting sqref="J1426:J1427 B1426:B1427 B1418:B1422 L1426:L1427 J1418:J1422 L1418:L1422">
    <cfRule type="expression" priority="3861" aboveAverage="0" equalAverage="0" bottom="0" percent="0" rank="0" text="" dxfId="3871">
      <formula>$F1418:G2291="pp"</formula>
    </cfRule>
  </conditionalFormatting>
  <conditionalFormatting sqref="E545:E548">
    <cfRule type="expression" priority="3862" aboveAverage="0" equalAverage="0" bottom="0" percent="0" rank="0" text="" dxfId="3872">
      <formula>$F545:I2286="pp"</formula>
    </cfRule>
  </conditionalFormatting>
  <conditionalFormatting sqref="O566:O569 G545:I546">
    <cfRule type="expression" priority="3863" aboveAverage="0" equalAverage="0" bottom="0" percent="0" rank="0" text="" dxfId="3873">
      <formula>$F545:K2276="pp"</formula>
    </cfRule>
  </conditionalFormatting>
  <conditionalFormatting sqref="E865:E871 P922:P924">
    <cfRule type="expression" priority="3864" aboveAverage="0" equalAverage="0" bottom="0" percent="0" rank="0" text="" dxfId="3874">
      <formula>$F865:I2303="pp"</formula>
    </cfRule>
  </conditionalFormatting>
  <conditionalFormatting sqref="E887:E896">
    <cfRule type="expression" priority="3865" aboveAverage="0" equalAverage="0" bottom="0" percent="0" rank="0" text="" dxfId="3875">
      <formula>$F887:I2301="pp"</formula>
    </cfRule>
  </conditionalFormatting>
  <conditionalFormatting sqref="E922:E924">
    <cfRule type="expression" priority="3866" aboveAverage="0" equalAverage="0" bottom="0" percent="0" rank="0" text="" dxfId="3876">
      <formula>$F922:I2348="pp"</formula>
    </cfRule>
  </conditionalFormatting>
  <conditionalFormatting sqref="E1004:E1006">
    <cfRule type="expression" priority="3867" aboveAverage="0" equalAverage="0" bottom="0" percent="0" rank="0" text="" dxfId="3877">
      <formula>$F1004:I2297="pp"</formula>
    </cfRule>
  </conditionalFormatting>
  <conditionalFormatting sqref="G1007:I1009 E1033:E1048">
    <cfRule type="expression" priority="3868" aboveAverage="0" equalAverage="0" bottom="0" percent="0" rank="0" text="" dxfId="3878">
      <formula>$F1007:I2277="pp"</formula>
    </cfRule>
  </conditionalFormatting>
  <conditionalFormatting sqref="G1049:I1051 E1052:E1054 O1055:O1059">
    <cfRule type="expression" priority="3869" aboveAverage="0" equalAverage="0" bottom="0" percent="0" rank="0" text="" dxfId="3879">
      <formula>$F1049:I2291="pp"</formula>
    </cfRule>
  </conditionalFormatting>
  <conditionalFormatting sqref="E1078:E1079">
    <cfRule type="expression" priority="3870" aboveAverage="0" equalAverage="0" bottom="0" percent="0" rank="0" text="" dxfId="3880">
      <formula>$F1078:I2288="pp"</formula>
    </cfRule>
  </conditionalFormatting>
  <conditionalFormatting sqref="E1116:E1118">
    <cfRule type="expression" priority="3871" aboveAverage="0" equalAverage="0" bottom="0" percent="0" rank="0" text="" dxfId="3881">
      <formula>$F1116:I2289="pp"</formula>
    </cfRule>
  </conditionalFormatting>
  <conditionalFormatting sqref="E1126:E1129">
    <cfRule type="expression" priority="3872" aboveAverage="0" equalAverage="0" bottom="0" percent="0" rank="0" text="" dxfId="3882">
      <formula>$F1126:I2292="pp"</formula>
    </cfRule>
  </conditionalFormatting>
  <conditionalFormatting sqref="E1209:E1219">
    <cfRule type="expression" priority="3873" aboveAverage="0" equalAverage="0" bottom="0" percent="0" rank="0" text="" dxfId="3883">
      <formula>$F1209:I2307="pp"</formula>
    </cfRule>
  </conditionalFormatting>
  <conditionalFormatting sqref="E1220:E1226">
    <cfRule type="expression" priority="3874" aboveAverage="0" equalAverage="0" bottom="0" percent="0" rank="0" text="" dxfId="3884">
      <formula>$F1220:I2312="pp"</formula>
    </cfRule>
  </conditionalFormatting>
  <conditionalFormatting sqref="E1267:E1269">
    <cfRule type="expression" priority="3875" aboveAverage="0" equalAverage="0" bottom="0" percent="0" rank="0" text="" dxfId="3885">
      <formula>$F1267:I2308="pp"</formula>
    </cfRule>
  </conditionalFormatting>
  <conditionalFormatting sqref="E1280:E1284">
    <cfRule type="expression" priority="3876" aboveAverage="0" equalAverage="0" bottom="0" percent="0" rank="0" text="" dxfId="3886">
      <formula>$F1280:I2300="pp"</formula>
    </cfRule>
  </conditionalFormatting>
  <conditionalFormatting sqref="O1288:O1290 E1291:E1292">
    <cfRule type="expression" priority="3877" aboveAverage="0" equalAverage="0" bottom="0" percent="0" rank="0" text="" dxfId="3887">
      <formula>$F1288:I2300="pp"</formula>
    </cfRule>
  </conditionalFormatting>
  <conditionalFormatting sqref="E1303:E1310">
    <cfRule type="expression" priority="3878" aboveAverage="0" equalAverage="0" bottom="0" percent="0" rank="0" text="" dxfId="3888">
      <formula>$F1303:I2301="pp"</formula>
    </cfRule>
  </conditionalFormatting>
  <conditionalFormatting sqref="E1395:E1396">
    <cfRule type="expression" priority="3879" aboveAverage="0" equalAverage="0" bottom="0" percent="0" rank="0" text="" dxfId="3889">
      <formula>$F1395:I2295="pp"</formula>
    </cfRule>
  </conditionalFormatting>
  <conditionalFormatting sqref="G1395:I1396 F1454:F1457">
    <cfRule type="expression" priority="3880" aboveAverage="0" equalAverage="0" bottom="0" percent="0" rank="0" text="" dxfId="3890">
      <formula>$F1395:J2285="pp"</formula>
    </cfRule>
  </conditionalFormatting>
  <conditionalFormatting sqref="E1434:E1435 G1408:I1411">
    <cfRule type="expression" priority="3881" aboveAverage="0" equalAverage="0" bottom="0" percent="0" rank="0" text="" dxfId="3891">
      <formula>$F1408:I2286="pp"</formula>
    </cfRule>
  </conditionalFormatting>
  <conditionalFormatting sqref="F1543:F1544 G1490:I1495">
    <cfRule type="expression" priority="3882" aboveAverage="0" equalAverage="0" bottom="0" percent="0" rank="0" text="" dxfId="3892">
      <formula>$F1490:J2300="pp"</formula>
    </cfRule>
  </conditionalFormatting>
  <conditionalFormatting sqref="P1545:P1551 P1539:P1540">
    <cfRule type="expression" priority="3883" aboveAverage="0" equalAverage="0" bottom="0" percent="0" rank="0" text="" dxfId="3893">
      <formula>$F1539:T2340="pp"</formula>
    </cfRule>
  </conditionalFormatting>
  <conditionalFormatting sqref="E1543:E1544">
    <cfRule type="expression" priority="3884" aboveAverage="0" equalAverage="0" bottom="0" percent="0" rank="0" text="" dxfId="3894">
      <formula>$F1543:I2324="pp"</formula>
    </cfRule>
  </conditionalFormatting>
  <conditionalFormatting sqref="E1555:E1559 G1533:I1536">
    <cfRule type="expression" priority="3885" aboveAverage="0" equalAverage="0" bottom="0" percent="0" rank="0" text="" dxfId="3895">
      <formula>$F1533:I2308="pp"</formula>
    </cfRule>
  </conditionalFormatting>
  <conditionalFormatting sqref="F1611:F1614 G1574:I1577">
    <cfRule type="expression" priority="3886" aboveAverage="0" equalAverage="0" bottom="0" percent="0" rank="0" text="" dxfId="3896">
      <formula>$F1574:J2304="pp"</formula>
    </cfRule>
  </conditionalFormatting>
  <conditionalFormatting sqref="G1578:I1590">
    <cfRule type="expression" priority="3887" aboveAverage="0" equalAverage="0" bottom="0" percent="0" rank="0" text="" dxfId="3897">
      <formula>$F1578:K2305="pp"</formula>
    </cfRule>
  </conditionalFormatting>
  <conditionalFormatting sqref="O1691:O1692">
    <cfRule type="expression" priority="3888" aboveAverage="0" equalAverage="0" bottom="0" percent="0" rank="0" text="" dxfId="3898">
      <formula>$F1691:S2329="pp"</formula>
    </cfRule>
  </conditionalFormatting>
  <conditionalFormatting sqref="E1703:E1704">
    <cfRule type="expression" priority="3889" aboveAverage="0" equalAverage="0" bottom="0" percent="0" rank="0" text="" dxfId="3899">
      <formula>$F1703:I2319="pp"</formula>
    </cfRule>
  </conditionalFormatting>
  <conditionalFormatting sqref="F1789:F1790">
    <cfRule type="expression" priority="3890" aboveAverage="0" equalAverage="0" bottom="0" percent="0" rank="0" text="" dxfId="3900">
      <formula>$F1789:J2381="pp"</formula>
    </cfRule>
  </conditionalFormatting>
  <conditionalFormatting sqref="E1771:E1776">
    <cfRule type="expression" priority="3891" aboveAverage="0" equalAverage="0" bottom="0" percent="0" rank="0" text="" dxfId="3901">
      <formula>$F1771:I2312="pp"</formula>
    </cfRule>
  </conditionalFormatting>
  <conditionalFormatting sqref="E1777:E1779">
    <cfRule type="expression" priority="3892" aboveAverage="0" equalAverage="0" bottom="0" percent="0" rank="0" text="" dxfId="3902">
      <formula>$F1777:I2315="pp"</formula>
    </cfRule>
  </conditionalFormatting>
  <conditionalFormatting sqref="G1795:I1796 G1804:I1809">
    <cfRule type="expression" priority="3893" aboveAverage="0" equalAverage="0" bottom="0" percent="0" rank="0" text="" dxfId="3903">
      <formula>$F1795:K2302="pp"</formula>
    </cfRule>
  </conditionalFormatting>
  <conditionalFormatting sqref="E1830:E1834">
    <cfRule type="expression" priority="3894" aboveAverage="0" equalAverage="0" bottom="0" percent="0" rank="0" text="" dxfId="3904">
      <formula>$F1830:I2331="pp"</formula>
    </cfRule>
  </conditionalFormatting>
  <conditionalFormatting sqref="F1988:F1991 O1927:O1932 E1922:E1924">
    <cfRule type="expression" priority="3895" aboveAverage="0" equalAverage="0" bottom="0" percent="0" rank="0" text="" dxfId="3905">
      <formula>$F1922:I2317="pp"</formula>
    </cfRule>
  </conditionalFormatting>
  <conditionalFormatting sqref="G1927:I1932">
    <cfRule type="expression" priority="3896" aboveAverage="0" equalAverage="0" bottom="0" percent="0" rank="0" text="" dxfId="3906">
      <formula>$F1927:K2307="pp"</formula>
    </cfRule>
  </conditionalFormatting>
  <conditionalFormatting sqref="E1988:E1991">
    <cfRule type="expression" priority="3897" aboveAverage="0" equalAverage="0" bottom="0" percent="0" rank="0" text="" dxfId="3907">
      <formula>$F1988:I2318="pp"</formula>
    </cfRule>
  </conditionalFormatting>
  <conditionalFormatting sqref="O2032:O2034">
    <cfRule type="expression" priority="3898" aboveAverage="0" equalAverage="0" bottom="0" percent="0" rank="0" text="" dxfId="3908">
      <formula>$F2032:S2327="pp"</formula>
    </cfRule>
  </conditionalFormatting>
  <conditionalFormatting sqref="O2038:O2043">
    <cfRule type="expression" priority="3899" aboveAverage="0" equalAverage="0" bottom="0" percent="0" rank="0" text="" dxfId="3909">
      <formula>$F2038:S2325="pp"</formula>
    </cfRule>
  </conditionalFormatting>
  <conditionalFormatting sqref="P353:P356">
    <cfRule type="expression" priority="3900" aboveAverage="0" equalAverage="0" bottom="0" percent="0" rank="0" text="" dxfId="3910">
      <formula>$F353:T3204="pp"</formula>
    </cfRule>
    <cfRule type="expression" priority="3901" aboveAverage="0" equalAverage="0" bottom="0" percent="0" rank="0" text="" dxfId="3911">
      <formula>$F353:T2487="pp"</formula>
    </cfRule>
  </conditionalFormatting>
  <conditionalFormatting sqref="P190:P194">
    <cfRule type="expression" priority="3902" aboveAverage="0" equalAverage="0" bottom="0" percent="0" rank="0" text="" dxfId="3912">
      <formula>$F190:T2952="pp"</formula>
    </cfRule>
    <cfRule type="expression" priority="3903" aboveAverage="0" equalAverage="0" bottom="0" percent="0" rank="0" text="" dxfId="3913">
      <formula>$F190:T2235="pp"</formula>
    </cfRule>
  </conditionalFormatting>
  <conditionalFormatting sqref="P267:P268">
    <cfRule type="expression" priority="3904" aboveAverage="0" equalAverage="0" bottom="0" percent="0" rank="0" text="" dxfId="3914">
      <formula>$F267:T3015="pp"</formula>
    </cfRule>
    <cfRule type="expression" priority="3905" aboveAverage="0" equalAverage="0" bottom="0" percent="0" rank="0" text="" dxfId="3915">
      <formula>$F267:T2298="pp"</formula>
    </cfRule>
  </conditionalFormatting>
  <conditionalFormatting sqref="P317:P321">
    <cfRule type="expression" priority="3906" aboveAverage="0" equalAverage="0" bottom="0" percent="0" rank="0" text="" dxfId="3916">
      <formula>$F317:T3005="pp"</formula>
    </cfRule>
    <cfRule type="expression" priority="3907" aboveAverage="0" equalAverage="0" bottom="0" percent="0" rank="0" text="" dxfId="3917">
      <formula>$F317:T2288="pp"</formula>
    </cfRule>
  </conditionalFormatting>
  <conditionalFormatting sqref="P327:P328">
    <cfRule type="expression" priority="3908" aboveAverage="0" equalAverage="0" bottom="0" percent="0" rank="0" text="" dxfId="3918">
      <formula>$F327:T3010="pp"</formula>
    </cfRule>
    <cfRule type="expression" priority="3909" aboveAverage="0" equalAverage="0" bottom="0" percent="0" rank="0" text="" dxfId="3919">
      <formula>$F327:T2293="pp"</formula>
    </cfRule>
  </conditionalFormatting>
  <conditionalFormatting sqref="P413:P420">
    <cfRule type="expression" priority="3910" aboveAverage="0" equalAverage="0" bottom="0" percent="0" rank="0" text="" dxfId="3920">
      <formula>$F413:T3005="pp"</formula>
    </cfRule>
    <cfRule type="expression" priority="3911" aboveAverage="0" equalAverage="0" bottom="0" percent="0" rank="0" text="" dxfId="3921">
      <formula>$F413:T2288="pp"</formula>
    </cfRule>
  </conditionalFormatting>
  <conditionalFormatting sqref="P440:P442 P446:P454">
    <cfRule type="expression" priority="3912" aboveAverage="0" equalAverage="0" bottom="0" percent="0" rank="0" text="" dxfId="3922">
      <formula>$F440:T3013="pp"</formula>
    </cfRule>
    <cfRule type="expression" priority="3913" aboveAverage="0" equalAverage="0" bottom="0" percent="0" rank="0" text="" dxfId="3923">
      <formula>$F440:T2296="pp"</formula>
    </cfRule>
  </conditionalFormatting>
  <conditionalFormatting sqref="P471:P475">
    <cfRule type="expression" priority="3914" aboveAverage="0" equalAverage="0" bottom="0" percent="0" rank="0" text="" dxfId="3924">
      <formula>$F471:T3012="pp"</formula>
    </cfRule>
    <cfRule type="expression" priority="3915" aboveAverage="0" equalAverage="0" bottom="0" percent="0" rank="0" text="" dxfId="3925">
      <formula>$F471:T2295="pp"</formula>
    </cfRule>
  </conditionalFormatting>
  <conditionalFormatting sqref="P477:P478">
    <cfRule type="expression" priority="3916" aboveAverage="0" equalAverage="0" bottom="0" percent="0" rank="0" text="" dxfId="3926">
      <formula>$F477:T3014="pp"</formula>
    </cfRule>
    <cfRule type="expression" priority="3917" aboveAverage="0" equalAverage="0" bottom="0" percent="0" rank="0" text="" dxfId="3927">
      <formula>$F477:T2297="pp"</formula>
    </cfRule>
  </conditionalFormatting>
  <conditionalFormatting sqref="P489:P490">
    <cfRule type="expression" priority="3918" aboveAverage="0" equalAverage="0" bottom="0" percent="0" rank="0" text="" dxfId="3928">
      <formula>$F489:T3016="pp"</formula>
    </cfRule>
    <cfRule type="expression" priority="3919" aboveAverage="0" equalAverage="0" bottom="0" percent="0" rank="0" text="" dxfId="3929">
      <formula>$F489:T2299="pp"</formula>
    </cfRule>
  </conditionalFormatting>
  <conditionalFormatting sqref="P508:P509">
    <cfRule type="expression" priority="3920" aboveAverage="0" equalAverage="0" bottom="0" percent="0" rank="0" text="" dxfId="3930">
      <formula>$F508:T3017="pp"</formula>
    </cfRule>
    <cfRule type="expression" priority="3921" aboveAverage="0" equalAverage="0" bottom="0" percent="0" rank="0" text="" dxfId="3931">
      <formula>$F508:T2300="pp"</formula>
    </cfRule>
  </conditionalFormatting>
  <conditionalFormatting sqref="P516:P520">
    <cfRule type="expression" priority="3922" aboveAverage="0" equalAverage="0" bottom="0" percent="0" rank="0" text="" dxfId="3932">
      <formula>$F516:T3022="pp"</formula>
    </cfRule>
    <cfRule type="expression" priority="3923" aboveAverage="0" equalAverage="0" bottom="0" percent="0" rank="0" text="" dxfId="3933">
      <formula>$F516:T2305="pp"</formula>
    </cfRule>
  </conditionalFormatting>
  <conditionalFormatting sqref="P521:P523">
    <cfRule type="expression" priority="3924" aboveAverage="0" equalAverage="0" bottom="0" percent="0" rank="0" text="" dxfId="3934">
      <formula>$F521:T3015="pp"</formula>
    </cfRule>
    <cfRule type="expression" priority="3925" aboveAverage="0" equalAverage="0" bottom="0" percent="0" rank="0" text="" dxfId="3935">
      <formula>$F521:T2298="pp"</formula>
    </cfRule>
  </conditionalFormatting>
  <conditionalFormatting sqref="P527:P532">
    <cfRule type="expression" priority="3926" aboveAverage="0" equalAverage="0" bottom="0" percent="0" rank="0" text="" dxfId="3936">
      <formula>$F527:T3017="pp"</formula>
    </cfRule>
    <cfRule type="expression" priority="3927" aboveAverage="0" equalAverage="0" bottom="0" percent="0" rank="0" text="" dxfId="3937">
      <formula>$F527:T2300="pp"</formula>
    </cfRule>
  </conditionalFormatting>
  <conditionalFormatting sqref="P559:P564">
    <cfRule type="expression" priority="3928" aboveAverage="0" equalAverage="0" bottom="0" percent="0" rank="0" text="" dxfId="3938">
      <formula>$F559:T3029="pp"</formula>
    </cfRule>
    <cfRule type="expression" priority="3929" aboveAverage="0" equalAverage="0" bottom="0" percent="0" rank="0" text="" dxfId="3939">
      <formula>$F559:T2312="pp"</formula>
    </cfRule>
  </conditionalFormatting>
  <conditionalFormatting sqref="P566:P569">
    <cfRule type="expression" priority="3930" aboveAverage="0" equalAverage="0" bottom="0" percent="0" rank="0" text="" dxfId="3940">
      <formula>$F566:T3027="pp"</formula>
    </cfRule>
    <cfRule type="expression" priority="3931" aboveAverage="0" equalAverage="0" bottom="0" percent="0" rank="0" text="" dxfId="3941">
      <formula>$F566:T2310="pp"</formula>
    </cfRule>
  </conditionalFormatting>
  <conditionalFormatting sqref="P583:P588">
    <cfRule type="expression" priority="3932" aboveAverage="0" equalAverage="0" bottom="0" percent="0" rank="0" text="" dxfId="3942">
      <formula>$F583:T3020="pp"</formula>
    </cfRule>
    <cfRule type="expression" priority="3933" aboveAverage="0" equalAverage="0" bottom="0" percent="0" rank="0" text="" dxfId="3943">
      <formula>$F583:T2303="pp"</formula>
    </cfRule>
  </conditionalFormatting>
  <conditionalFormatting sqref="P617:P620">
    <cfRule type="expression" priority="3934" aboveAverage="0" equalAverage="0" bottom="0" percent="0" rank="0" text="" dxfId="3944">
      <formula>$F617:T3025="pp"</formula>
    </cfRule>
    <cfRule type="expression" priority="3935" aboveAverage="0" equalAverage="0" bottom="0" percent="0" rank="0" text="" dxfId="3945">
      <formula>$F617:T2308="pp"</formula>
    </cfRule>
  </conditionalFormatting>
  <conditionalFormatting sqref="P656:P659">
    <cfRule type="expression" priority="3936" aboveAverage="0" equalAverage="0" bottom="0" percent="0" rank="0" text="" dxfId="3946">
      <formula>$F656:T3013="pp"</formula>
    </cfRule>
    <cfRule type="expression" priority="3937" aboveAverage="0" equalAverage="0" bottom="0" percent="0" rank="0" text="" dxfId="3947">
      <formula>$F656:T2296="pp"</formula>
    </cfRule>
  </conditionalFormatting>
  <conditionalFormatting sqref="P665:P667">
    <cfRule type="expression" priority="3938" aboveAverage="0" equalAverage="0" bottom="0" percent="0" rank="0" text="" dxfId="3948">
      <formula>$F665:T3017="pp"</formula>
    </cfRule>
    <cfRule type="expression" priority="3939" aboveAverage="0" equalAverage="0" bottom="0" percent="0" rank="0" text="" dxfId="3949">
      <formula>$F665:T2300="pp"</formula>
    </cfRule>
  </conditionalFormatting>
  <conditionalFormatting sqref="P668:P671">
    <cfRule type="expression" priority="3940" aboveAverage="0" equalAverage="0" bottom="0" percent="0" rank="0" text="" dxfId="3950">
      <formula>$F668:T3014="pp"</formula>
    </cfRule>
    <cfRule type="expression" priority="3941" aboveAverage="0" equalAverage="0" bottom="0" percent="0" rank="0" text="" dxfId="3951">
      <formula>$F668:T2297="pp"</formula>
    </cfRule>
  </conditionalFormatting>
  <conditionalFormatting sqref="P719:P721">
    <cfRule type="expression" priority="3942" aboveAverage="0" equalAverage="0" bottom="0" percent="0" rank="0" text="" dxfId="3952">
      <formula>$F719:T3021="pp"</formula>
    </cfRule>
    <cfRule type="expression" priority="3943" aboveAverage="0" equalAverage="0" bottom="0" percent="0" rank="0" text="" dxfId="3953">
      <formula>$F719:T2304="pp"</formula>
    </cfRule>
  </conditionalFormatting>
  <conditionalFormatting sqref="P726:P727">
    <cfRule type="expression" priority="3944" aboveAverage="0" equalAverage="0" bottom="0" percent="0" rank="0" text="" dxfId="3954">
      <formula>$F726:T3019="pp"</formula>
    </cfRule>
    <cfRule type="expression" priority="3945" aboveAverage="0" equalAverage="0" bottom="0" percent="0" rank="0" text="" dxfId="3955">
      <formula>$F726:T2302="pp"</formula>
    </cfRule>
  </conditionalFormatting>
  <conditionalFormatting sqref="P741:P747">
    <cfRule type="expression" priority="3946" aboveAverage="0" equalAverage="0" bottom="0" percent="0" rank="0" text="" dxfId="3956">
      <formula>$F741:T3019="pp"</formula>
    </cfRule>
    <cfRule type="expression" priority="3947" aboveAverage="0" equalAverage="0" bottom="0" percent="0" rank="0" text="" dxfId="3957">
      <formula>$F741:T2302="pp"</formula>
    </cfRule>
  </conditionalFormatting>
  <conditionalFormatting sqref="P767:P770">
    <cfRule type="expression" priority="3948" aboveAverage="0" equalAverage="0" bottom="0" percent="0" rank="0" text="" dxfId="3958">
      <formula>$F767:T3017="pp"</formula>
    </cfRule>
    <cfRule type="expression" priority="3949" aboveAverage="0" equalAverage="0" bottom="0" percent="0" rank="0" text="" dxfId="3959">
      <formula>$F767:T2300="pp"</formula>
    </cfRule>
  </conditionalFormatting>
  <conditionalFormatting sqref="P786:P788">
    <cfRule type="expression" priority="3950" aboveAverage="0" equalAverage="0" bottom="0" percent="0" rank="0" text="" dxfId="3960">
      <formula>$F786:T3022="pp"</formula>
    </cfRule>
    <cfRule type="expression" priority="3951" aboveAverage="0" equalAverage="0" bottom="0" percent="0" rank="0" text="" dxfId="3961">
      <formula>$F786:T2305="pp"</formula>
    </cfRule>
  </conditionalFormatting>
  <conditionalFormatting sqref="P815:P818">
    <cfRule type="expression" priority="3952" aboveAverage="0" equalAverage="0" bottom="0" percent="0" rank="0" text="" dxfId="3962">
      <formula>$F815:T3023="pp"</formula>
    </cfRule>
    <cfRule type="expression" priority="3953" aboveAverage="0" equalAverage="0" bottom="0" percent="0" rank="0" text="" dxfId="3963">
      <formula>$F815:T2306="pp"</formula>
    </cfRule>
  </conditionalFormatting>
  <conditionalFormatting sqref="P830:P831 P834:P835">
    <cfRule type="expression" priority="3954" aboveAverage="0" equalAverage="0" bottom="0" percent="0" rank="0" text="" dxfId="3964">
      <formula>$F830:T3029="pp"</formula>
    </cfRule>
    <cfRule type="expression" priority="3955" aboveAverage="0" equalAverage="0" bottom="0" percent="0" rank="0" text="" dxfId="3965">
      <formula>$F830:T2312="pp"</formula>
    </cfRule>
  </conditionalFormatting>
  <conditionalFormatting sqref="P865:P871">
    <cfRule type="expression" priority="3956" aboveAverage="0" equalAverage="0" bottom="0" percent="0" rank="0" text="" dxfId="3966">
      <formula>$F865:T3032="pp"</formula>
    </cfRule>
    <cfRule type="expression" priority="3957" aboveAverage="0" equalAverage="0" bottom="0" percent="0" rank="0" text="" dxfId="3967">
      <formula>$F865:T2315="pp"</formula>
    </cfRule>
  </conditionalFormatting>
  <conditionalFormatting sqref="P872:P873">
    <cfRule type="expression" priority="3958" aboveAverage="0" equalAverage="0" bottom="0" percent="0" rank="0" text="" dxfId="3968">
      <formula>$F872:T3026="pp"</formula>
    </cfRule>
    <cfRule type="expression" priority="3959" aboveAverage="0" equalAverage="0" bottom="0" percent="0" rank="0" text="" dxfId="3969">
      <formula>$F872:T2309="pp"</formula>
    </cfRule>
  </conditionalFormatting>
  <conditionalFormatting sqref="P927:P931">
    <cfRule type="expression" priority="3960" aboveAverage="0" equalAverage="0" bottom="0" percent="0" rank="0" text="" dxfId="3970">
      <formula>$F927:T3022="pp"</formula>
    </cfRule>
    <cfRule type="expression" priority="3961" aboveAverage="0" equalAverage="0" bottom="0" percent="0" rank="0" text="" dxfId="3971">
      <formula>$F927:T2305="pp"</formula>
    </cfRule>
  </conditionalFormatting>
  <conditionalFormatting sqref="P965:P971">
    <cfRule type="expression" priority="3962" aboveAverage="0" equalAverage="0" bottom="0" percent="0" rank="0" text="" dxfId="3972">
      <formula>$F965:T3030="pp"</formula>
    </cfRule>
    <cfRule type="expression" priority="3963" aboveAverage="0" equalAverage="0" bottom="0" percent="0" rank="0" text="" dxfId="3973">
      <formula>$F965:T2313="pp"</formula>
    </cfRule>
  </conditionalFormatting>
  <conditionalFormatting sqref="P972:P977">
    <cfRule type="expression" priority="3964" aboveAverage="0" equalAverage="0" bottom="0" percent="0" rank="0" text="" dxfId="3974">
      <formula>$F972:T3030="pp"</formula>
    </cfRule>
    <cfRule type="expression" priority="3965" aboveAverage="0" equalAverage="0" bottom="0" percent="0" rank="0" text="" dxfId="3975">
      <formula>$F972:T2313="pp"</formula>
    </cfRule>
  </conditionalFormatting>
  <conditionalFormatting sqref="P1001:P1003">
    <cfRule type="expression" priority="3966" aboveAverage="0" equalAverage="0" bottom="0" percent="0" rank="0" text="" dxfId="3976">
      <formula>$F1001:T3033="pp"</formula>
    </cfRule>
    <cfRule type="expression" priority="3967" aboveAverage="0" equalAverage="0" bottom="0" percent="0" rank="0" text="" dxfId="3977">
      <formula>$F1001:T2316="pp"</formula>
    </cfRule>
  </conditionalFormatting>
  <conditionalFormatting sqref="P1007:P1009">
    <cfRule type="expression" priority="3968" aboveAverage="0" equalAverage="0" bottom="0" percent="0" rank="0" text="" dxfId="3978">
      <formula>$F1007:T3022="pp"</formula>
    </cfRule>
    <cfRule type="expression" priority="3969" aboveAverage="0" equalAverage="0" bottom="0" percent="0" rank="0" text="" dxfId="3979">
      <formula>$F1007:T2305="pp"</formula>
    </cfRule>
  </conditionalFormatting>
  <conditionalFormatting sqref="G283:I284 O283:O284">
    <cfRule type="expression" priority="3970" aboveAverage="0" equalAverage="0" bottom="0" percent="0" rank="0" text="" dxfId="3980">
      <formula>$F283:K2288="pp"</formula>
    </cfRule>
  </conditionalFormatting>
  <conditionalFormatting sqref="P1033:P1043">
    <cfRule type="expression" priority="3971" aboveAverage="0" equalAverage="0" bottom="0" percent="0" rank="0" text="" dxfId="3981">
      <formula>$F1033:T3032="pp"</formula>
    </cfRule>
    <cfRule type="expression" priority="3972" aboveAverage="0" equalAverage="0" bottom="0" percent="0" rank="0" text="" dxfId="3982">
      <formula>$F1033:T2315="pp"</formula>
    </cfRule>
  </conditionalFormatting>
  <conditionalFormatting sqref="P1055:P1059">
    <cfRule type="expression" priority="3973" aboveAverage="0" equalAverage="0" bottom="0" percent="0" rank="0" text="" dxfId="3983">
      <formula>$F1055:T3027="pp"</formula>
    </cfRule>
    <cfRule type="expression" priority="3974" aboveAverage="0" equalAverage="0" bottom="0" percent="0" rank="0" text="" dxfId="3984">
      <formula>$F1055:T2310="pp"</formula>
    </cfRule>
  </conditionalFormatting>
  <conditionalFormatting sqref="P1080:P1095">
    <cfRule type="expression" priority="3975" aboveAverage="0" equalAverage="0" bottom="0" percent="0" rank="0" text="" dxfId="3985">
      <formula>$F1080:T3017="pp"</formula>
    </cfRule>
    <cfRule type="expression" priority="3976" aboveAverage="0" equalAverage="0" bottom="0" percent="0" rank="0" text="" dxfId="3986">
      <formula>$F1080:T2300="pp"</formula>
    </cfRule>
  </conditionalFormatting>
  <conditionalFormatting sqref="P1146:P1150">
    <cfRule type="expression" priority="3977" aboveAverage="0" equalAverage="0" bottom="0" percent="0" rank="0" text="" dxfId="3987">
      <formula>$F1146:T3026="pp"</formula>
    </cfRule>
    <cfRule type="expression" priority="3978" aboveAverage="0" equalAverage="0" bottom="0" percent="0" rank="0" text="" dxfId="3988">
      <formula>$F1146:T2309="pp"</formula>
    </cfRule>
  </conditionalFormatting>
  <conditionalFormatting sqref="P1153:P1155">
    <cfRule type="expression" priority="3979" aboveAverage="0" equalAverage="0" bottom="0" percent="0" rank="0" text="" dxfId="3989">
      <formula>$F1153:T3029="pp"</formula>
    </cfRule>
    <cfRule type="expression" priority="3980" aboveAverage="0" equalAverage="0" bottom="0" percent="0" rank="0" text="" dxfId="3990">
      <formula>$F1153:T2312="pp"</formula>
    </cfRule>
  </conditionalFormatting>
  <conditionalFormatting sqref="P1188:P1189">
    <cfRule type="expression" priority="3981" aboveAverage="0" equalAverage="0" bottom="0" percent="0" rank="0" text="" dxfId="3991">
      <formula>$F1188:T3046="pp"</formula>
    </cfRule>
    <cfRule type="expression" priority="3982" aboveAverage="0" equalAverage="0" bottom="0" percent="0" rank="0" text="" dxfId="3992">
      <formula>$F1188:T2329="pp"</formula>
    </cfRule>
  </conditionalFormatting>
  <conditionalFormatting sqref="P1228:P1230">
    <cfRule type="expression" priority="3983" aboveAverage="0" equalAverage="0" bottom="0" percent="0" rank="0" text="" dxfId="3993">
      <formula>$F1228:T3027="pp"</formula>
    </cfRule>
    <cfRule type="expression" priority="3984" aboveAverage="0" equalAverage="0" bottom="0" percent="0" rank="0" text="" dxfId="3994">
      <formula>$F1228:T2310="pp"</formula>
    </cfRule>
  </conditionalFormatting>
  <conditionalFormatting sqref="P1249:P1263">
    <cfRule type="expression" priority="3985" aboveAverage="0" equalAverage="0" bottom="0" percent="0" rank="0" text="" dxfId="3995">
      <formula>$F1249:T3033="pp"</formula>
    </cfRule>
    <cfRule type="expression" priority="3986" aboveAverage="0" equalAverage="0" bottom="0" percent="0" rank="0" text="" dxfId="3996">
      <formula>$F1249:T2316="pp"</formula>
    </cfRule>
  </conditionalFormatting>
  <conditionalFormatting sqref="P1271:P1275">
    <cfRule type="expression" priority="3987" aboveAverage="0" equalAverage="0" bottom="0" percent="0" rank="0" text="" dxfId="3997">
      <formula>$F1271:T3030="pp"</formula>
    </cfRule>
    <cfRule type="expression" priority="3988" aboveAverage="0" equalAverage="0" bottom="0" percent="0" rank="0" text="" dxfId="3998">
      <formula>$F1271:T2313="pp"</formula>
    </cfRule>
  </conditionalFormatting>
  <conditionalFormatting sqref="P1280:P1283">
    <cfRule type="expression" priority="3989" aboveAverage="0" equalAverage="0" bottom="0" percent="0" rank="0" text="" dxfId="3999">
      <formula>$F1280:T3029="pp"</formula>
    </cfRule>
    <cfRule type="expression" priority="3990" aboveAverage="0" equalAverage="0" bottom="0" percent="0" rank="0" text="" dxfId="4000">
      <formula>$F1280:T2312="pp"</formula>
    </cfRule>
  </conditionalFormatting>
  <conditionalFormatting sqref="P1288:P1290">
    <cfRule type="expression" priority="3991" aboveAverage="0" equalAverage="0" bottom="0" percent="0" rank="0" text="" dxfId="4001">
      <formula>$F1288:T3030="pp"</formula>
    </cfRule>
    <cfRule type="expression" priority="3992" aboveAverage="0" equalAverage="0" bottom="0" percent="0" rank="0" text="" dxfId="4002">
      <formula>$F1288:T2313="pp"</formula>
    </cfRule>
  </conditionalFormatting>
  <conditionalFormatting sqref="P1293:P1295">
    <cfRule type="expression" priority="3993" aboveAverage="0" equalAverage="0" bottom="0" percent="0" rank="0" text="" dxfId="4003">
      <formula>$F1293:T3032="pp"</formula>
    </cfRule>
    <cfRule type="expression" priority="3994" aboveAverage="0" equalAverage="0" bottom="0" percent="0" rank="0" text="" dxfId="4004">
      <formula>$F1293:T2315="pp"</formula>
    </cfRule>
  </conditionalFormatting>
  <conditionalFormatting sqref="P1297:P1300">
    <cfRule type="expression" priority="3995" aboveAverage="0" equalAverage="0" bottom="0" percent="0" rank="0" text="" dxfId="4005">
      <formula>$F1297:T3029="pp"</formula>
    </cfRule>
    <cfRule type="expression" priority="3996" aboveAverage="0" equalAverage="0" bottom="0" percent="0" rank="0" text="" dxfId="4006">
      <formula>$F1297:T2312="pp"</formula>
    </cfRule>
  </conditionalFormatting>
  <conditionalFormatting sqref="P1316:P1317">
    <cfRule type="expression" priority="3997" aboveAverage="0" equalAverage="0" bottom="0" percent="0" rank="0" text="" dxfId="4007">
      <formula>$F1316:T3033="pp"</formula>
    </cfRule>
    <cfRule type="expression" priority="3998" aboveAverage="0" equalAverage="0" bottom="0" percent="0" rank="0" text="" dxfId="4008">
      <formula>$F1316:T2316="pp"</formula>
    </cfRule>
  </conditionalFormatting>
  <conditionalFormatting sqref="P1330:P1333">
    <cfRule type="expression" priority="3999" aboveAverage="0" equalAverage="0" bottom="0" percent="0" rank="0" text="" dxfId="4009">
      <formula>$F1330:T3015="pp"</formula>
    </cfRule>
    <cfRule type="expression" priority="4000" aboveAverage="0" equalAverage="0" bottom="0" percent="0" rank="0" text="" dxfId="4010">
      <formula>$F1330:T2298="pp"</formula>
    </cfRule>
  </conditionalFormatting>
  <conditionalFormatting sqref="P1340:P1345">
    <cfRule type="expression" priority="4001" aboveAverage="0" equalAverage="0" bottom="0" percent="0" rank="0" text="" dxfId="4011">
      <formula>$F1340:T3015="pp"</formula>
    </cfRule>
    <cfRule type="expression" priority="4002" aboveAverage="0" equalAverage="0" bottom="0" percent="0" rank="0" text="" dxfId="4012">
      <formula>$F1340:T2298="pp"</formula>
    </cfRule>
  </conditionalFormatting>
  <conditionalFormatting sqref="P1350:P1354">
    <cfRule type="expression" priority="4003" aboveAverage="0" equalAverage="0" bottom="0" percent="0" rank="0" text="" dxfId="4013">
      <formula>$F1350:T3017="pp"</formula>
    </cfRule>
    <cfRule type="expression" priority="4004" aboveAverage="0" equalAverage="0" bottom="0" percent="0" rank="0" text="" dxfId="4014">
      <formula>$F1350:T2300="pp"</formula>
    </cfRule>
  </conditionalFormatting>
  <conditionalFormatting sqref="P1367:P1370">
    <cfRule type="expression" priority="4005" aboveAverage="0" equalAverage="0" bottom="0" percent="0" rank="0" text="" dxfId="4015">
      <formula>$F1367:T3021="pp"</formula>
    </cfRule>
    <cfRule type="expression" priority="4006" aboveAverage="0" equalAverage="0" bottom="0" percent="0" rank="0" text="" dxfId="4016">
      <formula>$F1367:T2304="pp"</formula>
    </cfRule>
  </conditionalFormatting>
  <conditionalFormatting sqref="P1377:P1379">
    <cfRule type="expression" priority="4007" aboveAverage="0" equalAverage="0" bottom="0" percent="0" rank="0" text="" dxfId="4017">
      <formula>$F1377:T3024="pp"</formula>
    </cfRule>
    <cfRule type="expression" priority="4008" aboveAverage="0" equalAverage="0" bottom="0" percent="0" rank="0" text="" dxfId="4018">
      <formula>$F1377:T2307="pp"</formula>
    </cfRule>
  </conditionalFormatting>
  <conditionalFormatting sqref="P1380:P1386">
    <cfRule type="expression" priority="4009" aboveAverage="0" equalAverage="0" bottom="0" percent="0" rank="0" text="" dxfId="4019">
      <formula>$F1380:T3023="pp"</formula>
    </cfRule>
    <cfRule type="expression" priority="4010" aboveAverage="0" equalAverage="0" bottom="0" percent="0" rank="0" text="" dxfId="4020">
      <formula>$F1380:T2306="pp"</formula>
    </cfRule>
  </conditionalFormatting>
  <conditionalFormatting sqref="P1390:P1393">
    <cfRule type="expression" priority="4011" aboveAverage="0" equalAverage="0" bottom="0" percent="0" rank="0" text="" dxfId="4021">
      <formula>$F1390:T3027="pp"</formula>
    </cfRule>
    <cfRule type="expression" priority="4012" aboveAverage="0" equalAverage="0" bottom="0" percent="0" rank="0" text="" dxfId="4022">
      <formula>$F1390:T2310="pp"</formula>
    </cfRule>
  </conditionalFormatting>
  <conditionalFormatting sqref="P1408:P1411">
    <cfRule type="expression" priority="4013" aboveAverage="0" equalAverage="0" bottom="0" percent="0" rank="0" text="" dxfId="4023">
      <formula>$F1408:T3031="pp"</formula>
    </cfRule>
    <cfRule type="expression" priority="4014" aboveAverage="0" equalAverage="0" bottom="0" percent="0" rank="0" text="" dxfId="4024">
      <formula>$F1408:T2314="pp"</formula>
    </cfRule>
  </conditionalFormatting>
  <conditionalFormatting sqref="P1437:P1441">
    <cfRule type="expression" priority="4015" aboveAverage="0" equalAverage="0" bottom="0" percent="0" rank="0" text="" dxfId="4025">
      <formula>$F1437:T3047="pp"</formula>
    </cfRule>
    <cfRule type="expression" priority="4016" aboveAverage="0" equalAverage="0" bottom="0" percent="0" rank="0" text="" dxfId="4026">
      <formula>$F1437:T2330="pp"</formula>
    </cfRule>
  </conditionalFormatting>
  <conditionalFormatting sqref="P1442:P1448">
    <cfRule type="expression" priority="4017" aboveAverage="0" equalAverage="0" bottom="0" percent="0" rank="0" text="" dxfId="4027">
      <formula>$F1442:T3049="pp"</formula>
    </cfRule>
    <cfRule type="expression" priority="4018" aboveAverage="0" equalAverage="0" bottom="0" percent="0" rank="0" text="" dxfId="4028">
      <formula>$F1442:T2332="pp"</formula>
    </cfRule>
  </conditionalFormatting>
  <conditionalFormatting sqref="P1458:P1459">
    <cfRule type="expression" priority="4019" aboveAverage="0" equalAverage="0" bottom="0" percent="0" rank="0" text="" dxfId="4029">
      <formula>$F1458:T3059="pp"</formula>
    </cfRule>
    <cfRule type="expression" priority="4020" aboveAverage="0" equalAverage="0" bottom="0" percent="0" rank="0" text="" dxfId="4030">
      <formula>$F1458:T2342="pp"</formula>
    </cfRule>
  </conditionalFormatting>
  <conditionalFormatting sqref="P1464:P1465">
    <cfRule type="expression" priority="4021" aboveAverage="0" equalAverage="0" bottom="0" percent="0" rank="0" text="" dxfId="4031">
      <formula>$F1464:T3044="pp"</formula>
    </cfRule>
    <cfRule type="expression" priority="4022" aboveAverage="0" equalAverage="0" bottom="0" percent="0" rank="0" text="" dxfId="4032">
      <formula>$F1464:T2327="pp"</formula>
    </cfRule>
  </conditionalFormatting>
  <conditionalFormatting sqref="P1486:P1488">
    <cfRule type="expression" priority="4023" aboveAverage="0" equalAverage="0" bottom="0" percent="0" rank="0" text="" dxfId="4033">
      <formula>$F1486:T3051="pp"</formula>
    </cfRule>
    <cfRule type="expression" priority="4024" aboveAverage="0" equalAverage="0" bottom="0" percent="0" rank="0" text="" dxfId="4034">
      <formula>$F1486:T2334="pp"</formula>
    </cfRule>
  </conditionalFormatting>
  <conditionalFormatting sqref="P1499:P1500">
    <cfRule type="expression" priority="4025" aboveAverage="0" equalAverage="0" bottom="0" percent="0" rank="0" text="" dxfId="4035">
      <formula>$F1499:T3050="pp"</formula>
    </cfRule>
    <cfRule type="expression" priority="4026" aboveAverage="0" equalAverage="0" bottom="0" percent="0" rank="0" text="" dxfId="4036">
      <formula>$F1499:T2333="pp"</formula>
    </cfRule>
  </conditionalFormatting>
  <conditionalFormatting sqref="P1514:P1516">
    <cfRule type="expression" priority="4027" aboveAverage="0" equalAverage="0" bottom="0" percent="0" rank="0" text="" dxfId="4037">
      <formula>$F1514:T3049="pp"</formula>
    </cfRule>
    <cfRule type="expression" priority="4028" aboveAverage="0" equalAverage="0" bottom="0" percent="0" rank="0" text="" dxfId="4038">
      <formula>$F1514:T2332="pp"</formula>
    </cfRule>
  </conditionalFormatting>
  <conditionalFormatting sqref="P1519:P1520">
    <cfRule type="expression" priority="4029" aboveAverage="0" equalAverage="0" bottom="0" percent="0" rank="0" text="" dxfId="4039">
      <formula>$F1519:T3049="pp"</formula>
    </cfRule>
    <cfRule type="expression" priority="4030" aboveAverage="0" equalAverage="0" bottom="0" percent="0" rank="0" text="" dxfId="4040">
      <formula>$F1519:T2332="pp"</formula>
    </cfRule>
  </conditionalFormatting>
  <conditionalFormatting sqref="P1591:P1595">
    <cfRule type="expression" priority="4031" aboveAverage="0" equalAverage="0" bottom="0" percent="0" rank="0" text="" dxfId="4041">
      <formula>$F1591:T3050="pp"</formula>
    </cfRule>
    <cfRule type="expression" priority="4032" aboveAverage="0" equalAverage="0" bottom="0" percent="0" rank="0" text="" dxfId="4042">
      <formula>$F1591:T2333="pp"</formula>
    </cfRule>
  </conditionalFormatting>
  <conditionalFormatting sqref="P1616:P1619">
    <cfRule type="expression" priority="4033" aboveAverage="0" equalAverage="0" bottom="0" percent="0" rank="0" text="" dxfId="4043">
      <formula>$F1616:T3047="pp"</formula>
    </cfRule>
    <cfRule type="expression" priority="4034" aboveAverage="0" equalAverage="0" bottom="0" percent="0" rank="0" text="" dxfId="4044">
      <formula>$F1616:T2330="pp"</formula>
    </cfRule>
  </conditionalFormatting>
  <conditionalFormatting sqref="P1654:P1660">
    <cfRule type="expression" priority="4035" aboveAverage="0" equalAverage="0" bottom="0" percent="0" rank="0" text="" dxfId="4045">
      <formula>$F1654:T3062="pp"</formula>
    </cfRule>
    <cfRule type="expression" priority="4036" aboveAverage="0" equalAverage="0" bottom="0" percent="0" rank="0" text="" dxfId="4046">
      <formula>$F1654:T2345="pp"</formula>
    </cfRule>
  </conditionalFormatting>
  <conditionalFormatting sqref="P1666:P1675">
    <cfRule type="expression" priority="4037" aboveAverage="0" equalAverage="0" bottom="0" percent="0" rank="0" text="" dxfId="4047">
      <formula>$F1666:T3052="pp"</formula>
    </cfRule>
    <cfRule type="expression" priority="4038" aboveAverage="0" equalAverage="0" bottom="0" percent="0" rank="0" text="" dxfId="4048">
      <formula>$F1666:T2335="pp"</formula>
    </cfRule>
  </conditionalFormatting>
  <conditionalFormatting sqref="P1678:P1679">
    <cfRule type="expression" priority="4039" aboveAverage="0" equalAverage="0" bottom="0" percent="0" rank="0" text="" dxfId="4049">
      <formula>$F1678:T3049="pp"</formula>
    </cfRule>
    <cfRule type="expression" priority="4040" aboveAverage="0" equalAverage="0" bottom="0" percent="0" rank="0" text="" dxfId="4050">
      <formula>$F1678:T2332="pp"</formula>
    </cfRule>
  </conditionalFormatting>
  <conditionalFormatting sqref="P1703:P1704">
    <cfRule type="expression" priority="4041" aboveAverage="0" equalAverage="0" bottom="0" percent="0" rank="0" text="" dxfId="4051">
      <formula>$F1703:T3054="pp"</formula>
    </cfRule>
    <cfRule type="expression" priority="4042" aboveAverage="0" equalAverage="0" bottom="0" percent="0" rank="0" text="" dxfId="4052">
      <formula>$F1703:T2337="pp"</formula>
    </cfRule>
  </conditionalFormatting>
  <conditionalFormatting sqref="P1869:P1872">
    <cfRule type="expression" priority="4043" aboveAverage="0" equalAverage="0" bottom="0" percent="0" rank="0" text="" dxfId="4053">
      <formula>$F1869:T3074="pp"</formula>
    </cfRule>
    <cfRule type="expression" priority="4044" aboveAverage="0" equalAverage="0" bottom="0" percent="0" rank="0" text="" dxfId="4054">
      <formula>$F1869:T2357="pp"</formula>
    </cfRule>
  </conditionalFormatting>
  <conditionalFormatting sqref="P1889:P1890 P1896:P1902">
    <cfRule type="expression" priority="4045" aboveAverage="0" equalAverage="0" bottom="0" percent="0" rank="0" text="" dxfId="4055">
      <formula>$F1889:T3066="pp"</formula>
    </cfRule>
    <cfRule type="expression" priority="4046" aboveAverage="0" equalAverage="0" bottom="0" percent="0" rank="0" text="" dxfId="4056">
      <formula>$F1889:T2349="pp"</formula>
    </cfRule>
  </conditionalFormatting>
  <conditionalFormatting sqref="P1904:P1905">
    <cfRule type="expression" priority="4047" aboveAverage="0" equalAverage="0" bottom="0" percent="0" rank="0" text="" dxfId="4057">
      <formula>$F1904:T3062="pp"</formula>
    </cfRule>
    <cfRule type="expression" priority="4048" aboveAverage="0" equalAverage="0" bottom="0" percent="0" rank="0" text="" dxfId="4058">
      <formula>$F1904:T2345="pp"</formula>
    </cfRule>
  </conditionalFormatting>
  <conditionalFormatting sqref="P1930:P1932">
    <cfRule type="expression" priority="4049" aboveAverage="0" equalAverage="0" bottom="0" percent="0" rank="0" text="" dxfId="4059">
      <formula>$F1930:T3055="pp"</formula>
    </cfRule>
    <cfRule type="expression" priority="4050" aboveAverage="0" equalAverage="0" bottom="0" percent="0" rank="0" text="" dxfId="4060">
      <formula>$F1930:T2338="pp"</formula>
    </cfRule>
  </conditionalFormatting>
  <conditionalFormatting sqref="P1946:P1948">
    <cfRule type="expression" priority="4051" aboveAverage="0" equalAverage="0" bottom="0" percent="0" rank="0" text="" dxfId="4061">
      <formula>$F1946:T3067="pp"</formula>
    </cfRule>
    <cfRule type="expression" priority="4052" aboveAverage="0" equalAverage="0" bottom="0" percent="0" rank="0" text="" dxfId="4062">
      <formula>$F1946:T2350="pp"</formula>
    </cfRule>
  </conditionalFormatting>
  <conditionalFormatting sqref="P1962:P1963">
    <cfRule type="expression" priority="4053" aboveAverage="0" equalAverage="0" bottom="0" percent="0" rank="0" text="" dxfId="4063">
      <formula>$F1962:T3071="pp"</formula>
    </cfRule>
    <cfRule type="expression" priority="4054" aboveAverage="0" equalAverage="0" bottom="0" percent="0" rank="0" text="" dxfId="4064">
      <formula>$F1962:T2354="pp"</formula>
    </cfRule>
  </conditionalFormatting>
  <conditionalFormatting sqref="P2006:P2013">
    <cfRule type="expression" priority="4055" aboveAverage="0" equalAverage="0" bottom="0" percent="0" rank="0" text="" dxfId="4065">
      <formula>$F2006:T3058="pp"</formula>
    </cfRule>
    <cfRule type="expression" priority="4056" aboveAverage="0" equalAverage="0" bottom="0" percent="0" rank="0" text="" dxfId="4066">
      <formula>$F2006:T2341="pp"</formula>
    </cfRule>
  </conditionalFormatting>
  <conditionalFormatting sqref="P2014:P2026">
    <cfRule type="expression" priority="4057" aboveAverage="0" equalAverage="0" bottom="0" percent="0" rank="0" text="" dxfId="4067">
      <formula>$F2014:T3059="pp"</formula>
    </cfRule>
    <cfRule type="expression" priority="4058" aboveAverage="0" equalAverage="0" bottom="0" percent="0" rank="0" text="" dxfId="4068">
      <formula>$F2014:T2342="pp"</formula>
    </cfRule>
  </conditionalFormatting>
  <conditionalFormatting sqref="P2027:P2031">
    <cfRule type="expression" priority="4059" aboveAverage="0" equalAverage="0" bottom="0" percent="0" rank="0" text="" dxfId="4069">
      <formula>$F2027:T3064="pp"</formula>
    </cfRule>
    <cfRule type="expression" priority="4060" aboveAverage="0" equalAverage="0" bottom="0" percent="0" rank="0" text="" dxfId="4070">
      <formula>$F2027:T2347="pp"</formula>
    </cfRule>
  </conditionalFormatting>
  <conditionalFormatting sqref="P2032:P2035">
    <cfRule type="expression" priority="4061" aboveAverage="0" equalAverage="0" bottom="0" percent="0" rank="0" text="" dxfId="4071">
      <formula>$F2032:T3057="pp"</formula>
    </cfRule>
    <cfRule type="expression" priority="4062" aboveAverage="0" equalAverage="0" bottom="0" percent="0" rank="0" text="" dxfId="4072">
      <formula>$F2032:T2340="pp"</formula>
    </cfRule>
  </conditionalFormatting>
  <conditionalFormatting sqref="P2036:P2037">
    <cfRule type="expression" priority="4063" aboveAverage="0" equalAverage="0" bottom="0" percent="0" rank="0" text="" dxfId="4073">
      <formula>$F2036:T3055="pp"</formula>
    </cfRule>
    <cfRule type="expression" priority="4064" aboveAverage="0" equalAverage="0" bottom="0" percent="0" rank="0" text="" dxfId="4074">
      <formula>$F2036:T2338="pp"</formula>
    </cfRule>
  </conditionalFormatting>
  <conditionalFormatting sqref="P2038:P2044">
    <cfRule type="expression" priority="4065" aboveAverage="0" equalAverage="0" bottom="0" percent="0" rank="0" text="" dxfId="4075">
      <formula>$F2038:T3055="pp"</formula>
    </cfRule>
    <cfRule type="expression" priority="4066" aboveAverage="0" equalAverage="0" bottom="0" percent="0" rank="0" text="" dxfId="4076">
      <formula>$F2038:T2338="pp"</formula>
    </cfRule>
  </conditionalFormatting>
  <conditionalFormatting sqref="P2045:P2047">
    <cfRule type="expression" priority="4067" aboveAverage="0" equalAverage="0" bottom="0" percent="0" rank="0" text="" dxfId="4077">
      <formula>$F2045:T3058="pp"</formula>
    </cfRule>
    <cfRule type="expression" priority="4068" aboveAverage="0" equalAverage="0" bottom="0" percent="0" rank="0" text="" dxfId="4078">
      <formula>$F2045:T2341="pp"</formula>
    </cfRule>
  </conditionalFormatting>
  <conditionalFormatting sqref="P2048:P2049">
    <cfRule type="expression" priority="4069" aboveAverage="0" equalAverage="0" bottom="0" percent="0" rank="0" text="" dxfId="4079">
      <formula>$F2048:T3059="pp"</formula>
    </cfRule>
    <cfRule type="expression" priority="4070" aboveAverage="0" equalAverage="0" bottom="0" percent="0" rank="0" text="" dxfId="4080">
      <formula>$F2048:T2342="pp"</formula>
    </cfRule>
  </conditionalFormatting>
  <conditionalFormatting sqref="P2050:P2052">
    <cfRule type="expression" priority="4071" aboveAverage="0" equalAverage="0" bottom="0" percent="0" rank="0" text="" dxfId="4081">
      <formula>$F2050:T3057="pp"</formula>
    </cfRule>
    <cfRule type="expression" priority="4072" aboveAverage="0" equalAverage="0" bottom="0" percent="0" rank="0" text="" dxfId="4082">
      <formula>$F2050:T2340="pp"</formula>
    </cfRule>
  </conditionalFormatting>
  <conditionalFormatting sqref="Q151:Q154">
    <cfRule type="expression" priority="4073" aboveAverage="0" equalAverage="0" bottom="0" percent="0" rank="0" text="" dxfId="4083">
      <formula>$F151:T2280="pp"</formula>
    </cfRule>
  </conditionalFormatting>
  <conditionalFormatting sqref="Q190:Q194">
    <cfRule type="expression" priority="4074" aboveAverage="0" equalAverage="0" bottom="0" percent="0" rank="0" text="" dxfId="4084">
      <formula>$F190:T2235="pp"</formula>
    </cfRule>
  </conditionalFormatting>
  <conditionalFormatting sqref="Q317:Q321">
    <cfRule type="expression" priority="4075" aboveAverage="0" equalAverage="0" bottom="0" percent="0" rank="0" text="" dxfId="4085">
      <formula>$F317:T2288="pp"</formula>
    </cfRule>
  </conditionalFormatting>
  <conditionalFormatting sqref="Q327:Q328">
    <cfRule type="expression" priority="4076" aboveAverage="0" equalAverage="0" bottom="0" percent="0" rank="0" text="" dxfId="4086">
      <formula>$F327:T2293="pp"</formula>
    </cfRule>
  </conditionalFormatting>
  <conditionalFormatting sqref="Q413:Q420">
    <cfRule type="expression" priority="4077" aboveAverage="0" equalAverage="0" bottom="0" percent="0" rank="0" text="" dxfId="4087">
      <formula>$F413:T2288="pp"</formula>
    </cfRule>
  </conditionalFormatting>
  <conditionalFormatting sqref="Q489:Q490">
    <cfRule type="expression" priority="4078" aboveAverage="0" equalAverage="0" bottom="0" percent="0" rank="0" text="" dxfId="4088">
      <formula>$F489:T2299="pp"</formula>
    </cfRule>
  </conditionalFormatting>
  <conditionalFormatting sqref="Q508:Q509">
    <cfRule type="expression" priority="4079" aboveAverage="0" equalAverage="0" bottom="0" percent="0" rank="0" text="" dxfId="4089">
      <formula>$F508:T2300="pp"</formula>
    </cfRule>
  </conditionalFormatting>
  <conditionalFormatting sqref="Q521:Q523">
    <cfRule type="expression" priority="4080" aboveAverage="0" equalAverage="0" bottom="0" percent="0" rank="0" text="" dxfId="4090">
      <formula>$F521:T2298="pp"</formula>
    </cfRule>
  </conditionalFormatting>
  <conditionalFormatting sqref="Q566:Q569">
    <cfRule type="expression" priority="4081" aboveAverage="0" equalAverage="0" bottom="0" percent="0" rank="0" text="" dxfId="4091">
      <formula>$F566:T2310="pp"</formula>
    </cfRule>
  </conditionalFormatting>
  <conditionalFormatting sqref="Q583:Q588">
    <cfRule type="expression" priority="4082" aboveAverage="0" equalAverage="0" bottom="0" percent="0" rank="0" text="" dxfId="4092">
      <formula>$F583:T2303="pp"</formula>
    </cfRule>
  </conditionalFormatting>
  <conditionalFormatting sqref="Q617:Q620">
    <cfRule type="expression" priority="4083" aboveAverage="0" equalAverage="0" bottom="0" percent="0" rank="0" text="" dxfId="4093">
      <formula>$F617:T2308="pp"</formula>
    </cfRule>
  </conditionalFormatting>
  <conditionalFormatting sqref="Q656:Q659">
    <cfRule type="expression" priority="4084" aboveAverage="0" equalAverage="0" bottom="0" percent="0" rank="0" text="" dxfId="4094">
      <formula>$F656:T2296="pp"</formula>
    </cfRule>
  </conditionalFormatting>
  <conditionalFormatting sqref="Q668:Q671">
    <cfRule type="expression" priority="4085" aboveAverage="0" equalAverage="0" bottom="0" percent="0" rank="0" text="" dxfId="4095">
      <formula>$F668:T2297="pp"</formula>
    </cfRule>
  </conditionalFormatting>
  <conditionalFormatting sqref="Q719:Q721">
    <cfRule type="expression" priority="4086" aboveAverage="0" equalAverage="0" bottom="0" percent="0" rank="0" text="" dxfId="4096">
      <formula>$F719:T2304="pp"</formula>
    </cfRule>
  </conditionalFormatting>
  <conditionalFormatting sqref="Q726:Q727">
    <cfRule type="expression" priority="4087" aboveAverage="0" equalAverage="0" bottom="0" percent="0" rank="0" text="" dxfId="4097">
      <formula>$F726:T2302="pp"</formula>
    </cfRule>
  </conditionalFormatting>
  <conditionalFormatting sqref="Q767:Q770">
    <cfRule type="expression" priority="4088" aboveAverage="0" equalAverage="0" bottom="0" percent="0" rank="0" text="" dxfId="4098">
      <formula>$F767:T2300="pp"</formula>
    </cfRule>
  </conditionalFormatting>
  <conditionalFormatting sqref="Q786:Q788">
    <cfRule type="expression" priority="4089" aboveAverage="0" equalAverage="0" bottom="0" percent="0" rank="0" text="" dxfId="4099">
      <formula>$F786:T2305="pp"</formula>
    </cfRule>
  </conditionalFormatting>
  <conditionalFormatting sqref="Q815:Q818">
    <cfRule type="expression" priority="4090" aboveAverage="0" equalAverage="0" bottom="0" percent="0" rank="0" text="" dxfId="4100">
      <formula>$F815:T2306="pp"</formula>
    </cfRule>
  </conditionalFormatting>
  <conditionalFormatting sqref="Q830:Q831 Q834:Q835">
    <cfRule type="expression" priority="4091" aboveAverage="0" equalAverage="0" bottom="0" percent="0" rank="0" text="" dxfId="4101">
      <formula>$F830:T2312="pp"</formula>
    </cfRule>
  </conditionalFormatting>
  <conditionalFormatting sqref="Q865:Q871">
    <cfRule type="expression" priority="4092" aboveAverage="0" equalAverage="0" bottom="0" percent="0" rank="0" text="" dxfId="4102">
      <formula>$F865:T2315="pp"</formula>
    </cfRule>
  </conditionalFormatting>
  <conditionalFormatting sqref="Q922:Q924">
    <cfRule type="expression" priority="4093" aboveAverage="0" equalAverage="0" bottom="0" percent="0" rank="0" text="" dxfId="4103">
      <formula>$F922:T2360="pp"</formula>
    </cfRule>
  </conditionalFormatting>
  <conditionalFormatting sqref="Q877:Q880">
    <cfRule type="expression" priority="4094" aboveAverage="0" equalAverage="0" bottom="0" percent="0" rank="0" text="" dxfId="4104">
      <formula>$F877:T2310="pp"</formula>
    </cfRule>
  </conditionalFormatting>
  <conditionalFormatting sqref="Q907:Q908 Q913:Q915">
    <cfRule type="expression" priority="4095" aboveAverage="0" equalAverage="0" bottom="0" percent="0" rank="0" text="" dxfId="4105">
      <formula>$F907:T2309="pp"</formula>
    </cfRule>
  </conditionalFormatting>
  <conditionalFormatting sqref="Q927:Q931">
    <cfRule type="expression" priority="4096" aboveAverage="0" equalAverage="0" bottom="0" percent="0" rank="0" text="" dxfId="4106">
      <formula>$F927:T2305="pp"</formula>
    </cfRule>
  </conditionalFormatting>
  <conditionalFormatting sqref="Q965:Q971">
    <cfRule type="expression" priority="4097" aboveAverage="0" equalAverage="0" bottom="0" percent="0" rank="0" text="" dxfId="4107">
      <formula>$F965:T2313="pp"</formula>
    </cfRule>
  </conditionalFormatting>
  <conditionalFormatting sqref="Q972:Q977">
    <cfRule type="expression" priority="4098" aboveAverage="0" equalAverage="0" bottom="0" percent="0" rank="0" text="" dxfId="4108">
      <formula>$F972:T2313="pp"</formula>
    </cfRule>
  </conditionalFormatting>
  <conditionalFormatting sqref="Q1001:Q1003">
    <cfRule type="expression" priority="4099" aboveAverage="0" equalAverage="0" bottom="0" percent="0" rank="0" text="" dxfId="4109">
      <formula>$F1001:T2316="pp"</formula>
    </cfRule>
  </conditionalFormatting>
  <conditionalFormatting sqref="Q1007:Q1009">
    <cfRule type="expression" priority="4100" aboveAverage="0" equalAverage="0" bottom="0" percent="0" rank="0" text="" dxfId="4110">
      <formula>$F1007:T2305="pp"</formula>
    </cfRule>
  </conditionalFormatting>
  <conditionalFormatting sqref="Q1027:Q1030">
    <cfRule type="expression" priority="4101" aboveAverage="0" equalAverage="0" bottom="0" percent="0" rank="0" text="" dxfId="4111">
      <formula>$F1027:T2315="pp"</formula>
    </cfRule>
  </conditionalFormatting>
  <conditionalFormatting sqref="Q1055:Q1059">
    <cfRule type="expression" priority="4102" aboveAverage="0" equalAverage="0" bottom="0" percent="0" rank="0" text="" dxfId="4112">
      <formula>$F1055:T2310="pp"</formula>
    </cfRule>
  </conditionalFormatting>
  <conditionalFormatting sqref="Q1146:Q1150">
    <cfRule type="expression" priority="4103" aboveAverage="0" equalAverage="0" bottom="0" percent="0" rank="0" text="" dxfId="4113">
      <formula>$F1146:T2309="pp"</formula>
    </cfRule>
  </conditionalFormatting>
  <conditionalFormatting sqref="Q1153:Q1155">
    <cfRule type="expression" priority="4104" aboveAverage="0" equalAverage="0" bottom="0" percent="0" rank="0" text="" dxfId="4114">
      <formula>$F1153:T2312="pp"</formula>
    </cfRule>
  </conditionalFormatting>
  <conditionalFormatting sqref="Q1188:Q1189">
    <cfRule type="expression" priority="4105" aboveAverage="0" equalAverage="0" bottom="0" percent="0" rank="0" text="" dxfId="4115">
      <formula>$F1188:T2329="pp"</formula>
    </cfRule>
  </conditionalFormatting>
  <conditionalFormatting sqref="Q1249:Q1263">
    <cfRule type="expression" priority="4106" aboveAverage="0" equalAverage="0" bottom="0" percent="0" rank="0" text="" dxfId="4116">
      <formula>$F1249:T2316="pp"</formula>
    </cfRule>
  </conditionalFormatting>
  <conditionalFormatting sqref="Q1280:Q1283">
    <cfRule type="expression" priority="4107" aboveAverage="0" equalAverage="0" bottom="0" percent="0" rank="0" text="" dxfId="4117">
      <formula>$F1280:T2312="pp"</formula>
    </cfRule>
  </conditionalFormatting>
  <conditionalFormatting sqref="Q1288:Q1290">
    <cfRule type="expression" priority="4108" aboveAverage="0" equalAverage="0" bottom="0" percent="0" rank="0" text="" dxfId="4118">
      <formula>$F1288:T2313="pp"</formula>
    </cfRule>
  </conditionalFormatting>
  <conditionalFormatting sqref="Q1297:Q1300">
    <cfRule type="expression" priority="4109" aboveAverage="0" equalAverage="0" bottom="0" percent="0" rank="0" text="" dxfId="4119">
      <formula>$F1297:T2312="pp"</formula>
    </cfRule>
  </conditionalFormatting>
  <conditionalFormatting sqref="Q1316:Q1317">
    <cfRule type="expression" priority="4110" aboveAverage="0" equalAverage="0" bottom="0" percent="0" rank="0" text="" dxfId="4120">
      <formula>$F1316:T2316="pp"</formula>
    </cfRule>
  </conditionalFormatting>
  <conditionalFormatting sqref="Q1350:Q1354">
    <cfRule type="expression" priority="4111" aboveAverage="0" equalAverage="0" bottom="0" percent="0" rank="0" text="" dxfId="4121">
      <formula>$F1350:T2300="pp"</formula>
    </cfRule>
  </conditionalFormatting>
  <conditionalFormatting sqref="Q1367:Q1370">
    <cfRule type="expression" priority="4112" aboveAverage="0" equalAverage="0" bottom="0" percent="0" rank="0" text="" dxfId="4122">
      <formula>$F1367:T2304="pp"</formula>
    </cfRule>
  </conditionalFormatting>
  <conditionalFormatting sqref="Q1377:Q1379">
    <cfRule type="expression" priority="4113" aboveAverage="0" equalAverage="0" bottom="0" percent="0" rank="0" text="" dxfId="4123">
      <formula>$F1377:T2307="pp"</formula>
    </cfRule>
  </conditionalFormatting>
  <conditionalFormatting sqref="Q1380:Q1386">
    <cfRule type="expression" priority="4114" aboveAverage="0" equalAverage="0" bottom="0" percent="0" rank="0" text="" dxfId="4124">
      <formula>$F1380:T2306="pp"</formula>
    </cfRule>
  </conditionalFormatting>
  <conditionalFormatting sqref="Q1408:Q1411">
    <cfRule type="expression" priority="4115" aboveAverage="0" equalAverage="0" bottom="0" percent="0" rank="0" text="" dxfId="4125">
      <formula>$F1408:T2314="pp"</formula>
    </cfRule>
  </conditionalFormatting>
  <conditionalFormatting sqref="Q1423:Q1425">
    <cfRule type="expression" priority="4116" aboveAverage="0" equalAverage="0" bottom="0" percent="0" rank="0" text="" dxfId="4126">
      <formula>$F1423:T2325="pp"</formula>
    </cfRule>
  </conditionalFormatting>
  <conditionalFormatting sqref="Q1442:Q1448">
    <cfRule type="expression" priority="4117" aboveAverage="0" equalAverage="0" bottom="0" percent="0" rank="0" text="" dxfId="4127">
      <formula>$F1442:T2332="pp"</formula>
    </cfRule>
  </conditionalFormatting>
  <conditionalFormatting sqref="Q1451:Q1453">
    <cfRule type="expression" priority="4118" aboveAverage="0" equalAverage="0" bottom="0" percent="0" rank="0" text="" dxfId="4128">
      <formula>$F1451:T2334="pp"</formula>
    </cfRule>
  </conditionalFormatting>
  <conditionalFormatting sqref="Q1464:Q1465">
    <cfRule type="expression" priority="4119" aboveAverage="0" equalAverage="0" bottom="0" percent="0" rank="0" text="" dxfId="4129">
      <formula>$F1464:T2327="pp"</formula>
    </cfRule>
  </conditionalFormatting>
  <conditionalFormatting sqref="Q1499:Q1500">
    <cfRule type="expression" priority="4120" aboveAverage="0" equalAverage="0" bottom="0" percent="0" rank="0" text="" dxfId="4130">
      <formula>$F1499:T2333="pp"</formula>
    </cfRule>
  </conditionalFormatting>
  <conditionalFormatting sqref="Q1514:Q1516">
    <cfRule type="expression" priority="4121" aboveAverage="0" equalAverage="0" bottom="0" percent="0" rank="0" text="" dxfId="4131">
      <formula>$F1514:T2332="pp"</formula>
    </cfRule>
  </conditionalFormatting>
  <conditionalFormatting sqref="Q1519:Q1520">
    <cfRule type="expression" priority="4122" aboveAverage="0" equalAverage="0" bottom="0" percent="0" rank="0" text="" dxfId="4132">
      <formula>$F1519:T2332="pp"</formula>
    </cfRule>
  </conditionalFormatting>
  <conditionalFormatting sqref="Q1654:Q1660">
    <cfRule type="expression" priority="4123" aboveAverage="0" equalAverage="0" bottom="0" percent="0" rank="0" text="" dxfId="4133">
      <formula>$F1654:T2345="pp"</formula>
    </cfRule>
  </conditionalFormatting>
  <conditionalFormatting sqref="Q1691:Q1692">
    <cfRule type="expression" priority="4124" aboveAverage="0" equalAverage="0" bottom="0" percent="0" rank="0" text="" dxfId="4134">
      <formula>$F1691:T2342="pp"</formula>
    </cfRule>
  </conditionalFormatting>
  <conditionalFormatting sqref="Q1703:Q1704">
    <cfRule type="expression" priority="4125" aboveAverage="0" equalAverage="0" bottom="0" percent="0" rank="0" text="" dxfId="4135">
      <formula>$F1703:T2337="pp"</formula>
    </cfRule>
  </conditionalFormatting>
  <conditionalFormatting sqref="Q1817:Q1821">
    <cfRule type="expression" priority="4126" aboveAverage="0" equalAverage="0" bottom="0" percent="0" rank="0" text="" dxfId="4136">
      <formula>$F1817:T2339="pp"</formula>
    </cfRule>
  </conditionalFormatting>
  <conditionalFormatting sqref="Q1869:Q1872">
    <cfRule type="expression" priority="4127" aboveAverage="0" equalAverage="0" bottom="0" percent="0" rank="0" text="" dxfId="4137">
      <formula>$F1869:T2357="pp"</formula>
    </cfRule>
  </conditionalFormatting>
  <conditionalFormatting sqref="Q1889:Q1890 Q1896:Q1902">
    <cfRule type="expression" priority="4128" aboveAverage="0" equalAverage="0" bottom="0" percent="0" rank="0" text="" dxfId="4138">
      <formula>$F1889:T2349="pp"</formula>
    </cfRule>
  </conditionalFormatting>
  <conditionalFormatting sqref="Q1926:Q1929">
    <cfRule type="expression" priority="4129" aboveAverage="0" equalAverage="0" bottom="0" percent="0" rank="0" text="" dxfId="4139">
      <formula>$F1926:T2340="pp"</formula>
    </cfRule>
  </conditionalFormatting>
  <conditionalFormatting sqref="Q1930:Q1932">
    <cfRule type="expression" priority="4130" aboveAverage="0" equalAverage="0" bottom="0" percent="0" rank="0" text="" dxfId="4140">
      <formula>$F1930:T2338="pp"</formula>
    </cfRule>
  </conditionalFormatting>
  <conditionalFormatting sqref="Q2006:Q2013">
    <cfRule type="expression" priority="4131" aboveAverage="0" equalAverage="0" bottom="0" percent="0" rank="0" text="" dxfId="4141">
      <formula>$F2006:T2341="pp"</formula>
    </cfRule>
  </conditionalFormatting>
  <conditionalFormatting sqref="Q2014:Q2026">
    <cfRule type="expression" priority="4132" aboveAverage="0" equalAverage="0" bottom="0" percent="0" rank="0" text="" dxfId="4142">
      <formula>$F2014:T2342="pp"</formula>
    </cfRule>
  </conditionalFormatting>
  <conditionalFormatting sqref="Q2027:Q2031">
    <cfRule type="expression" priority="4133" aboveAverage="0" equalAverage="0" bottom="0" percent="0" rank="0" text="" dxfId="4143">
      <formula>$F2027:T2347="pp"</formula>
    </cfRule>
  </conditionalFormatting>
  <conditionalFormatting sqref="Q2032:Q2035">
    <cfRule type="expression" priority="4134" aboveAverage="0" equalAverage="0" bottom="0" percent="0" rank="0" text="" dxfId="4144">
      <formula>$F2032:T2340="pp"</formula>
    </cfRule>
  </conditionalFormatting>
  <conditionalFormatting sqref="Q2036:Q2037">
    <cfRule type="expression" priority="4135" aboveAverage="0" equalAverage="0" bottom="0" percent="0" rank="0" text="" dxfId="4145">
      <formula>$F2036:T2338="pp"</formula>
    </cfRule>
  </conditionalFormatting>
  <conditionalFormatting sqref="Q2038:Q2044">
    <cfRule type="expression" priority="4136" aboveAverage="0" equalAverage="0" bottom="0" percent="0" rank="0" text="" dxfId="4146">
      <formula>$F2038:T2338="pp"</formula>
    </cfRule>
  </conditionalFormatting>
  <conditionalFormatting sqref="Q2045:Q2047">
    <cfRule type="expression" priority="4137" aboveAverage="0" equalAverage="0" bottom="0" percent="0" rank="0" text="" dxfId="4147">
      <formula>$F2045:T2341="pp"</formula>
    </cfRule>
  </conditionalFormatting>
  <conditionalFormatting sqref="Q2048:Q2049">
    <cfRule type="expression" priority="4138" aboveAverage="0" equalAverage="0" bottom="0" percent="0" rank="0" text="" dxfId="4148">
      <formula>$F2048:T2342="pp"</formula>
    </cfRule>
  </conditionalFormatting>
  <conditionalFormatting sqref="Q2050:Q2052">
    <cfRule type="expression" priority="4139" aboveAverage="0" equalAverage="0" bottom="0" percent="0" rank="0" text="" dxfId="4149">
      <formula>$F2050:T2340="pp"</formula>
    </cfRule>
  </conditionalFormatting>
  <conditionalFormatting sqref="A372:A374">
    <cfRule type="expression" priority="4140" aboveAverage="0" equalAverage="0" bottom="0" percent="0" rank="0" text="" dxfId="4150">
      <formula>$F372:F2301="pp"</formula>
    </cfRule>
  </conditionalFormatting>
  <conditionalFormatting sqref="A430:A431">
    <cfRule type="expression" priority="4141" aboveAverage="0" equalAverage="0" bottom="0" percent="0" rank="0" text="" dxfId="4151">
      <formula>$F430:F2282="pp"</formula>
    </cfRule>
  </conditionalFormatting>
  <conditionalFormatting sqref="A432:A439">
    <cfRule type="expression" priority="4142" aboveAverage="0" equalAverage="0" bottom="0" percent="0" rank="0" text="" dxfId="4152">
      <formula>$F432:F2282="pp"</formula>
    </cfRule>
  </conditionalFormatting>
  <conditionalFormatting sqref="A457:A460 M362:N368 K362:K368">
    <cfRule type="expression" priority="4143" aboveAverage="0" equalAverage="0" bottom="0" percent="0" rank="0" text="" dxfId="4153">
      <formula>$F362:F2532="pp"</formula>
    </cfRule>
  </conditionalFormatting>
  <conditionalFormatting sqref="A550:A552">
    <cfRule type="expression" priority="4144" aboveAverage="0" equalAverage="0" bottom="0" percent="0" rank="0" text="" dxfId="4154">
      <formula>$F550:F2307="pp"</formula>
    </cfRule>
  </conditionalFormatting>
  <conditionalFormatting sqref="A559:A564">
    <cfRule type="expression" priority="4145" aboveAverage="0" equalAverage="0" bottom="0" percent="0" rank="0" text="" dxfId="4155">
      <formula>$F559:F2314="pp"</formula>
    </cfRule>
  </conditionalFormatting>
  <conditionalFormatting sqref="A575:A576 B534:B537 L534:L537 J534:J537">
    <cfRule type="expression" priority="4146" aboveAverage="0" equalAverage="0" bottom="0" percent="0" rank="0" text="" dxfId="4156">
      <formula>$F534:F2274="pp"</formula>
    </cfRule>
  </conditionalFormatting>
  <conditionalFormatting sqref="A597:A602">
    <cfRule type="expression" priority="4147" aboveAverage="0" equalAverage="0" bottom="0" percent="0" rank="0" text="" dxfId="4157">
      <formula>$F597:F2305="pp"</formula>
    </cfRule>
  </conditionalFormatting>
  <conditionalFormatting sqref="A604:A614">
    <cfRule type="expression" priority="4148" aboveAverage="0" equalAverage="0" bottom="0" percent="0" rank="0" text="" dxfId="4158">
      <formula>$F604:F2289="pp"</formula>
    </cfRule>
  </conditionalFormatting>
  <conditionalFormatting sqref="A626:A628">
    <cfRule type="expression" priority="4149" aboveAverage="0" equalAverage="0" bottom="0" percent="0" rank="0" text="" dxfId="4159">
      <formula>$F626:F2290="pp"</formula>
    </cfRule>
  </conditionalFormatting>
  <conditionalFormatting sqref="A634:A642">
    <cfRule type="expression" priority="4150" aboveAverage="0" equalAverage="0" bottom="0" percent="0" rank="0" text="" dxfId="4160">
      <formula>$F634:F2287="pp"</formula>
    </cfRule>
  </conditionalFormatting>
  <conditionalFormatting sqref="A689:A691">
    <cfRule type="expression" priority="4151" aboveAverage="0" equalAverage="0" bottom="0" percent="0" rank="0" text="" dxfId="4161">
      <formula>$F689:F2293="pp"</formula>
    </cfRule>
  </conditionalFormatting>
  <conditionalFormatting sqref="A836:A839 M841:N847 K841:K847">
    <cfRule type="expression" priority="4152" aboveAverage="0" equalAverage="0" bottom="0" percent="0" rank="0" text="" dxfId="4162">
      <formula>$F836:F2319="pp"</formula>
    </cfRule>
  </conditionalFormatting>
  <conditionalFormatting sqref="A841:A847">
    <cfRule type="expression" priority="4153" aboveAverage="0" equalAverage="0" bottom="0" percent="0" rank="0" text="" dxfId="4163">
      <formula>$F841:F2320="pp"</formula>
    </cfRule>
  </conditionalFormatting>
  <conditionalFormatting sqref="A862:A863">
    <cfRule type="expression" priority="4154" aboveAverage="0" equalAverage="0" bottom="0" percent="0" rank="0" text="" dxfId="4164">
      <formula>$F862:F2331="pp"</formula>
    </cfRule>
  </conditionalFormatting>
  <conditionalFormatting sqref="A865:A871 C877:D881">
    <cfRule type="expression" priority="4155" aboveAverage="0" equalAverage="0" bottom="0" percent="0" rank="0" text="" dxfId="4165">
      <formula>$F865:F2320="pp"</formula>
    </cfRule>
  </conditionalFormatting>
  <conditionalFormatting sqref="A893:A896">
    <cfRule type="expression" priority="4156" aboveAverage="0" equalAverage="0" bottom="0" percent="0" rank="0" text="" dxfId="4166">
      <formula>$F893:F2324="pp"</formula>
    </cfRule>
  </conditionalFormatting>
  <conditionalFormatting sqref="A925:A931">
    <cfRule type="expression" priority="4157" aboveAverage="0" equalAverage="0" bottom="0" percent="0" rank="0" text="" dxfId="4167">
      <formula>$F925:F2314="pp"</formula>
    </cfRule>
  </conditionalFormatting>
  <conditionalFormatting sqref="A932:A941 B898:B903 L898:L903 J898:J903">
    <cfRule type="expression" priority="4158" aboveAverage="0" equalAverage="0" bottom="0" percent="0" rank="0" text="" dxfId="4168">
      <formula>$F898:F2280="pp"</formula>
    </cfRule>
  </conditionalFormatting>
  <conditionalFormatting sqref="A965:A986">
    <cfRule type="expression" priority="4159" aboveAverage="0" equalAverage="0" bottom="0" percent="0" rank="0" text="" dxfId="4169">
      <formula>$F965:F2318="pp"</formula>
    </cfRule>
  </conditionalFormatting>
  <conditionalFormatting sqref="A988:A1000">
    <cfRule type="expression" priority="4160" aboveAverage="0" equalAverage="0" bottom="0" percent="0" rank="0" text="" dxfId="4170">
      <formula>$F988:F2316="pp"</formula>
    </cfRule>
  </conditionalFormatting>
  <conditionalFormatting sqref="A1074:A1077 M1078:N1079 K1078:K1079">
    <cfRule type="expression" priority="4161" aboveAverage="0" equalAverage="0" bottom="0" percent="0" rank="0" text="" dxfId="4171">
      <formula>$F1074:F2305="pp"</formula>
    </cfRule>
  </conditionalFormatting>
  <conditionalFormatting sqref="A1169:A1174">
    <cfRule type="expression" priority="4162" aboveAverage="0" equalAverage="0" bottom="0" percent="0" rank="0" text="" dxfId="4172">
      <formula>$F1169:F2327="pp"</formula>
    </cfRule>
  </conditionalFormatting>
  <conditionalFormatting sqref="A1202:A1208">
    <cfRule type="expression" priority="4163" aboveAverage="0" equalAverage="0" bottom="0" percent="0" rank="0" text="" dxfId="4173">
      <formula>$F1202:F2323="pp"</formula>
    </cfRule>
  </conditionalFormatting>
  <conditionalFormatting sqref="A1209:A1219">
    <cfRule type="expression" priority="4164" aboveAverage="0" equalAverage="0" bottom="0" percent="0" rank="0" text="" dxfId="4174">
      <formula>$F1209:F2324="pp"</formula>
    </cfRule>
  </conditionalFormatting>
  <conditionalFormatting sqref="A1220:A1226">
    <cfRule type="expression" priority="4165" aboveAverage="0" equalAverage="0" bottom="0" percent="0" rank="0" text="" dxfId="4175">
      <formula>$F1220:F2329="pp"</formula>
    </cfRule>
  </conditionalFormatting>
  <conditionalFormatting sqref="A1267:A1269">
    <cfRule type="expression" priority="4166" aboveAverage="0" equalAverage="0" bottom="0" percent="0" rank="0" text="" dxfId="4176">
      <formula>$F1267:F2325="pp"</formula>
    </cfRule>
  </conditionalFormatting>
  <conditionalFormatting sqref="A1293:A1295">
    <cfRule type="expression" priority="4167" aboveAverage="0" equalAverage="0" bottom="0" percent="0" rank="0" text="" dxfId="4177">
      <formula>$F1293:F2320="pp"</formula>
    </cfRule>
  </conditionalFormatting>
  <conditionalFormatting sqref="A1335:A1340 K1358:K1366 M1357:N1366">
    <cfRule type="expression" priority="4168" aboveAverage="0" equalAverage="0" bottom="0" percent="0" rank="0" text="" dxfId="4178">
      <formula>$F1335:F2288="pp"</formula>
    </cfRule>
  </conditionalFormatting>
  <conditionalFormatting sqref="A1341:A1348">
    <cfRule type="expression" priority="4169" aboveAverage="0" equalAverage="0" bottom="0" percent="0" rank="0" text="" dxfId="4179">
      <formula>$F1341:F2289="pp"</formula>
    </cfRule>
  </conditionalFormatting>
  <conditionalFormatting sqref="A1429:A1433">
    <cfRule type="expression" priority="4170" aboveAverage="0" equalAverage="0" bottom="0" percent="0" rank="0" text="" dxfId="4180">
      <formula>$F1429:F2317="pp"</formula>
    </cfRule>
  </conditionalFormatting>
  <conditionalFormatting sqref="A1437:A1441">
    <cfRule type="expression" priority="4171" aboveAverage="0" equalAverage="0" bottom="0" percent="0" rank="0" text="" dxfId="4181">
      <formula>$F1437:F2317="pp"</formula>
    </cfRule>
  </conditionalFormatting>
  <conditionalFormatting sqref="A1508:A1509">
    <cfRule type="expression" priority="4172" aboveAverage="0" equalAverage="0" bottom="0" percent="0" rank="0" text="" dxfId="4182">
      <formula>$F1508:F2324="pp"</formula>
    </cfRule>
  </conditionalFormatting>
  <conditionalFormatting sqref="A1571:A1572 B1560:B1562 L1560:L1562 J1560:J1562">
    <cfRule type="expression" priority="4173" aboveAverage="0" equalAverage="0" bottom="0" percent="0" rank="0" text="" dxfId="4183">
      <formula>$F1560:F2317="pp"</formula>
    </cfRule>
  </conditionalFormatting>
  <conditionalFormatting sqref="A1661:A1664">
    <cfRule type="expression" priority="4174" aboveAverage="0" equalAverage="0" bottom="0" percent="0" rank="0" text="" dxfId="4184">
      <formula>$F1661:F2330="pp"</formula>
    </cfRule>
  </conditionalFormatting>
  <conditionalFormatting sqref="A1694:A1695 A1697:A1699">
    <cfRule type="expression" priority="4175" aboveAverage="0" equalAverage="0" bottom="0" percent="0" rank="0" text="" dxfId="4185">
      <formula>$F1694:F2322="pp"</formula>
    </cfRule>
  </conditionalFormatting>
  <conditionalFormatting sqref="A1771:A1776 C1804:D1807">
    <cfRule type="expression" priority="4176" aboveAverage="0" equalAverage="0" bottom="0" percent="0" rank="0" text="" dxfId="4186">
      <formula>$F1771:F2320="pp"</formula>
    </cfRule>
  </conditionalFormatting>
  <conditionalFormatting sqref="A1885:A1886">
    <cfRule type="expression" priority="4177" aboveAverage="0" equalAverage="0" bottom="0" percent="0" rank="0" text="" dxfId="4187">
      <formula>$F1885:F2327="pp"</formula>
    </cfRule>
  </conditionalFormatting>
  <conditionalFormatting sqref="A1902:A1903 C1919:D1921">
    <cfRule type="expression" priority="4178" aboveAverage="0" equalAverage="0" bottom="0" percent="0" rank="0" text="" dxfId="4188">
      <formula>$F1902:F2332="pp"</formula>
    </cfRule>
  </conditionalFormatting>
  <conditionalFormatting sqref="A1946:A1948">
    <cfRule type="expression" priority="4179" aboveAverage="0" equalAverage="0" bottom="0" percent="0" rank="0" text="" dxfId="4189">
      <formula>$F1946:F2340="pp"</formula>
    </cfRule>
  </conditionalFormatting>
  <conditionalFormatting sqref="A1951:A1953">
    <cfRule type="expression" priority="4180" aboveAverage="0" equalAverage="0" bottom="0" percent="0" rank="0" text="" dxfId="4190">
      <formula>$F1951:F2341="pp"</formula>
    </cfRule>
  </conditionalFormatting>
  <conditionalFormatting sqref="A1988:A1991">
    <cfRule type="expression" priority="4181" aboveAverage="0" equalAverage="0" bottom="0" percent="0" rank="0" text="" dxfId="4191">
      <formula>$F1988:F2326="pp"</formula>
    </cfRule>
  </conditionalFormatting>
  <conditionalFormatting sqref="A1992:A1997">
    <cfRule type="expression" priority="4182" aboveAverage="0" equalAverage="0" bottom="0" percent="0" rank="0" text="" dxfId="4192">
      <formula>$F1992:F2327="pp"</formula>
    </cfRule>
  </conditionalFormatting>
  <conditionalFormatting sqref="A1998:A2002">
    <cfRule type="expression" priority="4183" aboveAverage="0" equalAverage="0" bottom="0" percent="0" rank="0" text="" dxfId="4193">
      <formula>$F1998:F2330="pp"</formula>
    </cfRule>
  </conditionalFormatting>
  <conditionalFormatting sqref="A162:B166 A167:D172 L162:L172 J162:J172">
    <cfRule type="expression" priority="4184" aboveAverage="0" equalAverage="0" bottom="0" percent="0" rank="0" text="" dxfId="4194">
      <formula>$F162:F2264="pp"</formula>
    </cfRule>
  </conditionalFormatting>
  <conditionalFormatting sqref="A176:B177 L176:L177 J176:J177">
    <cfRule type="expression" priority="4185" aboveAverage="0" equalAverage="0" bottom="0" percent="0" rank="0" text="" dxfId="4195">
      <formula>$F176:F2261="pp"</formula>
    </cfRule>
  </conditionalFormatting>
  <conditionalFormatting sqref="A178:B179 A180:A181 L178:L179 K195:K199 M195:N199 J178:J179">
    <cfRule type="expression" priority="4186" aboveAverage="0" equalAverage="0" bottom="0" percent="0" rank="0" text="" dxfId="4196">
      <formula>$F178:F2261="pp"</formula>
    </cfRule>
  </conditionalFormatting>
  <conditionalFormatting sqref="B247:B265 L247:L265 J247:J265">
    <cfRule type="expression" priority="4187" aboveAverage="0" equalAverage="0" bottom="0" percent="0" rank="0" text="" dxfId="4197">
      <formula>$F247:G2267="pp"</formula>
    </cfRule>
  </conditionalFormatting>
  <conditionalFormatting sqref="B276:B278 L276:L278 J276:J278">
    <cfRule type="expression" priority="4188" aboveAverage="0" equalAverage="0" bottom="0" percent="0" rank="0" text="" dxfId="4198">
      <formula>$F276:G2287="pp"</formula>
    </cfRule>
  </conditionalFormatting>
  <conditionalFormatting sqref="B283:B284 L283:L284 J283:J284">
    <cfRule type="expression" priority="4189" aboveAverage="0" equalAverage="0" bottom="0" percent="0" rank="0" text="" dxfId="4199">
      <formula>$F283:G2288="pp"</formula>
    </cfRule>
  </conditionalFormatting>
  <conditionalFormatting sqref="B317:B321 A329:A335 L317:L321 J317:J321">
    <cfRule type="expression" priority="4190" aboveAverage="0" equalAverage="0" bottom="0" percent="0" rank="0" text="" dxfId="4200">
      <formula>$F317:F2275="pp"</formula>
    </cfRule>
  </conditionalFormatting>
  <conditionalFormatting sqref="B327:B328 L327:L328 J327:J328">
    <cfRule type="expression" priority="4191" aboveAverage="0" equalAverage="0" bottom="0" percent="0" rank="0" text="" dxfId="4201">
      <formula>$F327:G2276="pp"</formula>
    </cfRule>
  </conditionalFormatting>
  <conditionalFormatting sqref="B330:B331 L330:L331 J330:J331">
    <cfRule type="expression" priority="4192" aboveAverage="0" equalAverage="0" bottom="0" percent="0" rank="0" text="" dxfId="4202">
      <formula>$F330:G2276="pp"</formula>
    </cfRule>
  </conditionalFormatting>
  <conditionalFormatting sqref="B357:B358 L357:L358 J357:J358">
    <cfRule type="expression" priority="4193" aboveAverage="0" equalAverage="0" bottom="0" percent="0" rank="0" text="" dxfId="4203">
      <formula>$F357:G2485="pp"</formula>
    </cfRule>
  </conditionalFormatting>
  <conditionalFormatting sqref="B372:B374 L372:L374 J372:J374">
    <cfRule type="expression" priority="4194" aboveAverage="0" equalAverage="0" bottom="0" percent="0" rank="0" text="" dxfId="4204">
      <formula>$F372:G2283="pp"</formula>
    </cfRule>
  </conditionalFormatting>
  <conditionalFormatting sqref="B477:B478 L477:L478 J477:J478">
    <cfRule type="expression" priority="4195" aboveAverage="0" equalAverage="0" bottom="0" percent="0" rank="0" text="" dxfId="4205">
      <formula>$F477:G2269="pp"</formula>
    </cfRule>
  </conditionalFormatting>
  <conditionalFormatting sqref="B489:B490 A508:A509 C524:D526 L489:L490 K527:K532 M527:N532 J489:J490">
    <cfRule type="expression" priority="4196" aboveAverage="0" equalAverage="0" bottom="0" percent="0" rank="0" text="" dxfId="4206">
      <formula>$F489:F2271="pp"</formula>
    </cfRule>
  </conditionalFormatting>
  <conditionalFormatting sqref="B538:B539 L538:L539 J538:J539">
    <cfRule type="expression" priority="4197" aboveAverage="0" equalAverage="0" bottom="0" percent="0" rank="0" text="" dxfId="4207">
      <formula>$F538:G2276="pp"</formula>
    </cfRule>
  </conditionalFormatting>
  <conditionalFormatting sqref="B575:B576 L575:L576 J575:J576">
    <cfRule type="expression" priority="4198" aboveAverage="0" equalAverage="0" bottom="0" percent="0" rank="0" text="" dxfId="4208">
      <formula>$F575:G2285="pp"</formula>
    </cfRule>
  </conditionalFormatting>
  <conditionalFormatting sqref="B604:B614 L604:L614 J604:J614">
    <cfRule type="expression" priority="4199" aboveAverage="0" equalAverage="0" bottom="0" percent="0" rank="0" text="" dxfId="4209">
      <formula>$F604:G2271="pp"</formula>
    </cfRule>
  </conditionalFormatting>
  <conditionalFormatting sqref="B633:B641 C668:D671 L633:L641 J633:J641">
    <cfRule type="expression" priority="4200" aboveAverage="0" equalAverage="0" bottom="0" percent="0" rank="0" text="" dxfId="4210">
      <formula>$F633:G2268="pp"</formula>
    </cfRule>
  </conditionalFormatting>
  <conditionalFormatting sqref="B832:B833 L832:L833 J832:J833">
    <cfRule type="expression" priority="4201" aboveAverage="0" equalAverage="0" bottom="0" percent="0" rank="0" text="" dxfId="4211">
      <formula>$F832:G2285="pp"</formula>
    </cfRule>
  </conditionalFormatting>
  <conditionalFormatting sqref="B985:B986 L985:L986 J985:J986">
    <cfRule type="expression" priority="4202" aboveAverage="0" equalAverage="0" bottom="0" percent="0" rank="0" text="" dxfId="4212">
      <formula>$F985:G2284="pp"</formula>
    </cfRule>
  </conditionalFormatting>
  <conditionalFormatting sqref="B1033:B1043 L1033:L1043 J1033:J1043">
    <cfRule type="expression" priority="4203" aboveAverage="0" equalAverage="0" bottom="0" percent="0" rank="0" text="" dxfId="4213">
      <formula>$F1033:G2287="pp"</formula>
    </cfRule>
  </conditionalFormatting>
  <conditionalFormatting sqref="B1080:B1095 L1080:L1095 K1119:K1125 M1119:N1125 J1080:J1095">
    <cfRule type="expression" priority="4204" aboveAverage="0" equalAverage="0" bottom="0" percent="0" rank="0" text="" dxfId="4214">
      <formula>$F1080:G2272="pp"</formula>
    </cfRule>
  </conditionalFormatting>
  <conditionalFormatting sqref="B1162:B1170 M1202:N1208 J1162:J1170 L1162:L1170 K1202:K1208">
    <cfRule type="expression" priority="4205" aboveAverage="0" equalAverage="0" bottom="0" percent="0" rank="0" text="" dxfId="4215">
      <formula>$F1162:G2287="pp"</formula>
    </cfRule>
  </conditionalFormatting>
  <conditionalFormatting sqref="B1171:B1174 B1176:B1185 M1209:N1219 J1176:J1185 L1176:L1185 J1171:J1174 L1171:L1174 K1209:K1219">
    <cfRule type="expression" priority="4206" aboveAverage="0" equalAverage="0" bottom="0" percent="0" rank="0" text="" dxfId="4216">
      <formula>$F1171:G2290="pp"</formula>
    </cfRule>
  </conditionalFormatting>
  <conditionalFormatting sqref="B1220:B1226 M1249:N1263 J1220:J1226 L1220:L1226 K1249:K1263">
    <cfRule type="expression" priority="4207" aboveAverage="0" equalAverage="0" bottom="0" percent="0" rank="0" text="" dxfId="4217">
      <formula>$F1220:G2296="pp"</formula>
    </cfRule>
  </conditionalFormatting>
  <conditionalFormatting sqref="B1293:B1295 L1293:L1295 J1293:J1295">
    <cfRule type="expression" priority="4208" aboveAverage="0" equalAverage="0" bottom="0" percent="0" rank="0" text="" dxfId="4218">
      <formula>$F1293:G2287="pp"</formula>
    </cfRule>
  </conditionalFormatting>
  <conditionalFormatting sqref="B1303:B1310 L1303:L1310 J1303:J1310">
    <cfRule type="expression" priority="4209" aboveAverage="0" equalAverage="0" bottom="0" percent="0" rank="0" text="" dxfId="4219">
      <formula>$F1303:G2285="pp"</formula>
    </cfRule>
  </conditionalFormatting>
  <conditionalFormatting sqref="B1311:B1315 L1311:L1315 K1330:K1333 M1330:N1333 J1311:J1315">
    <cfRule type="expression" priority="4210" aboveAverage="0" equalAverage="0" bottom="0" percent="0" rank="0" text="" dxfId="4220">
      <formula>$F1311:G2288="pp"</formula>
    </cfRule>
  </conditionalFormatting>
  <conditionalFormatting sqref="B1395:B1396 L1395:L1396 J1395:J1396">
    <cfRule type="expression" priority="4211" aboveAverage="0" equalAverage="0" bottom="0" percent="0" rank="0" text="" dxfId="4221">
      <formula>$F1395:G2285="pp"</formula>
    </cfRule>
  </conditionalFormatting>
  <conditionalFormatting sqref="B1563:B1564 L1563:L1564 J1563:J1564">
    <cfRule type="expression" priority="4212" aboveAverage="0" equalAverage="0" bottom="0" percent="0" rank="0" text="" dxfId="4222">
      <formula>$F1563:G2322="pp"</formula>
    </cfRule>
  </conditionalFormatting>
  <conditionalFormatting sqref="B1565:B1568 L1565:L1568 J1565:J1568">
    <cfRule type="expression" priority="4213" aboveAverage="0" equalAverage="0" bottom="0" percent="0" rank="0" text="" dxfId="4223">
      <formula>$F1565:G2318="pp"</formula>
    </cfRule>
  </conditionalFormatting>
  <conditionalFormatting sqref="B1570:B1572 L1570:L1572 J1570:J1572">
    <cfRule type="expression" priority="4214" aboveAverage="0" equalAverage="0" bottom="0" percent="0" rank="0" text="" dxfId="4224">
      <formula>$F1570:G2309="pp"</formula>
    </cfRule>
  </conditionalFormatting>
  <conditionalFormatting sqref="B1716:B1717 M1746:N1760 J1716:J1717 L1716:L1717 K1746:K1760">
    <cfRule type="expression" priority="4215" aboveAverage="0" equalAverage="0" bottom="0" percent="0" rank="0" text="" dxfId="4225">
      <formula>$F1716:G2314="pp"</formula>
    </cfRule>
  </conditionalFormatting>
  <conditionalFormatting sqref="B1726:B1745 L1726:L1745 J1726:J1745">
    <cfRule type="expression" priority="4216" aboveAverage="0" equalAverage="0" bottom="0" percent="0" rank="0" text="" dxfId="4226">
      <formula>$F1726:G2302="pp"</formula>
    </cfRule>
  </conditionalFormatting>
  <conditionalFormatting sqref="B1845:B1865 M1882:N1888 J1845:J1865 L1845:L1865 K1882:K1889">
    <cfRule type="expression" priority="4217" aboveAverage="0" equalAverage="0" bottom="0" percent="0" rank="0" text="" dxfId="4227">
      <formula>$F1845:G2317="pp"</formula>
    </cfRule>
  </conditionalFormatting>
  <conditionalFormatting sqref="B1977:B1980 C2003:D2004 L1977:L1980 J1977:J1980">
    <cfRule type="expression" priority="4218" aboveAverage="0" equalAverage="0" bottom="0" percent="0" rank="0" text="" dxfId="4228">
      <formula>$F1977:G2322="pp"</formula>
    </cfRule>
  </conditionalFormatting>
  <conditionalFormatting sqref="C162:D166">
    <cfRule type="expression" priority="4219" aboveAverage="0" equalAverage="0" bottom="0" percent="0" rank="0" text="" dxfId="4229">
      <formula>$F162:H2294="pp"</formula>
    </cfRule>
  </conditionalFormatting>
  <conditionalFormatting sqref="C330:D331 M311:N316 K311:K316">
    <cfRule type="expression" priority="4220" aboveAverage="0" equalAverage="0" bottom="0" percent="0" rank="0" text="" dxfId="4230">
      <formula>$F311:H2306="pp"</formula>
    </cfRule>
  </conditionalFormatting>
  <conditionalFormatting sqref="C409:D411">
    <cfRule type="expression" priority="4221" aboveAverage="0" equalAverage="0" bottom="0" percent="0" rank="0" text="" dxfId="4231">
      <formula>$F409:H2322="pp"</formula>
    </cfRule>
  </conditionalFormatting>
  <conditionalFormatting sqref="C467:D470">
    <cfRule type="expression" priority="4222" aboveAverage="0" equalAverage="0" bottom="0" percent="0" rank="0" text="" dxfId="4232">
      <formula>$F467:H2305="pp"</formula>
    </cfRule>
  </conditionalFormatting>
  <conditionalFormatting sqref="C471:D475">
    <cfRule type="expression" priority="4223" aboveAverage="0" equalAverage="0" bottom="0" percent="0" rank="0" text="" dxfId="4233">
      <formula>$F471:H2301="pp"</formula>
    </cfRule>
  </conditionalFormatting>
  <conditionalFormatting sqref="C510:D511 A494:A499">
    <cfRule type="expression" priority="4224" aboveAverage="0" equalAverage="0" bottom="0" percent="0" rank="0" text="" dxfId="4234">
      <formula>$F494:F2291="pp"</formula>
    </cfRule>
  </conditionalFormatting>
  <conditionalFormatting sqref="C638:D641">
    <cfRule type="expression" priority="4225" aboveAverage="0" equalAverage="0" bottom="0" percent="0" rank="0" text="" dxfId="4235">
      <formula>$F638:H2307="pp"</formula>
    </cfRule>
  </conditionalFormatting>
  <conditionalFormatting sqref="C665:D666">
    <cfRule type="expression" priority="4226" aboveAverage="0" equalAverage="0" bottom="0" percent="0" rank="0" text="" dxfId="4236">
      <formula>$F665:H2306="pp"</formula>
    </cfRule>
  </conditionalFormatting>
  <conditionalFormatting sqref="C719:D724">
    <cfRule type="expression" priority="4227" aboveAverage="0" equalAverage="0" bottom="0" percent="0" rank="0" text="" dxfId="4237">
      <formula>$F719:H2310="pp"</formula>
    </cfRule>
  </conditionalFormatting>
  <conditionalFormatting sqref="C819:D829">
    <cfRule type="expression" priority="4228" aboveAverage="0" equalAverage="0" bottom="0" percent="0" rank="0" text="" dxfId="4238">
      <formula>$F819:H2327="pp"</formula>
    </cfRule>
  </conditionalFormatting>
  <conditionalFormatting sqref="C989:D1000">
    <cfRule type="expression" priority="4229" aboveAverage="0" equalAverage="0" bottom="0" percent="0" rank="0" text="" dxfId="4239">
      <formula>$F989:H2334="pp"</formula>
    </cfRule>
  </conditionalFormatting>
  <conditionalFormatting sqref="C1093:D1095">
    <cfRule type="expression" priority="4230" aboveAverage="0" equalAverage="0" bottom="0" percent="0" rank="0" text="" dxfId="4240">
      <formula>$F1093:H2338="pp"</formula>
    </cfRule>
  </conditionalFormatting>
  <conditionalFormatting sqref="C1099:D1118">
    <cfRule type="expression" priority="4231" aboveAverage="0" equalAverage="0" bottom="0" percent="0" rank="0" text="" dxfId="4241">
      <formula>$F1099:H2337="pp"</formula>
    </cfRule>
  </conditionalFormatting>
  <conditionalFormatting sqref="C1119:D1125">
    <cfRule type="expression" priority="4232" aboveAverage="0" equalAverage="0" bottom="0" percent="0" rank="0" text="" dxfId="4242">
      <formula>$F1119:H2324="pp"</formula>
    </cfRule>
  </conditionalFormatting>
  <conditionalFormatting sqref="C1126:D1129">
    <cfRule type="expression" priority="4233" aboveAverage="0" equalAverage="0" bottom="0" percent="0" rank="0" text="" dxfId="4243">
      <formula>$F1126:H2326="pp"</formula>
    </cfRule>
  </conditionalFormatting>
  <conditionalFormatting sqref="C1202:D1208">
    <cfRule type="expression" priority="4234" aboveAverage="0" equalAverage="0" bottom="0" percent="0" rank="0" text="" dxfId="4244">
      <formula>$F1202:H2340="pp"</formula>
    </cfRule>
  </conditionalFormatting>
  <conditionalFormatting sqref="C1271:D1275">
    <cfRule type="expression" priority="4235" aboveAverage="0" equalAverage="0" bottom="0" percent="0" rank="0" text="" dxfId="4245">
      <formula>$F1271:H2335="pp"</formula>
    </cfRule>
  </conditionalFormatting>
  <conditionalFormatting sqref="C1280:D1284 B1228:B1230 L1228:L1230 J1228:J1230">
    <cfRule type="expression" priority="4236" aboveAverage="0" equalAverage="0" bottom="0" percent="0" rank="0" text="" dxfId="4246">
      <formula>$F1228:G2282="pp"</formula>
    </cfRule>
  </conditionalFormatting>
  <conditionalFormatting sqref="C1288:D1290 A1271:A1275">
    <cfRule type="expression" priority="4237" aboveAverage="0" equalAverage="0" bottom="0" percent="0" rank="0" text="" dxfId="4247">
      <formula>$F1271:F2318="pp"</formula>
    </cfRule>
  </conditionalFormatting>
  <conditionalFormatting sqref="C1293:D1295">
    <cfRule type="expression" priority="4238" aboveAverage="0" equalAverage="0" bottom="0" percent="0" rank="0" text="" dxfId="4248">
      <formula>$F1293:H2337="pp"</formula>
    </cfRule>
  </conditionalFormatting>
  <conditionalFormatting sqref="C1330:D1333">
    <cfRule type="expression" priority="4239" aboveAverage="0" equalAverage="0" bottom="0" percent="0" rank="0" text="" dxfId="4249">
      <formula>$F1330:H2304="pp"</formula>
    </cfRule>
  </conditionalFormatting>
  <conditionalFormatting sqref="C1335:D1339">
    <cfRule type="expression" priority="4240" aboveAverage="0" equalAverage="0" bottom="0" percent="0" rank="0" text="" dxfId="4250">
      <formula>$F1335:H2304="pp"</formula>
    </cfRule>
  </conditionalFormatting>
  <conditionalFormatting sqref="C1347:D1348">
    <cfRule type="expression" priority="4241" aboveAverage="0" equalAverage="0" bottom="0" percent="0" rank="0" text="" dxfId="4251">
      <formula>$F1347:H2309="pp"</formula>
    </cfRule>
  </conditionalFormatting>
  <conditionalFormatting sqref="C1380:D1386">
    <cfRule type="expression" priority="4242" aboveAverage="0" equalAverage="0" bottom="0" percent="0" rank="0" text="" dxfId="4252">
      <formula>$F1380:H2312="pp"</formula>
    </cfRule>
  </conditionalFormatting>
  <conditionalFormatting sqref="C1426:D1427 C1418:D1422 M1428:N1433 K1428:K1433">
    <cfRule type="expression" priority="4243" aboveAverage="0" equalAverage="0" bottom="0" percent="0" rank="0" text="" dxfId="4253">
      <formula>$F1418:H2325="pp"</formula>
    </cfRule>
  </conditionalFormatting>
  <conditionalFormatting sqref="C1611:D1614">
    <cfRule type="expression" priority="4244" aboveAverage="0" equalAverage="0" bottom="0" percent="0" rank="0" text="" dxfId="4254">
      <formula>$F1611:H2336="pp"</formula>
    </cfRule>
  </conditionalFormatting>
  <conditionalFormatting sqref="C1616:D1619">
    <cfRule type="expression" priority="4245" aboveAverage="0" equalAverage="0" bottom="0" percent="0" rank="0" text="" dxfId="4255">
      <formula>$F1616:H2336="pp"</formula>
    </cfRule>
  </conditionalFormatting>
  <conditionalFormatting sqref="C1666:D1676">
    <cfRule type="expression" priority="4246" aboveAverage="0" equalAverage="0" bottom="0" percent="0" rank="0" text="" dxfId="4256">
      <formula>$F1666:H2341="pp"</formula>
    </cfRule>
  </conditionalFormatting>
  <conditionalFormatting sqref="C1691:D1692">
    <cfRule type="expression" priority="4247" aboveAverage="0" equalAverage="0" bottom="0" percent="0" rank="0" text="" dxfId="4257">
      <formula>$F1691:H2348="pp"</formula>
    </cfRule>
  </conditionalFormatting>
  <conditionalFormatting sqref="C1701:D1702 M1705:N1709 K1705:K1709">
    <cfRule type="expression" priority="4248" aboveAverage="0" equalAverage="0" bottom="0" percent="0" rank="0" text="" dxfId="4258">
      <formula>$F1701:H2343="pp"</formula>
    </cfRule>
  </conditionalFormatting>
  <conditionalFormatting sqref="C1705:D1706 A1680:A1682">
    <cfRule type="expression" priority="4249" aboveAverage="0" equalAverage="0" bottom="0" percent="0" rank="0" text="" dxfId="4259">
      <formula>$F1680:F2319="pp"</formula>
    </cfRule>
  </conditionalFormatting>
  <conditionalFormatting sqref="C1726:D1764 B1697:B1699 B1694:B1695 L1697:L1699 J1694:J1695 L1694:L1695 J1697:J1699">
    <cfRule type="expression" priority="4250" aboveAverage="0" equalAverage="0" bottom="0" percent="0" rank="0" text="" dxfId="4260">
      <formula>$F1694:G2304="pp"</formula>
    </cfRule>
  </conditionalFormatting>
  <conditionalFormatting sqref="C1765:D1767">
    <cfRule type="expression" priority="4251" aboveAverage="0" equalAverage="0" bottom="0" percent="0" rank="0" text="" dxfId="4261">
      <formula>$F1765:H2345="pp"</formula>
    </cfRule>
  </conditionalFormatting>
  <conditionalFormatting sqref="C1780:D1782 M1783:N1785 K1783:K1785">
    <cfRule type="expression" priority="4252" aboveAverage="0" equalAverage="0" bottom="0" percent="0" rank="0" text="" dxfId="4262">
      <formula>$F1780:H2339="pp"</formula>
    </cfRule>
  </conditionalFormatting>
  <conditionalFormatting sqref="C1786:D1788">
    <cfRule type="expression" priority="4253" aboveAverage="0" equalAverage="0" bottom="0" percent="0" rank="0" text="" dxfId="4263">
      <formula>$F1786:H2339="pp"</formula>
    </cfRule>
  </conditionalFormatting>
  <conditionalFormatting sqref="C1810:D1813 A1786:A1788">
    <cfRule type="expression" priority="4254" aboveAverage="0" equalAverage="0" bottom="0" percent="0" rank="0" text="" dxfId="4264">
      <formula>$F1786:F2323="pp"</formula>
    </cfRule>
  </conditionalFormatting>
  <conditionalFormatting sqref="C1880:D1881">
    <cfRule type="expression" priority="4255" aboveAverage="0" equalAverage="0" bottom="0" percent="0" rank="0" text="" dxfId="4265">
      <formula>$F1880:H2363="pp"</formula>
    </cfRule>
  </conditionalFormatting>
  <conditionalFormatting sqref="C1889:D1890">
    <cfRule type="expression" priority="4256" aboveAverage="0" equalAverage="0" bottom="0" percent="0" rank="0" text="" dxfId="4266">
      <formula>$F1889:H2344="pp"</formula>
    </cfRule>
  </conditionalFormatting>
  <conditionalFormatting sqref="C1896:D1902">
    <cfRule type="expression" priority="4257" aboveAverage="0" equalAverage="0" bottom="0" percent="0" rank="0" text="" dxfId="4267">
      <formula>$F1896:H2346="pp"</formula>
    </cfRule>
  </conditionalFormatting>
  <conditionalFormatting sqref="C1946:D1948">
    <cfRule type="expression" priority="4258" aboveAverage="0" equalAverage="0" bottom="0" percent="0" rank="0" text="" dxfId="4268">
      <formula>$F1946:H2356="pp"</formula>
    </cfRule>
  </conditionalFormatting>
  <conditionalFormatting sqref="C1968:D1971">
    <cfRule type="expression" priority="4259" aboveAverage="0" equalAverage="0" bottom="0" percent="0" rank="0" text="" dxfId="4269">
      <formula>$F1968:H2356="pp"</formula>
    </cfRule>
  </conditionalFormatting>
  <conditionalFormatting sqref="E162:E166 G162:I166 O162:O172 E167:I172">
    <cfRule type="expression" priority="4260" aboveAverage="0" equalAverage="0" bottom="0" percent="0" rank="0" text="" dxfId="4270">
      <formula>$F162:I2264="pp"</formula>
    </cfRule>
  </conditionalFormatting>
  <conditionalFormatting sqref="E276:E278">
    <cfRule type="expression" priority="4261" aboveAverage="0" equalAverage="0" bottom="0" percent="0" rank="0" text="" dxfId="4271">
      <formula>$F276:I2297="pp"</formula>
    </cfRule>
  </conditionalFormatting>
  <conditionalFormatting sqref="E311:E316">
    <cfRule type="expression" priority="4262" aboveAverage="0" equalAverage="0" bottom="0" percent="0" rank="0" text="" dxfId="4272">
      <formula>$F311:I2294="pp"</formula>
    </cfRule>
  </conditionalFormatting>
  <conditionalFormatting sqref="E330:E331">
    <cfRule type="expression" priority="4263" aboveAverage="0" equalAverage="0" bottom="0" percent="0" rank="0" text="" dxfId="4273">
      <formula>$F330:I2286="pp"</formula>
    </cfRule>
  </conditionalFormatting>
  <conditionalFormatting sqref="E381:E386">
    <cfRule type="expression" priority="4264" aboveAverage="0" equalAverage="0" bottom="0" percent="0" rank="0" text="" dxfId="4274">
      <formula>$F381:I2294="pp"</formula>
    </cfRule>
  </conditionalFormatting>
  <conditionalFormatting sqref="E387:E395">
    <cfRule type="expression" priority="4265" aboveAverage="0" equalAverage="0" bottom="0" percent="0" rank="0" text="" dxfId="4275">
      <formula>$F387:I2295="pp"</formula>
    </cfRule>
  </conditionalFormatting>
  <conditionalFormatting sqref="E401:E405">
    <cfRule type="expression" priority="4266" aboveAverage="0" equalAverage="0" bottom="0" percent="0" rank="0" text="" dxfId="4276">
      <formula>$F401:I2292="pp"</formula>
    </cfRule>
  </conditionalFormatting>
  <conditionalFormatting sqref="E409:E411">
    <cfRule type="expression" priority="4267" aboveAverage="0" equalAverage="0" bottom="0" percent="0" rank="0" text="" dxfId="4277">
      <formula>$F409:I2298="pp"</formula>
    </cfRule>
  </conditionalFormatting>
  <conditionalFormatting sqref="E416:E420">
    <cfRule type="expression" priority="4268" aboveAverage="0" equalAverage="0" bottom="0" percent="0" rank="0" text="" dxfId="4278">
      <formula>$F416:I2273="pp"</formula>
    </cfRule>
  </conditionalFormatting>
  <conditionalFormatting sqref="E480:E484 F512:F514 F516:F520">
    <cfRule type="expression" priority="4269" aboveAverage="0" equalAverage="0" bottom="0" percent="0" rank="0" text="" dxfId="4279">
      <formula>$F480:I2280="pp"</formula>
    </cfRule>
  </conditionalFormatting>
  <conditionalFormatting sqref="E512:E514 E516:E520">
    <cfRule type="expression" priority="4270" aboveAverage="0" equalAverage="0" bottom="0" percent="0" rank="0" text="" dxfId="4280">
      <formula>$F512:I2283="pp"</formula>
    </cfRule>
  </conditionalFormatting>
  <conditionalFormatting sqref="E559:E564">
    <cfRule type="expression" priority="4271" aboveAverage="0" equalAverage="0" bottom="0" percent="0" rank="0" text="" dxfId="4281">
      <formula>$F559:I2294="pp"</formula>
    </cfRule>
  </conditionalFormatting>
  <conditionalFormatting sqref="E575:E576 O577:O581">
    <cfRule type="expression" priority="4272" aboveAverage="0" equalAverage="0" bottom="0" percent="0" rank="0" text="" dxfId="4282">
      <formula>$F575:I2295="pp"</formula>
    </cfRule>
  </conditionalFormatting>
  <conditionalFormatting sqref="E597:E602">
    <cfRule type="expression" priority="4273" aboveAverage="0" equalAverage="0" bottom="0" percent="0" rank="0" text="" dxfId="4283">
      <formula>$F597:I2285="pp"</formula>
    </cfRule>
  </conditionalFormatting>
  <conditionalFormatting sqref="E649:E653">
    <cfRule type="expression" priority="4274" aboveAverage="0" equalAverage="0" bottom="0" percent="0" rank="0" text="" dxfId="4284">
      <formula>$F649:I2281="pp"</formula>
    </cfRule>
  </conditionalFormatting>
  <conditionalFormatting sqref="E907:E908">
    <cfRule type="expression" priority="4275" aboveAverage="0" equalAverage="0" bottom="0" percent="0" rank="0" text="" dxfId="4285">
      <formula>$F907:I2297="pp"</formula>
    </cfRule>
  </conditionalFormatting>
  <conditionalFormatting sqref="E925:E926">
    <cfRule type="expression" priority="4276" aboveAverage="0" equalAverage="0" bottom="0" percent="0" rank="0" text="" dxfId="4286">
      <formula>$F925:I2297="pp"</formula>
    </cfRule>
  </conditionalFormatting>
  <conditionalFormatting sqref="E1055:E1056">
    <cfRule type="expression" priority="4277" aboveAverage="0" equalAverage="0" bottom="0" percent="0" rank="0" text="" dxfId="4287">
      <formula>$F1055:I2291="pp"</formula>
    </cfRule>
  </conditionalFormatting>
  <conditionalFormatting sqref="E1198:E1201">
    <cfRule type="expression" priority="4278" aboveAverage="0" equalAverage="0" bottom="0" percent="0" rank="0" text="" dxfId="4288">
      <formula>$F1198:I2319="pp"</formula>
    </cfRule>
  </conditionalFormatting>
  <conditionalFormatting sqref="E1228:E1230">
    <cfRule type="expression" priority="4279" aboveAverage="0" equalAverage="0" bottom="0" percent="0" rank="0" text="" dxfId="4289">
      <formula>$F1228:I2298="pp"</formula>
    </cfRule>
  </conditionalFormatting>
  <conditionalFormatting sqref="E1325:E1328">
    <cfRule type="expression" priority="4280" aboveAverage="0" equalAverage="0" bottom="0" percent="0" rank="0" text="" dxfId="4290">
      <formula>$F1325:I2278="pp"</formula>
    </cfRule>
  </conditionalFormatting>
  <conditionalFormatting sqref="E1347:E1348">
    <cfRule type="expression" priority="4281" aboveAverage="0" equalAverage="0" bottom="0" percent="0" rank="0" text="" dxfId="4291">
      <formula>$F1347:I2285="pp"</formula>
    </cfRule>
  </conditionalFormatting>
  <conditionalFormatting sqref="E1350:E1354">
    <cfRule type="expression" priority="4282" aboveAverage="0" equalAverage="0" bottom="0" percent="0" rank="0" text="" dxfId="4292">
      <formula>$F1350:I2282="pp"</formula>
    </cfRule>
  </conditionalFormatting>
  <conditionalFormatting sqref="E1357:E1366">
    <cfRule type="expression" priority="4283" aboveAverage="0" equalAverage="0" bottom="0" percent="0" rank="0" text="" dxfId="4293">
      <formula>$F1357:I2283="pp"</formula>
    </cfRule>
  </conditionalFormatting>
  <conditionalFormatting sqref="E1390:E1393 G1377:I1379">
    <cfRule type="expression" priority="4284" aboveAverage="0" equalAverage="0" bottom="0" percent="0" rank="0" text="" dxfId="4294">
      <formula>$F1377:I2279="pp"</formula>
    </cfRule>
  </conditionalFormatting>
  <conditionalFormatting sqref="E1418:E1422 E1426:E1427 O1434:O1435 F1459:F1460">
    <cfRule type="expression" priority="4285" aboveAverage="0" equalAverage="0" bottom="0" percent="0" rank="0" text="" dxfId="4295">
      <formula>$F1418:I2301="pp"</formula>
    </cfRule>
  </conditionalFormatting>
  <conditionalFormatting sqref="E1487:E1488 E1476:E1479 E1472:E1473 F1504:F1509">
    <cfRule type="expression" priority="4286" aboveAverage="0" equalAverage="0" bottom="0" percent="0" rank="0" text="" dxfId="4296">
      <formula>$F1472:I2309="pp"</formula>
    </cfRule>
  </conditionalFormatting>
  <conditionalFormatting sqref="E1620:E1639 G1611:I1614">
    <cfRule type="expression" priority="4287" aboveAverage="0" equalAverage="0" bottom="0" percent="0" rank="0" text="" dxfId="4297">
      <formula>$F1611:I2302="pp"</formula>
    </cfRule>
  </conditionalFormatting>
  <conditionalFormatting sqref="E1682:E1688">
    <cfRule type="expression" priority="4288" aboveAverage="0" equalAverage="0" bottom="0" percent="0" rank="0" text="" dxfId="4298">
      <formula>$F1682:I2310="pp"</formula>
    </cfRule>
  </conditionalFormatting>
  <conditionalFormatting sqref="E1701:E1702 G1682:I1688">
    <cfRule type="expression" priority="4289" aboveAverage="0" equalAverage="0" bottom="0" percent="0" rank="0" text="" dxfId="4299">
      <formula>$F1682:I2300="pp"</formula>
    </cfRule>
  </conditionalFormatting>
  <conditionalFormatting sqref="E1763:E1767">
    <cfRule type="expression" priority="4290" aboveAverage="0" equalAverage="0" bottom="0" percent="0" rank="0" text="" dxfId="4300">
      <formula>$F1763:I2319="pp"</formula>
    </cfRule>
  </conditionalFormatting>
  <conditionalFormatting sqref="E1780:E1782 F1869:F1872">
    <cfRule type="expression" priority="4291" aboveAverage="0" equalAverage="0" bottom="0" percent="0" rank="0" text="" dxfId="4301">
      <formula>$F1780:I2315="pp"</formula>
    </cfRule>
  </conditionalFormatting>
  <conditionalFormatting sqref="E1804:E1809 G1789:I1790 E1795:E1796">
    <cfRule type="expression" priority="4292" aboveAverage="0" equalAverage="0" bottom="0" percent="0" rank="0" text="" dxfId="4302">
      <formula>$F1789:I2306="pp"</formula>
    </cfRule>
  </conditionalFormatting>
  <conditionalFormatting sqref="E1904:E1910">
    <cfRule type="expression" priority="4293" aboveAverage="0" equalAverage="0" bottom="0" percent="0" rank="0" text="" dxfId="4303">
      <formula>$F1904:I2321="pp"</formula>
    </cfRule>
  </conditionalFormatting>
  <conditionalFormatting sqref="E1982:E1987 G1974:I1976">
    <cfRule type="expression" priority="4294" aboveAverage="0" equalAverage="0" bottom="0" percent="0" rank="0" text="" dxfId="4304">
      <formula>$F1974:I2324="pp"</formula>
    </cfRule>
  </conditionalFormatting>
  <conditionalFormatting sqref="F189:F213 G195:I199 O195:O199 E214:F217 E195:E213">
    <cfRule type="expression" priority="4295" aboveAverage="0" equalAverage="0" bottom="0" percent="0" rank="0" text="" dxfId="4305">
      <formula>$F189:I2260="pp"</formula>
    </cfRule>
  </conditionalFormatting>
  <conditionalFormatting sqref="F222:F226">
    <cfRule type="expression" priority="4296" aboveAverage="0" equalAverage="0" bottom="0" percent="0" rank="0" text="" dxfId="4306">
      <formula>$F222:J2301="pp"</formula>
    </cfRule>
  </conditionalFormatting>
  <conditionalFormatting sqref="F227:F235">
    <cfRule type="expression" priority="4297" aboveAverage="0" equalAverage="0" bottom="0" percent="0" rank="0" text="" dxfId="4307">
      <formula>$F227:J2301="pp"</formula>
    </cfRule>
  </conditionalFormatting>
  <conditionalFormatting sqref="F236:F237">
    <cfRule type="expression" priority="4298" aboveAverage="0" equalAverage="0" bottom="0" percent="0" rank="0" text="" dxfId="4308">
      <formula>$F236:J2305="pp"</formula>
    </cfRule>
  </conditionalFormatting>
  <conditionalFormatting sqref="F267:F268">
    <cfRule type="expression" priority="4299" aboveAverage="0" equalAverage="0" bottom="0" percent="0" rank="0" text="" dxfId="4309">
      <formula>$F267:J2324="pp"</formula>
    </cfRule>
  </conditionalFormatting>
  <conditionalFormatting sqref="F346:F352">
    <cfRule type="expression" priority="4300" aboveAverage="0" equalAverage="0" bottom="0" percent="0" rank="0" text="" dxfId="4310">
      <formula>$F346:J2436="pp"</formula>
    </cfRule>
  </conditionalFormatting>
  <conditionalFormatting sqref="F409:F411">
    <cfRule type="expression" priority="4301" aboveAverage="0" equalAverage="0" bottom="0" percent="0" rank="0" text="" dxfId="4311">
      <formula>$F409:J2327="pp"</formula>
    </cfRule>
  </conditionalFormatting>
  <conditionalFormatting sqref="F440:F441 F446:F457">
    <cfRule type="expression" priority="4302" aboveAverage="0" equalAverage="0" bottom="0" percent="0" rank="0" text="" dxfId="4312">
      <formula>$F440:J2307="pp"</formula>
    </cfRule>
  </conditionalFormatting>
  <conditionalFormatting sqref="F547:F552 F862:F863">
    <cfRule type="expression" priority="4303" aboveAverage="0" equalAverage="0" bottom="0" percent="0" rank="0" text="" dxfId="4313">
      <formula>$F547:J2313="pp"</formula>
    </cfRule>
  </conditionalFormatting>
  <conditionalFormatting sqref="F717:F718 O538:O539">
    <cfRule type="expression" priority="4304" aboveAverage="0" equalAverage="0" bottom="0" percent="0" rank="0" text="" dxfId="4314">
      <formula>$F538:J2291="pp"</formula>
    </cfRule>
  </conditionalFormatting>
  <conditionalFormatting sqref="F925:F931 F965:F986">
    <cfRule type="expression" priority="4305" aboveAverage="0" equalAverage="0" bottom="0" percent="0" rank="0" text="" dxfId="4315">
      <formula>$F925:J2619="pp"</formula>
    </cfRule>
  </conditionalFormatting>
  <conditionalFormatting sqref="F1078:F1079">
    <cfRule type="expression" priority="4306" aboveAverage="0" equalAverage="0" bottom="0" percent="0" rank="0" text="" dxfId="4316">
      <formula>$F1078:J2614="pp"</formula>
    </cfRule>
  </conditionalFormatting>
  <conditionalFormatting sqref="F1080:F1095">
    <cfRule type="expression" priority="4307" aboveAverage="0" equalAverage="0" bottom="0" percent="0" rank="0" text="" dxfId="4317">
      <formula>$F1080:J2614="pp"</formula>
    </cfRule>
  </conditionalFormatting>
  <conditionalFormatting sqref="F1119:F1125">
    <cfRule type="expression" priority="4308" aboveAverage="0" equalAverage="0" bottom="0" percent="0" rank="0" text="" dxfId="4318">
      <formula>$F1119:J2616="pp"</formula>
    </cfRule>
  </conditionalFormatting>
  <conditionalFormatting sqref="F1126:F1129">
    <cfRule type="expression" priority="4309" aboveAverage="0" equalAverage="0" bottom="0" percent="0" rank="0" text="" dxfId="4319">
      <formula>$F1126:J2618="pp"</formula>
    </cfRule>
  </conditionalFormatting>
  <conditionalFormatting sqref="F1176:F1187 F1171:F1174 O841:O847">
    <cfRule type="expression" priority="4310" aboveAverage="0" equalAverage="0" bottom="0" percent="0" rank="0" text="" dxfId="4320">
      <formula>$F841:J2302="pp"</formula>
    </cfRule>
  </conditionalFormatting>
  <conditionalFormatting sqref="F1202:F1208">
    <cfRule type="expression" priority="4311" aboveAverage="0" equalAverage="0" bottom="0" percent="0" rank="0" text="" dxfId="4321">
      <formula>$F1202:J2632="pp"</formula>
    </cfRule>
  </conditionalFormatting>
  <conditionalFormatting sqref="F1293:F1295 E965:E971">
    <cfRule type="expression" priority="4312" aboveAverage="0" equalAverage="0" bottom="0" percent="0" rank="0" text="" dxfId="4322">
      <formula>$F965:I2301="pp"</formula>
    </cfRule>
  </conditionalFormatting>
  <conditionalFormatting sqref="F1297:F1300 E972:E977">
    <cfRule type="expression" priority="4313" aboveAverage="0" equalAverage="0" bottom="0" percent="0" rank="0" text="" dxfId="4323">
      <formula>$F972:I2301="pp"</formula>
    </cfRule>
  </conditionalFormatting>
  <conditionalFormatting sqref="F1330:F1333">
    <cfRule type="expression" priority="4314" aboveAverage="0" equalAverage="0" bottom="0" percent="0" rank="0" text="" dxfId="4324">
      <formula>$F1330:J2309="pp"</formula>
    </cfRule>
  </conditionalFormatting>
  <conditionalFormatting sqref="F1335:F1339">
    <cfRule type="expression" priority="4315" aboveAverage="0" equalAverage="0" bottom="0" percent="0" rank="0" text="" dxfId="4325">
      <formula>$F1335:J2309="pp"</formula>
    </cfRule>
  </conditionalFormatting>
  <conditionalFormatting sqref="F1340:F1345">
    <cfRule type="expression" priority="4316" aboveAverage="0" equalAverage="0" bottom="0" percent="0" rank="0" text="" dxfId="4326">
      <formula>$F1340:J2309="pp"</formula>
    </cfRule>
  </conditionalFormatting>
  <conditionalFormatting sqref="F1357:F1366 O1330:O1333">
    <cfRule type="expression" priority="4317" aboveAverage="0" equalAverage="0" bottom="0" percent="0" rank="0" text="" dxfId="4327">
      <formula>$F1330:J2285="pp"</formula>
    </cfRule>
  </conditionalFormatting>
  <conditionalFormatting sqref="F1466:F1467 G1426:I1427 G1418:I1422">
    <cfRule type="expression" priority="4318" aboveAverage="0" equalAverage="0" bottom="0" percent="0" rank="0" text="" dxfId="4328">
      <formula>$F1418:J2291="pp"</formula>
    </cfRule>
  </conditionalFormatting>
  <conditionalFormatting sqref="F1476:F1479 F1486:F1488 F1472:F1473">
    <cfRule type="expression" priority="4319" aboveAverage="0" equalAverage="0" bottom="0" percent="0" rank="0" text="" dxfId="4329">
      <formula>$F1472:J2338="pp"</formula>
    </cfRule>
  </conditionalFormatting>
  <conditionalFormatting sqref="F1560:F1562">
    <cfRule type="expression" priority="4320" aboveAverage="0" equalAverage="0" bottom="0" percent="0" rank="0" text="" dxfId="4330">
      <formula>$F1560:J2356="pp"</formula>
    </cfRule>
  </conditionalFormatting>
  <conditionalFormatting sqref="F1570:F1572 G1529:I1532">
    <cfRule type="expression" priority="4321" aboveAverage="0" equalAverage="0" bottom="0" percent="0" rank="0" text="" dxfId="4331">
      <formula>$F1529:J2307="pp"</formula>
    </cfRule>
  </conditionalFormatting>
  <conditionalFormatting sqref="F1602:F1606">
    <cfRule type="expression" priority="4322" aboveAverage="0" equalAverage="0" bottom="0" percent="0" rank="0" text="" dxfId="4332">
      <formula>$F1602:J2338="pp"</formula>
    </cfRule>
  </conditionalFormatting>
  <conditionalFormatting sqref="F1607:F1610">
    <cfRule type="expression" priority="4323" aboveAverage="0" equalAverage="0" bottom="0" percent="0" rank="0" text="" dxfId="4333">
      <formula>$F1607:J2339="pp"</formula>
    </cfRule>
  </conditionalFormatting>
  <conditionalFormatting sqref="F1679:F1688 G1607:I1610">
    <cfRule type="expression" priority="4324" aboveAverage="0" equalAverage="0" bottom="0" percent="0" rank="0" text="" dxfId="4334">
      <formula>$F1607:J2300="pp"</formula>
    </cfRule>
  </conditionalFormatting>
  <conditionalFormatting sqref="F1701:F1702">
    <cfRule type="expression" priority="4325" aboveAverage="0" equalAverage="0" bottom="0" percent="0" rank="0" text="" dxfId="4335">
      <formula>$F1701:J2384="pp"</formula>
    </cfRule>
  </conditionalFormatting>
  <conditionalFormatting sqref="F1777:F1779">
    <cfRule type="expression" priority="4326" aboveAverage="0" equalAverage="0" bottom="0" percent="0" rank="0" text="" dxfId="4336">
      <formula>$F1777:J2380="pp"</formula>
    </cfRule>
  </conditionalFormatting>
  <conditionalFormatting sqref="F1804:F1809 F1795:F1796">
    <cfRule type="expression" priority="4327" aboveAverage="0" equalAverage="0" bottom="0" percent="0" rank="0" text="" dxfId="4337">
      <formula>$F1795:J2377="pp"</formula>
    </cfRule>
  </conditionalFormatting>
  <conditionalFormatting sqref="F1904:F1916 E1845:E1865">
    <cfRule type="expression" priority="4328" aboveAverage="0" equalAverage="0" bottom="0" percent="0" rank="0" text="" dxfId="4338">
      <formula>$F1845:I2327="pp"</formula>
    </cfRule>
  </conditionalFormatting>
  <conditionalFormatting sqref="F1946:F1948">
    <cfRule type="expression" priority="4329" aboveAverage="0" equalAverage="0" bottom="0" percent="0" rank="0" text="" dxfId="4339">
      <formula>$F1946:J2397="pp"</formula>
    </cfRule>
  </conditionalFormatting>
  <conditionalFormatting sqref="F1951:F1953 O1896:O1902 O1889:O1890">
    <cfRule type="expression" priority="4330" aboveAverage="0" equalAverage="0" bottom="0" percent="0" rank="0" text="" dxfId="4340">
      <formula>$F1889:J2336="pp"</formula>
    </cfRule>
  </conditionalFormatting>
  <conditionalFormatting sqref="F1962:F1963">
    <cfRule type="expression" priority="4331" aboveAverage="0" equalAverage="0" bottom="0" percent="0" rank="0" text="" dxfId="4341">
      <formula>$F1962:J2401="pp"</formula>
    </cfRule>
  </conditionalFormatting>
  <conditionalFormatting sqref="F182:G185">
    <cfRule type="expression" priority="4332" aboveAverage="0" equalAverage="0" bottom="0" percent="0" rank="0" text="" dxfId="4342">
      <formula>$F182:J2291="pp"</formula>
    </cfRule>
  </conditionalFormatting>
  <conditionalFormatting sqref="G176:I177 O176:O177 E176:E181">
    <cfRule type="expression" priority="4333" aboveAverage="0" equalAverage="0" bottom="0" percent="0" rank="0" text="" dxfId="4343">
      <formula>$F176:I2261="pp"</formula>
    </cfRule>
  </conditionalFormatting>
  <conditionalFormatting sqref="G218:I220 O218:O220">
    <cfRule type="expression" priority="4334" aboveAverage="0" equalAverage="0" bottom="0" percent="0" rank="0" text="" dxfId="4344">
      <formula>$F218:K2261="pp"</formula>
    </cfRule>
  </conditionalFormatting>
  <conditionalFormatting sqref="G276:I278 O276:O278">
    <cfRule type="expression" priority="4335" aboveAverage="0" equalAverage="0" bottom="0" percent="0" rank="0" text="" dxfId="4345">
      <formula>$F276:K2287="pp"</formula>
    </cfRule>
  </conditionalFormatting>
  <conditionalFormatting sqref="G288:I290 O288:O290 E296:E306">
    <cfRule type="expression" priority="4336" aboveAverage="0" equalAverage="0" bottom="0" percent="0" rank="0" text="" dxfId="4346">
      <formula>$F288:I2288="pp"</formula>
    </cfRule>
  </conditionalFormatting>
  <conditionalFormatting sqref="G311:I316 O311:O316">
    <cfRule type="expression" priority="4337" aboveAverage="0" equalAverage="0" bottom="0" percent="0" rank="0" text="" dxfId="4347">
      <formula>$F311:K2284="pp"</formula>
    </cfRule>
  </conditionalFormatting>
  <conditionalFormatting sqref="G317:I321 O317:O321">
    <cfRule type="expression" priority="4338" aboveAverage="0" equalAverage="0" bottom="0" percent="0" rank="0" text="" dxfId="4348">
      <formula>$F317:K2275="pp"</formula>
    </cfRule>
  </conditionalFormatting>
  <conditionalFormatting sqref="G327:I328 O327:O328">
    <cfRule type="expression" priority="4339" aboveAverage="0" equalAverage="0" bottom="0" percent="0" rank="0" text="" dxfId="4349">
      <formula>$F327:K2276="pp"</formula>
    </cfRule>
  </conditionalFormatting>
  <conditionalFormatting sqref="G330:I331 O330:O331">
    <cfRule type="expression" priority="4340" aboveAverage="0" equalAverage="0" bottom="0" percent="0" rank="0" text="" dxfId="4350">
      <formula>$F330:K2276="pp"</formula>
    </cfRule>
  </conditionalFormatting>
  <conditionalFormatting sqref="G353:I356 O353:O356 E353:F358 E359:I361 O359:O361">
    <cfRule type="expression" priority="4341" aboveAverage="0" equalAverage="0" bottom="0" percent="0" rank="0" text="" dxfId="4351">
      <formula>$F353:I2484="pp"</formula>
    </cfRule>
  </conditionalFormatting>
  <conditionalFormatting sqref="G357:I358 O357:O358">
    <cfRule type="expression" priority="4342" aboveAverage="0" equalAverage="0" bottom="0" percent="0" rank="0" text="" dxfId="4352">
      <formula>$F357:K2485="pp"</formula>
    </cfRule>
  </conditionalFormatting>
  <conditionalFormatting sqref="G372:I374 O372:O374">
    <cfRule type="expression" priority="4343" aboveAverage="0" equalAverage="0" bottom="0" percent="0" rank="0" text="" dxfId="4353">
      <formula>$F372:K2283="pp"</formula>
    </cfRule>
  </conditionalFormatting>
  <conditionalFormatting sqref="G387:I395 O387:O395">
    <cfRule type="expression" priority="4344" aboveAverage="0" equalAverage="0" bottom="0" percent="0" rank="0" text="" dxfId="4354">
      <formula>$F387:K2285="pp"</formula>
    </cfRule>
  </conditionalFormatting>
  <conditionalFormatting sqref="G401:I405 O401:O405">
    <cfRule type="expression" priority="4345" aboveAverage="0" equalAverage="0" bottom="0" percent="0" rank="0" text="" dxfId="4355">
      <formula>$F401:K2282="pp"</formula>
    </cfRule>
  </conditionalFormatting>
  <conditionalFormatting sqref="G409:I411 O409:O411">
    <cfRule type="expression" priority="4346" aboveAverage="0" equalAverage="0" bottom="0" percent="0" rank="0" text="" dxfId="4356">
      <formula>$F409:K2288="pp"</formula>
    </cfRule>
  </conditionalFormatting>
  <conditionalFormatting sqref="G477:I478 E489:E490">
    <cfRule type="expression" priority="4347" aboveAverage="0" equalAverage="0" bottom="0" percent="0" rank="0" text="" dxfId="4357">
      <formula>$F477:I2269="pp"</formula>
    </cfRule>
  </conditionalFormatting>
  <conditionalFormatting sqref="G566:I569">
    <cfRule type="expression" priority="4348" aboveAverage="0" equalAverage="0" bottom="0" percent="0" rank="0" text="" dxfId="4358">
      <formula>$F566:K2282="pp"</formula>
    </cfRule>
  </conditionalFormatting>
  <conditionalFormatting sqref="G575:I576">
    <cfRule type="expression" priority="4349" aboveAverage="0" equalAverage="0" bottom="0" percent="0" rank="0" text="" dxfId="4359">
      <formula>$F575:K2285="pp"</formula>
    </cfRule>
  </conditionalFormatting>
  <conditionalFormatting sqref="G589:I593">
    <cfRule type="expression" priority="4350" aboveAverage="0" equalAverage="0" bottom="0" percent="0" rank="0" text="" dxfId="4360">
      <formula>$F589:K2280="pp"</formula>
    </cfRule>
  </conditionalFormatting>
  <conditionalFormatting sqref="G604:I614">
    <cfRule type="expression" priority="4351" aboveAverage="0" equalAverage="0" bottom="0" percent="0" rank="0" text="" dxfId="4361">
      <formula>$F604:K2271="pp"</formula>
    </cfRule>
  </conditionalFormatting>
  <conditionalFormatting sqref="G617:I620">
    <cfRule type="expression" priority="4352" aboveAverage="0" equalAverage="0" bottom="0" percent="0" rank="0" text="" dxfId="4362">
      <formula>$F617:K2280="pp"</formula>
    </cfRule>
  </conditionalFormatting>
  <conditionalFormatting sqref="G629:I630">
    <cfRule type="expression" priority="4353" aboveAverage="0" equalAverage="0" bottom="0" percent="0" rank="0" text="" dxfId="4363">
      <formula>$F629:K2267="pp"</formula>
    </cfRule>
  </conditionalFormatting>
  <conditionalFormatting sqref="G633:I641 E643:E648">
    <cfRule type="expression" priority="4354" aboveAverage="0" equalAverage="0" bottom="0" percent="0" rank="0" text="" dxfId="4364">
      <formula>$F633:I2268="pp"</formula>
    </cfRule>
  </conditionalFormatting>
  <conditionalFormatting sqref="G657:I662 E668:E671">
    <cfRule type="expression" priority="4355" aboveAverage="0" equalAverage="0" bottom="0" percent="0" rank="0" text="" dxfId="4365">
      <formula>$F657:I2268="pp"</formula>
    </cfRule>
  </conditionalFormatting>
  <conditionalFormatting sqref="G665:I666 E676:E682">
    <cfRule type="expression" priority="4356" aboveAverage="0" equalAverage="0" bottom="0" percent="0" rank="0" text="" dxfId="4366">
      <formula>$F665:I2272="pp"</formula>
    </cfRule>
  </conditionalFormatting>
  <conditionalFormatting sqref="G685:I688 O697:O701">
    <cfRule type="expression" priority="4357" aboveAverage="0" equalAverage="0" bottom="0" percent="0" rank="0" text="" dxfId="4367">
      <formula>$F685:K2275="pp"</formula>
    </cfRule>
  </conditionalFormatting>
  <conditionalFormatting sqref="G733:I735 E741:E752">
    <cfRule type="expression" priority="4358" aboveAverage="0" equalAverage="0" bottom="0" percent="0" rank="0" text="" dxfId="4368">
      <formula>$F733:I2276="pp"</formula>
    </cfRule>
  </conditionalFormatting>
  <conditionalFormatting sqref="G759:I766">
    <cfRule type="expression" priority="4359" aboveAverage="0" equalAverage="0" bottom="0" percent="0" rank="0" text="" dxfId="4369">
      <formula>$F759:K2271="pp"</formula>
    </cfRule>
  </conditionalFormatting>
  <conditionalFormatting sqref="G778:I779">
    <cfRule type="expression" priority="4360" aboveAverage="0" equalAverage="0" bottom="0" percent="0" rank="0" text="" dxfId="4370">
      <formula>$F778:K2272="pp"</formula>
    </cfRule>
  </conditionalFormatting>
  <conditionalFormatting sqref="G819:I829">
    <cfRule type="expression" priority="4361" aboveAverage="0" equalAverage="0" bottom="0" percent="0" rank="0" text="" dxfId="4371">
      <formula>$F819:K2277="pp"</formula>
    </cfRule>
  </conditionalFormatting>
  <conditionalFormatting sqref="G877:I880">
    <cfRule type="expression" priority="4362" aboveAverage="0" equalAverage="0" bottom="0" percent="0" rank="0" text="" dxfId="4372">
      <formula>$F877:K2282="pp"</formula>
    </cfRule>
  </conditionalFormatting>
  <conditionalFormatting sqref="G887:I896 E898:E903">
    <cfRule type="expression" priority="4363" aboveAverage="0" equalAverage="0" bottom="0" percent="0" rank="0" text="" dxfId="4373">
      <formula>$F887:I2285="pp"</formula>
    </cfRule>
  </conditionalFormatting>
  <conditionalFormatting sqref="G898:I903">
    <cfRule type="expression" priority="4364" aboveAverage="0" equalAverage="0" bottom="0" percent="0" rank="0" text="" dxfId="4374">
      <formula>$F898:K2280="pp"</formula>
    </cfRule>
  </conditionalFormatting>
  <conditionalFormatting sqref="G907:I908">
    <cfRule type="expression" priority="4365" aboveAverage="0" equalAverage="0" bottom="0" percent="0" rank="0" text="" dxfId="4375">
      <formula>$F907:K2281="pp"</formula>
    </cfRule>
  </conditionalFormatting>
  <conditionalFormatting sqref="G965:I971">
    <cfRule type="expression" priority="4366" aboveAverage="0" equalAverage="0" bottom="0" percent="0" rank="0" text="" dxfId="4376">
      <formula>$F965:K2285="pp"</formula>
    </cfRule>
  </conditionalFormatting>
  <conditionalFormatting sqref="G980:I981 E1001:E1003">
    <cfRule type="expression" priority="4367" aboveAverage="0" equalAverage="0" bottom="0" percent="0" rank="0" text="" dxfId="4377">
      <formula>$F980:I2283="pp"</formula>
    </cfRule>
  </conditionalFormatting>
  <conditionalFormatting sqref="G985:I986">
    <cfRule type="expression" priority="4368" aboveAverage="0" equalAverage="0" bottom="0" percent="0" rank="0" text="" dxfId="4378">
      <formula>$F985:K2284="pp"</formula>
    </cfRule>
  </conditionalFormatting>
  <conditionalFormatting sqref="G988:I989">
    <cfRule type="expression" priority="4369" aboveAverage="0" equalAverage="0" bottom="0" percent="0" rank="0" text="" dxfId="4379">
      <formula>$F988:K2283="pp"</formula>
    </cfRule>
  </conditionalFormatting>
  <conditionalFormatting sqref="G1033:I1043">
    <cfRule type="expression" priority="4370" aboveAverage="0" equalAverage="0" bottom="0" percent="0" rank="0" text="" dxfId="4380">
      <formula>$F1033:K2287="pp"</formula>
    </cfRule>
  </conditionalFormatting>
  <conditionalFormatting sqref="G1052:I1054">
    <cfRule type="expression" priority="4371" aboveAverage="0" equalAverage="0" bottom="0" percent="0" rank="0" text="" dxfId="4381">
      <formula>$F1052:K2278="pp"</formula>
    </cfRule>
  </conditionalFormatting>
  <conditionalFormatting sqref="G1055:I1056">
    <cfRule type="expression" priority="4372" aboveAverage="0" equalAverage="0" bottom="0" percent="0" rank="0" text="" dxfId="4382">
      <formula>$F1055:K2275="pp"</formula>
    </cfRule>
  </conditionalFormatting>
  <conditionalFormatting sqref="G1074:I1077">
    <cfRule type="expression" priority="4373" aboveAverage="0" equalAverage="0" bottom="0" percent="0" rank="0" text="" dxfId="4383">
      <formula>$F1074:K2272="pp"</formula>
    </cfRule>
  </conditionalFormatting>
  <conditionalFormatting sqref="G1080:I1095">
    <cfRule type="expression" priority="4374" aboveAverage="0" equalAverage="0" bottom="0" percent="0" rank="0" text="" dxfId="4384">
      <formula>$F1080:K2272="pp"</formula>
    </cfRule>
  </conditionalFormatting>
  <conditionalFormatting sqref="G1099:I1114">
    <cfRule type="expression" priority="4375" aboveAverage="0" equalAverage="0" bottom="0" percent="0" rank="0" text="" dxfId="4385">
      <formula>$F1099:K2287="pp"</formula>
    </cfRule>
  </conditionalFormatting>
  <conditionalFormatting sqref="G1137:I1142 O1162:O1170">
    <cfRule type="expression" priority="4376" aboveAverage="0" equalAverage="0" bottom="0" percent="0" rank="0" text="" dxfId="4386">
      <formula>$F1137:K2277="pp"</formula>
    </cfRule>
  </conditionalFormatting>
  <conditionalFormatting sqref="G1162:I1170">
    <cfRule type="expression" priority="4377" aboveAverage="0" equalAverage="0" bottom="0" percent="0" rank="0" text="" dxfId="4387">
      <formula>$F1162:K2287="pp"</formula>
    </cfRule>
  </conditionalFormatting>
  <conditionalFormatting sqref="G1202:I1208">
    <cfRule type="expression" priority="4378" aboveAverage="0" equalAverage="0" bottom="0" percent="0" rank="0" text="" dxfId="4388">
      <formula>$F1202:K2290="pp"</formula>
    </cfRule>
  </conditionalFormatting>
  <conditionalFormatting sqref="G1209:I1219">
    <cfRule type="expression" priority="4379" aboveAverage="0" equalAverage="0" bottom="0" percent="0" rank="0" text="" dxfId="4389">
      <formula>$F1209:K2291="pp"</formula>
    </cfRule>
  </conditionalFormatting>
  <conditionalFormatting sqref="G1220:I1226">
    <cfRule type="expression" priority="4380" aboveAverage="0" equalAverage="0" bottom="0" percent="0" rank="0" text="" dxfId="4390">
      <formula>$F1220:K2296="pp"</formula>
    </cfRule>
  </conditionalFormatting>
  <conditionalFormatting sqref="G1228:I1230 O1249:O1263">
    <cfRule type="expression" priority="4381" aboveAverage="0" equalAverage="0" bottom="0" percent="0" rank="0" text="" dxfId="4391">
      <formula>$F1228:K2282="pp"</formula>
    </cfRule>
  </conditionalFormatting>
  <conditionalFormatting sqref="G1238:I1248">
    <cfRule type="expression" priority="4382" aboveAverage="0" equalAverage="0" bottom="0" percent="0" rank="0" text="" dxfId="4392">
      <formula>$F1238:K2284="pp"</formula>
    </cfRule>
  </conditionalFormatting>
  <conditionalFormatting sqref="G1267:I1269">
    <cfRule type="expression" priority="4383" aboveAverage="0" equalAverage="0" bottom="0" percent="0" rank="0" text="" dxfId="4393">
      <formula>$F1267:K2292="pp"</formula>
    </cfRule>
  </conditionalFormatting>
  <conditionalFormatting sqref="G1271:I1275">
    <cfRule type="expression" priority="4384" aboveAverage="0" equalAverage="0" bottom="0" percent="0" rank="0" text="" dxfId="4394">
      <formula>$F1271:K2285="pp"</formula>
    </cfRule>
  </conditionalFormatting>
  <conditionalFormatting sqref="G1293:I1295">
    <cfRule type="expression" priority="4385" aboveAverage="0" equalAverage="0" bottom="0" percent="0" rank="0" text="" dxfId="4395">
      <formula>$F1293:K2287="pp"</formula>
    </cfRule>
  </conditionalFormatting>
  <conditionalFormatting sqref="G1303:I1310">
    <cfRule type="expression" priority="4386" aboveAverage="0" equalAverage="0" bottom="0" percent="0" rank="0" text="" dxfId="4396">
      <formula>$F1303:K2285="pp"</formula>
    </cfRule>
  </conditionalFormatting>
  <conditionalFormatting sqref="G1311:I1315">
    <cfRule type="expression" priority="4387" aboveAverage="0" equalAverage="0" bottom="0" percent="0" rank="0" text="" dxfId="4397">
      <formula>$F1311:K2288="pp"</formula>
    </cfRule>
  </conditionalFormatting>
  <conditionalFormatting sqref="G1325:I1328 O1347:O1349">
    <cfRule type="expression" priority="4388" aboveAverage="0" equalAverage="0" bottom="0" percent="0" rank="0" text="" dxfId="4398">
      <formula>$F1325:K2268="pp"</formula>
    </cfRule>
  </conditionalFormatting>
  <conditionalFormatting sqref="G1347:I1348">
    <cfRule type="expression" priority="4389" aboveAverage="0" equalAverage="0" bottom="0" percent="0" rank="0" text="" dxfId="4399">
      <formula>$F1347:K2275="pp"</formula>
    </cfRule>
  </conditionalFormatting>
  <conditionalFormatting sqref="G1434:I1435 E1449:E1450">
    <cfRule type="expression" priority="4390" aboveAverage="0" equalAverage="0" bottom="0" percent="0" rank="0" text="" dxfId="4400">
      <formula>$F1434:I2302="pp"</formula>
    </cfRule>
  </conditionalFormatting>
  <conditionalFormatting sqref="G1442:I1448">
    <cfRule type="expression" priority="4391" aboveAverage="0" equalAverage="0" bottom="0" percent="0" rank="0" text="" dxfId="4401">
      <formula>$F1442:K2301="pp"</formula>
    </cfRule>
  </conditionalFormatting>
  <conditionalFormatting sqref="G1472:I1473 G1476:I1479">
    <cfRule type="expression" priority="4392" aboveAverage="0" equalAverage="0" bottom="0" percent="0" rank="0" text="" dxfId="4402">
      <formula>$F1472:K2299="pp"</formula>
    </cfRule>
  </conditionalFormatting>
  <conditionalFormatting sqref="G1560:I1562">
    <cfRule type="expression" priority="4393" aboveAverage="0" equalAverage="0" bottom="0" percent="0" rank="0" text="" dxfId="4403">
      <formula>$F1560:K2317="pp"</formula>
    </cfRule>
  </conditionalFormatting>
  <conditionalFormatting sqref="G1563:I1564">
    <cfRule type="expression" priority="4394" aboveAverage="0" equalAverage="0" bottom="0" percent="0" rank="0" text="" dxfId="4404">
      <formula>$F1563:K2322="pp"</formula>
    </cfRule>
  </conditionalFormatting>
  <conditionalFormatting sqref="G1570:I1572">
    <cfRule type="expression" priority="4395" aboveAverage="0" equalAverage="0" bottom="0" percent="0" rank="0" text="" dxfId="4405">
      <formula>$F1570:K2309="pp"</formula>
    </cfRule>
  </conditionalFormatting>
  <conditionalFormatting sqref="G1591:I1595">
    <cfRule type="expression" priority="4396" aboveAverage="0" equalAverage="0" bottom="0" percent="0" rank="0" text="" dxfId="4406">
      <formula>$F1591:K2305="pp"</formula>
    </cfRule>
  </conditionalFormatting>
  <conditionalFormatting sqref="G1661:I1664 E1666:E1675 F1726:F1764">
    <cfRule type="expression" priority="4397" aboveAverage="0" equalAverage="0" bottom="0" percent="0" rank="0" text="" dxfId="4407">
      <formula>$F1661:I2312="pp"</formula>
    </cfRule>
  </conditionalFormatting>
  <conditionalFormatting sqref="G1666:I1675 O1678:O1679">
    <cfRule type="expression" priority="4398" aboveAverage="0" equalAverage="0" bottom="0" percent="0" rank="0" text="" dxfId="4408">
      <formula>$F1666:K2307="pp"</formula>
    </cfRule>
  </conditionalFormatting>
  <conditionalFormatting sqref="G1694:I1695 G1697:I1699 E1707:E1715 O1718:O1720">
    <cfRule type="expression" priority="4399" aboveAverage="0" equalAverage="0" bottom="0" percent="0" rank="0" text="" dxfId="4409">
      <formula>$F1694:I2304="pp"</formula>
    </cfRule>
  </conditionalFormatting>
  <conditionalFormatting sqref="G1703:I1704 F1771:F1776">
    <cfRule type="expression" priority="4400" aboveAverage="0" equalAverage="0" bottom="0" percent="0" rank="0" text="" dxfId="4410">
      <formula>$F1703:J2309="pp"</formula>
    </cfRule>
  </conditionalFormatting>
  <conditionalFormatting sqref="G1718:I1720">
    <cfRule type="expression" priority="4401" aboveAverage="0" equalAverage="0" bottom="0" percent="0" rank="0" text="" dxfId="4411">
      <formula>$F1718:K2313="pp"</formula>
    </cfRule>
  </conditionalFormatting>
  <conditionalFormatting sqref="G1726:I1745 O1746:O1760">
    <cfRule type="expression" priority="4402" aboveAverage="0" equalAverage="0" bottom="0" percent="0" rank="0" text="" dxfId="4412">
      <formula>$F1726:K2302="pp"</formula>
    </cfRule>
  </conditionalFormatting>
  <conditionalFormatting sqref="G1746:I1760 O1761:O1767">
    <cfRule type="expression" priority="4403" aboveAverage="0" equalAverage="0" bottom="0" percent="0" rank="0" text="" dxfId="4413">
      <formula>$F1746:K2307="pp"</formula>
    </cfRule>
  </conditionalFormatting>
  <conditionalFormatting sqref="G1835:I1836">
    <cfRule type="expression" priority="4404" aboveAverage="0" equalAverage="0" bottom="0" percent="0" rank="0" text="" dxfId="4414">
      <formula>$F1835:K2320="pp"</formula>
    </cfRule>
  </conditionalFormatting>
  <conditionalFormatting sqref="G1837:I1844">
    <cfRule type="expression" priority="4405" aboveAverage="0" equalAverage="0" bottom="0" percent="0" rank="0" text="" dxfId="4415">
      <formula>$F1837:K2316="pp"</formula>
    </cfRule>
  </conditionalFormatting>
  <conditionalFormatting sqref="G1880:I1881">
    <cfRule type="expression" priority="4406" aboveAverage="0" equalAverage="0" bottom="0" percent="0" rank="0" text="" dxfId="4416">
      <formula>$F1880:K2329="pp"</formula>
    </cfRule>
  </conditionalFormatting>
  <conditionalFormatting sqref="G1896:I1903">
    <cfRule type="expression" priority="4407" aboveAverage="0" equalAverage="0" bottom="0" percent="0" rank="0" text="" dxfId="4417">
      <formula>$F1896:K2308="pp"</formula>
    </cfRule>
  </conditionalFormatting>
  <conditionalFormatting sqref="G1946:I1948">
    <cfRule type="expression" priority="4408" aboveAverage="0" equalAverage="0" bottom="0" percent="0" rank="0" text="" dxfId="4418">
      <formula>$F1946:K2322="pp"</formula>
    </cfRule>
  </conditionalFormatting>
  <conditionalFormatting sqref="G1977:I1980">
    <cfRule type="expression" priority="4409" aboveAverage="0" equalAverage="0" bottom="0" percent="0" rank="0" text="" dxfId="4419">
      <formula>$F1977:K2322="pp"</formula>
    </cfRule>
  </conditionalFormatting>
  <conditionalFormatting sqref="G2001:I2004">
    <cfRule type="expression" priority="4410" aboveAverage="0" equalAverage="0" bottom="0" percent="0" rank="0" text="" dxfId="4420">
      <formula>$F2001:K2312="pp"</formula>
    </cfRule>
  </conditionalFormatting>
  <conditionalFormatting sqref="J142:J143 A142:D143 L142:L143">
    <cfRule type="expression" priority="4411" aboveAverage="0" equalAverage="0" bottom="0" percent="0" rank="0" text="" dxfId="4421">
      <formula>$F142:F2276="pp"</formula>
    </cfRule>
  </conditionalFormatting>
  <conditionalFormatting sqref="J160:J161 A160:D161 L160:L161 K162:K172 M162:N172">
    <cfRule type="expression" priority="4412" aboveAverage="0" equalAverage="0" bottom="0" percent="0" rank="0" text="" dxfId="4422">
      <formula>$F160:F2274="pp"</formula>
    </cfRule>
  </conditionalFormatting>
  <conditionalFormatting sqref="J186:J188 A186:D188 L186:L188">
    <cfRule type="expression" priority="4413" aboveAverage="0" equalAverage="0" bottom="0" percent="0" rank="0" text="" dxfId="4423">
      <formula>$F186:F2263="pp"</formula>
    </cfRule>
  </conditionalFormatting>
  <conditionalFormatting sqref="J239:J246 B239:B246 L239:L246">
    <cfRule type="expression" priority="4414" aboveAverage="0" equalAverage="0" bottom="0" percent="0" rank="0" text="" dxfId="4424">
      <formula>$F239:G2264="pp"</formula>
    </cfRule>
  </conditionalFormatting>
  <conditionalFormatting sqref="J267:J268 B267:B268 L267:L268">
    <cfRule type="expression" priority="4415" aboveAverage="0" equalAverage="0" bottom="0" percent="0" rank="0" text="" dxfId="4425">
      <formula>$F267:G2285="pp"</formula>
    </cfRule>
  </conditionalFormatting>
  <conditionalFormatting sqref="J301:J303 B301:B303 L301:L303">
    <cfRule type="expression" priority="4416" aboveAverage="0" equalAverage="0" bottom="0" percent="0" rank="0" text="" dxfId="4426">
      <formula>$F301:G2286="pp"</formula>
    </cfRule>
  </conditionalFormatting>
  <conditionalFormatting sqref="J307:J310 B307:B310 L307:L310 K322:K323 M322:N323">
    <cfRule type="expression" priority="4417" aboveAverage="0" equalAverage="0" bottom="0" percent="0" rank="0" text="" dxfId="4427">
      <formula>$F307:G2286="pp"</formula>
    </cfRule>
  </conditionalFormatting>
  <conditionalFormatting sqref="J343:J345 A343:D345 L343:L345">
    <cfRule type="expression" priority="4418" aboveAverage="0" equalAverage="0" bottom="0" percent="0" rank="0" text="" dxfId="4428">
      <formula>$F343:F2498="pp"</formula>
    </cfRule>
  </conditionalFormatting>
  <conditionalFormatting sqref="J362:J368 C353:D361 A362:D363 A364:B366 C364:D371 B367:B368 A367:A371 L362:L368">
    <cfRule type="expression" priority="4419" aboveAverage="0" equalAverage="0" bottom="0" percent="0" rank="0" text="" dxfId="4429">
      <formula>$F353:F2511="pp"</formula>
    </cfRule>
  </conditionalFormatting>
  <conditionalFormatting sqref="J467:J470 B467:B470 A485:A488 L467:L470">
    <cfRule type="expression" priority="4420" aboveAverage="0" equalAverage="0" bottom="0" percent="0" rank="0" text="" dxfId="4430">
      <formula>$F467:F2271="pp"</formula>
    </cfRule>
  </conditionalFormatting>
  <conditionalFormatting sqref="J480:J484 B480:B484 A500:A502 L480:L484">
    <cfRule type="expression" priority="4421" aboveAverage="0" equalAverage="0" bottom="0" percent="0" rank="0" text="" dxfId="4431">
      <formula>$F480:F2270="pp"</formula>
    </cfRule>
  </conditionalFormatting>
  <conditionalFormatting sqref="J540:J542 B540:B542 L540:L542">
    <cfRule type="expression" priority="4422" aboveAverage="0" equalAverage="0" bottom="0" percent="0" rank="0" text="" dxfId="4432">
      <formula>$F540:G2274="pp"</formula>
    </cfRule>
  </conditionalFormatting>
  <conditionalFormatting sqref="J570:J571 B570:B571 L570:L571 K600:K602 M600:N602">
    <cfRule type="expression" priority="4423" aboveAverage="0" equalAverage="0" bottom="0" percent="0" rank="0" text="" dxfId="4433">
      <formula>$F570:G2285="pp"</formula>
    </cfRule>
  </conditionalFormatting>
  <conditionalFormatting sqref="J647:J653 B647:B653 L647:L653">
    <cfRule type="expression" priority="4424" aboveAverage="0" equalAverage="0" bottom="0" percent="0" rank="0" text="" dxfId="4434">
      <formula>$F647:G2269="pp"</formula>
    </cfRule>
  </conditionalFormatting>
  <conditionalFormatting sqref="J807:J812 L807:L812 B807:B812">
    <cfRule type="expression" priority="4425" aboveAverage="0" equalAverage="0" bottom="0" percent="0" rank="0" text="" dxfId="4435">
      <formula>$F807:G2272="pp"</formula>
    </cfRule>
  </conditionalFormatting>
  <conditionalFormatting sqref="J836:J839 B836:B839 L836:L839">
    <cfRule type="expression" priority="4426" aboveAverage="0" equalAverage="0" bottom="0" percent="0" rank="0" text="" dxfId="4436">
      <formula>$F836:G2286="pp"</formula>
    </cfRule>
  </conditionalFormatting>
  <conditionalFormatting sqref="J861:J863 L861:L863 K898:K903 M898:N903 B861:B863">
    <cfRule type="expression" priority="4427" aboveAverage="0" equalAverage="0" bottom="0" percent="0" rank="0" text="" dxfId="4437">
      <formula>$F861:G2280="pp"</formula>
    </cfRule>
  </conditionalFormatting>
  <conditionalFormatting sqref="J865:J871 B865:B871 L865:L871">
    <cfRule type="expression" priority="4428" aboveAverage="0" equalAverage="0" bottom="0" percent="0" rank="0" text="" dxfId="4438">
      <formula>$F865:G2287="pp"</formula>
    </cfRule>
  </conditionalFormatting>
  <conditionalFormatting sqref="J939:J948 B939:B948 L939:L948">
    <cfRule type="expression" priority="4429" aboveAverage="0" equalAverage="0" bottom="0" percent="0" rank="0" text="" dxfId="4439">
      <formula>$F939:G2281="pp"</formula>
    </cfRule>
  </conditionalFormatting>
  <conditionalFormatting sqref="J1329:J1333 A1350:A1354 B1329:B1333 L1329:L1333">
    <cfRule type="expression" priority="4430" aboveAverage="0" equalAverage="0" bottom="0" percent="0" rank="0" text="" dxfId="4440">
      <formula>$F1329:F2269="pp"</formula>
    </cfRule>
  </conditionalFormatting>
  <conditionalFormatting sqref="J1340:J1345 B1340:B1345 L1340:L1345">
    <cfRule type="expression" priority="4431" aboveAverage="0" equalAverage="0" bottom="0" percent="0" rank="0" text="" dxfId="4441">
      <formula>$F1340:G2270="pp"</formula>
    </cfRule>
  </conditionalFormatting>
  <conditionalFormatting sqref="J1607:J1610 B1607:B1610 L1607:L1610">
    <cfRule type="expression" priority="4432" aboveAverage="0" equalAverage="0" bottom="0" percent="0" rank="0" text="" dxfId="4442">
      <formula>$F1607:G2300="pp"</formula>
    </cfRule>
  </conditionalFormatting>
  <conditionalFormatting sqref="J1611:J1614 B1611:B1614 L1611:L1614">
    <cfRule type="expression" priority="4433" aboveAverage="0" equalAverage="0" bottom="0" percent="0" rank="0" text="" dxfId="4443">
      <formula>$F1611:G2302="pp"</formula>
    </cfRule>
  </conditionalFormatting>
  <conditionalFormatting sqref="J1616:J1619 B1616:B1619 L1616:L1619">
    <cfRule type="expression" priority="4434" aboveAverage="0" equalAverage="0" bottom="0" percent="0" rank="0" text="" dxfId="4444">
      <formula>$F1616:G2302="pp"</formula>
    </cfRule>
  </conditionalFormatting>
  <conditionalFormatting sqref="J1678:J1679 L1678:L1679 B1678:B1679 A1701:A1702">
    <cfRule type="expression" priority="4435" aboveAverage="0" equalAverage="0" bottom="0" percent="0" rank="0" text="" dxfId="4445">
      <formula>$F1678:F2304="pp"</formula>
    </cfRule>
  </conditionalFormatting>
  <conditionalFormatting sqref="J1682:J1688 A1707:A1715 B1682:B1688 L1682:L1688">
    <cfRule type="expression" priority="4436" aboveAverage="0" equalAverage="0" bottom="0" percent="0" rank="0" text="" dxfId="4446">
      <formula>$F1682:F2300="pp"</formula>
    </cfRule>
  </conditionalFormatting>
  <conditionalFormatting sqref="J1707:J1715 B1707:B1715 L1707:L1715">
    <cfRule type="expression" priority="4437" aboveAverage="0" equalAverage="0" bottom="0" percent="0" rank="0" text="" dxfId="4447">
      <formula>$F1707:G2307="pp"</formula>
    </cfRule>
  </conditionalFormatting>
  <conditionalFormatting sqref="J1780:J1782 L1780:L1782 C1830:D1834 A1804:A1809 B1780:B1782 A1795:A1796">
    <cfRule type="expression" priority="4438" aboveAverage="0" equalAverage="0" bottom="0" percent="0" rank="0" text="" dxfId="4448">
      <formula>$F1780:F2305="pp"</formula>
    </cfRule>
  </conditionalFormatting>
  <conditionalFormatting sqref="J1789:J1790 B1789:B1790 L1789:L1790">
    <cfRule type="expression" priority="4439" aboveAverage="0" equalAverage="0" bottom="0" percent="0" rank="0" text="" dxfId="4449">
      <formula>$F1789:G2306="pp"</formula>
    </cfRule>
  </conditionalFormatting>
  <conditionalFormatting sqref="J1889:J1890 B1889:B1890 L1889:L1890">
    <cfRule type="expression" priority="4440" aboveAverage="0" equalAverage="0" bottom="0" percent="0" rank="0" text="" dxfId="4450">
      <formula>$F1889:G2310="pp"</formula>
    </cfRule>
  </conditionalFormatting>
  <conditionalFormatting sqref="J1904:J1910 B1904:B1910 L1904:L1910">
    <cfRule type="expression" priority="4441" aboveAverage="0" equalAverage="0" bottom="0" percent="0" rank="0" text="" dxfId="4451">
      <formula>$F1904:G2311="pp"</formula>
    </cfRule>
  </conditionalFormatting>
  <conditionalFormatting sqref="K142:K150">
    <cfRule type="expression" priority="4442" aboveAverage="0" equalAverage="0" bottom="0" percent="0" rank="0" text="" dxfId="4452">
      <formula>$F142:P2292="pp"</formula>
    </cfRule>
  </conditionalFormatting>
  <conditionalFormatting sqref="K176:K177 M176:N177">
    <cfRule type="expression" priority="4443" aboveAverage="0" equalAverage="0" bottom="0" percent="0" rank="0" text="" dxfId="4453">
      <formula>$F176:P2273="pp"</formula>
    </cfRule>
  </conditionalFormatting>
  <conditionalFormatting sqref="K178:K181 M178:N181">
    <cfRule type="expression" priority="4444" aboveAverage="0" equalAverage="0" bottom="0" percent="0" rank="0" text="" dxfId="4454">
      <formula>$F178:P2273="pp"</formula>
    </cfRule>
  </conditionalFormatting>
  <conditionalFormatting sqref="K187:K188 M187:N188">
    <cfRule type="expression" priority="4445" aboveAverage="0" equalAverage="0" bottom="0" percent="0" rank="0" text="" dxfId="4455">
      <formula>$F187:P2276="pp"</formula>
    </cfRule>
  </conditionalFormatting>
  <conditionalFormatting sqref="K201:K203 M201:N203">
    <cfRule type="expression" priority="4446" aboveAverage="0" equalAverage="0" bottom="0" percent="0" rank="0" text="" dxfId="4456">
      <formula>$F201:P2274="pp"</formula>
    </cfRule>
  </conditionalFormatting>
  <conditionalFormatting sqref="K218:K221 M218:N221">
    <cfRule type="expression" priority="4447" aboveAverage="0" equalAverage="0" bottom="0" percent="0" rank="0" text="" dxfId="4457">
      <formula>$F218:P2283="pp"</formula>
    </cfRule>
  </conditionalFormatting>
  <conditionalFormatting sqref="K236:K237 C267:D268 M236:N237">
    <cfRule type="expression" priority="4448" aboveAverage="0" equalAverage="0" bottom="0" percent="0" rank="0" text="" dxfId="4458">
      <formula>$F236:H2288="pp"</formula>
    </cfRule>
  </conditionalFormatting>
  <conditionalFormatting sqref="K276:K278 M276:N279">
    <cfRule type="expression" priority="4449" aboveAverage="0" equalAverage="0" bottom="0" percent="0" rank="0" text="" dxfId="4459">
      <formula>$F276:P2309="pp"</formula>
    </cfRule>
  </conditionalFormatting>
  <conditionalFormatting sqref="K330:K335 M330:N335">
    <cfRule type="expression" priority="4450" aboveAverage="0" equalAverage="0" bottom="0" percent="0" rank="0" text="" dxfId="4460">
      <formula>$F330:P2298="pp"</formula>
    </cfRule>
  </conditionalFormatting>
  <conditionalFormatting sqref="K343:K345">
    <cfRule type="expression" priority="4451" aboveAverage="0" equalAverage="0" bottom="0" percent="0" rank="0" text="" dxfId="4461">
      <formula>$F343:P2525="pp"</formula>
    </cfRule>
  </conditionalFormatting>
  <conditionalFormatting sqref="K353:K356 M353:N356">
    <cfRule type="expression" priority="4452" aboveAverage="0" equalAverage="0" bottom="0" percent="0" rank="0" text="" dxfId="4462">
      <formula>$F353:P2496="pp"</formula>
    </cfRule>
  </conditionalFormatting>
  <conditionalFormatting sqref="K357:K358 M357:N358">
    <cfRule type="expression" priority="4453" aboveAverage="0" equalAverage="0" bottom="0" percent="0" rank="0" text="" dxfId="4463">
      <formula>$F357:P2497="pp"</formula>
    </cfRule>
  </conditionalFormatting>
  <conditionalFormatting sqref="K359:K361 M359:N361 K371:K374 M371:N374">
    <cfRule type="expression" priority="4454" aboveAverage="0" equalAverage="0" bottom="0" percent="0" rank="0" text="" dxfId="4464">
      <formula>$F359:P2507="pp"</formula>
    </cfRule>
  </conditionalFormatting>
  <conditionalFormatting sqref="K369:K370 M369:N370">
    <cfRule type="expression" priority="4455" aboveAverage="0" equalAverage="0" bottom="0" percent="0" rank="0" text="" dxfId="4465">
      <formula>$F369:P2533="pp"</formula>
    </cfRule>
  </conditionalFormatting>
  <conditionalFormatting sqref="K375:K378 M375:N378">
    <cfRule type="expression" priority="4456" aboveAverage="0" equalAverage="0" bottom="0" percent="0" rank="0" text="" dxfId="4466">
      <formula>$F375:P2299="pp"</formula>
    </cfRule>
  </conditionalFormatting>
  <conditionalFormatting sqref="K380:K386">
    <cfRule type="expression" priority="4457" aboveAverage="0" equalAverage="0" bottom="0" percent="0" rank="0" text="" dxfId="4467">
      <formula>$F380:P2558="pp"</formula>
    </cfRule>
  </conditionalFormatting>
  <conditionalFormatting sqref="K430:K431 M430:N431">
    <cfRule type="expression" priority="4458" aboveAverage="0" equalAverage="0" bottom="0" percent="0" rank="0" text="" dxfId="4468">
      <formula>$F430:P2301="pp"</formula>
    </cfRule>
  </conditionalFormatting>
  <conditionalFormatting sqref="K545:K546 A538:A544 C540:D542 B503:B505 M545:N546 J503:J505 L503:L505">
    <cfRule type="expression" priority="4459" aboveAverage="0" equalAverage="0" bottom="0" percent="0" rank="0" text="" dxfId="4469">
      <formula>$F503:F2271="pp"</formula>
    </cfRule>
  </conditionalFormatting>
  <conditionalFormatting sqref="K547:K552 B508:B509 M547:N552 J508:J509 L508:L509">
    <cfRule type="expression" priority="4460" aboveAverage="0" equalAverage="0" bottom="0" percent="0" rank="0" text="" dxfId="4470">
      <formula>$F508:G2272="pp"</formula>
    </cfRule>
  </conditionalFormatting>
  <conditionalFormatting sqref="K577:K581 M577:N581">
    <cfRule type="expression" priority="4461" aboveAverage="0" equalAverage="0" bottom="0" percent="0" rank="0" text="" dxfId="4471">
      <formula>$F577:P2319="pp"</formula>
    </cfRule>
  </conditionalFormatting>
  <conditionalFormatting sqref="K589:K593 M589:N593">
    <cfRule type="expression" priority="4462" aboveAverage="0" equalAverage="0" bottom="0" percent="0" rank="0" text="" dxfId="4472">
      <formula>$F589:P2317="pp"</formula>
    </cfRule>
  </conditionalFormatting>
  <conditionalFormatting sqref="K604:K614 M604:N614">
    <cfRule type="expression" priority="4463" aboveAverage="0" equalAverage="0" bottom="0" percent="0" rank="0" text="" dxfId="4473">
      <formula>$F604:P2308="pp"</formula>
    </cfRule>
  </conditionalFormatting>
  <conditionalFormatting sqref="K683:K684 M683:N684">
    <cfRule type="expression" priority="4464" aboveAverage="0" equalAverage="0" bottom="0" percent="0" rank="0" text="" dxfId="4474">
      <formula>$F683:P2315="pp"</formula>
    </cfRule>
  </conditionalFormatting>
  <conditionalFormatting sqref="K685:K688 M685:N688">
    <cfRule type="expression" priority="4465" aboveAverage="0" equalAverage="0" bottom="0" percent="0" rank="0" text="" dxfId="4475">
      <formula>$F685:P2312="pp"</formula>
    </cfRule>
  </conditionalFormatting>
  <conditionalFormatting sqref="K702:K705 M702:N705 A685:A688">
    <cfRule type="expression" priority="4466" aboveAverage="0" equalAverage="0" bottom="0" percent="0" rank="0" text="" dxfId="4476">
      <formula>$F685:F2293="pp"</formula>
    </cfRule>
  </conditionalFormatting>
  <conditionalFormatting sqref="K748:K752 M748:N752">
    <cfRule type="expression" priority="4467" aboveAverage="0" equalAverage="0" bottom="0" percent="0" rank="0" text="" dxfId="4477">
      <formula>$F748:P2311="pp"</formula>
    </cfRule>
  </conditionalFormatting>
  <conditionalFormatting sqref="K810:K812 M810:N812">
    <cfRule type="expression" priority="4468" aboveAverage="0" equalAverage="0" bottom="0" percent="0" rank="0" text="" dxfId="4478">
      <formula>$F810:P2312="pp"</formula>
    </cfRule>
  </conditionalFormatting>
  <conditionalFormatting sqref="K887:K896 M887:N896">
    <cfRule type="expression" priority="4469" aboveAverage="0" equalAverage="0" bottom="0" percent="0" rank="0" text="" dxfId="4479">
      <formula>$F887:P2322="pp"</formula>
    </cfRule>
  </conditionalFormatting>
  <conditionalFormatting sqref="K1010:K1019 M1010:N1019">
    <cfRule type="expression" priority="4470" aboveAverage="0" equalAverage="0" bottom="0" percent="0" rank="0" text="" dxfId="4480">
      <formula>$F1010:P2316="pp"</formula>
    </cfRule>
  </conditionalFormatting>
  <conditionalFormatting sqref="K1049:K1051 M1049:N1051">
    <cfRule type="expression" priority="4471" aboveAverage="0" equalAverage="0" bottom="0" percent="0" rank="0" text="" dxfId="4481">
      <formula>$F1049:P2328="pp"</formula>
    </cfRule>
  </conditionalFormatting>
  <conditionalFormatting sqref="K1074:K1077 M1074:N1077">
    <cfRule type="expression" priority="4472" aboveAverage="0" equalAverage="0" bottom="0" percent="0" rank="0" text="" dxfId="4482">
      <formula>$F1074:P2309="pp"</formula>
    </cfRule>
  </conditionalFormatting>
  <conditionalFormatting sqref="K1080:K1095 M1080:N1095">
    <cfRule type="expression" priority="4473" aboveAverage="0" equalAverage="0" bottom="0" percent="0" rank="0" text="" dxfId="4483">
      <formula>$F1080:P2309="pp"</formula>
    </cfRule>
  </conditionalFormatting>
  <conditionalFormatting sqref="K1228:K1230 M1228:N1230">
    <cfRule type="expression" priority="4474" aboveAverage="0" equalAverage="0" bottom="0" percent="0" rank="0" text="" dxfId="4484">
      <formula>$F1228:P2319="pp"</formula>
    </cfRule>
  </conditionalFormatting>
  <conditionalFormatting sqref="K1267:K1269 M1267:N1269">
    <cfRule type="expression" priority="4475" aboveAverage="0" equalAverage="0" bottom="0" percent="0" rank="0" text="" dxfId="4485">
      <formula>$F1267:P2329="pp"</formula>
    </cfRule>
  </conditionalFormatting>
  <conditionalFormatting sqref="K1311:K1315 B1271:B1275 M1311:N1315 J1271:J1275 L1271:L1275">
    <cfRule type="expression" priority="4476" aboveAverage="0" equalAverage="0" bottom="0" percent="0" rank="0" text="" dxfId="4486">
      <formula>$F1271:G2285="pp"</formula>
    </cfRule>
  </conditionalFormatting>
  <conditionalFormatting sqref="K1375:K1376 M1375:N1376">
    <cfRule type="expression" priority="4477" aboveAverage="0" equalAverage="0" bottom="0" percent="0" rank="0" text="" dxfId="4487">
      <formula>$F1375:P2313="pp"</formula>
    </cfRule>
  </conditionalFormatting>
  <conditionalFormatting sqref="K1437:K1441 A1401:A1409 C1434:D1435 B1377:B1379 M1437:N1441 J1377:J1379 L1377:L1379">
    <cfRule type="expression" priority="4478" aboveAverage="0" equalAverage="0" bottom="0" percent="0" rank="0" text="" dxfId="4488">
      <formula>$F1377:F2279="pp"</formula>
    </cfRule>
  </conditionalFormatting>
  <conditionalFormatting sqref="K1442:K1448 M1442:N1448">
    <cfRule type="expression" priority="4479" aboveAverage="0" equalAverage="0" bottom="0" percent="0" rank="0" text="" dxfId="4489">
      <formula>$F1442:P2341="pp"</formula>
    </cfRule>
  </conditionalFormatting>
  <conditionalFormatting sqref="K1490:K1495 M1490:N1495">
    <cfRule type="expression" priority="4480" aboveAverage="0" equalAverage="0" bottom="0" percent="0" rank="0" text="" dxfId="4490">
      <formula>$F1490:P2337="pp"</formula>
    </cfRule>
  </conditionalFormatting>
  <conditionalFormatting sqref="K1563:K1564 A1529:A1534 M1563:N1564">
    <cfRule type="expression" priority="4481" aboveAverage="0" equalAverage="0" bottom="0" percent="0" rank="0" text="" dxfId="4491">
      <formula>$F1529:F2325="pp"</formula>
    </cfRule>
  </conditionalFormatting>
  <conditionalFormatting sqref="K1591:K1595 M1591:N1595">
    <cfRule type="expression" priority="4482" aboveAverage="0" equalAverage="0" bottom="0" percent="0" rank="0" text="" dxfId="4492">
      <formula>$F1591:P2342="pp"</formula>
    </cfRule>
  </conditionalFormatting>
  <conditionalFormatting sqref="K1602:K1606 M1602:N1606">
    <cfRule type="expression" priority="4483" aboveAverage="0" equalAverage="0" bottom="0" percent="0" rank="0" text="" dxfId="4493">
      <formula>$F1602:P2336="pp"</formula>
    </cfRule>
  </conditionalFormatting>
  <conditionalFormatting sqref="K1616:K1619 M1616:N1619">
    <cfRule type="expression" priority="4484" aboveAverage="0" equalAverage="0" bottom="0" percent="0" rank="0" text="" dxfId="4494">
      <formula>$F1616:P2339="pp"</formula>
    </cfRule>
  </conditionalFormatting>
  <conditionalFormatting sqref="K1620:K1639 M1620:N1639">
    <cfRule type="expression" priority="4485" aboveAverage="0" equalAverage="0" bottom="0" percent="0" rank="0" text="" dxfId="4495">
      <formula>$F1620:P2338="pp"</formula>
    </cfRule>
  </conditionalFormatting>
  <conditionalFormatting sqref="K1661:K1664 M1661:N1664">
    <cfRule type="expression" priority="4486" aboveAverage="0" equalAverage="0" bottom="0" percent="0" rank="0" text="" dxfId="4496">
      <formula>$F1661:P2349="pp"</formula>
    </cfRule>
  </conditionalFormatting>
  <conditionalFormatting sqref="K1678:K1679 M1678:N1679 J1654:J1660 L1654:L1660 B1654:B1660">
    <cfRule type="expression" priority="4487" aboveAverage="0" equalAverage="0" bottom="0" percent="0" rank="0" text="" dxfId="4497">
      <formula>$F1654:G2317="pp"</formula>
    </cfRule>
  </conditionalFormatting>
  <conditionalFormatting sqref="K1697:K1699 M1697:N1699 K1694:K1695 M1694:N1695">
    <cfRule type="expression" priority="4488" aboveAverage="0" equalAverage="0" bottom="0" percent="0" rank="0" text="" dxfId="4498">
      <formula>$F1694:P2341="pp"</formula>
    </cfRule>
  </conditionalFormatting>
  <conditionalFormatting sqref="K1718:K1720 M1718:N1720">
    <cfRule type="expression" priority="4489" aboveAverage="0" equalAverage="0" bottom="0" percent="0" rank="0" text="" dxfId="4499">
      <formula>$F1718:P2350="pp"</formula>
    </cfRule>
  </conditionalFormatting>
  <conditionalFormatting sqref="K1761:K1767 M1761:N1767">
    <cfRule type="expression" priority="4490" aboveAverage="0" equalAverage="0" bottom="0" percent="0" rank="0" text="" dxfId="4500">
      <formula>$F1761:P2344="pp"</formula>
    </cfRule>
  </conditionalFormatting>
  <conditionalFormatting sqref="K1786:K1788 C1783:D1785 M1786:N1788">
    <cfRule type="expression" priority="4491" aboveAverage="0" equalAverage="0" bottom="0" percent="0" rank="0" text="" dxfId="4501">
      <formula>$F1783:H2339="pp"</formula>
    </cfRule>
  </conditionalFormatting>
  <conditionalFormatting sqref="K1904:K1910 M1904:N1910">
    <cfRule type="expression" priority="4492" aboveAverage="0" equalAverage="0" bottom="0" percent="0" rank="0" text="" dxfId="4502">
      <formula>$F1904:P2348="pp"</formula>
    </cfRule>
  </conditionalFormatting>
  <conditionalFormatting sqref="K1968:K1971 M1968:N1971">
    <cfRule type="expression" priority="4493" aboveAverage="0" equalAverage="0" bottom="0" percent="0" rank="0" text="" dxfId="4503">
      <formula>$F1968:P2367="pp"</formula>
    </cfRule>
  </conditionalFormatting>
  <conditionalFormatting sqref="K2001:K2004 M2001:N2004">
    <cfRule type="expression" priority="4494" aboveAverage="0" equalAverage="0" bottom="0" percent="0" rank="0" text="" dxfId="4504">
      <formula>$F2001:P2349="pp"</formula>
    </cfRule>
  </conditionalFormatting>
  <conditionalFormatting sqref="M142:N143">
    <cfRule type="expression" priority="4495" aboveAverage="0" equalAverage="0" bottom="0" percent="0" rank="0" text="" dxfId="4505">
      <formula>$F142:R2288="pp"</formula>
    </cfRule>
  </conditionalFormatting>
  <conditionalFormatting sqref="M343:N345">
    <cfRule type="expression" priority="4496" aboveAverage="0" equalAverage="0" bottom="0" percent="0" rank="0" text="" dxfId="4506">
      <formula>$F343:R2510="pp"</formula>
    </cfRule>
  </conditionalFormatting>
  <conditionalFormatting sqref="M380:N386">
    <cfRule type="expression" priority="4497" aboveAverage="0" equalAverage="0" bottom="0" percent="0" rank="0" text="" dxfId="4507">
      <formula>$F380:R2554="pp"</formula>
    </cfRule>
  </conditionalFormatting>
  <conditionalFormatting sqref="M939:N948 K939:K949">
    <cfRule type="expression" priority="4498" aboveAverage="0" equalAverage="0" bottom="0" percent="0" rank="0" text="" dxfId="4508">
      <formula>$F939:P2318="pp"</formula>
    </cfRule>
  </conditionalFormatting>
  <conditionalFormatting sqref="M980:N986">
    <cfRule type="expression" priority="4499" aboveAverage="0" equalAverage="0" bottom="0" percent="0" rank="0" text="" dxfId="4509">
      <formula>$F980:R2320="pp"</formula>
    </cfRule>
  </conditionalFormatting>
  <conditionalFormatting sqref="M987:N989 K988:K989">
    <cfRule type="expression" priority="4500" aboveAverage="0" equalAverage="0" bottom="0" percent="0" rank="0" text="" dxfId="4510">
      <formula>$F987:P2319="pp"</formula>
    </cfRule>
  </conditionalFormatting>
  <conditionalFormatting sqref="M1911:N1917 K1911:K1917">
    <cfRule type="expression" priority="4501" aboveAverage="0" equalAverage="0" bottom="0" percent="0" rank="0" text="" dxfId="4511">
      <formula>$F1911:P2348="pp"</formula>
    </cfRule>
  </conditionalFormatting>
  <conditionalFormatting sqref="O142:O143 E142:I143">
    <cfRule type="expression" priority="4502" aboveAverage="0" equalAverage="0" bottom="0" percent="0" rank="0" text="" dxfId="4512">
      <formula>$F142:I2276="pp"</formula>
    </cfRule>
  </conditionalFormatting>
  <conditionalFormatting sqref="O151:O154 E151:I154">
    <cfRule type="expression" priority="4503" aboveAverage="0" equalAverage="0" bottom="0" percent="0" rank="0" text="" dxfId="4513">
      <formula>$F151:I2277="pp"</formula>
    </cfRule>
  </conditionalFormatting>
  <conditionalFormatting sqref="O160:O161 E160:I161">
    <cfRule type="expression" priority="4504" aboveAverage="0" equalAverage="0" bottom="0" percent="0" rank="0" text="" dxfId="4514">
      <formula>$F160:I2274="pp"</formula>
    </cfRule>
  </conditionalFormatting>
  <conditionalFormatting sqref="O173:O174 E173:I174">
    <cfRule type="expression" priority="4505" aboveAverage="0" equalAverage="0" bottom="0" percent="0" rank="0" text="" dxfId="4515">
      <formula>$F173:I2273="pp"</formula>
    </cfRule>
  </conditionalFormatting>
  <conditionalFormatting sqref="O186:O188 E186:I188">
    <cfRule type="expression" priority="4506" aboveAverage="0" equalAverage="0" bottom="0" percent="0" rank="0" text="" dxfId="4516">
      <formula>$F186:I2263="pp"</formula>
    </cfRule>
  </conditionalFormatting>
  <conditionalFormatting sqref="O343:O345 E343:I345 P922:P924">
    <cfRule type="expression" priority="4507" aboveAverage="0" equalAverage="0" bottom="0" percent="0" rank="0" text="" dxfId="4517">
      <formula>$F343:I2498="pp"</formula>
    </cfRule>
  </conditionalFormatting>
  <conditionalFormatting sqref="O471:O475 F500:F502">
    <cfRule type="expression" priority="4508" aboveAverage="0" equalAverage="0" bottom="0" percent="0" rank="0" text="" dxfId="4518">
      <formula>$F471:J2282="pp"</formula>
    </cfRule>
  </conditionalFormatting>
  <conditionalFormatting sqref="O477:O478 F503:F505">
    <cfRule type="expression" priority="4509" aboveAverage="0" equalAverage="0" bottom="0" percent="0" rank="0" text="" dxfId="4519">
      <formula>$F477:J2284="pp"</formula>
    </cfRule>
  </conditionalFormatting>
  <conditionalFormatting sqref="O494:O499">
    <cfRule type="expression" priority="4510" aboveAverage="0" equalAverage="0" bottom="0" percent="0" rank="0" text="" dxfId="4520">
      <formula>$F494:S2288="pp"</formula>
    </cfRule>
  </conditionalFormatting>
  <conditionalFormatting sqref="O596:O599">
    <cfRule type="expression" priority="4511" aboveAverage="0" equalAverage="0" bottom="0" percent="0" rank="0" text="" dxfId="4521">
      <formula>$F596:S2293="pp"</formula>
    </cfRule>
  </conditionalFormatting>
  <conditionalFormatting sqref="O643:O655">
    <cfRule type="expression" priority="4512" aboveAverage="0" equalAverage="0" bottom="0" percent="0" rank="0" text="" dxfId="4522">
      <formula>$F643:S2283="pp"</formula>
    </cfRule>
  </conditionalFormatting>
  <conditionalFormatting sqref="O708:O712">
    <cfRule type="expression" priority="4513" aboveAverage="0" equalAverage="0" bottom="0" percent="0" rank="0" text="" dxfId="4523">
      <formula>$F708:S2288="pp"</formula>
    </cfRule>
  </conditionalFormatting>
  <conditionalFormatting sqref="O741:O747 G726:I727">
    <cfRule type="expression" priority="4514" aboveAverage="0" equalAverage="0" bottom="0" percent="0" rank="0" text="" dxfId="4524">
      <formula>$F726:K2274="pp"</formula>
    </cfRule>
  </conditionalFormatting>
  <conditionalFormatting sqref="O759:O766">
    <cfRule type="expression" priority="4515" aboveAverage="0" equalAverage="0" bottom="0" percent="0" rank="0" text="" dxfId="4525">
      <formula>$F759:S2286="pp"</formula>
    </cfRule>
  </conditionalFormatting>
  <conditionalFormatting sqref="O771:O776">
    <cfRule type="expression" priority="4516" aboveAverage="0" equalAverage="0" bottom="0" percent="0" rank="0" text="" dxfId="4526">
      <formula>$F771:S2290="pp"</formula>
    </cfRule>
  </conditionalFormatting>
  <conditionalFormatting sqref="O778:O782">
    <cfRule type="expression" priority="4517" aboveAverage="0" equalAverage="0" bottom="0" percent="0" rank="0" text="" dxfId="4527">
      <formula>$F778:S2287="pp"</formula>
    </cfRule>
  </conditionalFormatting>
  <conditionalFormatting sqref="O787:O801">
    <cfRule type="expression" priority="4518" aboveAverage="0" equalAverage="0" bottom="0" percent="0" rank="0" text="" dxfId="4528">
      <formula>$F787:S2289="pp"</formula>
    </cfRule>
  </conditionalFormatting>
  <conditionalFormatting sqref="O932:O937">
    <cfRule type="expression" priority="4519" aboveAverage="0" equalAverage="0" bottom="0" percent="0" rank="0" text="" dxfId="4529">
      <formula>$F932:S2296="pp"</formula>
    </cfRule>
  </conditionalFormatting>
  <conditionalFormatting sqref="O960:O964">
    <cfRule type="expression" priority="4520" aboveAverage="0" equalAverage="0" bottom="0" percent="0" rank="0" text="" dxfId="4530">
      <formula>$F960:S2294="pp"</formula>
    </cfRule>
  </conditionalFormatting>
  <conditionalFormatting sqref="O980:O986">
    <cfRule type="expression" priority="4521" aboveAverage="0" equalAverage="0" bottom="0" percent="0" rank="0" text="" dxfId="4531">
      <formula>$F980:S2298="pp"</formula>
    </cfRule>
  </conditionalFormatting>
  <conditionalFormatting sqref="O1046:O1048">
    <cfRule type="expression" priority="4522" aboveAverage="0" equalAverage="0" bottom="0" percent="0" rank="0" text="" dxfId="4532">
      <formula>$F1046:S2312="pp"</formula>
    </cfRule>
  </conditionalFormatting>
  <conditionalFormatting sqref="O1099:O1114">
    <cfRule type="expression" priority="4523" aboveAverage="0" equalAverage="0" bottom="0" percent="0" rank="0" text="" dxfId="4533">
      <formula>$F1099:S2302="pp"</formula>
    </cfRule>
  </conditionalFormatting>
  <conditionalFormatting sqref="O1176:O1185 O1171:O1174 G1143:I1145">
    <cfRule type="expression" priority="4524" aboveAverage="0" equalAverage="0" bottom="0" percent="0" rank="0" text="" dxfId="4534">
      <formula>$F1143:K2277="pp"</formula>
    </cfRule>
  </conditionalFormatting>
  <conditionalFormatting sqref="O1301:O1302">
    <cfRule type="expression" priority="4525" aboveAverage="0" equalAverage="0" bottom="0" percent="0" rank="0" text="" dxfId="4535">
      <formula>$F1301:S2302="pp"</formula>
    </cfRule>
  </conditionalFormatting>
  <conditionalFormatting sqref="O1311:O1315">
    <cfRule type="expression" priority="4526" aboveAverage="0" equalAverage="0" bottom="0" percent="0" rank="0" text="" dxfId="4536">
      <formula>$F1311:S2303="pp"</formula>
    </cfRule>
  </conditionalFormatting>
  <conditionalFormatting sqref="O1340:O1345 E1335:E1339">
    <cfRule type="expression" priority="4527" aboveAverage="0" equalAverage="0" bottom="0" percent="0" rank="0" text="" dxfId="4537">
      <formula>$F1335:I2280="pp"</formula>
    </cfRule>
  </conditionalFormatting>
  <conditionalFormatting sqref="O1395:O1400">
    <cfRule type="expression" priority="4528" aboveAverage="0" equalAverage="0" bottom="0" percent="0" rank="0" text="" dxfId="4538">
      <formula>$F1395:S2300="pp"</formula>
    </cfRule>
  </conditionalFormatting>
  <conditionalFormatting sqref="O1437:O1441 E1428:E1433">
    <cfRule type="expression" priority="4529" aboveAverage="0" equalAverage="0" bottom="0" percent="0" rank="0" text="" dxfId="4539">
      <formula>$F1428:I2308="pp"</formula>
    </cfRule>
  </conditionalFormatting>
  <conditionalFormatting sqref="O1451:O1453 G1428:I1433">
    <cfRule type="expression" priority="4530" aboveAverage="0" equalAverage="0" bottom="0" percent="0" rank="0" text="" dxfId="4540">
      <formula>$F1428:K2298="pp"</formula>
    </cfRule>
  </conditionalFormatting>
  <conditionalFormatting sqref="O1472:O1473 O1476:O1479">
    <cfRule type="expression" priority="4531" aboveAverage="0" equalAverage="0" bottom="0" percent="0" rank="0" text="" dxfId="4541">
      <formula>$F1472:S2314="pp"</formula>
    </cfRule>
  </conditionalFormatting>
  <conditionalFormatting sqref="O1486:O1488 G1461:I1465">
    <cfRule type="expression" priority="4532" aboveAverage="0" equalAverage="0" bottom="0" percent="0" rank="0" text="" dxfId="4542">
      <formula>$F1461:K2296="pp"</formula>
    </cfRule>
  </conditionalFormatting>
  <conditionalFormatting sqref="O1490:O1495">
    <cfRule type="expression" priority="4533" aboveAverage="0" equalAverage="0" bottom="0" percent="0" rank="0" text="" dxfId="4543">
      <formula>$F1490:S2315="pp"</formula>
    </cfRule>
  </conditionalFormatting>
  <conditionalFormatting sqref="O1501:O1502 O1497:O1498 E1490:E1495 G1486:I1488">
    <cfRule type="expression" priority="4534" aboveAverage="0" equalAverage="0" bottom="0" percent="0" rank="0" text="" dxfId="4544">
      <formula>$F1486:I2306="pp"</formula>
    </cfRule>
  </conditionalFormatting>
  <conditionalFormatting sqref="O1570:O1572">
    <cfRule type="expression" priority="4535" aboveAverage="0" equalAverage="0" bottom="0" percent="0" rank="0" text="" dxfId="4545">
      <formula>$F1570:S2324="pp"</formula>
    </cfRule>
  </conditionalFormatting>
  <conditionalFormatting sqref="O1574:O1576">
    <cfRule type="expression" priority="4536" aboveAverage="0" equalAverage="0" bottom="0" percent="0" rank="0" text="" dxfId="4546">
      <formula>$F1574:S2326="pp"</formula>
    </cfRule>
  </conditionalFormatting>
  <conditionalFormatting sqref="O1578:O1590">
    <cfRule type="expression" priority="4537" aboveAverage="0" equalAverage="0" bottom="0" percent="0" rank="0" text="" dxfId="4547">
      <formula>$F1578:S2320="pp"</formula>
    </cfRule>
  </conditionalFormatting>
  <conditionalFormatting sqref="O1654:O1660">
    <cfRule type="expression" priority="4538" aboveAverage="0" equalAverage="0" bottom="0" percent="0" rank="0" text="" dxfId="4548">
      <formula>$F1654:S2332="pp"</formula>
    </cfRule>
  </conditionalFormatting>
  <conditionalFormatting sqref="O1661:O1664">
    <cfRule type="expression" priority="4539" aboveAverage="0" equalAverage="0" bottom="0" percent="0" rank="0" text="" dxfId="4549">
      <formula>$F1661:S2327="pp"</formula>
    </cfRule>
  </conditionalFormatting>
  <conditionalFormatting sqref="O1666:O1675">
    <cfRule type="expression" priority="4540" aboveAverage="0" equalAverage="0" bottom="0" percent="0" rank="0" text="" dxfId="4550">
      <formula>$F1666:S2322="pp"</formula>
    </cfRule>
  </conditionalFormatting>
  <conditionalFormatting sqref="O1705:O1709 E1697:E1699 E1694:E1695">
    <cfRule type="expression" priority="4541" aboveAverage="0" equalAverage="0" bottom="0" percent="0" rank="0" text="" dxfId="4551">
      <formula>$F1694:I2314="pp"</formula>
    </cfRule>
  </conditionalFormatting>
  <conditionalFormatting sqref="O1716:O1717">
    <cfRule type="expression" priority="4542" aboveAverage="0" equalAverage="0" bottom="0" percent="0" rank="0" text="" dxfId="4552">
      <formula>$F1716:S2329="pp"</formula>
    </cfRule>
  </conditionalFormatting>
  <conditionalFormatting sqref="O1770:O1776">
    <cfRule type="expression" priority="4543" aboveAverage="0" equalAverage="0" bottom="0" percent="0" rank="0" text="" dxfId="4553">
      <formula>$F1770:S2318="pp"</formula>
    </cfRule>
  </conditionalFormatting>
  <conditionalFormatting sqref="O1804:O1809 G1783:I1785 O1795:O1796">
    <cfRule type="expression" priority="4544" aboveAverage="0" equalAverage="0" bottom="0" percent="0" rank="0" text="" dxfId="4554">
      <formula>$F1783:K2305="pp"</formula>
    </cfRule>
  </conditionalFormatting>
  <conditionalFormatting sqref="O1845:O1865 F1902:F1903">
    <cfRule type="expression" priority="4545" aboveAverage="0" equalAverage="0" bottom="0" percent="0" rank="0" text="" dxfId="4555">
      <formula>$F1845:J2332="pp"</formula>
    </cfRule>
  </conditionalFormatting>
  <conditionalFormatting sqref="O1873:O1879 O1866:O1868">
    <cfRule type="expression" priority="4546" aboveAverage="0" equalAverage="0" bottom="0" percent="0" rank="0" text="" dxfId="4556">
      <formula>$F1866:S2340="pp"</formula>
    </cfRule>
  </conditionalFormatting>
  <conditionalFormatting sqref="O1880:O1881">
    <cfRule type="expression" priority="4547" aboveAverage="0" equalAverage="0" bottom="0" percent="0" rank="0" text="" dxfId="4557">
      <formula>$F1880:S2344="pp"</formula>
    </cfRule>
  </conditionalFormatting>
  <conditionalFormatting sqref="O1911:O1917 G1891:I1895">
    <cfRule type="expression" priority="4548" aboveAverage="0" equalAverage="0" bottom="0" percent="0" rank="0" text="" dxfId="4558">
      <formula>$F1891:K2306="pp"</formula>
    </cfRule>
  </conditionalFormatting>
  <conditionalFormatting sqref="O1922:O1924 G1911:I1917">
    <cfRule type="expression" priority="4549" aboveAverage="0" equalAverage="0" bottom="0" percent="0" rank="0" text="" dxfId="4559">
      <formula>$F1911:K2311="pp"</formula>
    </cfRule>
  </conditionalFormatting>
  <conditionalFormatting sqref="O1946:O1948">
    <cfRule type="expression" priority="4550" aboveAverage="0" equalAverage="0" bottom="0" percent="0" rank="0" text="" dxfId="4560">
      <formula>$F1946:S2337="pp"</formula>
    </cfRule>
  </conditionalFormatting>
  <conditionalFormatting sqref="O1951:O1953">
    <cfRule type="expression" priority="4551" aboveAverage="0" equalAverage="0" bottom="0" percent="0" rank="0" text="" dxfId="4561">
      <formula>$F1951:S2338="pp"</formula>
    </cfRule>
  </conditionalFormatting>
  <conditionalFormatting sqref="O1960:O1961">
    <cfRule type="expression" priority="4552" aboveAverage="0" equalAverage="0" bottom="0" percent="0" rank="0" text="" dxfId="4562">
      <formula>$F1960:S2343="pp"</formula>
    </cfRule>
  </conditionalFormatting>
  <conditionalFormatting sqref="O1977:O1980 E1974:E1976">
    <cfRule type="expression" priority="4553" aboveAverage="0" equalAverage="0" bottom="0" percent="0" rank="0" text="" dxfId="4563">
      <formula>$F1974:I2334="pp"</formula>
    </cfRule>
  </conditionalFormatting>
  <conditionalFormatting sqref="O1988:O1991">
    <cfRule type="expression" priority="4554" aboveAverage="0" equalAverage="0" bottom="0" percent="0" rank="0" text="" dxfId="4564">
      <formula>$F1988:S2323="pp"</formula>
    </cfRule>
  </conditionalFormatting>
  <conditionalFormatting sqref="P142:P143">
    <cfRule type="expression" priority="4555" aboveAverage="0" equalAverage="0" bottom="0" percent="0" rank="0" text="" dxfId="4565">
      <formula>$F142:T2996="pp"</formula>
    </cfRule>
    <cfRule type="expression" priority="4556" aboveAverage="0" equalAverage="0" bottom="0" percent="0" rank="0" text="" dxfId="4566">
      <formula>$F142:T2279="pp"</formula>
    </cfRule>
  </conditionalFormatting>
  <conditionalFormatting sqref="P151:P154">
    <cfRule type="expression" priority="4557" aboveAverage="0" equalAverage="0" bottom="0" percent="0" rank="0" text="" dxfId="4567">
      <formula>$F151:T2280="pp"</formula>
    </cfRule>
    <cfRule type="expression" priority="4558" aboveAverage="0" equalAverage="0" bottom="0" percent="0" rank="0" text="" dxfId="4568">
      <formula>$F151:T2997="pp"</formula>
    </cfRule>
  </conditionalFormatting>
  <conditionalFormatting sqref="P160:P161">
    <cfRule type="expression" priority="4559" aboveAverage="0" equalAverage="0" bottom="0" percent="0" rank="0" text="" dxfId="4569">
      <formula>$F160:T2994="pp"</formula>
    </cfRule>
    <cfRule type="expression" priority="4560" aboveAverage="0" equalAverage="0" bottom="0" percent="0" rank="0" text="" dxfId="4570">
      <formula>$F160:T2277="pp"</formula>
    </cfRule>
  </conditionalFormatting>
  <conditionalFormatting sqref="P162:P172">
    <cfRule type="expression" priority="4561" aboveAverage="0" equalAverage="0" bottom="0" percent="0" rank="0" text="" dxfId="4571">
      <formula>$F162:T2984="pp"</formula>
    </cfRule>
    <cfRule type="expression" priority="4562" aboveAverage="0" equalAverage="0" bottom="0" percent="0" rank="0" text="" dxfId="4572">
      <formula>$F162:T2267="pp"</formula>
    </cfRule>
  </conditionalFormatting>
  <conditionalFormatting sqref="P173:P175">
    <cfRule type="expression" priority="4563" aboveAverage="0" equalAverage="0" bottom="0" percent="0" rank="0" text="" dxfId="4573">
      <formula>$F173:T2993="pp"</formula>
    </cfRule>
    <cfRule type="expression" priority="4564" aboveAverage="0" equalAverage="0" bottom="0" percent="0" rank="0" text="" dxfId="4574">
      <formula>$F173:T2276="pp"</formula>
    </cfRule>
  </conditionalFormatting>
  <conditionalFormatting sqref="P176:P177">
    <cfRule type="expression" priority="4565" aboveAverage="0" equalAverage="0" bottom="0" percent="0" rank="0" text="" dxfId="4575">
      <formula>$F176:T2981="pp"</formula>
    </cfRule>
    <cfRule type="expression" priority="4566" aboveAverage="0" equalAverage="0" bottom="0" percent="0" rank="0" text="" dxfId="4576">
      <formula>$F176:T2264="pp"</formula>
    </cfRule>
  </conditionalFormatting>
  <conditionalFormatting sqref="P178:P181">
    <cfRule type="expression" priority="4567" aboveAverage="0" equalAverage="0" bottom="0" percent="0" rank="0" text="" dxfId="4577">
      <formula>$F178:T2981="pp"</formula>
    </cfRule>
    <cfRule type="expression" priority="4568" aboveAverage="0" equalAverage="0" bottom="0" percent="0" rank="0" text="" dxfId="4578">
      <formula>$F178:T2264="pp"</formula>
    </cfRule>
  </conditionalFormatting>
  <conditionalFormatting sqref="P182:P185">
    <cfRule type="expression" priority="4569" aboveAverage="0" equalAverage="0" bottom="0" percent="0" rank="0" text="" dxfId="4579">
      <formula>$F182:T3007="pp"</formula>
    </cfRule>
    <cfRule type="expression" priority="4570" aboveAverage="0" equalAverage="0" bottom="0" percent="0" rank="0" text="" dxfId="4580">
      <formula>$F182:T2290="pp"</formula>
    </cfRule>
  </conditionalFormatting>
  <conditionalFormatting sqref="P186:P187">
    <cfRule type="expression" priority="4571" aboveAverage="0" equalAverage="0" bottom="0" percent="0" rank="0" text="" dxfId="4581">
      <formula>$F186:T2985="pp"</formula>
    </cfRule>
    <cfRule type="expression" priority="4572" aboveAverage="0" equalAverage="0" bottom="0" percent="0" rank="0" text="" dxfId="4582">
      <formula>$F186:T2268="pp"</formula>
    </cfRule>
  </conditionalFormatting>
  <conditionalFormatting sqref="P195:P199">
    <cfRule type="expression" priority="4573" aboveAverage="0" equalAverage="0" bottom="0" percent="0" rank="0" text="" dxfId="4583">
      <formula>$F195:T2986="pp"</formula>
    </cfRule>
    <cfRule type="expression" priority="4574" aboveAverage="0" equalAverage="0" bottom="0" percent="0" rank="0" text="" dxfId="4584">
      <formula>$F195:T2269="pp"</formula>
    </cfRule>
  </conditionalFormatting>
  <conditionalFormatting sqref="P201:P203">
    <cfRule type="expression" priority="4575" aboveAverage="0" equalAverage="0" bottom="0" percent="0" rank="0" text="" dxfId="4585">
      <formula>$F201:T2982="pp"</formula>
    </cfRule>
    <cfRule type="expression" priority="4576" aboveAverage="0" equalAverage="0" bottom="0" percent="0" rank="0" text="" dxfId="4586">
      <formula>$F201:T2265="pp"</formula>
    </cfRule>
  </conditionalFormatting>
  <conditionalFormatting sqref="P209:P216">
    <cfRule type="expression" priority="4577" aboveAverage="0" equalAverage="0" bottom="0" percent="0" rank="0" text="" dxfId="4587">
      <formula>$F209:T2984="pp"</formula>
    </cfRule>
  </conditionalFormatting>
  <conditionalFormatting sqref="P218:P221">
    <cfRule type="expression" priority="4578" aboveAverage="0" equalAverage="0" bottom="0" percent="0" rank="0" text="" dxfId="4588">
      <formula>$F218:T2991="pp"</formula>
    </cfRule>
    <cfRule type="expression" priority="4579" aboveAverage="0" equalAverage="0" bottom="0" percent="0" rank="0" text="" dxfId="4589">
      <formula>$F218:T2274="pp"</formula>
    </cfRule>
  </conditionalFormatting>
  <conditionalFormatting sqref="P227:P232">
    <cfRule type="expression" priority="4580" aboveAverage="0" equalAverage="0" bottom="0" percent="0" rank="0" text="" dxfId="4590">
      <formula>$F227:T2992="pp"</formula>
    </cfRule>
    <cfRule type="expression" priority="4581" aboveAverage="0" equalAverage="0" bottom="0" percent="0" rank="0" text="" dxfId="4591">
      <formula>$F227:T2275="pp"</formula>
    </cfRule>
  </conditionalFormatting>
  <conditionalFormatting sqref="P239:P246">
    <cfRule type="expression" priority="4582" aboveAverage="0" equalAverage="0" bottom="0" percent="0" rank="0" text="" dxfId="4592">
      <formula>$F239:T2994="pp"</formula>
    </cfRule>
  </conditionalFormatting>
  <conditionalFormatting sqref="P247:P265">
    <cfRule type="expression" priority="4583" aboveAverage="0" equalAverage="0" bottom="0" percent="0" rank="0" text="" dxfId="4593">
      <formula>$F247:T2280="pp"</formula>
    </cfRule>
    <cfRule type="expression" priority="4584" aboveAverage="0" equalAverage="0" bottom="0" percent="0" rank="0" text="" dxfId="4594">
      <formula>$F247:T2997="pp"</formula>
    </cfRule>
  </conditionalFormatting>
  <conditionalFormatting sqref="P276:P279">
    <cfRule type="expression" priority="4585" aboveAverage="0" equalAverage="0" bottom="0" percent="0" rank="0" text="" dxfId="4595">
      <formula>$F276:T3017="pp"</formula>
    </cfRule>
    <cfRule type="expression" priority="4586" aboveAverage="0" equalAverage="0" bottom="0" percent="0" rank="0" text="" dxfId="4596">
      <formula>$F276:T2300="pp"</formula>
    </cfRule>
  </conditionalFormatting>
  <conditionalFormatting sqref="P280:P282">
    <cfRule type="expression" priority="4587" aboveAverage="0" equalAverage="0" bottom="0" percent="0" rank="0" text="" dxfId="4597">
      <formula>$F280:T3019="pp"</formula>
    </cfRule>
    <cfRule type="expression" priority="4588" aboveAverage="0" equalAverage="0" bottom="0" percent="0" rank="0" text="" dxfId="4598">
      <formula>$F280:T2302="pp"</formula>
    </cfRule>
  </conditionalFormatting>
  <conditionalFormatting sqref="P283:P294">
    <cfRule type="expression" priority="4589" aboveAverage="0" equalAverage="0" bottom="0" percent="0" rank="0" text="" dxfId="4599">
      <formula>$F283:T3018="pp"</formula>
    </cfRule>
    <cfRule type="expression" priority="4590" aboveAverage="0" equalAverage="0" bottom="0" percent="0" rank="0" text="" dxfId="4600">
      <formula>$F283:T2301="pp"</formula>
    </cfRule>
  </conditionalFormatting>
  <conditionalFormatting sqref="P296:P297">
    <cfRule type="expression" priority="4591" aboveAverage="0" equalAverage="0" bottom="0" percent="0" rank="0" text="" dxfId="4601">
      <formula>$F296:T3016="pp"</formula>
    </cfRule>
    <cfRule type="expression" priority="4592" aboveAverage="0" equalAverage="0" bottom="0" percent="0" rank="0" text="" dxfId="4602">
      <formula>$F296:T2299="pp"</formula>
    </cfRule>
  </conditionalFormatting>
  <conditionalFormatting sqref="P298:P300">
    <cfRule type="expression" priority="4593" aboveAverage="0" equalAverage="0" bottom="0" percent="0" rank="0" text="" dxfId="4603">
      <formula>$F298:T3016="pp"</formula>
    </cfRule>
    <cfRule type="expression" priority="4594" aboveAverage="0" equalAverage="0" bottom="0" percent="0" rank="0" text="" dxfId="4604">
      <formula>$F298:T2299="pp"</formula>
    </cfRule>
  </conditionalFormatting>
  <conditionalFormatting sqref="P301:P303">
    <cfRule type="expression" priority="4595" aboveAverage="0" equalAverage="0" bottom="0" percent="0" rank="0" text="" dxfId="4605">
      <formula>$F301:T3016="pp"</formula>
    </cfRule>
    <cfRule type="expression" priority="4596" aboveAverage="0" equalAverage="0" bottom="0" percent="0" rank="0" text="" dxfId="4606">
      <formula>$F301:T2299="pp"</formula>
    </cfRule>
  </conditionalFormatting>
  <conditionalFormatting sqref="P307:P310">
    <cfRule type="expression" priority="4597" aboveAverage="0" equalAverage="0" bottom="0" percent="0" rank="0" text="" dxfId="4607">
      <formula>$F307:T3016="pp"</formula>
    </cfRule>
    <cfRule type="expression" priority="4598" aboveAverage="0" equalAverage="0" bottom="0" percent="0" rank="0" text="" dxfId="4608">
      <formula>$F307:T2299="pp"</formula>
    </cfRule>
  </conditionalFormatting>
  <conditionalFormatting sqref="P311:P316">
    <cfRule type="expression" priority="4599" aboveAverage="0" equalAverage="0" bottom="0" percent="0" rank="0" text="" dxfId="4609">
      <formula>$F311:T3014="pp"</formula>
    </cfRule>
    <cfRule type="expression" priority="4600" aboveAverage="0" equalAverage="0" bottom="0" percent="0" rank="0" text="" dxfId="4610">
      <formula>$F311:T2297="pp"</formula>
    </cfRule>
  </conditionalFormatting>
  <conditionalFormatting sqref="P330:P335">
    <cfRule type="expression" priority="4601" aboveAverage="0" equalAverage="0" bottom="0" percent="0" rank="0" text="" dxfId="4611">
      <formula>$F330:T3006="pp"</formula>
    </cfRule>
    <cfRule type="expression" priority="4602" aboveAverage="0" equalAverage="0" bottom="0" percent="0" rank="0" text="" dxfId="4612">
      <formula>$F330:T2289="pp"</formula>
    </cfRule>
  </conditionalFormatting>
  <conditionalFormatting sqref="P343:P345">
    <cfRule type="expression" priority="4603" aboveAverage="0" equalAverage="0" bottom="0" percent="0" rank="0" text="" dxfId="4613">
      <formula>$F343:T2501="pp"</formula>
    </cfRule>
    <cfRule type="expression" priority="4604" aboveAverage="0" equalAverage="0" bottom="0" percent="0" rank="0" text="" dxfId="4614">
      <formula>$F343:T3218="pp"</formula>
    </cfRule>
  </conditionalFormatting>
  <conditionalFormatting sqref="P357:P358">
    <cfRule type="expression" priority="4605" aboveAverage="0" equalAverage="0" bottom="0" percent="0" rank="0" text="" dxfId="4615">
      <formula>$F357:T3205="pp"</formula>
    </cfRule>
    <cfRule type="expression" priority="4606" aboveAverage="0" equalAverage="0" bottom="0" percent="0" rank="0" text="" dxfId="4616">
      <formula>$F357:T2488="pp"</formula>
    </cfRule>
  </conditionalFormatting>
  <conditionalFormatting sqref="P359:P361 P371:P374">
    <cfRule type="expression" priority="4607" aboveAverage="0" equalAverage="0" bottom="0" percent="0" rank="0" text="" dxfId="4617">
      <formula>$F359:T3215="pp"</formula>
    </cfRule>
    <cfRule type="expression" priority="4608" aboveAverage="0" equalAverage="0" bottom="0" percent="0" rank="0" text="" dxfId="4618">
      <formula>$F359:T2498="pp"</formula>
    </cfRule>
  </conditionalFormatting>
  <conditionalFormatting sqref="P362:P368">
    <cfRule type="expression" priority="4609" aboveAverage="0" equalAverage="0" bottom="0" percent="0" rank="0" text="" dxfId="4619">
      <formula>$F362:T3240="pp"</formula>
    </cfRule>
    <cfRule type="expression" priority="4610" aboveAverage="0" equalAverage="0" bottom="0" percent="0" rank="0" text="" dxfId="4620">
      <formula>$F362:T2523="pp"</formula>
    </cfRule>
  </conditionalFormatting>
  <conditionalFormatting sqref="P369:P370">
    <cfRule type="expression" priority="4611" aboveAverage="0" equalAverage="0" bottom="0" percent="0" rank="0" text="" dxfId="4621">
      <formula>$F369:T3241="pp"</formula>
    </cfRule>
    <cfRule type="expression" priority="4612" aboveAverage="0" equalAverage="0" bottom="0" percent="0" rank="0" text="" dxfId="4622">
      <formula>$F369:T2524="pp"</formula>
    </cfRule>
  </conditionalFormatting>
  <conditionalFormatting sqref="P375:P378">
    <cfRule type="expression" priority="4613" aboveAverage="0" equalAverage="0" bottom="0" percent="0" rank="0" text="" dxfId="4623">
      <formula>$F375:T3007="pp"</formula>
    </cfRule>
    <cfRule type="expression" priority="4614" aboveAverage="0" equalAverage="0" bottom="0" percent="0" rank="0" text="" dxfId="4624">
      <formula>$F375:T2290="pp"</formula>
    </cfRule>
  </conditionalFormatting>
  <conditionalFormatting sqref="P380:P386">
    <cfRule type="expression" priority="4615" aboveAverage="0" equalAverage="0" bottom="0" percent="0" rank="0" text="" dxfId="4625">
      <formula>$F380:T3262="pp"</formula>
    </cfRule>
    <cfRule type="expression" priority="4616" aboveAverage="0" equalAverage="0" bottom="0" percent="0" rank="0" text="" dxfId="4626">
      <formula>$F380:T2545="pp"</formula>
    </cfRule>
  </conditionalFormatting>
  <conditionalFormatting sqref="P387:P395">
    <cfRule type="expression" priority="4617" aboveAverage="0" equalAverage="0" bottom="0" percent="0" rank="0" text="" dxfId="4627">
      <formula>$F387:T3015="pp"</formula>
    </cfRule>
    <cfRule type="expression" priority="4618" aboveAverage="0" equalAverage="0" bottom="0" percent="0" rank="0" text="" dxfId="4628">
      <formula>$F387:T2298="pp"</formula>
    </cfRule>
  </conditionalFormatting>
  <conditionalFormatting sqref="P396:P400 P155:P159">
    <cfRule type="expression" priority="4619" aboveAverage="0" equalAverage="0" bottom="0" percent="0" rank="0" text="" dxfId="4629">
      <formula>$F155:T3000="pp"</formula>
    </cfRule>
    <cfRule type="expression" priority="4620" aboveAverage="0" equalAverage="0" bottom="0" percent="0" rank="0" text="" dxfId="4630">
      <formula>$F155:T2283="pp"</formula>
    </cfRule>
  </conditionalFormatting>
  <conditionalFormatting sqref="P401:P405">
    <cfRule type="expression" priority="4621" aboveAverage="0" equalAverage="0" bottom="0" percent="0" rank="0" text="" dxfId="4631">
      <formula>$F401:T3012="pp"</formula>
    </cfRule>
    <cfRule type="expression" priority="4622" aboveAverage="0" equalAverage="0" bottom="0" percent="0" rank="0" text="" dxfId="4632">
      <formula>$F401:T2295="pp"</formula>
    </cfRule>
  </conditionalFormatting>
  <conditionalFormatting sqref="P409:P411">
    <cfRule type="expression" priority="4623" aboveAverage="0" equalAverage="0" bottom="0" percent="0" rank="0" text="" dxfId="4633">
      <formula>$F409:T3018="pp"</formula>
    </cfRule>
    <cfRule type="expression" priority="4624" aboveAverage="0" equalAverage="0" bottom="0" percent="0" rank="0" text="" dxfId="4634">
      <formula>$F409:T2301="pp"</formula>
    </cfRule>
  </conditionalFormatting>
  <conditionalFormatting sqref="P430:P431">
    <cfRule type="expression" priority="4625" aboveAverage="0" equalAverage="0" bottom="0" percent="0" rank="0" text="" dxfId="4635">
      <formula>$F430:T3009="pp"</formula>
    </cfRule>
    <cfRule type="expression" priority="4626" aboveAverage="0" equalAverage="0" bottom="0" percent="0" rank="0" text="" dxfId="4636">
      <formula>$F430:T2292="pp"</formula>
    </cfRule>
  </conditionalFormatting>
  <conditionalFormatting sqref="P432:P439">
    <cfRule type="expression" priority="4627" aboveAverage="0" equalAverage="0" bottom="0" percent="0" rank="0" text="" dxfId="4637">
      <formula>$F432:T3009="pp"</formula>
    </cfRule>
    <cfRule type="expression" priority="4628" aboveAverage="0" equalAverage="0" bottom="0" percent="0" rank="0" text="" dxfId="4638">
      <formula>$F432:T2292="pp"</formula>
    </cfRule>
  </conditionalFormatting>
  <conditionalFormatting sqref="P467:P470">
    <cfRule type="expression" priority="4629" aboveAverage="0" equalAverage="0" bottom="0" percent="0" rank="0" text="" dxfId="4639">
      <formula>$F467:T3016="pp"</formula>
    </cfRule>
    <cfRule type="expression" priority="4630" aboveAverage="0" equalAverage="0" bottom="0" percent="0" rank="0" text="" dxfId="4640">
      <formula>$F467:T2299="pp"</formula>
    </cfRule>
  </conditionalFormatting>
  <conditionalFormatting sqref="P480:P484">
    <cfRule type="expression" priority="4631" aboveAverage="0" equalAverage="0" bottom="0" percent="0" rank="0" text="" dxfId="4641">
      <formula>$F480:T3015="pp"</formula>
    </cfRule>
    <cfRule type="expression" priority="4632" aboveAverage="0" equalAverage="0" bottom="0" percent="0" rank="0" text="" dxfId="4642">
      <formula>$F480:T2298="pp"</formula>
    </cfRule>
  </conditionalFormatting>
  <conditionalFormatting sqref="P485:P488">
    <cfRule type="expression" priority="4633" aboveAverage="0" equalAverage="0" bottom="0" percent="0" rank="0" text="" dxfId="4643">
      <formula>$F485:T3016="pp"</formula>
    </cfRule>
    <cfRule type="expression" priority="4634" aboveAverage="0" equalAverage="0" bottom="0" percent="0" rank="0" text="" dxfId="4644">
      <formula>$F485:T2299="pp"</formula>
    </cfRule>
  </conditionalFormatting>
  <conditionalFormatting sqref="P494:P499">
    <cfRule type="expression" priority="4635" aboveAverage="0" equalAverage="0" bottom="0" percent="0" rank="0" text="" dxfId="4645">
      <formula>$F494:T3018="pp"</formula>
    </cfRule>
    <cfRule type="expression" priority="4636" aboveAverage="0" equalAverage="0" bottom="0" percent="0" rank="0" text="" dxfId="4646">
      <formula>$F494:T2301="pp"</formula>
    </cfRule>
  </conditionalFormatting>
  <conditionalFormatting sqref="P500:P502">
    <cfRule type="expression" priority="4637" aboveAverage="0" equalAverage="0" bottom="0" percent="0" rank="0" text="" dxfId="4647">
      <formula>$F500:T3018="pp"</formula>
    </cfRule>
    <cfRule type="expression" priority="4638" aboveAverage="0" equalAverage="0" bottom="0" percent="0" rank="0" text="" dxfId="4648">
      <formula>$F500:T2301="pp"</formula>
    </cfRule>
  </conditionalFormatting>
  <conditionalFormatting sqref="P503:P505">
    <cfRule type="expression" priority="4639" aboveAverage="0" equalAverage="0" bottom="0" percent="0" rank="0" text="" dxfId="4649">
      <formula>$F503:T3016="pp"</formula>
    </cfRule>
    <cfRule type="expression" priority="4640" aboveAverage="0" equalAverage="0" bottom="0" percent="0" rank="0" text="" dxfId="4650">
      <formula>$F503:T2299="pp"</formula>
    </cfRule>
  </conditionalFormatting>
  <conditionalFormatting sqref="P534:P537">
    <cfRule type="expression" priority="4641" aboveAverage="0" equalAverage="0" bottom="0" percent="0" rank="0" text="" dxfId="4651">
      <formula>$F534:T3019="pp"</formula>
    </cfRule>
    <cfRule type="expression" priority="4642" aboveAverage="0" equalAverage="0" bottom="0" percent="0" rank="0" text="" dxfId="4652">
      <formula>$F534:T2302="pp"</formula>
    </cfRule>
  </conditionalFormatting>
  <conditionalFormatting sqref="P538:P539">
    <cfRule type="expression" priority="4643" aboveAverage="0" equalAverage="0" bottom="0" percent="0" rank="0" text="" dxfId="4653">
      <formula>$F538:T3021="pp"</formula>
    </cfRule>
    <cfRule type="expression" priority="4644" aboveAverage="0" equalAverage="0" bottom="0" percent="0" rank="0" text="" dxfId="4654">
      <formula>$F538:T2304="pp"</formula>
    </cfRule>
  </conditionalFormatting>
  <conditionalFormatting sqref="P540:P544">
    <cfRule type="expression" priority="4645" aboveAverage="0" equalAverage="0" bottom="0" percent="0" rank="0" text="" dxfId="4655">
      <formula>$F540:T3019="pp"</formula>
    </cfRule>
    <cfRule type="expression" priority="4646" aboveAverage="0" equalAverage="0" bottom="0" percent="0" rank="0" text="" dxfId="4656">
      <formula>$F540:T2302="pp"</formula>
    </cfRule>
  </conditionalFormatting>
  <conditionalFormatting sqref="P545:P546">
    <cfRule type="expression" priority="4647" aboveAverage="0" equalAverage="0" bottom="0" percent="0" rank="0" text="" dxfId="4657">
      <formula>$F545:T3021="pp"</formula>
    </cfRule>
    <cfRule type="expression" priority="4648" aboveAverage="0" equalAverage="0" bottom="0" percent="0" rank="0" text="" dxfId="4658">
      <formula>$F545:T2304="pp"</formula>
    </cfRule>
  </conditionalFormatting>
  <conditionalFormatting sqref="P547:P552">
    <cfRule type="expression" priority="4649" aboveAverage="0" equalAverage="0" bottom="0" percent="0" rank="0" text="" dxfId="4659">
      <formula>$F547:T3019="pp"</formula>
    </cfRule>
    <cfRule type="expression" priority="4650" aboveAverage="0" equalAverage="0" bottom="0" percent="0" rank="0" text="" dxfId="4660">
      <formula>$F547:T2302="pp"</formula>
    </cfRule>
  </conditionalFormatting>
  <conditionalFormatting sqref="P575:P576">
    <cfRule type="expression" priority="4651" aboveAverage="0" equalAverage="0" bottom="0" percent="0" rank="0" text="" dxfId="4661">
      <formula>$F575:T3030="pp"</formula>
    </cfRule>
    <cfRule type="expression" priority="4652" aboveAverage="0" equalAverage="0" bottom="0" percent="0" rank="0" text="" dxfId="4662">
      <formula>$F575:T2313="pp"</formula>
    </cfRule>
  </conditionalFormatting>
  <conditionalFormatting sqref="P577:P581">
    <cfRule type="expression" priority="4653" aboveAverage="0" equalAverage="0" bottom="0" percent="0" rank="0" text="" dxfId="4663">
      <formula>$F577:T3027="pp"</formula>
    </cfRule>
    <cfRule type="expression" priority="4654" aboveAverage="0" equalAverage="0" bottom="0" percent="0" rank="0" text="" dxfId="4664">
      <formula>$F577:T2310="pp"</formula>
    </cfRule>
  </conditionalFormatting>
  <conditionalFormatting sqref="P596:P599">
    <cfRule type="expression" priority="4655" aboveAverage="0" equalAverage="0" bottom="0" percent="0" rank="0" text="" dxfId="4665">
      <formula>$F596:T3023="pp"</formula>
    </cfRule>
    <cfRule type="expression" priority="4656" aboveAverage="0" equalAverage="0" bottom="0" percent="0" rank="0" text="" dxfId="4666">
      <formula>$F596:T2306="pp"</formula>
    </cfRule>
  </conditionalFormatting>
  <conditionalFormatting sqref="P600:P602">
    <cfRule type="expression" priority="4657" aboveAverage="0" equalAverage="0" bottom="0" percent="0" rank="0" text="" dxfId="4667">
      <formula>$F600:T3023="pp"</formula>
    </cfRule>
    <cfRule type="expression" priority="4658" aboveAverage="0" equalAverage="0" bottom="0" percent="0" rank="0" text="" dxfId="4668">
      <formula>$F600:T2306="pp"</formula>
    </cfRule>
  </conditionalFormatting>
  <conditionalFormatting sqref="P604:P614">
    <cfRule type="expression" priority="4659" aboveAverage="0" equalAverage="0" bottom="0" percent="0" rank="0" text="" dxfId="4669">
      <formula>$F604:T3016="pp"</formula>
    </cfRule>
    <cfRule type="expression" priority="4660" aboveAverage="0" equalAverage="0" bottom="0" percent="0" rank="0" text="" dxfId="4670">
      <formula>$F604:T2299="pp"</formula>
    </cfRule>
  </conditionalFormatting>
  <conditionalFormatting sqref="P627:P630">
    <cfRule type="expression" priority="4661" aboveAverage="0" equalAverage="0" bottom="0" percent="0" rank="0" text="" dxfId="4671">
      <formula>$F627:T3017="pp"</formula>
    </cfRule>
    <cfRule type="expression" priority="4662" aboveAverage="0" equalAverage="0" bottom="0" percent="0" rank="0" text="" dxfId="4672">
      <formula>$F627:T2300="pp"</formula>
    </cfRule>
  </conditionalFormatting>
  <conditionalFormatting sqref="P634:P641">
    <cfRule type="expression" priority="4663" aboveAverage="0" equalAverage="0" bottom="0" percent="0" rank="0" text="" dxfId="4673">
      <formula>$F634:T3014="pp"</formula>
    </cfRule>
    <cfRule type="expression" priority="4664" aboveAverage="0" equalAverage="0" bottom="0" percent="0" rank="0" text="" dxfId="4674">
      <formula>$F634:T2297="pp"</formula>
    </cfRule>
  </conditionalFormatting>
  <conditionalFormatting sqref="P643:P655">
    <cfRule type="expression" priority="4665" aboveAverage="0" equalAverage="0" bottom="0" percent="0" rank="0" text="" dxfId="4675">
      <formula>$F643:T3013="pp"</formula>
    </cfRule>
    <cfRule type="expression" priority="4666" aboveAverage="0" equalAverage="0" bottom="0" percent="0" rank="0" text="" dxfId="4676">
      <formula>$F643:T2296="pp"</formula>
    </cfRule>
  </conditionalFormatting>
  <conditionalFormatting sqref="P676:P681">
    <cfRule type="expression" priority="4667" aboveAverage="0" equalAverage="0" bottom="0" percent="0" rank="0" text="" dxfId="4677">
      <formula>$F676:T3018="pp"</formula>
    </cfRule>
    <cfRule type="expression" priority="4668" aboveAverage="0" equalAverage="0" bottom="0" percent="0" rank="0" text="" dxfId="4678">
      <formula>$F676:T2301="pp"</formula>
    </cfRule>
  </conditionalFormatting>
  <conditionalFormatting sqref="P683:P684">
    <cfRule type="expression" priority="4669" aboveAverage="0" equalAverage="0" bottom="0" percent="0" rank="0" text="" dxfId="4679">
      <formula>$F683:T3023="pp"</formula>
    </cfRule>
    <cfRule type="expression" priority="4670" aboveAverage="0" equalAverage="0" bottom="0" percent="0" rank="0" text="" dxfId="4680">
      <formula>$F683:T2306="pp"</formula>
    </cfRule>
  </conditionalFormatting>
  <conditionalFormatting sqref="P685:P688">
    <cfRule type="expression" priority="4671" aboveAverage="0" equalAverage="0" bottom="0" percent="0" rank="0" text="" dxfId="4681">
      <formula>$F685:T3020="pp"</formula>
    </cfRule>
    <cfRule type="expression" priority="4672" aboveAverage="0" equalAverage="0" bottom="0" percent="0" rank="0" text="" dxfId="4682">
      <formula>$F685:T2303="pp"</formula>
    </cfRule>
  </conditionalFormatting>
  <conditionalFormatting sqref="P689:P691">
    <cfRule type="expression" priority="4673" aboveAverage="0" equalAverage="0" bottom="0" percent="0" rank="0" text="" dxfId="4683">
      <formula>$F689:T3020="pp"</formula>
    </cfRule>
    <cfRule type="expression" priority="4674" aboveAverage="0" equalAverage="0" bottom="0" percent="0" rank="0" text="" dxfId="4684">
      <formula>$F689:T2303="pp"</formula>
    </cfRule>
  </conditionalFormatting>
  <conditionalFormatting sqref="P692:P696">
    <cfRule type="expression" priority="4675" aboveAverage="0" equalAverage="0" bottom="0" percent="0" rank="0" text="" dxfId="4685">
      <formula>$F692:T3015="pp"</formula>
    </cfRule>
  </conditionalFormatting>
  <conditionalFormatting sqref="P697:P701">
    <cfRule type="expression" priority="4676" aboveAverage="0" equalAverage="0" bottom="0" percent="0" rank="0" text="" dxfId="4686">
      <formula>$F697:T3017="pp"</formula>
    </cfRule>
    <cfRule type="expression" priority="4677" aboveAverage="0" equalAverage="0" bottom="0" percent="0" rank="0" text="" dxfId="4687">
      <formula>$F697:T2300="pp"</formula>
    </cfRule>
  </conditionalFormatting>
  <conditionalFormatting sqref="P702:P705">
    <cfRule type="expression" priority="4678" aboveAverage="0" equalAverage="0" bottom="0" percent="0" rank="0" text="" dxfId="4688">
      <formula>$F702:T3018="pp"</formula>
    </cfRule>
    <cfRule type="expression" priority="4679" aboveAverage="0" equalAverage="0" bottom="0" percent="0" rank="0" text="" dxfId="4689">
      <formula>$F702:T2301="pp"</formula>
    </cfRule>
  </conditionalFormatting>
  <conditionalFormatting sqref="P706:P707">
    <cfRule type="expression" priority="4680" aboveAverage="0" equalAverage="0" bottom="0" percent="0" rank="0" text="" dxfId="4690">
      <formula>$F706:T3020="pp"</formula>
    </cfRule>
    <cfRule type="expression" priority="4681" aboveAverage="0" equalAverage="0" bottom="0" percent="0" rank="0" text="" dxfId="4691">
      <formula>$F706:T2303="pp"</formula>
    </cfRule>
  </conditionalFormatting>
  <conditionalFormatting sqref="P708:P712">
    <cfRule type="expression" priority="4682" aboveAverage="0" equalAverage="0" bottom="0" percent="0" rank="0" text="" dxfId="4692">
      <formula>$F708:T3018="pp"</formula>
    </cfRule>
    <cfRule type="expression" priority="4683" aboveAverage="0" equalAverage="0" bottom="0" percent="0" rank="0" text="" dxfId="4693">
      <formula>$F708:T2301="pp"</formula>
    </cfRule>
  </conditionalFormatting>
  <conditionalFormatting sqref="P713:P716">
    <cfRule type="expression" priority="4684" aboveAverage="0" equalAverage="0" bottom="0" percent="0" rank="0" text="" dxfId="4694">
      <formula>$F713:T3018="pp"</formula>
    </cfRule>
    <cfRule type="expression" priority="4685" aboveAverage="0" equalAverage="0" bottom="0" percent="0" rank="0" text="" dxfId="4695">
      <formula>$F713:T2301="pp"</formula>
    </cfRule>
  </conditionalFormatting>
  <conditionalFormatting sqref="P722:P724">
    <cfRule type="expression" priority="4686" aboveAverage="0" equalAverage="0" bottom="0" percent="0" rank="0" text="" dxfId="4696">
      <formula>$F722:T3019="pp"</formula>
    </cfRule>
    <cfRule type="expression" priority="4687" aboveAverage="0" equalAverage="0" bottom="0" percent="0" rank="0" text="" dxfId="4697">
      <formula>$F722:T2302="pp"</formula>
    </cfRule>
  </conditionalFormatting>
  <conditionalFormatting sqref="P733:P735">
    <cfRule type="expression" priority="4688" aboveAverage="0" equalAverage="0" bottom="0" percent="0" rank="0" text="" dxfId="4698">
      <formula>$F733:T3021="pp"</formula>
    </cfRule>
    <cfRule type="expression" priority="4689" aboveAverage="0" equalAverage="0" bottom="0" percent="0" rank="0" text="" dxfId="4699">
      <formula>$F733:T2304="pp"</formula>
    </cfRule>
  </conditionalFormatting>
  <conditionalFormatting sqref="P737:P739">
    <cfRule type="expression" priority="4690" aboveAverage="0" equalAverage="0" bottom="0" percent="0" rank="0" text="" dxfId="4700">
      <formula>$F737:T3013="pp"</formula>
    </cfRule>
    <cfRule type="expression" priority="4691" aboveAverage="0" equalAverage="0" bottom="0" percent="0" rank="0" text="" dxfId="4701">
      <formula>$F737:T2296="pp"</formula>
    </cfRule>
  </conditionalFormatting>
  <conditionalFormatting sqref="P748:P752">
    <cfRule type="expression" priority="4692" aboveAverage="0" equalAverage="0" bottom="0" percent="0" rank="0" text="" dxfId="4702">
      <formula>$F748:T3019="pp"</formula>
    </cfRule>
    <cfRule type="expression" priority="4693" aboveAverage="0" equalAverage="0" bottom="0" percent="0" rank="0" text="" dxfId="4703">
      <formula>$F748:T2302="pp"</formula>
    </cfRule>
  </conditionalFormatting>
  <conditionalFormatting sqref="P754:P758">
    <cfRule type="expression" priority="4694" aboveAverage="0" equalAverage="0" bottom="0" percent="0" rank="0" text="" dxfId="4704">
      <formula>$F754:T3015="pp"</formula>
    </cfRule>
    <cfRule type="expression" priority="4695" aboveAverage="0" equalAverage="0" bottom="0" percent="0" rank="0" text="" dxfId="4705">
      <formula>$F754:T2298="pp"</formula>
    </cfRule>
  </conditionalFormatting>
  <conditionalFormatting sqref="P759:P766">
    <cfRule type="expression" priority="4696" aboveAverage="0" equalAverage="0" bottom="0" percent="0" rank="0" text="" dxfId="4706">
      <formula>$F759:T3016="pp"</formula>
    </cfRule>
    <cfRule type="expression" priority="4697" aboveAverage="0" equalAverage="0" bottom="0" percent="0" rank="0" text="" dxfId="4707">
      <formula>$F759:T2299="pp"</formula>
    </cfRule>
  </conditionalFormatting>
  <conditionalFormatting sqref="P778:P782">
    <cfRule type="expression" priority="4698" aboveAverage="0" equalAverage="0" bottom="0" percent="0" rank="0" text="" dxfId="4708">
      <formula>$F778:T3017="pp"</formula>
    </cfRule>
    <cfRule type="expression" priority="4699" aboveAverage="0" equalAverage="0" bottom="0" percent="0" rank="0" text="" dxfId="4709">
      <formula>$F778:T2300="pp"</formula>
    </cfRule>
  </conditionalFormatting>
  <conditionalFormatting sqref="P789:P802">
    <cfRule type="expression" priority="4700" aboveAverage="0" equalAverage="0" bottom="0" percent="0" rank="0" text="" dxfId="4710">
      <formula>$F789:T3021="pp"</formula>
    </cfRule>
    <cfRule type="expression" priority="4701" aboveAverage="0" equalAverage="0" bottom="0" percent="0" rank="0" text="" dxfId="4711">
      <formula>$F789:T2304="pp"</formula>
    </cfRule>
  </conditionalFormatting>
  <conditionalFormatting sqref="P803:P809">
    <cfRule type="expression" priority="4702" aboveAverage="0" equalAverage="0" bottom="0" percent="0" rank="0" text="" dxfId="4712">
      <formula>$F803:T3023="pp"</formula>
    </cfRule>
    <cfRule type="expression" priority="4703" aboveAverage="0" equalAverage="0" bottom="0" percent="0" rank="0" text="" dxfId="4713">
      <formula>$F803:T2306="pp"</formula>
    </cfRule>
  </conditionalFormatting>
  <conditionalFormatting sqref="P810:P812">
    <cfRule type="expression" priority="4704" aboveAverage="0" equalAverage="0" bottom="0" percent="0" rank="0" text="" dxfId="4714">
      <formula>$F810:T3020="pp"</formula>
    </cfRule>
    <cfRule type="expression" priority="4705" aboveAverage="0" equalAverage="0" bottom="0" percent="0" rank="0" text="" dxfId="4715">
      <formula>$F810:T2303="pp"</formula>
    </cfRule>
  </conditionalFormatting>
  <conditionalFormatting sqref="P819:P829">
    <cfRule type="expression" priority="4706" aboveAverage="0" equalAverage="0" bottom="0" percent="0" rank="0" text="" dxfId="4716">
      <formula>$F819:T3022="pp"</formula>
    </cfRule>
    <cfRule type="expression" priority="4707" aboveAverage="0" equalAverage="0" bottom="0" percent="0" rank="0" text="" dxfId="4717">
      <formula>$F819:T2305="pp"</formula>
    </cfRule>
  </conditionalFormatting>
  <conditionalFormatting sqref="P836:P839">
    <cfRule type="expression" priority="4708" aboveAverage="0" equalAverage="0" bottom="0" percent="0" rank="0" text="" dxfId="4718">
      <formula>$F836:T3031="pp"</formula>
    </cfRule>
    <cfRule type="expression" priority="4709" aboveAverage="0" equalAverage="0" bottom="0" percent="0" rank="0" text="" dxfId="4719">
      <formula>$F836:T2314="pp"</formula>
    </cfRule>
  </conditionalFormatting>
  <conditionalFormatting sqref="P841:P847">
    <cfRule type="expression" priority="4710" aboveAverage="0" equalAverage="0" bottom="0" percent="0" rank="0" text="" dxfId="4720">
      <formula>$F841:T3032="pp"</formula>
    </cfRule>
    <cfRule type="expression" priority="4711" aboveAverage="0" equalAverage="0" bottom="0" percent="0" rank="0" text="" dxfId="4721">
      <formula>$F841:T2315="pp"</formula>
    </cfRule>
  </conditionalFormatting>
  <conditionalFormatting sqref="P849:P851 P855:P856">
    <cfRule type="expression" priority="4712" aboveAverage="0" equalAverage="0" bottom="0" percent="0" rank="0" text="" dxfId="4722">
      <formula>$F849:T3035="pp"</formula>
    </cfRule>
  </conditionalFormatting>
  <conditionalFormatting sqref="P881:P882">
    <cfRule type="expression" priority="4713" aboveAverage="0" equalAverage="0" bottom="0" percent="0" rank="0" text="" dxfId="4723">
      <formula>$F881:T3030="pp"</formula>
    </cfRule>
    <cfRule type="expression" priority="4714" aboveAverage="0" equalAverage="0" bottom="0" percent="0" rank="0" text="" dxfId="4724">
      <formula>$F881:T2313="pp"</formula>
    </cfRule>
  </conditionalFormatting>
  <conditionalFormatting sqref="P887:P896">
    <cfRule type="expression" priority="4715" aboveAverage="0" equalAverage="0" bottom="0" percent="0" rank="0" text="" dxfId="4725">
      <formula>$F887:T3030="pp"</formula>
    </cfRule>
    <cfRule type="expression" priority="4716" aboveAverage="0" equalAverage="0" bottom="0" percent="0" rank="0" text="" dxfId="4726">
      <formula>$F887:T2313="pp"</formula>
    </cfRule>
  </conditionalFormatting>
  <conditionalFormatting sqref="P898:P905">
    <cfRule type="expression" priority="4717" aboveAverage="0" equalAverage="0" bottom="0" percent="0" rank="0" text="" dxfId="4727">
      <formula>$F898:T3025="pp"</formula>
    </cfRule>
    <cfRule type="expression" priority="4718" aboveAverage="0" equalAverage="0" bottom="0" percent="0" rank="0" text="" dxfId="4728">
      <formula>$F898:T2308="pp"</formula>
    </cfRule>
  </conditionalFormatting>
  <conditionalFormatting sqref="P907:P908 P913:P915">
    <cfRule type="expression" priority="4719" aboveAverage="0" equalAverage="0" bottom="0" percent="0" rank="0" text="" dxfId="4729">
      <formula>$F907:T3026="pp"</formula>
    </cfRule>
    <cfRule type="expression" priority="4720" aboveAverage="0" equalAverage="0" bottom="0" percent="0" rank="0" text="" dxfId="4730">
      <formula>$F907:T2309="pp"</formula>
    </cfRule>
  </conditionalFormatting>
  <conditionalFormatting sqref="P909:P912 P916:P918 E157:I159 O157:O159">
    <cfRule type="expression" priority="4721" aboveAverage="0" equalAverage="0" bottom="0" percent="0" rank="0" text="" dxfId="4731">
      <formula>$F157:I2275="pp"</formula>
    </cfRule>
  </conditionalFormatting>
  <conditionalFormatting sqref="P916:P918 P909:P912">
    <cfRule type="expression" priority="4722" aboveAverage="0" equalAverage="0" bottom="0" percent="0" rank="0" text="" dxfId="4732">
      <formula>$F909:T2310="pp"</formula>
    </cfRule>
  </conditionalFormatting>
  <conditionalFormatting sqref="P925:P926">
    <cfRule type="expression" priority="4723" aboveAverage="0" equalAverage="0" bottom="0" percent="0" rank="0" text="" dxfId="4733">
      <formula>$F925:T3026="pp"</formula>
    </cfRule>
    <cfRule type="expression" priority="4724" aboveAverage="0" equalAverage="0" bottom="0" percent="0" rank="0" text="" dxfId="4734">
      <formula>$F925:T2309="pp"</formula>
    </cfRule>
  </conditionalFormatting>
  <conditionalFormatting sqref="P939:P948">
    <cfRule type="expression" priority="4725" aboveAverage="0" equalAverage="0" bottom="0" percent="0" rank="0" text="" dxfId="4735">
      <formula>$F939:T3026="pp"</formula>
    </cfRule>
    <cfRule type="expression" priority="4726" aboveAverage="0" equalAverage="0" bottom="0" percent="0" rank="0" text="" dxfId="4736">
      <formula>$F939:T2309="pp"</formula>
    </cfRule>
  </conditionalFormatting>
  <conditionalFormatting sqref="P950:P959">
    <cfRule type="expression" priority="4727" aboveAverage="0" equalAverage="0" bottom="0" percent="0" rank="0" text="" dxfId="4737">
      <formula>$F950:T3020="pp"</formula>
    </cfRule>
    <cfRule type="expression" priority="4728" aboveAverage="0" equalAverage="0" bottom="0" percent="0" rank="0" text="" dxfId="4738">
      <formula>$F950:T2303="pp"</formula>
    </cfRule>
  </conditionalFormatting>
  <conditionalFormatting sqref="P980:P986">
    <cfRule type="expression" priority="4729" aboveAverage="0" equalAverage="0" bottom="0" percent="0" rank="0" text="" dxfId="4739">
      <formula>$F980:T3028="pp"</formula>
    </cfRule>
    <cfRule type="expression" priority="4730" aboveAverage="0" equalAverage="0" bottom="0" percent="0" rank="0" text="" dxfId="4740">
      <formula>$F980:T2311="pp"</formula>
    </cfRule>
  </conditionalFormatting>
  <conditionalFormatting sqref="P987:P989">
    <cfRule type="expression" priority="4731" aboveAverage="0" equalAverage="0" bottom="0" percent="0" rank="0" text="" dxfId="4741">
      <formula>$F987:T3027="pp"</formula>
    </cfRule>
    <cfRule type="expression" priority="4732" aboveAverage="0" equalAverage="0" bottom="0" percent="0" rank="0" text="" dxfId="4742">
      <formula>$F987:T2310="pp"</formula>
    </cfRule>
  </conditionalFormatting>
  <conditionalFormatting sqref="P1004:P1006">
    <cfRule type="expression" priority="4733" aboveAverage="0" equalAverage="0" bottom="0" percent="0" rank="0" text="" dxfId="4743">
      <formula>$F1004:T3026="pp"</formula>
    </cfRule>
    <cfRule type="expression" priority="4734" aboveAverage="0" equalAverage="0" bottom="0" percent="0" rank="0" text="" dxfId="4744">
      <formula>$F1004:T2309="pp"</formula>
    </cfRule>
  </conditionalFormatting>
  <conditionalFormatting sqref="P1027:P1030">
    <cfRule type="expression" priority="4735" aboveAverage="0" equalAverage="0" bottom="0" percent="0" rank="0" text="" dxfId="4745">
      <formula>$F1027:T3032="pp"</formula>
    </cfRule>
    <cfRule type="expression" priority="4736" aboveAverage="0" equalAverage="0" bottom="0" percent="0" rank="0" text="" dxfId="4746">
      <formula>$F1027:T2315="pp"</formula>
    </cfRule>
  </conditionalFormatting>
  <conditionalFormatting sqref="P1046:P1048">
    <cfRule type="expression" priority="4737" aboveAverage="0" equalAverage="0" bottom="0" percent="0" rank="0" text="" dxfId="4747">
      <formula>$F1046:T3042="pp"</formula>
    </cfRule>
    <cfRule type="expression" priority="4738" aboveAverage="0" equalAverage="0" bottom="0" percent="0" rank="0" text="" dxfId="4748">
      <formula>$F1046:T2325="pp"</formula>
    </cfRule>
  </conditionalFormatting>
  <conditionalFormatting sqref="P1049:P1051">
    <cfRule type="expression" priority="4739" aboveAverage="0" equalAverage="0" bottom="0" percent="0" rank="0" text="" dxfId="4749">
      <formula>$F1049:T3036="pp"</formula>
    </cfRule>
    <cfRule type="expression" priority="4740" aboveAverage="0" equalAverage="0" bottom="0" percent="0" rank="0" text="" dxfId="4750">
      <formula>$F1049:T2319="pp"</formula>
    </cfRule>
  </conditionalFormatting>
  <conditionalFormatting sqref="P1060:P1072">
    <cfRule type="expression" priority="4741" aboveAverage="0" equalAverage="0" bottom="0" percent="0" rank="0" text="" dxfId="4751">
      <formula>$F1060:T3020="pp"</formula>
    </cfRule>
    <cfRule type="expression" priority="4742" aboveAverage="0" equalAverage="0" bottom="0" percent="0" rank="0" text="" dxfId="4752">
      <formula>$F1060:T2303="pp"</formula>
    </cfRule>
  </conditionalFormatting>
  <conditionalFormatting sqref="P1074:P1077">
    <cfRule type="expression" priority="4743" aboveAverage="0" equalAverage="0" bottom="0" percent="0" rank="0" text="" dxfId="4753">
      <formula>$F1074:T3017="pp"</formula>
    </cfRule>
    <cfRule type="expression" priority="4744" aboveAverage="0" equalAverage="0" bottom="0" percent="0" rank="0" text="" dxfId="4754">
      <formula>$F1074:T2300="pp"</formula>
    </cfRule>
  </conditionalFormatting>
  <conditionalFormatting sqref="P1078:P1079">
    <cfRule type="expression" priority="4745" aboveAverage="0" equalAverage="0" bottom="0" percent="0" rank="0" text="" dxfId="4755">
      <formula>$F1078:T3017="pp"</formula>
    </cfRule>
    <cfRule type="expression" priority="4746" aboveAverage="0" equalAverage="0" bottom="0" percent="0" rank="0" text="" dxfId="4756">
      <formula>$F1078:T2300="pp"</formula>
    </cfRule>
  </conditionalFormatting>
  <conditionalFormatting sqref="P1099:P1114">
    <cfRule type="expression" priority="4747" aboveAverage="0" equalAverage="0" bottom="0" percent="0" rank="0" text="" dxfId="4757">
      <formula>$F1099:T3032="pp"</formula>
    </cfRule>
    <cfRule type="expression" priority="4748" aboveAverage="0" equalAverage="0" bottom="0" percent="0" rank="0" text="" dxfId="4758">
      <formula>$F1099:T2315="pp"</formula>
    </cfRule>
  </conditionalFormatting>
  <conditionalFormatting sqref="P1116:P1118">
    <cfRule type="expression" priority="4749" aboveAverage="0" equalAverage="0" bottom="0" percent="0" rank="0" text="" dxfId="4759">
      <formula>$F1116:T3018="pp"</formula>
    </cfRule>
    <cfRule type="expression" priority="4750" aboveAverage="0" equalAverage="0" bottom="0" percent="0" rank="0" text="" dxfId="4760">
      <formula>$F1116:T2301="pp"</formula>
    </cfRule>
  </conditionalFormatting>
  <conditionalFormatting sqref="P1119:P1125">
    <cfRule type="expression" priority="4751" aboveAverage="0" equalAverage="0" bottom="0" percent="0" rank="0" text="" dxfId="4761">
      <formula>$F1119:T3019="pp"</formula>
    </cfRule>
    <cfRule type="expression" priority="4752" aboveAverage="0" equalAverage="0" bottom="0" percent="0" rank="0" text="" dxfId="4762">
      <formula>$F1119:T2302="pp"</formula>
    </cfRule>
  </conditionalFormatting>
  <conditionalFormatting sqref="P1126:P1129">
    <cfRule type="expression" priority="4753" aboveAverage="0" equalAverage="0" bottom="0" percent="0" rank="0" text="" dxfId="4763">
      <formula>$F1126:T3021="pp"</formula>
    </cfRule>
    <cfRule type="expression" priority="4754" aboveAverage="0" equalAverage="0" bottom="0" percent="0" rank="0" text="" dxfId="4764">
      <formula>$F1126:T2304="pp"</formula>
    </cfRule>
  </conditionalFormatting>
  <conditionalFormatting sqref="P1137:P1142">
    <cfRule type="expression" priority="4755" aboveAverage="0" equalAverage="0" bottom="0" percent="0" rank="0" text="" dxfId="4765">
      <formula>$F1137:T3022="pp"</formula>
    </cfRule>
    <cfRule type="expression" priority="4756" aboveAverage="0" equalAverage="0" bottom="0" percent="0" rank="0" text="" dxfId="4766">
      <formula>$F1137:T2305="pp"</formula>
    </cfRule>
  </conditionalFormatting>
  <conditionalFormatting sqref="P1162:P1170">
    <cfRule type="expression" priority="4757" aboveAverage="0" equalAverage="0" bottom="0" percent="0" rank="0" text="" dxfId="4767">
      <formula>$F1162:T3032="pp"</formula>
    </cfRule>
    <cfRule type="expression" priority="4758" aboveAverage="0" equalAverage="0" bottom="0" percent="0" rank="0" text="" dxfId="4768">
      <formula>$F1162:T2315="pp"</formula>
    </cfRule>
  </conditionalFormatting>
  <conditionalFormatting sqref="P1171:P1174 P1176:P1185">
    <cfRule type="expression" priority="4759" aboveAverage="0" equalAverage="0" bottom="0" percent="0" rank="0" text="" dxfId="4769">
      <formula>$F1171:T3035="pp"</formula>
    </cfRule>
    <cfRule type="expression" priority="4760" aboveAverage="0" equalAverage="0" bottom="0" percent="0" rank="0" text="" dxfId="4770">
      <formula>$F1171:T2318="pp"</formula>
    </cfRule>
  </conditionalFormatting>
  <conditionalFormatting sqref="P1198:P1201">
    <cfRule type="expression" priority="4761" aboveAverage="0" equalAverage="0" bottom="0" percent="0" rank="0" text="" dxfId="4771">
      <formula>$F1198:T3048="pp"</formula>
    </cfRule>
    <cfRule type="expression" priority="4762" aboveAverage="0" equalAverage="0" bottom="0" percent="0" rank="0" text="" dxfId="4772">
      <formula>$F1198:T2331="pp"</formula>
    </cfRule>
  </conditionalFormatting>
  <conditionalFormatting sqref="P1202:P1208">
    <cfRule type="expression" priority="4763" aboveAverage="0" equalAverage="0" bottom="0" percent="0" rank="0" text="" dxfId="4773">
      <formula>$F1202:T3035="pp"</formula>
    </cfRule>
    <cfRule type="expression" priority="4764" aboveAverage="0" equalAverage="0" bottom="0" percent="0" rank="0" text="" dxfId="4774">
      <formula>$F1202:T2318="pp"</formula>
    </cfRule>
  </conditionalFormatting>
  <conditionalFormatting sqref="P1209:P1219">
    <cfRule type="expression" priority="4765" aboveAverage="0" equalAverage="0" bottom="0" percent="0" rank="0" text="" dxfId="4775">
      <formula>$F1209:T3036="pp"</formula>
    </cfRule>
    <cfRule type="expression" priority="4766" aboveAverage="0" equalAverage="0" bottom="0" percent="0" rank="0" text="" dxfId="4776">
      <formula>$F1209:T2319="pp"</formula>
    </cfRule>
  </conditionalFormatting>
  <conditionalFormatting sqref="P1220:P1226">
    <cfRule type="expression" priority="4767" aboveAverage="0" equalAverage="0" bottom="0" percent="0" rank="0" text="" dxfId="4777">
      <formula>$F1220:T3041="pp"</formula>
    </cfRule>
    <cfRule type="expression" priority="4768" aboveAverage="0" equalAverage="0" bottom="0" percent="0" rank="0" text="" dxfId="4778">
      <formula>$F1220:T2324="pp"</formula>
    </cfRule>
  </conditionalFormatting>
  <conditionalFormatting sqref="P1238:P1248">
    <cfRule type="expression" priority="4769" aboveAverage="0" equalAverage="0" bottom="0" percent="0" rank="0" text="" dxfId="4779">
      <formula>$F1238:T3029="pp"</formula>
    </cfRule>
    <cfRule type="expression" priority="4770" aboveAverage="0" equalAverage="0" bottom="0" percent="0" rank="0" text="" dxfId="4780">
      <formula>$F1238:T2312="pp"</formula>
    </cfRule>
  </conditionalFormatting>
  <conditionalFormatting sqref="P1267:P1269">
    <cfRule type="expression" priority="4771" aboveAverage="0" equalAverage="0" bottom="0" percent="0" rank="0" text="" dxfId="4781">
      <formula>$F1267:T3037="pp"</formula>
    </cfRule>
    <cfRule type="expression" priority="4772" aboveAverage="0" equalAverage="0" bottom="0" percent="0" rank="0" text="" dxfId="4782">
      <formula>$F1267:T2320="pp"</formula>
    </cfRule>
  </conditionalFormatting>
  <conditionalFormatting sqref="P1303:P1310">
    <cfRule type="expression" priority="4773" aboveAverage="0" equalAverage="0" bottom="0" percent="0" rank="0" text="" dxfId="4783">
      <formula>$F1303:T3030="pp"</formula>
    </cfRule>
    <cfRule type="expression" priority="4774" aboveAverage="0" equalAverage="0" bottom="0" percent="0" rank="0" text="" dxfId="4784">
      <formula>$F1303:T2313="pp"</formula>
    </cfRule>
  </conditionalFormatting>
  <conditionalFormatting sqref="P1311:P1315">
    <cfRule type="expression" priority="4775" aboveAverage="0" equalAverage="0" bottom="0" percent="0" rank="0" text="" dxfId="4785">
      <formula>$F1311:T3033="pp"</formula>
    </cfRule>
    <cfRule type="expression" priority="4776" aboveAverage="0" equalAverage="0" bottom="0" percent="0" rank="0" text="" dxfId="4786">
      <formula>$F1311:T2316="pp"</formula>
    </cfRule>
  </conditionalFormatting>
  <conditionalFormatting sqref="P1335:P1339">
    <cfRule type="expression" priority="4777" aboveAverage="0" equalAverage="0" bottom="0" percent="0" rank="0" text="" dxfId="4787">
      <formula>$F1335:T3015="pp"</formula>
    </cfRule>
    <cfRule type="expression" priority="4778" aboveAverage="0" equalAverage="0" bottom="0" percent="0" rank="0" text="" dxfId="4788">
      <formula>$F1335:T2298="pp"</formula>
    </cfRule>
  </conditionalFormatting>
  <conditionalFormatting sqref="P1347:P1349">
    <cfRule type="expression" priority="4779" aboveAverage="0" equalAverage="0" bottom="0" percent="0" rank="0" text="" dxfId="4789">
      <formula>$F1347:T3020="pp"</formula>
    </cfRule>
    <cfRule type="expression" priority="4780" aboveAverage="0" equalAverage="0" bottom="0" percent="0" rank="0" text="" dxfId="4790">
      <formula>$F1347:T2303="pp"</formula>
    </cfRule>
  </conditionalFormatting>
  <conditionalFormatting sqref="P1357:P1366">
    <cfRule type="expression" priority="4781" aboveAverage="0" equalAverage="0" bottom="0" percent="0" rank="0" text="" dxfId="4791">
      <formula>$F1357:T3018="pp"</formula>
    </cfRule>
    <cfRule type="expression" priority="4782" aboveAverage="0" equalAverage="0" bottom="0" percent="0" rank="0" text="" dxfId="4792">
      <formula>$F1357:T2301="pp"</formula>
    </cfRule>
  </conditionalFormatting>
  <conditionalFormatting sqref="P1395:P1400">
    <cfRule type="expression" priority="4783" aboveAverage="0" equalAverage="0" bottom="0" percent="0" rank="0" text="" dxfId="4793">
      <formula>$F1395:T3030="pp"</formula>
    </cfRule>
    <cfRule type="expression" priority="4784" aboveAverage="0" equalAverage="0" bottom="0" percent="0" rank="0" text="" dxfId="4794">
      <formula>$F1395:T2313="pp"</formula>
    </cfRule>
  </conditionalFormatting>
  <conditionalFormatting sqref="P1401:P1407">
    <cfRule type="expression" priority="4785" aboveAverage="0" equalAverage="0" bottom="0" percent="0" rank="0" text="" dxfId="4795">
      <formula>$F1401:T3030="pp"</formula>
    </cfRule>
    <cfRule type="expression" priority="4786" aboveAverage="0" equalAverage="0" bottom="0" percent="0" rank="0" text="" dxfId="4796">
      <formula>$F1401:T2313="pp"</formula>
    </cfRule>
  </conditionalFormatting>
  <conditionalFormatting sqref="P1423:P1425">
    <cfRule type="expression" priority="4787" aboveAverage="0" equalAverage="0" bottom="0" percent="0" rank="0" text="" dxfId="4797">
      <formula>$F1423:T3042="pp"</formula>
    </cfRule>
    <cfRule type="expression" priority="4788" aboveAverage="0" equalAverage="0" bottom="0" percent="0" rank="0" text="" dxfId="4798">
      <formula>$F1423:T2325="pp"</formula>
    </cfRule>
  </conditionalFormatting>
  <conditionalFormatting sqref="P1428:P1433">
    <cfRule type="expression" priority="4789" aboveAverage="0" equalAverage="0" bottom="0" percent="0" rank="0" text="" dxfId="4799">
      <formula>$F1428:T3043="pp"</formula>
    </cfRule>
    <cfRule type="expression" priority="4790" aboveAverage="0" equalAverage="0" bottom="0" percent="0" rank="0" text="" dxfId="4800">
      <formula>$F1428:T2326="pp"</formula>
    </cfRule>
  </conditionalFormatting>
  <conditionalFormatting sqref="P1434:P1435">
    <cfRule type="expression" priority="4791" aboveAverage="0" equalAverage="0" bottom="0" percent="0" rank="0" text="" dxfId="4801">
      <formula>$F1434:T3047="pp"</formula>
    </cfRule>
    <cfRule type="expression" priority="4792" aboveAverage="0" equalAverage="0" bottom="0" percent="0" rank="0" text="" dxfId="4802">
      <formula>$F1434:T2330="pp"</formula>
    </cfRule>
  </conditionalFormatting>
  <conditionalFormatting sqref="P1460:P1463">
    <cfRule type="expression" priority="4793" aboveAverage="0" equalAverage="0" bottom="0" percent="0" rank="0" text="" dxfId="4803">
      <formula>$F1460:T3052="pp"</formula>
    </cfRule>
    <cfRule type="expression" priority="4794" aboveAverage="0" equalAverage="0" bottom="0" percent="0" rank="0" text="" dxfId="4804">
      <formula>$F1460:T2335="pp"</formula>
    </cfRule>
  </conditionalFormatting>
  <conditionalFormatting sqref="P1483:P1485">
    <cfRule type="expression" priority="4795" aboveAverage="0" equalAverage="0" bottom="0" percent="0" rank="0" text="" dxfId="4805">
      <formula>$F1483:T2330="pp"</formula>
    </cfRule>
    <cfRule type="expression" priority="4796" aboveAverage="0" equalAverage="0" bottom="0" percent="0" rank="0" text="" dxfId="4806">
      <formula>$F1483:T3047="pp"</formula>
    </cfRule>
  </conditionalFormatting>
  <conditionalFormatting sqref="P1490:P1495">
    <cfRule type="expression" priority="4797" aboveAverage="0" equalAverage="0" bottom="0" percent="0" rank="0" text="" dxfId="4807">
      <formula>$F1490:T3045="pp"</formula>
    </cfRule>
    <cfRule type="expression" priority="4798" aboveAverage="0" equalAverage="0" bottom="0" percent="0" rank="0" text="" dxfId="4808">
      <formula>$F1490:T2328="pp"</formula>
    </cfRule>
  </conditionalFormatting>
  <conditionalFormatting sqref="P1508:P1509">
    <cfRule type="expression" priority="4799" aboveAverage="0" equalAverage="0" bottom="0" percent="0" rank="0" text="" dxfId="4809">
      <formula>$F1508:T3051="pp"</formula>
    </cfRule>
    <cfRule type="expression" priority="4800" aboveAverage="0" equalAverage="0" bottom="0" percent="0" rank="0" text="" dxfId="4810">
      <formula>$F1508:T2334="pp"</formula>
    </cfRule>
  </conditionalFormatting>
  <conditionalFormatting sqref="P1510:P1513">
    <cfRule type="expression" priority="4801" aboveAverage="0" equalAverage="0" bottom="0" percent="0" rank="0" text="" dxfId="4811">
      <formula>$F1510:T3049="pp"</formula>
    </cfRule>
    <cfRule type="expression" priority="4802" aboveAverage="0" equalAverage="0" bottom="0" percent="0" rank="0" text="" dxfId="4812">
      <formula>$F1510:T2332="pp"</formula>
    </cfRule>
  </conditionalFormatting>
  <conditionalFormatting sqref="P1537:P1538">
    <cfRule type="expression" priority="4803" aboveAverage="0" equalAverage="0" bottom="0" percent="0" rank="0" text="" dxfId="4813">
      <formula>$F1537:T3056="pp"</formula>
    </cfRule>
    <cfRule type="expression" priority="4804" aboveAverage="0" equalAverage="0" bottom="0" percent="0" rank="0" text="" dxfId="4814">
      <formula>$F1537:T2339="pp"</formula>
    </cfRule>
  </conditionalFormatting>
  <conditionalFormatting sqref="P1552:P1559">
    <cfRule type="expression" priority="4805" aboveAverage="0" equalAverage="0" bottom="0" percent="0" rank="0" text="" dxfId="4815">
      <formula>$F1552:T3062="pp"</formula>
    </cfRule>
    <cfRule type="expression" priority="4806" aboveAverage="0" equalAverage="0" bottom="0" percent="0" rank="0" text="" dxfId="4816">
      <formula>$F1552:T2345="pp"</formula>
    </cfRule>
  </conditionalFormatting>
  <conditionalFormatting sqref="P1560:P1562">
    <cfRule type="expression" priority="4807" aboveAverage="0" equalAverage="0" bottom="0" percent="0" rank="0" text="" dxfId="4817">
      <formula>$F1560:T3062="pp"</formula>
    </cfRule>
    <cfRule type="expression" priority="4808" aboveAverage="0" equalAverage="0" bottom="0" percent="0" rank="0" text="" dxfId="4818">
      <formula>$F1560:T2345="pp"</formula>
    </cfRule>
  </conditionalFormatting>
  <conditionalFormatting sqref="P1563:P1564">
    <cfRule type="expression" priority="4809" aboveAverage="0" equalAverage="0" bottom="0" percent="0" rank="0" text="" dxfId="4819">
      <formula>$F1563:T3067="pp"</formula>
    </cfRule>
    <cfRule type="expression" priority="4810" aboveAverage="0" equalAverage="0" bottom="0" percent="0" rank="0" text="" dxfId="4820">
      <formula>$F1563:T2350="pp"</formula>
    </cfRule>
  </conditionalFormatting>
  <conditionalFormatting sqref="P1565:P1568">
    <cfRule type="expression" priority="4811" aboveAverage="0" equalAverage="0" bottom="0" percent="0" rank="0" text="" dxfId="4821">
      <formula>$F1565:T3063="pp"</formula>
    </cfRule>
    <cfRule type="expression" priority="4812" aboveAverage="0" equalAverage="0" bottom="0" percent="0" rank="0" text="" dxfId="4822">
      <formula>$F1565:T2346="pp"</formula>
    </cfRule>
  </conditionalFormatting>
  <conditionalFormatting sqref="P1570:P1574">
    <cfRule type="expression" priority="4813" aboveAverage="0" equalAverage="0" bottom="0" percent="0" rank="0" text="" dxfId="4823">
      <formula>$F1570:T3054="pp"</formula>
    </cfRule>
    <cfRule type="expression" priority="4814" aboveAverage="0" equalAverage="0" bottom="0" percent="0" rank="0" text="" dxfId="4824">
      <formula>$F1570:T2337="pp"</formula>
    </cfRule>
  </conditionalFormatting>
  <conditionalFormatting sqref="P1575:P1576">
    <cfRule type="expression" priority="4815" aboveAverage="0" equalAverage="0" bottom="0" percent="0" rank="0" text="" dxfId="4825">
      <formula>$F1575:T3057="pp"</formula>
    </cfRule>
    <cfRule type="expression" priority="4816" aboveAverage="0" equalAverage="0" bottom="0" percent="0" rank="0" text="" dxfId="4826">
      <formula>$F1575:T2340="pp"</formula>
    </cfRule>
  </conditionalFormatting>
  <conditionalFormatting sqref="P1578:P1590">
    <cfRule type="expression" priority="4817" aboveAverage="0" equalAverage="0" bottom="0" percent="0" rank="0" text="" dxfId="4827">
      <formula>$F1578:T3050="pp"</formula>
    </cfRule>
    <cfRule type="expression" priority="4818" aboveAverage="0" equalAverage="0" bottom="0" percent="0" rank="0" text="" dxfId="4828">
      <formula>$F1578:T2333="pp"</formula>
    </cfRule>
  </conditionalFormatting>
  <conditionalFormatting sqref="P1597:P1601">
    <cfRule type="expression" priority="4819" aboveAverage="0" equalAverage="0" bottom="0" percent="0" rank="0" text="" dxfId="4829">
      <formula>$F1597:T3053="pp"</formula>
    </cfRule>
    <cfRule type="expression" priority="4820" aboveAverage="0" equalAverage="0" bottom="0" percent="0" rank="0" text="" dxfId="4830">
      <formula>$F1597:T2336="pp"</formula>
    </cfRule>
  </conditionalFormatting>
  <conditionalFormatting sqref="P1602:P1606">
    <cfRule type="expression" priority="4821" aboveAverage="0" equalAverage="0" bottom="0" percent="0" rank="0" text="" dxfId="4831">
      <formula>$F1602:T3044="pp"</formula>
    </cfRule>
    <cfRule type="expression" priority="4822" aboveAverage="0" equalAverage="0" bottom="0" percent="0" rank="0" text="" dxfId="4832">
      <formula>$F1602:T2327="pp"</formula>
    </cfRule>
  </conditionalFormatting>
  <conditionalFormatting sqref="P1607:P1610">
    <cfRule type="expression" priority="4823" aboveAverage="0" equalAverage="0" bottom="0" percent="0" rank="0" text="" dxfId="4833">
      <formula>$F1607:T3045="pp"</formula>
    </cfRule>
    <cfRule type="expression" priority="4824" aboveAverage="0" equalAverage="0" bottom="0" percent="0" rank="0" text="" dxfId="4834">
      <formula>$F1607:T2328="pp"</formula>
    </cfRule>
  </conditionalFormatting>
  <conditionalFormatting sqref="P1611:P1614">
    <cfRule type="expression" priority="4825" aboveAverage="0" equalAverage="0" bottom="0" percent="0" rank="0" text="" dxfId="4835">
      <formula>$F1611:T3047="pp"</formula>
    </cfRule>
    <cfRule type="expression" priority="4826" aboveAverage="0" equalAverage="0" bottom="0" percent="0" rank="0" text="" dxfId="4836">
      <formula>$F1611:T2330="pp"</formula>
    </cfRule>
  </conditionalFormatting>
  <conditionalFormatting sqref="P1620:P1639">
    <cfRule type="expression" priority="4827" aboveAverage="0" equalAverage="0" bottom="0" percent="0" rank="0" text="" dxfId="4837">
      <formula>$F1620:T3046="pp"</formula>
    </cfRule>
    <cfRule type="expression" priority="4828" aboveAverage="0" equalAverage="0" bottom="0" percent="0" rank="0" text="" dxfId="4838">
      <formula>$F1620:T2329="pp"</formula>
    </cfRule>
  </conditionalFormatting>
  <conditionalFormatting sqref="P1661:P1664">
    <cfRule type="expression" priority="4829" aboveAverage="0" equalAverage="0" bottom="0" percent="0" rank="0" text="" dxfId="4839">
      <formula>$F1661:T3057="pp"</formula>
    </cfRule>
    <cfRule type="expression" priority="4830" aboveAverage="0" equalAverage="0" bottom="0" percent="0" rank="0" text="" dxfId="4840">
      <formula>$F1661:T2340="pp"</formula>
    </cfRule>
  </conditionalFormatting>
  <conditionalFormatting sqref="P1682:P1688">
    <cfRule type="expression" priority="4831" aboveAverage="0" equalAverage="0" bottom="0" percent="0" rank="0" text="" dxfId="4841">
      <formula>$F1682:T3045="pp"</formula>
    </cfRule>
    <cfRule type="expression" priority="4832" aboveAverage="0" equalAverage="0" bottom="0" percent="0" rank="0" text="" dxfId="4842">
      <formula>$F1682:T2328="pp"</formula>
    </cfRule>
  </conditionalFormatting>
  <conditionalFormatting sqref="P1691:P1692">
    <cfRule type="expression" priority="4833" aboveAverage="0" equalAverage="0" bottom="0" percent="0" rank="0" text="" dxfId="4843">
      <formula>$F1691:T3059="pp"</formula>
    </cfRule>
    <cfRule type="expression" priority="4834" aboveAverage="0" equalAverage="0" bottom="0" percent="0" rank="0" text="" dxfId="4844">
      <formula>$F1691:T2342="pp"</formula>
    </cfRule>
  </conditionalFormatting>
  <conditionalFormatting sqref="P1694:P1695 P1697:P1699">
    <cfRule type="expression" priority="4835" aboveAverage="0" equalAverage="0" bottom="0" percent="0" rank="0" text="" dxfId="4845">
      <formula>$F1694:T3049="pp"</formula>
    </cfRule>
    <cfRule type="expression" priority="4836" aboveAverage="0" equalAverage="0" bottom="0" percent="0" rank="0" text="" dxfId="4846">
      <formula>$F1694:T2332="pp"</formula>
    </cfRule>
  </conditionalFormatting>
  <conditionalFormatting sqref="P1701:P1702">
    <cfRule type="expression" priority="4837" aboveAverage="0" equalAverage="0" bottom="0" percent="0" rank="0" text="" dxfId="4847">
      <formula>$F1701:T3054="pp"</formula>
    </cfRule>
    <cfRule type="expression" priority="4838" aboveAverage="0" equalAverage="0" bottom="0" percent="0" rank="0" text="" dxfId="4848">
      <formula>$F1701:T2337="pp"</formula>
    </cfRule>
  </conditionalFormatting>
  <conditionalFormatting sqref="P1710:P1715">
    <cfRule type="expression" priority="4839" aboveAverage="0" equalAverage="0" bottom="0" percent="0" rank="0" text="" dxfId="4849">
      <formula>$F1710:T3055="pp"</formula>
    </cfRule>
    <cfRule type="expression" priority="4840" aboveAverage="0" equalAverage="0" bottom="0" percent="0" rank="0" text="" dxfId="4850">
      <formula>$F1710:T2338="pp"</formula>
    </cfRule>
  </conditionalFormatting>
  <conditionalFormatting sqref="P1716:P1717">
    <cfRule type="expression" priority="4841" aboveAverage="0" equalAverage="0" bottom="0" percent="0" rank="0" text="" dxfId="4851">
      <formula>$F1716:T3059="pp"</formula>
    </cfRule>
    <cfRule type="expression" priority="4842" aboveAverage="0" equalAverage="0" bottom="0" percent="0" rank="0" text="" dxfId="4852">
      <formula>$F1716:T2342="pp"</formula>
    </cfRule>
  </conditionalFormatting>
  <conditionalFormatting sqref="P1718:P1720">
    <cfRule type="expression" priority="4843" aboveAverage="0" equalAverage="0" bottom="0" percent="0" rank="0" text="" dxfId="4853">
      <formula>$F1718:T3058="pp"</formula>
    </cfRule>
    <cfRule type="expression" priority="4844" aboveAverage="0" equalAverage="0" bottom="0" percent="0" rank="0" text="" dxfId="4854">
      <formula>$F1718:T2341="pp"</formula>
    </cfRule>
  </conditionalFormatting>
  <conditionalFormatting sqref="P1726:P1745">
    <cfRule type="expression" priority="4845" aboveAverage="0" equalAverage="0" bottom="0" percent="0" rank="0" text="" dxfId="4855">
      <formula>$F1726:T3047="pp"</formula>
    </cfRule>
    <cfRule type="expression" priority="4846" aboveAverage="0" equalAverage="0" bottom="0" percent="0" rank="0" text="" dxfId="4856">
      <formula>$F1726:T2330="pp"</formula>
    </cfRule>
  </conditionalFormatting>
  <conditionalFormatting sqref="P1746:P1760">
    <cfRule type="expression" priority="4847" aboveAverage="0" equalAverage="0" bottom="0" percent="0" rank="0" text="" dxfId="4857">
      <formula>$F1746:T3052="pp"</formula>
    </cfRule>
    <cfRule type="expression" priority="4848" aboveAverage="0" equalAverage="0" bottom="0" percent="0" rank="0" text="" dxfId="4858">
      <formula>$F1746:T2335="pp"</formula>
    </cfRule>
  </conditionalFormatting>
  <conditionalFormatting sqref="P1761:P1767">
    <cfRule type="expression" priority="4849" aboveAverage="0" equalAverage="0" bottom="0" percent="0" rank="0" text="" dxfId="4859">
      <formula>$F1761:T3052="pp"</formula>
    </cfRule>
    <cfRule type="expression" priority="4850" aboveAverage="0" equalAverage="0" bottom="0" percent="0" rank="0" text="" dxfId="4860">
      <formula>$F1761:T2335="pp"</formula>
    </cfRule>
  </conditionalFormatting>
  <conditionalFormatting sqref="P1770:P1776">
    <cfRule type="expression" priority="4851" aboveAverage="0" equalAverage="0" bottom="0" percent="0" rank="0" text="" dxfId="4861">
      <formula>$F1770:T3048="pp"</formula>
    </cfRule>
    <cfRule type="expression" priority="4852" aboveAverage="0" equalAverage="0" bottom="0" percent="0" rank="0" text="" dxfId="4862">
      <formula>$F1770:T2331="pp"</formula>
    </cfRule>
  </conditionalFormatting>
  <conditionalFormatting sqref="P1777:P1779">
    <cfRule type="expression" priority="4853" aboveAverage="0" equalAverage="0" bottom="0" percent="0" rank="0" text="" dxfId="4863">
      <formula>$F1777:T3050="pp"</formula>
    </cfRule>
    <cfRule type="expression" priority="4854" aboveAverage="0" equalAverage="0" bottom="0" percent="0" rank="0" text="" dxfId="4864">
      <formula>$F1777:T2333="pp"</formula>
    </cfRule>
  </conditionalFormatting>
  <conditionalFormatting sqref="P1780:P1782">
    <cfRule type="expression" priority="4855" aboveAverage="0" equalAverage="0" bottom="0" percent="0" rank="0" text="" dxfId="4865">
      <formula>$F1780:T3050="pp"</formula>
    </cfRule>
    <cfRule type="expression" priority="4856" aboveAverage="0" equalAverage="0" bottom="0" percent="0" rank="0" text="" dxfId="4866">
      <formula>$F1780:T2333="pp"</formula>
    </cfRule>
  </conditionalFormatting>
  <conditionalFormatting sqref="P1783:P1785">
    <cfRule type="expression" priority="4857" aboveAverage="0" equalAverage="0" bottom="0" percent="0" rank="0" text="" dxfId="4867">
      <formula>$F1783:T3050="pp"</formula>
    </cfRule>
    <cfRule type="expression" priority="4858" aboveAverage="0" equalAverage="0" bottom="0" percent="0" rank="0" text="" dxfId="4868">
      <formula>$F1783:T2333="pp"</formula>
    </cfRule>
  </conditionalFormatting>
  <conditionalFormatting sqref="P1786:P1788">
    <cfRule type="expression" priority="4859" aboveAverage="0" equalAverage="0" bottom="0" percent="0" rank="0" text="" dxfId="4869">
      <formula>$F1786:T3050="pp"</formula>
    </cfRule>
    <cfRule type="expression" priority="4860" aboveAverage="0" equalAverage="0" bottom="0" percent="0" rank="0" text="" dxfId="4870">
      <formula>$F1786:T2333="pp"</formula>
    </cfRule>
  </conditionalFormatting>
  <conditionalFormatting sqref="P1789:P1790">
    <cfRule type="expression" priority="4861" aboveAverage="0" equalAverage="0" bottom="0" percent="0" rank="0" text="" dxfId="4871">
      <formula>$F1789:T3051="pp"</formula>
    </cfRule>
    <cfRule type="expression" priority="4862" aboveAverage="0" equalAverage="0" bottom="0" percent="0" rank="0" text="" dxfId="4872">
      <formula>$F1789:T2334="pp"</formula>
    </cfRule>
  </conditionalFormatting>
  <conditionalFormatting sqref="P1795:P1796 P1804:P1809">
    <cfRule type="expression" priority="4863" aboveAverage="0" equalAverage="0" bottom="0" percent="0" rank="0" text="" dxfId="4873">
      <formula>$F1795:T3047="pp"</formula>
    </cfRule>
    <cfRule type="expression" priority="4864" aboveAverage="0" equalAverage="0" bottom="0" percent="0" rank="0" text="" dxfId="4874">
      <formula>$F1795:T2330="pp"</formula>
    </cfRule>
  </conditionalFormatting>
  <conditionalFormatting sqref="P1810:P1813">
    <cfRule type="expression" priority="4865" aboveAverage="0" equalAverage="0" bottom="0" percent="0" rank="0" text="" dxfId="4875">
      <formula>$F1810:T3058="pp"</formula>
    </cfRule>
    <cfRule type="expression" priority="4866" aboveAverage="0" equalAverage="0" bottom="0" percent="0" rank="0" text="" dxfId="4876">
      <formula>$F1810:T2341="pp"</formula>
    </cfRule>
  </conditionalFormatting>
  <conditionalFormatting sqref="P1815:P1816 P1822:P1828">
    <cfRule type="expression" priority="4867" aboveAverage="0" equalAverage="0" bottom="0" percent="0" rank="0" text="" dxfId="4877">
      <formula>$F1815:T2336="pp"</formula>
    </cfRule>
    <cfRule type="expression" priority="4868" aboveAverage="0" equalAverage="0" bottom="0" percent="0" rank="0" text="" dxfId="4878">
      <formula>$F1815:T3053="pp"</formula>
    </cfRule>
  </conditionalFormatting>
  <conditionalFormatting sqref="P1817:P1821">
    <cfRule type="expression" priority="4869" aboveAverage="0" equalAverage="0" bottom="0" percent="0" rank="0" text="" dxfId="4879">
      <formula>$F1817:T3056="pp"</formula>
    </cfRule>
    <cfRule type="expression" priority="4870" aboveAverage="0" equalAverage="0" bottom="0" percent="0" rank="0" text="" dxfId="4880">
      <formula>$F1817:T2339="pp"</formula>
    </cfRule>
  </conditionalFormatting>
  <conditionalFormatting sqref="P1830:P1834">
    <cfRule type="expression" priority="4871" aboveAverage="0" equalAverage="0" bottom="0" percent="0" rank="0" text="" dxfId="4881">
      <formula>$F1830:T3066="pp"</formula>
    </cfRule>
    <cfRule type="expression" priority="4872" aboveAverage="0" equalAverage="0" bottom="0" percent="0" rank="0" text="" dxfId="4882">
      <formula>$F1830:T2349="pp"</formula>
    </cfRule>
  </conditionalFormatting>
  <conditionalFormatting sqref="P1835:P1836">
    <cfRule type="expression" priority="4873" aboveAverage="0" equalAverage="0" bottom="0" percent="0" rank="0" text="" dxfId="4883">
      <formula>$F1835:T3065="pp"</formula>
    </cfRule>
    <cfRule type="expression" priority="4874" aboveAverage="0" equalAverage="0" bottom="0" percent="0" rank="0" text="" dxfId="4884">
      <formula>$F1835:T2348="pp"</formula>
    </cfRule>
  </conditionalFormatting>
  <conditionalFormatting sqref="P1837:P1844">
    <cfRule type="expression" priority="4875" aboveAverage="0" equalAverage="0" bottom="0" percent="0" rank="0" text="" dxfId="4885">
      <formula>$F1837:T3061="pp"</formula>
    </cfRule>
    <cfRule type="expression" priority="4876" aboveAverage="0" equalAverage="0" bottom="0" percent="0" rank="0" text="" dxfId="4886">
      <formula>$F1837:T2344="pp"</formula>
    </cfRule>
  </conditionalFormatting>
  <conditionalFormatting sqref="P1845:P1865">
    <cfRule type="expression" priority="4877" aboveAverage="0" equalAverage="0" bottom="0" percent="0" rank="0" text="" dxfId="4887">
      <formula>$F1845:T3062="pp"</formula>
    </cfRule>
    <cfRule type="expression" priority="4878" aboveAverage="0" equalAverage="0" bottom="0" percent="0" rank="0" text="" dxfId="4888">
      <formula>$F1845:T2345="pp"</formula>
    </cfRule>
  </conditionalFormatting>
  <conditionalFormatting sqref="P1880:P1881">
    <cfRule type="expression" priority="4879" aboveAverage="0" equalAverage="0" bottom="0" percent="0" rank="0" text="" dxfId="4889">
      <formula>$F1880:T3074="pp"</formula>
    </cfRule>
    <cfRule type="expression" priority="4880" aboveAverage="0" equalAverage="0" bottom="0" percent="0" rank="0" text="" dxfId="4890">
      <formula>$F1880:T2357="pp"</formula>
    </cfRule>
  </conditionalFormatting>
  <conditionalFormatting sqref="P1882:P1888">
    <cfRule type="expression" priority="4881" aboveAverage="0" equalAverage="0" bottom="0" percent="0" rank="0" text="" dxfId="4891">
      <formula>$F1882:T3062="pp"</formula>
    </cfRule>
    <cfRule type="expression" priority="4882" aboveAverage="0" equalAverage="0" bottom="0" percent="0" rank="0" text="" dxfId="4892">
      <formula>$F1882:T2345="pp"</formula>
    </cfRule>
  </conditionalFormatting>
  <conditionalFormatting sqref="P1906:P1910">
    <cfRule type="expression" priority="4883" aboveAverage="0" equalAverage="0" bottom="0" percent="0" rank="0" text="" dxfId="4893">
      <formula>$F1906:T3058="pp"</formula>
    </cfRule>
    <cfRule type="expression" priority="4884" aboveAverage="0" equalAverage="0" bottom="0" percent="0" rank="0" text="" dxfId="4894">
      <formula>$F1906:T2341="pp"</formula>
    </cfRule>
  </conditionalFormatting>
  <conditionalFormatting sqref="P1911:P1917">
    <cfRule type="expression" priority="4885" aboveAverage="0" equalAverage="0" bottom="0" percent="0" rank="0" text="" dxfId="4895">
      <formula>$F1911:T3056="pp"</formula>
    </cfRule>
    <cfRule type="expression" priority="4886" aboveAverage="0" equalAverage="0" bottom="0" percent="0" rank="0" text="" dxfId="4896">
      <formula>$F1911:T2339="pp"</formula>
    </cfRule>
  </conditionalFormatting>
  <conditionalFormatting sqref="P1919:P1921">
    <cfRule type="expression" priority="4887" aboveAverage="0" equalAverage="0" bottom="0" percent="0" rank="0" text="" dxfId="4897">
      <formula>$F1919:T3060="pp"</formula>
    </cfRule>
    <cfRule type="expression" priority="4888" aboveAverage="0" equalAverage="0" bottom="0" percent="0" rank="0" text="" dxfId="4898">
      <formula>$F1919:T2343="pp"</formula>
    </cfRule>
  </conditionalFormatting>
  <conditionalFormatting sqref="P1922:P1924">
    <cfRule type="expression" priority="4889" aboveAverage="0" equalAverage="0" bottom="0" percent="0" rank="0" text="" dxfId="4899">
      <formula>$F1922:T3052="pp"</formula>
    </cfRule>
    <cfRule type="expression" priority="4890" aboveAverage="0" equalAverage="0" bottom="0" percent="0" rank="0" text="" dxfId="4900">
      <formula>$F1922:T2335="pp"</formula>
    </cfRule>
  </conditionalFormatting>
  <conditionalFormatting sqref="P1925:P1929">
    <cfRule type="expression" priority="4891" aboveAverage="0" equalAverage="0" bottom="0" percent="0" rank="0" text="" dxfId="4901">
      <formula>$F1925:T3052="pp"</formula>
    </cfRule>
    <cfRule type="expression" priority="4892" aboveAverage="0" equalAverage="0" bottom="0" percent="0" rank="0" text="" dxfId="4902">
      <formula>$F1925:T2335="pp"</formula>
    </cfRule>
  </conditionalFormatting>
  <conditionalFormatting sqref="P1951:P1954">
    <cfRule type="expression" priority="4893" aboveAverage="0" equalAverage="0" bottom="0" percent="0" rank="0" text="" dxfId="4903">
      <formula>$F1951:T3068="pp"</formula>
    </cfRule>
    <cfRule type="expression" priority="4894" aboveAverage="0" equalAverage="0" bottom="0" percent="0" rank="0" text="" dxfId="4904">
      <formula>$F1951:T2351="pp"</formula>
    </cfRule>
  </conditionalFormatting>
  <conditionalFormatting sqref="P1968:P1973">
    <cfRule type="expression" priority="4895" aboveAverage="0" equalAverage="0" bottom="0" percent="0" rank="0" text="" dxfId="4905">
      <formula>$F1968:T3075="pp"</formula>
    </cfRule>
    <cfRule type="expression" priority="4896" aboveAverage="0" equalAverage="0" bottom="0" percent="0" rank="0" text="" dxfId="4906">
      <formula>$F1968:T2358="pp"</formula>
    </cfRule>
  </conditionalFormatting>
  <conditionalFormatting sqref="P1975:P1977">
    <cfRule type="expression" priority="4897" aboveAverage="0" equalAverage="0" bottom="0" percent="0" rank="0" text="" dxfId="4907">
      <formula>$F1975:T3070="pp"</formula>
    </cfRule>
    <cfRule type="expression" priority="4898" aboveAverage="0" equalAverage="0" bottom="0" percent="0" rank="0" text="" dxfId="4908">
      <formula>$F1975:T2353="pp"</formula>
    </cfRule>
  </conditionalFormatting>
  <conditionalFormatting sqref="P1978:P1980">
    <cfRule type="expression" priority="4899" aboveAverage="0" equalAverage="0" bottom="0" percent="0" rank="0" text="" dxfId="4909">
      <formula>$F1978:T3068="pp"</formula>
    </cfRule>
    <cfRule type="expression" priority="4900" aboveAverage="0" equalAverage="0" bottom="0" percent="0" rank="0" text="" dxfId="4910">
      <formula>$F1978:T2351="pp"</formula>
    </cfRule>
  </conditionalFormatting>
  <conditionalFormatting sqref="P1982:P1986">
    <cfRule type="expression" priority="4901" aboveAverage="0" equalAverage="0" bottom="0" percent="0" rank="0" text="" dxfId="4911">
      <formula>$F1982:T3067="pp"</formula>
    </cfRule>
    <cfRule type="expression" priority="4902" aboveAverage="0" equalAverage="0" bottom="0" percent="0" rank="0" text="" dxfId="4912">
      <formula>$F1982:T2350="pp"</formula>
    </cfRule>
  </conditionalFormatting>
  <conditionalFormatting sqref="P1988:P1991">
    <cfRule type="expression" priority="4903" aboveAverage="0" equalAverage="0" bottom="0" percent="0" rank="0" text="" dxfId="4913">
      <formula>$F1988:T3053="pp"</formula>
    </cfRule>
    <cfRule type="expression" priority="4904" aboveAverage="0" equalAverage="0" bottom="0" percent="0" rank="0" text="" dxfId="4914">
      <formula>$F1988:T2336="pp"</formula>
    </cfRule>
  </conditionalFormatting>
  <conditionalFormatting sqref="P1992:P1997">
    <cfRule type="expression" priority="4905" aboveAverage="0" equalAverage="0" bottom="0" percent="0" rank="0" text="" dxfId="4915">
      <formula>$F1992:T3054="pp"</formula>
    </cfRule>
    <cfRule type="expression" priority="4906" aboveAverage="0" equalAverage="0" bottom="0" percent="0" rank="0" text="" dxfId="4916">
      <formula>$F1992:T2337="pp"</formula>
    </cfRule>
  </conditionalFormatting>
  <conditionalFormatting sqref="P1998:P2000">
    <cfRule type="expression" priority="4907" aboveAverage="0" equalAverage="0" bottom="0" percent="0" rank="0" text="" dxfId="4917">
      <formula>$F1998:T3057="pp"</formula>
    </cfRule>
    <cfRule type="expression" priority="4908" aboveAverage="0" equalAverage="0" bottom="0" percent="0" rank="0" text="" dxfId="4918">
      <formula>$F1998:T2340="pp"</formula>
    </cfRule>
  </conditionalFormatting>
  <conditionalFormatting sqref="P2001:P2004">
    <cfRule type="expression" priority="4909" aboveAverage="0" equalAverage="0" bottom="0" percent="0" rank="0" text="" dxfId="4919">
      <formula>$F2001:T3057="pp"</formula>
    </cfRule>
    <cfRule type="expression" priority="4910" aboveAverage="0" equalAverage="0" bottom="0" percent="0" rank="0" text="" dxfId="4920">
      <formula>$F2001:T2340="pp"</formula>
    </cfRule>
  </conditionalFormatting>
  <conditionalFormatting sqref="Q142:Q143">
    <cfRule type="expression" priority="4911" aboveAverage="0" equalAverage="0" bottom="0" percent="0" rank="0" text="" dxfId="4921">
      <formula>$F142:T2279="pp"</formula>
    </cfRule>
  </conditionalFormatting>
  <conditionalFormatting sqref="Q157:Q159">
    <cfRule type="expression" priority="4912" aboveAverage="0" equalAverage="0" bottom="0" percent="0" rank="0" text="" dxfId="4922">
      <formula>$F157:T2278="pp"</formula>
    </cfRule>
  </conditionalFormatting>
  <conditionalFormatting sqref="Q160:Q161">
    <cfRule type="expression" priority="4913" aboveAverage="0" equalAverage="0" bottom="0" percent="0" rank="0" text="" dxfId="4923">
      <formula>$F160:T2277="pp"</formula>
    </cfRule>
  </conditionalFormatting>
  <conditionalFormatting sqref="Q162:Q172">
    <cfRule type="expression" priority="4914" aboveAverage="0" equalAverage="0" bottom="0" percent="0" rank="0" text="" dxfId="4924">
      <formula>$F162:T2267="pp"</formula>
    </cfRule>
  </conditionalFormatting>
  <conditionalFormatting sqref="Q173:Q175">
    <cfRule type="expression" priority="4915" aboveAverage="0" equalAverage="0" bottom="0" percent="0" rank="0" text="" dxfId="4925">
      <formula>$F173:T2276="pp"</formula>
    </cfRule>
  </conditionalFormatting>
  <conditionalFormatting sqref="Q176:Q177">
    <cfRule type="expression" priority="4916" aboveAverage="0" equalAverage="0" bottom="0" percent="0" rank="0" text="" dxfId="4926">
      <formula>$F176:T2264="pp"</formula>
    </cfRule>
  </conditionalFormatting>
  <conditionalFormatting sqref="Q178:Q181">
    <cfRule type="expression" priority="4917" aboveAverage="0" equalAverage="0" bottom="0" percent="0" rank="0" text="" dxfId="4927">
      <formula>$F178:T2264="pp"</formula>
    </cfRule>
  </conditionalFormatting>
  <conditionalFormatting sqref="Q182:Q185">
    <cfRule type="expression" priority="4918" aboveAverage="0" equalAverage="0" bottom="0" percent="0" rank="0" text="" dxfId="4928">
      <formula>$F182:T2290="pp"</formula>
    </cfRule>
  </conditionalFormatting>
  <conditionalFormatting sqref="Q186:Q187">
    <cfRule type="expression" priority="4919" aboveAverage="0" equalAverage="0" bottom="0" percent="0" rank="0" text="" dxfId="4929">
      <formula>$F186:T2268="pp"</formula>
    </cfRule>
  </conditionalFormatting>
  <conditionalFormatting sqref="Q195:Q199">
    <cfRule type="expression" priority="4920" aboveAverage="0" equalAverage="0" bottom="0" percent="0" rank="0" text="" dxfId="4930">
      <formula>$F195:T2269="pp"</formula>
    </cfRule>
  </conditionalFormatting>
  <conditionalFormatting sqref="Q201:Q203">
    <cfRule type="expression" priority="4921" aboveAverage="0" equalAverage="0" bottom="0" percent="0" rank="0" text="" dxfId="4931">
      <formula>$F201:T2265="pp"</formula>
    </cfRule>
  </conditionalFormatting>
  <conditionalFormatting sqref="Q218:Q221">
    <cfRule type="expression" priority="4922" aboveAverage="0" equalAverage="0" bottom="0" percent="0" rank="0" text="" dxfId="4932">
      <formula>$F218:T2274="pp"</formula>
    </cfRule>
  </conditionalFormatting>
  <conditionalFormatting sqref="Q227:Q232">
    <cfRule type="expression" priority="4923" aboveAverage="0" equalAverage="0" bottom="0" percent="0" rank="0" text="" dxfId="4933">
      <formula>$F227:T2275="pp"</formula>
    </cfRule>
  </conditionalFormatting>
  <conditionalFormatting sqref="Q239:Q246">
    <cfRule type="expression" priority="4924" aboveAverage="0" equalAverage="0" bottom="0" percent="0" rank="0" text="" dxfId="4934">
      <formula>$F239:T2277="pp"</formula>
    </cfRule>
  </conditionalFormatting>
  <conditionalFormatting sqref="Q247:Q265">
    <cfRule type="expression" priority="4925" aboveAverage="0" equalAverage="0" bottom="0" percent="0" rank="0" text="" dxfId="4935">
      <formula>$F247:T2280="pp"</formula>
    </cfRule>
  </conditionalFormatting>
  <conditionalFormatting sqref="Q267:Q268">
    <cfRule type="expression" priority="4926" aboveAverage="0" equalAverage="0" bottom="0" percent="0" rank="0" text="" dxfId="4936">
      <formula>$F267:T2298="pp"</formula>
    </cfRule>
  </conditionalFormatting>
  <conditionalFormatting sqref="Q276:Q279">
    <cfRule type="expression" priority="4927" aboveAverage="0" equalAverage="0" bottom="0" percent="0" rank="0" text="" dxfId="4937">
      <formula>$F276:T2300="pp"</formula>
    </cfRule>
  </conditionalFormatting>
  <conditionalFormatting sqref="Q280:Q282">
    <cfRule type="expression" priority="4928" aboveAverage="0" equalAverage="0" bottom="0" percent="0" rank="0" text="" dxfId="4938">
      <formula>$F280:T2302="pp"</formula>
    </cfRule>
  </conditionalFormatting>
  <conditionalFormatting sqref="Q283:Q294">
    <cfRule type="expression" priority="4929" aboveAverage="0" equalAverage="0" bottom="0" percent="0" rank="0" text="" dxfId="4939">
      <formula>$F283:T2301="pp"</formula>
    </cfRule>
  </conditionalFormatting>
  <conditionalFormatting sqref="Q296:Q297">
    <cfRule type="expression" priority="4930" aboveAverage="0" equalAverage="0" bottom="0" percent="0" rank="0" text="" dxfId="4940">
      <formula>$F296:T2299="pp"</formula>
    </cfRule>
  </conditionalFormatting>
  <conditionalFormatting sqref="Q298:Q300">
    <cfRule type="expression" priority="4931" aboveAverage="0" equalAverage="0" bottom="0" percent="0" rank="0" text="" dxfId="4941">
      <formula>$F298:T2299="pp"</formula>
    </cfRule>
  </conditionalFormatting>
  <conditionalFormatting sqref="Q301:Q303">
    <cfRule type="expression" priority="4932" aboveAverage="0" equalAverage="0" bottom="0" percent="0" rank="0" text="" dxfId="4942">
      <formula>$F301:T2299="pp"</formula>
    </cfRule>
  </conditionalFormatting>
  <conditionalFormatting sqref="Q307:Q310">
    <cfRule type="expression" priority="4933" aboveAverage="0" equalAverage="0" bottom="0" percent="0" rank="0" text="" dxfId="4943">
      <formula>$F307:T2299="pp"</formula>
    </cfRule>
  </conditionalFormatting>
  <conditionalFormatting sqref="Q311:Q316">
    <cfRule type="expression" priority="4934" aboveAverage="0" equalAverage="0" bottom="0" percent="0" rank="0" text="" dxfId="4944">
      <formula>$F311:T2297="pp"</formula>
    </cfRule>
  </conditionalFormatting>
  <conditionalFormatting sqref="Q330:Q335">
    <cfRule type="expression" priority="4935" aboveAverage="0" equalAverage="0" bottom="0" percent="0" rank="0" text="" dxfId="4945">
      <formula>$F330:T2289="pp"</formula>
    </cfRule>
  </conditionalFormatting>
  <conditionalFormatting sqref="Q343:Q345">
    <cfRule type="expression" priority="4936" aboveAverage="0" equalAverage="0" bottom="0" percent="0" rank="0" text="" dxfId="4946">
      <formula>$F343:T2501="pp"</formula>
    </cfRule>
  </conditionalFormatting>
  <conditionalFormatting sqref="Q353:Q356">
    <cfRule type="expression" priority="4937" aboveAverage="0" equalAverage="0" bottom="0" percent="0" rank="0" text="" dxfId="4947">
      <formula>$F353:T2487="pp"</formula>
    </cfRule>
  </conditionalFormatting>
  <conditionalFormatting sqref="Q357:Q358">
    <cfRule type="expression" priority="4938" aboveAverage="0" equalAverage="0" bottom="0" percent="0" rank="0" text="" dxfId="4948">
      <formula>$F357:T2488="pp"</formula>
    </cfRule>
  </conditionalFormatting>
  <conditionalFormatting sqref="Q359:Q361 Q371:Q374">
    <cfRule type="expression" priority="4939" aboveAverage="0" equalAverage="0" bottom="0" percent="0" rank="0" text="" dxfId="4949">
      <formula>$F359:T2498="pp"</formula>
    </cfRule>
  </conditionalFormatting>
  <conditionalFormatting sqref="Q362:Q368">
    <cfRule type="expression" priority="4940" aboveAverage="0" equalAverage="0" bottom="0" percent="0" rank="0" text="" dxfId="4950">
      <formula>$F362:T2523="pp"</formula>
    </cfRule>
  </conditionalFormatting>
  <conditionalFormatting sqref="Q369:Q370">
    <cfRule type="expression" priority="4941" aboveAverage="0" equalAverage="0" bottom="0" percent="0" rank="0" text="" dxfId="4951">
      <formula>$F369:T2524="pp"</formula>
    </cfRule>
  </conditionalFormatting>
  <conditionalFormatting sqref="Q375:Q378">
    <cfRule type="expression" priority="4942" aboveAverage="0" equalAverage="0" bottom="0" percent="0" rank="0" text="" dxfId="4952">
      <formula>$F375:T2290="pp"</formula>
    </cfRule>
  </conditionalFormatting>
  <conditionalFormatting sqref="Q380:Q386">
    <cfRule type="expression" priority="4943" aboveAverage="0" equalAverage="0" bottom="0" percent="0" rank="0" text="" dxfId="4953">
      <formula>$F380:T2545="pp"</formula>
    </cfRule>
  </conditionalFormatting>
  <conditionalFormatting sqref="Q387:Q395">
    <cfRule type="expression" priority="4944" aboveAverage="0" equalAverage="0" bottom="0" percent="0" rank="0" text="" dxfId="4954">
      <formula>$F387:T2298="pp"</formula>
    </cfRule>
  </conditionalFormatting>
  <conditionalFormatting sqref="Q401:Q405">
    <cfRule type="expression" priority="4945" aboveAverage="0" equalAverage="0" bottom="0" percent="0" rank="0" text="" dxfId="4955">
      <formula>$F401:T2295="pp"</formula>
    </cfRule>
  </conditionalFormatting>
  <conditionalFormatting sqref="Q409:Q411">
    <cfRule type="expression" priority="4946" aboveAverage="0" equalAverage="0" bottom="0" percent="0" rank="0" text="" dxfId="4956">
      <formula>$F409:T2301="pp"</formula>
    </cfRule>
  </conditionalFormatting>
  <conditionalFormatting sqref="Q430:Q431">
    <cfRule type="expression" priority="4947" aboveAverage="0" equalAverage="0" bottom="0" percent="0" rank="0" text="" dxfId="4957">
      <formula>$F430:T2292="pp"</formula>
    </cfRule>
  </conditionalFormatting>
  <conditionalFormatting sqref="Q432:Q439">
    <cfRule type="expression" priority="4948" aboveAverage="0" equalAverage="0" bottom="0" percent="0" rank="0" text="" dxfId="4958">
      <formula>$F432:T2292="pp"</formula>
    </cfRule>
  </conditionalFormatting>
  <conditionalFormatting sqref="Q440:Q441 Q446:Q454">
    <cfRule type="expression" priority="4949" aboveAverage="0" equalAverage="0" bottom="0" percent="0" rank="0" text="" dxfId="4959">
      <formula>$F440:T2296="pp"</formula>
    </cfRule>
  </conditionalFormatting>
  <conditionalFormatting sqref="Q467:Q470">
    <cfRule type="expression" priority="4950" aboveAverage="0" equalAverage="0" bottom="0" percent="0" rank="0" text="" dxfId="4960">
      <formula>$F467:T2299="pp"</formula>
    </cfRule>
  </conditionalFormatting>
  <conditionalFormatting sqref="Q471:Q475">
    <cfRule type="expression" priority="4951" aboveAverage="0" equalAverage="0" bottom="0" percent="0" rank="0" text="" dxfId="4961">
      <formula>$F471:T2295="pp"</formula>
    </cfRule>
  </conditionalFormatting>
  <conditionalFormatting sqref="Q477:Q478">
    <cfRule type="expression" priority="4952" aboveAverage="0" equalAverage="0" bottom="0" percent="0" rank="0" text="" dxfId="4962">
      <formula>$F477:T2297="pp"</formula>
    </cfRule>
  </conditionalFormatting>
  <conditionalFormatting sqref="Q480:Q484">
    <cfRule type="expression" priority="4953" aboveAverage="0" equalAverage="0" bottom="0" percent="0" rank="0" text="" dxfId="4963">
      <formula>$F480:T2298="pp"</formula>
    </cfRule>
  </conditionalFormatting>
  <conditionalFormatting sqref="Q485:Q488">
    <cfRule type="expression" priority="4954" aboveAverage="0" equalAverage="0" bottom="0" percent="0" rank="0" text="" dxfId="4964">
      <formula>$F485:T2299="pp"</formula>
    </cfRule>
  </conditionalFormatting>
  <conditionalFormatting sqref="Q494:Q499">
    <cfRule type="expression" priority="4955" aboveAverage="0" equalAverage="0" bottom="0" percent="0" rank="0" text="" dxfId="4965">
      <formula>$F494:T2301="pp"</formula>
    </cfRule>
  </conditionalFormatting>
  <conditionalFormatting sqref="Q500:Q502">
    <cfRule type="expression" priority="4956" aboveAverage="0" equalAverage="0" bottom="0" percent="0" rank="0" text="" dxfId="4966">
      <formula>$F500:T2301="pp"</formula>
    </cfRule>
  </conditionalFormatting>
  <conditionalFormatting sqref="Q503:Q505">
    <cfRule type="expression" priority="4957" aboveAverage="0" equalAverage="0" bottom="0" percent="0" rank="0" text="" dxfId="4967">
      <formula>$F503:T2299="pp"</formula>
    </cfRule>
  </conditionalFormatting>
  <conditionalFormatting sqref="Q516:Q520">
    <cfRule type="expression" priority="4958" aboveAverage="0" equalAverage="0" bottom="0" percent="0" rank="0" text="" dxfId="4968">
      <formula>$F516:T2305="pp"</formula>
    </cfRule>
  </conditionalFormatting>
  <conditionalFormatting sqref="Q527:Q532">
    <cfRule type="expression" priority="4959" aboveAverage="0" equalAverage="0" bottom="0" percent="0" rank="0" text="" dxfId="4969">
      <formula>$F527:T2300="pp"</formula>
    </cfRule>
  </conditionalFormatting>
  <conditionalFormatting sqref="Q534:Q537">
    <cfRule type="expression" priority="4960" aboveAverage="0" equalAverage="0" bottom="0" percent="0" rank="0" text="" dxfId="4970">
      <formula>$F534:T2302="pp"</formula>
    </cfRule>
  </conditionalFormatting>
  <conditionalFormatting sqref="Q538:Q539">
    <cfRule type="expression" priority="4961" aboveAverage="0" equalAverage="0" bottom="0" percent="0" rank="0" text="" dxfId="4971">
      <formula>$F538:T2304="pp"</formula>
    </cfRule>
  </conditionalFormatting>
  <conditionalFormatting sqref="Q540:Q544">
    <cfRule type="expression" priority="4962" aboveAverage="0" equalAverage="0" bottom="0" percent="0" rank="0" text="" dxfId="4972">
      <formula>$F540:T2302="pp"</formula>
    </cfRule>
  </conditionalFormatting>
  <conditionalFormatting sqref="Q545:Q546">
    <cfRule type="expression" priority="4963" aboveAverage="0" equalAverage="0" bottom="0" percent="0" rank="0" text="" dxfId="4973">
      <formula>$F545:T2304="pp"</formula>
    </cfRule>
  </conditionalFormatting>
  <conditionalFormatting sqref="Q547:Q552">
    <cfRule type="expression" priority="4964" aboveAverage="0" equalAverage="0" bottom="0" percent="0" rank="0" text="" dxfId="4974">
      <formula>$F547:T2302="pp"</formula>
    </cfRule>
  </conditionalFormatting>
  <conditionalFormatting sqref="Q559:Q564">
    <cfRule type="expression" priority="4965" aboveAverage="0" equalAverage="0" bottom="0" percent="0" rank="0" text="" dxfId="4975">
      <formula>$F559:T2312="pp"</formula>
    </cfRule>
  </conditionalFormatting>
  <conditionalFormatting sqref="Q575:Q576">
    <cfRule type="expression" priority="4966" aboveAverage="0" equalAverage="0" bottom="0" percent="0" rank="0" text="" dxfId="4976">
      <formula>$F575:T2313="pp"</formula>
    </cfRule>
  </conditionalFormatting>
  <conditionalFormatting sqref="Q577:Q581">
    <cfRule type="expression" priority="4967" aboveAverage="0" equalAverage="0" bottom="0" percent="0" rank="0" text="" dxfId="4977">
      <formula>$F577:T2310="pp"</formula>
    </cfRule>
  </conditionalFormatting>
  <conditionalFormatting sqref="Q596:Q599">
    <cfRule type="expression" priority="4968" aboveAverage="0" equalAverage="0" bottom="0" percent="0" rank="0" text="" dxfId="4978">
      <formula>$F596:T2306="pp"</formula>
    </cfRule>
  </conditionalFormatting>
  <conditionalFormatting sqref="Q600:Q602">
    <cfRule type="expression" priority="4969" aboveAverage="0" equalAverage="0" bottom="0" percent="0" rank="0" text="" dxfId="4979">
      <formula>$F600:T2306="pp"</formula>
    </cfRule>
  </conditionalFormatting>
  <conditionalFormatting sqref="Q604:Q614">
    <cfRule type="expression" priority="4970" aboveAverage="0" equalAverage="0" bottom="0" percent="0" rank="0" text="" dxfId="4980">
      <formula>$F604:T2299="pp"</formula>
    </cfRule>
  </conditionalFormatting>
  <conditionalFormatting sqref="Q627:Q630">
    <cfRule type="expression" priority="4971" aboveAverage="0" equalAverage="0" bottom="0" percent="0" rank="0" text="" dxfId="4981">
      <formula>$F627:T2300="pp"</formula>
    </cfRule>
  </conditionalFormatting>
  <conditionalFormatting sqref="Q634:Q641">
    <cfRule type="expression" priority="4972" aboveAverage="0" equalAverage="0" bottom="0" percent="0" rank="0" text="" dxfId="4982">
      <formula>$F634:T2297="pp"</formula>
    </cfRule>
  </conditionalFormatting>
  <conditionalFormatting sqref="Q643:Q655">
    <cfRule type="expression" priority="4973" aboveAverage="0" equalAverage="0" bottom="0" percent="0" rank="0" text="" dxfId="4983">
      <formula>$F643:T2296="pp"</formula>
    </cfRule>
  </conditionalFormatting>
  <conditionalFormatting sqref="Q665:Q667">
    <cfRule type="expression" priority="4974" aboveAverage="0" equalAverage="0" bottom="0" percent="0" rank="0" text="" dxfId="4984">
      <formula>$F665:T2300="pp"</formula>
    </cfRule>
  </conditionalFormatting>
  <conditionalFormatting sqref="Q676:Q681">
    <cfRule type="expression" priority="4975" aboveAverage="0" equalAverage="0" bottom="0" percent="0" rank="0" text="" dxfId="4985">
      <formula>$F676:T2301="pp"</formula>
    </cfRule>
  </conditionalFormatting>
  <conditionalFormatting sqref="Q683:Q684">
    <cfRule type="expression" priority="4976" aboveAverage="0" equalAverage="0" bottom="0" percent="0" rank="0" text="" dxfId="4986">
      <formula>$F683:T2306="pp"</formula>
    </cfRule>
  </conditionalFormatting>
  <conditionalFormatting sqref="Q685:Q688">
    <cfRule type="expression" priority="4977" aboveAverage="0" equalAverage="0" bottom="0" percent="0" rank="0" text="" dxfId="4987">
      <formula>$F685:T2303="pp"</formula>
    </cfRule>
  </conditionalFormatting>
  <conditionalFormatting sqref="Q689:Q691">
    <cfRule type="expression" priority="4978" aboveAverage="0" equalAverage="0" bottom="0" percent="0" rank="0" text="" dxfId="4988">
      <formula>$F689:T2303="pp"</formula>
    </cfRule>
  </conditionalFormatting>
  <conditionalFormatting sqref="Q692:Q696">
    <cfRule type="expression" priority="4979" aboveAverage="0" equalAverage="0" bottom="0" percent="0" rank="0" text="" dxfId="4989">
      <formula>$F692:T2298="pp"</formula>
    </cfRule>
  </conditionalFormatting>
  <conditionalFormatting sqref="Q697:Q701">
    <cfRule type="expression" priority="4980" aboveAverage="0" equalAverage="0" bottom="0" percent="0" rank="0" text="" dxfId="4990">
      <formula>$F697:T2300="pp"</formula>
    </cfRule>
  </conditionalFormatting>
  <conditionalFormatting sqref="Q702:Q705">
    <cfRule type="expression" priority="4981" aboveAverage="0" equalAverage="0" bottom="0" percent="0" rank="0" text="" dxfId="4991">
      <formula>$F702:T2301="pp"</formula>
    </cfRule>
  </conditionalFormatting>
  <conditionalFormatting sqref="Q706:Q707">
    <cfRule type="expression" priority="4982" aboveAverage="0" equalAverage="0" bottom="0" percent="0" rank="0" text="" dxfId="4992">
      <formula>$F706:T2303="pp"</formula>
    </cfRule>
  </conditionalFormatting>
  <conditionalFormatting sqref="Q708:Q712">
    <cfRule type="expression" priority="4983" aboveAverage="0" equalAverage="0" bottom="0" percent="0" rank="0" text="" dxfId="4993">
      <formula>$F708:T2301="pp"</formula>
    </cfRule>
  </conditionalFormatting>
  <conditionalFormatting sqref="Q713:Q716">
    <cfRule type="expression" priority="4984" aboveAverage="0" equalAverage="0" bottom="0" percent="0" rank="0" text="" dxfId="4994">
      <formula>$F713:T2301="pp"</formula>
    </cfRule>
  </conditionalFormatting>
  <conditionalFormatting sqref="Q722:Q724">
    <cfRule type="expression" priority="4985" aboveAverage="0" equalAverage="0" bottom="0" percent="0" rank="0" text="" dxfId="4995">
      <formula>$F722:T2302="pp"</formula>
    </cfRule>
  </conditionalFormatting>
  <conditionalFormatting sqref="Q733:Q735">
    <cfRule type="expression" priority="4986" aboveAverage="0" equalAverage="0" bottom="0" percent="0" rank="0" text="" dxfId="4996">
      <formula>$F733:T2304="pp"</formula>
    </cfRule>
  </conditionalFormatting>
  <conditionalFormatting sqref="Q737:Q739">
    <cfRule type="expression" priority="4987" aboveAverage="0" equalAverage="0" bottom="0" percent="0" rank="0" text="" dxfId="4997">
      <formula>$F737:T2296="pp"</formula>
    </cfRule>
  </conditionalFormatting>
  <conditionalFormatting sqref="Q741:Q747">
    <cfRule type="expression" priority="4988" aboveAverage="0" equalAverage="0" bottom="0" percent="0" rank="0" text="" dxfId="4998">
      <formula>$F741:T2302="pp"</formula>
    </cfRule>
  </conditionalFormatting>
  <conditionalFormatting sqref="Q748:Q752">
    <cfRule type="expression" priority="4989" aboveAverage="0" equalAverage="0" bottom="0" percent="0" rank="0" text="" dxfId="4999">
      <formula>$F748:T2302="pp"</formula>
    </cfRule>
  </conditionalFormatting>
  <conditionalFormatting sqref="Q754:Q758">
    <cfRule type="expression" priority="4990" aboveAverage="0" equalAverage="0" bottom="0" percent="0" rank="0" text="" dxfId="5000">
      <formula>$F754:T2298="pp"</formula>
    </cfRule>
  </conditionalFormatting>
  <conditionalFormatting sqref="Q759:Q766">
    <cfRule type="expression" priority="4991" aboveAverage="0" equalAverage="0" bottom="0" percent="0" rank="0" text="" dxfId="5001">
      <formula>$F759:T2299="pp"</formula>
    </cfRule>
  </conditionalFormatting>
  <conditionalFormatting sqref="Q778:Q782">
    <cfRule type="expression" priority="4992" aboveAverage="0" equalAverage="0" bottom="0" percent="0" rank="0" text="" dxfId="5002">
      <formula>$F778:T2300="pp"</formula>
    </cfRule>
  </conditionalFormatting>
  <conditionalFormatting sqref="Q789:Q801">
    <cfRule type="expression" priority="4993" aboveAverage="0" equalAverage="0" bottom="0" percent="0" rank="0" text="" dxfId="5003">
      <formula>$F789:T2304="pp"</formula>
    </cfRule>
  </conditionalFormatting>
  <conditionalFormatting sqref="Q803:Q809">
    <cfRule type="expression" priority="4994" aboveAverage="0" equalAverage="0" bottom="0" percent="0" rank="0" text="" dxfId="5004">
      <formula>$F803:T2306="pp"</formula>
    </cfRule>
  </conditionalFormatting>
  <conditionalFormatting sqref="Q810:Q812">
    <cfRule type="expression" priority="4995" aboveAverage="0" equalAverage="0" bottom="0" percent="0" rank="0" text="" dxfId="5005">
      <formula>$F810:T2303="pp"</formula>
    </cfRule>
  </conditionalFormatting>
  <conditionalFormatting sqref="Q819:Q829">
    <cfRule type="expression" priority="4996" aboveAverage="0" equalAverage="0" bottom="0" percent="0" rank="0" text="" dxfId="5006">
      <formula>$F819:T2305="pp"</formula>
    </cfRule>
  </conditionalFormatting>
  <conditionalFormatting sqref="Q836:Q839">
    <cfRule type="expression" priority="4997" aboveAverage="0" equalAverage="0" bottom="0" percent="0" rank="0" text="" dxfId="5007">
      <formula>$F836:T2314="pp"</formula>
    </cfRule>
  </conditionalFormatting>
  <conditionalFormatting sqref="Q841:Q847">
    <cfRule type="expression" priority="4998" aboveAverage="0" equalAverage="0" bottom="0" percent="0" rank="0" text="" dxfId="5008">
      <formula>$F841:T2315="pp"</formula>
    </cfRule>
  </conditionalFormatting>
  <conditionalFormatting sqref="Q849:Q851 Q855:Q856">
    <cfRule type="expression" priority="4999" aboveAverage="0" equalAverage="0" bottom="0" percent="0" rank="0" text="" dxfId="5009">
      <formula>$F849:T2318="pp"</formula>
    </cfRule>
  </conditionalFormatting>
  <conditionalFormatting sqref="Q887:Q896">
    <cfRule type="expression" priority="5000" aboveAverage="0" equalAverage="0" bottom="0" percent="0" rank="0" text="" dxfId="5010">
      <formula>$F887:T2313="pp"</formula>
    </cfRule>
  </conditionalFormatting>
  <conditionalFormatting sqref="Q898:Q905">
    <cfRule type="expression" priority="5001" aboveAverage="0" equalAverage="0" bottom="0" percent="0" rank="0" text="" dxfId="5011">
      <formula>$F898:T2308="pp"</formula>
    </cfRule>
  </conditionalFormatting>
  <conditionalFormatting sqref="Q925:Q926">
    <cfRule type="expression" priority="5002" aboveAverage="0" equalAverage="0" bottom="0" percent="0" rank="0" text="" dxfId="5012">
      <formula>$F925:T2309="pp"</formula>
    </cfRule>
  </conditionalFormatting>
  <conditionalFormatting sqref="Q939:Q949">
    <cfRule type="expression" priority="5003" aboveAverage="0" equalAverage="0" bottom="0" percent="0" rank="0" text="" dxfId="5013">
      <formula>$F939:T2309="pp"</formula>
    </cfRule>
  </conditionalFormatting>
  <conditionalFormatting sqref="Q950:Q959">
    <cfRule type="expression" priority="5004" aboveAverage="0" equalAverage="0" bottom="0" percent="0" rank="0" text="" dxfId="5014">
      <formula>$F950:T2303="pp"</formula>
    </cfRule>
  </conditionalFormatting>
  <conditionalFormatting sqref="Q980:Q986">
    <cfRule type="expression" priority="5005" aboveAverage="0" equalAverage="0" bottom="0" percent="0" rank="0" text="" dxfId="5015">
      <formula>$F980:T2311="pp"</formula>
    </cfRule>
  </conditionalFormatting>
  <conditionalFormatting sqref="Q987:Q989">
    <cfRule type="expression" priority="5006" aboveAverage="0" equalAverage="0" bottom="0" percent="0" rank="0" text="" dxfId="5016">
      <formula>$F987:T2310="pp"</formula>
    </cfRule>
  </conditionalFormatting>
  <conditionalFormatting sqref="Q1004:Q1006">
    <cfRule type="expression" priority="5007" aboveAverage="0" equalAverage="0" bottom="0" percent="0" rank="0" text="" dxfId="5017">
      <formula>$F1004:T2309="pp"</formula>
    </cfRule>
  </conditionalFormatting>
  <conditionalFormatting sqref="Q1033:Q1043">
    <cfRule type="expression" priority="5008" aboveAverage="0" equalAverage="0" bottom="0" percent="0" rank="0" text="" dxfId="5018">
      <formula>$F1033:T2315="pp"</formula>
    </cfRule>
  </conditionalFormatting>
  <conditionalFormatting sqref="Q1046:Q1048">
    <cfRule type="expression" priority="5009" aboveAverage="0" equalAverage="0" bottom="0" percent="0" rank="0" text="" dxfId="5019">
      <formula>$F1046:T2325="pp"</formula>
    </cfRule>
  </conditionalFormatting>
  <conditionalFormatting sqref="Q1049:Q1051">
    <cfRule type="expression" priority="5010" aboveAverage="0" equalAverage="0" bottom="0" percent="0" rank="0" text="" dxfId="5020">
      <formula>$F1049:T2319="pp"</formula>
    </cfRule>
  </conditionalFormatting>
  <conditionalFormatting sqref="Q1060:Q1072">
    <cfRule type="expression" priority="5011" aboveAverage="0" equalAverage="0" bottom="0" percent="0" rank="0" text="" dxfId="5021">
      <formula>$F1060:T2303="pp"</formula>
    </cfRule>
  </conditionalFormatting>
  <conditionalFormatting sqref="Q1074:Q1077">
    <cfRule type="expression" priority="5012" aboveAverage="0" equalAverage="0" bottom="0" percent="0" rank="0" text="" dxfId="5022">
      <formula>$F1074:T2300="pp"</formula>
    </cfRule>
  </conditionalFormatting>
  <conditionalFormatting sqref="Q1078:Q1079">
    <cfRule type="expression" priority="5013" aboveAverage="0" equalAverage="0" bottom="0" percent="0" rank="0" text="" dxfId="5023">
      <formula>$F1078:T2300="pp"</formula>
    </cfRule>
  </conditionalFormatting>
  <conditionalFormatting sqref="Q1080:Q1095">
    <cfRule type="expression" priority="5014" aboveAverage="0" equalAverage="0" bottom="0" percent="0" rank="0" text="" dxfId="5024">
      <formula>$F1080:T2300="pp"</formula>
    </cfRule>
  </conditionalFormatting>
  <conditionalFormatting sqref="Q1099:Q1114">
    <cfRule type="expression" priority="5015" aboveAverage="0" equalAverage="0" bottom="0" percent="0" rank="0" text="" dxfId="5025">
      <formula>$F1099:T2315="pp"</formula>
    </cfRule>
  </conditionalFormatting>
  <conditionalFormatting sqref="Q1116:Q1118">
    <cfRule type="expression" priority="5016" aboveAverage="0" equalAverage="0" bottom="0" percent="0" rank="0" text="" dxfId="5026">
      <formula>$F1116:T2301="pp"</formula>
    </cfRule>
  </conditionalFormatting>
  <conditionalFormatting sqref="Q1119:Q1125">
    <cfRule type="expression" priority="5017" aboveAverage="0" equalAverage="0" bottom="0" percent="0" rank="0" text="" dxfId="5027">
      <formula>$F1119:T2302="pp"</formula>
    </cfRule>
  </conditionalFormatting>
  <conditionalFormatting sqref="Q1126:Q1129">
    <cfRule type="expression" priority="5018" aboveAverage="0" equalAverage="0" bottom="0" percent="0" rank="0" text="" dxfId="5028">
      <formula>$F1126:T2304="pp"</formula>
    </cfRule>
  </conditionalFormatting>
  <conditionalFormatting sqref="Q1137:Q1142">
    <cfRule type="expression" priority="5019" aboveAverage="0" equalAverage="0" bottom="0" percent="0" rank="0" text="" dxfId="5029">
      <formula>$F1137:T2305="pp"</formula>
    </cfRule>
  </conditionalFormatting>
  <conditionalFormatting sqref="Q1162:Q1170">
    <cfRule type="expression" priority="5020" aboveAverage="0" equalAverage="0" bottom="0" percent="0" rank="0" text="" dxfId="5030">
      <formula>$F1162:T2315="pp"</formula>
    </cfRule>
  </conditionalFormatting>
  <conditionalFormatting sqref="Q1171:Q1174 Q1176:Q1185">
    <cfRule type="expression" priority="5021" aboveAverage="0" equalAverage="0" bottom="0" percent="0" rank="0" text="" dxfId="5031">
      <formula>$F1171:T2318="pp"</formula>
    </cfRule>
  </conditionalFormatting>
  <conditionalFormatting sqref="Q1198:Q1201">
    <cfRule type="expression" priority="5022" aboveAverage="0" equalAverage="0" bottom="0" percent="0" rank="0" text="" dxfId="5032">
      <formula>$F1198:T2331="pp"</formula>
    </cfRule>
  </conditionalFormatting>
  <conditionalFormatting sqref="Q1202:Q1208">
    <cfRule type="expression" priority="5023" aboveAverage="0" equalAverage="0" bottom="0" percent="0" rank="0" text="" dxfId="5033">
      <formula>$F1202:T2318="pp"</formula>
    </cfRule>
  </conditionalFormatting>
  <conditionalFormatting sqref="Q1209:Q1219">
    <cfRule type="expression" priority="5024" aboveAverage="0" equalAverage="0" bottom="0" percent="0" rank="0" text="" dxfId="5034">
      <formula>$F1209:T2319="pp"</formula>
    </cfRule>
  </conditionalFormatting>
  <conditionalFormatting sqref="Q1220:Q1226">
    <cfRule type="expression" priority="5025" aboveAverage="0" equalAverage="0" bottom="0" percent="0" rank="0" text="" dxfId="5035">
      <formula>$F1220:T2324="pp"</formula>
    </cfRule>
  </conditionalFormatting>
  <conditionalFormatting sqref="Q1228:Q1230">
    <cfRule type="expression" priority="5026" aboveAverage="0" equalAverage="0" bottom="0" percent="0" rank="0" text="" dxfId="5036">
      <formula>$F1228:T2310="pp"</formula>
    </cfRule>
  </conditionalFormatting>
  <conditionalFormatting sqref="Q1238:Q1248">
    <cfRule type="expression" priority="5027" aboveAverage="0" equalAverage="0" bottom="0" percent="0" rank="0" text="" dxfId="5037">
      <formula>$F1238:T2312="pp"</formula>
    </cfRule>
  </conditionalFormatting>
  <conditionalFormatting sqref="Q1267:Q1269">
    <cfRule type="expression" priority="5028" aboveAverage="0" equalAverage="0" bottom="0" percent="0" rank="0" text="" dxfId="5038">
      <formula>$F1267:T2320="pp"</formula>
    </cfRule>
  </conditionalFormatting>
  <conditionalFormatting sqref="Q1271:Q1275">
    <cfRule type="expression" priority="5029" aboveAverage="0" equalAverage="0" bottom="0" percent="0" rank="0" text="" dxfId="5039">
      <formula>$F1271:T2313="pp"</formula>
    </cfRule>
  </conditionalFormatting>
  <conditionalFormatting sqref="Q1293:Q1295">
    <cfRule type="expression" priority="5030" aboveAverage="0" equalAverage="0" bottom="0" percent="0" rank="0" text="" dxfId="5040">
      <formula>$F1293:T2315="pp"</formula>
    </cfRule>
  </conditionalFormatting>
  <conditionalFormatting sqref="Q1303:Q1310">
    <cfRule type="expression" priority="5031" aboveAverage="0" equalAverage="0" bottom="0" percent="0" rank="0" text="" dxfId="5041">
      <formula>$F1303:T2313="pp"</formula>
    </cfRule>
  </conditionalFormatting>
  <conditionalFormatting sqref="Q1311:Q1315">
    <cfRule type="expression" priority="5032" aboveAverage="0" equalAverage="0" bottom="0" percent="0" rank="0" text="" dxfId="5042">
      <formula>$F1311:T2316="pp"</formula>
    </cfRule>
  </conditionalFormatting>
  <conditionalFormatting sqref="Q1330:Q1333">
    <cfRule type="expression" priority="5033" aboveAverage="0" equalAverage="0" bottom="0" percent="0" rank="0" text="" dxfId="5043">
      <formula>$F1330:T2298="pp"</formula>
    </cfRule>
  </conditionalFormatting>
  <conditionalFormatting sqref="Q1335:Q1339">
    <cfRule type="expression" priority="5034" aboveAverage="0" equalAverage="0" bottom="0" percent="0" rank="0" text="" dxfId="5044">
      <formula>$F1335:T2298="pp"</formula>
    </cfRule>
  </conditionalFormatting>
  <conditionalFormatting sqref="Q1340:Q1345">
    <cfRule type="expression" priority="5035" aboveAverage="0" equalAverage="0" bottom="0" percent="0" rank="0" text="" dxfId="5045">
      <formula>$F1340:T2298="pp"</formula>
    </cfRule>
  </conditionalFormatting>
  <conditionalFormatting sqref="Q1347:Q1349">
    <cfRule type="expression" priority="5036" aboveAverage="0" equalAverage="0" bottom="0" percent="0" rank="0" text="" dxfId="5046">
      <formula>$F1347:T2303="pp"</formula>
    </cfRule>
  </conditionalFormatting>
  <conditionalFormatting sqref="Q1359:Q1366">
    <cfRule type="expression" priority="5037" aboveAverage="0" equalAverage="0" bottom="0" percent="0" rank="0" text="" dxfId="5047">
      <formula>$F1359:T2303="pp"</formula>
    </cfRule>
  </conditionalFormatting>
  <conditionalFormatting sqref="Q1390:Q1393">
    <cfRule type="expression" priority="5038" aboveAverage="0" equalAverage="0" bottom="0" percent="0" rank="0" text="" dxfId="5048">
      <formula>$F1390:T2310="pp"</formula>
    </cfRule>
  </conditionalFormatting>
  <conditionalFormatting sqref="Q1395:Q1400">
    <cfRule type="expression" priority="5039" aboveAverage="0" equalAverage="0" bottom="0" percent="0" rank="0" text="" dxfId="5049">
      <formula>$F1395:T2313="pp"</formula>
    </cfRule>
  </conditionalFormatting>
  <conditionalFormatting sqref="Q1401:Q1407">
    <cfRule type="expression" priority="5040" aboveAverage="0" equalAverage="0" bottom="0" percent="0" rank="0" text="" dxfId="5050">
      <formula>$F1401:T2313="pp"</formula>
    </cfRule>
  </conditionalFormatting>
  <conditionalFormatting sqref="Q1428:Q1433">
    <cfRule type="expression" priority="5041" aboveAverage="0" equalAverage="0" bottom="0" percent="0" rank="0" text="" dxfId="5051">
      <formula>$F1428:T2326="pp"</formula>
    </cfRule>
  </conditionalFormatting>
  <conditionalFormatting sqref="Q1434:Q1435">
    <cfRule type="expression" priority="5042" aboveAverage="0" equalAverage="0" bottom="0" percent="0" rank="0" text="" dxfId="5052">
      <formula>$F1434:T2330="pp"</formula>
    </cfRule>
  </conditionalFormatting>
  <conditionalFormatting sqref="Q1437:Q1441">
    <cfRule type="expression" priority="5043" aboveAverage="0" equalAverage="0" bottom="0" percent="0" rank="0" text="" dxfId="5053">
      <formula>$F1437:T2330="pp"</formula>
    </cfRule>
  </conditionalFormatting>
  <conditionalFormatting sqref="Q1459:Q1463">
    <cfRule type="expression" priority="5044" aboveAverage="0" equalAverage="0" bottom="0" percent="0" rank="0" text="" dxfId="5054">
      <formula>$F1459:T2334="pp"</formula>
    </cfRule>
  </conditionalFormatting>
  <conditionalFormatting sqref="Q1472:Q1473 Q1476:Q1479">
    <cfRule type="expression" priority="5045" aboveAverage="0" equalAverage="0" bottom="0" percent="0" rank="0" text="" dxfId="5055">
      <formula>$F1472:T2327="pp"</formula>
    </cfRule>
  </conditionalFormatting>
  <conditionalFormatting sqref="Q1486:Q1488">
    <cfRule type="expression" priority="5046" aboveAverage="0" equalAverage="0" bottom="0" percent="0" rank="0" text="" dxfId="5056">
      <formula>$F1486:T2334="pp"</formula>
    </cfRule>
  </conditionalFormatting>
  <conditionalFormatting sqref="Q1490:Q1495">
    <cfRule type="expression" priority="5047" aboveAverage="0" equalAverage="0" bottom="0" percent="0" rank="0" text="" dxfId="5057">
      <formula>$F1490:T2328="pp"</formula>
    </cfRule>
  </conditionalFormatting>
  <conditionalFormatting sqref="Q1508:Q1509">
    <cfRule type="expression" priority="5048" aboveAverage="0" equalAverage="0" bottom="0" percent="0" rank="0" text="" dxfId="5058">
      <formula>$F1508:T2334="pp"</formula>
    </cfRule>
  </conditionalFormatting>
  <conditionalFormatting sqref="Q1510:Q1513">
    <cfRule type="expression" priority="5049" aboveAverage="0" equalAverage="0" bottom="0" percent="0" rank="0" text="" dxfId="5059">
      <formula>$F1510:T2332="pp"</formula>
    </cfRule>
  </conditionalFormatting>
  <conditionalFormatting sqref="Q1552:Q1559">
    <cfRule type="expression" priority="5050" aboveAverage="0" equalAverage="0" bottom="0" percent="0" rank="0" text="" dxfId="5060">
      <formula>$F1552:T2345="pp"</formula>
    </cfRule>
  </conditionalFormatting>
  <conditionalFormatting sqref="Q1560:Q1562">
    <cfRule type="expression" priority="5051" aboveAverage="0" equalAverage="0" bottom="0" percent="0" rank="0" text="" dxfId="5061">
      <formula>$F1560:T2345="pp"</formula>
    </cfRule>
  </conditionalFormatting>
  <conditionalFormatting sqref="Q1563:Q1564">
    <cfRule type="expression" priority="5052" aboveAverage="0" equalAverage="0" bottom="0" percent="0" rank="0" text="" dxfId="5062">
      <formula>$F1563:T2350="pp"</formula>
    </cfRule>
  </conditionalFormatting>
  <conditionalFormatting sqref="Q1565:Q1568">
    <cfRule type="expression" priority="5053" aboveAverage="0" equalAverage="0" bottom="0" percent="0" rank="0" text="" dxfId="5063">
      <formula>$F1565:T2346="pp"</formula>
    </cfRule>
  </conditionalFormatting>
  <conditionalFormatting sqref="Q1570:Q1574">
    <cfRule type="expression" priority="5054" aboveAverage="0" equalAverage="0" bottom="0" percent="0" rank="0" text="" dxfId="5064">
      <formula>$F1570:T2337="pp"</formula>
    </cfRule>
  </conditionalFormatting>
  <conditionalFormatting sqref="Q1575:Q1576">
    <cfRule type="expression" priority="5055" aboveAverage="0" equalAverage="0" bottom="0" percent="0" rank="0" text="" dxfId="5065">
      <formula>$F1575:T2340="pp"</formula>
    </cfRule>
  </conditionalFormatting>
  <conditionalFormatting sqref="Q1578:Q1590">
    <cfRule type="expression" priority="5056" aboveAverage="0" equalAverage="0" bottom="0" percent="0" rank="0" text="" dxfId="5066">
      <formula>$F1578:T2333="pp"</formula>
    </cfRule>
  </conditionalFormatting>
  <conditionalFormatting sqref="Q1591:Q1595">
    <cfRule type="expression" priority="5057" aboveAverage="0" equalAverage="0" bottom="0" percent="0" rank="0" text="" dxfId="5067">
      <formula>$F1591:T2333="pp"</formula>
    </cfRule>
  </conditionalFormatting>
  <conditionalFormatting sqref="Q1597:Q1601">
    <cfRule type="expression" priority="5058" aboveAverage="0" equalAverage="0" bottom="0" percent="0" rank="0" text="" dxfId="5068">
      <formula>$F1597:T2336="pp"</formula>
    </cfRule>
  </conditionalFormatting>
  <conditionalFormatting sqref="Q1602:Q1606">
    <cfRule type="expression" priority="5059" aboveAverage="0" equalAverage="0" bottom="0" percent="0" rank="0" text="" dxfId="5069">
      <formula>$F1602:T2327="pp"</formula>
    </cfRule>
  </conditionalFormatting>
  <conditionalFormatting sqref="Q1607:Q1610">
    <cfRule type="expression" priority="5060" aboveAverage="0" equalAverage="0" bottom="0" percent="0" rank="0" text="" dxfId="5070">
      <formula>$F1607:T2328="pp"</formula>
    </cfRule>
  </conditionalFormatting>
  <conditionalFormatting sqref="Q1611:Q1614">
    <cfRule type="expression" priority="5061" aboveAverage="0" equalAverage="0" bottom="0" percent="0" rank="0" text="" dxfId="5071">
      <formula>$F1611:T2330="pp"</formula>
    </cfRule>
  </conditionalFormatting>
  <conditionalFormatting sqref="Q1616:Q1619">
    <cfRule type="expression" priority="5062" aboveAverage="0" equalAverage="0" bottom="0" percent="0" rank="0" text="" dxfId="5072">
      <formula>$F1616:T2330="pp"</formula>
    </cfRule>
  </conditionalFormatting>
  <conditionalFormatting sqref="Q1620:Q1639">
    <cfRule type="expression" priority="5063" aboveAverage="0" equalAverage="0" bottom="0" percent="0" rank="0" text="" dxfId="5073">
      <formula>$F1620:T2329="pp"</formula>
    </cfRule>
  </conditionalFormatting>
  <conditionalFormatting sqref="Q1661:Q1664">
    <cfRule type="expression" priority="5064" aboveAverage="0" equalAverage="0" bottom="0" percent="0" rank="0" text="" dxfId="5074">
      <formula>$F1661:T2340="pp"</formula>
    </cfRule>
  </conditionalFormatting>
  <conditionalFormatting sqref="Q1666:Q1675">
    <cfRule type="expression" priority="5065" aboveAverage="0" equalAverage="0" bottom="0" percent="0" rank="0" text="" dxfId="5075">
      <formula>$F1666:T2335="pp"</formula>
    </cfRule>
  </conditionalFormatting>
  <conditionalFormatting sqref="Q1678:Q1679">
    <cfRule type="expression" priority="5066" aboveAverage="0" equalAverage="0" bottom="0" percent="0" rank="0" text="" dxfId="5076">
      <formula>$F1678:T2332="pp"</formula>
    </cfRule>
  </conditionalFormatting>
  <conditionalFormatting sqref="Q1682:Q1688">
    <cfRule type="expression" priority="5067" aboveAverage="0" equalAverage="0" bottom="0" percent="0" rank="0" text="" dxfId="5077">
      <formula>$F1682:T2328="pp"</formula>
    </cfRule>
  </conditionalFormatting>
  <conditionalFormatting sqref="Q1694:Q1695 Q1697:Q1699">
    <cfRule type="expression" priority="5068" aboveAverage="0" equalAverage="0" bottom="0" percent="0" rank="0" text="" dxfId="5078">
      <formula>$F1694:T2332="pp"</formula>
    </cfRule>
  </conditionalFormatting>
  <conditionalFormatting sqref="Q1701:Q1702">
    <cfRule type="expression" priority="5069" aboveAverage="0" equalAverage="0" bottom="0" percent="0" rank="0" text="" dxfId="5079">
      <formula>$F1701:T2337="pp"</formula>
    </cfRule>
  </conditionalFormatting>
  <conditionalFormatting sqref="Q1710:Q1715">
    <cfRule type="expression" priority="5070" aboveAverage="0" equalAverage="0" bottom="0" percent="0" rank="0" text="" dxfId="5080">
      <formula>$F1710:T2338="pp"</formula>
    </cfRule>
  </conditionalFormatting>
  <conditionalFormatting sqref="Q1716:Q1717">
    <cfRule type="expression" priority="5071" aboveAverage="0" equalAverage="0" bottom="0" percent="0" rank="0" text="" dxfId="5081">
      <formula>$F1716:T2342="pp"</formula>
    </cfRule>
  </conditionalFormatting>
  <conditionalFormatting sqref="Q1718:Q1720">
    <cfRule type="expression" priority="5072" aboveAverage="0" equalAverage="0" bottom="0" percent="0" rank="0" text="" dxfId="5082">
      <formula>$F1718:T2341="pp"</formula>
    </cfRule>
  </conditionalFormatting>
  <conditionalFormatting sqref="Q1726:Q1745">
    <cfRule type="expression" priority="5073" aboveAverage="0" equalAverage="0" bottom="0" percent="0" rank="0" text="" dxfId="5083">
      <formula>$F1726:T2330="pp"</formula>
    </cfRule>
  </conditionalFormatting>
  <conditionalFormatting sqref="Q1746:Q1760">
    <cfRule type="expression" priority="5074" aboveAverage="0" equalAverage="0" bottom="0" percent="0" rank="0" text="" dxfId="5084">
      <formula>$F1746:T2335="pp"</formula>
    </cfRule>
  </conditionalFormatting>
  <conditionalFormatting sqref="Q1761:Q1767">
    <cfRule type="expression" priority="5075" aboveAverage="0" equalAverage="0" bottom="0" percent="0" rank="0" text="" dxfId="5085">
      <formula>$F1761:T2335="pp"</formula>
    </cfRule>
  </conditionalFormatting>
  <conditionalFormatting sqref="Q1770:Q1776">
    <cfRule type="expression" priority="5076" aboveAverage="0" equalAverage="0" bottom="0" percent="0" rank="0" text="" dxfId="5086">
      <formula>$F1770:T2331="pp"</formula>
    </cfRule>
  </conditionalFormatting>
  <conditionalFormatting sqref="Q1777:Q1779">
    <cfRule type="expression" priority="5077" aboveAverage="0" equalAverage="0" bottom="0" percent="0" rank="0" text="" dxfId="5087">
      <formula>$F1777:T2333="pp"</formula>
    </cfRule>
  </conditionalFormatting>
  <conditionalFormatting sqref="Q1780:Q1782">
    <cfRule type="expression" priority="5078" aboveAverage="0" equalAverage="0" bottom="0" percent="0" rank="0" text="" dxfId="5088">
      <formula>$F1780:T2333="pp"</formula>
    </cfRule>
  </conditionalFormatting>
  <conditionalFormatting sqref="Q1783:Q1785">
    <cfRule type="expression" priority="5079" aboveAverage="0" equalAverage="0" bottom="0" percent="0" rank="0" text="" dxfId="5089">
      <formula>$F1783:T2333="pp"</formula>
    </cfRule>
  </conditionalFormatting>
  <conditionalFormatting sqref="Q1786:Q1788">
    <cfRule type="expression" priority="5080" aboveAverage="0" equalAverage="0" bottom="0" percent="0" rank="0" text="" dxfId="5090">
      <formula>$F1786:T2333="pp"</formula>
    </cfRule>
  </conditionalFormatting>
  <conditionalFormatting sqref="Q1789:Q1790">
    <cfRule type="expression" priority="5081" aboveAverage="0" equalAverage="0" bottom="0" percent="0" rank="0" text="" dxfId="5091">
      <formula>$F1789:T2334="pp"</formula>
    </cfRule>
  </conditionalFormatting>
  <conditionalFormatting sqref="Q1795:Q1796 Q1804:Q1809">
    <cfRule type="expression" priority="5082" aboveAverage="0" equalAverage="0" bottom="0" percent="0" rank="0" text="" dxfId="5092">
      <formula>$F1795:T2330="pp"</formula>
    </cfRule>
  </conditionalFormatting>
  <conditionalFormatting sqref="Q1810:Q1813">
    <cfRule type="expression" priority="5083" aboveAverage="0" equalAverage="0" bottom="0" percent="0" rank="0" text="" dxfId="5093">
      <formula>$F1810:T2341="pp"</formula>
    </cfRule>
  </conditionalFormatting>
  <conditionalFormatting sqref="Q1830:Q1834">
    <cfRule type="expression" priority="5084" aboveAverage="0" equalAverage="0" bottom="0" percent="0" rank="0" text="" dxfId="5094">
      <formula>$F1830:T2349="pp"</formula>
    </cfRule>
  </conditionalFormatting>
  <conditionalFormatting sqref="Q1835:Q1836">
    <cfRule type="expression" priority="5085" aboveAverage="0" equalAverage="0" bottom="0" percent="0" rank="0" text="" dxfId="5095">
      <formula>$F1835:T2348="pp"</formula>
    </cfRule>
  </conditionalFormatting>
  <conditionalFormatting sqref="Q1837:Q1844">
    <cfRule type="expression" priority="5086" aboveAverage="0" equalAverage="0" bottom="0" percent="0" rank="0" text="" dxfId="5096">
      <formula>$F1837:T2344="pp"</formula>
    </cfRule>
  </conditionalFormatting>
  <conditionalFormatting sqref="Q1845:Q1865">
    <cfRule type="expression" priority="5087" aboveAverage="0" equalAverage="0" bottom="0" percent="0" rank="0" text="" dxfId="5097">
      <formula>$F1845:T2345="pp"</formula>
    </cfRule>
  </conditionalFormatting>
  <conditionalFormatting sqref="Q1880:Q1881">
    <cfRule type="expression" priority="5088" aboveAverage="0" equalAverage="0" bottom="0" percent="0" rank="0" text="" dxfId="5098">
      <formula>$F1880:T2357="pp"</formula>
    </cfRule>
  </conditionalFormatting>
  <conditionalFormatting sqref="Q1882:Q1888">
    <cfRule type="expression" priority="5089" aboveAverage="0" equalAverage="0" bottom="0" percent="0" rank="0" text="" dxfId="5099">
      <formula>$F1882:T2345="pp"</formula>
    </cfRule>
  </conditionalFormatting>
  <conditionalFormatting sqref="Q1904:Q1905">
    <cfRule type="expression" priority="5090" aboveAverage="0" equalAverage="0" bottom="0" percent="0" rank="0" text="" dxfId="5100">
      <formula>$F1904:T2345="pp"</formula>
    </cfRule>
  </conditionalFormatting>
  <conditionalFormatting sqref="Q1906:Q1910">
    <cfRule type="expression" priority="5091" aboveAverage="0" equalAverage="0" bottom="0" percent="0" rank="0" text="" dxfId="5101">
      <formula>$F1906:T2341="pp"</formula>
    </cfRule>
  </conditionalFormatting>
  <conditionalFormatting sqref="Q1911:Q1917">
    <cfRule type="expression" priority="5092" aboveAverage="0" equalAverage="0" bottom="0" percent="0" rank="0" text="" dxfId="5102">
      <formula>$F1911:T2339="pp"</formula>
    </cfRule>
  </conditionalFormatting>
  <conditionalFormatting sqref="Q1919:Q1921">
    <cfRule type="expression" priority="5093" aboveAverage="0" equalAverage="0" bottom="0" percent="0" rank="0" text="" dxfId="5103">
      <formula>$F1919:T2343="pp"</formula>
    </cfRule>
  </conditionalFormatting>
  <conditionalFormatting sqref="Q1946:Q1948">
    <cfRule type="expression" priority="5094" aboveAverage="0" equalAverage="0" bottom="0" percent="0" rank="0" text="" dxfId="5104">
      <formula>$F1946:T2350="pp"</formula>
    </cfRule>
  </conditionalFormatting>
  <conditionalFormatting sqref="Q1951:Q1954">
    <cfRule type="expression" priority="5095" aboveAverage="0" equalAverage="0" bottom="0" percent="0" rank="0" text="" dxfId="5105">
      <formula>$F1951:T2351="pp"</formula>
    </cfRule>
  </conditionalFormatting>
  <conditionalFormatting sqref="Q1962:Q1963">
    <cfRule type="expression" priority="5096" aboveAverage="0" equalAverage="0" bottom="0" percent="0" rank="0" text="" dxfId="5106">
      <formula>$F1962:T2354="pp"</formula>
    </cfRule>
  </conditionalFormatting>
  <conditionalFormatting sqref="Q1975:Q1977">
    <cfRule type="expression" priority="5097" aboveAverage="0" equalAverage="0" bottom="0" percent="0" rank="0" text="" dxfId="5107">
      <formula>$F1975:T2353="pp"</formula>
    </cfRule>
  </conditionalFormatting>
  <conditionalFormatting sqref="Q1978:Q1980">
    <cfRule type="expression" priority="5098" aboveAverage="0" equalAverage="0" bottom="0" percent="0" rank="0" text="" dxfId="5108">
      <formula>$F1978:T2351="pp"</formula>
    </cfRule>
  </conditionalFormatting>
  <conditionalFormatting sqref="Q1982:Q1986">
    <cfRule type="expression" priority="5099" aboveAverage="0" equalAverage="0" bottom="0" percent="0" rank="0" text="" dxfId="5109">
      <formula>$F1982:T2350="pp"</formula>
    </cfRule>
  </conditionalFormatting>
  <conditionalFormatting sqref="Q1988:Q1991">
    <cfRule type="expression" priority="5100" aboveAverage="0" equalAverage="0" bottom="0" percent="0" rank="0" text="" dxfId="5110">
      <formula>$F1988:T2336="pp"</formula>
    </cfRule>
  </conditionalFormatting>
  <conditionalFormatting sqref="Q1992:Q1997">
    <cfRule type="expression" priority="5101" aboveAverage="0" equalAverage="0" bottom="0" percent="0" rank="0" text="" dxfId="5111">
      <formula>$F1992:T2337="pp"</formula>
    </cfRule>
  </conditionalFormatting>
  <conditionalFormatting sqref="Q1998:Q2000">
    <cfRule type="expression" priority="5102" aboveAverage="0" equalAverage="0" bottom="0" percent="0" rank="0" text="" dxfId="5112">
      <formula>$F1998:T2340="pp"</formula>
    </cfRule>
  </conditionalFormatting>
  <conditionalFormatting sqref="Q2001:Q2004">
    <cfRule type="expression" priority="5103" aboveAverage="0" equalAverage="0" bottom="0" percent="0" rank="0" text="" dxfId="5113">
      <formula>$F2001:T2340="pp"</formula>
    </cfRule>
  </conditionalFormatting>
  <printOptions headings="false" gridLines="false" gridLinesSet="true" horizontalCentered="false" verticalCentered="false"/>
  <pageMargins left="0.315277777777778" right="0" top="0" bottom="0" header="0.315277777777778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&amp;R&amp;D        &amp;T</oddHeader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W50"/>
  <sheetViews>
    <sheetView showFormulas="false" showGridLines="false" showRowColHeaders="true" showZeros="true" rightToLeft="false" tabSelected="false" showOutlineSymbols="true" defaultGridColor="true" view="normal" topLeftCell="A24" colorId="64" zoomScale="80" zoomScaleNormal="80" zoomScalePageLayoutView="100" workbookViewId="0">
      <selection pane="topLeft" activeCell="M43" activeCellId="0" sqref="M43"/>
    </sheetView>
  </sheetViews>
  <sheetFormatPr defaultColWidth="9.18359375" defaultRowHeight="14.25" zeroHeight="false" outlineLevelRow="0" outlineLevelCol="0"/>
  <cols>
    <col collapsed="false" customWidth="true" hidden="false" outlineLevel="0" max="1" min="1" style="44" width="40"/>
    <col collapsed="false" customWidth="true" hidden="false" outlineLevel="0" max="2" min="2" style="44" width="14"/>
    <col collapsed="false" customWidth="true" hidden="false" outlineLevel="0" max="3" min="3" style="44" width="9.73"/>
    <col collapsed="false" customWidth="true" hidden="false" outlineLevel="0" max="4" min="4" style="44" width="11.27"/>
    <col collapsed="false" customWidth="true" hidden="false" outlineLevel="0" max="5" min="5" style="44" width="16.45"/>
    <col collapsed="false" customWidth="true" hidden="false" outlineLevel="0" max="6" min="6" style="44" width="12.54"/>
    <col collapsed="false" customWidth="true" hidden="false" outlineLevel="0" max="7" min="7" style="44" width="13.82"/>
    <col collapsed="false" customWidth="true" hidden="false" outlineLevel="0" max="8" min="8" style="44" width="8.54"/>
    <col collapsed="false" customWidth="true" hidden="false" outlineLevel="0" max="9" min="9" style="313" width="10"/>
    <col collapsed="false" customWidth="true" hidden="false" outlineLevel="0" max="10" min="10" style="44" width="11"/>
    <col collapsed="false" customWidth="true" hidden="false" outlineLevel="0" max="11" min="11" style="162" width="16.45"/>
    <col collapsed="false" customWidth="true" hidden="false" outlineLevel="0" max="13" min="12" style="44" width="12.27"/>
    <col collapsed="false" customWidth="true" hidden="false" outlineLevel="0" max="14" min="14" style="314" width="11.73"/>
    <col collapsed="false" customWidth="true" hidden="false" outlineLevel="0" max="15" min="15" style="314" width="13.82"/>
    <col collapsed="false" customWidth="true" hidden="false" outlineLevel="0" max="16" min="16" style="44" width="12.45"/>
    <col collapsed="false" customWidth="true" hidden="false" outlineLevel="0" max="17" min="17" style="44" width="15.73"/>
    <col collapsed="false" customWidth="true" hidden="false" outlineLevel="0" max="18" min="18" style="44" width="16.82"/>
    <col collapsed="false" customWidth="false" hidden="false" outlineLevel="0" max="20" min="19" style="44" width="9.18"/>
    <col collapsed="false" customWidth="true" hidden="false" outlineLevel="0" max="21" min="21" style="44" width="8.27"/>
    <col collapsed="false" customWidth="false" hidden="false" outlineLevel="0" max="16384" min="22" style="44" width="9.18"/>
  </cols>
  <sheetData>
    <row r="1" customFormat="false" ht="17.35" hidden="false" customHeight="false" outlineLevel="0" collapsed="false">
      <c r="A1" s="32" t="s">
        <v>2124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193"/>
      <c r="V1" s="193"/>
      <c r="W1" s="193"/>
    </row>
    <row r="2" customFormat="false" ht="14.25" hidden="false" customHeight="false" outlineLevel="0" collapsed="false">
      <c r="A2" s="446"/>
      <c r="B2" s="446"/>
      <c r="C2" s="446"/>
      <c r="D2" s="446"/>
      <c r="E2" s="446"/>
      <c r="F2" s="446"/>
      <c r="G2" s="446"/>
      <c r="H2" s="446"/>
      <c r="I2" s="447"/>
      <c r="J2" s="446"/>
      <c r="K2" s="448"/>
      <c r="L2" s="446"/>
      <c r="M2" s="446"/>
      <c r="N2" s="449" t="s">
        <v>175</v>
      </c>
      <c r="O2" s="449" t="s">
        <v>175</v>
      </c>
      <c r="P2" s="449" t="s">
        <v>31</v>
      </c>
      <c r="Q2" s="449" t="s">
        <v>31</v>
      </c>
      <c r="R2" s="446"/>
    </row>
    <row r="3" s="323" customFormat="true" ht="14.25" hidden="false" customHeight="false" outlineLevel="0" collapsed="false">
      <c r="A3" s="450" t="s">
        <v>1683</v>
      </c>
      <c r="B3" s="450"/>
      <c r="C3" s="450" t="s">
        <v>1684</v>
      </c>
      <c r="D3" s="450" t="s">
        <v>1685</v>
      </c>
      <c r="E3" s="450" t="s">
        <v>1686</v>
      </c>
      <c r="F3" s="450" t="s">
        <v>1</v>
      </c>
      <c r="G3" s="450" t="s">
        <v>1687</v>
      </c>
      <c r="H3" s="451" t="s">
        <v>31</v>
      </c>
      <c r="I3" s="450" t="s">
        <v>1688</v>
      </c>
      <c r="J3" s="450" t="s">
        <v>1689</v>
      </c>
      <c r="K3" s="40" t="s">
        <v>1648</v>
      </c>
      <c r="L3" s="450" t="s">
        <v>4</v>
      </c>
      <c r="M3" s="450" t="s">
        <v>1690</v>
      </c>
      <c r="N3" s="451" t="s">
        <v>2125</v>
      </c>
      <c r="O3" s="451" t="s">
        <v>1692</v>
      </c>
      <c r="P3" s="451" t="s">
        <v>1691</v>
      </c>
      <c r="Q3" s="451" t="s">
        <v>1693</v>
      </c>
      <c r="R3" s="451" t="s">
        <v>1694</v>
      </c>
    </row>
    <row r="4" customFormat="false" ht="15" hidden="false" customHeight="true" outlineLevel="0" collapsed="false">
      <c r="A4" s="44" t="s">
        <v>2126</v>
      </c>
      <c r="C4" s="595" t="n">
        <v>44342</v>
      </c>
      <c r="D4" s="323" t="n">
        <v>2446</v>
      </c>
      <c r="E4" s="323" t="s">
        <v>175</v>
      </c>
      <c r="F4" s="323" t="s">
        <v>6</v>
      </c>
      <c r="G4" s="98" t="n">
        <v>105</v>
      </c>
      <c r="H4" s="457" t="n">
        <v>45</v>
      </c>
      <c r="I4" s="313" t="s">
        <v>1652</v>
      </c>
      <c r="J4" s="98" t="n">
        <f aca="false">G4*H4</f>
        <v>4725</v>
      </c>
      <c r="K4" s="411" t="n">
        <v>2283.75</v>
      </c>
      <c r="L4" s="392" t="n">
        <f aca="false">K4/J4</f>
        <v>0.483333333333333</v>
      </c>
      <c r="M4" s="466" t="n">
        <f aca="false">H4*L4</f>
        <v>21.75</v>
      </c>
      <c r="N4" s="461" t="n">
        <v>105</v>
      </c>
      <c r="O4" s="462" t="n">
        <f aca="false">G4-N4</f>
        <v>0</v>
      </c>
      <c r="P4" s="463" t="n">
        <f aca="false">N4*H4</f>
        <v>4725</v>
      </c>
      <c r="Q4" s="48" t="n">
        <f aca="false">J4-P4</f>
        <v>0</v>
      </c>
      <c r="R4" s="467"/>
    </row>
    <row r="5" customFormat="false" ht="15" hidden="false" customHeight="true" outlineLevel="0" collapsed="false">
      <c r="A5" s="44" t="s">
        <v>2126</v>
      </c>
      <c r="C5" s="595" t="n">
        <v>44342</v>
      </c>
      <c r="D5" s="57" t="n">
        <v>2446</v>
      </c>
      <c r="E5" s="323" t="s">
        <v>175</v>
      </c>
      <c r="F5" s="323" t="s">
        <v>6</v>
      </c>
      <c r="G5" s="98" t="n">
        <v>6030</v>
      </c>
      <c r="H5" s="457" t="n">
        <v>30</v>
      </c>
      <c r="I5" s="313" t="s">
        <v>1651</v>
      </c>
      <c r="J5" s="98" t="n">
        <f aca="false">G5*H5</f>
        <v>180900</v>
      </c>
      <c r="K5" s="411" t="n">
        <v>96238.8</v>
      </c>
      <c r="L5" s="392" t="n">
        <f aca="false">K5/J5</f>
        <v>0.532</v>
      </c>
      <c r="M5" s="466" t="n">
        <f aca="false">H5*L5</f>
        <v>15.96</v>
      </c>
      <c r="N5" s="461" t="n">
        <v>6030</v>
      </c>
      <c r="O5" s="462" t="n">
        <f aca="false">G5-N5</f>
        <v>0</v>
      </c>
      <c r="P5" s="463" t="n">
        <f aca="false">N5*H5</f>
        <v>180900</v>
      </c>
      <c r="Q5" s="48" t="n">
        <f aca="false">J5-P5</f>
        <v>0</v>
      </c>
      <c r="R5" s="467"/>
    </row>
    <row r="6" customFormat="false" ht="15" hidden="false" customHeight="true" outlineLevel="0" collapsed="false">
      <c r="A6" s="44" t="s">
        <v>2126</v>
      </c>
      <c r="C6" s="596" t="n">
        <v>44342</v>
      </c>
      <c r="D6" s="323" t="n">
        <v>2446</v>
      </c>
      <c r="E6" s="323" t="s">
        <v>175</v>
      </c>
      <c r="F6" s="323" t="s">
        <v>11</v>
      </c>
      <c r="G6" s="98" t="n">
        <v>405</v>
      </c>
      <c r="H6" s="457" t="n">
        <v>14</v>
      </c>
      <c r="I6" s="313" t="s">
        <v>1651</v>
      </c>
      <c r="J6" s="98" t="n">
        <f aca="false">G6*H6</f>
        <v>5670</v>
      </c>
      <c r="K6" s="411" t="n">
        <v>14179.05</v>
      </c>
      <c r="L6" s="392" t="n">
        <f aca="false">K6/J6</f>
        <v>2.50071428571429</v>
      </c>
      <c r="M6" s="466" t="n">
        <f aca="false">H6*L6</f>
        <v>35.01</v>
      </c>
      <c r="N6" s="461" t="n">
        <v>405</v>
      </c>
      <c r="O6" s="462" t="n">
        <f aca="false">G6-N6</f>
        <v>0</v>
      </c>
      <c r="P6" s="463" t="n">
        <f aca="false">N6*H6</f>
        <v>5670</v>
      </c>
      <c r="Q6" s="48" t="n">
        <f aca="false">J6-P6</f>
        <v>0</v>
      </c>
      <c r="R6" s="467"/>
    </row>
    <row r="7" customFormat="false" ht="15" hidden="false" customHeight="true" outlineLevel="0" collapsed="false">
      <c r="A7" s="44" t="s">
        <v>2126</v>
      </c>
      <c r="C7" s="596" t="n">
        <v>44764</v>
      </c>
      <c r="D7" s="57" t="n">
        <v>7060</v>
      </c>
      <c r="E7" s="323" t="s">
        <v>175</v>
      </c>
      <c r="F7" s="57" t="s">
        <v>15</v>
      </c>
      <c r="G7" s="98" t="n">
        <v>15</v>
      </c>
      <c r="H7" s="457" t="n">
        <v>22.5</v>
      </c>
      <c r="I7" s="313" t="s">
        <v>1651</v>
      </c>
      <c r="J7" s="98" t="n">
        <f aca="false">G7*H7</f>
        <v>337.5</v>
      </c>
      <c r="K7" s="411" t="n">
        <v>570</v>
      </c>
      <c r="L7" s="392" t="n">
        <f aca="false">K7/J7</f>
        <v>1.68888888888889</v>
      </c>
      <c r="M7" s="466" t="n">
        <f aca="false">H7*L7</f>
        <v>38</v>
      </c>
      <c r="N7" s="461" t="n">
        <v>15</v>
      </c>
      <c r="O7" s="462" t="n">
        <f aca="false">G7-N7</f>
        <v>0</v>
      </c>
      <c r="P7" s="463" t="n">
        <f aca="false">N7*H7</f>
        <v>337.5</v>
      </c>
      <c r="Q7" s="48" t="n">
        <f aca="false">J7-P7</f>
        <v>0</v>
      </c>
      <c r="R7" s="467"/>
    </row>
    <row r="8" customFormat="false" ht="15" hidden="false" customHeight="true" outlineLevel="0" collapsed="false">
      <c r="A8" s="44" t="s">
        <v>2126</v>
      </c>
      <c r="C8" s="596" t="n">
        <v>44764</v>
      </c>
      <c r="D8" s="57" t="n">
        <v>7060</v>
      </c>
      <c r="E8" s="323" t="s">
        <v>175</v>
      </c>
      <c r="F8" s="323" t="s">
        <v>19</v>
      </c>
      <c r="G8" s="98" t="n">
        <v>1785</v>
      </c>
      <c r="H8" s="457" t="n">
        <v>22.5</v>
      </c>
      <c r="I8" s="313" t="s">
        <v>1651</v>
      </c>
      <c r="J8" s="98" t="n">
        <f aca="false">G8*H8</f>
        <v>40162.5</v>
      </c>
      <c r="K8" s="411" t="n">
        <v>53550</v>
      </c>
      <c r="L8" s="392" t="n">
        <f aca="false">K8/J8</f>
        <v>1.33333333333333</v>
      </c>
      <c r="M8" s="466" t="n">
        <f aca="false">H8*L8</f>
        <v>30</v>
      </c>
      <c r="N8" s="461" t="n">
        <v>1785</v>
      </c>
      <c r="O8" s="462" t="n">
        <f aca="false">G8-N8</f>
        <v>0</v>
      </c>
      <c r="P8" s="463" t="n">
        <f aca="false">N8*H8</f>
        <v>40162.5</v>
      </c>
      <c r="Q8" s="48" t="n">
        <f aca="false">J8-P8</f>
        <v>0</v>
      </c>
      <c r="R8" s="467"/>
    </row>
    <row r="9" customFormat="false" ht="15" hidden="false" customHeight="true" outlineLevel="0" collapsed="false">
      <c r="A9" s="44" t="s">
        <v>1789</v>
      </c>
      <c r="C9" s="596" t="n">
        <v>44851</v>
      </c>
      <c r="D9" s="323" t="n">
        <v>8237</v>
      </c>
      <c r="E9" s="323" t="s">
        <v>175</v>
      </c>
      <c r="F9" s="323" t="s">
        <v>5</v>
      </c>
      <c r="G9" s="98" t="n">
        <v>285</v>
      </c>
      <c r="H9" s="457" t="n">
        <v>37.5</v>
      </c>
      <c r="I9" s="313" t="s">
        <v>1652</v>
      </c>
      <c r="J9" s="98" t="n">
        <f aca="false">G9*H9</f>
        <v>10687.5</v>
      </c>
      <c r="K9" s="411" t="n">
        <v>7695</v>
      </c>
      <c r="L9" s="392" t="n">
        <f aca="false">K9/J9</f>
        <v>0.72</v>
      </c>
      <c r="M9" s="466" t="n">
        <f aca="false">H9*L9</f>
        <v>27</v>
      </c>
      <c r="N9" s="461" t="n">
        <v>285</v>
      </c>
      <c r="O9" s="462" t="n">
        <f aca="false">G9-N9</f>
        <v>0</v>
      </c>
      <c r="P9" s="463" t="n">
        <f aca="false">N9*H9</f>
        <v>10687.5</v>
      </c>
      <c r="Q9" s="48" t="n">
        <f aca="false">J9-P9</f>
        <v>0</v>
      </c>
      <c r="R9" s="467"/>
    </row>
    <row r="10" customFormat="false" ht="15" hidden="false" customHeight="true" outlineLevel="0" collapsed="false">
      <c r="A10" s="44" t="s">
        <v>2126</v>
      </c>
      <c r="C10" s="596" t="n">
        <v>44894</v>
      </c>
      <c r="D10" s="323" t="n">
        <v>8889</v>
      </c>
      <c r="E10" s="323" t="s">
        <v>175</v>
      </c>
      <c r="F10" s="323" t="s">
        <v>7</v>
      </c>
      <c r="G10" s="98" t="n">
        <v>75</v>
      </c>
      <c r="H10" s="457" t="n">
        <v>25.71</v>
      </c>
      <c r="I10" s="313" t="s">
        <v>1651</v>
      </c>
      <c r="J10" s="98" t="n">
        <f aca="false">G10*H10</f>
        <v>1928.25</v>
      </c>
      <c r="K10" s="411" t="n">
        <v>1312.5</v>
      </c>
      <c r="L10" s="392" t="n">
        <f aca="false">K10/J10</f>
        <v>0.680669000388954</v>
      </c>
      <c r="M10" s="466" t="n">
        <f aca="false">H10*L10</f>
        <v>17.5</v>
      </c>
      <c r="N10" s="461" t="n">
        <v>75</v>
      </c>
      <c r="O10" s="462" t="n">
        <f aca="false">G10-N10</f>
        <v>0</v>
      </c>
      <c r="P10" s="463" t="n">
        <f aca="false">N10*H10</f>
        <v>1928.25</v>
      </c>
      <c r="Q10" s="48" t="n">
        <f aca="false">J10-P10</f>
        <v>0</v>
      </c>
      <c r="R10" s="467"/>
    </row>
    <row r="11" customFormat="false" ht="15" hidden="false" customHeight="true" outlineLevel="0" collapsed="false">
      <c r="A11" s="44" t="s">
        <v>2126</v>
      </c>
      <c r="C11" s="595" t="n">
        <v>45014</v>
      </c>
      <c r="D11" s="323" t="n">
        <v>9923</v>
      </c>
      <c r="E11" s="323" t="s">
        <v>175</v>
      </c>
      <c r="F11" s="323" t="s">
        <v>5</v>
      </c>
      <c r="G11" s="98" t="n">
        <v>2475</v>
      </c>
      <c r="H11" s="457" t="n">
        <v>60</v>
      </c>
      <c r="I11" s="313" t="s">
        <v>1653</v>
      </c>
      <c r="J11" s="98" t="n">
        <f aca="false">G11*H11</f>
        <v>148500</v>
      </c>
      <c r="K11" s="411" t="n">
        <v>66825</v>
      </c>
      <c r="L11" s="392" t="n">
        <f aca="false">K11/J11</f>
        <v>0.45</v>
      </c>
      <c r="M11" s="466" t="n">
        <f aca="false">H11*L11</f>
        <v>27</v>
      </c>
      <c r="N11" s="461" t="n">
        <v>2475</v>
      </c>
      <c r="O11" s="462" t="n">
        <f aca="false">G11-N11</f>
        <v>0</v>
      </c>
      <c r="P11" s="463" t="n">
        <f aca="false">N11*H11</f>
        <v>148500</v>
      </c>
      <c r="Q11" s="48" t="n">
        <f aca="false">J11-P11</f>
        <v>0</v>
      </c>
      <c r="R11" s="467"/>
    </row>
    <row r="12" customFormat="false" ht="15" hidden="false" customHeight="true" outlineLevel="0" collapsed="false">
      <c r="A12" s="44" t="s">
        <v>2126</v>
      </c>
      <c r="C12" s="596" t="n">
        <v>45014</v>
      </c>
      <c r="D12" s="57" t="n">
        <v>9923</v>
      </c>
      <c r="E12" s="323" t="s">
        <v>175</v>
      </c>
      <c r="F12" s="57" t="s">
        <v>5</v>
      </c>
      <c r="G12" s="98" t="n">
        <v>51405</v>
      </c>
      <c r="H12" s="457" t="n">
        <v>25.71</v>
      </c>
      <c r="I12" s="313" t="s">
        <v>1651</v>
      </c>
      <c r="J12" s="98" t="n">
        <f aca="false">G12*H12</f>
        <v>1321622.55</v>
      </c>
      <c r="K12" s="411" t="n">
        <v>856921.35</v>
      </c>
      <c r="L12" s="392" t="n">
        <f aca="false">K12/J12</f>
        <v>0.648385842084792</v>
      </c>
      <c r="M12" s="466" t="n">
        <f aca="false">H12*L12</f>
        <v>16.67</v>
      </c>
      <c r="N12" s="461" t="n">
        <v>51405</v>
      </c>
      <c r="O12" s="462" t="n">
        <f aca="false">G12-N12</f>
        <v>0</v>
      </c>
      <c r="P12" s="463" t="n">
        <f aca="false">N12*H12</f>
        <v>1321622.55</v>
      </c>
      <c r="Q12" s="48" t="n">
        <f aca="false">J12-P12</f>
        <v>0</v>
      </c>
      <c r="R12" s="467"/>
    </row>
    <row r="13" customFormat="false" ht="15" hidden="false" customHeight="true" outlineLevel="0" collapsed="false">
      <c r="A13" s="44" t="s">
        <v>2126</v>
      </c>
      <c r="C13" s="596" t="n">
        <v>45014</v>
      </c>
      <c r="D13" s="57" t="n">
        <v>9923</v>
      </c>
      <c r="E13" s="323" t="s">
        <v>175</v>
      </c>
      <c r="F13" s="57" t="s">
        <v>6</v>
      </c>
      <c r="G13" s="98" t="n">
        <v>1290</v>
      </c>
      <c r="H13" s="457" t="n">
        <v>30</v>
      </c>
      <c r="I13" s="313" t="s">
        <v>1651</v>
      </c>
      <c r="J13" s="98" t="n">
        <f aca="false">G13*H13</f>
        <v>38700</v>
      </c>
      <c r="K13" s="411" t="n">
        <v>21246.3</v>
      </c>
      <c r="L13" s="392" t="n">
        <f aca="false">K13/J13</f>
        <v>0.549</v>
      </c>
      <c r="M13" s="466" t="n">
        <f aca="false">H13*L13</f>
        <v>16.47</v>
      </c>
      <c r="N13" s="461" t="n">
        <v>1290</v>
      </c>
      <c r="O13" s="462" t="n">
        <f aca="false">G13-N13</f>
        <v>0</v>
      </c>
      <c r="P13" s="463" t="n">
        <f aca="false">N13*H13</f>
        <v>38700</v>
      </c>
      <c r="Q13" s="48" t="n">
        <f aca="false">J13-P13</f>
        <v>0</v>
      </c>
      <c r="R13" s="467"/>
    </row>
    <row r="14" customFormat="false" ht="15" hidden="false" customHeight="true" outlineLevel="0" collapsed="false">
      <c r="A14" s="44" t="s">
        <v>2126</v>
      </c>
      <c r="C14" s="596" t="n">
        <v>45014</v>
      </c>
      <c r="D14" s="57" t="n">
        <v>9923</v>
      </c>
      <c r="E14" s="323" t="s">
        <v>175</v>
      </c>
      <c r="F14" s="57" t="s">
        <v>11</v>
      </c>
      <c r="G14" s="98" t="n">
        <v>14610</v>
      </c>
      <c r="H14" s="457" t="n">
        <v>14</v>
      </c>
      <c r="I14" s="313" t="s">
        <v>1651</v>
      </c>
      <c r="J14" s="98" t="n">
        <f aca="false">G14*H14</f>
        <v>204540</v>
      </c>
      <c r="K14" s="411" t="n">
        <v>753876</v>
      </c>
      <c r="L14" s="392" t="n">
        <f aca="false">K14/J14</f>
        <v>3.68571428571429</v>
      </c>
      <c r="M14" s="466" t="n">
        <f aca="false">H14*L14</f>
        <v>51.6</v>
      </c>
      <c r="N14" s="461" t="n">
        <v>14610</v>
      </c>
      <c r="O14" s="462" t="n">
        <f aca="false">G14-N14</f>
        <v>0</v>
      </c>
      <c r="P14" s="463" t="n">
        <f aca="false">N14*H14</f>
        <v>204540</v>
      </c>
      <c r="Q14" s="48" t="n">
        <f aca="false">J14-P14</f>
        <v>0</v>
      </c>
      <c r="R14" s="467"/>
    </row>
    <row r="15" customFormat="false" ht="15" hidden="false" customHeight="true" outlineLevel="0" collapsed="false">
      <c r="A15" s="44" t="s">
        <v>2126</v>
      </c>
      <c r="C15" s="596" t="n">
        <v>45014</v>
      </c>
      <c r="D15" s="57" t="n">
        <v>9923</v>
      </c>
      <c r="E15" s="323" t="s">
        <v>175</v>
      </c>
      <c r="F15" s="57" t="s">
        <v>12</v>
      </c>
      <c r="G15" s="98" t="n">
        <v>17445</v>
      </c>
      <c r="H15" s="457" t="n">
        <v>18</v>
      </c>
      <c r="I15" s="313" t="s">
        <v>1651</v>
      </c>
      <c r="J15" s="98" t="n">
        <f aca="false">G15*H15</f>
        <v>314010</v>
      </c>
      <c r="K15" s="411" t="n">
        <v>641278.2</v>
      </c>
      <c r="L15" s="392" t="n">
        <f aca="false">K15/J15</f>
        <v>2.04222222222222</v>
      </c>
      <c r="M15" s="466" t="n">
        <f aca="false">H15*L15</f>
        <v>36.76</v>
      </c>
      <c r="N15" s="461" t="n">
        <v>16305</v>
      </c>
      <c r="O15" s="468" t="n">
        <f aca="false">G15-N15</f>
        <v>1140</v>
      </c>
      <c r="P15" s="463" t="n">
        <f aca="false">N15*H15</f>
        <v>293490</v>
      </c>
      <c r="Q15" s="48" t="n">
        <f aca="false">J15-P15</f>
        <v>20520</v>
      </c>
      <c r="R15" s="467" t="n">
        <v>45565</v>
      </c>
    </row>
    <row r="16" customFormat="false" ht="15" hidden="false" customHeight="true" outlineLevel="0" collapsed="false">
      <c r="A16" s="44" t="s">
        <v>2126</v>
      </c>
      <c r="C16" s="596" t="n">
        <v>45014</v>
      </c>
      <c r="D16" s="57" t="n">
        <v>9923</v>
      </c>
      <c r="E16" s="323" t="s">
        <v>175</v>
      </c>
      <c r="F16" s="57" t="s">
        <v>13</v>
      </c>
      <c r="G16" s="98" t="n">
        <v>36675</v>
      </c>
      <c r="H16" s="457" t="n">
        <v>22.5</v>
      </c>
      <c r="I16" s="313" t="s">
        <v>1651</v>
      </c>
      <c r="J16" s="98" t="n">
        <f aca="false">G16*H16</f>
        <v>825187.5</v>
      </c>
      <c r="K16" s="411" t="n">
        <v>781911</v>
      </c>
      <c r="L16" s="392" t="n">
        <f aca="false">K16/J16</f>
        <v>0.947555555555556</v>
      </c>
      <c r="M16" s="466" t="n">
        <f aca="false">H16*L16</f>
        <v>21.32</v>
      </c>
      <c r="N16" s="461" t="n">
        <v>36435</v>
      </c>
      <c r="O16" s="468" t="n">
        <f aca="false">G16-N16</f>
        <v>240</v>
      </c>
      <c r="P16" s="463" t="n">
        <f aca="false">N16*H16</f>
        <v>819787.5</v>
      </c>
      <c r="Q16" s="48" t="n">
        <f aca="false">J16-P16</f>
        <v>5400</v>
      </c>
      <c r="R16" s="467" t="n">
        <v>45565</v>
      </c>
    </row>
    <row r="17" customFormat="false" ht="15" hidden="false" customHeight="true" outlineLevel="0" collapsed="false">
      <c r="A17" s="44" t="s">
        <v>2126</v>
      </c>
      <c r="C17" s="596" t="n">
        <v>45014</v>
      </c>
      <c r="D17" s="57" t="n">
        <v>9923</v>
      </c>
      <c r="E17" s="323" t="s">
        <v>175</v>
      </c>
      <c r="F17" s="57" t="s">
        <v>19</v>
      </c>
      <c r="G17" s="98" t="n">
        <v>1380</v>
      </c>
      <c r="H17" s="457" t="n">
        <v>22.5</v>
      </c>
      <c r="I17" s="313" t="s">
        <v>1651</v>
      </c>
      <c r="J17" s="98" t="n">
        <f aca="false">G17*H17</f>
        <v>31050</v>
      </c>
      <c r="K17" s="411" t="n">
        <v>37950</v>
      </c>
      <c r="L17" s="392" t="n">
        <f aca="false">K17/J17</f>
        <v>1.22222222222222</v>
      </c>
      <c r="M17" s="466" t="n">
        <f aca="false">H17*L17</f>
        <v>27.5</v>
      </c>
      <c r="N17" s="461" t="n">
        <v>1380</v>
      </c>
      <c r="O17" s="462" t="n">
        <f aca="false">G17-N17</f>
        <v>0</v>
      </c>
      <c r="P17" s="463" t="n">
        <f aca="false">N17*H17</f>
        <v>31050</v>
      </c>
      <c r="Q17" s="48" t="n">
        <f aca="false">J17-P17</f>
        <v>0</v>
      </c>
      <c r="R17" s="467"/>
    </row>
    <row r="18" customFormat="false" ht="15" hidden="false" customHeight="true" outlineLevel="0" collapsed="false">
      <c r="A18" s="44" t="s">
        <v>68</v>
      </c>
      <c r="C18" s="596" t="n">
        <v>45188</v>
      </c>
      <c r="D18" s="57" t="n">
        <v>10864</v>
      </c>
      <c r="E18" s="323" t="s">
        <v>175</v>
      </c>
      <c r="F18" s="57" t="s">
        <v>12</v>
      </c>
      <c r="G18" s="98" t="n">
        <v>150</v>
      </c>
      <c r="H18" s="457" t="n">
        <v>18</v>
      </c>
      <c r="I18" s="313" t="s">
        <v>1651</v>
      </c>
      <c r="J18" s="98" t="n">
        <f aca="false">G18*H18</f>
        <v>2700</v>
      </c>
      <c r="K18" s="411" t="n">
        <v>6322.5</v>
      </c>
      <c r="L18" s="392" t="n">
        <f aca="false">K18/J18</f>
        <v>2.34166666666667</v>
      </c>
      <c r="M18" s="466" t="n">
        <f aca="false">H18*L18</f>
        <v>42.15</v>
      </c>
      <c r="N18" s="461" t="n">
        <v>150</v>
      </c>
      <c r="O18" s="462" t="n">
        <f aca="false">G18-N18</f>
        <v>0</v>
      </c>
      <c r="P18" s="463" t="n">
        <f aca="false">N18*H18</f>
        <v>2700</v>
      </c>
      <c r="Q18" s="48" t="n">
        <f aca="false">J18-P18</f>
        <v>0</v>
      </c>
      <c r="R18" s="467"/>
    </row>
    <row r="19" customFormat="false" ht="15" hidden="false" customHeight="true" outlineLevel="0" collapsed="false">
      <c r="A19" s="44" t="s">
        <v>2126</v>
      </c>
      <c r="C19" s="596" t="n">
        <v>45224</v>
      </c>
      <c r="D19" s="57" t="n">
        <v>11377</v>
      </c>
      <c r="E19" s="323" t="s">
        <v>175</v>
      </c>
      <c r="F19" s="57" t="s">
        <v>42</v>
      </c>
      <c r="G19" s="98" t="n">
        <v>800</v>
      </c>
      <c r="H19" s="457" t="n">
        <v>60</v>
      </c>
      <c r="I19" s="313" t="s">
        <v>1653</v>
      </c>
      <c r="J19" s="98" t="n">
        <f aca="false">G19*H19</f>
        <v>48000</v>
      </c>
      <c r="K19" s="411" t="n">
        <v>24750</v>
      </c>
      <c r="L19" s="392" t="n">
        <f aca="false">K19/J19</f>
        <v>0.515625</v>
      </c>
      <c r="M19" s="466" t="n">
        <f aca="false">H19*L19</f>
        <v>30.9375</v>
      </c>
      <c r="N19" s="461" t="n">
        <v>625</v>
      </c>
      <c r="O19" s="468" t="n">
        <f aca="false">G19-N19</f>
        <v>175</v>
      </c>
      <c r="P19" s="463" t="n">
        <f aca="false">N19*H19</f>
        <v>37500</v>
      </c>
      <c r="Q19" s="48" t="n">
        <f aca="false">J19-P19</f>
        <v>10500</v>
      </c>
      <c r="R19" s="467" t="n">
        <v>45565</v>
      </c>
    </row>
    <row r="20" customFormat="false" ht="15" hidden="false" customHeight="true" outlineLevel="0" collapsed="false">
      <c r="A20" s="44" t="s">
        <v>2126</v>
      </c>
      <c r="C20" s="596" t="n">
        <v>45230</v>
      </c>
      <c r="D20" s="57" t="n">
        <v>11491</v>
      </c>
      <c r="E20" s="323" t="s">
        <v>175</v>
      </c>
      <c r="F20" s="57" t="s">
        <v>10</v>
      </c>
      <c r="G20" s="98" t="n">
        <v>1170</v>
      </c>
      <c r="H20" s="457" t="n">
        <v>38.3</v>
      </c>
      <c r="I20" s="313" t="s">
        <v>1652</v>
      </c>
      <c r="J20" s="98" t="n">
        <f aca="false">G20*H20</f>
        <v>44811</v>
      </c>
      <c r="K20" s="411" t="n">
        <v>39847.5</v>
      </c>
      <c r="L20" s="392" t="n">
        <f aca="false">K20/J20</f>
        <v>0.889234786101627</v>
      </c>
      <c r="M20" s="466" t="n">
        <f aca="false">H20*L20</f>
        <v>34.0576923076923</v>
      </c>
      <c r="N20" s="461" t="n">
        <v>1170</v>
      </c>
      <c r="O20" s="462" t="n">
        <f aca="false">G20-N20</f>
        <v>0</v>
      </c>
      <c r="P20" s="463" t="n">
        <f aca="false">N20*H20</f>
        <v>44811</v>
      </c>
      <c r="Q20" s="48" t="n">
        <f aca="false">J20-P20</f>
        <v>0</v>
      </c>
      <c r="R20" s="467"/>
    </row>
    <row r="21" customFormat="false" ht="15" hidden="false" customHeight="true" outlineLevel="0" collapsed="false">
      <c r="A21" s="44" t="s">
        <v>2126</v>
      </c>
      <c r="C21" s="596" t="n">
        <v>45230</v>
      </c>
      <c r="D21" s="323" t="n">
        <v>11491</v>
      </c>
      <c r="E21" s="323" t="s">
        <v>175</v>
      </c>
      <c r="F21" s="323" t="s">
        <v>10</v>
      </c>
      <c r="G21" s="98" t="n">
        <v>540</v>
      </c>
      <c r="H21" s="457" t="n">
        <v>25.71</v>
      </c>
      <c r="I21" s="313" t="s">
        <v>1651</v>
      </c>
      <c r="J21" s="98" t="n">
        <f aca="false">G21*H21</f>
        <v>13883.4</v>
      </c>
      <c r="K21" s="411" t="n">
        <v>4136.4</v>
      </c>
      <c r="L21" s="392" t="n">
        <f aca="false">K21/J21</f>
        <v>0.297938545313108</v>
      </c>
      <c r="M21" s="466" t="n">
        <f aca="false">H21*L21</f>
        <v>7.66</v>
      </c>
      <c r="N21" s="461" t="n">
        <v>540</v>
      </c>
      <c r="O21" s="462" t="n">
        <f aca="false">G21-N21</f>
        <v>0</v>
      </c>
      <c r="P21" s="463" t="n">
        <f aca="false">N21*H21</f>
        <v>13883.4</v>
      </c>
      <c r="Q21" s="48" t="n">
        <f aca="false">J21-P21</f>
        <v>0</v>
      </c>
      <c r="R21" s="467"/>
    </row>
    <row r="22" customFormat="false" ht="15" hidden="false" customHeight="true" outlineLevel="0" collapsed="false">
      <c r="A22" s="44" t="s">
        <v>2126</v>
      </c>
      <c r="C22" s="596" t="n">
        <v>45239</v>
      </c>
      <c r="D22" s="323" t="n">
        <v>11606</v>
      </c>
      <c r="E22" s="323" t="s">
        <v>175</v>
      </c>
      <c r="F22" s="323" t="s">
        <v>10</v>
      </c>
      <c r="G22" s="98" t="n">
        <v>1860</v>
      </c>
      <c r="H22" s="457" t="n">
        <v>25.71</v>
      </c>
      <c r="I22" s="313" t="s">
        <v>1651</v>
      </c>
      <c r="J22" s="98" t="n">
        <f aca="false">G22*H22</f>
        <v>47820.6</v>
      </c>
      <c r="K22" s="411" t="n">
        <v>22320</v>
      </c>
      <c r="L22" s="392" t="n">
        <f aca="false">K22/J22</f>
        <v>0.466744457409568</v>
      </c>
      <c r="M22" s="466" t="n">
        <f aca="false">H22*L22</f>
        <v>12</v>
      </c>
      <c r="N22" s="461" t="n">
        <v>1860</v>
      </c>
      <c r="O22" s="462" t="n">
        <f aca="false">G22-N22</f>
        <v>0</v>
      </c>
      <c r="P22" s="463" t="n">
        <f aca="false">N22*H22</f>
        <v>47820.6</v>
      </c>
      <c r="Q22" s="48" t="n">
        <f aca="false">J22-P22</f>
        <v>0</v>
      </c>
      <c r="R22" s="467"/>
    </row>
    <row r="23" customFormat="false" ht="15" hidden="false" customHeight="true" outlineLevel="0" collapsed="false">
      <c r="A23" s="44" t="s">
        <v>1800</v>
      </c>
      <c r="C23" s="596" t="n">
        <v>45355</v>
      </c>
      <c r="D23" s="57" t="n">
        <v>13257</v>
      </c>
      <c r="E23" s="323" t="s">
        <v>175</v>
      </c>
      <c r="F23" s="57" t="s">
        <v>18</v>
      </c>
      <c r="G23" s="98" t="n">
        <v>495</v>
      </c>
      <c r="H23" s="457" t="n">
        <v>34.62</v>
      </c>
      <c r="I23" s="313" t="s">
        <v>1652</v>
      </c>
      <c r="J23" s="98" t="n">
        <f aca="false">G23*H23</f>
        <v>17136.9</v>
      </c>
      <c r="K23" s="411" t="n">
        <v>18067.5</v>
      </c>
      <c r="L23" s="392" t="n">
        <f aca="false">K23/J23</f>
        <v>1.05430387059503</v>
      </c>
      <c r="M23" s="466" t="n">
        <f aca="false">H23*L23</f>
        <v>36.5</v>
      </c>
      <c r="N23" s="461" t="n">
        <v>495</v>
      </c>
      <c r="O23" s="462" t="n">
        <f aca="false">G23-N23</f>
        <v>0</v>
      </c>
      <c r="P23" s="463" t="n">
        <f aca="false">N23*H23</f>
        <v>17136.9</v>
      </c>
      <c r="Q23" s="48" t="n">
        <f aca="false">J23-P23</f>
        <v>0</v>
      </c>
      <c r="R23" s="467"/>
    </row>
    <row r="24" customFormat="false" ht="15" hidden="false" customHeight="true" outlineLevel="0" collapsed="false">
      <c r="A24" s="44" t="s">
        <v>2126</v>
      </c>
      <c r="C24" s="596" t="n">
        <v>45371</v>
      </c>
      <c r="D24" s="57" t="n">
        <v>13377</v>
      </c>
      <c r="E24" s="323" t="s">
        <v>175</v>
      </c>
      <c r="F24" s="323" t="s">
        <v>10</v>
      </c>
      <c r="G24" s="98" t="n">
        <v>3000</v>
      </c>
      <c r="H24" s="457" t="n">
        <v>38.3</v>
      </c>
      <c r="I24" s="313" t="s">
        <v>1652</v>
      </c>
      <c r="J24" s="98" t="n">
        <f aca="false">G24*H24</f>
        <v>114900</v>
      </c>
      <c r="K24" s="411" t="n">
        <v>34500</v>
      </c>
      <c r="L24" s="392" t="n">
        <f aca="false">K24/J24</f>
        <v>0.300261096605744</v>
      </c>
      <c r="M24" s="466" t="n">
        <f aca="false">H24*L24</f>
        <v>11.5</v>
      </c>
      <c r="N24" s="461" t="n">
        <v>3000</v>
      </c>
      <c r="O24" s="462" t="n">
        <f aca="false">G24-N24</f>
        <v>0</v>
      </c>
      <c r="P24" s="463" t="n">
        <f aca="false">N24*H24</f>
        <v>114900</v>
      </c>
      <c r="Q24" s="48" t="n">
        <f aca="false">J24-P24</f>
        <v>0</v>
      </c>
      <c r="R24" s="467"/>
    </row>
    <row r="25" customFormat="false" ht="15" hidden="false" customHeight="true" outlineLevel="0" collapsed="false">
      <c r="A25" s="44" t="s">
        <v>2126</v>
      </c>
      <c r="C25" s="596" t="n">
        <v>45376</v>
      </c>
      <c r="D25" s="323" t="n">
        <v>13402</v>
      </c>
      <c r="E25" s="323" t="s">
        <v>175</v>
      </c>
      <c r="F25" s="323" t="s">
        <v>10</v>
      </c>
      <c r="G25" s="98" t="n">
        <v>14955</v>
      </c>
      <c r="H25" s="457" t="n">
        <v>38.3</v>
      </c>
      <c r="I25" s="313" t="s">
        <v>1652</v>
      </c>
      <c r="J25" s="98" t="n">
        <f aca="false">G25*H25</f>
        <v>572776.5</v>
      </c>
      <c r="K25" s="411" t="n">
        <v>194115.9</v>
      </c>
      <c r="L25" s="392" t="n">
        <f aca="false">K25/J25</f>
        <v>0.338903394255875</v>
      </c>
      <c r="M25" s="466" t="n">
        <f aca="false">H25*L25</f>
        <v>12.98</v>
      </c>
      <c r="N25" s="461" t="n">
        <v>14955</v>
      </c>
      <c r="O25" s="462" t="n">
        <f aca="false">G25-N25</f>
        <v>0</v>
      </c>
      <c r="P25" s="463" t="n">
        <f aca="false">N25*H25</f>
        <v>572776.5</v>
      </c>
      <c r="Q25" s="48" t="n">
        <f aca="false">J25-P25</f>
        <v>0</v>
      </c>
      <c r="R25" s="467"/>
    </row>
    <row r="26" customFormat="false" ht="15" hidden="false" customHeight="true" outlineLevel="0" collapsed="false">
      <c r="A26" s="44" t="n">
        <v>86936</v>
      </c>
      <c r="C26" s="596"/>
      <c r="D26" s="323"/>
      <c r="E26" s="323" t="s">
        <v>175</v>
      </c>
      <c r="F26" s="323" t="s">
        <v>5</v>
      </c>
      <c r="G26" s="98" t="n">
        <v>15</v>
      </c>
      <c r="H26" s="457" t="n">
        <v>25.71</v>
      </c>
      <c r="I26" s="313" t="s">
        <v>1651</v>
      </c>
      <c r="J26" s="99" t="n">
        <f aca="false">G26*H26</f>
        <v>385.65</v>
      </c>
      <c r="K26" s="411" t="n">
        <v>182.55</v>
      </c>
      <c r="L26" s="392" t="n">
        <f aca="false">K26/J26</f>
        <v>0.473356670556204</v>
      </c>
      <c r="M26" s="466" t="n">
        <f aca="false">H26*L26</f>
        <v>12.17</v>
      </c>
      <c r="N26" s="461" t="n">
        <v>15</v>
      </c>
      <c r="O26" s="462" t="n">
        <f aca="false">G26-N26</f>
        <v>0</v>
      </c>
      <c r="P26" s="470" t="n">
        <f aca="false">N26*H26</f>
        <v>385.65</v>
      </c>
      <c r="Q26" s="48" t="n">
        <f aca="false">J26-P26</f>
        <v>0</v>
      </c>
      <c r="R26" s="2"/>
    </row>
    <row r="27" customFormat="false" ht="15" hidden="false" customHeight="true" outlineLevel="0" collapsed="false">
      <c r="A27" s="44" t="n">
        <v>86929</v>
      </c>
      <c r="C27" s="596"/>
      <c r="D27" s="57"/>
      <c r="E27" s="323" t="s">
        <v>175</v>
      </c>
      <c r="F27" s="57" t="s">
        <v>10</v>
      </c>
      <c r="G27" s="98" t="n">
        <v>120</v>
      </c>
      <c r="H27" s="457" t="n">
        <v>25.71</v>
      </c>
      <c r="I27" s="313" t="s">
        <v>1651</v>
      </c>
      <c r="J27" s="199" t="n">
        <f aca="false">G27*H27</f>
        <v>3085.2</v>
      </c>
      <c r="K27" s="411" t="n">
        <v>1440</v>
      </c>
      <c r="L27" s="392" t="n">
        <f aca="false">K27/J27</f>
        <v>0.466744457409568</v>
      </c>
      <c r="M27" s="466" t="n">
        <f aca="false">H27*L27</f>
        <v>12</v>
      </c>
      <c r="N27" s="461" t="n">
        <v>120</v>
      </c>
      <c r="O27" s="462" t="n">
        <f aca="false">G27-N27</f>
        <v>0</v>
      </c>
      <c r="P27" s="597" t="n">
        <f aca="false">N27*H27</f>
        <v>3085.2</v>
      </c>
      <c r="Q27" s="48" t="n">
        <f aca="false">J27-P27</f>
        <v>0</v>
      </c>
      <c r="R27" s="2"/>
    </row>
    <row r="28" customFormat="false" ht="15" hidden="false" customHeight="true" outlineLevel="0" collapsed="false">
      <c r="A28" s="44" t="n">
        <v>86935</v>
      </c>
      <c r="C28" s="596"/>
      <c r="D28" s="57"/>
      <c r="E28" s="323" t="s">
        <v>175</v>
      </c>
      <c r="F28" s="57" t="s">
        <v>10</v>
      </c>
      <c r="G28" s="98" t="n">
        <v>60</v>
      </c>
      <c r="H28" s="457" t="n">
        <v>38.3</v>
      </c>
      <c r="I28" s="313" t="s">
        <v>1652</v>
      </c>
      <c r="J28" s="98" t="n">
        <f aca="false">G28*H28</f>
        <v>2298</v>
      </c>
      <c r="K28" s="411" t="n">
        <v>779.4</v>
      </c>
      <c r="L28" s="392" t="n">
        <f aca="false">K28/J28</f>
        <v>0.339164490861619</v>
      </c>
      <c r="M28" s="466" t="n">
        <f aca="false">H28*L28</f>
        <v>12.99</v>
      </c>
      <c r="N28" s="461" t="n">
        <v>60</v>
      </c>
      <c r="O28" s="462" t="n">
        <f aca="false">G28-N28</f>
        <v>0</v>
      </c>
      <c r="P28" s="463" t="n">
        <f aca="false">N28*H28</f>
        <v>2298</v>
      </c>
      <c r="Q28" s="48" t="n">
        <f aca="false">J28-P28</f>
        <v>0</v>
      </c>
      <c r="R28" s="2"/>
    </row>
    <row r="29" customFormat="false" ht="15" hidden="false" customHeight="true" outlineLevel="0" collapsed="false">
      <c r="A29" s="44" t="n">
        <v>86886</v>
      </c>
      <c r="C29" s="596"/>
      <c r="D29" s="57"/>
      <c r="E29" s="323" t="s">
        <v>175</v>
      </c>
      <c r="F29" s="57" t="s">
        <v>10</v>
      </c>
      <c r="G29" s="98" t="n">
        <v>750</v>
      </c>
      <c r="H29" s="457" t="n">
        <v>38.3</v>
      </c>
      <c r="I29" s="313" t="s">
        <v>1652</v>
      </c>
      <c r="J29" s="98" t="n">
        <f aca="false">G29*H29</f>
        <v>28725</v>
      </c>
      <c r="K29" s="411" t="n">
        <v>9742.5</v>
      </c>
      <c r="L29" s="392" t="n">
        <f aca="false">K29/J29</f>
        <v>0.339164490861619</v>
      </c>
      <c r="M29" s="466" t="n">
        <f aca="false">H29*L29</f>
        <v>12.99</v>
      </c>
      <c r="N29" s="461" t="n">
        <v>750</v>
      </c>
      <c r="O29" s="462" t="n">
        <f aca="false">G29-N29</f>
        <v>0</v>
      </c>
      <c r="P29" s="463" t="n">
        <f aca="false">N29*H29</f>
        <v>28725</v>
      </c>
      <c r="Q29" s="48" t="n">
        <f aca="false">J29-P29</f>
        <v>0</v>
      </c>
      <c r="R29" s="2"/>
    </row>
    <row r="30" customFormat="false" ht="15" hidden="false" customHeight="true" outlineLevel="0" collapsed="false">
      <c r="A30" s="44" t="n">
        <v>86933</v>
      </c>
      <c r="C30" s="596"/>
      <c r="D30" s="57"/>
      <c r="E30" s="323" t="s">
        <v>175</v>
      </c>
      <c r="F30" s="57" t="s">
        <v>17</v>
      </c>
      <c r="G30" s="98" t="n">
        <v>15</v>
      </c>
      <c r="H30" s="457" t="n">
        <v>22.5</v>
      </c>
      <c r="I30" s="313" t="s">
        <v>1651</v>
      </c>
      <c r="J30" s="199" t="n">
        <f aca="false">G30*H30</f>
        <v>337.5</v>
      </c>
      <c r="K30" s="411" t="n">
        <v>525</v>
      </c>
      <c r="L30" s="392" t="n">
        <f aca="false">K30/J30</f>
        <v>1.55555555555556</v>
      </c>
      <c r="M30" s="466" t="n">
        <f aca="false">H30*L30</f>
        <v>35</v>
      </c>
      <c r="N30" s="461" t="n">
        <v>15</v>
      </c>
      <c r="O30" s="462" t="n">
        <f aca="false">G30-N30</f>
        <v>0</v>
      </c>
      <c r="P30" s="597" t="n">
        <f aca="false">N30*H30</f>
        <v>337.5</v>
      </c>
      <c r="Q30" s="48" t="n">
        <f aca="false">J30-P30</f>
        <v>0</v>
      </c>
      <c r="R30" s="2"/>
    </row>
    <row r="31" customFormat="false" ht="15" hidden="false" customHeight="true" outlineLevel="0" collapsed="false">
      <c r="A31" s="455" t="s">
        <v>2102</v>
      </c>
      <c r="C31" s="596" t="n">
        <v>45566</v>
      </c>
      <c r="D31" s="57" t="n">
        <v>13924</v>
      </c>
      <c r="E31" s="323" t="s">
        <v>175</v>
      </c>
      <c r="F31" s="323" t="s">
        <v>6</v>
      </c>
      <c r="G31" s="98" t="n">
        <v>3210</v>
      </c>
      <c r="H31" s="457" t="n">
        <v>45</v>
      </c>
      <c r="I31" s="313" t="s">
        <v>1652</v>
      </c>
      <c r="J31" s="98" t="n">
        <f aca="false">H31*G31</f>
        <v>144450</v>
      </c>
      <c r="K31" s="411" t="n">
        <v>42132</v>
      </c>
      <c r="L31" s="392" t="n">
        <f aca="false">K31/J31</f>
        <v>0.291671858774663</v>
      </c>
      <c r="M31" s="466" t="n">
        <f aca="false">H31*L31</f>
        <v>13.1252336448598</v>
      </c>
      <c r="N31" s="461"/>
      <c r="O31" s="468" t="n">
        <f aca="false">G31-N31</f>
        <v>3210</v>
      </c>
      <c r="P31" s="463" t="n">
        <f aca="false">N31*H31</f>
        <v>0</v>
      </c>
      <c r="Q31" s="48" t="n">
        <f aca="false">J31-P31</f>
        <v>144450</v>
      </c>
      <c r="R31" s="467" t="n">
        <v>45636</v>
      </c>
      <c r="S31" s="2"/>
    </row>
    <row r="32" customFormat="false" ht="15" hidden="false" customHeight="true" outlineLevel="0" collapsed="false">
      <c r="A32" s="455" t="s">
        <v>2127</v>
      </c>
      <c r="C32" s="456" t="n">
        <v>45597</v>
      </c>
      <c r="D32" s="57" t="n">
        <v>14124</v>
      </c>
      <c r="E32" s="323" t="s">
        <v>175</v>
      </c>
      <c r="F32" s="323" t="s">
        <v>5</v>
      </c>
      <c r="G32" s="98" t="n">
        <v>4185</v>
      </c>
      <c r="H32" s="457" t="n">
        <v>37.5</v>
      </c>
      <c r="I32" s="313" t="s">
        <v>1652</v>
      </c>
      <c r="J32" s="98" t="n">
        <f aca="false">H32*G32</f>
        <v>156937.5</v>
      </c>
      <c r="K32" s="411" t="n">
        <v>132455.25</v>
      </c>
      <c r="L32" s="392" t="n">
        <f aca="false">K32/J32</f>
        <v>0.844</v>
      </c>
      <c r="M32" s="466" t="n">
        <f aca="false">H32*L32</f>
        <v>31.65</v>
      </c>
      <c r="N32" s="461" t="n">
        <v>4185</v>
      </c>
      <c r="O32" s="462" t="n">
        <f aca="false">G32-N32</f>
        <v>0</v>
      </c>
      <c r="P32" s="463" t="n">
        <f aca="false">N32*H32</f>
        <v>156937.5</v>
      </c>
      <c r="Q32" s="48" t="n">
        <f aca="false">J32-P32</f>
        <v>0</v>
      </c>
      <c r="R32" s="467"/>
    </row>
    <row r="33" customFormat="false" ht="15" hidden="false" customHeight="true" outlineLevel="0" collapsed="false">
      <c r="A33" s="455" t="s">
        <v>2127</v>
      </c>
      <c r="C33" s="456" t="n">
        <v>45597</v>
      </c>
      <c r="D33" s="323" t="n">
        <v>14124</v>
      </c>
      <c r="E33" s="323" t="s">
        <v>175</v>
      </c>
      <c r="F33" s="323" t="s">
        <v>12</v>
      </c>
      <c r="G33" s="98" t="n">
        <v>810</v>
      </c>
      <c r="H33" s="457" t="n">
        <v>18</v>
      </c>
      <c r="I33" s="313" t="s">
        <v>1651</v>
      </c>
      <c r="J33" s="98" t="n">
        <f aca="false">H33*G33</f>
        <v>14580</v>
      </c>
      <c r="K33" s="411" t="n">
        <v>45125.1</v>
      </c>
      <c r="L33" s="392" t="n">
        <f aca="false">K33/J33</f>
        <v>3.095</v>
      </c>
      <c r="M33" s="466" t="n">
        <f aca="false">H33*L33</f>
        <v>55.71</v>
      </c>
      <c r="N33" s="461" t="n">
        <v>810</v>
      </c>
      <c r="O33" s="462" t="n">
        <f aca="false">G33-N33</f>
        <v>0</v>
      </c>
      <c r="P33" s="463" t="n">
        <f aca="false">N33*H33</f>
        <v>14580</v>
      </c>
      <c r="Q33" s="48" t="n">
        <f aca="false">J33-P33</f>
        <v>0</v>
      </c>
      <c r="R33" s="467"/>
    </row>
    <row r="34" customFormat="false" ht="15" hidden="false" customHeight="true" outlineLevel="0" collapsed="false">
      <c r="A34" s="455" t="s">
        <v>2127</v>
      </c>
      <c r="C34" s="456" t="n">
        <v>45597</v>
      </c>
      <c r="D34" s="323" t="n">
        <v>14126</v>
      </c>
      <c r="E34" s="323" t="s">
        <v>175</v>
      </c>
      <c r="F34" s="323" t="s">
        <v>5</v>
      </c>
      <c r="G34" s="98" t="n">
        <v>3165</v>
      </c>
      <c r="H34" s="457" t="n">
        <v>37.5</v>
      </c>
      <c r="I34" s="313" t="s">
        <v>1652</v>
      </c>
      <c r="J34" s="98" t="n">
        <f aca="false">H34*G34</f>
        <v>118687.5</v>
      </c>
      <c r="K34" s="411" t="n">
        <v>100172.25</v>
      </c>
      <c r="L34" s="392" t="n">
        <f aca="false">K34/J34</f>
        <v>0.844</v>
      </c>
      <c r="M34" s="466" t="n">
        <f aca="false">H34*L34</f>
        <v>31.65</v>
      </c>
      <c r="N34" s="461" t="n">
        <v>3165</v>
      </c>
      <c r="O34" s="462" t="n">
        <f aca="false">G34-N34</f>
        <v>0</v>
      </c>
      <c r="P34" s="463" t="n">
        <f aca="false">N34*H34</f>
        <v>118687.5</v>
      </c>
      <c r="Q34" s="48" t="n">
        <f aca="false">J34-P34</f>
        <v>0</v>
      </c>
      <c r="R34" s="467"/>
    </row>
    <row r="35" customFormat="false" ht="15" hidden="false" customHeight="true" outlineLevel="0" collapsed="false">
      <c r="A35" s="455" t="s">
        <v>2127</v>
      </c>
      <c r="C35" s="456" t="n">
        <v>45597</v>
      </c>
      <c r="D35" s="323" t="n">
        <v>14126</v>
      </c>
      <c r="E35" s="323" t="s">
        <v>175</v>
      </c>
      <c r="F35" s="323" t="s">
        <v>12</v>
      </c>
      <c r="G35" s="98" t="n">
        <v>1500</v>
      </c>
      <c r="H35" s="457" t="n">
        <v>18</v>
      </c>
      <c r="I35" s="313" t="s">
        <v>1651</v>
      </c>
      <c r="J35" s="98" t="n">
        <f aca="false">H35*G35</f>
        <v>27000</v>
      </c>
      <c r="K35" s="411" t="n">
        <v>83565</v>
      </c>
      <c r="L35" s="392" t="n">
        <f aca="false">K35/J35</f>
        <v>3.095</v>
      </c>
      <c r="M35" s="466" t="n">
        <f aca="false">H35*L35</f>
        <v>55.71</v>
      </c>
      <c r="N35" s="461" t="n">
        <v>1500</v>
      </c>
      <c r="O35" s="462" t="n">
        <f aca="false">G35-N35</f>
        <v>0</v>
      </c>
      <c r="P35" s="463" t="n">
        <f aca="false">N35*H35</f>
        <v>27000</v>
      </c>
      <c r="Q35" s="48" t="n">
        <f aca="false">J35-P35</f>
        <v>0</v>
      </c>
      <c r="R35" s="467"/>
    </row>
    <row r="36" customFormat="false" ht="15" hidden="false" customHeight="true" outlineLevel="0" collapsed="false">
      <c r="A36" s="44" t="s">
        <v>2128</v>
      </c>
      <c r="C36" s="456" t="n">
        <v>44372</v>
      </c>
      <c r="D36" s="57" t="n">
        <v>14367</v>
      </c>
      <c r="E36" s="57" t="s">
        <v>175</v>
      </c>
      <c r="F36" s="57" t="s">
        <v>6</v>
      </c>
      <c r="G36" s="98" t="n">
        <v>300</v>
      </c>
      <c r="H36" s="457" t="n">
        <v>30</v>
      </c>
      <c r="I36" s="313" t="s">
        <v>1651</v>
      </c>
      <c r="J36" s="98" t="n">
        <f aca="false">G36*H36</f>
        <v>9000</v>
      </c>
      <c r="K36" s="411" t="n">
        <v>11100</v>
      </c>
      <c r="L36" s="392" t="n">
        <f aca="false">K36/J36</f>
        <v>1.23333333333333</v>
      </c>
      <c r="M36" s="466" t="n">
        <f aca="false">H36*L36</f>
        <v>37</v>
      </c>
      <c r="N36" s="461" t="n">
        <v>300</v>
      </c>
      <c r="O36" s="462" t="n">
        <f aca="false">G36-N36</f>
        <v>0</v>
      </c>
      <c r="P36" s="463" t="n">
        <f aca="false">N36*H36</f>
        <v>9000</v>
      </c>
      <c r="Q36" s="48" t="n">
        <f aca="false">J36-P36</f>
        <v>0</v>
      </c>
      <c r="R36" s="467"/>
    </row>
    <row r="37" customFormat="false" ht="15" hidden="false" customHeight="true" outlineLevel="0" collapsed="false">
      <c r="C37" s="456"/>
      <c r="D37" s="57"/>
      <c r="E37" s="57"/>
      <c r="F37" s="57"/>
      <c r="G37" s="98"/>
      <c r="H37" s="457"/>
      <c r="J37" s="98"/>
      <c r="K37" s="411"/>
      <c r="L37" s="392"/>
      <c r="M37" s="466"/>
      <c r="N37" s="461"/>
      <c r="O37" s="462"/>
      <c r="P37" s="463"/>
      <c r="Q37" s="48"/>
      <c r="R37" s="467"/>
    </row>
    <row r="38" customFormat="false" ht="15" hidden="false" customHeight="true" outlineLevel="0" collapsed="false">
      <c r="C38" s="456"/>
      <c r="D38" s="57"/>
      <c r="E38" s="57"/>
      <c r="F38" s="57"/>
      <c r="G38" s="98"/>
      <c r="H38" s="457"/>
      <c r="J38" s="98"/>
      <c r="K38" s="411"/>
      <c r="L38" s="392"/>
      <c r="M38" s="466"/>
      <c r="N38" s="461"/>
      <c r="O38" s="462"/>
      <c r="P38" s="463"/>
      <c r="Q38" s="48"/>
      <c r="R38" s="467"/>
    </row>
    <row r="39" customFormat="false" ht="15" hidden="false" customHeight="true" outlineLevel="0" collapsed="false">
      <c r="C39" s="456"/>
      <c r="D39" s="57"/>
      <c r="E39" s="57"/>
      <c r="F39" s="57"/>
      <c r="G39" s="98"/>
      <c r="H39" s="457"/>
      <c r="J39" s="98"/>
      <c r="K39" s="411"/>
      <c r="L39" s="392"/>
      <c r="M39" s="466"/>
      <c r="N39" s="461"/>
      <c r="O39" s="462"/>
      <c r="P39" s="463"/>
      <c r="Q39" s="48"/>
      <c r="R39" s="467"/>
    </row>
    <row r="40" customFormat="false" ht="15" hidden="false" customHeight="true" outlineLevel="0" collapsed="false">
      <c r="C40" s="456"/>
      <c r="D40" s="57"/>
      <c r="E40" s="57"/>
      <c r="F40" s="57"/>
      <c r="G40" s="98"/>
      <c r="H40" s="457"/>
      <c r="J40" s="98"/>
      <c r="K40" s="411"/>
      <c r="L40" s="392"/>
      <c r="M40" s="466"/>
      <c r="N40" s="461"/>
      <c r="O40" s="462"/>
      <c r="P40" s="463"/>
      <c r="Q40" s="48"/>
      <c r="R40" s="467"/>
    </row>
    <row r="41" customFormat="false" ht="15" hidden="false" customHeight="true" outlineLevel="0" collapsed="false">
      <c r="C41" s="456"/>
      <c r="D41" s="57"/>
      <c r="E41" s="57"/>
      <c r="F41" s="57"/>
      <c r="G41" s="98"/>
      <c r="H41" s="457"/>
      <c r="J41" s="98"/>
      <c r="K41" s="411"/>
      <c r="L41" s="392"/>
      <c r="M41" s="466"/>
      <c r="N41" s="461"/>
      <c r="O41" s="462"/>
      <c r="P41" s="463"/>
      <c r="Q41" s="48"/>
      <c r="R41" s="467"/>
    </row>
    <row r="42" customFormat="false" ht="15" hidden="false" customHeight="true" outlineLevel="0" collapsed="false">
      <c r="C42" s="456"/>
      <c r="D42" s="57"/>
      <c r="E42" s="57"/>
      <c r="F42" s="57"/>
      <c r="G42" s="98"/>
      <c r="H42" s="457"/>
      <c r="J42" s="98"/>
      <c r="K42" s="411"/>
      <c r="L42" s="392"/>
      <c r="M42" s="466"/>
      <c r="N42" s="461"/>
      <c r="O42" s="462"/>
      <c r="P42" s="463"/>
      <c r="Q42" s="48"/>
      <c r="R42" s="467"/>
    </row>
    <row r="43" customFormat="false" ht="15" hidden="false" customHeight="true" outlineLevel="0" collapsed="false">
      <c r="C43" s="456"/>
      <c r="D43" s="323"/>
      <c r="E43" s="323"/>
      <c r="F43" s="323"/>
      <c r="G43" s="98"/>
      <c r="H43" s="457"/>
      <c r="I43" s="2"/>
      <c r="J43" s="98"/>
      <c r="K43" s="411"/>
      <c r="L43" s="392"/>
      <c r="M43" s="466"/>
      <c r="N43" s="461"/>
      <c r="O43" s="462"/>
      <c r="P43" s="463"/>
      <c r="Q43" s="48"/>
      <c r="R43" s="467"/>
    </row>
    <row r="44" customFormat="false" ht="15" hidden="false" customHeight="true" outlineLevel="0" collapsed="false">
      <c r="C44" s="456"/>
      <c r="D44" s="323"/>
      <c r="E44" s="323"/>
      <c r="F44" s="323"/>
      <c r="G44" s="98"/>
      <c r="H44" s="457"/>
      <c r="I44" s="2"/>
      <c r="J44" s="98"/>
      <c r="K44" s="411"/>
      <c r="L44" s="392"/>
      <c r="M44" s="466"/>
      <c r="N44" s="461"/>
      <c r="O44" s="462"/>
      <c r="P44" s="463"/>
      <c r="Q44" s="48"/>
      <c r="R44" s="467"/>
    </row>
    <row r="45" customFormat="false" ht="15" hidden="false" customHeight="true" outlineLevel="0" collapsed="false">
      <c r="C45" s="456"/>
      <c r="D45" s="57"/>
      <c r="E45" s="57"/>
      <c r="F45" s="57"/>
      <c r="G45" s="98"/>
      <c r="H45" s="457"/>
      <c r="I45" s="2"/>
      <c r="J45" s="98"/>
      <c r="K45" s="411"/>
      <c r="L45" s="392"/>
      <c r="M45" s="466"/>
      <c r="N45" s="461"/>
      <c r="O45" s="462"/>
      <c r="P45" s="463"/>
      <c r="Q45" s="48"/>
      <c r="R45" s="467"/>
    </row>
    <row r="46" customFormat="false" ht="15" hidden="false" customHeight="true" outlineLevel="0" collapsed="false">
      <c r="C46" s="456"/>
      <c r="D46" s="57"/>
      <c r="E46" s="57"/>
      <c r="F46" s="57"/>
      <c r="G46" s="98"/>
      <c r="H46" s="457"/>
      <c r="J46" s="98"/>
      <c r="K46" s="411"/>
      <c r="L46" s="392"/>
      <c r="M46" s="466"/>
      <c r="N46" s="461"/>
      <c r="O46" s="462"/>
      <c r="P46" s="463"/>
      <c r="Q46" s="48"/>
      <c r="R46" s="467"/>
    </row>
    <row r="47" customFormat="false" ht="14.25" hidden="false" customHeight="false" outlineLevel="0" collapsed="false">
      <c r="G47" s="463" t="n">
        <f aca="false">SUBTOTAL(109,G4:G36)</f>
        <v>171080</v>
      </c>
      <c r="J47" s="598" t="n">
        <f aca="false">SUBTOTAL(109,J4:J36)</f>
        <v>4495535.55</v>
      </c>
      <c r="K47" s="599" t="n">
        <f aca="false">SUBTOTAL(109,K4:K36)</f>
        <v>4107115.8</v>
      </c>
      <c r="L47" s="600" t="n">
        <f aca="false">K47/J47</f>
        <v>0.913598781350978</v>
      </c>
      <c r="M47" s="601"/>
      <c r="N47" s="336" t="n">
        <f aca="false">SUBTOTAL(109,N4:N36)</f>
        <v>166315</v>
      </c>
      <c r="O47" s="336" t="n">
        <f aca="false">SUBTOTAL(109,O4:O36)</f>
        <v>4765</v>
      </c>
      <c r="P47" s="602" t="n">
        <f aca="false">SUBTOTAL(109,P4:P36)</f>
        <v>4314665.55</v>
      </c>
      <c r="Q47" s="336" t="n">
        <f aca="false">SUBTOTAL(109,Q4:Q36)</f>
        <v>180870</v>
      </c>
    </row>
    <row r="48" customFormat="false" ht="14.25" hidden="false" customHeight="false" outlineLevel="0" collapsed="false">
      <c r="J48" s="598"/>
      <c r="K48" s="246"/>
      <c r="L48" s="601"/>
      <c r="M48" s="601"/>
      <c r="N48" s="336"/>
      <c r="O48" s="336"/>
      <c r="P48" s="336"/>
      <c r="Q48" s="336"/>
    </row>
    <row r="49" customFormat="false" ht="14.25" hidden="false" customHeight="false" outlineLevel="0" collapsed="false">
      <c r="G49" s="463"/>
    </row>
    <row r="50" customFormat="false" ht="14.25" hidden="false" customHeight="false" outlineLevel="0" collapsed="false">
      <c r="P50" s="314"/>
    </row>
  </sheetData>
  <autoFilter ref="A3:R36"/>
  <mergeCells count="1">
    <mergeCell ref="A1:T1"/>
  </mergeCells>
  <conditionalFormatting sqref="O25 O19:O22">
    <cfRule type="expression" priority="2" aboveAverage="0" equalAverage="0" bottom="0" percent="0" rank="0" text="" dxfId="5114">
      <formula>$E19:R899="pp"</formula>
    </cfRule>
    <cfRule type="expression" priority="3" aboveAverage="0" equalAverage="0" bottom="0" percent="0" rank="0" text="" dxfId="5115">
      <formula>$E19:R182="pp"</formula>
    </cfRule>
  </conditionalFormatting>
  <conditionalFormatting sqref="P32">
    <cfRule type="expression" priority="4" aboveAverage="0" equalAverage="0" bottom="0" percent="0" rank="0" text="" dxfId="5116">
      <formula>$E32:S604="pp"</formula>
    </cfRule>
  </conditionalFormatting>
  <conditionalFormatting sqref="N32">
    <cfRule type="expression" priority="5" aboveAverage="0" equalAverage="0" bottom="0" percent="0" rank="0" text="" dxfId="5117">
      <formula>$E32:R591="pp"</formula>
    </cfRule>
  </conditionalFormatting>
  <conditionalFormatting sqref="J32 L32:M32">
    <cfRule type="expression" priority="6" aboveAverage="0" equalAverage="0" bottom="0" percent="0" rank="0" text="" dxfId="5118">
      <formula>$E32:O613="pp"</formula>
    </cfRule>
  </conditionalFormatting>
  <conditionalFormatting sqref="I32 K32">
    <cfRule type="expression" priority="7" aboveAverage="0" equalAverage="0" bottom="0" percent="0" rank="0" text="" dxfId="5119">
      <formula>$E32:N576="pp"</formula>
    </cfRule>
  </conditionalFormatting>
  <conditionalFormatting sqref="E32">
    <cfRule type="expression" priority="8" aboveAverage="0" equalAverage="0" bottom="0" percent="0" rank="0" text="" dxfId="5120">
      <formula>$E32:I918="pp"</formula>
    </cfRule>
  </conditionalFormatting>
  <conditionalFormatting sqref="D32">
    <cfRule type="expression" priority="9" aboveAverage="0" equalAverage="0" bottom="0" percent="0" rank="0" text="" dxfId="5121">
      <formula>$E32:H592="pp"</formula>
    </cfRule>
  </conditionalFormatting>
  <conditionalFormatting sqref="C32">
    <cfRule type="expression" priority="10" aboveAverage="0" equalAverage="0" bottom="0" percent="0" rank="0" text="" dxfId="5122">
      <formula>$E32:G626="pp"</formula>
    </cfRule>
  </conditionalFormatting>
  <conditionalFormatting sqref="B32 F32:H32">
    <cfRule type="expression" priority="11" aboveAverage="0" equalAverage="0" bottom="0" percent="0" rank="0" text="" dxfId="5123">
      <formula>$E32:F576="pp"</formula>
    </cfRule>
  </conditionalFormatting>
  <conditionalFormatting sqref="P31">
    <cfRule type="expression" priority="12" aboveAverage="0" equalAverage="0" bottom="0" percent="0" rank="0" text="" dxfId="5124">
      <formula>$E31:S962="pp"</formula>
    </cfRule>
  </conditionalFormatting>
  <conditionalFormatting sqref="N31">
    <cfRule type="expression" priority="13" aboveAverage="0" equalAverage="0" bottom="0" percent="0" rank="0" text="" dxfId="5125">
      <formula>$E31:R949="pp"</formula>
    </cfRule>
  </conditionalFormatting>
  <conditionalFormatting sqref="I31 K31">
    <cfRule type="expression" priority="14" aboveAverage="0" equalAverage="0" bottom="0" percent="0" rank="0" text="" dxfId="5126">
      <formula>$E31:N928="pp"</formula>
    </cfRule>
  </conditionalFormatting>
  <conditionalFormatting sqref="J31 L31:M31">
    <cfRule type="expression" priority="15" aboveAverage="0" equalAverage="0" bottom="0" percent="0" rank="0" text="" dxfId="5127">
      <formula>$E31:O971="pp"</formula>
    </cfRule>
  </conditionalFormatting>
  <conditionalFormatting sqref="A31">
    <cfRule type="expression" priority="16" aboveAverage="0" equalAverage="0" bottom="0" percent="0" rank="0" text="" dxfId="5128">
      <formula>$E31:E961="pp"</formula>
    </cfRule>
  </conditionalFormatting>
  <conditionalFormatting sqref="C31">
    <cfRule type="expression" priority="17" aboveAverage="0" equalAverage="0" bottom="0" percent="0" rank="0" text="" dxfId="5129">
      <formula>$E31:G978="pp"</formula>
    </cfRule>
  </conditionalFormatting>
  <conditionalFormatting sqref="B31 F31:H31">
    <cfRule type="expression" priority="18" aboveAverage="0" equalAverage="0" bottom="0" percent="0" rank="0" text="" dxfId="5130">
      <formula>$E31:F928="pp"</formula>
    </cfRule>
  </conditionalFormatting>
  <conditionalFormatting sqref="D31">
    <cfRule type="expression" priority="19" aboveAverage="0" equalAverage="0" bottom="0" percent="0" rank="0" text="" dxfId="5131">
      <formula>$E31:H944="pp"</formula>
    </cfRule>
  </conditionalFormatting>
  <conditionalFormatting sqref="P23">
    <cfRule type="expression" priority="20" aboveAverage="0" equalAverage="0" bottom="0" percent="0" rank="0" text="" dxfId="5132">
      <formula>$E23:R188="pp"</formula>
    </cfRule>
  </conditionalFormatting>
  <conditionalFormatting sqref="I9">
    <cfRule type="expression" priority="21" aboveAverage="0" equalAverage="0" bottom="0" percent="0" rank="0" text="" dxfId="5133">
      <formula>$E9:N143="pp"</formula>
    </cfRule>
  </conditionalFormatting>
  <conditionalFormatting sqref="A9:D9">
    <cfRule type="expression" priority="22" aboveAverage="0" equalAverage="0" bottom="0" percent="0" rank="0" text="" dxfId="5134">
      <formula>$E9:E143="pp"</formula>
    </cfRule>
  </conditionalFormatting>
  <conditionalFormatting sqref="J23 L23">
    <cfRule type="expression" priority="23" aboveAverage="0" equalAverage="0" bottom="0" percent="0" rank="0" text="" dxfId="5135">
      <formula>$E23:O197="pp"</formula>
    </cfRule>
  </conditionalFormatting>
  <conditionalFormatting sqref="L24">
    <cfRule type="expression" priority="24" aboveAverage="0" equalAverage="0" bottom="0" percent="0" rank="0" text="" dxfId="5136">
      <formula>$E24:Q197="pp"</formula>
    </cfRule>
  </conditionalFormatting>
  <conditionalFormatting sqref="A46:B46 D46:H46 A12:D13 F12:H13">
    <cfRule type="expression" priority="25" aboveAverage="0" equalAverage="0" bottom="0" percent="0" rank="0" text="" dxfId="5137">
      <formula>$E12:E144="pp"</formula>
    </cfRule>
  </conditionalFormatting>
  <conditionalFormatting sqref="I46 K46 I12:I13 K12:K13">
    <cfRule type="expression" priority="26" aboveAverage="0" equalAverage="0" bottom="0" percent="0" rank="0" text="" dxfId="5138">
      <formula>$E12:N144="pp"</formula>
    </cfRule>
  </conditionalFormatting>
  <conditionalFormatting sqref="I5 I11 K11">
    <cfRule type="expression" priority="27" aboveAverage="0" equalAverage="0" bottom="0" percent="0" rank="0" text="" dxfId="5139">
      <formula>$E5:N139="pp"</formula>
    </cfRule>
  </conditionalFormatting>
  <conditionalFormatting sqref="D43:H44 A4:D4 F8:H8 F4:H4">
    <cfRule type="expression" priority="28" aboveAverage="0" equalAverage="0" bottom="0" percent="0" rank="0" text="" dxfId="5140">
      <formula>$E4:E139="pp"</formula>
    </cfRule>
  </conditionalFormatting>
  <conditionalFormatting sqref="N46 N12:N13">
    <cfRule type="expression" priority="29" aboveAverage="0" equalAverage="0" bottom="0" percent="0" rank="0" text="" dxfId="5141">
      <formula>$E12:Q144="pp"</formula>
    </cfRule>
  </conditionalFormatting>
  <conditionalFormatting sqref="N9 N11">
    <cfRule type="expression" priority="30" aboveAverage="0" equalAverage="0" bottom="0" percent="0" rank="0" text="" dxfId="5142">
      <formula>$E9:Q143="pp"</formula>
    </cfRule>
  </conditionalFormatting>
  <conditionalFormatting sqref="M23">
    <cfRule type="expression" priority="31" aboveAverage="0" equalAverage="0" bottom="0" percent="0" rank="0" text="" dxfId="5143">
      <formula>$E23:Q197="pp"</formula>
    </cfRule>
  </conditionalFormatting>
  <conditionalFormatting sqref="I6 I10 K10">
    <cfRule type="expression" priority="32" aboveAverage="0" equalAverage="0" bottom="0" percent="0" rank="0" text="" dxfId="5144">
      <formula>$E6:N139="pp"</formula>
    </cfRule>
  </conditionalFormatting>
  <conditionalFormatting sqref="A16:D16 F16:H16 A19:D19 F19:H19">
    <cfRule type="expression" priority="33" aboveAverage="0" equalAverage="0" bottom="0" percent="0" rank="0" text="" dxfId="5145">
      <formula>$E16:E144="pp"</formula>
    </cfRule>
  </conditionalFormatting>
  <conditionalFormatting sqref="I16 I19 K19">
    <cfRule type="expression" priority="34" aboveAverage="0" equalAverage="0" bottom="0" percent="0" rank="0" text="" dxfId="5146">
      <formula>$E16:N144="pp"</formula>
    </cfRule>
  </conditionalFormatting>
  <conditionalFormatting sqref="N16 N19">
    <cfRule type="expression" priority="35" aboveAverage="0" equalAverage="0" bottom="0" percent="0" rank="0" text="" dxfId="5147">
      <formula>$E16:Q144="pp"</formula>
    </cfRule>
  </conditionalFormatting>
  <conditionalFormatting sqref="A21:D21 F21:H21 F24:H24">
    <cfRule type="expression" priority="36" aboveAverage="0" equalAverage="0" bottom="0" percent="0" rank="0" text="" dxfId="5148">
      <formula>$E21:E147="pp"</formula>
    </cfRule>
  </conditionalFormatting>
  <conditionalFormatting sqref="K23">
    <cfRule type="expression" priority="37" aboveAverage="0" equalAverage="0" bottom="0" percent="0" rank="0" text="" dxfId="5149">
      <formula>$E23:P150="pp"</formula>
    </cfRule>
  </conditionalFormatting>
  <conditionalFormatting sqref="N21">
    <cfRule type="expression" priority="38" aboveAverage="0" equalAverage="0" bottom="0" percent="0" rank="0" text="" dxfId="5150">
      <formula>$E21:Q147="pp"</formula>
    </cfRule>
  </conditionalFormatting>
  <conditionalFormatting sqref="A20:D20 F20:H20 F23:H23 A17:D18 F17:H18">
    <cfRule type="expression" priority="39" aboveAverage="0" equalAverage="0" bottom="0" percent="0" rank="0" text="" dxfId="5151">
      <formula>$E17:E144="pp"</formula>
    </cfRule>
  </conditionalFormatting>
  <conditionalFormatting sqref="I20 I17:I18 K17:K18">
    <cfRule type="expression" priority="40" aboveAverage="0" equalAverage="0" bottom="0" percent="0" rank="0" text="" dxfId="5152">
      <formula>$E17:N144="pp"</formula>
    </cfRule>
  </conditionalFormatting>
  <conditionalFormatting sqref="N20 N17:N18">
    <cfRule type="expression" priority="41" aboveAverage="0" equalAverage="0" bottom="0" percent="0" rank="0" text="" dxfId="5153">
      <formula>$E17:Q144="pp"</formula>
    </cfRule>
  </conditionalFormatting>
  <conditionalFormatting sqref="A22:D22 A25:D25 F25:H25 F22:H22">
    <cfRule type="expression" priority="42" aboveAverage="0" equalAverage="0" bottom="0" percent="0" rank="0" text="" dxfId="5154">
      <formula>$E22:E147="pp"</formula>
    </cfRule>
  </conditionalFormatting>
  <conditionalFormatting sqref="I22 K22 I25">
    <cfRule type="expression" priority="43" aboveAverage="0" equalAverage="0" bottom="0" percent="0" rank="0" text="" dxfId="5155">
      <formula>$E22:N147="pp"</formula>
    </cfRule>
  </conditionalFormatting>
  <conditionalFormatting sqref="N22 N25">
    <cfRule type="expression" priority="44" aboveAverage="0" equalAverage="0" bottom="0" percent="0" rank="0" text="" dxfId="5156">
      <formula>$E22:Q147="pp"</formula>
    </cfRule>
  </conditionalFormatting>
  <conditionalFormatting sqref="P24">
    <cfRule type="expression" priority="45" aboveAverage="0" equalAverage="0" bottom="0" percent="0" rank="0" text="" dxfId="5157">
      <formula>$E24:R188="pp"</formula>
    </cfRule>
  </conditionalFormatting>
  <conditionalFormatting sqref="A24:D24">
    <cfRule type="expression" priority="46" aboveAverage="0" equalAverage="0" bottom="0" percent="0" rank="0" text="" dxfId="5158">
      <formula>$E24:E150="pp"</formula>
    </cfRule>
  </conditionalFormatting>
  <conditionalFormatting sqref="I24">
    <cfRule type="expression" priority="47" aboveAverage="0" equalAverage="0" bottom="0" percent="0" rank="0" text="" dxfId="5159">
      <formula>$E24:N150="pp"</formula>
    </cfRule>
  </conditionalFormatting>
  <conditionalFormatting sqref="N24">
    <cfRule type="expression" priority="48" aboveAverage="0" equalAverage="0" bottom="0" percent="0" rank="0" text="" dxfId="5160">
      <formula>$E24:Q150="pp"</formula>
    </cfRule>
  </conditionalFormatting>
  <conditionalFormatting sqref="M24">
    <cfRule type="expression" priority="49" aboveAverage="0" equalAverage="0" bottom="0" percent="0" rank="0" text="" dxfId="5161">
      <formula>$E24:Q197="pp"</formula>
    </cfRule>
  </conditionalFormatting>
  <conditionalFormatting sqref="J24">
    <cfRule type="expression" priority="50" aboveAverage="0" equalAverage="0" bottom="0" percent="0" rank="0" text="" dxfId="5162">
      <formula>$E24:O197="pp"</formula>
    </cfRule>
  </conditionalFormatting>
  <conditionalFormatting sqref="K24">
    <cfRule type="expression" priority="51" aboveAverage="0" equalAverage="0" bottom="0" percent="0" rank="0" text="" dxfId="5163">
      <formula>$E24:P150="pp"</formula>
    </cfRule>
  </conditionalFormatting>
  <conditionalFormatting sqref="K20">
    <cfRule type="expression" priority="52" aboveAverage="0" equalAverage="0" bottom="0" percent="0" rank="0" text="" dxfId="5164">
      <formula>$E20:P147="pp"</formula>
    </cfRule>
  </conditionalFormatting>
  <conditionalFormatting sqref="A23:D23">
    <cfRule type="expression" priority="53" aboveAverage="0" equalAverage="0" bottom="0" percent="0" rank="0" text="" dxfId="5165">
      <formula>$E23:E150="pp"</formula>
    </cfRule>
  </conditionalFormatting>
  <conditionalFormatting sqref="K16">
    <cfRule type="expression" priority="54" aboveAverage="0" equalAverage="0" bottom="0" percent="0" rank="0" text="" dxfId="5166">
      <formula>$E16:P144="pp"</formula>
    </cfRule>
  </conditionalFormatting>
  <conditionalFormatting sqref="K21">
    <cfRule type="expression" priority="55" aboveAverage="0" equalAverage="0" bottom="0" percent="0" rank="0" text="" dxfId="5167">
      <formula>$E21:P147="pp"</formula>
    </cfRule>
  </conditionalFormatting>
  <conditionalFormatting sqref="K25">
    <cfRule type="expression" priority="56" aboveAverage="0" equalAverage="0" bottom="0" percent="0" rank="0" text="" dxfId="5168">
      <formula>$E25:P150="pp"</formula>
    </cfRule>
  </conditionalFormatting>
  <conditionalFormatting sqref="N23">
    <cfRule type="expression" priority="57" aboveAverage="0" equalAverage="0" bottom="0" percent="0" rank="0" text="" dxfId="5169">
      <formula>$E23:Q150="pp"</formula>
    </cfRule>
  </conditionalFormatting>
  <conditionalFormatting sqref="K5">
    <cfRule type="expression" priority="58" aboveAverage="0" equalAverage="0" bottom="0" percent="0" rank="0" text="" dxfId="5170">
      <formula>$E5:P139="pp"</formula>
    </cfRule>
  </conditionalFormatting>
  <conditionalFormatting sqref="K9">
    <cfRule type="expression" priority="59" aboveAverage="0" equalAverage="0" bottom="0" percent="0" rank="0" text="" dxfId="5171">
      <formula>$E9:P143="pp"</formula>
    </cfRule>
  </conditionalFormatting>
  <conditionalFormatting sqref="I23">
    <cfRule type="expression" priority="60" aboveAverage="0" equalAverage="0" bottom="0" percent="0" rank="0" text="" dxfId="5172">
      <formula>$E23:N150="pp"</formula>
    </cfRule>
  </conditionalFormatting>
  <conditionalFormatting sqref="I21">
    <cfRule type="expression" priority="61" aboveAverage="0" equalAverage="0" bottom="0" percent="0" rank="0" text="" dxfId="5173">
      <formula>$E21:N147="pp"</formula>
    </cfRule>
  </conditionalFormatting>
  <conditionalFormatting sqref="K6">
    <cfRule type="expression" priority="62" aboveAverage="0" equalAverage="0" bottom="0" percent="0" rank="0" text="" dxfId="5174">
      <formula>$E6:P139="pp"</formula>
    </cfRule>
  </conditionalFormatting>
  <conditionalFormatting sqref="F9:H9 A11:D11 F11:H11 F5:H5">
    <cfRule type="expression" priority="63" aboveAverage="0" equalAverage="0" bottom="0" percent="0" rank="0" text="" dxfId="5175">
      <formula>$E5:E139="pp"</formula>
    </cfRule>
  </conditionalFormatting>
  <conditionalFormatting sqref="N6 N10">
    <cfRule type="expression" priority="64" aboveAverage="0" equalAverage="0" bottom="0" percent="0" rank="0" text="" dxfId="5176">
      <formula>$E6:Q139="pp"</formula>
    </cfRule>
  </conditionalFormatting>
  <conditionalFormatting sqref="A26:D26 F26:H26">
    <cfRule type="expression" priority="65" aboveAverage="0" equalAverage="0" bottom="0" percent="0" rank="0" text="" dxfId="5177">
      <formula>$E26:E150="pp"</formula>
    </cfRule>
  </conditionalFormatting>
  <conditionalFormatting sqref="K26 I26">
    <cfRule type="expression" priority="66" aboveAverage="0" equalAverage="0" bottom="0" percent="0" rank="0" text="" dxfId="5178">
      <formula>$E26:N150="pp"</formula>
    </cfRule>
  </conditionalFormatting>
  <conditionalFormatting sqref="L25 J25 J19:J22 L19:L22">
    <cfRule type="expression" priority="67" aboveAverage="0" equalAverage="0" bottom="0" percent="0" rank="0" text="" dxfId="5179">
      <formula>$E19:O191="pp"</formula>
    </cfRule>
  </conditionalFormatting>
  <conditionalFormatting sqref="M25 M19:M22">
    <cfRule type="expression" priority="68" aboveAverage="0" equalAverage="0" bottom="0" percent="0" rank="0" text="" dxfId="5180">
      <formula>$E19:Q191="pp"</formula>
    </cfRule>
  </conditionalFormatting>
  <conditionalFormatting sqref="N26">
    <cfRule type="expression" priority="69" aboveAverage="0" equalAverage="0" bottom="0" percent="0" rank="0" text="" dxfId="5181">
      <formula>$E26:Q150="pp"</formula>
    </cfRule>
  </conditionalFormatting>
  <conditionalFormatting sqref="P25 P19:P22">
    <cfRule type="expression" priority="70" aboveAverage="0" equalAverage="0" bottom="0" percent="0" rank="0" text="" dxfId="5182">
      <formula>$E19:R182="pp"</formula>
    </cfRule>
  </conditionalFormatting>
  <conditionalFormatting sqref="O24">
    <cfRule type="expression" priority="71" aboveAverage="0" equalAverage="0" bottom="0" percent="0" rank="0" text="" dxfId="5183">
      <formula>$E24:R905="pp"</formula>
    </cfRule>
    <cfRule type="expression" priority="72" aboveAverage="0" equalAverage="0" bottom="0" percent="0" rank="0" text="" dxfId="5184">
      <formula>$E24:R188="pp"</formula>
    </cfRule>
  </conditionalFormatting>
  <conditionalFormatting sqref="A5:D5">
    <cfRule type="expression" priority="73" aboveAverage="0" equalAverage="0" bottom="0" percent="0" rank="0" text="" dxfId="5185">
      <formula>$E5:E139="pp"</formula>
    </cfRule>
  </conditionalFormatting>
  <conditionalFormatting sqref="N5">
    <cfRule type="expression" priority="74" aboveAverage="0" equalAverage="0" bottom="0" percent="0" rank="0" text="" dxfId="5186">
      <formula>$E5:Q139="pp"</formula>
    </cfRule>
  </conditionalFormatting>
  <conditionalFormatting sqref="O23">
    <cfRule type="expression" priority="75" aboveAverage="0" equalAverage="0" bottom="0" percent="0" rank="0" text="" dxfId="5187">
      <formula>$E23:R905="pp"</formula>
    </cfRule>
    <cfRule type="expression" priority="76" aboveAverage="0" equalAverage="0" bottom="0" percent="0" rank="0" text="" dxfId="5188">
      <formula>$E23:R188="pp"</formula>
    </cfRule>
  </conditionalFormatting>
  <conditionalFormatting sqref="J46 L46 J4:J6 L4:L6">
    <cfRule type="expression" priority="77" aboveAverage="0" equalAverage="0" bottom="0" percent="0" rank="0" text="" dxfId="5189">
      <formula>$E4:O164="pp"</formula>
    </cfRule>
  </conditionalFormatting>
  <conditionalFormatting sqref="M46 M4:M6">
    <cfRule type="expression" priority="78" aboveAverage="0" equalAverage="0" bottom="0" percent="0" rank="0" text="" dxfId="5190">
      <formula>$E4:Q164="pp"</formula>
    </cfRule>
  </conditionalFormatting>
  <conditionalFormatting sqref="P46 P4:P6">
    <cfRule type="expression" priority="79" aboveAverage="0" equalAverage="0" bottom="0" percent="0" rank="0" text="" dxfId="5191">
      <formula>$E4:R155="pp"</formula>
    </cfRule>
  </conditionalFormatting>
  <conditionalFormatting sqref="O31">
    <cfRule type="expression" priority="80" aboveAverage="0" equalAverage="0" bottom="0" percent="0" rank="0" text="" dxfId="5192">
      <formula>$E31:S1679="pp"</formula>
    </cfRule>
    <cfRule type="expression" priority="81" aboveAverage="0" equalAverage="0" bottom="0" percent="0" rank="0" text="" dxfId="5193">
      <formula>$E31:S962="pp"</formula>
    </cfRule>
  </conditionalFormatting>
  <conditionalFormatting sqref="O32">
    <cfRule type="expression" priority="82" aboveAverage="0" equalAverage="0" bottom="0" percent="0" rank="0" text="" dxfId="5194">
      <formula>$E32:S1321="pp"</formula>
    </cfRule>
    <cfRule type="expression" priority="83" aboveAverage="0" equalAverage="0" bottom="0" percent="0" rank="0" text="" dxfId="5195">
      <formula>$E32:S604="pp"</formula>
    </cfRule>
  </conditionalFormatting>
  <conditionalFormatting sqref="O46 O4:O6">
    <cfRule type="expression" priority="84" aboveAverage="0" equalAverage="0" bottom="0" percent="0" rank="0" text="" dxfId="5196">
      <formula>$E4:R872="pp"</formula>
    </cfRule>
    <cfRule type="expression" priority="85" aboveAverage="0" equalAverage="0" bottom="0" percent="0" rank="0" text="" dxfId="5197">
      <formula>$E4:R155="pp"</formula>
    </cfRule>
  </conditionalFormatting>
  <conditionalFormatting sqref="K43:K44 I4 K4 I8">
    <cfRule type="expression" priority="86" aboveAverage="0" equalAverage="0" bottom="0" percent="0" rank="0" text="" dxfId="5198">
      <formula>$E4:N139="pp"</formula>
    </cfRule>
  </conditionalFormatting>
  <conditionalFormatting sqref="N4 N8">
    <cfRule type="expression" priority="87" aboveAverage="0" equalAverage="0" bottom="0" percent="0" rank="0" text="" dxfId="5199">
      <formula>$E4:Q139="pp"</formula>
    </cfRule>
  </conditionalFormatting>
  <conditionalFormatting sqref="F6:H6 A6:D6 A10:D10 F10:H10">
    <cfRule type="expression" priority="88" aboveAverage="0" equalAverage="0" bottom="0" percent="0" rank="0" text="" dxfId="5200">
      <formula>$E6:E139="pp"</formula>
    </cfRule>
  </conditionalFormatting>
  <conditionalFormatting sqref="C46">
    <cfRule type="expression" priority="89" aboveAverage="0" equalAverage="0" bottom="0" percent="0" rank="0" text="" dxfId="5201">
      <formula>$E46:G625="pp"</formula>
    </cfRule>
  </conditionalFormatting>
  <conditionalFormatting sqref="A45:B45 D45:H45">
    <cfRule type="expression" priority="90" aboveAverage="0" equalAverage="0" bottom="0" percent="0" rank="0" text="" dxfId="5202">
      <formula>$E45:E178="pp"</formula>
    </cfRule>
  </conditionalFormatting>
  <conditionalFormatting sqref="I45 K45">
    <cfRule type="expression" priority="91" aboveAverage="0" equalAverage="0" bottom="0" percent="0" rank="0" text="" dxfId="5203">
      <formula>$E45:N178="pp"</formula>
    </cfRule>
  </conditionalFormatting>
  <conditionalFormatting sqref="N45">
    <cfRule type="expression" priority="92" aboveAverage="0" equalAverage="0" bottom="0" percent="0" rank="0" text="" dxfId="5204">
      <formula>$E45:Q178="pp"</formula>
    </cfRule>
  </conditionalFormatting>
  <conditionalFormatting sqref="J45 L45">
    <cfRule type="expression" priority="93" aboveAverage="0" equalAverage="0" bottom="0" percent="0" rank="0" text="" dxfId="5205">
      <formula>$E45:O206="pp"</formula>
    </cfRule>
  </conditionalFormatting>
  <conditionalFormatting sqref="M45">
    <cfRule type="expression" priority="94" aboveAverage="0" equalAverage="0" bottom="0" percent="0" rank="0" text="" dxfId="5206">
      <formula>$E45:Q206="pp"</formula>
    </cfRule>
  </conditionalFormatting>
  <conditionalFormatting sqref="P45">
    <cfRule type="expression" priority="95" aboveAverage="0" equalAverage="0" bottom="0" percent="0" rank="0" text="" dxfId="5207">
      <formula>$E45:R197="pp"</formula>
    </cfRule>
  </conditionalFormatting>
  <conditionalFormatting sqref="O45">
    <cfRule type="expression" priority="96" aboveAverage="0" equalAverage="0" bottom="0" percent="0" rank="0" text="" dxfId="5208">
      <formula>$E45:R914="pp"</formula>
    </cfRule>
    <cfRule type="expression" priority="97" aboveAverage="0" equalAverage="0" bottom="0" percent="0" rank="0" text="" dxfId="5209">
      <formula>$E45:R197="pp"</formula>
    </cfRule>
  </conditionalFormatting>
  <conditionalFormatting sqref="C45">
    <cfRule type="expression" priority="98" aboveAverage="0" equalAverage="0" bottom="0" percent="0" rank="0" text="" dxfId="5210">
      <formula>$E45:G625="pp"</formula>
    </cfRule>
  </conditionalFormatting>
  <conditionalFormatting sqref="A43:B44">
    <cfRule type="expression" priority="99" aboveAverage="0" equalAverage="0" bottom="0" percent="0" rank="0" text="" dxfId="5211">
      <formula>$E43:E178="pp"</formula>
    </cfRule>
  </conditionalFormatting>
  <conditionalFormatting sqref="I43:I44">
    <cfRule type="expression" priority="100" aboveAverage="0" equalAverage="0" bottom="0" percent="0" rank="0" text="" dxfId="5212">
      <formula>$E43:N178="pp"</formula>
    </cfRule>
  </conditionalFormatting>
  <conditionalFormatting sqref="N43:N44">
    <cfRule type="expression" priority="101" aboveAverage="0" equalAverage="0" bottom="0" percent="0" rank="0" text="" dxfId="5213">
      <formula>$E43:Q178="pp"</formula>
    </cfRule>
  </conditionalFormatting>
  <conditionalFormatting sqref="J43:J44 L43:L44">
    <cfRule type="expression" priority="102" aboveAverage="0" equalAverage="0" bottom="0" percent="0" rank="0" text="" dxfId="5214">
      <formula>$E43:O206="pp"</formula>
    </cfRule>
  </conditionalFormatting>
  <conditionalFormatting sqref="M43:M44 E4:E8">
    <cfRule type="expression" priority="103" aboveAverage="0" equalAverage="0" bottom="0" percent="0" rank="0" text="" dxfId="5215">
      <formula>$E4:I167="pp"</formula>
    </cfRule>
  </conditionalFormatting>
  <conditionalFormatting sqref="P43:P44">
    <cfRule type="expression" priority="104" aboveAverage="0" equalAverage="0" bottom="0" percent="0" rank="0" text="" dxfId="5216">
      <formula>$E43:R197="pp"</formula>
    </cfRule>
  </conditionalFormatting>
  <conditionalFormatting sqref="O43:O44">
    <cfRule type="expression" priority="105" aboveAverage="0" equalAverage="0" bottom="0" percent="0" rank="0" text="" dxfId="5217">
      <formula>$E43:R914="pp"</formula>
    </cfRule>
    <cfRule type="expression" priority="106" aboveAverage="0" equalAverage="0" bottom="0" percent="0" rank="0" text="" dxfId="5218">
      <formula>$E43:R197="pp"</formula>
    </cfRule>
  </conditionalFormatting>
  <conditionalFormatting sqref="C43:C44">
    <cfRule type="expression" priority="107" aboveAverage="0" equalAverage="0" bottom="0" percent="0" rank="0" text="" dxfId="5219">
      <formula>$E43:G625="pp"</formula>
    </cfRule>
  </conditionalFormatting>
  <conditionalFormatting sqref="E11:E18 M7:M8">
    <cfRule type="expression" priority="108" aboveAverage="0" equalAverage="0" bottom="0" percent="0" rank="0" text="" dxfId="5220">
      <formula>$E7:I172="pp"</formula>
    </cfRule>
  </conditionalFormatting>
  <conditionalFormatting sqref="F7:H7 A7:D7">
    <cfRule type="expression" priority="109" aboveAverage="0" equalAverage="0" bottom="0" percent="0" rank="0" text="" dxfId="5221">
      <formula>$E7:E144="pp"</formula>
    </cfRule>
  </conditionalFormatting>
  <conditionalFormatting sqref="K7 I7">
    <cfRule type="expression" priority="110" aboveAverage="0" equalAverage="0" bottom="0" percent="0" rank="0" text="" dxfId="5222">
      <formula>$E7:N144="pp"</formula>
    </cfRule>
  </conditionalFormatting>
  <conditionalFormatting sqref="N7">
    <cfRule type="expression" priority="111" aboveAverage="0" equalAverage="0" bottom="0" percent="0" rank="0" text="" dxfId="5223">
      <formula>$E7:Q144="pp"</formula>
    </cfRule>
  </conditionalFormatting>
  <conditionalFormatting sqref="O41:O42">
    <cfRule type="expression" priority="112" aboveAverage="0" equalAverage="0" bottom="0" percent="0" rank="0" text="" dxfId="5224">
      <formula>$E41:R915="pp"</formula>
    </cfRule>
    <cfRule type="expression" priority="113" aboveAverage="0" equalAverage="0" bottom="0" percent="0" rank="0" text="" dxfId="5225">
      <formula>$E41:R198="pp"</formula>
    </cfRule>
  </conditionalFormatting>
  <conditionalFormatting sqref="J41:J42 L41:L42">
    <cfRule type="expression" priority="114" aboveAverage="0" equalAverage="0" bottom="0" percent="0" rank="0" text="" dxfId="5226">
      <formula>$E41:O207="pp"</formula>
    </cfRule>
  </conditionalFormatting>
  <conditionalFormatting sqref="M41:M42">
    <cfRule type="expression" priority="115" aboveAverage="0" equalAverage="0" bottom="0" percent="0" rank="0" text="" dxfId="5227">
      <formula>$E41:Q207="pp"</formula>
    </cfRule>
  </conditionalFormatting>
  <conditionalFormatting sqref="P41:P42">
    <cfRule type="expression" priority="116" aboveAverage="0" equalAverage="0" bottom="0" percent="0" rank="0" text="" dxfId="5228">
      <formula>$E41:R198="pp"</formula>
    </cfRule>
  </conditionalFormatting>
  <conditionalFormatting sqref="A41:B42 D41:H42">
    <cfRule type="expression" priority="117" aboveAverage="0" equalAverage="0" bottom="0" percent="0" rank="0" text="" dxfId="5229">
      <formula>$E41:E179="pp"</formula>
    </cfRule>
  </conditionalFormatting>
  <conditionalFormatting sqref="I41:I42 K41:K42">
    <cfRule type="expression" priority="118" aboveAverage="0" equalAverage="0" bottom="0" percent="0" rank="0" text="" dxfId="5230">
      <formula>$E41:N179="pp"</formula>
    </cfRule>
  </conditionalFormatting>
  <conditionalFormatting sqref="N41:N42">
    <cfRule type="expression" priority="119" aboveAverage="0" equalAverage="0" bottom="0" percent="0" rank="0" text="" dxfId="5231">
      <formula>$E41:Q179="pp"</formula>
    </cfRule>
  </conditionalFormatting>
  <conditionalFormatting sqref="O9:O10">
    <cfRule type="expression" priority="120" aboveAverage="0" equalAverage="0" bottom="0" percent="0" rank="0" text="" dxfId="5232">
      <formula>$E9:R885="pp"</formula>
    </cfRule>
    <cfRule type="expression" priority="121" aboveAverage="0" equalAverage="0" bottom="0" percent="0" rank="0" text="" dxfId="5233">
      <formula>$E9:R168="pp"</formula>
    </cfRule>
  </conditionalFormatting>
  <conditionalFormatting sqref="J9:J10 L9:L10">
    <cfRule type="expression" priority="122" aboveAverage="0" equalAverage="0" bottom="0" percent="0" rank="0" text="" dxfId="5234">
      <formula>$E9:O177="pp"</formula>
    </cfRule>
  </conditionalFormatting>
  <conditionalFormatting sqref="E19:E31 M9:M10">
    <cfRule type="expression" priority="123" aboveAverage="0" equalAverage="0" bottom="0" percent="0" rank="0" text="" dxfId="5235">
      <formula>$E9:I177="pp"</formula>
    </cfRule>
  </conditionalFormatting>
  <conditionalFormatting sqref="P9:P10">
    <cfRule type="expression" priority="124" aboveAverage="0" equalAverage="0" bottom="0" percent="0" rank="0" text="" dxfId="5236">
      <formula>$E9:R168="pp"</formula>
    </cfRule>
  </conditionalFormatting>
  <conditionalFormatting sqref="C41:C42">
    <cfRule type="expression" priority="125" aboveAverage="0" equalAverage="0" bottom="0" percent="0" rank="0" text="" dxfId="5237">
      <formula>$E41:G626="pp"</formula>
    </cfRule>
  </conditionalFormatting>
  <conditionalFormatting sqref="A8:D8">
    <cfRule type="expression" priority="126" aboveAverage="0" equalAverage="0" bottom="0" percent="0" rank="0" text="" dxfId="5238">
      <formula>$E8:E143="pp"</formula>
    </cfRule>
  </conditionalFormatting>
  <conditionalFormatting sqref="K8">
    <cfRule type="expression" priority="127" aboveAverage="0" equalAverage="0" bottom="0" percent="0" rank="0" text="" dxfId="5239">
      <formula>$E8:P143="pp"</formula>
    </cfRule>
  </conditionalFormatting>
  <conditionalFormatting sqref="O7:O8">
    <cfRule type="expression" priority="128" aboveAverage="0" equalAverage="0" bottom="0" percent="0" rank="0" text="" dxfId="5240">
      <formula>$E7:R880="pp"</formula>
    </cfRule>
    <cfRule type="expression" priority="129" aboveAverage="0" equalAverage="0" bottom="0" percent="0" rank="0" text="" dxfId="5241">
      <formula>$E7:R163="pp"</formula>
    </cfRule>
  </conditionalFormatting>
  <conditionalFormatting sqref="J7:J8 L7:L8">
    <cfRule type="expression" priority="130" aboveAverage="0" equalAverage="0" bottom="0" percent="0" rank="0" text="" dxfId="5242">
      <formula>$E7:O172="pp"</formula>
    </cfRule>
  </conditionalFormatting>
  <conditionalFormatting sqref="P7:P8">
    <cfRule type="expression" priority="131" aboveAverage="0" equalAverage="0" bottom="0" percent="0" rank="0" text="" dxfId="5243">
      <formula>$E7:R163="pp"</formula>
    </cfRule>
  </conditionalFormatting>
  <conditionalFormatting sqref="E9:E10">
    <cfRule type="expression" priority="132" aboveAverage="0" equalAverage="0" bottom="0" percent="0" rank="0" text="" dxfId="5244">
      <formula>$E9:I173="pp"</formula>
    </cfRule>
  </conditionalFormatting>
  <conditionalFormatting sqref="A29:D30 F29:H30">
    <cfRule type="expression" priority="133" aboveAverage="0" equalAverage="0" bottom="0" percent="0" rank="0" text="" dxfId="5245">
      <formula>$E29:E151="pp"</formula>
    </cfRule>
  </conditionalFormatting>
  <conditionalFormatting sqref="I29:I30 K29:K30">
    <cfRule type="expression" priority="134" aboveAverage="0" equalAverage="0" bottom="0" percent="0" rank="0" text="" dxfId="5246">
      <formula>$E29:N151="pp"</formula>
    </cfRule>
  </conditionalFormatting>
  <conditionalFormatting sqref="N29:N30">
    <cfRule type="expression" priority="135" aboveAverage="0" equalAverage="0" bottom="0" percent="0" rank="0" text="" dxfId="5247">
      <formula>$E29:Q151="pp"</formula>
    </cfRule>
  </conditionalFormatting>
  <conditionalFormatting sqref="N33:N35">
    <cfRule type="expression" priority="136" aboveAverage="0" equalAverage="0" bottom="0" percent="0" rank="0" text="" dxfId="5248">
      <formula>$E33:R586="pp"</formula>
    </cfRule>
  </conditionalFormatting>
  <conditionalFormatting sqref="O36:O40 O11:O18">
    <cfRule type="expression" priority="137" aboveAverage="0" equalAverage="0" bottom="0" percent="0" rank="0" text="" dxfId="5249">
      <formula>$E11:R888="pp"</formula>
    </cfRule>
    <cfRule type="expression" priority="138" aboveAverage="0" equalAverage="0" bottom="0" percent="0" rank="0" text="" dxfId="5250">
      <formula>$E11:R171="pp"</formula>
    </cfRule>
  </conditionalFormatting>
  <conditionalFormatting sqref="J36:J40 L36:L40 J11:J18 L11:L18">
    <cfRule type="expression" priority="139" aboveAverage="0" equalAverage="0" bottom="0" percent="0" rank="0" text="" dxfId="5251">
      <formula>$E11:O180="pp"</formula>
    </cfRule>
  </conditionalFormatting>
  <conditionalFormatting sqref="M36:M40 M11:M18">
    <cfRule type="expression" priority="140" aboveAverage="0" equalAverage="0" bottom="0" percent="0" rank="0" text="" dxfId="5252">
      <formula>$E11:Q180="pp"</formula>
    </cfRule>
  </conditionalFormatting>
  <conditionalFormatting sqref="P36:P40 P11:P18">
    <cfRule type="expression" priority="141" aboveAverage="0" equalAverage="0" bottom="0" percent="0" rank="0" text="" dxfId="5253">
      <formula>$E11:R171="pp"</formula>
    </cfRule>
  </conditionalFormatting>
  <conditionalFormatting sqref="A36:B40 D36:H40">
    <cfRule type="expression" priority="142" aboveAverage="0" equalAverage="0" bottom="0" percent="0" rank="0" text="" dxfId="5254">
      <formula>$E36:E177="pp"</formula>
    </cfRule>
  </conditionalFormatting>
  <conditionalFormatting sqref="I36:I40 K36:K40">
    <cfRule type="expression" priority="143" aboveAverage="0" equalAverage="0" bottom="0" percent="0" rank="0" text="" dxfId="5255">
      <formula>$E36:N177="pp"</formula>
    </cfRule>
  </conditionalFormatting>
  <conditionalFormatting sqref="N36:N40">
    <cfRule type="expression" priority="144" aboveAverage="0" equalAverage="0" bottom="0" percent="0" rank="0" text="" dxfId="5256">
      <formula>$E36:Q177="pp"</formula>
    </cfRule>
  </conditionalFormatting>
  <conditionalFormatting sqref="O26:O30">
    <cfRule type="expression" priority="145" aboveAverage="0" equalAverage="0" bottom="0" percent="0" rank="0" text="" dxfId="5257">
      <formula>$E26:R905="pp"</formula>
    </cfRule>
    <cfRule type="expression" priority="146" aboveAverage="0" equalAverage="0" bottom="0" percent="0" rank="0" text="" dxfId="5258">
      <formula>$E26:R188="pp"</formula>
    </cfRule>
  </conditionalFormatting>
  <conditionalFormatting sqref="J26:J30 L26:L30">
    <cfRule type="expression" priority="147" aboveAverage="0" equalAverage="0" bottom="0" percent="0" rank="0" text="" dxfId="5259">
      <formula>$E26:O197="pp"</formula>
    </cfRule>
  </conditionalFormatting>
  <conditionalFormatting sqref="M26:M30">
    <cfRule type="expression" priority="148" aboveAverage="0" equalAverage="0" bottom="0" percent="0" rank="0" text="" dxfId="5260">
      <formula>$E26:Q197="pp"</formula>
    </cfRule>
  </conditionalFormatting>
  <conditionalFormatting sqref="P26:P30">
    <cfRule type="expression" priority="149" aboveAverage="0" equalAverage="0" bottom="0" percent="0" rank="0" text="" dxfId="5261">
      <formula>$E26:R188="pp"</formula>
    </cfRule>
  </conditionalFormatting>
  <conditionalFormatting sqref="A27:D28 F27:H28">
    <cfRule type="expression" priority="150" aboveAverage="0" equalAverage="0" bottom="0" percent="0" rank="0" text="" dxfId="5262">
      <formula>$E27:E150="pp"</formula>
    </cfRule>
  </conditionalFormatting>
  <conditionalFormatting sqref="I27:I28 K27:K28">
    <cfRule type="expression" priority="151" aboveAverage="0" equalAverage="0" bottom="0" percent="0" rank="0" text="" dxfId="5263">
      <formula>$E27:N150="pp"</formula>
    </cfRule>
  </conditionalFormatting>
  <conditionalFormatting sqref="N27:N28">
    <cfRule type="expression" priority="152" aboveAverage="0" equalAverage="0" bottom="0" percent="0" rank="0" text="" dxfId="5264">
      <formula>$E27:Q150="pp"</formula>
    </cfRule>
  </conditionalFormatting>
  <conditionalFormatting sqref="D33:D35">
    <cfRule type="expression" priority="153" aboveAverage="0" equalAverage="0" bottom="0" percent="0" rank="0" text="" dxfId="5265">
      <formula>$E33:H587="pp"</formula>
    </cfRule>
  </conditionalFormatting>
  <conditionalFormatting sqref="B33:B35 F33:H35">
    <cfRule type="expression" priority="154" aboveAverage="0" equalAverage="0" bottom="0" percent="0" rank="0" text="" dxfId="5266">
      <formula>$E33:F571="pp"</formula>
    </cfRule>
  </conditionalFormatting>
  <conditionalFormatting sqref="E33:E35">
    <cfRule type="expression" priority="155" aboveAverage="0" equalAverage="0" bottom="0" percent="0" rank="0" text="" dxfId="5267">
      <formula>$E33:I913="pp"</formula>
    </cfRule>
  </conditionalFormatting>
  <conditionalFormatting sqref="I33:I35 K33:K35">
    <cfRule type="expression" priority="156" aboveAverage="0" equalAverage="0" bottom="0" percent="0" rank="0" text="" dxfId="5268">
      <formula>$E33:N571="pp"</formula>
    </cfRule>
  </conditionalFormatting>
  <conditionalFormatting sqref="J33:J35 L33:M35">
    <cfRule type="expression" priority="157" aboveAverage="0" equalAverage="0" bottom="0" percent="0" rank="0" text="" dxfId="5269">
      <formula>$E33:O608="pp"</formula>
    </cfRule>
  </conditionalFormatting>
  <conditionalFormatting sqref="C33:C40">
    <cfRule type="expression" priority="158" aboveAverage="0" equalAverage="0" bottom="0" percent="0" rank="0" text="" dxfId="5270">
      <formula>$E33:G621="pp"</formula>
    </cfRule>
  </conditionalFormatting>
  <conditionalFormatting sqref="O33:O35">
    <cfRule type="expression" priority="159" aboveAverage="0" equalAverage="0" bottom="0" percent="0" rank="0" text="" dxfId="5271">
      <formula>$E33:S1316="pp"</formula>
    </cfRule>
    <cfRule type="expression" priority="160" aboveAverage="0" equalAverage="0" bottom="0" percent="0" rank="0" text="" dxfId="5272">
      <formula>$E33:S599="pp"</formula>
    </cfRule>
  </conditionalFormatting>
  <conditionalFormatting sqref="P33:P35">
    <cfRule type="expression" priority="161" aboveAverage="0" equalAverage="0" bottom="0" percent="0" rank="0" text="" dxfId="5273">
      <formula>$E33:S599="pp"</formula>
    </cfRule>
  </conditionalFormatting>
  <conditionalFormatting sqref="A32:A33">
    <cfRule type="expression" priority="162" aboveAverage="0" equalAverage="0" bottom="0" percent="0" rank="0" text="" dxfId="5274">
      <formula>$E32:E609="pp"</formula>
    </cfRule>
  </conditionalFormatting>
  <conditionalFormatting sqref="A34:A35">
    <cfRule type="expression" priority="163" aboveAverage="0" equalAverage="0" bottom="0" percent="0" rank="0" text="" dxfId="5275">
      <formula>$E34:E605="pp"</formula>
    </cfRule>
  </conditionalFormatting>
  <conditionalFormatting sqref="A14:D15 F14:H15">
    <cfRule type="expression" priority="164" aboveAverage="0" equalAverage="0" bottom="0" percent="0" rank="0" text="" dxfId="5276">
      <formula>$E14:E144="pp"</formula>
    </cfRule>
  </conditionalFormatting>
  <conditionalFormatting sqref="I14:I15 K14:K15">
    <cfRule type="expression" priority="165" aboveAverage="0" equalAverage="0" bottom="0" percent="0" rank="0" text="" dxfId="5277">
      <formula>$E14:N144="pp"</formula>
    </cfRule>
  </conditionalFormatting>
  <conditionalFormatting sqref="N14:N15">
    <cfRule type="expression" priority="166" aboveAverage="0" equalAverage="0" bottom="0" percent="0" rank="0" text="" dxfId="5278">
      <formula>$E14:Q144="pp"</formula>
    </cfRule>
  </conditionalFormatting>
  <printOptions headings="false" gridLines="false" gridLinesSet="true" horizontalCentered="false" verticalCentered="false"/>
  <pageMargins left="0.315277777777778" right="0" top="0.39375" bottom="0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Y42"/>
  <sheetViews>
    <sheetView showFormulas="false" showGridLines="false" showRowColHeaders="true" showZeros="true" rightToLeft="false" tabSelected="false" showOutlineSymbols="true" defaultGridColor="true" view="normal" topLeftCell="A7" colorId="64" zoomScale="80" zoomScaleNormal="80" zoomScalePageLayoutView="100" workbookViewId="0">
      <pane xSplit="1" ySplit="0" topLeftCell="B7" activePane="topRight" state="frozen"/>
      <selection pane="topLeft" activeCell="A7" activeCellId="0" sqref="A7"/>
      <selection pane="topRight" activeCell="P12" activeCellId="0" sqref="P12"/>
    </sheetView>
  </sheetViews>
  <sheetFormatPr defaultColWidth="9.18359375" defaultRowHeight="14.25" zeroHeight="false" outlineLevelRow="0" outlineLevelCol="0"/>
  <cols>
    <col collapsed="false" customWidth="true" hidden="false" outlineLevel="0" max="1" min="1" style="603" width="14.45"/>
    <col collapsed="false" customWidth="true" hidden="false" outlineLevel="0" max="2" min="2" style="603" width="11"/>
    <col collapsed="false" customWidth="true" hidden="false" outlineLevel="0" max="3" min="3" style="603" width="7.73"/>
    <col collapsed="false" customWidth="true" hidden="false" outlineLevel="0" max="4" min="4" style="603" width="11"/>
    <col collapsed="false" customWidth="true" hidden="false" outlineLevel="0" max="5" min="5" style="603" width="7.82"/>
    <col collapsed="false" customWidth="true" hidden="false" outlineLevel="0" max="6" min="6" style="603" width="10.45"/>
    <col collapsed="false" customWidth="true" hidden="false" outlineLevel="0" max="7" min="7" style="603" width="7.45"/>
    <col collapsed="false" customWidth="true" hidden="false" outlineLevel="0" max="8" min="8" style="603" width="11.45"/>
    <col collapsed="false" customWidth="true" hidden="false" outlineLevel="0" max="9" min="9" style="603" width="8.82"/>
    <col collapsed="false" customWidth="true" hidden="false" outlineLevel="0" max="10" min="10" style="603" width="12.54"/>
    <col collapsed="false" customWidth="true" hidden="false" outlineLevel="0" max="11" min="11" style="603" width="9.45"/>
    <col collapsed="false" customWidth="true" hidden="false" outlineLevel="0" max="12" min="12" style="603" width="12.45"/>
    <col collapsed="false" customWidth="true" hidden="false" outlineLevel="0" max="13" min="13" style="603" width="9.45"/>
    <col collapsed="false" customWidth="true" hidden="false" outlineLevel="0" max="14" min="14" style="603" width="12"/>
    <col collapsed="false" customWidth="true" hidden="false" outlineLevel="0" max="15" min="15" style="603" width="9.82"/>
    <col collapsed="false" customWidth="true" hidden="false" outlineLevel="0" max="16" min="16" style="603" width="11.54"/>
    <col collapsed="false" customWidth="true" hidden="false" outlineLevel="0" max="17" min="17" style="603" width="10.45"/>
    <col collapsed="false" customWidth="true" hidden="false" outlineLevel="0" max="18" min="18" style="603" width="9.54"/>
    <col collapsed="false" customWidth="true" hidden="false" outlineLevel="0" max="19" min="19" style="603" width="11.18"/>
    <col collapsed="false" customWidth="true" hidden="false" outlineLevel="0" max="20" min="20" style="603" width="11.73"/>
    <col collapsed="false" customWidth="true" hidden="false" outlineLevel="0" max="21" min="21" style="44" width="13.82"/>
    <col collapsed="false" customWidth="true" hidden="false" outlineLevel="0" max="22" min="22" style="44" width="18.27"/>
    <col collapsed="false" customWidth="true" hidden="false" outlineLevel="0" max="23" min="23" style="44" width="11.45"/>
    <col collapsed="false" customWidth="true" hidden="false" outlineLevel="0" max="24" min="24" style="44" width="17.45"/>
    <col collapsed="false" customWidth="true" hidden="false" outlineLevel="0" max="25" min="25" style="44" width="14.27"/>
    <col collapsed="false" customWidth="false" hidden="false" outlineLevel="0" max="16384" min="26" style="44" width="9.18"/>
  </cols>
  <sheetData>
    <row r="1" customFormat="false" ht="15" hidden="false" customHeight="true" outlineLevel="0" collapsed="false">
      <c r="A1" s="604" t="s">
        <v>2129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</row>
    <row r="2" customFormat="false" ht="15.75" hidden="false" customHeight="true" outlineLevel="0" collapsed="false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</row>
    <row r="3" s="162" customFormat="true" ht="31.5" hidden="false" customHeight="true" outlineLevel="0" collapsed="false">
      <c r="A3" s="605" t="s">
        <v>1</v>
      </c>
      <c r="B3" s="606" t="s">
        <v>2130</v>
      </c>
      <c r="C3" s="606"/>
      <c r="D3" s="606" t="s">
        <v>2131</v>
      </c>
      <c r="E3" s="606"/>
      <c r="F3" s="606" t="s">
        <v>2132</v>
      </c>
      <c r="G3" s="606"/>
      <c r="H3" s="607" t="s">
        <v>2133</v>
      </c>
      <c r="I3" s="607"/>
      <c r="J3" s="606" t="s">
        <v>1666</v>
      </c>
      <c r="K3" s="606"/>
      <c r="L3" s="606" t="s">
        <v>1665</v>
      </c>
      <c r="M3" s="606"/>
      <c r="N3" s="606" t="s">
        <v>2134</v>
      </c>
      <c r="O3" s="606"/>
      <c r="P3" s="608" t="s">
        <v>2121</v>
      </c>
      <c r="Q3" s="606" t="s">
        <v>2135</v>
      </c>
      <c r="R3" s="606" t="s">
        <v>2136</v>
      </c>
      <c r="S3" s="606" t="s">
        <v>2137</v>
      </c>
      <c r="T3" s="609" t="s">
        <v>2138</v>
      </c>
      <c r="U3" s="609" t="s">
        <v>2139</v>
      </c>
      <c r="V3" s="609" t="s">
        <v>2140</v>
      </c>
      <c r="W3" s="610" t="s">
        <v>2141</v>
      </c>
      <c r="X3" s="610" t="s">
        <v>2142</v>
      </c>
    </row>
    <row r="4" s="162" customFormat="true" ht="15" hidden="false" customHeight="true" outlineLevel="0" collapsed="false">
      <c r="A4" s="605"/>
      <c r="B4" s="606"/>
      <c r="C4" s="606"/>
      <c r="D4" s="606"/>
      <c r="E4" s="606"/>
      <c r="F4" s="606"/>
      <c r="G4" s="606"/>
      <c r="H4" s="607"/>
      <c r="I4" s="607"/>
      <c r="J4" s="606"/>
      <c r="K4" s="606"/>
      <c r="L4" s="606"/>
      <c r="M4" s="606"/>
      <c r="N4" s="606"/>
      <c r="O4" s="606"/>
      <c r="P4" s="608"/>
      <c r="Q4" s="606"/>
      <c r="R4" s="606"/>
      <c r="S4" s="606"/>
      <c r="T4" s="609"/>
      <c r="U4" s="609"/>
      <c r="V4" s="609"/>
      <c r="W4" s="610"/>
      <c r="X4" s="610"/>
    </row>
    <row r="5" s="162" customFormat="true" ht="15" hidden="false" customHeight="true" outlineLevel="0" collapsed="false">
      <c r="A5" s="611"/>
      <c r="B5" s="612" t="s">
        <v>31</v>
      </c>
      <c r="C5" s="613" t="s">
        <v>175</v>
      </c>
      <c r="D5" s="612" t="s">
        <v>31</v>
      </c>
      <c r="E5" s="613" t="s">
        <v>175</v>
      </c>
      <c r="F5" s="612" t="s">
        <v>31</v>
      </c>
      <c r="G5" s="613" t="s">
        <v>175</v>
      </c>
      <c r="H5" s="612" t="s">
        <v>31</v>
      </c>
      <c r="I5" s="613" t="s">
        <v>175</v>
      </c>
      <c r="J5" s="614" t="s">
        <v>31</v>
      </c>
      <c r="K5" s="615" t="s">
        <v>175</v>
      </c>
      <c r="L5" s="614" t="s">
        <v>31</v>
      </c>
      <c r="M5" s="615" t="s">
        <v>175</v>
      </c>
      <c r="N5" s="612" t="s">
        <v>31</v>
      </c>
      <c r="O5" s="616" t="s">
        <v>175</v>
      </c>
      <c r="P5" s="617" t="s">
        <v>31</v>
      </c>
      <c r="Q5" s="618" t="s">
        <v>31</v>
      </c>
      <c r="R5" s="618" t="s">
        <v>31</v>
      </c>
      <c r="S5" s="618" t="s">
        <v>31</v>
      </c>
      <c r="T5" s="619" t="s">
        <v>31</v>
      </c>
      <c r="U5" s="619" t="s">
        <v>31</v>
      </c>
      <c r="V5" s="619" t="s">
        <v>2143</v>
      </c>
      <c r="W5" s="620" t="s">
        <v>31</v>
      </c>
      <c r="X5" s="620" t="s">
        <v>2143</v>
      </c>
    </row>
    <row r="6" customFormat="false" ht="14.25" hidden="false" customHeight="false" outlineLevel="0" collapsed="false">
      <c r="A6" s="621" t="str">
        <f aca="false">'COM.'!A4</f>
        <v>Marandú</v>
      </c>
      <c r="B6" s="622" t="n">
        <f aca="false">SUMIFS('ANT.'!$Q$4:$Q$36,'ANT.'!$F$4:$F$36,A6,'ANT.'!$I$4:$I$36,"Comum",'ANT.'!$H$4:$H$36,40)+SUMIFS(VEN!$R$142:$R$2063,VEN!$G$142:$G$2063,A6,VEN!$J$142:$J$2063,"Comum",VEN!$I$142:$I$2063,40)</f>
        <v>0</v>
      </c>
      <c r="C6" s="623" t="n">
        <f aca="false">SUMIFS('ANT.'!$O$4:$O$36,'ANT.'!$F$4:$F$36,A6,'ANT.'!$I$4:$I$36,"Comum",'ANT.'!$H$4:$H$36,40)+SUMIFS(VEN!$P$142:$P$2063,VEN!$G$142:$G$2063,A6,VEN!$J$142:$J$2063,"Comum",VEN!$I$142:$I$2063,40)</f>
        <v>0</v>
      </c>
      <c r="D6" s="622" t="n">
        <f aca="false">SUMIFS('ANT.'!$Q$4:$Q$36,'ANT.'!$F$4:$F$36,A6,'ANT.'!$I$4:$I$36,"Comum",'ANT.'!$H$4:$H$36,60)+SUMIFS(VEN!$R$142:$R$2063,VEN!$G$142:$G$2063,A6,VEN!$J$142:$J$2063,"Comum",VEN!$I$142:$I$2063,60)</f>
        <v>0</v>
      </c>
      <c r="E6" s="623" t="n">
        <f aca="false">SUMIFS('ANT.'!$O$4:$O$36,'ANT.'!$F$4:$F$36,A6,'ANT.'!$I$4:$I$36,"Comum",'ANT.'!$H$4:$H$36,60)+SUMIFS(VEN!$P$142:$P$2063,VEN!$G$142:$G$2063,A6,VEN!$J$142:$J$2063,"Comum",VEN!$I$142:$I$2063,60)</f>
        <v>0</v>
      </c>
      <c r="F6" s="622" t="n">
        <f aca="false">SUMIFS('ANT.'!$Q$4:$Q$36,'ANT.'!$F$4:$F$36,A6,'ANT.'!$I$4:$I$36,"Comum",'ANT.'!$H$4:$H$36,55)+SUMIFS(VEN!$R$142:$R$2063,VEN!$G$142:$G$2063,A6,VEN!$J$142:$J$2063,"Comum",VEN!$I$142:$I$2063,55)</f>
        <v>0</v>
      </c>
      <c r="G6" s="623" t="n">
        <f aca="false">SUMIFS('ANT.'!$O$4:$O$36,'ANT.'!$F$4:$F$36,A6,'ANT.'!$I$4:$I$36,"Comum",'ANT.'!$H$4:$H$36,55)+SUMIFS(VEN!$P$142:$P$2063,VEN!$G$142:$G$2063,A6,VEN!$J$142:$J$2063,"Comum",VEN!$I$142:$I$2063,55)</f>
        <v>0</v>
      </c>
      <c r="H6" s="622" t="n">
        <f aca="false">SUMIFS('ANT.'!$Q$4:$Q$36,'ANT.'!$F$4:$F$36,A6,'ANT.'!$I$4:$I$36,"Comum",'ANT.'!$H$4:$H$36,90)+SUMIFS(VEN!$R$142:$R$2063,VEN!$G$142:$G$2063,A6,VEN!$J$142:$J$2063,"Comum",VEN!$I$142:$I$2063,90)</f>
        <v>0</v>
      </c>
      <c r="I6" s="623" t="n">
        <f aca="false">SUMIFS('ANT.'!$O$4:$O$36,'ANT.'!$F$4:$F$36,A6,'ANT.'!$I$4:$I$36,"Comum",'ANT.'!$H$4:$H$36,90)+SUMIFS(VEN!$P$142:$P$2063,VEN!$G$142:$G$2063,A6,VEN!$J$142:$J$2063,"Comum",VEN!$I$142:$I$2063,90)</f>
        <v>0</v>
      </c>
      <c r="J6" s="624" t="n">
        <f aca="false">SUMIFS(VEN!$R$142:$R$2063,VEN!$G$142:$G$2063,A6,VEN!$J$142:$J$2063,"Golden")+SUMIFS('ANT.'!$Q$4:$Q$36,'ANT.'!$F$4:$F$36,'SAL.(3)'!A6,'ANT.'!$I$4:$I$36,"Golden")</f>
        <v>10412.55</v>
      </c>
      <c r="K6" s="625" t="n">
        <f aca="false">J6/25.71</f>
        <v>404.999999999999</v>
      </c>
      <c r="L6" s="624" t="n">
        <f aca="false">SUMIFS(VEN!$R$142:$R$2063,VEN!$G$142:$G$2063,A6,VEN!$J$142:$J$2063,"Podium")+SUMIFS('ANT.'!$Q$4:$Q$36,'ANT.'!$F$4:$F$36,'SAL.(3)'!A6,'ANT.'!$I$4:$I$36,"Podium")</f>
        <v>0</v>
      </c>
      <c r="M6" s="625" t="n">
        <f aca="false">L6/37.5</f>
        <v>0</v>
      </c>
      <c r="N6" s="626" t="n">
        <f aca="false">B6+J6+L6+D6+H6+F6</f>
        <v>10412.55</v>
      </c>
      <c r="O6" s="627" t="n">
        <f aca="false">C6+K6+M6+E6+I6+G6</f>
        <v>404.999999999999</v>
      </c>
      <c r="P6" s="628" t="n">
        <f aca="false">RES!L4</f>
        <v>167628.553</v>
      </c>
      <c r="Q6" s="629"/>
      <c r="R6" s="629"/>
      <c r="S6" s="630" t="n">
        <f aca="false">'COM.'!W4</f>
        <v>-0.400000000023283</v>
      </c>
      <c r="T6" s="631" t="n">
        <f aca="false">P6-N6+Q6+R6+S6</f>
        <v>157215.603</v>
      </c>
      <c r="U6" s="632" t="n">
        <f aca="false">VEN!P8</f>
        <v>0.413617915212503</v>
      </c>
      <c r="V6" s="633" t="n">
        <f aca="false">T6*U6</f>
        <v>65027.1899517364</v>
      </c>
      <c r="W6" s="634" t="n">
        <f aca="false">RES!K4-N6</f>
        <v>392816.8851</v>
      </c>
      <c r="X6" s="635" t="n">
        <f aca="false">U6*W6</f>
        <v>162476.101075331</v>
      </c>
    </row>
    <row r="7" customFormat="false" ht="14.25" hidden="false" customHeight="false" outlineLevel="0" collapsed="false">
      <c r="A7" s="636" t="str">
        <f aca="false">'COM.'!A5</f>
        <v>Piatã</v>
      </c>
      <c r="B7" s="622" t="n">
        <f aca="false">SUMIFS('ANT.'!$Q$4:$Q$36,'ANT.'!$F$4:$F$36,A7,'ANT.'!$I$4:$I$36,"Comum",'ANT.'!$H$4:$H$36,40)+SUMIFS(VEN!$R$142:$R$2063,VEN!$G$142:$G$2063,A7,VEN!$J$142:$J$2063,"Comum",VEN!$I$142:$I$2063,40)</f>
        <v>0</v>
      </c>
      <c r="C7" s="623" t="n">
        <f aca="false">SUMIFS('ANT.'!$O$4:$O$36,'ANT.'!$F$4:$F$36,A7,'ANT.'!$I$4:$I$36,"Comum",'ANT.'!$H$4:$H$36,40)+SUMIFS(VEN!$P$142:$P$2063,VEN!$G$142:$G$2063,A7,VEN!$J$142:$J$2063,"Comum",VEN!$I$142:$I$2063,40)</f>
        <v>0</v>
      </c>
      <c r="D7" s="622" t="n">
        <f aca="false">SUMIFS('ANT.'!$Q$4:$Q$36,'ANT.'!$F$4:$F$36,A7,'ANT.'!$I$4:$I$36,"Comum",'ANT.'!$H$4:$H$36,60)+SUMIFS(VEN!$R$142:$R$2063,VEN!$G$142:$G$2063,A7,VEN!$J$142:$J$2063,"Comum",VEN!$I$142:$I$2063,60)</f>
        <v>0</v>
      </c>
      <c r="E7" s="623" t="n">
        <f aca="false">SUMIFS('ANT.'!$O$4:$O$36,'ANT.'!$F$4:$F$36,A7,'ANT.'!$I$4:$I$36,"Comum",'ANT.'!$H$4:$H$36,60)+SUMIFS(VEN!$P$142:$P$2063,VEN!$G$142:$G$2063,A7,VEN!$J$142:$J$2063,"Comum",VEN!$I$142:$I$2063,60)</f>
        <v>0</v>
      </c>
      <c r="F7" s="622" t="n">
        <f aca="false">SUMIFS('ANT.'!$Q$4:$Q$36,'ANT.'!$F$4:$F$36,A7,'ANT.'!$I$4:$I$36,"Comum",'ANT.'!$H$4:$H$36,55)+SUMIFS(VEN!$R$142:$R$2063,VEN!$G$142:$G$2063,A7,VEN!$J$142:$J$2063,"Comum",VEN!$I$142:$I$2063,55)</f>
        <v>0</v>
      </c>
      <c r="G7" s="623" t="n">
        <f aca="false">SUMIFS('ANT.'!$O$4:$O$36,'ANT.'!$F$4:$F$36,A7,'ANT.'!$I$4:$I$36,"Comum",'ANT.'!$H$4:$H$36,55)+SUMIFS(VEN!$P$142:$P$2063,VEN!$G$142:$G$2063,A7,VEN!$J$142:$J$2063,"Comum",VEN!$I$142:$I$2063,55)</f>
        <v>0</v>
      </c>
      <c r="H7" s="622" t="n">
        <f aca="false">SUMIFS('ANT.'!$Q$4:$Q$36,'ANT.'!$F$4:$F$36,A7,'ANT.'!$I$4:$I$36,"Comum",'ANT.'!$H$4:$H$36,90)+SUMIFS(VEN!$R$142:$R$2063,VEN!$G$142:$G$2063,A7,VEN!$J$142:$J$2063,"Comum",VEN!$I$142:$I$2063,90)</f>
        <v>0</v>
      </c>
      <c r="I7" s="623" t="n">
        <f aca="false">SUMIFS('ANT.'!$O$4:$O$36,'ANT.'!$F$4:$F$36,A7,'ANT.'!$I$4:$I$36,"Comum",'ANT.'!$H$4:$H$36,90)+SUMIFS(VEN!$P$142:$P$2063,VEN!$G$142:$G$2063,A7,VEN!$J$142:$J$2063,"Comum",VEN!$I$142:$I$2063,90)</f>
        <v>0</v>
      </c>
      <c r="J7" s="637" t="n">
        <f aca="false">SUMIFS(VEN!$R$142:$R$2063,VEN!$G$142:$G$2063,A7,VEN!$J$142:$J$2063,"Golden")+SUMIFS('ANT.'!$Q$4:$Q$36,'ANT.'!$F$4:$F$36,'SAL.(3)'!A7,'ANT.'!$I$4:$I$36,"Golden")</f>
        <v>453450</v>
      </c>
      <c r="K7" s="638" t="n">
        <f aca="false">J7/30</f>
        <v>15115</v>
      </c>
      <c r="L7" s="624" t="n">
        <f aca="false">SUMIFS(VEN!$R$142:$R$2063,VEN!$G$142:$G$2063,A7,VEN!$J$142:$J$2063,"Podium")+SUMIFS('ANT.'!$Q$4:$Q$36,'ANT.'!$F$4:$F$36,'SAL.(3)'!A7,'ANT.'!$I$4:$I$36,"Podium")</f>
        <v>207900</v>
      </c>
      <c r="M7" s="639" t="n">
        <f aca="false">L7/45</f>
        <v>4620</v>
      </c>
      <c r="N7" s="626" t="n">
        <f aca="false">B7+J7+L7+D7+H7+F7</f>
        <v>661350</v>
      </c>
      <c r="O7" s="627" t="n">
        <f aca="false">C7+K7+M7+E7+I7+G7</f>
        <v>19735</v>
      </c>
      <c r="P7" s="628" t="n">
        <f aca="false">RES!L5</f>
        <v>302699.8007</v>
      </c>
      <c r="Q7" s="640"/>
      <c r="R7" s="641"/>
      <c r="S7" s="630" t="n">
        <f aca="false">'COM.'!W5</f>
        <v>0.599999999860302</v>
      </c>
      <c r="T7" s="631" t="n">
        <f aca="false">P7-N7+Q7+R7+S7</f>
        <v>-358649.5993</v>
      </c>
      <c r="U7" s="632" t="n">
        <f aca="false">VEN!P12</f>
        <v>0.330003592277479</v>
      </c>
      <c r="V7" s="642" t="n">
        <f aca="false">T7*U7</f>
        <v>-118355.656137879</v>
      </c>
      <c r="W7" s="634" t="n">
        <f aca="false">RES!K5-N7</f>
        <v>405271.9102</v>
      </c>
      <c r="X7" s="643" t="n">
        <f aca="false">U7*W7</f>
        <v>133741.186215156</v>
      </c>
    </row>
    <row r="8" s="645" customFormat="true" ht="14.25" hidden="false" customHeight="false" outlineLevel="0" collapsed="false">
      <c r="A8" s="636" t="str">
        <f aca="false">'COM.'!A6</f>
        <v>Decumbens</v>
      </c>
      <c r="B8" s="622" t="n">
        <f aca="false">SUMIFS('ANT.'!$Q$4:$Q$36,'ANT.'!$F$4:$F$36,A8,'ANT.'!$I$4:$I$36,"Comum",'ANT.'!$H$4:$H$36,40)+SUMIFS(VEN!$R$142:$R$2063,VEN!$G$142:$G$2063,A8,VEN!$J$142:$J$2063,"Comum",VEN!$I$142:$I$2063,40)</f>
        <v>0</v>
      </c>
      <c r="C8" s="623" t="n">
        <f aca="false">SUMIFS('ANT.'!$O$4:$O$36,'ANT.'!$F$4:$F$36,A8,'ANT.'!$I$4:$I$36,"Comum",'ANT.'!$H$4:$H$36,40)+SUMIFS(VEN!$P$142:$P$2063,VEN!$G$142:$G$2063,A8,VEN!$J$142:$J$2063,"Comum",VEN!$I$142:$I$2063,40)</f>
        <v>0</v>
      </c>
      <c r="D8" s="622" t="n">
        <f aca="false">SUMIFS('ANT.'!$Q$4:$Q$36,'ANT.'!$F$4:$F$36,A8,'ANT.'!$I$4:$I$36,"Comum",'ANT.'!$H$4:$H$36,60)+SUMIFS(VEN!$R$142:$R$2063,VEN!$G$142:$G$2063,A8,VEN!$J$142:$J$2063,"Comum",VEN!$I$142:$I$2063,60)</f>
        <v>0</v>
      </c>
      <c r="E8" s="623" t="n">
        <f aca="false">SUMIFS('ANT.'!$O$4:$O$36,'ANT.'!$F$4:$F$36,A8,'ANT.'!$I$4:$I$36,"Comum",'ANT.'!$H$4:$H$36,60)+SUMIFS(VEN!$P$142:$P$2063,VEN!$G$142:$G$2063,A8,VEN!$J$142:$J$2063,"Comum",VEN!$I$142:$I$2063,60)</f>
        <v>0</v>
      </c>
      <c r="F8" s="622" t="n">
        <f aca="false">SUMIFS('ANT.'!$Q$4:$Q$36,'ANT.'!$F$4:$F$36,A8,'ANT.'!$I$4:$I$36,"Comum",'ANT.'!$H$4:$H$36,55)+SUMIFS(VEN!$R$142:$R$2063,VEN!$G$142:$G$2063,A8,VEN!$J$142:$J$2063,"Comum",VEN!$I$142:$I$2063,55)</f>
        <v>0</v>
      </c>
      <c r="G8" s="623" t="n">
        <f aca="false">SUMIFS('ANT.'!$O$4:$O$36,'ANT.'!$F$4:$F$36,A8,'ANT.'!$I$4:$I$36,"Comum",'ANT.'!$H$4:$H$36,55)+SUMIFS(VEN!$P$142:$P$2063,VEN!$G$142:$G$2063,A8,VEN!$J$142:$J$2063,"Comum",VEN!$I$142:$I$2063,55)</f>
        <v>0</v>
      </c>
      <c r="H8" s="622" t="n">
        <f aca="false">SUMIFS('ANT.'!$Q$4:$Q$36,'ANT.'!$F$4:$F$36,A8,'ANT.'!$I$4:$I$36,"Comum",'ANT.'!$H$4:$H$36,90)+SUMIFS(VEN!$R$142:$R$2063,VEN!$G$142:$G$2063,A8,VEN!$J$142:$J$2063,"Comum",VEN!$I$142:$I$2063,90)</f>
        <v>0</v>
      </c>
      <c r="I8" s="623" t="n">
        <f aca="false">SUMIFS('ANT.'!$O$4:$O$36,'ANT.'!$F$4:$F$36,A8,'ANT.'!$I$4:$I$36,"Comum",'ANT.'!$H$4:$H$36,90)+SUMIFS(VEN!$P$142:$P$2063,VEN!$G$142:$G$2063,A8,VEN!$J$142:$J$2063,"Comum",VEN!$I$142:$I$2063,90)</f>
        <v>0</v>
      </c>
      <c r="J8" s="637" t="n">
        <f aca="false">SUMIFS(VEN!$R$142:$R$2063,VEN!$G$142:$G$2063,A8,VEN!$J$142:$J$2063,"Golden")+SUMIFS('ANT.'!$Q$4:$Q$36,'ANT.'!$F$4:$F$36,'SAL.(3)'!A8,'ANT.'!$I$4:$I$36,"Golden")</f>
        <v>305434.8</v>
      </c>
      <c r="K8" s="638" t="n">
        <f aca="false">J8/25.71</f>
        <v>11880</v>
      </c>
      <c r="L8" s="624" t="n">
        <f aca="false">SUMIFS(VEN!$R$142:$R$2063,VEN!$G$142:$G$2063,A8,VEN!$J$142:$J$2063,"Podium")+SUMIFS('ANT.'!$Q$4:$Q$36,'ANT.'!$F$4:$F$36,'SAL.(3)'!A8,'ANT.'!$I$4:$I$36,"Podium")</f>
        <v>0</v>
      </c>
      <c r="M8" s="639" t="n">
        <f aca="false">L8/36</f>
        <v>0</v>
      </c>
      <c r="N8" s="626" t="n">
        <f aca="false">B8+J8+L8+D8+H8+F8</f>
        <v>305434.8</v>
      </c>
      <c r="O8" s="627" t="n">
        <f aca="false">C8+K8+M8+E8+I8+G8</f>
        <v>11880</v>
      </c>
      <c r="P8" s="628" t="n">
        <f aca="false">RES!L6</f>
        <v>815954.6515</v>
      </c>
      <c r="Q8" s="640"/>
      <c r="R8" s="641"/>
      <c r="S8" s="630" t="n">
        <f aca="false">'COM.'!W6</f>
        <v>0.237399360048585</v>
      </c>
      <c r="T8" s="631" t="n">
        <f aca="false">P8-N8+Q8+R8+S8</f>
        <v>510520.08889936</v>
      </c>
      <c r="U8" s="632" t="n">
        <f aca="false">VEN!P16</f>
        <v>0.473303869956965</v>
      </c>
      <c r="V8" s="642" t="n">
        <f aca="false">T8*U8</f>
        <v>241631.133766841</v>
      </c>
      <c r="W8" s="634" t="n">
        <f aca="false">RES!K6-N8</f>
        <v>746162.46</v>
      </c>
      <c r="X8" s="644" t="n">
        <f aca="false">U8*W8</f>
        <v>353161.579934609</v>
      </c>
    </row>
    <row r="9" customFormat="false" ht="14.25" hidden="false" customHeight="false" outlineLevel="0" collapsed="false">
      <c r="A9" s="636" t="str">
        <f aca="false">'COM.'!A7</f>
        <v>Xaraes</v>
      </c>
      <c r="B9" s="622" t="n">
        <f aca="false">SUMIFS('ANT.'!$Q$4:$Q$36,'ANT.'!$F$4:$F$36,A9,'ANT.'!$I$4:$I$36,"Comum",'ANT.'!$H$4:$H$36,40)+SUMIFS(VEN!$R$142:$R$2063,VEN!$G$142:$G$2063,A9,VEN!$J$142:$J$2063,"Comum",VEN!$I$142:$I$2063,40)</f>
        <v>0</v>
      </c>
      <c r="C9" s="623" t="n">
        <f aca="false">SUMIFS('ANT.'!$O$4:$O$36,'ANT.'!$F$4:$F$36,A9,'ANT.'!$I$4:$I$36,"Comum",'ANT.'!$H$4:$H$36,40)+SUMIFS(VEN!$P$142:$P$2063,VEN!$G$142:$G$2063,A9,VEN!$J$142:$J$2063,"Comum",VEN!$I$142:$I$2063,40)</f>
        <v>0</v>
      </c>
      <c r="D9" s="622" t="n">
        <f aca="false">SUMIFS('ANT.'!$Q$4:$Q$36,'ANT.'!$F$4:$F$36,A9,'ANT.'!$I$4:$I$36,"Comum",'ANT.'!$H$4:$H$36,60)+SUMIFS(VEN!$R$142:$R$2063,VEN!$G$142:$G$2063,A9,VEN!$J$142:$J$2063,"Comum",VEN!$I$142:$I$2063,60)</f>
        <v>10500</v>
      </c>
      <c r="E9" s="623" t="n">
        <f aca="false">SUMIFS('ANT.'!$O$4:$O$36,'ANT.'!$F$4:$F$36,A9,'ANT.'!$I$4:$I$36,"Comum",'ANT.'!$H$4:$H$36,60)+SUMIFS(VEN!$P$142:$P$2063,VEN!$G$142:$G$2063,A9,VEN!$J$142:$J$2063,"Comum",VEN!$I$142:$I$2063,60)</f>
        <v>175</v>
      </c>
      <c r="F9" s="622" t="n">
        <f aca="false">SUMIFS('ANT.'!$Q$4:$Q$36,'ANT.'!$F$4:$F$36,A9,'ANT.'!$I$4:$I$36,"Comum",'ANT.'!$H$4:$H$36,55)+SUMIFS(VEN!$R$142:$R$2063,VEN!$G$142:$G$2063,A9,VEN!$J$142:$J$2063,"Comum",VEN!$I$142:$I$2063,55)</f>
        <v>0</v>
      </c>
      <c r="G9" s="623" t="n">
        <f aca="false">SUMIFS('ANT.'!$O$4:$O$36,'ANT.'!$F$4:$F$36,A9,'ANT.'!$I$4:$I$36,"Comum",'ANT.'!$H$4:$H$36,55)+SUMIFS(VEN!$P$142:$P$2063,VEN!$G$142:$G$2063,A9,VEN!$J$142:$J$2063,"Comum",VEN!$I$142:$I$2063,55)</f>
        <v>0</v>
      </c>
      <c r="H9" s="622" t="n">
        <f aca="false">SUMIFS('ANT.'!$Q$4:$Q$36,'ANT.'!$F$4:$F$36,A9,'ANT.'!$I$4:$I$36,"Comum",'ANT.'!$H$4:$H$36,90)+SUMIFS(VEN!$R$142:$R$2063,VEN!$G$142:$G$2063,A9,VEN!$J$142:$J$2063,"Comum",VEN!$I$142:$I$2063,90)</f>
        <v>0</v>
      </c>
      <c r="I9" s="623" t="n">
        <f aca="false">SUMIFS('ANT.'!$O$4:$O$36,'ANT.'!$F$4:$F$36,A9,'ANT.'!$I$4:$I$36,"Comum",'ANT.'!$H$4:$H$36,90)+SUMIFS(VEN!$P$142:$P$2063,VEN!$G$142:$G$2063,A9,VEN!$J$142:$J$2063,"Comum",VEN!$I$142:$I$2063,90)</f>
        <v>0</v>
      </c>
      <c r="J9" s="637" t="n">
        <f aca="false">SUMIFS(VEN!$R$142:$R$2063,VEN!$G$142:$G$2063,A9,VEN!$J$142:$J$2063,"Golden")+SUMIFS('ANT.'!$Q$4:$Q$36,'ANT.'!$F$4:$F$36,'SAL.(3)'!A9,'ANT.'!$I$4:$I$36,"Golden")</f>
        <v>3600</v>
      </c>
      <c r="K9" s="638" t="n">
        <f aca="false">J9/30</f>
        <v>120</v>
      </c>
      <c r="L9" s="624" t="n">
        <f aca="false">SUMIFS(VEN!$R$142:$R$2063,VEN!$G$142:$G$2063,A9,VEN!$J$142:$J$2063,"Podium")+SUMIFS('ANT.'!$Q$4:$Q$36,'ANT.'!$F$4:$F$36,'SAL.(3)'!A9,'ANT.'!$I$4:$I$36,"Podium")</f>
        <v>0</v>
      </c>
      <c r="M9" s="639" t="n">
        <f aca="false">L9/45</f>
        <v>0</v>
      </c>
      <c r="N9" s="626" t="n">
        <f aca="false">B9+J9+L9+D9+H9+F9</f>
        <v>14100</v>
      </c>
      <c r="O9" s="627" t="n">
        <f aca="false">C9+K9+M9+E9+I9+G9</f>
        <v>295</v>
      </c>
      <c r="P9" s="628" t="n">
        <f aca="false">RES!L7</f>
        <v>907446.0003</v>
      </c>
      <c r="Q9" s="641"/>
      <c r="R9" s="641"/>
      <c r="S9" s="630" t="n">
        <f aca="false">'COM.'!W7</f>
        <v>0.25</v>
      </c>
      <c r="T9" s="631" t="n">
        <f aca="false">P9-N9+Q9+R9+S9</f>
        <v>893346.2503</v>
      </c>
      <c r="U9" s="632" t="n">
        <f aca="false">VEN!P20</f>
        <v>0.447889191671956</v>
      </c>
      <c r="V9" s="642" t="n">
        <f aca="false">T9*U9</f>
        <v>400120.12993004</v>
      </c>
      <c r="W9" s="634" t="n">
        <f aca="false">RES!K7-N9</f>
        <v>1219058.2333</v>
      </c>
      <c r="X9" s="644" t="n">
        <f aca="false">U9*W9</f>
        <v>546003.006713779</v>
      </c>
    </row>
    <row r="10" customFormat="false" ht="14.25" hidden="false" customHeight="false" outlineLevel="0" collapsed="false">
      <c r="A10" s="636" t="str">
        <f aca="false">'COM.'!A8</f>
        <v>MG-4</v>
      </c>
      <c r="B10" s="622" t="n">
        <f aca="false">SUMIFS('ANT.'!$Q$4:$Q$36,'ANT.'!$F$4:$F$36,A10,'ANT.'!$I$4:$I$36,"Comum",'ANT.'!$H$4:$H$36,40)+SUMIFS(VEN!$R$142:$R$2063,VEN!$G$142:$G$2063,A10,VEN!$J$142:$J$2063,"Comum",VEN!$I$142:$I$2063,40)</f>
        <v>0</v>
      </c>
      <c r="C10" s="623" t="n">
        <f aca="false">SUMIFS('ANT.'!$O$4:$O$36,'ANT.'!$F$4:$F$36,A10,'ANT.'!$I$4:$I$36,"Comum",'ANT.'!$H$4:$H$36,40)+SUMIFS(VEN!$P$142:$P$2063,VEN!$G$142:$G$2063,A10,VEN!$J$142:$J$2063,"Comum",VEN!$I$142:$I$2063,40)</f>
        <v>0</v>
      </c>
      <c r="D10" s="622" t="n">
        <f aca="false">SUMIFS('ANT.'!$Q$4:$Q$36,'ANT.'!$F$4:$F$36,A10,'ANT.'!$I$4:$I$36,"Comum",'ANT.'!$H$4:$H$36,60)+SUMIFS(VEN!$R$142:$R$2063,VEN!$G$142:$G$2063,A10,VEN!$J$142:$J$2063,"Comum",VEN!$I$142:$I$2063,60)</f>
        <v>0</v>
      </c>
      <c r="E10" s="623" t="n">
        <f aca="false">SUMIFS('ANT.'!$O$4:$O$36,'ANT.'!$F$4:$F$36,A10,'ANT.'!$I$4:$I$36,"Comum",'ANT.'!$H$4:$H$36,60)+SUMIFS(VEN!$P$142:$P$2063,VEN!$G$142:$G$2063,A10,VEN!$J$142:$J$2063,"Comum",VEN!$I$142:$I$2063,60)</f>
        <v>0</v>
      </c>
      <c r="F10" s="622" t="n">
        <f aca="false">SUMIFS('ANT.'!$Q$4:$Q$36,'ANT.'!$F$4:$F$36,A10,'ANT.'!$I$4:$I$36,"Comum",'ANT.'!$H$4:$H$36,55)+SUMIFS(VEN!$R$142:$R$2063,VEN!$G$142:$G$2063,A10,VEN!$J$142:$J$2063,"Comum",VEN!$I$142:$I$2063,55)</f>
        <v>0</v>
      </c>
      <c r="G10" s="623" t="n">
        <f aca="false">SUMIFS('ANT.'!$O$4:$O$36,'ANT.'!$F$4:$F$36,A10,'ANT.'!$I$4:$I$36,"Comum",'ANT.'!$H$4:$H$36,55)+SUMIFS(VEN!$P$142:$P$2063,VEN!$G$142:$G$2063,A10,VEN!$J$142:$J$2063,"Comum",VEN!$I$142:$I$2063,55)</f>
        <v>0</v>
      </c>
      <c r="H10" s="622" t="n">
        <f aca="false">SUMIFS('ANT.'!$Q$4:$Q$36,'ANT.'!$F$4:$F$36,A10,'ANT.'!$I$4:$I$36,"Comum",'ANT.'!$H$4:$H$36,90)+SUMIFS(VEN!$R$142:$R$2063,VEN!$G$142:$G$2063,A10,VEN!$J$142:$J$2063,"Comum",VEN!$I$142:$I$2063,90)</f>
        <v>0</v>
      </c>
      <c r="I10" s="623" t="n">
        <f aca="false">SUMIFS('ANT.'!$O$4:$O$36,'ANT.'!$F$4:$F$36,A10,'ANT.'!$I$4:$I$36,"Comum",'ANT.'!$H$4:$H$36,90)+SUMIFS(VEN!$P$142:$P$2063,VEN!$G$142:$G$2063,A10,VEN!$J$142:$J$2063,"Comum",VEN!$I$142:$I$2063,90)</f>
        <v>0</v>
      </c>
      <c r="J10" s="637" t="n">
        <f aca="false">SUMIFS(VEN!$R$142:$R$2063,VEN!$G$142:$G$2063,A10,VEN!$J$142:$J$2063,"Golden")+SUMIFS('ANT.'!$Q$4:$Q$36,'ANT.'!$F$4:$F$36,'SAL.(3)'!A10,'ANT.'!$I$4:$I$36,"Golden")</f>
        <v>0</v>
      </c>
      <c r="K10" s="638" t="n">
        <f aca="false">J10/25.71</f>
        <v>0</v>
      </c>
      <c r="L10" s="624" t="n">
        <f aca="false">SUMIFS(VEN!$R$142:$R$2063,VEN!$G$142:$G$2063,A10,VEN!$J$142:$J$2063,"Podium")+SUMIFS('ANT.'!$Q$4:$Q$36,'ANT.'!$F$4:$F$36,'SAL.(3)'!A10,'ANT.'!$I$4:$I$36,"Podium")</f>
        <v>0</v>
      </c>
      <c r="M10" s="639" t="n">
        <f aca="false">L10/36</f>
        <v>0</v>
      </c>
      <c r="N10" s="626" t="n">
        <f aca="false">B10+J10+L10+D10+H10+F10</f>
        <v>0</v>
      </c>
      <c r="O10" s="627" t="n">
        <f aca="false">C10+K10+M10+E10+I10+G10</f>
        <v>0</v>
      </c>
      <c r="P10" s="628" t="n">
        <f aca="false">RES!L8</f>
        <v>0</v>
      </c>
      <c r="Q10" s="641"/>
      <c r="R10" s="641"/>
      <c r="S10" s="630"/>
      <c r="T10" s="631" t="n">
        <f aca="false">P10-N10+Q10+R10+S10</f>
        <v>0</v>
      </c>
      <c r="U10" s="646" t="n">
        <v>0</v>
      </c>
      <c r="V10" s="633" t="n">
        <f aca="false">T10*U10</f>
        <v>0</v>
      </c>
      <c r="W10" s="634" t="n">
        <f aca="false">RES!K8-N10</f>
        <v>0</v>
      </c>
      <c r="X10" s="644" t="n">
        <f aca="false">U10*W10</f>
        <v>0</v>
      </c>
    </row>
    <row r="11" customFormat="false" ht="14.25" hidden="false" customHeight="false" outlineLevel="0" collapsed="false">
      <c r="A11" s="636" t="str">
        <f aca="false">'COM.'!A9</f>
        <v>Ruziziensis</v>
      </c>
      <c r="B11" s="622" t="n">
        <f aca="false">SUMIFS('ANT.'!$Q$4:$Q$36,'ANT.'!$F$4:$F$36,A11,'ANT.'!$I$4:$I$36,"Comum",'ANT.'!$H$4:$H$36,40)+SUMIFS(VEN!$R$142:$R$2063,VEN!$G$142:$G$2063,A11,VEN!$J$142:$J$2063,"Comum",VEN!$I$142:$I$2063,40)</f>
        <v>0</v>
      </c>
      <c r="C11" s="623" t="n">
        <f aca="false">SUMIFS('ANT.'!$O$4:$O$36,'ANT.'!$F$4:$F$36,A11,'ANT.'!$I$4:$I$36,"Comum",'ANT.'!$H$4:$H$36,40)+SUMIFS(VEN!$P$142:$P$2063,VEN!$G$142:$G$2063,A11,VEN!$J$142:$J$2063,"Comum",VEN!$I$142:$I$2063,40)</f>
        <v>0</v>
      </c>
      <c r="D11" s="622" t="n">
        <f aca="false">SUMIFS('ANT.'!$Q$4:$Q$36,'ANT.'!$F$4:$F$36,A11,'ANT.'!$I$4:$I$36,"Comum",'ANT.'!$H$4:$H$36,60)+SUMIFS(VEN!$R$142:$R$2063,VEN!$G$142:$G$2063,A11,VEN!$J$142:$J$2063,"Comum",VEN!$I$142:$I$2063,60)</f>
        <v>0</v>
      </c>
      <c r="E11" s="623" t="n">
        <f aca="false">SUMIFS('ANT.'!$O$4:$O$36,'ANT.'!$F$4:$F$36,A11,'ANT.'!$I$4:$I$36,"Comum",'ANT.'!$H$4:$H$36,60)+SUMIFS(VEN!$P$142:$P$2063,VEN!$G$142:$G$2063,A11,VEN!$J$142:$J$2063,"Comum",VEN!$I$142:$I$2063,60)</f>
        <v>0</v>
      </c>
      <c r="F11" s="622" t="n">
        <f aca="false">SUMIFS('ANT.'!$Q$4:$Q$36,'ANT.'!$F$4:$F$36,A11,'ANT.'!$I$4:$I$36,"Comum",'ANT.'!$H$4:$H$36,55)+SUMIFS(VEN!$R$142:$R$2063,VEN!$G$142:$G$2063,A11,VEN!$J$142:$J$2063,"Comum",VEN!$I$142:$I$2063,55)</f>
        <v>0</v>
      </c>
      <c r="G11" s="623" t="n">
        <f aca="false">SUMIFS('ANT.'!$O$4:$O$36,'ANT.'!$F$4:$F$36,A11,'ANT.'!$I$4:$I$36,"Comum",'ANT.'!$H$4:$H$36,55)+SUMIFS(VEN!$P$142:$P$2063,VEN!$G$142:$G$2063,A11,VEN!$J$142:$J$2063,"Comum",VEN!$I$142:$I$2063,55)</f>
        <v>0</v>
      </c>
      <c r="H11" s="622" t="n">
        <f aca="false">SUMIFS('ANT.'!$Q$4:$Q$36,'ANT.'!$F$4:$F$36,A11,'ANT.'!$I$4:$I$36,"Comum",'ANT.'!$H$4:$H$36,90)+SUMIFS(VEN!$R$142:$R$2063,VEN!$G$142:$G$2063,A11,VEN!$J$142:$J$2063,"Comum",VEN!$I$142:$I$2063,90)</f>
        <v>32913000</v>
      </c>
      <c r="I11" s="623" t="n">
        <f aca="false">SUMIFS('ANT.'!$O$4:$O$36,'ANT.'!$F$4:$F$36,A11,'ANT.'!$I$4:$I$36,"Comum",'ANT.'!$H$4:$H$36,90)+SUMIFS(VEN!$P$142:$P$2063,VEN!$G$142:$G$2063,A11,VEN!$J$142:$J$2063,"Comum",VEN!$I$142:$I$2063,90)</f>
        <v>365700</v>
      </c>
      <c r="J11" s="637" t="n">
        <f aca="false">SUMIFS(VEN!$R$142:$R$2063,VEN!$G$142:$G$2063,A11,VEN!$J$142:$J$2063,"Golden")+SUMIFS('ANT.'!$Q$4:$Q$36,'ANT.'!$F$4:$F$36,'SAL.(3)'!A11,'ANT.'!$I$4:$I$36,"Golden")</f>
        <v>0</v>
      </c>
      <c r="K11" s="638" t="n">
        <f aca="false">J11/25.71</f>
        <v>0</v>
      </c>
      <c r="L11" s="624" t="n">
        <f aca="false">SUMIFS(VEN!$R$142:$R$2063,VEN!$G$142:$G$2063,A11,VEN!$J$142:$J$2063,"Podium")+SUMIFS('ANT.'!$Q$4:$Q$36,'ANT.'!$F$4:$F$36,'SAL.(3)'!A11,'ANT.'!$I$4:$I$36,"Podium")</f>
        <v>2397388.5</v>
      </c>
      <c r="M11" s="639" t="n">
        <f aca="false">L11/38.3</f>
        <v>62595</v>
      </c>
      <c r="N11" s="626" t="n">
        <f aca="false">B11+J11+L11+D11+H11+F11</f>
        <v>35310388.5</v>
      </c>
      <c r="O11" s="627" t="n">
        <f aca="false">C11+K11+M11+E11+I11+G11</f>
        <v>428295</v>
      </c>
      <c r="P11" s="628" t="n">
        <f aca="false">RES!L9</f>
        <v>4845849.6245</v>
      </c>
      <c r="Q11" s="641"/>
      <c r="R11" s="641"/>
      <c r="S11" s="630" t="n">
        <f aca="false">'COM.'!W9</f>
        <v>0</v>
      </c>
      <c r="T11" s="631" t="n">
        <f aca="false">P11-N11+Q11+R11+S11</f>
        <v>-30464538.8755</v>
      </c>
      <c r="U11" s="632" t="n">
        <f aca="false">VEN!P25</f>
        <v>0.18547624378788</v>
      </c>
      <c r="V11" s="642" t="n">
        <f aca="false">T11*U11</f>
        <v>-5650448.2393576</v>
      </c>
      <c r="W11" s="634" t="n">
        <f aca="false">RES!K9-N11</f>
        <v>-20075763.8294569</v>
      </c>
      <c r="X11" s="643" t="n">
        <f aca="false">U11*W11</f>
        <v>-3723577.26626025</v>
      </c>
    </row>
    <row r="12" customFormat="false" ht="14.25" hidden="false" customHeight="false" outlineLevel="0" collapsed="false">
      <c r="A12" s="636" t="str">
        <f aca="false">'COM.'!A10</f>
        <v>Humidicola</v>
      </c>
      <c r="B12" s="622" t="n">
        <f aca="false">SUMIFS('ANT.'!$Q$4:$Q$36,'ANT.'!$F$4:$F$36,A12,'ANT.'!$I$4:$I$36,"Comum",'ANT.'!$H$4:$H$36,35)+SUMIFS(VEN!$R$142:$R$2063,VEN!$G$142:$G$2063,A12,VEN!$J$142:$J$2063,"Comum",VEN!$I$142:$I$2063,35)</f>
        <v>0</v>
      </c>
      <c r="C12" s="623" t="n">
        <f aca="false">SUMIFS('ANT.'!$O$4:$O$36,'ANT.'!$F$4:$F$36,A12,'ANT.'!$I$4:$I$36,"Comum",'ANT.'!$H$4:$H$36,35)+SUMIFS(VEN!$P$142:$P$2063,VEN!$G$142:$G$2063,A12,VEN!$J$142:$J$2063,"Comum",VEN!$I$142:$I$2063,35)</f>
        <v>0</v>
      </c>
      <c r="D12" s="622" t="n">
        <f aca="false">SUMIFS('ANT.'!$Q$4:$Q$36,'ANT.'!$F$4:$F$36,A12,'ANT.'!$I$4:$I$36,"Comum",'ANT.'!$H$4:$H$36,40)+SUMIFS(VEN!$R$142:$R$2063,VEN!$G$142:$G$2063,A12,VEN!$J$142:$J$2063,"Comum",VEN!$I$142:$I$2063,40)</f>
        <v>0</v>
      </c>
      <c r="E12" s="623" t="n">
        <f aca="false">SUMIFS('ANT.'!$O$4:$O$36,'ANT.'!$F$4:$F$36,A12,'ANT.'!$I$4:$I$36,"Comum",'ANT.'!$H$4:$H$36,40)+SUMIFS(VEN!$P$142:$P$2063,VEN!$G$142:$G$2063,A12,VEN!$J$142:$J$2063,"Comum",VEN!$I$142:$I$2063,40)</f>
        <v>0</v>
      </c>
      <c r="F12" s="622" t="n">
        <f aca="false">SUMIFS('ANT.'!$Q$4:$Q$36,'ANT.'!$F$4:$F$36,A12,'ANT.'!$I$4:$I$36,"Comum",'ANT.'!$H$4:$H$36,55)+SUMIFS(VEN!$R$142:$R$2063,VEN!$G$142:$G$2063,A12,VEN!$J$142:$J$2063,"Comum",VEN!$I$142:$I$2063,55)</f>
        <v>0</v>
      </c>
      <c r="G12" s="623" t="n">
        <f aca="false">SUMIFS('ANT.'!$O$4:$O$36,'ANT.'!$F$4:$F$36,A12,'ANT.'!$I$4:$I$36,"Comum",'ANT.'!$H$4:$H$36,55)+SUMIFS(VEN!$P$142:$P$2063,VEN!$G$142:$G$2063,A12,VEN!$J$142:$J$2063,"Comum",VEN!$I$142:$I$2063,55)</f>
        <v>0</v>
      </c>
      <c r="H12" s="622" t="n">
        <f aca="false">SUMIFS('ANT.'!$Q$4:$Q$36,'ANT.'!$F$4:$F$36,A12,'ANT.'!$I$4:$I$36,"Comum",'ANT.'!$H$4:$H$36,90)+SUMIFS(VEN!$R$142:$R$2063,VEN!$G$142:$G$2063,A12,VEN!$J$142:$J$2063,"Comum",VEN!$I$142:$I$2063,90)</f>
        <v>0</v>
      </c>
      <c r="I12" s="623" t="n">
        <f aca="false">SUMIFS('ANT.'!$O$4:$O$36,'ANT.'!$F$4:$F$36,A12,'ANT.'!$I$4:$I$36,"Comum",'ANT.'!$H$4:$H$36,90)+SUMIFS(VEN!$P$142:$P$2063,VEN!$G$142:$G$2063,A12,VEN!$J$142:$J$2063,"Comum",VEN!$I$142:$I$2063,90)</f>
        <v>0</v>
      </c>
      <c r="J12" s="637" t="n">
        <f aca="false">SUMIFS(VEN!$R$142:$R$2063,VEN!$G$142:$G$2063,A12,VEN!$J$142:$J$2063,"Golden")+SUMIFS('ANT.'!$Q$4:$Q$36,'ANT.'!$F$4:$F$36,'SAL.(3)'!A12,'ANT.'!$I$4:$I$36,"Golden")</f>
        <v>0</v>
      </c>
      <c r="K12" s="638" t="n">
        <f aca="false">J12/14</f>
        <v>0</v>
      </c>
      <c r="L12" s="624" t="n">
        <f aca="false">SUMIFS(VEN!$R$142:$R$2063,VEN!$G$142:$G$2063,A12,VEN!$J$142:$J$2063,"Podium")+SUMIFS('ANT.'!$Q$4:$Q$36,'ANT.'!$F$4:$F$36,'SAL.(3)'!A12,'ANT.'!$I$4:$I$36,"Podium")</f>
        <v>0</v>
      </c>
      <c r="M12" s="639" t="n">
        <f aca="false">L12/20</f>
        <v>0</v>
      </c>
      <c r="N12" s="626" t="n">
        <f aca="false">B12+J12+L12+D12+H12+F12</f>
        <v>0</v>
      </c>
      <c r="O12" s="627" t="n">
        <f aca="false">C12+K12+M12+E12+I12+G12</f>
        <v>0</v>
      </c>
      <c r="P12" s="628" t="n">
        <f aca="false">RES!L10</f>
        <v>88440.002</v>
      </c>
      <c r="Q12" s="641"/>
      <c r="R12" s="641"/>
      <c r="S12" s="630" t="n">
        <f aca="false">'COM.'!W10</f>
        <v>0.454000000070664</v>
      </c>
      <c r="T12" s="631" t="n">
        <f aca="false">P12-N12+Q12+R12+S12</f>
        <v>88440.4560000001</v>
      </c>
      <c r="U12" s="632" t="n">
        <f aca="false">VEN!P28</f>
        <v>3.80622112578537</v>
      </c>
      <c r="V12" s="642" t="n">
        <f aca="false">T12*U12</f>
        <v>336623.932001292</v>
      </c>
      <c r="W12" s="634" t="n">
        <f aca="false">RES!K10-N12</f>
        <v>360410.9595</v>
      </c>
      <c r="X12" s="644" t="n">
        <f aca="false">U12*W12</f>
        <v>1371803.80801347</v>
      </c>
    </row>
    <row r="13" customFormat="false" ht="14.25" hidden="false" customHeight="false" outlineLevel="0" collapsed="false">
      <c r="A13" s="636" t="str">
        <f aca="false">'COM.'!A11</f>
        <v>Llanero</v>
      </c>
      <c r="B13" s="622" t="n">
        <f aca="false">SUMIFS('ANT.'!$Q$4:$Q$36,'ANT.'!$F$4:$F$36,A13,'ANT.'!$I$4:$I$36,"Comum",'ANT.'!$H$4:$H$36,40)+SUMIFS(VEN!$R$142:$R$2063,VEN!$G$142:$G$2063,A13,VEN!$J$142:$J$2063,"Comum",VEN!$I$142:$I$2063,40)</f>
        <v>0</v>
      </c>
      <c r="C13" s="623" t="n">
        <f aca="false">SUMIFS('ANT.'!$O$4:$O$36,'ANT.'!$F$4:$F$36,A13,'ANT.'!$I$4:$I$36,"Comum",'ANT.'!$H$4:$H$36,40)+SUMIFS(VEN!$P$142:$P$2063,VEN!$G$142:$G$2063,A13,VEN!$J$142:$J$2063,"Comum",VEN!$I$142:$I$2063,40)</f>
        <v>0</v>
      </c>
      <c r="D13" s="622" t="n">
        <f aca="false">SUMIFS('ANT.'!$Q$4:$Q$36,'ANT.'!$F$4:$F$36,A13,'ANT.'!$I$4:$I$36,"Comum",'ANT.'!$H$4:$H$36,60)+SUMIFS(VEN!$R$142:$R$2063,VEN!$G$142:$G$2063,A13,VEN!$J$142:$J$2063,"Comum",VEN!$I$142:$I$2063,60)</f>
        <v>0</v>
      </c>
      <c r="E13" s="623" t="n">
        <f aca="false">SUMIFS('ANT.'!$O$4:$O$36,'ANT.'!$F$4:$F$36,A13,'ANT.'!$I$4:$I$36,"Comum",'ANT.'!$H$4:$H$36,60)+SUMIFS(VEN!$P$142:$P$2063,VEN!$G$142:$G$2063,A13,VEN!$J$142:$J$2063,"Comum",VEN!$I$142:$I$2063,60)</f>
        <v>0</v>
      </c>
      <c r="F13" s="622" t="n">
        <f aca="false">SUMIFS('ANT.'!$Q$4:$Q$36,'ANT.'!$F$4:$F$36,A13,'ANT.'!$I$4:$I$36,"Comum",'ANT.'!$H$4:$H$36,55)+SUMIFS(VEN!$R$142:$R$2063,VEN!$G$142:$G$2063,A13,VEN!$J$142:$J$2063,"Comum",VEN!$I$142:$I$2063,55)</f>
        <v>0</v>
      </c>
      <c r="G13" s="623" t="n">
        <f aca="false">SUMIFS('ANT.'!$O$4:$O$36,'ANT.'!$F$4:$F$36,A13,'ANT.'!$I$4:$I$36,"Comum",'ANT.'!$H$4:$H$36,55)+SUMIFS(VEN!$P$142:$P$2063,VEN!$G$142:$G$2063,A13,VEN!$J$142:$J$2063,"Comum",VEN!$I$142:$I$2063,55)</f>
        <v>0</v>
      </c>
      <c r="H13" s="622" t="n">
        <f aca="false">SUMIFS('ANT.'!$Q$4:$Q$36,'ANT.'!$F$4:$F$36,A13,'ANT.'!$I$4:$I$36,"Comum",'ANT.'!$H$4:$H$36,90)+SUMIFS(VEN!$R$142:$R$2063,VEN!$G$142:$G$2063,A13,VEN!$J$142:$J$2063,"Comum",VEN!$I$142:$I$2063,90)</f>
        <v>0</v>
      </c>
      <c r="I13" s="623" t="n">
        <f aca="false">SUMIFS('ANT.'!$O$4:$O$36,'ANT.'!$F$4:$F$36,A13,'ANT.'!$I$4:$I$36,"Comum",'ANT.'!$H$4:$H$36,90)+SUMIFS(VEN!$P$142:$P$2063,VEN!$G$142:$G$2063,A13,VEN!$J$142:$J$2063,"Comum",VEN!$I$142:$I$2063,90)</f>
        <v>0</v>
      </c>
      <c r="J13" s="637" t="n">
        <f aca="false">SUMIFS(VEN!$R$142:$R$2063,VEN!$G$142:$G$2063,A13,VEN!$J$142:$J$2063,"Golden")+SUMIFS('ANT.'!$Q$4:$Q$36,'ANT.'!$F$4:$F$36,'SAL.(3)'!A13,'ANT.'!$I$4:$I$36,"Golden")</f>
        <v>20520</v>
      </c>
      <c r="K13" s="638" t="n">
        <f aca="false">J13/18</f>
        <v>1140</v>
      </c>
      <c r="L13" s="624" t="n">
        <f aca="false">SUMIFS(VEN!$R$142:$R$2063,VEN!$G$142:$G$2063,A13,VEN!$J$142:$J$2063,"Podium")+SUMIFS('ANT.'!$Q$4:$Q$36,'ANT.'!$F$4:$F$36,'SAL.(3)'!A13,'ANT.'!$I$4:$I$36,"Podium")</f>
        <v>0</v>
      </c>
      <c r="M13" s="639" t="n">
        <f aca="false">L13/25.71</f>
        <v>0</v>
      </c>
      <c r="N13" s="626" t="n">
        <f aca="false">B13+J13+L13+D13+H13+F13</f>
        <v>20520</v>
      </c>
      <c r="O13" s="627" t="n">
        <f aca="false">C13+K13+M13+E13+I13+G13</f>
        <v>1140</v>
      </c>
      <c r="P13" s="628" t="n">
        <f aca="false">RES!L11</f>
        <v>26730.4476</v>
      </c>
      <c r="Q13" s="641"/>
      <c r="R13" s="641"/>
      <c r="S13" s="630" t="n">
        <f aca="false">'COM.'!W11</f>
        <v>0</v>
      </c>
      <c r="T13" s="631" t="n">
        <f aca="false">P13-N13+Q13+R13+S13</f>
        <v>6210.44759999996</v>
      </c>
      <c r="U13" s="632" t="n">
        <f aca="false">VEN!P32</f>
        <v>2.72587232531805</v>
      </c>
      <c r="V13" s="642" t="n">
        <f aca="false">T13*U13</f>
        <v>16928.8872406778</v>
      </c>
      <c r="W13" s="634" t="n">
        <f aca="false">RES!K11-N13</f>
        <v>700108.6741</v>
      </c>
      <c r="X13" s="647" t="n">
        <f aca="false">U13*W13</f>
        <v>1908406.8594443</v>
      </c>
    </row>
    <row r="14" customFormat="false" ht="14.25" hidden="false" customHeight="false" outlineLevel="0" collapsed="false">
      <c r="A14" s="636" t="str">
        <f aca="false">'COM.'!A12</f>
        <v>Mombaça</v>
      </c>
      <c r="B14" s="622" t="n">
        <f aca="false">SUMIFS('ANT.'!$Q$4:$Q$36,'ANT.'!$F$4:$F$36,A14,'ANT.'!$I$4:$I$36,"Comum",'ANT.'!$H$4:$H$36,40)+SUMIFS(VEN!$R$142:$R$2063,VEN!$G$142:$G$2063,A14,VEN!$J$142:$J$2063,"Comum",VEN!$I$142:$I$2063,40)</f>
        <v>7000</v>
      </c>
      <c r="C14" s="623" t="n">
        <f aca="false">SUMIFS('ANT.'!$O$4:$O$36,'ANT.'!$F$4:$F$36,A14,'ANT.'!$I$4:$I$36,"Comum",'ANT.'!$H$4:$H$36,40)+SUMIFS(VEN!$P$142:$P$2063,VEN!$G$142:$G$2063,A14,VEN!$J$142:$J$2063,"Comum",VEN!$I$142:$I$2063,40)</f>
        <v>175</v>
      </c>
      <c r="D14" s="622"/>
      <c r="E14" s="623"/>
      <c r="F14" s="622" t="n">
        <f aca="false">SUMIFS('ANT.'!$Q$4:$Q$36,'ANT.'!$F$4:$F$36,A14,'ANT.'!$I$4:$I$36,"Comum",'ANT.'!$H$4:$H$36,55)+SUMIFS(VEN!$R$142:$R$2063,VEN!$G$142:$G$2063,A14,VEN!$J$142:$J$2063,"Comum",VEN!$I$142:$I$2063,55)</f>
        <v>0</v>
      </c>
      <c r="G14" s="623" t="n">
        <f aca="false">SUMIFS('ANT.'!$O$4:$O$36,'ANT.'!$F$4:$F$36,A14,'ANT.'!$I$4:$I$36,"Comum",'ANT.'!$H$4:$H$36,55)+SUMIFS(VEN!$P$142:$P$2063,VEN!$G$142:$G$2063,A14,VEN!$J$142:$J$2063,"Comum",VEN!$I$142:$I$2063,55)</f>
        <v>0</v>
      </c>
      <c r="H14" s="622" t="n">
        <f aca="false">SUMIFS('ANT.'!$Q$4:$Q$36,'ANT.'!$F$4:$F$36,A14,'ANT.'!$I$4:$I$36,"Comum",'ANT.'!$H$4:$H$36,90)+SUMIFS(VEN!$R$142:$R$2063,VEN!$G$142:$G$2063,A14,VEN!$J$142:$J$2063,"Comum",VEN!$I$142:$I$2063,90)</f>
        <v>0</v>
      </c>
      <c r="I14" s="623" t="n">
        <f aca="false">SUMIFS('ANT.'!$O$4:$O$36,'ANT.'!$F$4:$F$36,A14,'ANT.'!$I$4:$I$36,"Comum",'ANT.'!$H$4:$H$36,90)+SUMIFS(VEN!$P$142:$P$2063,VEN!$G$142:$G$2063,A14,VEN!$J$142:$J$2063,"Comum",VEN!$I$142:$I$2063,90)</f>
        <v>0</v>
      </c>
      <c r="J14" s="637" t="n">
        <f aca="false">SUMIFS(VEN!$R$142:$R$2063,VEN!$G$142:$G$2063,A14,VEN!$J$142:$J$2063,"Golden")+SUMIFS('ANT.'!$Q$4:$Q$36,'ANT.'!$F$4:$F$36,'SAL.(3)'!A14,'ANT.'!$I$4:$I$36,"Golden")</f>
        <v>372937.5</v>
      </c>
      <c r="K14" s="638" t="n">
        <f aca="false">J14/22.5</f>
        <v>16575</v>
      </c>
      <c r="L14" s="624" t="n">
        <f aca="false">SUMIFS(VEN!$R$142:$R$2063,VEN!$G$142:$G$2063,A14,VEN!$J$142:$J$2063,"Podium")+SUMIFS('ANT.'!$Q$4:$Q$36,'ANT.'!$F$4:$F$36,'SAL.(3)'!A14,'ANT.'!$I$4:$I$36,"Podium")</f>
        <v>0</v>
      </c>
      <c r="M14" s="639" t="n">
        <f aca="false">L14/37.5</f>
        <v>0</v>
      </c>
      <c r="N14" s="626" t="n">
        <f aca="false">B14+J14+L14+D14+H14+F14</f>
        <v>379937.5</v>
      </c>
      <c r="O14" s="627" t="n">
        <f aca="false">C14+K14+M14+E14+I14+G14</f>
        <v>16750</v>
      </c>
      <c r="P14" s="628" t="n">
        <f aca="false">RES!L12</f>
        <v>77776.2991999999</v>
      </c>
      <c r="Q14" s="641"/>
      <c r="R14" s="641"/>
      <c r="S14" s="630" t="n">
        <f aca="false">'COM.'!W12</f>
        <v>-0.500000000043656</v>
      </c>
      <c r="T14" s="631" t="n">
        <f aca="false">P14-N14+Q14+R14+S14</f>
        <v>-302161.7008</v>
      </c>
      <c r="U14" s="632" t="n">
        <f aca="false">VEN!P37</f>
        <v>0.430843140584599</v>
      </c>
      <c r="V14" s="633" t="n">
        <f aca="false">T14*U14</f>
        <v>-130184.296137056</v>
      </c>
      <c r="W14" s="634" t="n">
        <f aca="false">RES!K12-N14</f>
        <v>2899412.8782</v>
      </c>
      <c r="X14" s="644" t="n">
        <f aca="false">U14*W14</f>
        <v>1249192.15029512</v>
      </c>
    </row>
    <row r="15" customFormat="false" ht="14.25" hidden="false" customHeight="false" outlineLevel="0" collapsed="false">
      <c r="A15" s="636" t="str">
        <f aca="false">'COM.'!A13</f>
        <v>Tanzania</v>
      </c>
      <c r="B15" s="622" t="n">
        <f aca="false">SUMIFS('ANT.'!$Q$4:$Q$36,'ANT.'!$F$4:$F$36,A15,'ANT.'!$I$4:$I$36,"Comum",'ANT.'!$H$4:$H$36,40)+SUMIFS(VEN!$R$142:$R$2063,VEN!$G$142:$G$2063,A15,VEN!$J$142:$J$2063,"Comum",VEN!$I$142:$I$2063,40)</f>
        <v>0</v>
      </c>
      <c r="C15" s="623" t="n">
        <f aca="false">SUMIFS('ANT.'!$O$4:$O$36,'ANT.'!$F$4:$F$36,A15,'ANT.'!$I$4:$I$36,"Comum",'ANT.'!$H$4:$H$36,40)+SUMIFS(VEN!$P$142:$P$2063,VEN!$G$142:$G$2063,A15,VEN!$J$142:$J$2063,"Comum",VEN!$I$142:$I$2063,40)</f>
        <v>0</v>
      </c>
      <c r="D15" s="622"/>
      <c r="E15" s="623"/>
      <c r="F15" s="622" t="n">
        <f aca="false">SUMIFS('ANT.'!$Q$4:$Q$36,'ANT.'!$F$4:$F$36,A15,'ANT.'!$I$4:$I$36,"Comum",'ANT.'!$H$4:$H$36,55)+SUMIFS(VEN!$R$142:$R$2063,VEN!$G$142:$G$2063,A15,VEN!$J$142:$J$2063,"Comum",VEN!$I$142:$I$2063,55)</f>
        <v>0</v>
      </c>
      <c r="G15" s="623" t="n">
        <f aca="false">SUMIFS('ANT.'!$O$4:$O$36,'ANT.'!$F$4:$F$36,A15,'ANT.'!$I$4:$I$36,"Comum",'ANT.'!$H$4:$H$36,55)+SUMIFS(VEN!$P$142:$P$2063,VEN!$G$142:$G$2063,A15,VEN!$J$142:$J$2063,"Comum",VEN!$I$142:$I$2063,55)</f>
        <v>0</v>
      </c>
      <c r="H15" s="622" t="n">
        <f aca="false">SUMIFS('ANT.'!$Q$4:$Q$36,'ANT.'!$F$4:$F$36,A15,'ANT.'!$I$4:$I$36,"Comum",'ANT.'!$H$4:$H$36,90)+SUMIFS(VEN!$R$142:$R$2063,VEN!$G$142:$G$2063,A15,VEN!$J$142:$J$2063,"Comum",VEN!$I$142:$I$2063,90)</f>
        <v>0</v>
      </c>
      <c r="I15" s="623" t="n">
        <f aca="false">SUMIFS('ANT.'!$O$4:$O$36,'ANT.'!$F$4:$F$36,A15,'ANT.'!$I$4:$I$36,"Comum",'ANT.'!$H$4:$H$36,90)+SUMIFS(VEN!$P$142:$P$2063,VEN!$G$142:$G$2063,A15,VEN!$J$142:$J$2063,"Comum",VEN!$I$142:$I$2063,90)</f>
        <v>0</v>
      </c>
      <c r="J15" s="637" t="n">
        <f aca="false">SUMIFS(VEN!$R$142:$R$2063,VEN!$G$142:$G$2063,A15,VEN!$J$142:$J$2063,"Golden")+SUMIFS('ANT.'!$Q$4:$Q$36,'ANT.'!$F$4:$F$36,'SAL.(3)'!A15,'ANT.'!$I$4:$I$36,"Golden")</f>
        <v>0</v>
      </c>
      <c r="K15" s="638" t="n">
        <f aca="false">J15/2.5</f>
        <v>0</v>
      </c>
      <c r="L15" s="624" t="n">
        <f aca="false">SUMIFS(VEN!$R$142:$R$2063,VEN!$G$142:$G$2063,A15,VEN!$J$142:$J$2063,"Podium")+SUMIFS('ANT.'!$Q$4:$Q$36,'ANT.'!$F$4:$F$36,'SAL.(3)'!A15,'ANT.'!$I$4:$I$36,"Podium")</f>
        <v>0</v>
      </c>
      <c r="M15" s="639" t="n">
        <f aca="false">L15/37.5</f>
        <v>0</v>
      </c>
      <c r="N15" s="626" t="n">
        <f aca="false">B15+J15+L15+D15+H15+F15</f>
        <v>0</v>
      </c>
      <c r="O15" s="627" t="n">
        <f aca="false">C15+K15+M15+E15+I15+G15</f>
        <v>0</v>
      </c>
      <c r="P15" s="628" t="n">
        <f aca="false">RES!L13</f>
        <v>0</v>
      </c>
      <c r="Q15" s="641"/>
      <c r="R15" s="641"/>
      <c r="S15" s="630"/>
      <c r="T15" s="631" t="n">
        <f aca="false">P15-N15+Q15+R15+S15</f>
        <v>0</v>
      </c>
      <c r="U15" s="646" t="n">
        <v>0</v>
      </c>
      <c r="V15" s="633" t="n">
        <f aca="false">T15*U15</f>
        <v>0</v>
      </c>
      <c r="W15" s="634" t="n">
        <f aca="false">RES!K13-N15</f>
        <v>32447</v>
      </c>
      <c r="X15" s="644" t="n">
        <f aca="false">U15*W15</f>
        <v>0</v>
      </c>
    </row>
    <row r="16" customFormat="false" ht="14.25" hidden="false" customHeight="false" outlineLevel="0" collapsed="false">
      <c r="A16" s="636" t="str">
        <f aca="false">'COM.'!A14</f>
        <v>Massai</v>
      </c>
      <c r="B16" s="622" t="n">
        <f aca="false">SUMIFS('ANT.'!$Q$4:$Q$36,'ANT.'!$F$4:$F$36,A16,'ANT.'!$I$4:$I$36,"Comum",'ANT.'!$H$4:$H$36,40)+SUMIFS(VEN!$R$142:$R$2063,VEN!$G$142:$G$2063,A16,VEN!$J$142:$J$2063,"Comum",VEN!$I$142:$I$2063,40)</f>
        <v>0</v>
      </c>
      <c r="C16" s="623" t="n">
        <f aca="false">SUMIFS('ANT.'!$O$4:$O$36,'ANT.'!$F$4:$F$36,A16,'ANT.'!$I$4:$I$36,"Comum",'ANT.'!$H$4:$H$36,40)+SUMIFS(VEN!$P$142:$P$2063,VEN!$G$142:$G$2063,A16,VEN!$J$142:$J$2063,"Comum",VEN!$I$142:$I$2063,40)</f>
        <v>0</v>
      </c>
      <c r="D16" s="622"/>
      <c r="E16" s="623"/>
      <c r="F16" s="622" t="n">
        <f aca="false">SUMIFS('ANT.'!$Q$4:$Q$36,'ANT.'!$F$4:$F$36,A16,'ANT.'!$I$4:$I$36,"Comum",'ANT.'!$H$4:$H$36,55)+SUMIFS(VEN!$R$142:$R$2063,VEN!$G$142:$G$2063,A16,VEN!$J$142:$J$2063,"Comum",VEN!$I$142:$I$2063,55)</f>
        <v>0</v>
      </c>
      <c r="G16" s="623" t="n">
        <f aca="false">SUMIFS('ANT.'!$O$4:$O$36,'ANT.'!$F$4:$F$36,A16,'ANT.'!$I$4:$I$36,"Comum",'ANT.'!$H$4:$H$36,55)+SUMIFS(VEN!$P$142:$P$2063,VEN!$G$142:$G$2063,A16,VEN!$J$142:$J$2063,"Comum",VEN!$I$142:$I$2063,55)</f>
        <v>0</v>
      </c>
      <c r="H16" s="622" t="n">
        <f aca="false">SUMIFS('ANT.'!$Q$4:$Q$36,'ANT.'!$F$4:$F$36,A16,'ANT.'!$I$4:$I$36,"Comum",'ANT.'!$H$4:$H$36,90)+SUMIFS(VEN!$R$142:$R$2063,VEN!$G$142:$G$2063,A16,VEN!$J$142:$J$2063,"Comum",VEN!$I$142:$I$2063,90)</f>
        <v>0</v>
      </c>
      <c r="I16" s="623" t="n">
        <f aca="false">SUMIFS('ANT.'!$O$4:$O$36,'ANT.'!$F$4:$F$36,A16,'ANT.'!$I$4:$I$36,"Comum",'ANT.'!$H$4:$H$36,90)+SUMIFS(VEN!$P$142:$P$2063,VEN!$G$142:$G$2063,A16,VEN!$J$142:$J$2063,"Comum",VEN!$I$142:$I$2063,90)</f>
        <v>0</v>
      </c>
      <c r="J16" s="637" t="n">
        <f aca="false">SUMIFS(VEN!$R$142:$R$2063,VEN!$G$142:$G$2063,A16,VEN!$J$142:$J$2063,"Golden")+SUMIFS('ANT.'!$Q$4:$Q$36,'ANT.'!$F$4:$F$36,'SAL.(3)'!A16,'ANT.'!$I$4:$I$36,"Golden")</f>
        <v>57712.5</v>
      </c>
      <c r="K16" s="638" t="n">
        <f aca="false">J16/22.5</f>
        <v>2565</v>
      </c>
      <c r="L16" s="648" t="n">
        <f aca="false">SUMIFS(VEN!$R$142:$R$2063,VEN!$G$142:$G$2063,A16,VEN!$J$142:$J$2063,"Podium")+SUMIFS('ANT.'!$Q$4:$Q$36,'ANT.'!$F$4:$F$36,'SAL.(3)'!A16,'ANT.'!$I$4:$I$36,"Podium")</f>
        <v>0</v>
      </c>
      <c r="M16" s="649" t="n">
        <f aca="false">L16/37.5</f>
        <v>0</v>
      </c>
      <c r="N16" s="626" t="n">
        <f aca="false">B16+J16+L16+D16+H16+F16</f>
        <v>57712.5</v>
      </c>
      <c r="O16" s="627" t="n">
        <f aca="false">C16+K16+M16+E16+I16+G16</f>
        <v>2565</v>
      </c>
      <c r="P16" s="628" t="n">
        <f aca="false">RES!L14</f>
        <v>117000.0002</v>
      </c>
      <c r="Q16" s="641"/>
      <c r="R16" s="641"/>
      <c r="S16" s="630" t="n">
        <f aca="false">'COM.'!W14</f>
        <v>0</v>
      </c>
      <c r="T16" s="631" t="n">
        <f aca="false">P16-N16+Q16+R16+S16</f>
        <v>59287.5001999999</v>
      </c>
      <c r="U16" s="632" t="n">
        <f aca="false">VEN!P43</f>
        <v>0.597381162167584</v>
      </c>
      <c r="V16" s="642" t="n">
        <f aca="false">T16*U16</f>
        <v>35417.2357714868</v>
      </c>
      <c r="W16" s="634" t="n">
        <f aca="false">RES!K14-N16</f>
        <v>726663.0787</v>
      </c>
      <c r="X16" s="644" t="n">
        <f aca="false">U16*W16</f>
        <v>434094.834458081</v>
      </c>
    </row>
    <row r="17" customFormat="false" ht="14.25" hidden="false" customHeight="false" outlineLevel="0" collapsed="false">
      <c r="A17" s="636" t="str">
        <f aca="false">'COM.'!A15</f>
        <v>Aruana</v>
      </c>
      <c r="B17" s="622" t="n">
        <f aca="false">SUMIFS('ANT.'!$Q$4:$Q$36,'ANT.'!$F$4:$F$36,A17,'ANT.'!$I$4:$I$36,"Comum",'ANT.'!$H$4:$H$36,40)+SUMIFS(VEN!$R$142:$R$2063,VEN!$G$142:$G$2063,A17,VEN!$J$142:$J$2063,"Comum",VEN!$I$142:$I$2063,40)</f>
        <v>0</v>
      </c>
      <c r="C17" s="623" t="n">
        <f aca="false">SUMIFS('ANT.'!$O$4:$O$36,'ANT.'!$F$4:$F$36,A17,'ANT.'!$I$4:$I$36,"Comum",'ANT.'!$H$4:$H$36,40)+SUMIFS(VEN!$P$142:$P$2063,VEN!$G$142:$G$2063,A17,VEN!$J$142:$J$2063,"Comum",VEN!$I$142:$I$2063,40)</f>
        <v>0</v>
      </c>
      <c r="D17" s="622"/>
      <c r="E17" s="623"/>
      <c r="F17" s="622" t="n">
        <f aca="false">SUMIFS('ANT.'!$Q$4:$Q$36,'ANT.'!$F$4:$F$36,A17,'ANT.'!$I$4:$I$36,"Comum",'ANT.'!$H$4:$H$36,55)+SUMIFS(VEN!$R$142:$R$2063,VEN!$G$142:$G$2063,A17,VEN!$J$142:$J$2063,"Comum",VEN!$I$142:$I$2063,55)</f>
        <v>0</v>
      </c>
      <c r="G17" s="623" t="n">
        <f aca="false">SUMIFS('ANT.'!$O$4:$O$36,'ANT.'!$F$4:$F$36,A17,'ANT.'!$I$4:$I$36,"Comum",'ANT.'!$H$4:$H$36,55)+SUMIFS(VEN!$P$142:$P$2063,VEN!$G$142:$G$2063,A17,VEN!$J$142:$J$2063,"Comum",VEN!$I$142:$I$2063,55)</f>
        <v>0</v>
      </c>
      <c r="H17" s="622" t="n">
        <f aca="false">SUMIFS('ANT.'!$Q$4:$Q$36,'ANT.'!$F$4:$F$36,A17,'ANT.'!$I$4:$I$36,"Comum",'ANT.'!$H$4:$H$36,90)+SUMIFS(VEN!$R$142:$R$2063,VEN!$G$142:$G$2063,A17,VEN!$J$142:$J$2063,"Comum",VEN!$I$142:$I$2063,90)</f>
        <v>0</v>
      </c>
      <c r="I17" s="623" t="n">
        <f aca="false">SUMIFS('ANT.'!$O$4:$O$36,'ANT.'!$F$4:$F$36,A17,'ANT.'!$I$4:$I$36,"Comum",'ANT.'!$H$4:$H$36,90)+SUMIFS(VEN!$P$142:$P$2063,VEN!$G$142:$G$2063,A17,VEN!$J$142:$J$2063,"Comum",VEN!$I$142:$I$2063,90)</f>
        <v>0</v>
      </c>
      <c r="J17" s="637" t="n">
        <f aca="false">SUMIFS(VEN!$R$142:$R$2063,VEN!$G$142:$G$2063,A17,VEN!$J$142:$J$2063,"Golden")+SUMIFS('ANT.'!$Q$4:$Q$36,'ANT.'!$F$4:$F$36,'SAL.(3)'!A17,'ANT.'!$I$4:$I$36,"Golden")</f>
        <v>0</v>
      </c>
      <c r="K17" s="638" t="n">
        <f aca="false">J17/22.5</f>
        <v>0</v>
      </c>
      <c r="L17" s="624" t="n">
        <f aca="false">SUMIFS(VEN!$R$142:$R$2063,VEN!$G$142:$G$2063,A17,VEN!$J$142:$J$2063,"Podium")+SUMIFS('ANT.'!$Q$4:$Q$36,'ANT.'!$F$4:$F$36,'SAL.(3)'!A17,'ANT.'!$I$4:$I$36,"Podium")</f>
        <v>0</v>
      </c>
      <c r="M17" s="639" t="n">
        <f aca="false">L17/30</f>
        <v>0</v>
      </c>
      <c r="N17" s="626" t="n">
        <f aca="false">B17+J17+L17+D17+H17+F17</f>
        <v>0</v>
      </c>
      <c r="O17" s="627" t="n">
        <f aca="false">C17+K17+M17+E17+I17+G17</f>
        <v>0</v>
      </c>
      <c r="P17" s="628" t="n">
        <f aca="false">RES!L15</f>
        <v>135184.9</v>
      </c>
      <c r="Q17" s="641"/>
      <c r="R17" s="641"/>
      <c r="S17" s="630" t="n">
        <f aca="false">'COM.'!W15</f>
        <v>0</v>
      </c>
      <c r="T17" s="631" t="n">
        <f aca="false">P17-N17+Q17+R17+S17</f>
        <v>135184.9</v>
      </c>
      <c r="U17" s="646" t="n">
        <f aca="false">VEN!T45</f>
        <v>0.816441240240529</v>
      </c>
      <c r="V17" s="633" t="n">
        <f aca="false">T17*U17</f>
        <v>110370.527417792</v>
      </c>
      <c r="W17" s="634" t="n">
        <f aca="false">RES!K15-N17</f>
        <v>135184.9</v>
      </c>
      <c r="X17" s="644" t="n">
        <f aca="false">U17*W17</f>
        <v>110370.527417792</v>
      </c>
    </row>
    <row r="18" customFormat="false" ht="14.25" hidden="false" customHeight="false" outlineLevel="0" collapsed="false">
      <c r="A18" s="636" t="str">
        <f aca="false">'COM.'!A16</f>
        <v>Zuri</v>
      </c>
      <c r="B18" s="622" t="n">
        <f aca="false">SUMIFS('ANT.'!$Q$4:$Q$36,'ANT.'!$F$4:$F$36,A18,'ANT.'!$I$4:$I$36,"Comum",'ANT.'!$H$4:$H$36,40)+SUMIFS(VEN!$R$142:$R$2063,VEN!$G$142:$G$2063,A18,VEN!$J$142:$J$2063,"Comum",VEN!$I$142:$I$2063,40)</f>
        <v>0</v>
      </c>
      <c r="C18" s="623" t="n">
        <f aca="false">SUMIFS('ANT.'!$O$4:$O$36,'ANT.'!$F$4:$F$36,A18,'ANT.'!$I$4:$I$36,"Comum",'ANT.'!$H$4:$H$36,40)+SUMIFS(VEN!$P$142:$P$2063,VEN!$G$142:$G$2063,A18,VEN!$J$142:$J$2063,"Comum",VEN!$I$142:$I$2063,40)</f>
        <v>0</v>
      </c>
      <c r="D18" s="622"/>
      <c r="E18" s="623"/>
      <c r="F18" s="622" t="n">
        <f aca="false">SUMIFS('ANT.'!$Q$4:$Q$36,'ANT.'!$F$4:$F$36,A18,'ANT.'!$I$4:$I$36,"Comum",'ANT.'!$H$4:$H$36,55)+SUMIFS(VEN!$R$142:$R$2063,VEN!$G$142:$G$2063,A18,VEN!$J$142:$J$2063,"Comum",VEN!$I$142:$I$2063,55)</f>
        <v>0</v>
      </c>
      <c r="G18" s="623" t="n">
        <f aca="false">SUMIFS('ANT.'!$O$4:$O$36,'ANT.'!$F$4:$F$36,A18,'ANT.'!$I$4:$I$36,"Comum",'ANT.'!$H$4:$H$36,55)+SUMIFS(VEN!$P$142:$P$2063,VEN!$G$142:$G$2063,A18,VEN!$J$142:$J$2063,"Comum",VEN!$I$142:$I$2063,55)</f>
        <v>0</v>
      </c>
      <c r="H18" s="622" t="n">
        <f aca="false">SUMIFS('ANT.'!$Q$4:$Q$36,'ANT.'!$F$4:$F$36,A18,'ANT.'!$I$4:$I$36,"Comum",'ANT.'!$H$4:$H$36,90)+SUMIFS(VEN!$R$142:$R$2063,VEN!$G$142:$G$2063,A18,VEN!$J$142:$J$2063,"Comum",VEN!$I$142:$I$2063,90)</f>
        <v>0</v>
      </c>
      <c r="I18" s="623" t="n">
        <f aca="false">SUMIFS('ANT.'!$O$4:$O$36,'ANT.'!$F$4:$F$36,A18,'ANT.'!$I$4:$I$36,"Comum",'ANT.'!$H$4:$H$36,90)+SUMIFS(VEN!$P$142:$P$2063,VEN!$G$142:$G$2063,A18,VEN!$J$142:$J$2063,"Comum",VEN!$I$142:$I$2063,90)</f>
        <v>0</v>
      </c>
      <c r="J18" s="637" t="n">
        <f aca="false">SUMIFS(VEN!$R$142:$R$2063,VEN!$G$142:$G$2063,A18,VEN!$J$142:$J$2063,"Golden")+SUMIFS('ANT.'!$Q$4:$Q$36,'ANT.'!$F$4:$F$36,'SAL.(3)'!A18,'ANT.'!$I$4:$I$36,"Golden")</f>
        <v>64125</v>
      </c>
      <c r="K18" s="638" t="n">
        <f aca="false">J18/22.5</f>
        <v>2850</v>
      </c>
      <c r="L18" s="624" t="n">
        <f aca="false">SUMIFS(VEN!$R$142:$R$2063,VEN!$G$142:$G$2063,A18,VEN!$J$142:$J$2063,"Podium")+SUMIFS('ANT.'!$Q$4:$Q$36,'ANT.'!$F$4:$F$36,'SAL.(3)'!A18,'ANT.'!$I$4:$I$36,"Podium")</f>
        <v>0</v>
      </c>
      <c r="M18" s="639" t="n">
        <f aca="false">L18/37.5</f>
        <v>0</v>
      </c>
      <c r="N18" s="626" t="n">
        <f aca="false">B18+J18+L18+D18+H18+F18</f>
        <v>64125</v>
      </c>
      <c r="O18" s="627" t="n">
        <f aca="false">C18+K18+M18+E18+I18+G18</f>
        <v>2850</v>
      </c>
      <c r="P18" s="628" t="n">
        <f aca="false">RES!L16</f>
        <v>1350.30000000016</v>
      </c>
      <c r="Q18" s="641"/>
      <c r="R18" s="641"/>
      <c r="S18" s="630" t="n">
        <f aca="false">'COM.'!W16</f>
        <v>0</v>
      </c>
      <c r="T18" s="631" t="n">
        <f aca="false">P18-N18+Q18+R18+S18</f>
        <v>-62774.6999999998</v>
      </c>
      <c r="U18" s="632" t="n">
        <f aca="false">VEN!P51</f>
        <v>0.521054039099719</v>
      </c>
      <c r="V18" s="642" t="n">
        <f aca="false">T18*U18</f>
        <v>-32709.010988273</v>
      </c>
      <c r="W18" s="634" t="n">
        <f aca="false">RES!K16-N18</f>
        <v>168404.4194</v>
      </c>
      <c r="X18" s="644" t="n">
        <f aca="false">U18*W18</f>
        <v>87747.802930613</v>
      </c>
    </row>
    <row r="19" customFormat="false" ht="14.25" hidden="false" customHeight="false" outlineLevel="0" collapsed="false">
      <c r="A19" s="636" t="str">
        <f aca="false">'COM.'!A17</f>
        <v>Paiaguas</v>
      </c>
      <c r="B19" s="622" t="n">
        <f aca="false">SUMIFS('ANT.'!$Q$4:$Q$36,'ANT.'!$F$4:$F$36,A19,'ANT.'!$I$4:$I$36,"Comum",'ANT.'!$H$4:$H$36,40)+SUMIFS(VEN!$R$142:$R$2063,VEN!$G$142:$G$2063,A19,VEN!$J$142:$J$2063,"Comum",VEN!$I$142:$I$2063,40)</f>
        <v>0</v>
      </c>
      <c r="C19" s="623" t="n">
        <f aca="false">SUMIFS('ANT.'!$O$4:$O$36,'ANT.'!$F$4:$F$36,A19,'ANT.'!$I$4:$I$36,"Comum",'ANT.'!$H$4:$H$36,40)+SUMIFS(VEN!$P$142:$P$2063,VEN!$G$142:$G$2063,A19,VEN!$J$142:$J$2063,"Comum",VEN!$I$142:$I$2063,40)</f>
        <v>0</v>
      </c>
      <c r="D19" s="622" t="n">
        <f aca="false">SUMIFS('ANT.'!$Q$4:$Q$36,'ANT.'!$F$4:$F$36,A19,'ANT.'!$I$4:$I$36,"Comum",'ANT.'!$H$4:$H$36,60)+SUMIFS(VEN!$R$142:$R$2063,VEN!$G$142:$G$2063,A19,VEN!$J$142:$J$2063,"Comum",VEN!$I$142:$I$2063,60)</f>
        <v>0</v>
      </c>
      <c r="E19" s="623" t="n">
        <f aca="false">SUMIFS('ANT.'!$O$4:$O$36,'ANT.'!$F$4:$F$36,A19,'ANT.'!$I$4:$I$36,"Comum",'ANT.'!$H$4:$H$36,60)+SUMIFS(VEN!$P$142:$P$2063,VEN!$G$142:$G$2063,A19,VEN!$J$142:$J$2063,"Comum",VEN!$I$142:$I$2063,60)</f>
        <v>0</v>
      </c>
      <c r="F19" s="622" t="n">
        <f aca="false">SUMIFS('ANT.'!$Q$4:$Q$36,'ANT.'!$F$4:$F$36,A19,'ANT.'!$I$4:$I$36,"Comum",'ANT.'!$H$4:$H$36,55)+SUMIFS(VEN!$R$142:$R$2063,VEN!$G$142:$G$2063,A19,VEN!$J$142:$J$2063,"Comum",VEN!$I$142:$I$2063,55)</f>
        <v>0</v>
      </c>
      <c r="G19" s="623" t="n">
        <f aca="false">SUMIFS('ANT.'!$O$4:$O$36,'ANT.'!$F$4:$F$36,A19,'ANT.'!$I$4:$I$36,"Comum",'ANT.'!$H$4:$H$36,55)+SUMIFS(VEN!$P$142:$P$2063,VEN!$G$142:$G$2063,A19,VEN!$J$142:$J$2063,"Comum",VEN!$I$142:$I$2063,55)</f>
        <v>0</v>
      </c>
      <c r="H19" s="622" t="n">
        <f aca="false">SUMIFS('ANT.'!$Q$4:$Q$36,'ANT.'!$F$4:$F$36,A19,'ANT.'!$I$4:$I$36,"Comum",'ANT.'!$H$4:$H$36,90)+SUMIFS(VEN!$R$142:$R$2063,VEN!$G$142:$G$2063,A19,VEN!$J$142:$J$2063,"Comum",VEN!$I$142:$I$2063,90)</f>
        <v>0</v>
      </c>
      <c r="I19" s="623" t="n">
        <f aca="false">SUMIFS('ANT.'!$O$4:$O$36,'ANT.'!$F$4:$F$36,A19,'ANT.'!$I$4:$I$36,"Comum",'ANT.'!$H$4:$H$36,90)+SUMIFS(VEN!$P$142:$P$2063,VEN!$G$142:$G$2063,A19,VEN!$J$142:$J$2063,"Comum",VEN!$I$142:$I$2063,90)</f>
        <v>0</v>
      </c>
      <c r="J19" s="637" t="n">
        <f aca="false">SUMIFS(VEN!$R$142:$R$2063,VEN!$G$142:$G$2063,A19,VEN!$J$142:$J$2063,"Golden")+SUMIFS('ANT.'!$Q$4:$Q$36,'ANT.'!$F$4:$F$36,'SAL.(3)'!A19,'ANT.'!$I$4:$I$36,"Golden")</f>
        <v>9255.6</v>
      </c>
      <c r="K19" s="638" t="n">
        <f aca="false">J19/25.71</f>
        <v>360</v>
      </c>
      <c r="L19" s="624" t="n">
        <f aca="false">SUMIFS(VEN!$R$142:$R$2063,VEN!$G$142:$G$2063,A19,VEN!$J$142:$J$2063,"Podium")+SUMIFS('ANT.'!$Q$4:$Q$36,'ANT.'!$F$4:$F$36,'SAL.(3)'!A19,'ANT.'!$I$4:$I$36,"Podium")</f>
        <v>0</v>
      </c>
      <c r="M19" s="639" t="n">
        <f aca="false">L19/34.62</f>
        <v>0</v>
      </c>
      <c r="N19" s="626" t="n">
        <f aca="false">B19+J19+L19+D19+H19+F19</f>
        <v>9255.6</v>
      </c>
      <c r="O19" s="627" t="n">
        <f aca="false">C19+K19+M19+E19+I19+G19</f>
        <v>360</v>
      </c>
      <c r="P19" s="628" t="n">
        <f aca="false">RES!L17</f>
        <v>745904.3503</v>
      </c>
      <c r="Q19" s="641"/>
      <c r="R19" s="641"/>
      <c r="S19" s="630" t="n">
        <f aca="false">'COM.'!W17</f>
        <v>0</v>
      </c>
      <c r="T19" s="631" t="n">
        <f aca="false">P19-N19+Q19+R19+S19</f>
        <v>736648.7503</v>
      </c>
      <c r="U19" s="632" t="n">
        <f aca="false">VEN!P54</f>
        <v>0.428033397251299</v>
      </c>
      <c r="V19" s="642" t="n">
        <f aca="false">T19*U19</f>
        <v>315310.267171833</v>
      </c>
      <c r="W19" s="634" t="n">
        <f aca="false">RES!K17-N19</f>
        <v>742947.7553</v>
      </c>
      <c r="X19" s="644" t="n">
        <f aca="false">U19*W19</f>
        <v>318006.451681286</v>
      </c>
    </row>
    <row r="20" customFormat="false" ht="14.25" hidden="false" customHeight="false" outlineLevel="0" collapsed="false">
      <c r="A20" s="636" t="str">
        <f aca="false">'COM.'!A18</f>
        <v>Tamani</v>
      </c>
      <c r="B20" s="622" t="n">
        <f aca="false">SUMIFS('ANT.'!$Q$4:$Q$36,'ANT.'!$F$4:$F$36,A20,'ANT.'!$I$4:$I$36,"Comum",'ANT.'!$H$4:$H$36,40)+SUMIFS(VEN!$R$142:$R$2063,VEN!$G$142:$G$2063,A20,VEN!$J$142:$J$2063,"Comum",VEN!$I$142:$I$2063,40)</f>
        <v>0</v>
      </c>
      <c r="C20" s="623" t="n">
        <f aca="false">SUMIFS('ANT.'!$O$4:$O$36,'ANT.'!$F$4:$F$36,A20,'ANT.'!$I$4:$I$36,"Comum",'ANT.'!$H$4:$H$36,40)+SUMIFS(VEN!$P$142:$P$2063,VEN!$G$142:$G$2063,A20,VEN!$J$142:$J$2063,"Comum",VEN!$I$142:$I$2063,40)</f>
        <v>0</v>
      </c>
      <c r="D20" s="622"/>
      <c r="E20" s="623"/>
      <c r="F20" s="622" t="n">
        <f aca="false">SUMIFS('ANT.'!$Q$4:$Q$36,'ANT.'!$F$4:$F$36,A20,'ANT.'!$I$4:$I$36,"Comum",'ANT.'!$H$4:$H$36,55)+SUMIFS(VEN!$R$142:$R$2063,VEN!$G$142:$G$2063,A20,VEN!$J$142:$J$2063,"Comum",VEN!$I$142:$I$2063,55)</f>
        <v>0</v>
      </c>
      <c r="G20" s="623" t="n">
        <f aca="false">SUMIFS('ANT.'!$O$4:$O$36,'ANT.'!$F$4:$F$36,A20,'ANT.'!$I$4:$I$36,"Comum",'ANT.'!$H$4:$H$36,55)+SUMIFS(VEN!$P$142:$P$2063,VEN!$G$142:$G$2063,A20,VEN!$J$142:$J$2063,"Comum",VEN!$I$142:$I$2063,55)</f>
        <v>0</v>
      </c>
      <c r="H20" s="622" t="n">
        <f aca="false">SUMIFS('ANT.'!$Q$4:$Q$36,'ANT.'!$F$4:$F$36,A20,'ANT.'!$I$4:$I$36,"Comum",'ANT.'!$H$4:$H$36,90)+SUMIFS(VEN!$R$142:$R$2063,VEN!$G$142:$G$2063,A20,VEN!$J$142:$J$2063,"Comum",VEN!$I$142:$I$2063,90)</f>
        <v>0</v>
      </c>
      <c r="I20" s="623" t="n">
        <f aca="false">SUMIFS('ANT.'!$O$4:$O$36,'ANT.'!$F$4:$F$36,A20,'ANT.'!$I$4:$I$36,"Comum",'ANT.'!$H$4:$H$36,90)+SUMIFS(VEN!$P$142:$P$2063,VEN!$G$142:$G$2063,A20,VEN!$J$142:$J$2063,"Comum",VEN!$I$142:$I$2063,90)</f>
        <v>0</v>
      </c>
      <c r="J20" s="637" t="n">
        <f aca="false">SUMIFS(VEN!$R$142:$R$2063,VEN!$G$142:$G$2063,A20,VEN!$J$142:$J$2063,"Golden")+SUMIFS('ANT.'!$Q$4:$Q$36,'ANT.'!$F$4:$F$36,'SAL.(3)'!A20,'ANT.'!$I$4:$I$36,"Golden")</f>
        <v>17550</v>
      </c>
      <c r="K20" s="638" t="n">
        <f aca="false">J20/22.5</f>
        <v>780</v>
      </c>
      <c r="L20" s="624" t="n">
        <f aca="false">SUMIFS(VEN!$R$142:$R$2063,VEN!$G$142:$G$2063,A20,VEN!$J$142:$J$2063,"Podium")+SUMIFS('ANT.'!$Q$4:$Q$36,'ANT.'!$F$4:$F$36,'SAL.(3)'!A20,'ANT.'!$I$4:$I$36,"Podium")</f>
        <v>0</v>
      </c>
      <c r="M20" s="639" t="n">
        <f aca="false">L20/37.5</f>
        <v>0</v>
      </c>
      <c r="N20" s="626" t="n">
        <f aca="false">B20+J20+L20+D20+H20+F20</f>
        <v>17550</v>
      </c>
      <c r="O20" s="627" t="n">
        <f aca="false">C20+K20+M20+E20+I20+G20</f>
        <v>780</v>
      </c>
      <c r="P20" s="628" t="n">
        <f aca="false">RES!L18</f>
        <v>168812.7435</v>
      </c>
      <c r="Q20" s="641"/>
      <c r="R20" s="641"/>
      <c r="S20" s="630" t="n">
        <f aca="false">'COM.'!W18</f>
        <v>0</v>
      </c>
      <c r="T20" s="631" t="n">
        <f aca="false">P20-N20+Q20+R20+S20</f>
        <v>151262.7435</v>
      </c>
      <c r="U20" s="632" t="n">
        <f aca="false">VEN!P57</f>
        <v>0.824631984043177</v>
      </c>
      <c r="V20" s="633" t="n">
        <f aca="false">T20*U20</f>
        <v>124736.096284219</v>
      </c>
      <c r="W20" s="634" t="n">
        <f aca="false">RES!K18-N20</f>
        <v>821020.5435</v>
      </c>
      <c r="X20" s="644" t="n">
        <f aca="false">U20*W20</f>
        <v>677039.799726613</v>
      </c>
    </row>
    <row r="21" customFormat="false" ht="14.25" hidden="false" customHeight="false" outlineLevel="0" collapsed="false">
      <c r="A21" s="636" t="str">
        <f aca="false">'COM.'!A19</f>
        <v>Integra</v>
      </c>
      <c r="B21" s="622"/>
      <c r="C21" s="623"/>
      <c r="D21" s="622"/>
      <c r="E21" s="623"/>
      <c r="F21" s="622"/>
      <c r="G21" s="623"/>
      <c r="H21" s="622" t="n">
        <f aca="false">SUMIFS('ANT.'!$Q$4:$Q$36,'ANT.'!$F$4:$F$36,A21,'ANT.'!$I$4:$I$36,"Comum",'ANT.'!$H$4:$H$36,90)+SUMIFS(VEN!$R$142:$R$2063,VEN!$G$142:$G$2063,A21,VEN!$J$142:$J$2063,"Comum",VEN!$I$142:$I$2063,90)</f>
        <v>0</v>
      </c>
      <c r="I21" s="623" t="n">
        <f aca="false">SUMIFS('ANT.'!$O$4:$O$36,'ANT.'!$F$4:$F$36,A21,'ANT.'!$I$4:$I$36,"Comum",'ANT.'!$H$4:$H$36,90)+SUMIFS(VEN!$P$142:$P$2063,VEN!$G$142:$G$2063,A21,VEN!$J$142:$J$2063,"Comum",VEN!$I$142:$I$2063,90)</f>
        <v>0</v>
      </c>
      <c r="J21" s="637" t="n">
        <f aca="false">SUMIFS(VEN!$R$142:$R$2063,VEN!$G$142:$G$2063,A21,VEN!$J$142:$J$2063,"Golden")+SUMIFS('ANT.'!$Q$4:$Q$36,'ANT.'!$F$4:$F$36,'SAL.(3)'!A21,'ANT.'!$I$4:$I$36,"Golden")</f>
        <v>0</v>
      </c>
      <c r="K21" s="638" t="n">
        <f aca="false">J21/25.71</f>
        <v>0</v>
      </c>
      <c r="L21" s="624" t="n">
        <f aca="false">SUMIFS(VEN!$R$142:$R$2063,VEN!$G$142:$G$2063,A21,VEN!$J$142:$J$2063,"Podium")+SUMIFS('ANT.'!$Q$4:$Q$36,'ANT.'!$F$4:$F$36,'SAL.(3)'!A21,'ANT.'!$I$4:$I$36,"Podium")</f>
        <v>0</v>
      </c>
      <c r="M21" s="639" t="n">
        <f aca="false">L21/38.29</f>
        <v>0</v>
      </c>
      <c r="N21" s="626" t="n">
        <f aca="false">B21+J21+L21+D21+H21+F21</f>
        <v>0</v>
      </c>
      <c r="O21" s="627" t="n">
        <f aca="false">C21+K21+M21+E21+I21+G21</f>
        <v>0</v>
      </c>
      <c r="P21" s="628" t="n">
        <f aca="false">RES!L19</f>
        <v>-0.300000000046566</v>
      </c>
      <c r="Q21" s="641"/>
      <c r="R21" s="641"/>
      <c r="S21" s="630"/>
      <c r="T21" s="631" t="n">
        <f aca="false">P21-N21+Q21+R21+S21</f>
        <v>-0.300000000046566</v>
      </c>
      <c r="U21" s="632" t="n">
        <f aca="false">VEN!P60</f>
        <v>0.263592938657216</v>
      </c>
      <c r="V21" s="633" t="n">
        <f aca="false">T21*U21</f>
        <v>-0.0790778816094392</v>
      </c>
      <c r="W21" s="634" t="n">
        <f aca="false">RES!K19-N21</f>
        <v>996567.1</v>
      </c>
      <c r="X21" s="644" t="n">
        <f aca="false">U21*W21</f>
        <v>262688.050458099</v>
      </c>
    </row>
    <row r="22" customFormat="false" ht="14.25" hidden="false" customHeight="false" outlineLevel="0" collapsed="false">
      <c r="A22" s="636" t="str">
        <f aca="false">'COM.'!A20</f>
        <v>Quenia</v>
      </c>
      <c r="B22" s="622"/>
      <c r="C22" s="623"/>
      <c r="D22" s="622"/>
      <c r="E22" s="623"/>
      <c r="F22" s="622"/>
      <c r="G22" s="623"/>
      <c r="H22" s="622"/>
      <c r="I22" s="623"/>
      <c r="J22" s="637" t="n">
        <f aca="false">SUMIFS(VEN!$R$142:$R$2063,VEN!$G$142:$G$2063,A22,VEN!$J$142:$J$2063,"Golden")+SUMIFS('ANT.'!$Q$4:$Q$36,'ANT.'!$F$4:$F$36,'SAL.(3)'!A22,'ANT.'!$I$4:$I$36,"Golden")</f>
        <v>0</v>
      </c>
      <c r="K22" s="638" t="n">
        <f aca="false">J22/22.5</f>
        <v>0</v>
      </c>
      <c r="L22" s="624" t="n">
        <f aca="false">SUMIFS(VEN!$R$142:$R$2063,VEN!$G$142:$G$2063,A22,VEN!$J$142:$J$2063,"Podium")+SUMIFS('ANT.'!$Q$4:$Q$36,'ANT.'!$F$4:$F$36,'SAL.(3)'!A22,'ANT.'!$I$4:$I$36,"Podium")</f>
        <v>0</v>
      </c>
      <c r="M22" s="639" t="n">
        <f aca="false">L22/37.5</f>
        <v>0</v>
      </c>
      <c r="N22" s="626" t="n">
        <f aca="false">B22+J22+L22+D22+H22+F22</f>
        <v>0</v>
      </c>
      <c r="O22" s="627" t="n">
        <f aca="false">C22+K22+M22+E22+I22+G22</f>
        <v>0</v>
      </c>
      <c r="P22" s="628" t="n">
        <f aca="false">RES!L20</f>
        <v>285747.2</v>
      </c>
      <c r="Q22" s="641"/>
      <c r="R22" s="641"/>
      <c r="S22" s="630" t="n">
        <f aca="false">'COM.'!W20</f>
        <v>0.100000000034925</v>
      </c>
      <c r="T22" s="631" t="n">
        <f aca="false">P22-N22+Q22+R22+S22</f>
        <v>285747.3</v>
      </c>
      <c r="U22" s="632" t="n">
        <v>0.4925</v>
      </c>
      <c r="V22" s="633" t="n">
        <f aca="false">T22*U22</f>
        <v>140730.54525</v>
      </c>
      <c r="W22" s="634" t="n">
        <f aca="false">RES!K20-N22</f>
        <v>315524.114</v>
      </c>
      <c r="X22" s="644" t="n">
        <f aca="false">U22*W22</f>
        <v>155395.626145</v>
      </c>
    </row>
    <row r="23" customFormat="false" ht="14.25" hidden="false" customHeight="false" outlineLevel="0" collapsed="false">
      <c r="A23" s="636" t="s">
        <v>2144</v>
      </c>
      <c r="B23" s="622"/>
      <c r="C23" s="623"/>
      <c r="D23" s="622"/>
      <c r="E23" s="623"/>
      <c r="F23" s="622"/>
      <c r="G23" s="623"/>
      <c r="H23" s="622"/>
      <c r="I23" s="623"/>
      <c r="J23" s="637"/>
      <c r="K23" s="638"/>
      <c r="L23" s="624"/>
      <c r="M23" s="639" t="n">
        <f aca="false">L23/1</f>
        <v>0</v>
      </c>
      <c r="N23" s="626" t="n">
        <f aca="false">B23+J23+L23+D23+H23+F23</f>
        <v>0</v>
      </c>
      <c r="O23" s="627" t="n">
        <f aca="false">C23+K23+M23+E23+I23+G23</f>
        <v>0</v>
      </c>
      <c r="P23" s="628" t="n">
        <f aca="false">RES!L21</f>
        <v>0</v>
      </c>
      <c r="Q23" s="641"/>
      <c r="R23" s="641"/>
      <c r="S23" s="630"/>
      <c r="T23" s="631" t="n">
        <f aca="false">P23-N23+Q23+R23+S23</f>
        <v>0</v>
      </c>
      <c r="U23" s="632" t="n">
        <v>0</v>
      </c>
      <c r="V23" s="633" t="n">
        <f aca="false">T23*U23</f>
        <v>0</v>
      </c>
      <c r="W23" s="634" t="n">
        <f aca="false">RES!K21-N23</f>
        <v>0</v>
      </c>
      <c r="X23" s="644" t="n">
        <f aca="false">U23*W23</f>
        <v>0</v>
      </c>
    </row>
    <row r="24" customFormat="false" ht="14.25" hidden="false" customHeight="false" outlineLevel="0" collapsed="false">
      <c r="A24" s="636" t="str">
        <f aca="false">'COM.'!A21</f>
        <v>Sorgo</v>
      </c>
      <c r="B24" s="622"/>
      <c r="C24" s="623"/>
      <c r="D24" s="622"/>
      <c r="E24" s="623"/>
      <c r="F24" s="622"/>
      <c r="G24" s="623"/>
      <c r="H24" s="622"/>
      <c r="I24" s="623"/>
      <c r="J24" s="637" t="n">
        <f aca="false">SUMIFS(VEN!$R$142:$R$2063,VEN!$G$142:$G$2063,A24,VEN!$J$142:$J$2063,"Golden")+SUMIFS('ANT.'!$Q$4:$Q$36,'ANT.'!$F$4:$F$36,[3]sal!a23,'ANT.'!$I$4:$I$36,"Golden")</f>
        <v>0</v>
      </c>
      <c r="K24" s="638" t="n">
        <f aca="false">J24/1</f>
        <v>0</v>
      </c>
      <c r="L24" s="624" t="n">
        <f aca="false">SUMIFS(VEN!$R$142:$R$2063,VEN!$G$142:$G$2063,A24,VEN!$J$142:$J$2063,"Podium")+SUMIFS('ANT.'!$Q$4:$Q$36,'ANT.'!$F$4:$F$36,'SAL.(3)'!A24,'ANT.'!$I$4:$I$36,"Podium")</f>
        <v>0</v>
      </c>
      <c r="M24" s="639" t="n">
        <f aca="false">L24/1</f>
        <v>0</v>
      </c>
      <c r="N24" s="626" t="n">
        <f aca="false">B24+J24+L24+D24+H24+F24</f>
        <v>0</v>
      </c>
      <c r="O24" s="627" t="n">
        <f aca="false">C24+K24+M24+E24+I24+G24</f>
        <v>0</v>
      </c>
      <c r="P24" s="628" t="n">
        <f aca="false">RES!L22</f>
        <v>4082</v>
      </c>
      <c r="Q24" s="641"/>
      <c r="R24" s="641"/>
      <c r="S24" s="630"/>
      <c r="T24" s="631" t="n">
        <f aca="false">P24-N24+Q24+R24+S24</f>
        <v>4082</v>
      </c>
      <c r="U24" s="632" t="n">
        <v>0</v>
      </c>
      <c r="V24" s="633" t="n">
        <f aca="false">T24*U24</f>
        <v>0</v>
      </c>
      <c r="W24" s="634" t="n">
        <f aca="false">RES!K22-N24</f>
        <v>4435</v>
      </c>
      <c r="X24" s="647" t="n">
        <f aca="false">U24*W24</f>
        <v>0</v>
      </c>
    </row>
    <row r="25" customFormat="false" ht="14.25" hidden="false" customHeight="false" outlineLevel="0" collapsed="false">
      <c r="A25" s="636" t="str">
        <f aca="false">'COM.'!A22</f>
        <v>Crotalaria</v>
      </c>
      <c r="B25" s="622" t="n">
        <f aca="false">SUMIFS('ANT.'!$Q$4:$Q$36,'ANT.'!$F$4:$F$36,A25,'ANT.'!$I$4:$I$36,"Comum",'ANT.'!$H$4:$H$36,40)+SUMIFS(VEN!$R$142:$R$2063,VEN!$G$142:$G$2063,A25,VEN!$J$142:$J$2063,"Comum",VEN!$I$142:$I$2063,40)</f>
        <v>0</v>
      </c>
      <c r="C25" s="623" t="n">
        <f aca="false">SUMIFS('ANT.'!$O$4:$O$36,'ANT.'!$F$4:$F$36,A25,'ANT.'!$I$4:$I$36,"Comum",'ANT.'!$H$4:$H$36,40)+SUMIFS(VEN!$P$142:$P$2063,VEN!$G$142:$G$2063,A25,VEN!$J$142:$J$2063,"Comum",VEN!$I$142:$I$2063,40)</f>
        <v>0</v>
      </c>
      <c r="D25" s="622"/>
      <c r="E25" s="623"/>
      <c r="F25" s="622" t="n">
        <f aca="false">SUMIFS('ANT.'!$Q$4:$Q$36,'ANT.'!$F$4:$F$36,A25,'ANT.'!$I$4:$I$36,"Comum",'ANT.'!$H$4:$H$36,55)+SUMIFS(VEN!$R$142:$R$2063,VEN!$G$142:$G$2063,A25,VEN!$J$142:$J$2063,"Comum",VEN!$I$142:$I$2063,55)</f>
        <v>0</v>
      </c>
      <c r="G25" s="623" t="n">
        <f aca="false">SUMIFS('ANT.'!$O$4:$O$36,'ANT.'!$F$4:$F$36,A25,'ANT.'!$I$4:$I$36,"Comum",'ANT.'!$H$4:$H$36,55)+SUMIFS(VEN!$P$142:$P$2063,VEN!$G$142:$G$2063,A25,VEN!$J$142:$J$2063,"Comum",VEN!$I$142:$I$2063,55)</f>
        <v>0</v>
      </c>
      <c r="H25" s="622"/>
      <c r="I25" s="623"/>
      <c r="J25" s="637" t="n">
        <f aca="false">SUMIFS(VEN!$R$142:$R$2063,VEN!$G$142:$G$2063,A25,VEN!$J$142:$J$2063,"Golden")+SUMIFS('ANT.'!$Q$4:$Q$36,'ANT.'!$F$4:$F$36,[3]sal!a24,'ANT.'!$I$4:$I$36,"Golden")</f>
        <v>0</v>
      </c>
      <c r="K25" s="638" t="n">
        <f aca="false">J25/1</f>
        <v>0</v>
      </c>
      <c r="L25" s="624" t="n">
        <f aca="false">SUMIFS(VEN!$R$142:$R$2063,VEN!$G$142:$G$2063,A25,VEN!$J$142:$J$2063,"Podium")+SUMIFS('ANT.'!$Q$4:$Q$36,'ANT.'!$F$4:$F$36,'SAL.(3)'!A25,'ANT.'!$I$4:$I$36,"Podium")</f>
        <v>0</v>
      </c>
      <c r="M25" s="639" t="n">
        <f aca="false">L25/1</f>
        <v>0</v>
      </c>
      <c r="N25" s="626" t="n">
        <f aca="false">B25+J25+L25+D25+H25+F25</f>
        <v>0</v>
      </c>
      <c r="O25" s="627" t="n">
        <f aca="false">C25+K25+M25+E25+I25+G25</f>
        <v>0</v>
      </c>
      <c r="P25" s="628" t="n">
        <f aca="false">RES!L23</f>
        <v>4554</v>
      </c>
      <c r="Q25" s="641"/>
      <c r="R25" s="641"/>
      <c r="S25" s="630"/>
      <c r="T25" s="631" t="n">
        <f aca="false">P25-N25+Q25+R25+S25</f>
        <v>4554</v>
      </c>
      <c r="U25" s="632" t="n">
        <v>0</v>
      </c>
      <c r="V25" s="633" t="n">
        <f aca="false">T25*U25</f>
        <v>0</v>
      </c>
      <c r="W25" s="634" t="n">
        <f aca="false">RES!K23-N25</f>
        <v>4554</v>
      </c>
      <c r="X25" s="647" t="n">
        <f aca="false">U25*W25</f>
        <v>0</v>
      </c>
    </row>
    <row r="26" customFormat="false" ht="14.25" hidden="false" customHeight="false" outlineLevel="0" collapsed="false">
      <c r="A26" s="636" t="str">
        <f aca="false">'COM.'!A23</f>
        <v>Estilosantes</v>
      </c>
      <c r="B26" s="650" t="n">
        <f aca="false">SUMIFS('ANT.'!$Q$4:$Q$36,'ANT.'!$F$4:$F$36,A26,'ANT.'!$I$4:$I$36,"Comum",'ANT.'!$H$4:$H$36,1)+SUMIFS(VEN!$R$142:$R$2063,VEN!$G$142:$G$2063,A26,VEN!$J$142:$J$2063,"Comum",VEN!$I$142:$I$2063,1)</f>
        <v>0</v>
      </c>
      <c r="C26" s="651" t="n">
        <f aca="false">SUMIFS('ANT.'!$O$4:$O$36,'ANT.'!$F$4:$F$36,A26,'ANT.'!$I$4:$I$36,"Comum",'ANT.'!$H$4:$H$36,1)+SUMIFS(VEN!$P$142:$P$2063,VEN!$G$142:$G$2063,A26,VEN!$J$142:$J$2063,"Comum",VEN!$I$142:$I$2063,1)</f>
        <v>0</v>
      </c>
      <c r="D26" s="650"/>
      <c r="E26" s="651"/>
      <c r="F26" s="650"/>
      <c r="G26" s="651"/>
      <c r="H26" s="650"/>
      <c r="I26" s="652"/>
      <c r="J26" s="637" t="n">
        <f aca="false">SUMIFS(VEN!$R$142:$R$2063,VEN!$G$142:$G$2063,A26,VEN!$J$142:$J$2063,"Golden")+SUMIFS('ANT.'!$Q$4:$Q$36,'ANT.'!$F$4:$F$36,[3]sal!a25,'ANT.'!$I$4:$I$36,"Golden")</f>
        <v>0</v>
      </c>
      <c r="K26" s="638" t="n">
        <f aca="false">J26/1</f>
        <v>0</v>
      </c>
      <c r="L26" s="624" t="n">
        <f aca="false">SUMIFS(VEN!$R$142:$R$2063,VEN!$G$142:$G$2063,A26,VEN!$J$142:$J$2063,"Podium")+SUMIFS('ANT.'!$Q$4:$Q$36,'ANT.'!$F$4:$F$36,'SAL.(3)'!A26,'ANT.'!$I$4:$I$36,"Podium")</f>
        <v>0</v>
      </c>
      <c r="M26" s="639" t="n">
        <f aca="false">L26/1</f>
        <v>0</v>
      </c>
      <c r="N26" s="626" t="n">
        <f aca="false">B26+J26+L26+D26+H26+F26</f>
        <v>0</v>
      </c>
      <c r="O26" s="627" t="n">
        <f aca="false">C26+K26+M26+E26+I26+G26</f>
        <v>0</v>
      </c>
      <c r="P26" s="628" t="n">
        <f aca="false">RES!L24</f>
        <v>6060</v>
      </c>
      <c r="Q26" s="653"/>
      <c r="R26" s="653"/>
      <c r="S26" s="654" t="n">
        <f aca="false">'COM.'!W23</f>
        <v>0</v>
      </c>
      <c r="T26" s="631" t="n">
        <f aca="false">P26-N26+Q26+R26+S26</f>
        <v>6060</v>
      </c>
      <c r="U26" s="655" t="n">
        <f aca="false">VEN!T64</f>
        <v>40.7651752147878</v>
      </c>
      <c r="V26" s="633" t="n">
        <f aca="false">T26*U26</f>
        <v>247036.961801614</v>
      </c>
      <c r="W26" s="634" t="n">
        <f aca="false">RES!K24-N26</f>
        <v>8190</v>
      </c>
      <c r="X26" s="656" t="n">
        <f aca="false">U26*W26</f>
        <v>333866.785009112</v>
      </c>
    </row>
    <row r="27" customFormat="false" ht="14.25" hidden="false" customHeight="false" outlineLevel="0" collapsed="false">
      <c r="A27" s="636" t="str">
        <f aca="false">'COM.'!A24</f>
        <v>Milheto</v>
      </c>
      <c r="B27" s="650" t="n">
        <f aca="false">SUMIFS('ANT.'!$Q$4:$Q$36,'ANT.'!$F$4:$F$36,A27,'ANT.'!$I$4:$I$36,"Comum",'ANT.'!$H$4:$H$36,1)+SUMIFS(VEN!$R$142:$R$2063,VEN!$G$142:$G$2063,A27,VEN!$J$142:$J$2063,"Comum",VEN!$I$142:$I$2063,1)</f>
        <v>300</v>
      </c>
      <c r="C27" s="651" t="n">
        <f aca="false">SUMIFS('ANT.'!$O$4:$O$36,'ANT.'!$F$4:$F$36,A27,'ANT.'!$I$4:$I$36,"Comum",'ANT.'!$H$4:$H$36,1)+SUMIFS(VEN!$P$142:$P$2063,VEN!$G$142:$G$2063,A27,VEN!$J$142:$J$2063,"Comum",VEN!$I$142:$I$2063,1)</f>
        <v>300</v>
      </c>
      <c r="D27" s="650"/>
      <c r="E27" s="651"/>
      <c r="F27" s="650"/>
      <c r="G27" s="651"/>
      <c r="H27" s="650"/>
      <c r="I27" s="652"/>
      <c r="J27" s="637" t="n">
        <f aca="false">SUMIFS(VEN!$R$142:$R$2063,VEN!$G$142:$G$2063,A27,VEN!$J$142:$J$2063,"Golden")+SUMIFS('ANT.'!$Q$4:$Q$36,'ANT.'!$F$4:$F$36,[3]sal!a26,'ANT.'!$I$4:$I$36,"Golden")</f>
        <v>0</v>
      </c>
      <c r="K27" s="638" t="n">
        <f aca="false">J27/1</f>
        <v>0</v>
      </c>
      <c r="L27" s="624" t="n">
        <f aca="false">SUMIFS(VEN!$R$142:$R$2063,VEN!$G$142:$G$2063,A27,VEN!$J$142:$J$2063,"Podium")+SUMIFS('ANT.'!$Q$4:$Q$36,'ANT.'!$F$4:$F$36,'SAL.(3)'!A27,'ANT.'!$I$4:$I$36,"Podium")</f>
        <v>0</v>
      </c>
      <c r="M27" s="639" t="n">
        <f aca="false">L27/1</f>
        <v>0</v>
      </c>
      <c r="N27" s="626" t="n">
        <f aca="false">B27+J27+L27+D27+H27+F27</f>
        <v>300</v>
      </c>
      <c r="O27" s="627" t="n">
        <f aca="false">C27+K27+M27+E27+I27+G27</f>
        <v>300</v>
      </c>
      <c r="P27" s="628" t="n">
        <f aca="false">RES!L25</f>
        <v>9055</v>
      </c>
      <c r="Q27" s="653"/>
      <c r="R27" s="653"/>
      <c r="S27" s="654" t="n">
        <f aca="false">'COM.'!W24</f>
        <v>0</v>
      </c>
      <c r="T27" s="631" t="n">
        <f aca="false">P27-N27+Q27+R27+S27</f>
        <v>8755</v>
      </c>
      <c r="U27" s="655" t="n">
        <f aca="false">VEN!T65</f>
        <v>5.25452841072974</v>
      </c>
      <c r="V27" s="642" t="n">
        <f aca="false">T27*U27</f>
        <v>46003.3962359389</v>
      </c>
      <c r="W27" s="634" t="n">
        <f aca="false">RES!K25-N27</f>
        <v>8755</v>
      </c>
      <c r="X27" s="657" t="n">
        <f aca="false">U27*W27</f>
        <v>46003.3962359389</v>
      </c>
    </row>
    <row r="28" customFormat="false" ht="14.25" hidden="false" customHeight="false" outlineLevel="0" collapsed="false">
      <c r="A28" s="636" t="str">
        <f aca="false">'COM.'!A25</f>
        <v>Sudão</v>
      </c>
      <c r="B28" s="650"/>
      <c r="C28" s="651"/>
      <c r="D28" s="650"/>
      <c r="E28" s="651"/>
      <c r="F28" s="650"/>
      <c r="G28" s="651"/>
      <c r="H28" s="650"/>
      <c r="I28" s="652"/>
      <c r="J28" s="637" t="n">
        <f aca="false">SUMIFS(VEN!$R$142:$R$2063,VEN!$G$142:$G$2063,A28,VEN!$J$142:$J$2063,"Golden")+SUMIFS('ANT.'!$Q$4:$Q$36,'ANT.'!$F$4:$F$36,[3]sal!a27,'ANT.'!$I$4:$I$36,"Golden")</f>
        <v>0</v>
      </c>
      <c r="K28" s="638" t="n">
        <f aca="false">J28/1</f>
        <v>0</v>
      </c>
      <c r="L28" s="624" t="n">
        <f aca="false">SUMIFS(VEN!$R$142:$R$2063,VEN!$G$142:$G$2063,A28,VEN!$J$142:$J$2063,"Podium")+SUMIFS('ANT.'!$Q$4:$Q$36,'ANT.'!$F$4:$F$36,'SAL.(3)'!A28,'ANT.'!$I$4:$I$36,"Podium")</f>
        <v>0</v>
      </c>
      <c r="M28" s="639" t="n">
        <f aca="false">L28/1</f>
        <v>0</v>
      </c>
      <c r="N28" s="626" t="n">
        <f aca="false">B28+J28+L28+D28+H28+F28</f>
        <v>0</v>
      </c>
      <c r="O28" s="627" t="n">
        <f aca="false">C28+K28+M28+E28+I28+G28</f>
        <v>0</v>
      </c>
      <c r="P28" s="628" t="n">
        <f aca="false">RES!L26</f>
        <v>15711</v>
      </c>
      <c r="Q28" s="653"/>
      <c r="R28" s="653"/>
      <c r="S28" s="654"/>
      <c r="T28" s="631" t="n">
        <f aca="false">P28-N28+Q28+R28+S28</f>
        <v>15711</v>
      </c>
      <c r="U28" s="655" t="n">
        <v>0</v>
      </c>
      <c r="V28" s="633" t="n">
        <f aca="false">T28*U28</f>
        <v>0</v>
      </c>
      <c r="W28" s="634" t="n">
        <f aca="false">RES!K26-N28</f>
        <v>15711</v>
      </c>
      <c r="X28" s="656" t="n">
        <f aca="false">U28*W28</f>
        <v>0</v>
      </c>
    </row>
    <row r="29" customFormat="false" ht="14.25" hidden="false" customHeight="false" outlineLevel="0" collapsed="false">
      <c r="A29" s="636" t="str">
        <f aca="false">'COM.'!A26</f>
        <v>Andropogon</v>
      </c>
      <c r="B29" s="658" t="n">
        <f aca="false">SUMIFS('ANT.'!$Q$4:$Q$36,'ANT.'!$F$4:$F$36,A29,'ANT.'!$I$4:$I$36,"Comum",'ANT.'!$H$4:$H$36,1)+SUMIFS(VEN!$R$142:$R$2063,VEN!$G$142:$G$2063,A29,VEN!$J$142:$J$2063,"Comum",VEN!$I$142:$I$2063,1)</f>
        <v>0</v>
      </c>
      <c r="C29" s="659" t="n">
        <f aca="false">SUMIFS('ANT.'!$O$4:$O$36,'ANT.'!$F$4:$F$36,A29,'ANT.'!$I$4:$I$36,"Comum",'ANT.'!$H$4:$H$36,1)+SUMIFS(VEN!$P$142:$P$2063,VEN!$G$142:$G$2063,A29,VEN!$J$142:$J$2063,"Comum",VEN!$I$142:$I$2063,1)</f>
        <v>0</v>
      </c>
      <c r="D29" s="658"/>
      <c r="E29" s="659"/>
      <c r="F29" s="658"/>
      <c r="G29" s="623"/>
      <c r="H29" s="658"/>
      <c r="I29" s="659"/>
      <c r="J29" s="637" t="n">
        <f aca="false">SUMIFS(VEN!$R$142:$R$2063,VEN!$G$142:$G$2063,A29,VEN!$J$142:$J$2063,"Golden")+SUMIFS('ANT.'!$Q$4:$Q$36,'ANT.'!$F$4:$F$36,[3]sal!a28,'ANT.'!$I$4:$I$36,"Golden")</f>
        <v>0</v>
      </c>
      <c r="K29" s="660" t="n">
        <f aca="false">J29/1</f>
        <v>0</v>
      </c>
      <c r="L29" s="661" t="n">
        <f aca="false">SUMIFS(VEN!$R$142:$R$2063,VEN!$G$142:$G$2063,A29,VEN!$J$142:$J$2063,"Podium")+SUMIFS('ANT.'!$Q$4:$Q$36,'ANT.'!$F$4:$F$36,'SAL.(3)'!A29,'ANT.'!$I$4:$I$36,"Podium")</f>
        <v>0</v>
      </c>
      <c r="M29" s="639" t="n">
        <f aca="false">L29/1</f>
        <v>0</v>
      </c>
      <c r="N29" s="626" t="n">
        <f aca="false">B29+J29+L29+D29+H29+F29</f>
        <v>0</v>
      </c>
      <c r="O29" s="627" t="n">
        <f aca="false">C29+K29+M29+E29+I29+G29</f>
        <v>0</v>
      </c>
      <c r="P29" s="628" t="n">
        <f aca="false">RES!L27</f>
        <v>11322</v>
      </c>
      <c r="Q29" s="662"/>
      <c r="R29" s="662"/>
      <c r="S29" s="630"/>
      <c r="T29" s="631" t="n">
        <f aca="false">P29-N29+Q29+R29+S29</f>
        <v>11322</v>
      </c>
      <c r="U29" s="663" t="n">
        <v>0</v>
      </c>
      <c r="V29" s="633" t="n">
        <f aca="false">T29*U29</f>
        <v>0</v>
      </c>
      <c r="W29" s="634" t="n">
        <f aca="false">RES!K27-N29</f>
        <v>11322</v>
      </c>
      <c r="X29" s="644" t="n">
        <f aca="false">U29*W29</f>
        <v>0</v>
      </c>
    </row>
    <row r="30" customFormat="false" ht="14.25" hidden="false" customHeight="false" outlineLevel="0" collapsed="false">
      <c r="A30" s="141" t="s">
        <v>25</v>
      </c>
      <c r="B30" s="664" t="n">
        <f aca="false">SUM(B6:B29)</f>
        <v>7300</v>
      </c>
      <c r="C30" s="665" t="n">
        <f aca="false">SUM(C6:C29)</f>
        <v>475</v>
      </c>
      <c r="D30" s="664" t="n">
        <f aca="false">SUM(D6:D29)</f>
        <v>10500</v>
      </c>
      <c r="E30" s="665" t="n">
        <f aca="false">SUM(E6:E29)</f>
        <v>175</v>
      </c>
      <c r="F30" s="664" t="n">
        <f aca="false">SUM(F6:F29)</f>
        <v>0</v>
      </c>
      <c r="G30" s="665" t="n">
        <f aca="false">SUM(G6:G29)</f>
        <v>0</v>
      </c>
      <c r="H30" s="664" t="n">
        <f aca="false">SUM(H6:H29)</f>
        <v>32913000</v>
      </c>
      <c r="I30" s="665" t="n">
        <f aca="false">SUM(I6:I29)</f>
        <v>365700</v>
      </c>
      <c r="J30" s="664" t="n">
        <f aca="false">SUM(J6:J29)</f>
        <v>1314997.95</v>
      </c>
      <c r="K30" s="665" t="n">
        <f aca="false">SUM(K6:K29)</f>
        <v>51790</v>
      </c>
      <c r="L30" s="664" t="n">
        <f aca="false">SUM(L6:L29)</f>
        <v>2605288.5</v>
      </c>
      <c r="M30" s="665" t="n">
        <f aca="false">SUM(M6:M29)</f>
        <v>67215</v>
      </c>
      <c r="N30" s="664" t="n">
        <f aca="false">SUM(N6:N29)</f>
        <v>36851086.45</v>
      </c>
      <c r="O30" s="665" t="n">
        <f aca="false">SUM(O6:O29)</f>
        <v>485355</v>
      </c>
      <c r="P30" s="666" t="n">
        <f aca="false">SUM(P6:P29)</f>
        <v>8737308.5728</v>
      </c>
      <c r="Q30" s="667" t="n">
        <f aca="false">SUM(Q6:Q29)</f>
        <v>0</v>
      </c>
      <c r="R30" s="667" t="n">
        <f aca="false">SUM(R6:R29)</f>
        <v>0</v>
      </c>
      <c r="S30" s="667" t="n">
        <f aca="false">SUM(S6:S29)</f>
        <v>0.741399359947536</v>
      </c>
      <c r="T30" s="668" t="n">
        <f aca="false">SUM(T6:T29)</f>
        <v>-28113777.1358006</v>
      </c>
      <c r="U30" s="669" t="n">
        <f aca="false">V30/T30</f>
        <v>0.137006171752365</v>
      </c>
      <c r="V30" s="670" t="n">
        <f aca="false">SUM(V6:V29)</f>
        <v>-3851760.97887522</v>
      </c>
      <c r="W30" s="671" t="n">
        <f aca="false">SUM(W6:W29)</f>
        <v>-9360795.91815687</v>
      </c>
      <c r="X30" s="672" t="n">
        <f aca="false">SUM(X6:X29)</f>
        <v>4426420.69949405</v>
      </c>
    </row>
    <row r="31" customFormat="false" ht="14.25" hidden="false" customHeight="false" outlineLevel="0" collapsed="false">
      <c r="A31" s="673"/>
      <c r="B31" s="674"/>
      <c r="C31" s="674"/>
      <c r="D31" s="674"/>
      <c r="E31" s="674"/>
      <c r="F31" s="674"/>
      <c r="G31" s="674"/>
      <c r="H31" s="674"/>
      <c r="I31" s="674"/>
      <c r="J31" s="675"/>
      <c r="K31" s="675"/>
      <c r="L31" s="676"/>
      <c r="M31" s="676"/>
      <c r="P31" s="456" t="s">
        <v>2145</v>
      </c>
      <c r="S31" s="677" t="n">
        <f aca="false">-N12</f>
        <v>0</v>
      </c>
      <c r="U31" s="9"/>
      <c r="W31" s="678"/>
      <c r="X31" s="679"/>
      <c r="Y31" s="678"/>
    </row>
    <row r="32" customFormat="false" ht="14.25" hidden="false" customHeight="false" outlineLevel="0" collapsed="false">
      <c r="A32" s="673"/>
      <c r="B32" s="674"/>
      <c r="C32" s="674"/>
      <c r="D32" s="674"/>
      <c r="E32" s="674"/>
      <c r="F32" s="674"/>
      <c r="G32" s="674"/>
      <c r="H32" s="674"/>
      <c r="I32" s="674"/>
      <c r="J32" s="675"/>
      <c r="K32" s="675"/>
      <c r="L32" s="676"/>
      <c r="M32" s="676"/>
      <c r="P32" s="456" t="s">
        <v>2146</v>
      </c>
      <c r="S32" s="680" t="n">
        <f aca="false">P12</f>
        <v>88440.002</v>
      </c>
      <c r="U32" s="463"/>
      <c r="W32" s="678"/>
      <c r="X32" s="679"/>
      <c r="Y32" s="678"/>
    </row>
    <row r="33" customFormat="false" ht="14.25" hidden="false" customHeight="false" outlineLevel="0" collapsed="false">
      <c r="A33" s="673"/>
      <c r="B33" s="674"/>
      <c r="C33" s="674"/>
      <c r="D33" s="674"/>
      <c r="E33" s="674"/>
      <c r="F33" s="674"/>
      <c r="G33" s="674"/>
      <c r="H33" s="674"/>
      <c r="I33" s="674"/>
      <c r="J33" s="675"/>
      <c r="K33" s="675"/>
      <c r="L33" s="676"/>
      <c r="M33" s="676"/>
      <c r="P33" s="456"/>
      <c r="S33" s="677" t="n">
        <f aca="false">S31+S32</f>
        <v>88440.002</v>
      </c>
      <c r="U33" s="463"/>
      <c r="W33" s="678"/>
      <c r="X33" s="679"/>
      <c r="Y33" s="678"/>
    </row>
    <row r="34" customFormat="false" ht="14.25" hidden="false" customHeight="false" outlineLevel="0" collapsed="false">
      <c r="A34" s="673"/>
      <c r="B34" s="674"/>
      <c r="C34" s="674"/>
      <c r="D34" s="674"/>
      <c r="E34" s="674"/>
      <c r="F34" s="674"/>
      <c r="G34" s="674"/>
      <c r="H34" s="674"/>
      <c r="I34" s="674"/>
      <c r="J34" s="675"/>
      <c r="K34" s="675"/>
      <c r="L34" s="676"/>
      <c r="M34" s="676"/>
      <c r="P34" s="681"/>
      <c r="Q34" s="682" t="s">
        <v>2147</v>
      </c>
      <c r="R34" s="682"/>
      <c r="S34" s="681"/>
      <c r="U34" s="463"/>
      <c r="V34" s="44" t="s">
        <v>1325</v>
      </c>
      <c r="W34" s="678"/>
      <c r="X34" s="679"/>
      <c r="Y34" s="678"/>
    </row>
    <row r="35" customFormat="false" ht="14.25" hidden="false" customHeight="true" outlineLevel="0" collapsed="false">
      <c r="A35" s="673"/>
      <c r="B35" s="674"/>
      <c r="C35" s="674"/>
      <c r="D35" s="674"/>
      <c r="E35" s="674"/>
      <c r="F35" s="674"/>
      <c r="G35" s="674"/>
      <c r="H35" s="674"/>
      <c r="I35" s="674"/>
      <c r="J35" s="675"/>
      <c r="K35" s="675"/>
      <c r="L35" s="676"/>
      <c r="M35" s="676"/>
      <c r="O35" s="683" t="s">
        <v>2145</v>
      </c>
      <c r="P35" s="97" t="n">
        <v>0</v>
      </c>
      <c r="Q35" s="246" t="n">
        <v>30</v>
      </c>
      <c r="R35" s="246"/>
      <c r="S35" s="677" t="n">
        <f aca="false">-P35*Q35</f>
        <v>0</v>
      </c>
      <c r="U35" s="463"/>
      <c r="W35" s="678"/>
      <c r="X35" s="679"/>
      <c r="Y35" s="678"/>
    </row>
    <row r="36" customFormat="false" ht="14.25" hidden="false" customHeight="false" outlineLevel="0" collapsed="false">
      <c r="A36" s="684"/>
      <c r="B36" s="685"/>
      <c r="C36" s="685"/>
      <c r="D36" s="685"/>
      <c r="E36" s="685"/>
      <c r="F36" s="685"/>
      <c r="G36" s="685"/>
      <c r="H36" s="685"/>
      <c r="I36" s="685"/>
      <c r="J36" s="675"/>
      <c r="K36" s="675"/>
      <c r="L36" s="686"/>
      <c r="M36" s="686"/>
      <c r="N36" s="687"/>
      <c r="O36" s="683"/>
      <c r="P36" s="97" t="n">
        <f aca="false">K12</f>
        <v>0</v>
      </c>
      <c r="Q36" s="688" t="n">
        <v>14</v>
      </c>
      <c r="R36" s="688"/>
      <c r="S36" s="677" t="n">
        <f aca="false">-P36*Q36</f>
        <v>0</v>
      </c>
      <c r="U36" s="689"/>
      <c r="V36" s="9"/>
    </row>
    <row r="37" customFormat="false" ht="14.25" hidden="false" customHeight="false" outlineLevel="0" collapsed="false">
      <c r="A37" s="684"/>
      <c r="B37" s="685"/>
      <c r="C37" s="685"/>
      <c r="D37" s="685"/>
      <c r="E37" s="685"/>
      <c r="F37" s="685"/>
      <c r="G37" s="685"/>
      <c r="H37" s="685"/>
      <c r="I37" s="685"/>
      <c r="J37" s="675"/>
      <c r="K37" s="675"/>
      <c r="L37" s="686"/>
      <c r="M37" s="686"/>
      <c r="N37" s="687"/>
      <c r="O37" s="690"/>
      <c r="P37" s="97" t="n">
        <f aca="false">M12</f>
        <v>0</v>
      </c>
      <c r="Q37" s="688" t="n">
        <v>30</v>
      </c>
      <c r="R37" s="688"/>
      <c r="S37" s="677" t="n">
        <f aca="false">-P37*Q37</f>
        <v>0</v>
      </c>
      <c r="U37" s="689"/>
      <c r="V37" s="9"/>
    </row>
    <row r="38" customFormat="false" ht="14.25" hidden="false" customHeight="false" outlineLevel="0" collapsed="false">
      <c r="A38" s="684"/>
      <c r="B38" s="685"/>
      <c r="C38" s="685"/>
      <c r="D38" s="685"/>
      <c r="E38" s="685"/>
      <c r="F38" s="685"/>
      <c r="G38" s="685"/>
      <c r="H38" s="685"/>
      <c r="I38" s="685"/>
      <c r="J38" s="675"/>
      <c r="K38" s="675"/>
      <c r="L38" s="686"/>
      <c r="M38" s="686"/>
      <c r="N38" s="687"/>
      <c r="O38" s="690"/>
      <c r="P38" s="456" t="s">
        <v>2146</v>
      </c>
      <c r="S38" s="680" t="n">
        <f aca="false">P12</f>
        <v>88440.002</v>
      </c>
    </row>
    <row r="39" customFormat="false" ht="14.25" hidden="false" customHeight="false" outlineLevel="0" collapsed="false">
      <c r="C39" s="688"/>
      <c r="D39" s="688"/>
      <c r="E39" s="688"/>
      <c r="F39" s="688"/>
      <c r="G39" s="688"/>
      <c r="H39" s="688"/>
      <c r="I39" s="688"/>
      <c r="S39" s="677" t="n">
        <f aca="false">S35+S36+S37+S38</f>
        <v>88440.002</v>
      </c>
    </row>
    <row r="42" customFormat="false" ht="14.25" hidden="false" customHeight="false" outlineLevel="0" collapsed="false">
      <c r="V42" s="44" t="s">
        <v>1325</v>
      </c>
    </row>
  </sheetData>
  <mergeCells count="20">
    <mergeCell ref="A1:X2"/>
    <mergeCell ref="A3:A4"/>
    <mergeCell ref="B3:C4"/>
    <mergeCell ref="D3:E4"/>
    <mergeCell ref="F3:G4"/>
    <mergeCell ref="H3:I4"/>
    <mergeCell ref="J3:K4"/>
    <mergeCell ref="L3:M4"/>
    <mergeCell ref="N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Q34:R34"/>
    <mergeCell ref="O35:O36"/>
  </mergeCells>
  <printOptions headings="false" gridLines="false" gridLinesSet="true" horizontalCentered="false" verticalCentered="false"/>
  <pageMargins left="0.196527777777778" right="0.157638888888889" top="0.354861111111111" bottom="0" header="0.315277777777778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&amp;R&amp;D     &amp;T</oddHeader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S90"/>
  <sheetViews>
    <sheetView showFormulas="false" showGridLines="false" showRowColHeaders="true" showZeros="true" rightToLeft="false" tabSelected="false" showOutlineSymbols="true" defaultGridColor="true" view="normal" topLeftCell="A5" colorId="64" zoomScale="80" zoomScaleNormal="80" zoomScalePageLayoutView="100" workbookViewId="0">
      <pane xSplit="1" ySplit="0" topLeftCell="B5" activePane="topRight" state="frozen"/>
      <selection pane="topLeft" activeCell="A5" activeCellId="0" sqref="A5"/>
      <selection pane="topRight" activeCell="G57" activeCellId="0" sqref="G57"/>
    </sheetView>
  </sheetViews>
  <sheetFormatPr defaultColWidth="9.18359375" defaultRowHeight="14.25" zeroHeight="false" outlineLevelRow="0" outlineLevelCol="0"/>
  <cols>
    <col collapsed="false" customWidth="true" hidden="false" outlineLevel="0" max="1" min="1" style="603" width="11.54"/>
    <col collapsed="false" customWidth="true" hidden="false" outlineLevel="0" max="2" min="2" style="603" width="14.73"/>
    <col collapsed="false" customWidth="true" hidden="false" outlineLevel="0" max="3" min="3" style="603" width="15"/>
    <col collapsed="false" customWidth="true" hidden="false" outlineLevel="0" max="4" min="4" style="603" width="15.18"/>
    <col collapsed="false" customWidth="true" hidden="false" outlineLevel="0" max="5" min="5" style="603" width="14.45"/>
    <col collapsed="false" customWidth="true" hidden="false" outlineLevel="0" max="6" min="6" style="603" width="15.54"/>
    <col collapsed="false" customWidth="true" hidden="false" outlineLevel="0" max="7" min="7" style="603" width="16"/>
    <col collapsed="false" customWidth="true" hidden="false" outlineLevel="0" max="8" min="8" style="603" width="16.63"/>
    <col collapsed="false" customWidth="true" hidden="false" outlineLevel="0" max="9" min="9" style="603" width="16.82"/>
    <col collapsed="false" customWidth="true" hidden="false" outlineLevel="0" max="10" min="10" style="314" width="15.82"/>
    <col collapsed="false" customWidth="true" hidden="false" outlineLevel="0" max="12" min="11" style="314" width="15.54"/>
    <col collapsed="false" customWidth="true" hidden="false" outlineLevel="0" max="13" min="13" style="323" width="15.82"/>
    <col collapsed="false" customWidth="true" hidden="false" outlineLevel="0" max="14" min="14" style="44" width="16.18"/>
    <col collapsed="false" customWidth="true" hidden="false" outlineLevel="0" max="15" min="15" style="44" width="12.54"/>
    <col collapsed="false" customWidth="false" hidden="false" outlineLevel="0" max="18" min="16" style="44" width="9.18"/>
    <col collapsed="false" customWidth="true" hidden="false" outlineLevel="0" max="19" min="19" style="44" width="9.54"/>
    <col collapsed="false" customWidth="false" hidden="false" outlineLevel="0" max="16384" min="20" style="44" width="9.18"/>
  </cols>
  <sheetData>
    <row r="1" customFormat="false" ht="15" hidden="false" customHeight="true" outlineLevel="0" collapsed="false">
      <c r="A1" s="604" t="s">
        <v>2148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</row>
    <row r="2" customFormat="false" ht="15.75" hidden="false" customHeight="true" outlineLevel="0" collapsed="false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</row>
    <row r="3" s="162" customFormat="true" ht="57.75" hidden="false" customHeight="true" outlineLevel="0" collapsed="false">
      <c r="A3" s="611" t="s">
        <v>1</v>
      </c>
      <c r="B3" s="691" t="s">
        <v>2121</v>
      </c>
      <c r="C3" s="691" t="s">
        <v>2149</v>
      </c>
      <c r="D3" s="692" t="s">
        <v>2150</v>
      </c>
      <c r="E3" s="692" t="s">
        <v>2151</v>
      </c>
      <c r="F3" s="692" t="s">
        <v>2152</v>
      </c>
      <c r="G3" s="691" t="s">
        <v>2153</v>
      </c>
      <c r="H3" s="693" t="s">
        <v>2154</v>
      </c>
      <c r="I3" s="616" t="s">
        <v>2155</v>
      </c>
      <c r="J3" s="694" t="s">
        <v>2156</v>
      </c>
      <c r="K3" s="695" t="s">
        <v>2157</v>
      </c>
      <c r="L3" s="695" t="s">
        <v>2158</v>
      </c>
      <c r="M3" s="696" t="s">
        <v>2159</v>
      </c>
      <c r="N3" s="696"/>
      <c r="O3" s="696"/>
    </row>
    <row r="4" s="162" customFormat="true" ht="15" hidden="false" customHeight="true" outlineLevel="0" collapsed="false">
      <c r="A4" s="611"/>
      <c r="B4" s="697" t="n">
        <f aca="false">B58/B29</f>
        <v>0.47825249346947</v>
      </c>
      <c r="C4" s="697" t="n">
        <f aca="false">C58/C29</f>
        <v>0.512792380692687</v>
      </c>
      <c r="D4" s="698" t="n">
        <f aca="false">D58/D29</f>
        <v>0.149025050305391</v>
      </c>
      <c r="E4" s="698" t="n">
        <f aca="false">E58/E29</f>
        <v>0.09</v>
      </c>
      <c r="F4" s="698" t="n">
        <f aca="false">F58/F29</f>
        <v>0.180131433409246</v>
      </c>
      <c r="G4" s="699" t="n">
        <f aca="false">H58/G29</f>
        <v>0.134264439682633</v>
      </c>
      <c r="H4" s="693"/>
      <c r="I4" s="616"/>
      <c r="J4" s="700" t="n">
        <f aca="false">J58/J29</f>
        <v>0.315764202537342</v>
      </c>
      <c r="K4" s="695"/>
      <c r="L4" s="695"/>
      <c r="M4" s="701" t="s">
        <v>1675</v>
      </c>
      <c r="N4" s="701" t="s">
        <v>2160</v>
      </c>
      <c r="O4" s="701" t="s">
        <v>2161</v>
      </c>
    </row>
    <row r="5" customFormat="false" ht="14.25" hidden="false" customHeight="false" outlineLevel="0" collapsed="false">
      <c r="A5" s="702" t="str">
        <f aca="false">'COM.'!A4</f>
        <v>Marandú</v>
      </c>
      <c r="B5" s="703" t="n">
        <f aca="false">'EST.'!B4</f>
        <v>682361.389099999</v>
      </c>
      <c r="C5" s="703" t="n">
        <f aca="false">'DEV.'!E4</f>
        <v>358219.92</v>
      </c>
      <c r="D5" s="704" t="n">
        <f aca="false">'PRO.'!B4</f>
        <v>327876.5</v>
      </c>
      <c r="E5" s="704" t="n">
        <f aca="false">'PAR.'!S4</f>
        <v>0</v>
      </c>
      <c r="F5" s="704" t="n">
        <f aca="false">'COM.'!F4</f>
        <v>27763660.4</v>
      </c>
      <c r="G5" s="705" t="n">
        <f aca="false">PG!B1597</f>
        <v>-3808017.4952</v>
      </c>
      <c r="H5" s="706" t="n">
        <f aca="false">B5+C5+D5+F5+G5+E5</f>
        <v>25324100.7139</v>
      </c>
      <c r="I5" s="707" t="n">
        <v>1756822.05</v>
      </c>
      <c r="J5" s="708" t="n">
        <f aca="false">VEN!P5</f>
        <v>23403790.6821</v>
      </c>
      <c r="K5" s="709" t="n">
        <f aca="false">H5-J5-I5</f>
        <v>163487.981799998</v>
      </c>
      <c r="L5" s="709" t="n">
        <f aca="false">K5-'P.L'!P72</f>
        <v>151731.499799998</v>
      </c>
      <c r="M5" s="710" t="n">
        <f aca="false">'SAL.(3)'!W6</f>
        <v>392816.8851</v>
      </c>
      <c r="N5" s="711" t="n">
        <f aca="false">RES!G4+RES!H4+RES!I4+RES!J4</f>
        <v>20458.8</v>
      </c>
      <c r="O5" s="712" t="n">
        <f aca="false">(K5+N5)-M5</f>
        <v>-208870.103300002</v>
      </c>
    </row>
    <row r="6" customFormat="false" ht="14.25" hidden="false" customHeight="false" outlineLevel="0" collapsed="false">
      <c r="A6" s="713" t="str">
        <f aca="false">'COM.'!A5</f>
        <v>Piatã</v>
      </c>
      <c r="B6" s="714" t="n">
        <f aca="false">'EST.'!B5</f>
        <v>351971.59648</v>
      </c>
      <c r="C6" s="714" t="n">
        <f aca="false">'DEV.'!E5</f>
        <v>51674.02</v>
      </c>
      <c r="D6" s="715" t="n">
        <f aca="false">'PRO.'!B5</f>
        <v>308460</v>
      </c>
      <c r="E6" s="715" t="n">
        <f aca="false">'PAR.'!S5</f>
        <v>0</v>
      </c>
      <c r="F6" s="715" t="n">
        <f aca="false">'COM.'!F5</f>
        <v>20851571</v>
      </c>
      <c r="G6" s="716" t="n">
        <f aca="false">PG!C1597</f>
        <v>-1119356.905</v>
      </c>
      <c r="H6" s="717" t="n">
        <f aca="false">B6+C6+D6+E6+F6+G6</f>
        <v>20444319.71148</v>
      </c>
      <c r="I6" s="707" t="n">
        <v>368775</v>
      </c>
      <c r="J6" s="718" t="n">
        <f aca="false">VEN!P9</f>
        <v>20555205</v>
      </c>
      <c r="K6" s="719" t="n">
        <f aca="false">H6-J6-I6</f>
        <v>-479660.288520001</v>
      </c>
      <c r="L6" s="719" t="n">
        <f aca="false">K6-'P.L'!P73</f>
        <v>-468004.398020001</v>
      </c>
      <c r="M6" s="720" t="n">
        <f aca="false">'SAL.(3)'!W7</f>
        <v>405271.9102</v>
      </c>
      <c r="N6" s="711" t="n">
        <f aca="false">RES!G5+RES!H5+RES!I5+RES!J5</f>
        <v>16218</v>
      </c>
      <c r="O6" s="712" t="n">
        <f aca="false">(K6+N6)-M6</f>
        <v>-868714.198720001</v>
      </c>
    </row>
    <row r="7" s="645" customFormat="true" ht="14.25" hidden="false" customHeight="false" outlineLevel="0" collapsed="false">
      <c r="A7" s="713" t="str">
        <f aca="false">'COM.'!A6</f>
        <v>Decumbens</v>
      </c>
      <c r="B7" s="714" t="n">
        <f aca="false">'EST.'!B6</f>
        <v>1091498.146</v>
      </c>
      <c r="C7" s="714" t="n">
        <f aca="false">'DEV.'!E6</f>
        <v>111176.89</v>
      </c>
      <c r="D7" s="715" t="n">
        <v>0</v>
      </c>
      <c r="E7" s="715" t="n">
        <f aca="false">'PAR.'!S6</f>
        <v>0</v>
      </c>
      <c r="F7" s="715" t="n">
        <f aca="false">'COM.'!F6</f>
        <v>2878953.1</v>
      </c>
      <c r="G7" s="716" t="n">
        <f aca="false">PG!D1597</f>
        <v>943986.0291</v>
      </c>
      <c r="H7" s="717" t="n">
        <f aca="false">B7+C7+D7+E7+F7+G7</f>
        <v>5025614.1651</v>
      </c>
      <c r="I7" s="707" t="n">
        <v>1928</v>
      </c>
      <c r="J7" s="718" t="n">
        <f aca="false">VEN!P13</f>
        <v>4512055.86</v>
      </c>
      <c r="K7" s="719" t="n">
        <f aca="false">H7-J7-I7</f>
        <v>511630.3051</v>
      </c>
      <c r="L7" s="719" t="n">
        <f aca="false">K7-'P.L'!P74</f>
        <v>510519.4966</v>
      </c>
      <c r="M7" s="720" t="n">
        <f aca="false">'SAL.(3)'!W8</f>
        <v>746162.46</v>
      </c>
      <c r="N7" s="711" t="n">
        <f aca="false">RES!G6+RES!H6+RES!I6+RES!J6</f>
        <v>92658.4</v>
      </c>
      <c r="O7" s="712" t="n">
        <f aca="false">(K7+N7)-M7</f>
        <v>-141873.7549</v>
      </c>
    </row>
    <row r="8" customFormat="false" ht="14.25" hidden="false" customHeight="false" outlineLevel="0" collapsed="false">
      <c r="A8" s="713" t="s">
        <v>42</v>
      </c>
      <c r="B8" s="714" t="n">
        <f aca="false">'EST.'!B7</f>
        <v>2265237.6095</v>
      </c>
      <c r="C8" s="714" t="n">
        <f aca="false">'DEV.'!E7</f>
        <v>256603.43</v>
      </c>
      <c r="D8" s="715" t="n">
        <f aca="false">'PRO.'!B6</f>
        <v>853106.7</v>
      </c>
      <c r="E8" s="715" t="n">
        <f aca="false">'PAR.'!S7</f>
        <v>0</v>
      </c>
      <c r="F8" s="715" t="n">
        <f aca="false">'COM.'!F7</f>
        <v>8985247.75</v>
      </c>
      <c r="G8" s="716" t="n">
        <f aca="false">PG!E1597</f>
        <v>-405987.862</v>
      </c>
      <c r="H8" s="717" t="n">
        <f aca="false">B8+C8+D8+F8+G8</f>
        <v>11954207.6275</v>
      </c>
      <c r="I8" s="707" t="n">
        <v>57000</v>
      </c>
      <c r="J8" s="718" t="n">
        <f aca="false">VEN!P17</f>
        <v>10706235</v>
      </c>
      <c r="K8" s="719" t="n">
        <f aca="false">H8-J8-I8</f>
        <v>1190972.6275</v>
      </c>
      <c r="L8" s="719" t="n">
        <f aca="false">K8-'P.L'!P75</f>
        <v>1008184.6945</v>
      </c>
      <c r="M8" s="720" t="n">
        <f aca="false">'SAL.(3)'!W9</f>
        <v>1219058.2333</v>
      </c>
      <c r="N8" s="711" t="n">
        <f aca="false">RES!G7+RES!H7+RES!I7+RES!J7</f>
        <v>2464</v>
      </c>
      <c r="O8" s="712" t="n">
        <f aca="false">(K8+N8)-M8</f>
        <v>-25621.6057999986</v>
      </c>
    </row>
    <row r="9" customFormat="false" ht="14.25" hidden="false" customHeight="false" outlineLevel="0" collapsed="false">
      <c r="A9" s="713" t="str">
        <f aca="false">'COM.'!A8</f>
        <v>MG-4</v>
      </c>
      <c r="B9" s="714" t="n">
        <f aca="false">'EST.'!B8</f>
        <v>0</v>
      </c>
      <c r="C9" s="714" t="n">
        <v>0</v>
      </c>
      <c r="D9" s="715" t="n">
        <v>0</v>
      </c>
      <c r="E9" s="715" t="n">
        <f aca="false">'PAR.'!S8</f>
        <v>0</v>
      </c>
      <c r="F9" s="715" t="n">
        <f aca="false">'COM.'!F8</f>
        <v>0</v>
      </c>
      <c r="G9" s="716" t="n">
        <f aca="false">PG!U1597</f>
        <v>0</v>
      </c>
      <c r="H9" s="717" t="n">
        <f aca="false">B9+C9+D9+E9+F9+G9</f>
        <v>0</v>
      </c>
      <c r="I9" s="707" t="n">
        <v>0</v>
      </c>
      <c r="J9" s="718" t="n">
        <f aca="false">VEN!R21</f>
        <v>0</v>
      </c>
      <c r="K9" s="719" t="n">
        <f aca="false">H9-J9-I9</f>
        <v>0</v>
      </c>
      <c r="L9" s="719" t="n">
        <f aca="false">K9-'P.L'!P76</f>
        <v>0</v>
      </c>
      <c r="M9" s="720" t="n">
        <f aca="false">'SAL.(3)'!W10</f>
        <v>0</v>
      </c>
      <c r="N9" s="711" t="n">
        <f aca="false">RES!G8+RES!H8+RES!I8+RES!J8</f>
        <v>0</v>
      </c>
      <c r="O9" s="712" t="n">
        <f aca="false">(K9+N9)-M9</f>
        <v>0</v>
      </c>
      <c r="P9" s="9"/>
    </row>
    <row r="10" customFormat="false" ht="14.25" hidden="false" customHeight="false" outlineLevel="0" collapsed="false">
      <c r="A10" s="713" t="str">
        <f aca="false">'COM.'!A9</f>
        <v>Ruziziensis</v>
      </c>
      <c r="B10" s="714" t="n">
        <f aca="false">'EST.'!B9</f>
        <v>1143575.3063999</v>
      </c>
      <c r="C10" s="714" t="n">
        <f aca="false">'DEV.'!E9</f>
        <v>823125.15</v>
      </c>
      <c r="D10" s="715" t="n">
        <f aca="false">'PRO.'!B7</f>
        <v>9203724</v>
      </c>
      <c r="E10" s="715" t="n">
        <f aca="false">'PAR.'!S9</f>
        <v>17194804</v>
      </c>
      <c r="F10" s="715" t="n">
        <f aca="false">'COM.'!F9</f>
        <v>81427743</v>
      </c>
      <c r="G10" s="716" t="n">
        <f aca="false">PG!F1597</f>
        <v>-8553665.59069999</v>
      </c>
      <c r="H10" s="717" t="n">
        <f aca="false">B10+C10+D10+E10+F10+G10</f>
        <v>101239305.8657</v>
      </c>
      <c r="I10" s="707" t="n">
        <v>828299.5</v>
      </c>
      <c r="J10" s="718" t="n">
        <f aca="false">VEN!P22</f>
        <v>130860917.95</v>
      </c>
      <c r="K10" s="719" t="n">
        <f aca="false">H10-J10-I10</f>
        <v>-30449911.5843001</v>
      </c>
      <c r="L10" s="719" t="n">
        <f aca="false">K10-'P.L'!P77</f>
        <v>-30465108.1413001</v>
      </c>
      <c r="M10" s="720" t="n">
        <f aca="false">'SAL.(3)'!W11</f>
        <v>-20075763.8294569</v>
      </c>
      <c r="N10" s="711" t="n">
        <f aca="false">RES!G9+RES!H9+RES!I9+RES!J9</f>
        <v>1340194.2</v>
      </c>
      <c r="O10" s="712" t="n">
        <f aca="false">(K10+N10)-M10</f>
        <v>-9033953.5548432</v>
      </c>
    </row>
    <row r="11" customFormat="false" ht="14.25" hidden="false" customHeight="false" outlineLevel="0" collapsed="false">
      <c r="A11" s="713" t="str">
        <f aca="false">'COM.'!A10</f>
        <v>Humidicola</v>
      </c>
      <c r="B11" s="714" t="n">
        <f aca="false">'EST.'!B10</f>
        <v>729782.794</v>
      </c>
      <c r="C11" s="714" t="n">
        <f aca="false">'DEV.'!E10</f>
        <v>19652.51</v>
      </c>
      <c r="D11" s="715" t="n">
        <v>0</v>
      </c>
      <c r="E11" s="715" t="n">
        <f aca="false">'PAR.'!S10</f>
        <v>0</v>
      </c>
      <c r="F11" s="715" t="n">
        <f aca="false">'COM.'!F10</f>
        <v>845306.306</v>
      </c>
      <c r="G11" s="716" t="n">
        <f aca="false">PG!H1597</f>
        <v>-47638.0516</v>
      </c>
      <c r="H11" s="717" t="n">
        <f aca="false">B11+C11+D11+E11+F11+G11</f>
        <v>1547103.5584</v>
      </c>
      <c r="I11" s="707" t="n">
        <v>210210</v>
      </c>
      <c r="J11" s="718" t="n">
        <f aca="false">VEN!P26</f>
        <v>1263740</v>
      </c>
      <c r="K11" s="719" t="n">
        <f aca="false">H11-J11-I11</f>
        <v>73153.5584</v>
      </c>
      <c r="L11" s="719" t="n">
        <f aca="false">K11-'P.L'!P78</f>
        <v>88436.4164</v>
      </c>
      <c r="M11" s="720" t="n">
        <f aca="false">'SAL.(3)'!W12</f>
        <v>360410.9595</v>
      </c>
      <c r="N11" s="711" t="n">
        <f aca="false">RES!G10+RES!H10+RES!I10+RES!J10</f>
        <v>74027.864</v>
      </c>
      <c r="O11" s="712" t="n">
        <f aca="false">(K11+N11)-M11</f>
        <v>-213229.5371</v>
      </c>
      <c r="P11" s="9"/>
    </row>
    <row r="12" customFormat="false" ht="14.25" hidden="false" customHeight="false" outlineLevel="0" collapsed="false">
      <c r="A12" s="713" t="str">
        <f aca="false">'COM.'!A11</f>
        <v>Llanero</v>
      </c>
      <c r="B12" s="714" t="n">
        <f aca="false">'EST.'!B11</f>
        <v>10800.98</v>
      </c>
      <c r="C12" s="714" t="n">
        <f aca="false">'DEV.'!E11</f>
        <v>0</v>
      </c>
      <c r="D12" s="715" t="n">
        <v>0</v>
      </c>
      <c r="E12" s="715" t="n">
        <f aca="false">'PAR.'!S11</f>
        <v>0</v>
      </c>
      <c r="F12" s="715" t="n">
        <f aca="false">'COM.'!F11</f>
        <v>384600</v>
      </c>
      <c r="G12" s="716" t="n">
        <f aca="false">PG!I1597</f>
        <v>843536.6875</v>
      </c>
      <c r="H12" s="717" t="n">
        <f aca="false">B12+C12+D12+E12+F12+G12</f>
        <v>1238937.6675</v>
      </c>
      <c r="I12" s="707" t="n">
        <v>358290</v>
      </c>
      <c r="J12" s="718" t="n">
        <f aca="false">VEN!P29</f>
        <v>874865.7</v>
      </c>
      <c r="K12" s="719" t="n">
        <f aca="false">H12-J12-I12</f>
        <v>5781.96750000003</v>
      </c>
      <c r="L12" s="719" t="n">
        <f aca="false">K12-'P.L'!P79</f>
        <v>6210.44100000003</v>
      </c>
      <c r="M12" s="720" t="n">
        <f aca="false">'SAL.(3)'!W13</f>
        <v>700108.6741</v>
      </c>
      <c r="N12" s="711" t="n">
        <f aca="false">RES!G11+RES!H11+RES!I11+RES!J11</f>
        <v>63574.7</v>
      </c>
      <c r="O12" s="712" t="n">
        <f aca="false">(K12+N12)-M12</f>
        <v>-630752.0066</v>
      </c>
      <c r="P12" s="9"/>
    </row>
    <row r="13" customFormat="false" ht="14.25" hidden="false" customHeight="false" outlineLevel="0" collapsed="false">
      <c r="A13" s="713" t="str">
        <f aca="false">'COM.'!A12</f>
        <v>Mombaça</v>
      </c>
      <c r="B13" s="714" t="n">
        <f aca="false">'EST.'!B12</f>
        <v>1539811.4144</v>
      </c>
      <c r="C13" s="714" t="n">
        <f aca="false">'DEV.'!E12</f>
        <v>256725</v>
      </c>
      <c r="D13" s="715" t="n">
        <f aca="false">'PRO.'!B9</f>
        <v>74424.1</v>
      </c>
      <c r="E13" s="715" t="n">
        <f aca="false">'PAR.'!S12</f>
        <v>0</v>
      </c>
      <c r="F13" s="715" t="n">
        <f aca="false">'COM.'!F12</f>
        <v>14483843</v>
      </c>
      <c r="G13" s="716" t="n">
        <f aca="false">PG!J1597</f>
        <v>-3937151.8478</v>
      </c>
      <c r="H13" s="717" t="n">
        <f aca="false">B13+C13+D13+F13+G13</f>
        <v>12417651.6666</v>
      </c>
      <c r="I13" s="707" t="n">
        <v>825188</v>
      </c>
      <c r="J13" s="718" t="n">
        <f aca="false">VEN!P33</f>
        <v>11835411.475</v>
      </c>
      <c r="K13" s="719" t="n">
        <f aca="false">H13-J13-I13</f>
        <v>-242947.8084</v>
      </c>
      <c r="L13" s="719" t="n">
        <f aca="false">K13-'P.L'!P80</f>
        <v>-243098.7879</v>
      </c>
      <c r="M13" s="720" t="n">
        <f aca="false">'SAL.(3)'!W14</f>
        <v>2899412.8782</v>
      </c>
      <c r="N13" s="711" t="n">
        <f aca="false">RES!G12+RES!H12+RES!I12+RES!J12</f>
        <v>3201423.0604</v>
      </c>
      <c r="O13" s="712" t="n">
        <f aca="false">(K13+N13)-M13</f>
        <v>59062.3738000011</v>
      </c>
      <c r="P13" s="9"/>
    </row>
    <row r="14" customFormat="false" ht="14.25" hidden="false" customHeight="false" outlineLevel="0" collapsed="false">
      <c r="A14" s="713" t="str">
        <f aca="false">'COM.'!A13</f>
        <v>Tanzania</v>
      </c>
      <c r="B14" s="714" t="n">
        <f aca="false">'EST.'!B13</f>
        <v>0</v>
      </c>
      <c r="C14" s="714" t="n">
        <v>0</v>
      </c>
      <c r="D14" s="715" t="n">
        <v>0</v>
      </c>
      <c r="E14" s="715" t="n">
        <f aca="false">'PAR.'!S13</f>
        <v>0</v>
      </c>
      <c r="F14" s="715" t="n">
        <f aca="false">'COM.'!F13</f>
        <v>0</v>
      </c>
      <c r="G14" s="716" t="n">
        <f aca="false">PG!K1597</f>
        <v>0</v>
      </c>
      <c r="H14" s="717" t="n">
        <f aca="false">B14+C14+D14+E14+F14+G14</f>
        <v>0</v>
      </c>
      <c r="I14" s="707" t="n">
        <v>0</v>
      </c>
      <c r="J14" s="718" t="n">
        <f aca="false">VEN!R38</f>
        <v>0</v>
      </c>
      <c r="K14" s="719" t="n">
        <f aca="false">H14-J14-I14</f>
        <v>0</v>
      </c>
      <c r="L14" s="719" t="n">
        <f aca="false">K14-'P.L'!P81</f>
        <v>0</v>
      </c>
      <c r="M14" s="720" t="n">
        <f aca="false">'SAL.(3)'!W15</f>
        <v>32447</v>
      </c>
      <c r="N14" s="711" t="n">
        <f aca="false">RES!G13+RES!H13+RES!I13+RES!J13</f>
        <v>0</v>
      </c>
      <c r="O14" s="712" t="n">
        <f aca="false">(K14+N14)-M14</f>
        <v>-32447</v>
      </c>
      <c r="P14" s="9"/>
      <c r="R14" s="721"/>
    </row>
    <row r="15" customFormat="false" ht="14.25" hidden="false" customHeight="false" outlineLevel="0" collapsed="false">
      <c r="A15" s="713" t="str">
        <f aca="false">'COM.'!A14</f>
        <v>Massai</v>
      </c>
      <c r="B15" s="714" t="n">
        <f aca="false">'EST.'!B14</f>
        <v>618265.72</v>
      </c>
      <c r="C15" s="714" t="n">
        <f aca="false">'DEV.'!E14</f>
        <v>57662.43</v>
      </c>
      <c r="D15" s="715" t="n">
        <v>0</v>
      </c>
      <c r="E15" s="715" t="n">
        <f aca="false">'PAR.'!S14</f>
        <v>0</v>
      </c>
      <c r="F15" s="715" t="n">
        <f aca="false">'COM.'!F14</f>
        <v>5952144.8</v>
      </c>
      <c r="G15" s="716" t="n">
        <f aca="false">PG!L1597</f>
        <v>-1422649.7892</v>
      </c>
      <c r="H15" s="717" t="n">
        <f aca="false">B15+C15+D15+E15+F15+G15</f>
        <v>5205423.1608</v>
      </c>
      <c r="I15" s="707" t="n">
        <v>338</v>
      </c>
      <c r="J15" s="718" t="n">
        <f aca="false">VEN!P39</f>
        <v>5134894.125</v>
      </c>
      <c r="K15" s="719" t="n">
        <f aca="false">H15-J15-I15</f>
        <v>70191.0357999997</v>
      </c>
      <c r="L15" s="719" t="n">
        <f aca="false">K15-'P.L'!P82</f>
        <v>33974.8557999997</v>
      </c>
      <c r="M15" s="720" t="n">
        <f aca="false">'SAL.(3)'!W16</f>
        <v>726663.0787</v>
      </c>
      <c r="N15" s="711" t="n">
        <f aca="false">RES!G14+RES!H14+RES!I14+RES!J14</f>
        <v>631159.4</v>
      </c>
      <c r="O15" s="712" t="n">
        <f aca="false">(K15+N15)-M15</f>
        <v>-25312.6429000002</v>
      </c>
      <c r="P15" s="9"/>
    </row>
    <row r="16" customFormat="false" ht="14.25" hidden="false" customHeight="false" outlineLevel="0" collapsed="false">
      <c r="A16" s="713" t="str">
        <f aca="false">'COM.'!A15</f>
        <v>Aruana</v>
      </c>
      <c r="B16" s="714" t="n">
        <f aca="false">'EST.'!B15</f>
        <v>53680.5</v>
      </c>
      <c r="C16" s="714" t="n">
        <f aca="false">'DEV.'!E15</f>
        <v>8437.5</v>
      </c>
      <c r="D16" s="715" t="n">
        <v>0</v>
      </c>
      <c r="E16" s="715" t="n">
        <f aca="false">'PAR.'!S15</f>
        <v>0</v>
      </c>
      <c r="F16" s="715" t="n">
        <f aca="false">'COM.'!F15</f>
        <v>701127.4</v>
      </c>
      <c r="G16" s="716" t="n">
        <f aca="false">PG!M1597</f>
        <v>-159924.9904</v>
      </c>
      <c r="H16" s="717" t="n">
        <f aca="false">B16+C16+D16+E16+F16+G16</f>
        <v>603320.4096</v>
      </c>
      <c r="I16" s="707" t="n">
        <v>0</v>
      </c>
      <c r="J16" s="718" t="n">
        <f aca="false">VEN!P44</f>
        <v>468135</v>
      </c>
      <c r="K16" s="719" t="n">
        <f aca="false">H16-J16-I16</f>
        <v>135185.4096</v>
      </c>
      <c r="L16" s="719" t="n">
        <f aca="false">K16-'P.L'!P83</f>
        <v>135185.4096</v>
      </c>
      <c r="M16" s="720" t="n">
        <f aca="false">'SAL.(3)'!W17</f>
        <v>135184.9</v>
      </c>
      <c r="N16" s="711" t="n">
        <f aca="false">RES!G15+RES!H15+RES!I15+RES!J15</f>
        <v>0</v>
      </c>
      <c r="O16" s="712" t="n">
        <f aca="false">(K16+N16)-M16</f>
        <v>0.509599999990314</v>
      </c>
      <c r="P16" s="9"/>
      <c r="Q16" s="44" t="s">
        <v>1325</v>
      </c>
    </row>
    <row r="17" customFormat="false" ht="14.25" hidden="false" customHeight="false" outlineLevel="0" collapsed="false">
      <c r="A17" s="713" t="s">
        <v>17</v>
      </c>
      <c r="B17" s="714" t="n">
        <f aca="false">'EST.'!B16</f>
        <v>1078047.519</v>
      </c>
      <c r="C17" s="714" t="n">
        <f aca="false">'DEV.'!E16</f>
        <v>57492.5</v>
      </c>
      <c r="D17" s="715" t="n">
        <f aca="false">'PRO.'!B11</f>
        <v>1198233.4</v>
      </c>
      <c r="E17" s="715" t="n">
        <f aca="false">'PAR.'!S16</f>
        <v>0</v>
      </c>
      <c r="F17" s="715" t="n">
        <f aca="false">'COM.'!F16</f>
        <v>4846635.2</v>
      </c>
      <c r="G17" s="716" t="n">
        <f aca="false">PG!N1597</f>
        <v>-1624028.6328</v>
      </c>
      <c r="H17" s="717" t="n">
        <f aca="false">B17+C17+D17+E17+F17+G17</f>
        <v>5556379.9862</v>
      </c>
      <c r="I17" s="707" t="n">
        <v>338</v>
      </c>
      <c r="J17" s="718" t="n">
        <f aca="false">VEN!P47</f>
        <v>5652342.5</v>
      </c>
      <c r="K17" s="719" t="n">
        <f aca="false">H17-J17-I17</f>
        <v>-96300.5138000008</v>
      </c>
      <c r="L17" s="719" t="n">
        <f aca="false">K17-'P.L'!P84</f>
        <v>-96522.2678000008</v>
      </c>
      <c r="M17" s="720" t="n">
        <f aca="false">'SAL.(3)'!W18</f>
        <v>168404.4194</v>
      </c>
      <c r="N17" s="711" t="n">
        <f aca="false">RES!G16+RES!H16+RES!I16+RES!J16</f>
        <v>-0.400000000008731</v>
      </c>
      <c r="O17" s="712" t="n">
        <f aca="false">(K17+N17)-M17</f>
        <v>-264705.333200001</v>
      </c>
      <c r="P17" s="9"/>
    </row>
    <row r="18" customFormat="false" ht="14.25" hidden="false" customHeight="false" outlineLevel="0" collapsed="false">
      <c r="A18" s="713" t="s">
        <v>18</v>
      </c>
      <c r="B18" s="714" t="n">
        <f aca="false">'EST.'!B17</f>
        <v>812166.5265</v>
      </c>
      <c r="C18" s="714" t="n">
        <f aca="false">'DEV.'!E13</f>
        <v>107133.57</v>
      </c>
      <c r="D18" s="715" t="n">
        <v>0</v>
      </c>
      <c r="E18" s="715" t="n">
        <f aca="false">'PAR.'!S17</f>
        <v>0</v>
      </c>
      <c r="F18" s="715" t="n">
        <f aca="false">'COM.'!F17</f>
        <v>2063772</v>
      </c>
      <c r="G18" s="716" t="n">
        <f aca="false">PG!O1597</f>
        <v>-188686.5625</v>
      </c>
      <c r="H18" s="717" t="n">
        <f aca="false">B18+C18+D18+E18+F18+G18</f>
        <v>2794385.534</v>
      </c>
      <c r="I18" s="707" t="n">
        <v>17137</v>
      </c>
      <c r="J18" s="718" t="n">
        <f aca="false">VEN!P52</f>
        <v>2040556.194</v>
      </c>
      <c r="K18" s="719" t="n">
        <f aca="false">H18-J18-I18</f>
        <v>736692.34</v>
      </c>
      <c r="L18" s="719" t="n">
        <f aca="false">K18-'P.L'!P85</f>
        <v>736649.335</v>
      </c>
      <c r="M18" s="720" t="n">
        <f aca="false">'SAL.(3)'!W19</f>
        <v>742947.7553</v>
      </c>
      <c r="N18" s="711" t="n">
        <f aca="false">RES!G17+RES!H17+RES!I17+RES!J17</f>
        <v>6256</v>
      </c>
      <c r="O18" s="712" t="n">
        <f aca="false">(K18+N18)-M18</f>
        <v>0.584700000006706</v>
      </c>
    </row>
    <row r="19" customFormat="false" ht="14.25" hidden="false" customHeight="false" outlineLevel="0" collapsed="false">
      <c r="A19" s="713" t="s">
        <v>19</v>
      </c>
      <c r="B19" s="714" t="n">
        <f aca="false">'EST.'!B18</f>
        <v>310983.57</v>
      </c>
      <c r="C19" s="714" t="n">
        <f aca="false">'DEV.'!E18</f>
        <v>148873.63</v>
      </c>
      <c r="D19" s="715" t="n">
        <v>0</v>
      </c>
      <c r="E19" s="715" t="n">
        <v>0</v>
      </c>
      <c r="F19" s="715" t="n">
        <f aca="false">'COM.'!F18</f>
        <v>1673479.2</v>
      </c>
      <c r="G19" s="716" t="n">
        <f aca="false">PG!P1597</f>
        <v>-735646.961</v>
      </c>
      <c r="H19" s="717" t="n">
        <f aca="false">B19+C19+D19+E19+F19+G19</f>
        <v>1397689.439</v>
      </c>
      <c r="I19" s="707" t="n">
        <v>71213</v>
      </c>
      <c r="J19" s="718" t="n">
        <f aca="false">VEN!P55</f>
        <v>1171912.5</v>
      </c>
      <c r="K19" s="719" t="n">
        <f aca="false">H19-J19-I19</f>
        <v>154563.939</v>
      </c>
      <c r="L19" s="719" t="n">
        <f aca="false">K19-'P.L'!P86</f>
        <v>151835.439</v>
      </c>
      <c r="M19" s="720" t="n">
        <f aca="false">'SAL.(3)'!W20</f>
        <v>821020.5435</v>
      </c>
      <c r="N19" s="711" t="n">
        <f aca="false">RES!G18+RES!H18+RES!I18+RES!J18</f>
        <v>162206.8</v>
      </c>
      <c r="O19" s="712" t="n">
        <f aca="false">(K19+N19)-M19</f>
        <v>-504249.8045</v>
      </c>
      <c r="P19" s="9"/>
    </row>
    <row r="20" customFormat="false" ht="14.25" hidden="false" customHeight="false" outlineLevel="0" collapsed="false">
      <c r="A20" s="713" t="s">
        <v>20</v>
      </c>
      <c r="B20" s="714" t="n">
        <f aca="false">'EST.'!B19</f>
        <v>230333.1091</v>
      </c>
      <c r="C20" s="714" t="n">
        <f aca="false">'DEV.'!E8</f>
        <v>317883.58</v>
      </c>
      <c r="D20" s="715" t="n">
        <f aca="false">'PRO.'!B8</f>
        <v>12700964.8</v>
      </c>
      <c r="E20" s="715" t="n">
        <v>0</v>
      </c>
      <c r="F20" s="715" t="n">
        <f aca="false">'COM.'!F19</f>
        <v>0</v>
      </c>
      <c r="G20" s="716" t="n">
        <f aca="false">PG!G1597</f>
        <v>-9883995.4129</v>
      </c>
      <c r="H20" s="717" t="n">
        <f aca="false">B20+C20+D20+E20+F20+G20</f>
        <v>3365186.0762</v>
      </c>
      <c r="I20" s="707"/>
      <c r="J20" s="718" t="n">
        <f aca="false">VEN!P58</f>
        <v>3365187.15</v>
      </c>
      <c r="K20" s="719" t="n">
        <f aca="false">H20-J20-I20</f>
        <v>-1.07379999710247</v>
      </c>
      <c r="L20" s="719" t="n">
        <f aca="false">K20-'P.L'!P87</f>
        <v>-1.07379999710247</v>
      </c>
      <c r="M20" s="720" t="n">
        <f aca="false">'SAL.(3)'!W21</f>
        <v>996567.1</v>
      </c>
      <c r="N20" s="711" t="n">
        <f aca="false">RES!G19+RES!H19+RES!I19+RES!J19</f>
        <v>40442.4</v>
      </c>
      <c r="O20" s="712" t="n">
        <f aca="false">(K20+N20)-M20</f>
        <v>-956125.773799997</v>
      </c>
      <c r="P20" s="9"/>
    </row>
    <row r="21" customFormat="false" ht="14.25" hidden="false" customHeight="false" outlineLevel="0" collapsed="false">
      <c r="A21" s="713" t="s">
        <v>21</v>
      </c>
      <c r="B21" s="714" t="n">
        <f aca="false">'EST.'!B20</f>
        <v>2110</v>
      </c>
      <c r="C21" s="714" t="n">
        <f aca="false">'DEV.'!E19</f>
        <v>2050</v>
      </c>
      <c r="D21" s="715" t="n">
        <v>0</v>
      </c>
      <c r="E21" s="715" t="n">
        <f aca="false">'PAR.'!S20</f>
        <v>0</v>
      </c>
      <c r="F21" s="715" t="n">
        <f aca="false">'COM.'!F24</f>
        <v>43500</v>
      </c>
      <c r="G21" s="716" t="n">
        <f aca="false">PG!T1597</f>
        <v>4586</v>
      </c>
      <c r="H21" s="717" t="n">
        <f aca="false">B21+C21+D21+E21+F21+G21</f>
        <v>52246</v>
      </c>
      <c r="I21" s="707" t="n">
        <v>0</v>
      </c>
      <c r="J21" s="718" t="n">
        <f aca="false">VEN!R65</f>
        <v>34670</v>
      </c>
      <c r="K21" s="719" t="n">
        <f aca="false">H21-J21-I21</f>
        <v>17576</v>
      </c>
      <c r="L21" s="719" t="n">
        <f aca="false">K21-'P.L'!P88</f>
        <v>11710.286</v>
      </c>
      <c r="M21" s="720" t="n">
        <f aca="false">'SAL.(3)'!W27</f>
        <v>8755</v>
      </c>
      <c r="N21" s="711" t="n">
        <f aca="false">RES!G22+RES!H22+RES!I22+RES!J22</f>
        <v>353</v>
      </c>
      <c r="O21" s="712" t="n">
        <f aca="false">(K21+N21)-M21</f>
        <v>9174</v>
      </c>
      <c r="P21" s="9"/>
      <c r="Q21" s="44" t="s">
        <v>1325</v>
      </c>
    </row>
    <row r="22" customFormat="false" ht="14.25" hidden="false" customHeight="false" outlineLevel="0" collapsed="false">
      <c r="A22" s="713" t="s">
        <v>22</v>
      </c>
      <c r="B22" s="714" t="n">
        <f aca="false">'EST.'!B21</f>
        <v>0</v>
      </c>
      <c r="C22" s="714" t="n">
        <f aca="false">'DEV.'!E17</f>
        <v>0</v>
      </c>
      <c r="D22" s="715" t="n">
        <v>0</v>
      </c>
      <c r="E22" s="715" t="n">
        <v>0</v>
      </c>
      <c r="F22" s="715" t="n">
        <f aca="false">'COM.'!F20</f>
        <v>458408</v>
      </c>
      <c r="G22" s="716" t="n">
        <f aca="false">PG!R1597</f>
        <v>-56478.977</v>
      </c>
      <c r="H22" s="717" t="n">
        <f aca="false">B22+C22+D22+E22+F22+G22</f>
        <v>401929.023</v>
      </c>
      <c r="I22" s="707" t="n">
        <v>0</v>
      </c>
      <c r="J22" s="718" t="n">
        <f aca="false">VEN!P61</f>
        <v>119137.5</v>
      </c>
      <c r="K22" s="719" t="n">
        <f aca="false">H22-J22-I22</f>
        <v>282791.523</v>
      </c>
      <c r="L22" s="719" t="n">
        <f aca="false">K22-'P.L'!P89</f>
        <v>282791.523</v>
      </c>
      <c r="M22" s="720" t="n">
        <f aca="false">'SAL.(3)'!W22</f>
        <v>315524.114</v>
      </c>
      <c r="N22" s="711" t="n">
        <f aca="false">RES!G23+RES!H23+RES!I23+RES!J23</f>
        <v>0</v>
      </c>
      <c r="O22" s="712" t="n">
        <f aca="false">(K22+N22)-M22</f>
        <v>-32732.5910000001</v>
      </c>
      <c r="P22" s="9"/>
    </row>
    <row r="23" customFormat="false" ht="14.25" hidden="false" customHeight="false" outlineLevel="0" collapsed="false">
      <c r="A23" s="713" t="s">
        <v>2144</v>
      </c>
      <c r="B23" s="714" t="n">
        <v>0</v>
      </c>
      <c r="C23" s="714" t="n">
        <v>0</v>
      </c>
      <c r="D23" s="715" t="n">
        <v>0</v>
      </c>
      <c r="E23" s="715" t="n">
        <v>0</v>
      </c>
      <c r="F23" s="715" t="n">
        <v>0</v>
      </c>
      <c r="G23" s="716" t="n">
        <v>0</v>
      </c>
      <c r="H23" s="717" t="n">
        <f aca="false">B23+C23+D23+E23+F23+G23</f>
        <v>0</v>
      </c>
      <c r="I23" s="707" t="n">
        <v>0</v>
      </c>
      <c r="J23" s="718"/>
      <c r="K23" s="719" t="n">
        <f aca="false">H23-J23-I23</f>
        <v>0</v>
      </c>
      <c r="L23" s="719" t="n">
        <f aca="false">K23-'P.L'!P90</f>
        <v>0</v>
      </c>
      <c r="M23" s="720" t="n">
        <f aca="false">'SAL.(3)'!W23</f>
        <v>0</v>
      </c>
      <c r="N23" s="711" t="n">
        <f aca="false">RES!G21+RES!H21+RES!I21+RES!J21</f>
        <v>0</v>
      </c>
      <c r="O23" s="712" t="n">
        <f aca="false">(K23+N23)-M23</f>
        <v>0</v>
      </c>
      <c r="P23" s="9"/>
    </row>
    <row r="24" customFormat="false" ht="14.25" hidden="false" customHeight="false" outlineLevel="0" collapsed="false">
      <c r="A24" s="713" t="s">
        <v>75</v>
      </c>
      <c r="B24" s="714" t="n">
        <f aca="false">'EST.'!B22</f>
        <v>2372</v>
      </c>
      <c r="C24" s="714" t="n">
        <f aca="false">'DEV.'!E20</f>
        <v>0</v>
      </c>
      <c r="D24" s="715" t="n">
        <f aca="false">'PRO.'!B13</f>
        <v>19660</v>
      </c>
      <c r="E24" s="715" t="n">
        <f aca="false">'PAR.'!S19</f>
        <v>0</v>
      </c>
      <c r="F24" s="715" t="n">
        <f aca="false">'COM.'!F23</f>
        <v>0</v>
      </c>
      <c r="G24" s="716" t="n">
        <f aca="false">PG!S1597</f>
        <v>3233</v>
      </c>
      <c r="H24" s="717" t="n">
        <f aca="false">B24+C24+D24+E24+F24+G24</f>
        <v>25265</v>
      </c>
      <c r="I24" s="707" t="n">
        <v>0</v>
      </c>
      <c r="J24" s="718" t="n">
        <f aca="false">VEN!R64</f>
        <v>19205</v>
      </c>
      <c r="K24" s="719" t="n">
        <f aca="false">H24-J24-I24</f>
        <v>6060</v>
      </c>
      <c r="L24" s="719" t="n">
        <f aca="false">K24-'P.L'!P91</f>
        <v>6060</v>
      </c>
      <c r="M24" s="720" t="n">
        <f aca="false">'SAL.(3)'!W26</f>
        <v>8190</v>
      </c>
      <c r="N24" s="711" t="n">
        <f aca="false">RES!G24+RES!H24+RES!I24+RES!J24</f>
        <v>2130</v>
      </c>
      <c r="O24" s="712" t="n">
        <f aca="false">(K24+N24)-M24</f>
        <v>0</v>
      </c>
      <c r="P24" s="9"/>
    </row>
    <row r="25" customFormat="false" ht="14.25" hidden="false" customHeight="false" outlineLevel="0" collapsed="false">
      <c r="A25" s="722" t="s">
        <v>172</v>
      </c>
      <c r="B25" s="723" t="n">
        <v>0</v>
      </c>
      <c r="C25" s="723" t="n">
        <v>0</v>
      </c>
      <c r="D25" s="724" t="n">
        <v>0</v>
      </c>
      <c r="E25" s="724" t="n">
        <v>0</v>
      </c>
      <c r="F25" s="715" t="n">
        <f aca="false">'COM.'!F21</f>
        <v>4000</v>
      </c>
      <c r="G25" s="716" t="n">
        <f aca="false">PG!V1597</f>
        <v>82</v>
      </c>
      <c r="H25" s="717" t="n">
        <f aca="false">B25+C25+D25+E25+F25+G25</f>
        <v>4082</v>
      </c>
      <c r="I25" s="707" t="n">
        <v>0</v>
      </c>
      <c r="J25" s="725"/>
      <c r="K25" s="719" t="n">
        <f aca="false">H25-J25-I25</f>
        <v>4082</v>
      </c>
      <c r="L25" s="719" t="n">
        <f aca="false">K25-'P.L'!P92</f>
        <v>4082</v>
      </c>
      <c r="M25" s="720" t="n">
        <f aca="false">'SAL.(3)'!W24</f>
        <v>4435</v>
      </c>
      <c r="N25" s="711" t="n">
        <f aca="false">RES!G25+RES!H25+RES!I25+RES!J25</f>
        <v>0</v>
      </c>
      <c r="O25" s="712" t="n">
        <f aca="false">(K25+N25)-M25</f>
        <v>-353</v>
      </c>
      <c r="P25" s="9"/>
    </row>
    <row r="26" customFormat="false" ht="14.25" hidden="false" customHeight="false" outlineLevel="0" collapsed="false">
      <c r="A26" s="722" t="s">
        <v>74</v>
      </c>
      <c r="B26" s="723" t="n">
        <v>0</v>
      </c>
      <c r="C26" s="723" t="n">
        <v>0</v>
      </c>
      <c r="D26" s="724" t="n">
        <f aca="false">'PRO.'!B12</f>
        <v>17082</v>
      </c>
      <c r="E26" s="724" t="n">
        <v>0</v>
      </c>
      <c r="F26" s="715" t="n">
        <v>0</v>
      </c>
      <c r="G26" s="716" t="n">
        <f aca="false">PG!Q1597</f>
        <v>-1371</v>
      </c>
      <c r="H26" s="717" t="n">
        <f aca="false">B26+C26+D26+E26+F26+G26</f>
        <v>15711</v>
      </c>
      <c r="I26" s="707" t="n">
        <v>0</v>
      </c>
      <c r="J26" s="725"/>
      <c r="K26" s="719" t="n">
        <f aca="false">H26-J26-I26</f>
        <v>15711</v>
      </c>
      <c r="L26" s="719" t="n">
        <f aca="false">K26-'P.L'!P93</f>
        <v>15711</v>
      </c>
      <c r="M26" s="720" t="n">
        <f aca="false">'SAL.(3)'!W28</f>
        <v>15711</v>
      </c>
      <c r="N26" s="711" t="n">
        <f aca="false">RES!G26+RES!H26+RES!I26+RES!J26</f>
        <v>0</v>
      </c>
      <c r="O26" s="712" t="n">
        <f aca="false">(K26+N26)-M26</f>
        <v>0</v>
      </c>
      <c r="P26" s="9"/>
    </row>
    <row r="27" customFormat="false" ht="14.25" hidden="false" customHeight="false" outlineLevel="0" collapsed="false">
      <c r="A27" s="722" t="s">
        <v>173</v>
      </c>
      <c r="B27" s="723" t="n">
        <v>0</v>
      </c>
      <c r="C27" s="723" t="n">
        <v>0</v>
      </c>
      <c r="D27" s="724" t="n">
        <v>0</v>
      </c>
      <c r="E27" s="724" t="n">
        <v>0</v>
      </c>
      <c r="F27" s="715" t="n">
        <v>0</v>
      </c>
      <c r="G27" s="716" t="n">
        <f aca="false">PG!W1597</f>
        <v>4554</v>
      </c>
      <c r="H27" s="717" t="n">
        <f aca="false">B27+C27+D27+E27+F27+G27</f>
        <v>4554</v>
      </c>
      <c r="I27" s="707" t="n">
        <v>0</v>
      </c>
      <c r="J27" s="725"/>
      <c r="K27" s="719" t="n">
        <f aca="false">H27-J27-I27</f>
        <v>4554</v>
      </c>
      <c r="L27" s="719" t="n">
        <f aca="false">K27-'P.L'!P94</f>
        <v>4554</v>
      </c>
      <c r="M27" s="726" t="n">
        <f aca="false">'SAL.(3)'!W25</f>
        <v>4554</v>
      </c>
      <c r="N27" s="711" t="n">
        <f aca="false">RES!G27+RES!H27+RES!I27+RES!J27</f>
        <v>0</v>
      </c>
      <c r="O27" s="712" t="n">
        <f aca="false">(K27+N27)-M27</f>
        <v>0</v>
      </c>
      <c r="P27" s="9"/>
    </row>
    <row r="28" customFormat="false" ht="14.25" hidden="false" customHeight="false" outlineLevel="0" collapsed="false">
      <c r="A28" s="722" t="s">
        <v>24</v>
      </c>
      <c r="B28" s="723" t="n">
        <f aca="false">'EST.'!B23</f>
        <v>0</v>
      </c>
      <c r="C28" s="723" t="n">
        <v>0</v>
      </c>
      <c r="D28" s="724" t="n">
        <f aca="false">'PRO.'!B10</f>
        <v>10300</v>
      </c>
      <c r="E28" s="724" t="n">
        <f aca="false">'PAR.'!S20</f>
        <v>0</v>
      </c>
      <c r="F28" s="715" t="n">
        <f aca="false">'COM.'!F26</f>
        <v>0</v>
      </c>
      <c r="G28" s="727" t="n">
        <f aca="false">PG!X1597</f>
        <v>1022</v>
      </c>
      <c r="H28" s="728" t="n">
        <f aca="false">B28+C28+D28+E28+F28+G28</f>
        <v>11322</v>
      </c>
      <c r="I28" s="707" t="n">
        <v>0</v>
      </c>
      <c r="J28" s="725"/>
      <c r="K28" s="719" t="n">
        <f aca="false">H28-J28-I28</f>
        <v>11322</v>
      </c>
      <c r="L28" s="719" t="n">
        <f aca="false">K28-0</f>
        <v>11322</v>
      </c>
      <c r="M28" s="726" t="n">
        <f aca="false">'SAL.(3)'!W29</f>
        <v>11322</v>
      </c>
      <c r="N28" s="711" t="n">
        <f aca="false">RES!G27+RES!H27+RES!I27+RES!J27</f>
        <v>0</v>
      </c>
      <c r="O28" s="712" t="n">
        <f aca="false">(K28+N28)-M28</f>
        <v>0</v>
      </c>
      <c r="P28" s="9"/>
    </row>
    <row r="29" customFormat="false" ht="14.25" hidden="false" customHeight="false" outlineLevel="0" collapsed="false">
      <c r="A29" s="729" t="s">
        <v>25</v>
      </c>
      <c r="B29" s="730" t="n">
        <f aca="false">SUM(B5:B28)</f>
        <v>10922998.1804799</v>
      </c>
      <c r="C29" s="731" t="n">
        <f aca="false">SUM(C5:C28)</f>
        <v>2576710.13</v>
      </c>
      <c r="D29" s="732" t="n">
        <f aca="false">SUM(D5:D28)</f>
        <v>24713831.5</v>
      </c>
      <c r="E29" s="732" t="n">
        <f aca="false">SUM(E5:E28)</f>
        <v>17194804</v>
      </c>
      <c r="F29" s="732" t="n">
        <f aca="false">SUM(F5:F28)</f>
        <v>173363991.156</v>
      </c>
      <c r="G29" s="733" t="n">
        <f aca="false">SUM(G5:G28)</f>
        <v>-30143600.3615</v>
      </c>
      <c r="H29" s="734" t="n">
        <f aca="false">SUM(H5:H28)</f>
        <v>198628734.60498</v>
      </c>
      <c r="I29" s="735" t="n">
        <f aca="false">SUM(I5:I28)</f>
        <v>4495538.55</v>
      </c>
      <c r="J29" s="736" t="n">
        <f aca="false">SUM(J5:J28)</f>
        <v>222018261.6361</v>
      </c>
      <c r="K29" s="737" t="n">
        <f aca="false">SUM(K5:K28)</f>
        <v>-27885065.5811201</v>
      </c>
      <c r="L29" s="737" t="n">
        <f aca="false">SUM(L5:L28)</f>
        <v>-28113776.2721201</v>
      </c>
      <c r="M29" s="738" t="n">
        <f aca="false">SUM(M5:M28)</f>
        <v>-9360795.91815688</v>
      </c>
      <c r="N29" s="739" t="n">
        <f aca="false">SUM(N5:N28)</f>
        <v>5653566.2244</v>
      </c>
      <c r="O29" s="740" t="n">
        <f aca="false">SUM(O5:O28)</f>
        <v>-12870703.4385632</v>
      </c>
      <c r="S29" s="44" t="s">
        <v>2162</v>
      </c>
    </row>
    <row r="30" customFormat="false" ht="15" hidden="false" customHeight="true" outlineLevel="0" collapsed="false">
      <c r="A30" s="741" t="s">
        <v>2163</v>
      </c>
      <c r="B30" s="741"/>
      <c r="C30" s="741"/>
      <c r="D30" s="741"/>
      <c r="E30" s="741"/>
      <c r="F30" s="741"/>
      <c r="G30" s="741"/>
      <c r="H30" s="741"/>
      <c r="I30" s="741"/>
      <c r="J30" s="741"/>
      <c r="K30" s="741"/>
      <c r="L30" s="741"/>
      <c r="M30" s="741"/>
      <c r="N30" s="741"/>
    </row>
    <row r="31" customFormat="false" ht="13.5" hidden="false" customHeight="true" outlineLevel="0" collapsed="false">
      <c r="A31" s="741"/>
      <c r="B31" s="741"/>
      <c r="C31" s="741"/>
      <c r="D31" s="741"/>
      <c r="E31" s="741"/>
      <c r="F31" s="741"/>
      <c r="G31" s="741"/>
      <c r="H31" s="741"/>
      <c r="I31" s="741"/>
      <c r="J31" s="741"/>
      <c r="K31" s="741"/>
      <c r="L31" s="741"/>
      <c r="M31" s="741"/>
      <c r="N31" s="741"/>
    </row>
    <row r="32" customFormat="false" ht="60" hidden="false" customHeight="true" outlineLevel="0" collapsed="false">
      <c r="A32" s="742" t="s">
        <v>1</v>
      </c>
      <c r="B32" s="691" t="s">
        <v>2121</v>
      </c>
      <c r="C32" s="743" t="s">
        <v>2149</v>
      </c>
      <c r="D32" s="744" t="s">
        <v>2150</v>
      </c>
      <c r="E32" s="744" t="s">
        <v>2151</v>
      </c>
      <c r="F32" s="692" t="s">
        <v>2152</v>
      </c>
      <c r="G32" s="692" t="s">
        <v>2164</v>
      </c>
      <c r="H32" s="745" t="s">
        <v>2153</v>
      </c>
      <c r="I32" s="746" t="s">
        <v>2165</v>
      </c>
      <c r="J32" s="747" t="s">
        <v>2156</v>
      </c>
      <c r="K32" s="748" t="s">
        <v>2166</v>
      </c>
      <c r="L32" s="749"/>
      <c r="M32" s="750" t="s">
        <v>2167</v>
      </c>
      <c r="N32" s="750" t="s">
        <v>2168</v>
      </c>
    </row>
    <row r="33" customFormat="false" ht="15" hidden="false" customHeight="true" outlineLevel="0" collapsed="false">
      <c r="A33" s="742"/>
      <c r="B33" s="691"/>
      <c r="C33" s="743"/>
      <c r="D33" s="744"/>
      <c r="E33" s="744"/>
      <c r="F33" s="692"/>
      <c r="G33" s="692"/>
      <c r="H33" s="745"/>
      <c r="I33" s="746"/>
      <c r="J33" s="747"/>
      <c r="K33" s="748"/>
      <c r="L33" s="751"/>
      <c r="M33" s="750"/>
      <c r="N33" s="750"/>
    </row>
    <row r="34" customFormat="false" ht="14.25" hidden="false" customHeight="false" outlineLevel="0" collapsed="false">
      <c r="A34" s="752" t="s">
        <v>5</v>
      </c>
      <c r="B34" s="753" t="n">
        <f aca="false">'EST.'!C4</f>
        <v>278478.277775</v>
      </c>
      <c r="C34" s="753" t="n">
        <f aca="false">C5*D63</f>
        <v>156732.236022533</v>
      </c>
      <c r="D34" s="754" t="n">
        <f aca="false">D5*B63</f>
        <v>76429.3419414443</v>
      </c>
      <c r="E34" s="755" t="n">
        <f aca="false">E5*C63</f>
        <v>0</v>
      </c>
      <c r="F34" s="756" t="n">
        <f aca="false">F5*B63</f>
        <v>6471821.84224162</v>
      </c>
      <c r="G34" s="757" t="n">
        <f aca="false">D34+E34+F34</f>
        <v>6548251.18418307</v>
      </c>
      <c r="H34" s="758" t="n">
        <f aca="false">G5*C63</f>
        <v>-952004.3738</v>
      </c>
      <c r="I34" s="759" t="n">
        <f aca="false">B34+C34+H34+G34</f>
        <v>6031457.3241806</v>
      </c>
      <c r="J34" s="760" t="n">
        <f aca="false">J5*E63</f>
        <v>9680227.11</v>
      </c>
      <c r="K34" s="761" t="n">
        <f aca="false">K5*B63</f>
        <v>38109.7116271177</v>
      </c>
      <c r="L34" s="761"/>
      <c r="M34" s="762" t="n">
        <f aca="false">J34+K34</f>
        <v>9718336.82162712</v>
      </c>
      <c r="N34" s="763" t="n">
        <f aca="false">M34-I34</f>
        <v>3686879.49744652</v>
      </c>
    </row>
    <row r="35" customFormat="false" ht="14.25" hidden="false" customHeight="false" outlineLevel="0" collapsed="false">
      <c r="A35" s="636" t="s">
        <v>6</v>
      </c>
      <c r="B35" s="764" t="n">
        <f aca="false">'EST.'!C5</f>
        <v>101509.044</v>
      </c>
      <c r="C35" s="764" t="n">
        <f aca="false">C6*D64</f>
        <v>26253.4914998053</v>
      </c>
      <c r="D35" s="754" t="n">
        <f aca="false">D6*B64</f>
        <v>63264.2871248039</v>
      </c>
      <c r="E35" s="755" t="n">
        <f aca="false">E6*C64</f>
        <v>0</v>
      </c>
      <c r="F35" s="765" t="n">
        <f aca="false">F6*B64</f>
        <v>4276599.15304167</v>
      </c>
      <c r="G35" s="755" t="n">
        <f aca="false">D35+E35+F35</f>
        <v>4339863.44016648</v>
      </c>
      <c r="H35" s="758" t="n">
        <f aca="false">G6*C64</f>
        <v>-302226.36435</v>
      </c>
      <c r="I35" s="766" t="n">
        <f aca="false">B35+C35+H35+G35</f>
        <v>4165399.61131628</v>
      </c>
      <c r="J35" s="767" t="n">
        <f aca="false">J6*E64</f>
        <v>6783291.49</v>
      </c>
      <c r="K35" s="768" t="n">
        <f aca="false">K6*B64</f>
        <v>-98376.9896106322</v>
      </c>
      <c r="L35" s="768"/>
      <c r="M35" s="769" t="n">
        <f aca="false">J35+K35</f>
        <v>6684914.50038937</v>
      </c>
      <c r="N35" s="770" t="n">
        <f aca="false">M35-I35</f>
        <v>2519514.88907309</v>
      </c>
    </row>
    <row r="36" customFormat="false" ht="14.25" hidden="false" customHeight="false" outlineLevel="0" collapsed="false">
      <c r="A36" s="636" t="s">
        <v>7</v>
      </c>
      <c r="B36" s="764" t="n">
        <f aca="false">'EST.'!C6</f>
        <v>352484.07</v>
      </c>
      <c r="C36" s="764" t="n">
        <f aca="false">C7*D65</f>
        <v>66394.6847251725</v>
      </c>
      <c r="D36" s="754" t="n">
        <v>0</v>
      </c>
      <c r="E36" s="755" t="n">
        <f aca="false">E7*C65</f>
        <v>0</v>
      </c>
      <c r="F36" s="765" t="n">
        <f aca="false">F7*B65</f>
        <v>852271.929721394</v>
      </c>
      <c r="G36" s="755" t="n">
        <f aca="false">D36+E36+F36</f>
        <v>852271.929721394</v>
      </c>
      <c r="H36" s="758" t="n">
        <f aca="false">G7*C65</f>
        <v>302075.529312</v>
      </c>
      <c r="I36" s="766" t="n">
        <f aca="false">B36+C36+H36+G36</f>
        <v>1573226.21375857</v>
      </c>
      <c r="J36" s="767" t="n">
        <f aca="false">J7*E65</f>
        <v>2135573.5</v>
      </c>
      <c r="K36" s="768" t="n">
        <f aca="false">K7*B65</f>
        <v>151460.66375014</v>
      </c>
      <c r="L36" s="768"/>
      <c r="M36" s="769" t="n">
        <f aca="false">J36+K36</f>
        <v>2287034.16375014</v>
      </c>
      <c r="N36" s="770" t="n">
        <f aca="false">M36-I36</f>
        <v>713807.949991574</v>
      </c>
    </row>
    <row r="37" customFormat="false" ht="14.25" hidden="false" customHeight="false" outlineLevel="0" collapsed="false">
      <c r="A37" s="636" t="s">
        <v>42</v>
      </c>
      <c r="B37" s="764" t="n">
        <f aca="false">'EST.'!C7</f>
        <v>640084.24904</v>
      </c>
      <c r="C37" s="764" t="n">
        <f aca="false">C8*D66</f>
        <v>155108.072728864</v>
      </c>
      <c r="D37" s="754" t="n">
        <f aca="false">D8*B66</f>
        <v>165661.391382121</v>
      </c>
      <c r="E37" s="755" t="n">
        <f aca="false">E8*C66</f>
        <v>0</v>
      </c>
      <c r="F37" s="765" t="n">
        <f aca="false">F8*B66</f>
        <v>1744809.4642535</v>
      </c>
      <c r="G37" s="755" t="n">
        <f aca="false">D37+E37+F37</f>
        <v>1910470.85563562</v>
      </c>
      <c r="H37" s="771" t="n">
        <f aca="false">G8*C66</f>
        <v>-77137.69378</v>
      </c>
      <c r="I37" s="766" t="n">
        <f aca="false">B37+C37+H37+G37</f>
        <v>2628525.48362448</v>
      </c>
      <c r="J37" s="767" t="n">
        <f aca="false">J8*E66</f>
        <v>4795206.94</v>
      </c>
      <c r="K37" s="768" t="n">
        <f aca="false">K8*B66</f>
        <v>231270.229819635</v>
      </c>
      <c r="L37" s="768"/>
      <c r="M37" s="772" t="n">
        <f aca="false">J37+K37</f>
        <v>5026477.16981964</v>
      </c>
      <c r="N37" s="773" t="n">
        <f aca="false">M37-I37</f>
        <v>2397951.68619516</v>
      </c>
    </row>
    <row r="38" customFormat="false" ht="14.25" hidden="false" customHeight="false" outlineLevel="0" collapsed="false">
      <c r="A38" s="636" t="s">
        <v>9</v>
      </c>
      <c r="B38" s="764" t="n">
        <f aca="false">'EST.'!C8</f>
        <v>0</v>
      </c>
      <c r="C38" s="764" t="n">
        <f aca="false">C9*D67</f>
        <v>0</v>
      </c>
      <c r="D38" s="754" t="n">
        <f aca="false">D9*B67</f>
        <v>0</v>
      </c>
      <c r="E38" s="755" t="n">
        <f aca="false">E9*C67</f>
        <v>0</v>
      </c>
      <c r="F38" s="765" t="n">
        <f aca="false">F9*B67</f>
        <v>0</v>
      </c>
      <c r="G38" s="755" t="n">
        <f aca="false">D38+E38+F38</f>
        <v>0</v>
      </c>
      <c r="H38" s="758" t="n">
        <f aca="false">G9*C67</f>
        <v>0</v>
      </c>
      <c r="I38" s="766" t="n">
        <f aca="false">B38+C38+H38+G38</f>
        <v>0</v>
      </c>
      <c r="J38" s="767" t="n">
        <f aca="false">J9*E67</f>
        <v>0</v>
      </c>
      <c r="K38" s="768" t="n">
        <f aca="false">K9*C67</f>
        <v>0</v>
      </c>
      <c r="L38" s="768"/>
      <c r="M38" s="769" t="n">
        <f aca="false">J38+K38</f>
        <v>0</v>
      </c>
      <c r="N38" s="773" t="n">
        <f aca="false">M38-I38</f>
        <v>0</v>
      </c>
    </row>
    <row r="39" customFormat="false" ht="14.25" hidden="false" customHeight="false" outlineLevel="0" collapsed="false">
      <c r="A39" s="636" t="s">
        <v>10</v>
      </c>
      <c r="B39" s="764" t="n">
        <f aca="false">'EST.'!C9</f>
        <v>188485.016118</v>
      </c>
      <c r="C39" s="764" t="n">
        <f aca="false">C10*D68</f>
        <v>198719.108007478</v>
      </c>
      <c r="D39" s="754" t="n">
        <f aca="false">D10*B68</f>
        <v>840497.956727269</v>
      </c>
      <c r="E39" s="755" t="n">
        <f aca="false">E10*C68</f>
        <v>1547532.36</v>
      </c>
      <c r="F39" s="765" t="n">
        <f aca="false">F10*B68</f>
        <v>7436104.3</v>
      </c>
      <c r="G39" s="755" t="n">
        <f aca="false">D39+E39+F39</f>
        <v>9824134.61672727</v>
      </c>
      <c r="H39" s="771" t="n">
        <f aca="false">G10*C68</f>
        <v>-769829.903162999</v>
      </c>
      <c r="I39" s="766" t="n">
        <f aca="false">B39+C39+H39+G39</f>
        <v>9441508.83768975</v>
      </c>
      <c r="J39" s="767" t="n">
        <f aca="false">J10*E68</f>
        <v>24271591.52</v>
      </c>
      <c r="K39" s="768" t="n">
        <f aca="false">K10*B68</f>
        <v>-2780731.85040427</v>
      </c>
      <c r="L39" s="768"/>
      <c r="M39" s="772" t="n">
        <f aca="false">J39+K39</f>
        <v>21490859.6695957</v>
      </c>
      <c r="N39" s="773" t="n">
        <f aca="false">M39-I39</f>
        <v>12049350.831906</v>
      </c>
    </row>
    <row r="40" customFormat="false" ht="14.25" hidden="false" customHeight="false" outlineLevel="0" collapsed="false">
      <c r="A40" s="636" t="s">
        <v>11</v>
      </c>
      <c r="B40" s="764" t="n">
        <f aca="false">'EST.'!C10</f>
        <v>1836631.455</v>
      </c>
      <c r="C40" s="764" t="n">
        <f aca="false">C11*D69</f>
        <v>74801.7797056026</v>
      </c>
      <c r="D40" s="754" t="n">
        <f aca="false">D11*B69</f>
        <v>0</v>
      </c>
      <c r="E40" s="755" t="n">
        <f aca="false">E11*C69</f>
        <v>0</v>
      </c>
      <c r="F40" s="765" t="n">
        <f aca="false">F11*B69</f>
        <v>1657889.58957499</v>
      </c>
      <c r="G40" s="755" t="n">
        <f aca="false">D40+E40+F40</f>
        <v>1657889.58957499</v>
      </c>
      <c r="H40" s="758" t="n">
        <f aca="false">G11*C69</f>
        <v>-119095.129</v>
      </c>
      <c r="I40" s="766" t="n">
        <f aca="false">B40+C40+H40+G40</f>
        <v>3450227.6952806</v>
      </c>
      <c r="J40" s="767" t="n">
        <f aca="false">J11*E69</f>
        <v>4810073.8855</v>
      </c>
      <c r="K40" s="768" t="n">
        <f aca="false">K11*B69</f>
        <v>143475.237379486</v>
      </c>
      <c r="L40" s="768"/>
      <c r="M40" s="769" t="n">
        <f aca="false">J40+K40</f>
        <v>4953549.12287949</v>
      </c>
      <c r="N40" s="773" t="n">
        <f aca="false">M40-I40</f>
        <v>1503321.42759889</v>
      </c>
    </row>
    <row r="41" customFormat="false" ht="14.25" hidden="false" customHeight="false" outlineLevel="0" collapsed="false">
      <c r="A41" s="636" t="s">
        <v>12</v>
      </c>
      <c r="B41" s="764" t="n">
        <f aca="false">'EST.'!C11</f>
        <v>13889</v>
      </c>
      <c r="C41" s="764" t="n">
        <f aca="false">C12*D70</f>
        <v>0</v>
      </c>
      <c r="D41" s="754" t="n">
        <f aca="false">D12*B70</f>
        <v>0</v>
      </c>
      <c r="E41" s="755" t="n">
        <f aca="false">E12*C70</f>
        <v>0</v>
      </c>
      <c r="F41" s="765" t="n">
        <f aca="false">F12*B70</f>
        <v>878758.24</v>
      </c>
      <c r="G41" s="755" t="n">
        <f aca="false">D41+E41+F41</f>
        <v>878758.24</v>
      </c>
      <c r="H41" s="758" t="n">
        <f aca="false">G12*C70</f>
        <v>1518366.0375</v>
      </c>
      <c r="I41" s="766" t="n">
        <f aca="false">B41+C41+H41+G41</f>
        <v>2411013.2775</v>
      </c>
      <c r="J41" s="767" t="n">
        <f aca="false">J12*E70</f>
        <v>2384772.2</v>
      </c>
      <c r="K41" s="768" t="n">
        <f aca="false">K12*B70</f>
        <v>13211.0025585991</v>
      </c>
      <c r="L41" s="768"/>
      <c r="M41" s="769" t="n">
        <f aca="false">J41+K41</f>
        <v>2397983.2025586</v>
      </c>
      <c r="N41" s="773" t="n">
        <f aca="false">M41-I41</f>
        <v>-13030.0749414014</v>
      </c>
    </row>
    <row r="42" customFormat="false" ht="14.25" hidden="false" customHeight="false" outlineLevel="0" collapsed="false">
      <c r="A42" s="636" t="s">
        <v>13</v>
      </c>
      <c r="B42" s="764" t="n">
        <f aca="false">'EST.'!C12</f>
        <v>500205.548554</v>
      </c>
      <c r="C42" s="764" t="n">
        <f aca="false">C13*D71</f>
        <v>217431.057461573</v>
      </c>
      <c r="D42" s="754" t="n">
        <f aca="false">D13*B71</f>
        <v>15576.2230654442</v>
      </c>
      <c r="E42" s="755" t="n">
        <f aca="false">E13*C71</f>
        <v>0</v>
      </c>
      <c r="F42" s="765" t="n">
        <f aca="false">F13*B71</f>
        <v>3031324.11964502</v>
      </c>
      <c r="G42" s="755" t="n">
        <f aca="false">D42+E42+F42</f>
        <v>3046900.34271047</v>
      </c>
      <c r="H42" s="771" t="n">
        <f aca="false">G13*C71</f>
        <v>-1023659.480428</v>
      </c>
      <c r="I42" s="774" t="n">
        <f aca="false">B42+C42+H42+G42</f>
        <v>2740877.46829804</v>
      </c>
      <c r="J42" s="767" t="n">
        <f aca="false">J13*E71</f>
        <v>5099205.85</v>
      </c>
      <c r="K42" s="768" t="n">
        <f aca="false">K13*B71</f>
        <v>-50846.5571891256</v>
      </c>
      <c r="L42" s="768"/>
      <c r="M42" s="769" t="n">
        <f aca="false">J42+K42</f>
        <v>5048359.29281088</v>
      </c>
      <c r="N42" s="770" t="n">
        <f aca="false">M42-I42</f>
        <v>2307481.82451284</v>
      </c>
    </row>
    <row r="43" customFormat="false" ht="14.25" hidden="false" customHeight="false" outlineLevel="0" collapsed="false">
      <c r="A43" s="636" t="s">
        <v>14</v>
      </c>
      <c r="B43" s="764" t="n">
        <f aca="false">'EST.'!C13</f>
        <v>0</v>
      </c>
      <c r="C43" s="764" t="n">
        <f aca="false">C14*D72</f>
        <v>0</v>
      </c>
      <c r="D43" s="754" t="n">
        <f aca="false">D14*C72</f>
        <v>0</v>
      </c>
      <c r="E43" s="755" t="n">
        <f aca="false">E14*C72</f>
        <v>0</v>
      </c>
      <c r="F43" s="765" t="n">
        <f aca="false">F14*B72</f>
        <v>0</v>
      </c>
      <c r="G43" s="755" t="n">
        <f aca="false">D43+E43+F43</f>
        <v>0</v>
      </c>
      <c r="H43" s="758" t="n">
        <f aca="false">G14*C72</f>
        <v>0</v>
      </c>
      <c r="I43" s="774" t="n">
        <f aca="false">B43+C43+H43+G43</f>
        <v>0</v>
      </c>
      <c r="J43" s="767" t="n">
        <f aca="false">J14*E72</f>
        <v>0</v>
      </c>
      <c r="K43" s="775" t="n">
        <f aca="false">K14*C72</f>
        <v>0</v>
      </c>
      <c r="L43" s="775"/>
      <c r="M43" s="769" t="n">
        <f aca="false">J43+K43</f>
        <v>0</v>
      </c>
      <c r="N43" s="773" t="n">
        <f aca="false">M43-I43</f>
        <v>0</v>
      </c>
    </row>
    <row r="44" customFormat="false" ht="14.25" hidden="false" customHeight="false" outlineLevel="0" collapsed="false">
      <c r="A44" s="636" t="s">
        <v>15</v>
      </c>
      <c r="B44" s="764" t="n">
        <f aca="false">'EST.'!C14</f>
        <v>255283.155</v>
      </c>
      <c r="C44" s="764" t="n">
        <f aca="false">C15*D73</f>
        <v>37845.1543772793</v>
      </c>
      <c r="D44" s="754" t="n">
        <f aca="false">D15*C73</f>
        <v>0</v>
      </c>
      <c r="E44" s="755" t="n">
        <f aca="false">E15*C73</f>
        <v>0</v>
      </c>
      <c r="F44" s="765" t="n">
        <f aca="false">F15*B73</f>
        <v>1792611.24</v>
      </c>
      <c r="G44" s="755" t="n">
        <f aca="false">D44+E44+F44</f>
        <v>1792611.24</v>
      </c>
      <c r="H44" s="771" t="n">
        <f aca="false">G15*C73</f>
        <v>-426794.93676</v>
      </c>
      <c r="I44" s="766" t="n">
        <f aca="false">B44+C44+H44+G44</f>
        <v>1658944.61261728</v>
      </c>
      <c r="J44" s="767" t="n">
        <f aca="false">J15*E73</f>
        <v>3067489.02</v>
      </c>
      <c r="K44" s="768" t="n">
        <f aca="false">K15*B73</f>
        <v>21139.4789525823</v>
      </c>
      <c r="L44" s="768"/>
      <c r="M44" s="769" t="n">
        <f aca="false">J44+K44</f>
        <v>3088628.49895258</v>
      </c>
      <c r="N44" s="770" t="n">
        <f aca="false">M44-I44</f>
        <v>1429683.8863353</v>
      </c>
    </row>
    <row r="45" customFormat="false" ht="14.25" hidden="false" customHeight="false" outlineLevel="0" collapsed="false">
      <c r="A45" s="636" t="s">
        <v>16</v>
      </c>
      <c r="B45" s="764" t="n">
        <f aca="false">'EST.'!C15</f>
        <v>54405.3</v>
      </c>
      <c r="C45" s="764" t="n">
        <f aca="false">C16*D74</f>
        <v>9007.5</v>
      </c>
      <c r="D45" s="754" t="n">
        <f aca="false">D16*C74</f>
        <v>0</v>
      </c>
      <c r="E45" s="755" t="n">
        <f aca="false">E16*C74</f>
        <v>0</v>
      </c>
      <c r="F45" s="765" t="n">
        <f aca="false">F16*B74</f>
        <v>302677.48</v>
      </c>
      <c r="G45" s="755" t="n">
        <f aca="false">D45+E45+F45</f>
        <v>302677.48</v>
      </c>
      <c r="H45" s="771" t="n">
        <f aca="false">G16*C74</f>
        <v>-65569.246064</v>
      </c>
      <c r="I45" s="766" t="n">
        <f aca="false">B45+C45+H45+G45</f>
        <v>300521.033936</v>
      </c>
      <c r="J45" s="767" t="n">
        <f aca="false">J16*E74</f>
        <v>382204.72</v>
      </c>
      <c r="K45" s="775" t="n">
        <f aca="false">K16*B74</f>
        <v>58359.6919910644</v>
      </c>
      <c r="L45" s="775"/>
      <c r="M45" s="769" t="n">
        <f aca="false">J45+K45</f>
        <v>440564.411991064</v>
      </c>
      <c r="N45" s="770" t="n">
        <f aca="false">M45-I45</f>
        <v>140043.378055064</v>
      </c>
    </row>
    <row r="46" customFormat="false" ht="14.25" hidden="false" customHeight="false" outlineLevel="0" collapsed="false">
      <c r="A46" s="636" t="s">
        <v>17</v>
      </c>
      <c r="B46" s="764" t="n">
        <f aca="false">'EST.'!C16</f>
        <v>391649.028</v>
      </c>
      <c r="C46" s="764" t="n">
        <f aca="false">C17*D75</f>
        <v>52238.0277756386</v>
      </c>
      <c r="D46" s="754" t="n">
        <f aca="false">D17*B75</f>
        <v>236096.062285376</v>
      </c>
      <c r="E46" s="755" t="n">
        <f aca="false">E17*C75</f>
        <v>0</v>
      </c>
      <c r="F46" s="765" t="n">
        <f aca="false">F17*B75</f>
        <v>954965.44</v>
      </c>
      <c r="G46" s="755" t="n">
        <f aca="false">D46+E46+F46</f>
        <v>1191061.50228538</v>
      </c>
      <c r="H46" s="771" t="n">
        <f aca="false">G17*C75</f>
        <v>-357286.299216</v>
      </c>
      <c r="I46" s="766" t="n">
        <f aca="false">B46+C46+H46+G46</f>
        <v>1277662.25884501</v>
      </c>
      <c r="J46" s="767" t="n">
        <f aca="false">J17*E75</f>
        <v>2945175.89</v>
      </c>
      <c r="K46" s="775" t="n">
        <f aca="false">K17*B75</f>
        <v>-18974.7440725978</v>
      </c>
      <c r="L46" s="775"/>
      <c r="M46" s="769" t="n">
        <f aca="false">J46+K46</f>
        <v>2926201.1459274</v>
      </c>
      <c r="N46" s="770" t="n">
        <f aca="false">M46-I46</f>
        <v>1648538.88708239</v>
      </c>
    </row>
    <row r="47" customFormat="false" ht="14.25" hidden="false" customHeight="false" outlineLevel="0" collapsed="false">
      <c r="A47" s="636" t="s">
        <v>18</v>
      </c>
      <c r="B47" s="764" t="n">
        <f aca="false">'EST.'!C17</f>
        <v>283385.1</v>
      </c>
      <c r="C47" s="764" t="n">
        <f aca="false">C18*D76</f>
        <v>106893.042209018</v>
      </c>
      <c r="D47" s="754" t="n">
        <f aca="false">D18*B76</f>
        <v>0</v>
      </c>
      <c r="E47" s="755" t="n">
        <f aca="false">E18*C76</f>
        <v>0</v>
      </c>
      <c r="F47" s="765" t="n">
        <f aca="false">F18*B76</f>
        <v>700000</v>
      </c>
      <c r="G47" s="755" t="n">
        <f aca="false">D47+E47+F47</f>
        <v>700000</v>
      </c>
      <c r="H47" s="771" t="n">
        <f aca="false">G18*C76</f>
        <v>-56605.96875</v>
      </c>
      <c r="I47" s="766" t="n">
        <f aca="false">B47+C47+H47+G47</f>
        <v>1033672.17345902</v>
      </c>
      <c r="J47" s="767" t="n">
        <f aca="false">J18*E76</f>
        <v>873426.2</v>
      </c>
      <c r="K47" s="775" t="n">
        <f aca="false">K18*C76</f>
        <v>221007.702</v>
      </c>
      <c r="L47" s="775"/>
      <c r="M47" s="769" t="n">
        <f aca="false">J47+K47</f>
        <v>1094433.902</v>
      </c>
      <c r="N47" s="773" t="n">
        <f aca="false">M47-I47</f>
        <v>60761.7285409814</v>
      </c>
    </row>
    <row r="48" customFormat="false" ht="14.25" hidden="false" customHeight="false" outlineLevel="0" collapsed="false">
      <c r="A48" s="636" t="s">
        <v>19</v>
      </c>
      <c r="B48" s="764" t="n">
        <f aca="false">'EST.'!C18</f>
        <v>199405.07</v>
      </c>
      <c r="C48" s="764" t="n">
        <f aca="false">C19*D77</f>
        <v>123309.300401624</v>
      </c>
      <c r="D48" s="754" t="n">
        <f aca="false">D19*C77</f>
        <v>0</v>
      </c>
      <c r="E48" s="755" t="n">
        <f aca="false">E19*C77</f>
        <v>0</v>
      </c>
      <c r="F48" s="765" t="n">
        <f aca="false">F19*B77</f>
        <v>631962.43</v>
      </c>
      <c r="G48" s="755" t="n">
        <f aca="false">D48+E48+F48</f>
        <v>631962.43</v>
      </c>
      <c r="H48" s="758" t="n">
        <f aca="false">G19*C77</f>
        <v>-308971.72362</v>
      </c>
      <c r="I48" s="766" t="n">
        <f aca="false">B48+C48+H48+G48</f>
        <v>645705.076781624</v>
      </c>
      <c r="J48" s="767" t="n">
        <f aca="false">J19*E77</f>
        <v>966396.53</v>
      </c>
      <c r="K48" s="768" t="n">
        <f aca="false">K19*B77</f>
        <v>58368.5787554527</v>
      </c>
      <c r="L48" s="768"/>
      <c r="M48" s="769" t="n">
        <f aca="false">J48+K48</f>
        <v>1024765.10875545</v>
      </c>
      <c r="N48" s="770" t="n">
        <f aca="false">M48-I48</f>
        <v>379060.031973829</v>
      </c>
    </row>
    <row r="49" customFormat="false" ht="14.25" hidden="false" customHeight="false" outlineLevel="0" collapsed="false">
      <c r="A49" s="776" t="s">
        <v>20</v>
      </c>
      <c r="B49" s="764" t="n">
        <f aca="false">'EST.'!C19</f>
        <v>114890.40249</v>
      </c>
      <c r="C49" s="764" t="n">
        <f aca="false">C20*D78</f>
        <v>83791.8670030761</v>
      </c>
      <c r="D49" s="754" t="n">
        <f aca="false">D20*C78</f>
        <v>1905144.72</v>
      </c>
      <c r="E49" s="755" t="n">
        <f aca="false">E20*C78</f>
        <v>0</v>
      </c>
      <c r="F49" s="765" t="n">
        <f aca="false">F20*B78</f>
        <v>0</v>
      </c>
      <c r="G49" s="755" t="n">
        <f aca="false">D49+E49+F49</f>
        <v>1905144.72</v>
      </c>
      <c r="H49" s="758" t="n">
        <f aca="false">G20*C78</f>
        <v>-1482599.311935</v>
      </c>
      <c r="I49" s="766" t="n">
        <f aca="false">B49+C49+H49+G49</f>
        <v>621227.677558076</v>
      </c>
      <c r="J49" s="767" t="n">
        <f aca="false">J20*E78</f>
        <v>887039.57</v>
      </c>
      <c r="K49" s="768" t="n">
        <f aca="false">K20*C78</f>
        <v>-0.16106999956537</v>
      </c>
      <c r="L49" s="768"/>
      <c r="M49" s="769" t="n">
        <f aca="false">J49+K49</f>
        <v>887039.408930001</v>
      </c>
      <c r="N49" s="770" t="n">
        <f aca="false">M49-I49</f>
        <v>265811.731371924</v>
      </c>
    </row>
    <row r="50" customFormat="false" ht="14.25" hidden="false" customHeight="false" outlineLevel="0" collapsed="false">
      <c r="A50" s="636" t="s">
        <v>21</v>
      </c>
      <c r="B50" s="764" t="n">
        <f aca="false">'EST.'!C20</f>
        <v>13166.4</v>
      </c>
      <c r="C50" s="764" t="n">
        <f aca="false">C21*D79</f>
        <v>12792</v>
      </c>
      <c r="D50" s="754" t="n">
        <f aca="false">D21*C79</f>
        <v>0</v>
      </c>
      <c r="E50" s="755" t="n">
        <f aca="false">E21*C79</f>
        <v>0</v>
      </c>
      <c r="F50" s="765" t="n">
        <f aca="false">F21*B79</f>
        <v>104750</v>
      </c>
      <c r="G50" s="755" t="n">
        <f aca="false">D50+E50+F50</f>
        <v>104750</v>
      </c>
      <c r="H50" s="771" t="n">
        <f aca="false">G21*C79</f>
        <v>11923.6</v>
      </c>
      <c r="I50" s="774" t="n">
        <f aca="false">B50+C50+H50+G50</f>
        <v>142632</v>
      </c>
      <c r="J50" s="767" t="n">
        <f aca="false">J21*E79</f>
        <v>182174.5</v>
      </c>
      <c r="K50" s="775" t="n">
        <f aca="false">K21*B79</f>
        <v>42323.816091954</v>
      </c>
      <c r="L50" s="775"/>
      <c r="M50" s="769" t="n">
        <f aca="false">J50+K50</f>
        <v>224498.316091954</v>
      </c>
      <c r="N50" s="773" t="n">
        <f aca="false">M50-I50</f>
        <v>81866.316091954</v>
      </c>
    </row>
    <row r="51" customFormat="false" ht="14.25" hidden="false" customHeight="false" outlineLevel="0" collapsed="false">
      <c r="A51" s="636" t="s">
        <v>22</v>
      </c>
      <c r="B51" s="764" t="n">
        <f aca="false">'EST.'!C21</f>
        <v>0</v>
      </c>
      <c r="C51" s="764" t="n">
        <f aca="false">C22*D80</f>
        <v>0</v>
      </c>
      <c r="D51" s="754" t="n">
        <f aca="false">D22*B79</f>
        <v>0</v>
      </c>
      <c r="E51" s="755" t="n">
        <f aca="false">E22*C80</f>
        <v>0</v>
      </c>
      <c r="F51" s="765" t="n">
        <f aca="false">F22*B80</f>
        <v>347759</v>
      </c>
      <c r="G51" s="755" t="n">
        <f aca="false">D51+E51+F51</f>
        <v>347759</v>
      </c>
      <c r="H51" s="758" t="n">
        <f aca="false">G22*C80</f>
        <v>-28239.4885</v>
      </c>
      <c r="I51" s="774" t="n">
        <f aca="false">B51+C51+H51+G51</f>
        <v>319519.5115</v>
      </c>
      <c r="J51" s="767" t="n">
        <f aca="false">J22*E80</f>
        <v>58675.21875</v>
      </c>
      <c r="K51" s="768" t="n">
        <f aca="false">K22*B80</f>
        <v>214532.244740399</v>
      </c>
      <c r="L51" s="768"/>
      <c r="M51" s="769" t="n">
        <f aca="false">J51+K51</f>
        <v>273207.463490399</v>
      </c>
      <c r="N51" s="777" t="n">
        <f aca="false">M51-I51</f>
        <v>-46312.0480096007</v>
      </c>
    </row>
    <row r="52" customFormat="false" ht="14.25" hidden="false" customHeight="false" outlineLevel="0" collapsed="false">
      <c r="A52" s="636" t="s">
        <v>2144</v>
      </c>
      <c r="B52" s="764" t="n">
        <v>0</v>
      </c>
      <c r="C52" s="764"/>
      <c r="D52" s="754" t="n">
        <v>0</v>
      </c>
      <c r="E52" s="755"/>
      <c r="F52" s="765"/>
      <c r="G52" s="755" t="n">
        <f aca="false">D52+E52+F52</f>
        <v>0</v>
      </c>
      <c r="H52" s="758" t="n">
        <f aca="false">G23*C81</f>
        <v>0</v>
      </c>
      <c r="I52" s="774" t="n">
        <f aca="false">B52+C52+H52+G52</f>
        <v>0</v>
      </c>
      <c r="J52" s="767" t="n">
        <f aca="false">J23*E81</f>
        <v>0</v>
      </c>
      <c r="K52" s="768" t="n">
        <f aca="false">K23*C81</f>
        <v>0</v>
      </c>
      <c r="L52" s="768"/>
      <c r="M52" s="769" t="n">
        <f aca="false">J52+K52</f>
        <v>0</v>
      </c>
      <c r="N52" s="773" t="n">
        <f aca="false">M52-I52</f>
        <v>0</v>
      </c>
    </row>
    <row r="53" customFormat="false" ht="14.25" hidden="false" customHeight="false" outlineLevel="0" collapsed="false">
      <c r="A53" s="636" t="s">
        <v>75</v>
      </c>
      <c r="B53" s="764" t="n">
        <f aca="false">'EST.'!C22</f>
        <v>0</v>
      </c>
      <c r="C53" s="764" t="n">
        <f aca="false">C24*D81</f>
        <v>0</v>
      </c>
      <c r="D53" s="754" t="n">
        <f aca="false">D24*C82</f>
        <v>294900</v>
      </c>
      <c r="E53" s="755" t="n">
        <f aca="false">E24*C81</f>
        <v>0</v>
      </c>
      <c r="F53" s="765" t="n">
        <f aca="false">F24*B81</f>
        <v>0</v>
      </c>
      <c r="G53" s="755" t="n">
        <f aca="false">D53+E53+F53</f>
        <v>294900</v>
      </c>
      <c r="H53" s="758" t="n">
        <f aca="false">G24*C82</f>
        <v>48495</v>
      </c>
      <c r="I53" s="774" t="n">
        <f aca="false">B53+C53+H53+G53</f>
        <v>343395</v>
      </c>
      <c r="J53" s="767" t="n">
        <f aca="false">J24*E82</f>
        <v>782895.19</v>
      </c>
      <c r="K53" s="768" t="n">
        <f aca="false">K24*C82</f>
        <v>90900</v>
      </c>
      <c r="L53" s="768"/>
      <c r="M53" s="769" t="n">
        <f aca="false">J53+K53</f>
        <v>873795.19</v>
      </c>
      <c r="N53" s="773" t="n">
        <f aca="false">M53-I53</f>
        <v>530400.19</v>
      </c>
    </row>
    <row r="54" customFormat="false" ht="14.25" hidden="false" customHeight="false" outlineLevel="0" collapsed="false">
      <c r="A54" s="722" t="s">
        <v>172</v>
      </c>
      <c r="B54" s="778" t="n">
        <v>0</v>
      </c>
      <c r="C54" s="779"/>
      <c r="D54" s="754" t="n">
        <f aca="false">D25*C82</f>
        <v>0</v>
      </c>
      <c r="E54" s="780"/>
      <c r="F54" s="765" t="n">
        <f aca="false">F25*B83</f>
        <v>44000</v>
      </c>
      <c r="G54" s="755" t="n">
        <f aca="false">D54+E54+F54</f>
        <v>44000</v>
      </c>
      <c r="H54" s="758" t="n">
        <f aca="false">G25*C83</f>
        <v>3261.14</v>
      </c>
      <c r="I54" s="774" t="n">
        <f aca="false">B54+C54+H54+G54</f>
        <v>47261.14</v>
      </c>
      <c r="J54" s="767" t="n">
        <f aca="false">J25*E83</f>
        <v>0</v>
      </c>
      <c r="K54" s="768" t="n">
        <f aca="false">K25*B82</f>
        <v>0</v>
      </c>
      <c r="L54" s="768"/>
      <c r="M54" s="769" t="n">
        <f aca="false">J54+K54</f>
        <v>0</v>
      </c>
      <c r="N54" s="773" t="n">
        <f aca="false">M54-I54</f>
        <v>-47261.14</v>
      </c>
    </row>
    <row r="55" customFormat="false" ht="14.25" hidden="false" customHeight="false" outlineLevel="0" collapsed="false">
      <c r="A55" s="722" t="s">
        <v>74</v>
      </c>
      <c r="B55" s="778" t="n">
        <v>0</v>
      </c>
      <c r="C55" s="779"/>
      <c r="D55" s="754" t="n">
        <f aca="false">D26*C84</f>
        <v>85410</v>
      </c>
      <c r="E55" s="780"/>
      <c r="F55" s="765"/>
      <c r="G55" s="755" t="n">
        <f aca="false">D55+E55+F55</f>
        <v>85410</v>
      </c>
      <c r="H55" s="758" t="n">
        <f aca="false">G26*C84</f>
        <v>-6855</v>
      </c>
      <c r="I55" s="774" t="n">
        <f aca="false">B55+C55+H55+G55</f>
        <v>78555</v>
      </c>
      <c r="J55" s="767" t="n">
        <f aca="false">J26*E84</f>
        <v>0</v>
      </c>
      <c r="K55" s="768" t="n">
        <f aca="false">K26*C84</f>
        <v>78555</v>
      </c>
      <c r="L55" s="768"/>
      <c r="M55" s="769" t="n">
        <f aca="false">J55+K55</f>
        <v>78555</v>
      </c>
      <c r="N55" s="773" t="n">
        <f aca="false">M55-I55</f>
        <v>0</v>
      </c>
    </row>
    <row r="56" customFormat="false" ht="14.25" hidden="false" customHeight="false" outlineLevel="0" collapsed="false">
      <c r="A56" s="781" t="s">
        <v>173</v>
      </c>
      <c r="B56" s="778" t="n">
        <v>0</v>
      </c>
      <c r="C56" s="779"/>
      <c r="D56" s="754" t="n">
        <f aca="false">D27*C84</f>
        <v>0</v>
      </c>
      <c r="E56" s="780"/>
      <c r="F56" s="765"/>
      <c r="G56" s="755" t="n">
        <f aca="false">D56+E56+F56</f>
        <v>0</v>
      </c>
      <c r="H56" s="758" t="n">
        <f aca="false">G27*C85</f>
        <v>45540</v>
      </c>
      <c r="I56" s="774" t="n">
        <f aca="false">B56+C56+H56+G56</f>
        <v>45540</v>
      </c>
      <c r="J56" s="767" t="n">
        <f aca="false">J27*E85</f>
        <v>0</v>
      </c>
      <c r="K56" s="768" t="n">
        <f aca="false">K27*C85</f>
        <v>45540</v>
      </c>
      <c r="L56" s="768"/>
      <c r="M56" s="769" t="n">
        <f aca="false">J56+K56</f>
        <v>45540</v>
      </c>
      <c r="N56" s="773" t="n">
        <f aca="false">M56-I56</f>
        <v>0</v>
      </c>
    </row>
    <row r="57" customFormat="false" ht="14.25" hidden="false" customHeight="false" outlineLevel="0" collapsed="false">
      <c r="A57" s="782" t="s">
        <v>24</v>
      </c>
      <c r="B57" s="783" t="n">
        <f aca="false">'EST.'!C23</f>
        <v>0</v>
      </c>
      <c r="C57" s="783" t="n">
        <f aca="false">C28*D87</f>
        <v>0</v>
      </c>
      <c r="D57" s="754" t="n">
        <f aca="false">D28*B85</f>
        <v>0</v>
      </c>
      <c r="E57" s="780" t="n">
        <f aca="false">E28*C87</f>
        <v>0</v>
      </c>
      <c r="F57" s="765" t="n">
        <f aca="false">F28*B87</f>
        <v>0</v>
      </c>
      <c r="G57" s="784" t="n">
        <f aca="false">D57+E57+F57</f>
        <v>0</v>
      </c>
      <c r="H57" s="758" t="n">
        <f aca="false">G28*C86</f>
        <v>0</v>
      </c>
      <c r="I57" s="766" t="n">
        <f aca="false">B57+C57+H57+G57</f>
        <v>0</v>
      </c>
      <c r="J57" s="767" t="n">
        <f aca="false">J28*E86</f>
        <v>0</v>
      </c>
      <c r="K57" s="768" t="n">
        <f aca="false">K28*C86</f>
        <v>0</v>
      </c>
      <c r="L57" s="785"/>
      <c r="M57" s="786" t="n">
        <f aca="false">J57+K57</f>
        <v>0</v>
      </c>
      <c r="N57" s="773" t="n">
        <f aca="false">M57-I57</f>
        <v>0</v>
      </c>
    </row>
    <row r="58" customFormat="false" ht="14.25" hidden="false" customHeight="false" outlineLevel="0" collapsed="false">
      <c r="A58" s="787" t="s">
        <v>25</v>
      </c>
      <c r="B58" s="788" t="n">
        <f aca="false">SUM(B34:B57)</f>
        <v>5223951.115977</v>
      </c>
      <c r="C58" s="788" t="n">
        <f aca="false">SUM(C34:C57)</f>
        <v>1321317.32191766</v>
      </c>
      <c r="D58" s="789" t="n">
        <f aca="false">SUM(D34:D57)</f>
        <v>3682979.98252646</v>
      </c>
      <c r="E58" s="789" t="n">
        <f aca="false">SUM(E34:E57)</f>
        <v>1547532.36</v>
      </c>
      <c r="F58" s="789" t="n">
        <f aca="false">SUM(F34:F57)</f>
        <v>31228304.2284782</v>
      </c>
      <c r="G58" s="789" t="n">
        <f aca="false">SUM(G34:G57)</f>
        <v>36458816.5710047</v>
      </c>
      <c r="H58" s="790" t="n">
        <f aca="false">SUM(H34:H57)</f>
        <v>-4047213.612554</v>
      </c>
      <c r="I58" s="791" t="n">
        <f aca="false">SUM(I34:I57)</f>
        <v>38956871.3963453</v>
      </c>
      <c r="J58" s="792" t="n">
        <f aca="false">SUM(J34:J57)</f>
        <v>70105419.33425</v>
      </c>
      <c r="K58" s="793" t="n">
        <f aca="false">SUM(K34:K57)</f>
        <v>-1540676.9446802</v>
      </c>
      <c r="L58" s="793"/>
      <c r="M58" s="794" t="n">
        <f aca="false">SUM(M34:M57)</f>
        <v>68564742.3895698</v>
      </c>
      <c r="N58" s="795" t="n">
        <f aca="false">SUM(N34:N57)</f>
        <v>29607870.9932245</v>
      </c>
    </row>
    <row r="59" s="44" customFormat="true" ht="15" hidden="false" customHeight="true" outlineLevel="0" collapsed="false">
      <c r="A59" s="741" t="s">
        <v>2169</v>
      </c>
      <c r="B59" s="741"/>
      <c r="C59" s="741"/>
      <c r="D59" s="741"/>
      <c r="E59" s="741"/>
      <c r="F59" s="796"/>
      <c r="G59" s="796"/>
      <c r="H59" s="796"/>
      <c r="I59" s="796"/>
      <c r="J59" s="796"/>
      <c r="K59" s="796"/>
      <c r="L59" s="797"/>
    </row>
    <row r="60" s="44" customFormat="true" ht="11.25" hidden="false" customHeight="true" outlineLevel="0" collapsed="false">
      <c r="A60" s="741"/>
      <c r="B60" s="741"/>
      <c r="C60" s="741"/>
      <c r="D60" s="741"/>
      <c r="E60" s="741"/>
      <c r="F60" s="797"/>
      <c r="G60" s="797"/>
      <c r="H60" s="797"/>
      <c r="I60" s="797"/>
      <c r="J60" s="797"/>
      <c r="K60" s="797"/>
      <c r="L60" s="797"/>
    </row>
    <row r="61" customFormat="false" ht="47.25" hidden="false" customHeight="true" outlineLevel="0" collapsed="false">
      <c r="A61" s="606" t="s">
        <v>1</v>
      </c>
      <c r="B61" s="606" t="s">
        <v>2170</v>
      </c>
      <c r="C61" s="608" t="s">
        <v>2171</v>
      </c>
      <c r="D61" s="798" t="s">
        <v>2172</v>
      </c>
      <c r="E61" s="799" t="s">
        <v>2173</v>
      </c>
      <c r="F61" s="799" t="s">
        <v>2174</v>
      </c>
      <c r="G61" s="800"/>
      <c r="H61" s="801"/>
      <c r="I61" s="802"/>
      <c r="J61" s="802"/>
      <c r="K61" s="802"/>
      <c r="L61" s="803"/>
      <c r="M61" s="802"/>
      <c r="N61" s="802"/>
      <c r="O61" s="802"/>
    </row>
    <row r="62" customFormat="false" ht="18.75" hidden="false" customHeight="true" outlineLevel="0" collapsed="false">
      <c r="A62" s="606"/>
      <c r="B62" s="606"/>
      <c r="C62" s="804" t="n">
        <v>45561</v>
      </c>
      <c r="D62" s="798"/>
      <c r="E62" s="799"/>
      <c r="F62" s="799"/>
      <c r="G62" s="805"/>
      <c r="H62" s="805"/>
      <c r="I62" s="802"/>
      <c r="J62" s="802"/>
      <c r="K62" s="802"/>
      <c r="L62" s="803"/>
      <c r="M62" s="802"/>
      <c r="N62" s="802"/>
      <c r="O62" s="802"/>
    </row>
    <row r="63" customFormat="false" ht="14.25" hidden="false" customHeight="false" outlineLevel="0" collapsed="false">
      <c r="A63" s="752" t="s">
        <v>5</v>
      </c>
      <c r="B63" s="806" t="n">
        <f aca="false">'COM.'!U4</f>
        <v>0.233104055769304</v>
      </c>
      <c r="C63" s="807" t="n">
        <v>0.25</v>
      </c>
      <c r="D63" s="806" t="n">
        <f aca="false">'DEV.'!F4</f>
        <v>0.437530766079488</v>
      </c>
      <c r="E63" s="806" t="n">
        <f aca="false">'SAL.(3)'!U6</f>
        <v>0.413617915212503</v>
      </c>
      <c r="F63" s="808" t="n">
        <f aca="false">'PRO.'!E4</f>
        <v>0.0573135311618856</v>
      </c>
      <c r="G63" s="809"/>
      <c r="H63" s="810"/>
      <c r="I63" s="809"/>
      <c r="J63" s="216"/>
      <c r="K63" s="384"/>
      <c r="L63" s="384"/>
      <c r="M63" s="811"/>
      <c r="N63" s="811"/>
      <c r="O63" s="442"/>
    </row>
    <row r="64" customFormat="false" ht="14.25" hidden="false" customHeight="false" outlineLevel="0" collapsed="false">
      <c r="A64" s="636" t="s">
        <v>6</v>
      </c>
      <c r="B64" s="812" t="n">
        <f aca="false">'COM.'!U5</f>
        <v>0.205097215602684</v>
      </c>
      <c r="C64" s="813" t="n">
        <v>0.27</v>
      </c>
      <c r="D64" s="812" t="n">
        <f aca="false">'DEV.'!F5</f>
        <v>0.508059785164872</v>
      </c>
      <c r="E64" s="812" t="n">
        <f aca="false">'SAL.(3)'!U7</f>
        <v>0.330003592277479</v>
      </c>
      <c r="F64" s="814" t="n">
        <v>0</v>
      </c>
      <c r="G64" s="809"/>
      <c r="H64" s="810"/>
      <c r="I64" s="809"/>
      <c r="J64" s="216"/>
      <c r="K64" s="384"/>
      <c r="L64" s="384"/>
      <c r="M64" s="811"/>
      <c r="N64" s="811"/>
      <c r="O64" s="442"/>
    </row>
    <row r="65" customFormat="false" ht="14.25" hidden="false" customHeight="false" outlineLevel="0" collapsed="false">
      <c r="A65" s="636" t="s">
        <v>7</v>
      </c>
      <c r="B65" s="812" t="n">
        <f aca="false">'COM.'!U6</f>
        <v>0.296035364286203</v>
      </c>
      <c r="C65" s="813" t="n">
        <v>0.32</v>
      </c>
      <c r="D65" s="812" t="n">
        <f aca="false">'DEV.'!F6</f>
        <v>0.597198614974501</v>
      </c>
      <c r="E65" s="812" t="n">
        <f aca="false">'SAL.(3)'!U8</f>
        <v>0.473303869956965</v>
      </c>
      <c r="F65" s="814" t="n">
        <v>0</v>
      </c>
      <c r="G65" s="809"/>
      <c r="H65" s="810"/>
      <c r="I65" s="809"/>
      <c r="J65" s="216"/>
      <c r="K65" s="384"/>
      <c r="L65" s="384"/>
      <c r="M65" s="811"/>
      <c r="N65" s="811"/>
      <c r="O65" s="442"/>
    </row>
    <row r="66" customFormat="false" ht="14.25" hidden="false" customHeight="false" outlineLevel="0" collapsed="false">
      <c r="A66" s="636" t="s">
        <v>42</v>
      </c>
      <c r="B66" s="812" t="n">
        <f aca="false">'COM.'!U7</f>
        <v>0.194186016101058</v>
      </c>
      <c r="C66" s="813" t="n">
        <v>0.19</v>
      </c>
      <c r="D66" s="812" t="n">
        <f aca="false">'DEV.'!F7</f>
        <v>0.604466092790979</v>
      </c>
      <c r="E66" s="812" t="n">
        <f aca="false">'SAL.(3)'!U9</f>
        <v>0.447889191671956</v>
      </c>
      <c r="F66" s="814" t="n">
        <f aca="false">'PRO.'!E6</f>
        <v>0.0476609080669511</v>
      </c>
      <c r="G66" s="809"/>
      <c r="H66" s="810"/>
      <c r="I66" s="809"/>
      <c r="J66" s="216"/>
      <c r="K66" s="384"/>
      <c r="L66" s="384"/>
      <c r="M66" s="811"/>
      <c r="N66" s="811"/>
      <c r="O66" s="442"/>
    </row>
    <row r="67" customFormat="false" ht="14.25" hidden="false" customHeight="false" outlineLevel="0" collapsed="false">
      <c r="A67" s="636" t="s">
        <v>9</v>
      </c>
      <c r="B67" s="812" t="n">
        <v>0</v>
      </c>
      <c r="C67" s="813" t="n">
        <v>0.24</v>
      </c>
      <c r="D67" s="812" t="n">
        <v>0</v>
      </c>
      <c r="E67" s="812" t="n">
        <f aca="false">'SAL.(3)'!U10</f>
        <v>0</v>
      </c>
      <c r="F67" s="814" t="n">
        <v>0</v>
      </c>
      <c r="G67" s="809"/>
      <c r="H67" s="810"/>
      <c r="I67" s="809"/>
      <c r="J67" s="216"/>
      <c r="K67" s="384"/>
      <c r="L67" s="384"/>
      <c r="M67" s="811"/>
      <c r="N67" s="811"/>
      <c r="O67" s="442"/>
    </row>
    <row r="68" customFormat="false" ht="14.25" hidden="false" customHeight="false" outlineLevel="0" collapsed="false">
      <c r="A68" s="636" t="s">
        <v>10</v>
      </c>
      <c r="B68" s="812" t="n">
        <f aca="false">'COM.'!U9</f>
        <v>0.0913215081989931</v>
      </c>
      <c r="C68" s="813" t="n">
        <v>0.09</v>
      </c>
      <c r="D68" s="812" t="n">
        <f aca="false">'DEV.'!F9</f>
        <v>0.241420284640165</v>
      </c>
      <c r="E68" s="812" t="n">
        <f aca="false">'SAL.(3)'!U11</f>
        <v>0.18547624378788</v>
      </c>
      <c r="F68" s="814" t="n">
        <f aca="false">'PRO.'!E7</f>
        <v>0.0390026298050659</v>
      </c>
      <c r="G68" s="809"/>
      <c r="H68" s="810"/>
      <c r="I68" s="809"/>
      <c r="J68" s="216"/>
      <c r="K68" s="384"/>
      <c r="L68" s="384"/>
      <c r="M68" s="811"/>
      <c r="N68" s="811"/>
      <c r="O68" s="442"/>
    </row>
    <row r="69" customFormat="false" ht="14.25" hidden="false" customHeight="false" outlineLevel="0" collapsed="false">
      <c r="A69" s="636" t="s">
        <v>11</v>
      </c>
      <c r="B69" s="812" t="n">
        <f aca="false">'COM.'!U10</f>
        <v>1.96128856227294</v>
      </c>
      <c r="C69" s="813" t="n">
        <v>2.5</v>
      </c>
      <c r="D69" s="812" t="n">
        <f aca="false">'DEV.'!F10</f>
        <v>3.80622015740496</v>
      </c>
      <c r="E69" s="812" t="n">
        <f aca="false">'SAL.(3)'!U12</f>
        <v>3.80622112578537</v>
      </c>
      <c r="F69" s="814" t="n">
        <v>0</v>
      </c>
      <c r="G69" s="809"/>
      <c r="H69" s="810"/>
      <c r="I69" s="809"/>
      <c r="J69" s="216"/>
      <c r="K69" s="384"/>
      <c r="L69" s="384"/>
      <c r="M69" s="811"/>
      <c r="N69" s="811"/>
      <c r="O69" s="442"/>
    </row>
    <row r="70" customFormat="false" ht="14.25" hidden="false" customHeight="false" outlineLevel="0" collapsed="false">
      <c r="A70" s="636" t="s">
        <v>12</v>
      </c>
      <c r="B70" s="812" t="n">
        <f aca="false">'COM.'!U11</f>
        <v>2.28486281851274</v>
      </c>
      <c r="C70" s="813" t="n">
        <v>1.8</v>
      </c>
      <c r="D70" s="812" t="n">
        <v>0</v>
      </c>
      <c r="E70" s="812" t="n">
        <f aca="false">'SAL.(3)'!U13</f>
        <v>2.72587232531805</v>
      </c>
      <c r="F70" s="814" t="n">
        <v>0</v>
      </c>
      <c r="G70" s="809"/>
      <c r="H70" s="810"/>
      <c r="I70" s="809"/>
      <c r="J70" s="216"/>
      <c r="K70" s="384"/>
      <c r="L70" s="384"/>
      <c r="M70" s="811"/>
      <c r="N70" s="811"/>
      <c r="O70" s="442"/>
    </row>
    <row r="71" customFormat="false" ht="14.25" hidden="false" customHeight="false" outlineLevel="0" collapsed="false">
      <c r="A71" s="636" t="s">
        <v>13</v>
      </c>
      <c r="B71" s="812" t="n">
        <f aca="false">'COM.'!U12</f>
        <v>0.209290042680318</v>
      </c>
      <c r="C71" s="813" t="n">
        <v>0.26</v>
      </c>
      <c r="D71" s="812" t="n">
        <f aca="false">'DEV.'!F12</f>
        <v>0.846941503404704</v>
      </c>
      <c r="E71" s="812" t="n">
        <f aca="false">'SAL.(3)'!U14</f>
        <v>0.430843140584599</v>
      </c>
      <c r="F71" s="814" t="n">
        <f aca="false">'PRO.'!E9</f>
        <v>0.0531440756421643</v>
      </c>
      <c r="G71" s="809"/>
      <c r="H71" s="810"/>
      <c r="I71" s="809"/>
      <c r="J71" s="216"/>
      <c r="K71" s="384"/>
      <c r="L71" s="384"/>
      <c r="M71" s="811"/>
      <c r="N71" s="811"/>
      <c r="O71" s="442"/>
    </row>
    <row r="72" customFormat="false" ht="14.25" hidden="false" customHeight="false" outlineLevel="0" collapsed="false">
      <c r="A72" s="636" t="s">
        <v>14</v>
      </c>
      <c r="B72" s="812" t="n">
        <v>0</v>
      </c>
      <c r="C72" s="813" t="n">
        <v>0.2</v>
      </c>
      <c r="D72" s="812" t="n">
        <v>0</v>
      </c>
      <c r="E72" s="812" t="n">
        <f aca="false">'SAL.(3)'!U15</f>
        <v>0</v>
      </c>
      <c r="F72" s="814" t="n">
        <v>0</v>
      </c>
      <c r="G72" s="809"/>
      <c r="H72" s="810"/>
      <c r="I72" s="809"/>
      <c r="J72" s="216"/>
      <c r="K72" s="384"/>
      <c r="L72" s="384"/>
      <c r="M72" s="811"/>
      <c r="N72" s="811"/>
      <c r="O72" s="442"/>
    </row>
    <row r="73" customFormat="false" ht="14.25" hidden="false" customHeight="false" outlineLevel="0" collapsed="false">
      <c r="A73" s="636" t="s">
        <v>15</v>
      </c>
      <c r="B73" s="812" t="n">
        <f aca="false">'COM.'!U14</f>
        <v>0.301170636843378</v>
      </c>
      <c r="C73" s="813" t="n">
        <v>0.3</v>
      </c>
      <c r="D73" s="812" t="n">
        <f aca="false">'DEV.'!F14</f>
        <v>0.656322572206535</v>
      </c>
      <c r="E73" s="812" t="n">
        <f aca="false">'SAL.(3)'!U16</f>
        <v>0.597381162167584</v>
      </c>
      <c r="F73" s="814" t="n">
        <v>0</v>
      </c>
      <c r="G73" s="809"/>
      <c r="H73" s="810"/>
      <c r="I73" s="809"/>
      <c r="J73" s="216"/>
      <c r="K73" s="384"/>
      <c r="L73" s="384"/>
      <c r="M73" s="811"/>
      <c r="N73" s="811"/>
      <c r="O73" s="442"/>
    </row>
    <row r="74" customFormat="false" ht="14.25" hidden="false" customHeight="false" outlineLevel="0" collapsed="false">
      <c r="A74" s="636" t="s">
        <v>16</v>
      </c>
      <c r="B74" s="812" t="n">
        <f aca="false">'COM.'!U15</f>
        <v>0.431701114519273</v>
      </c>
      <c r="C74" s="813" t="n">
        <v>0.41</v>
      </c>
      <c r="D74" s="812" t="n">
        <f aca="false">'DEV.'!F15</f>
        <v>1.06755555555556</v>
      </c>
      <c r="E74" s="812" t="n">
        <f aca="false">'SAL.(3)'!U17</f>
        <v>0.816441240240529</v>
      </c>
      <c r="F74" s="814" t="n">
        <v>0</v>
      </c>
      <c r="G74" s="809"/>
      <c r="H74" s="810"/>
      <c r="I74" s="809"/>
      <c r="J74" s="216"/>
      <c r="K74" s="384"/>
      <c r="L74" s="384"/>
      <c r="M74" s="811"/>
      <c r="N74" s="811"/>
      <c r="O74" s="442"/>
    </row>
    <row r="75" customFormat="false" ht="14.25" hidden="false" customHeight="false" outlineLevel="0" collapsed="false">
      <c r="A75" s="636" t="s">
        <v>17</v>
      </c>
      <c r="B75" s="812" t="n">
        <f aca="false">'COM.'!U16</f>
        <v>0.197036789564851</v>
      </c>
      <c r="C75" s="813" t="n">
        <v>0.22</v>
      </c>
      <c r="D75" s="812" t="n">
        <f aca="false">'DEV.'!F16</f>
        <v>0.908605953396331</v>
      </c>
      <c r="E75" s="812" t="n">
        <f aca="false">'SAL.(3)'!U18</f>
        <v>0.521054039099719</v>
      </c>
      <c r="F75" s="814" t="n">
        <f aca="false">'PRO.'!E11</f>
        <v>0.218428738507873</v>
      </c>
      <c r="G75" s="809"/>
      <c r="H75" s="810"/>
      <c r="I75" s="809"/>
      <c r="J75" s="216"/>
      <c r="K75" s="384"/>
      <c r="L75" s="384"/>
      <c r="M75" s="811"/>
      <c r="N75" s="811"/>
      <c r="O75" s="442"/>
    </row>
    <row r="76" customFormat="false" ht="14.25" hidden="false" customHeight="false" outlineLevel="0" collapsed="false">
      <c r="A76" s="636" t="s">
        <v>18</v>
      </c>
      <c r="B76" s="812" t="n">
        <f aca="false">'COM.'!U17</f>
        <v>0.339184754905096</v>
      </c>
      <c r="C76" s="813" t="n">
        <v>0.3</v>
      </c>
      <c r="D76" s="812" t="n">
        <f aca="false">'DEV.'!F13</f>
        <v>0.99775487934378</v>
      </c>
      <c r="E76" s="812" t="n">
        <f aca="false">'SAL.(3)'!U19</f>
        <v>0.428033397251299</v>
      </c>
      <c r="F76" s="814" t="n">
        <v>0</v>
      </c>
      <c r="G76" s="809"/>
      <c r="H76" s="810"/>
      <c r="I76" s="809"/>
      <c r="J76" s="216"/>
      <c r="K76" s="384"/>
      <c r="L76" s="384"/>
      <c r="M76" s="811"/>
      <c r="N76" s="811"/>
      <c r="O76" s="442"/>
    </row>
    <row r="77" customFormat="false" ht="14.25" hidden="false" customHeight="false" outlineLevel="0" collapsed="false">
      <c r="A77" s="636" t="s">
        <v>19</v>
      </c>
      <c r="B77" s="812" t="n">
        <f aca="false">'COM.'!U18</f>
        <v>0.377633871995541</v>
      </c>
      <c r="C77" s="813" t="n">
        <v>0.42</v>
      </c>
      <c r="D77" s="812" t="n">
        <f aca="false">'DEV.'!F18</f>
        <v>0.828281680252061</v>
      </c>
      <c r="E77" s="812" t="n">
        <f aca="false">'SAL.(3)'!U20</f>
        <v>0.824631984043177</v>
      </c>
      <c r="F77" s="814" t="n">
        <v>0</v>
      </c>
      <c r="G77" s="809"/>
      <c r="H77" s="810"/>
      <c r="I77" s="809"/>
      <c r="J77" s="216"/>
      <c r="K77" s="384"/>
      <c r="L77" s="384"/>
      <c r="M77" s="811"/>
      <c r="N77" s="811"/>
      <c r="O77" s="442"/>
    </row>
    <row r="78" customFormat="false" ht="14.25" hidden="false" customHeight="false" outlineLevel="0" collapsed="false">
      <c r="A78" s="776" t="s">
        <v>20</v>
      </c>
      <c r="B78" s="812" t="n">
        <v>0</v>
      </c>
      <c r="C78" s="813" t="n">
        <f aca="false">RES!W19</f>
        <v>0.15</v>
      </c>
      <c r="D78" s="812" t="n">
        <f aca="false">'DEV.'!F8</f>
        <v>0.263592938657216</v>
      </c>
      <c r="E78" s="812" t="n">
        <f aca="false">'SAL.(3)'!U21</f>
        <v>0.263592938657216</v>
      </c>
      <c r="F78" s="814" t="n">
        <f aca="false">'PRO.'!E8</f>
        <v>0.0325132804084301</v>
      </c>
      <c r="G78" s="809"/>
      <c r="H78" s="810"/>
      <c r="I78" s="809"/>
      <c r="J78" s="216"/>
      <c r="K78" s="384"/>
      <c r="L78" s="384"/>
      <c r="M78" s="811"/>
      <c r="N78" s="811"/>
      <c r="O78" s="442"/>
    </row>
    <row r="79" customFormat="false" ht="14.25" hidden="false" customHeight="false" outlineLevel="0" collapsed="false">
      <c r="A79" s="815" t="s">
        <v>21</v>
      </c>
      <c r="B79" s="812" t="n">
        <f aca="false">'COM.'!U24</f>
        <v>2.40804597701149</v>
      </c>
      <c r="C79" s="813" t="n">
        <f aca="false">RES!W25</f>
        <v>2.6</v>
      </c>
      <c r="D79" s="812" t="n">
        <f aca="false">'DEV.'!F19</f>
        <v>6.24</v>
      </c>
      <c r="E79" s="812" t="n">
        <f aca="false">'SAL.(3)'!U27</f>
        <v>5.25452841072974</v>
      </c>
      <c r="F79" s="814" t="n">
        <v>0</v>
      </c>
      <c r="G79" s="809"/>
      <c r="H79" s="810"/>
      <c r="I79" s="809"/>
      <c r="J79" s="216"/>
      <c r="K79" s="384"/>
      <c r="L79" s="384"/>
      <c r="M79" s="811"/>
      <c r="N79" s="811"/>
      <c r="O79" s="442"/>
    </row>
    <row r="80" customFormat="false" ht="14.25" hidden="false" customHeight="false" outlineLevel="0" collapsed="false">
      <c r="A80" s="815" t="s">
        <v>22</v>
      </c>
      <c r="B80" s="812" t="n">
        <f aca="false">'COM.'!U20</f>
        <v>0.758623322455105</v>
      </c>
      <c r="C80" s="813" t="n">
        <f aca="false">RES!W20</f>
        <v>0.5</v>
      </c>
      <c r="D80" s="812" t="n">
        <v>0</v>
      </c>
      <c r="E80" s="812" t="n">
        <f aca="false">'SAL.(3)'!U22</f>
        <v>0.4925</v>
      </c>
      <c r="F80" s="814" t="n">
        <v>0</v>
      </c>
      <c r="G80" s="809"/>
      <c r="H80" s="810"/>
      <c r="I80" s="809"/>
      <c r="J80" s="216"/>
      <c r="K80" s="384"/>
      <c r="L80" s="384"/>
      <c r="M80" s="811"/>
      <c r="N80" s="811"/>
      <c r="O80" s="442"/>
    </row>
    <row r="81" customFormat="false" ht="14.25" hidden="false" customHeight="false" outlineLevel="0" collapsed="false">
      <c r="A81" s="815" t="s">
        <v>2144</v>
      </c>
      <c r="B81" s="812" t="n">
        <v>0</v>
      </c>
      <c r="C81" s="813" t="n">
        <v>0</v>
      </c>
      <c r="D81" s="812" t="n">
        <v>0</v>
      </c>
      <c r="E81" s="816" t="n">
        <f aca="false">'SAL.(3)'!U23</f>
        <v>0</v>
      </c>
      <c r="F81" s="814" t="n">
        <v>0</v>
      </c>
      <c r="G81" s="809"/>
      <c r="H81" s="810"/>
      <c r="I81" s="809"/>
      <c r="J81" s="216"/>
      <c r="K81" s="384"/>
      <c r="L81" s="384"/>
      <c r="M81" s="811"/>
      <c r="N81" s="811"/>
      <c r="O81" s="442"/>
    </row>
    <row r="82" customFormat="false" ht="14.25" hidden="false" customHeight="false" outlineLevel="0" collapsed="false">
      <c r="A82" s="817" t="s">
        <v>75</v>
      </c>
      <c r="B82" s="818" t="n">
        <v>0</v>
      </c>
      <c r="C82" s="819" t="n">
        <f aca="false">RES!W24</f>
        <v>15</v>
      </c>
      <c r="D82" s="818" t="n">
        <v>0</v>
      </c>
      <c r="E82" s="820" t="n">
        <f aca="false">'SAL.(3)'!U26</f>
        <v>40.7651752147878</v>
      </c>
      <c r="F82" s="814" t="n">
        <f aca="false">'PRO.'!E13</f>
        <v>4.4913021363174</v>
      </c>
      <c r="G82" s="809"/>
      <c r="H82" s="810"/>
      <c r="I82" s="809"/>
      <c r="J82" s="216"/>
      <c r="K82" s="384"/>
      <c r="L82" s="384"/>
      <c r="M82" s="811"/>
      <c r="N82" s="811"/>
      <c r="O82" s="442"/>
    </row>
    <row r="83" customFormat="false" ht="14.25" hidden="false" customHeight="false" outlineLevel="0" collapsed="false">
      <c r="A83" s="817" t="s">
        <v>172</v>
      </c>
      <c r="B83" s="818" t="n">
        <f aca="false">'COM.'!U21</f>
        <v>11</v>
      </c>
      <c r="C83" s="819" t="n">
        <v>39.77</v>
      </c>
      <c r="D83" s="818" t="n">
        <v>0</v>
      </c>
      <c r="E83" s="818" t="n">
        <v>0</v>
      </c>
      <c r="F83" s="814" t="n">
        <v>0</v>
      </c>
      <c r="G83" s="809"/>
      <c r="H83" s="810"/>
      <c r="I83" s="809"/>
      <c r="J83" s="216"/>
      <c r="K83" s="384"/>
      <c r="L83" s="384"/>
      <c r="M83" s="811"/>
      <c r="N83" s="811"/>
      <c r="O83" s="442"/>
    </row>
    <row r="84" customFormat="false" ht="14.25" hidden="false" customHeight="false" outlineLevel="0" collapsed="false">
      <c r="A84" s="817" t="s">
        <v>74</v>
      </c>
      <c r="B84" s="818" t="n">
        <v>0</v>
      </c>
      <c r="C84" s="819" t="n">
        <v>5</v>
      </c>
      <c r="D84" s="818" t="n">
        <v>0</v>
      </c>
      <c r="E84" s="818" t="n">
        <v>0</v>
      </c>
      <c r="F84" s="814" t="n">
        <f aca="false">'PRO.'!E12</f>
        <v>14.2625061468212</v>
      </c>
      <c r="G84" s="809"/>
      <c r="H84" s="810"/>
      <c r="I84" s="809"/>
      <c r="J84" s="216"/>
      <c r="K84" s="384"/>
      <c r="L84" s="384"/>
      <c r="M84" s="811"/>
      <c r="N84" s="811"/>
      <c r="O84" s="442"/>
    </row>
    <row r="85" customFormat="false" ht="14.25" hidden="false" customHeight="false" outlineLevel="0" collapsed="false">
      <c r="A85" s="817" t="s">
        <v>173</v>
      </c>
      <c r="B85" s="818" t="n">
        <v>0</v>
      </c>
      <c r="C85" s="819" t="n">
        <v>10</v>
      </c>
      <c r="D85" s="818" t="n">
        <v>0</v>
      </c>
      <c r="E85" s="818" t="n">
        <v>0</v>
      </c>
      <c r="F85" s="814" t="n">
        <v>0</v>
      </c>
      <c r="G85" s="809"/>
      <c r="H85" s="810"/>
      <c r="I85" s="809"/>
      <c r="J85" s="216"/>
      <c r="K85" s="384"/>
      <c r="L85" s="384"/>
      <c r="M85" s="811"/>
      <c r="N85" s="811"/>
      <c r="O85" s="442"/>
    </row>
    <row r="86" customFormat="false" ht="14.25" hidden="false" customHeight="false" outlineLevel="0" collapsed="false">
      <c r="A86" s="817" t="s">
        <v>24</v>
      </c>
      <c r="B86" s="818" t="n">
        <v>0</v>
      </c>
      <c r="C86" s="819" t="n">
        <v>0</v>
      </c>
      <c r="D86" s="818" t="n">
        <v>0</v>
      </c>
      <c r="E86" s="818" t="n">
        <v>0</v>
      </c>
      <c r="F86" s="814" t="n">
        <v>0</v>
      </c>
      <c r="G86" s="809"/>
      <c r="H86" s="810"/>
      <c r="I86" s="809"/>
      <c r="J86" s="216"/>
      <c r="K86" s="384"/>
      <c r="L86" s="384"/>
      <c r="M86" s="811"/>
      <c r="N86" s="811"/>
      <c r="O86" s="442"/>
    </row>
    <row r="87" customFormat="false" ht="14.25" hidden="false" customHeight="false" outlineLevel="0" collapsed="false">
      <c r="A87" s="821"/>
      <c r="B87" s="822"/>
      <c r="C87" s="823"/>
      <c r="D87" s="822"/>
      <c r="E87" s="822"/>
      <c r="F87" s="824"/>
      <c r="G87" s="809"/>
      <c r="H87" s="810"/>
      <c r="I87" s="809"/>
      <c r="J87" s="216"/>
      <c r="K87" s="384"/>
      <c r="L87" s="384"/>
      <c r="M87" s="811"/>
      <c r="N87" s="811"/>
      <c r="O87" s="442"/>
    </row>
    <row r="88" customFormat="false" ht="14.25" hidden="false" customHeight="false" outlineLevel="0" collapsed="false">
      <c r="J88" s="216"/>
      <c r="O88" s="442"/>
    </row>
    <row r="89" customFormat="false" ht="14.25" hidden="false" customHeight="false" outlineLevel="0" collapsed="false">
      <c r="A89" s="825"/>
    </row>
    <row r="90" customFormat="false" ht="14.25" hidden="false" customHeight="false" outlineLevel="0" collapsed="false">
      <c r="A90" s="684"/>
    </row>
  </sheetData>
  <mergeCells count="33">
    <mergeCell ref="A1:O2"/>
    <mergeCell ref="A3:A4"/>
    <mergeCell ref="H3:H4"/>
    <mergeCell ref="I3:I4"/>
    <mergeCell ref="K3:K4"/>
    <mergeCell ref="L3:L4"/>
    <mergeCell ref="M3:O3"/>
    <mergeCell ref="A30:N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M32:M33"/>
    <mergeCell ref="N32:N33"/>
    <mergeCell ref="A59:E60"/>
    <mergeCell ref="A61:A62"/>
    <mergeCell ref="B61:B62"/>
    <mergeCell ref="D61:D62"/>
    <mergeCell ref="E61:E62"/>
    <mergeCell ref="F61:F62"/>
    <mergeCell ref="I61:I62"/>
    <mergeCell ref="J61:J62"/>
    <mergeCell ref="K61:K62"/>
    <mergeCell ref="M61:M62"/>
    <mergeCell ref="N61:N62"/>
    <mergeCell ref="O61:O62"/>
  </mergeCells>
  <printOptions headings="false" gridLines="false" gridLinesSet="true" horizontalCentered="false" verticalCentered="false"/>
  <pageMargins left="0.196527777777778" right="0.157638888888889" top="0.354861111111111" bottom="0" header="0.315277777777778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&amp;R&amp;D     &amp;T</oddHeader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W2548"/>
  <sheetViews>
    <sheetView showFormulas="false" showGridLines="true" showRowColHeaders="true" showZeros="true" rightToLeft="false" tabSelected="false" showOutlineSymbols="true" defaultGridColor="true" view="normal" topLeftCell="A2523" colorId="64" zoomScale="80" zoomScaleNormal="80" zoomScalePageLayoutView="100" workbookViewId="0">
      <selection pane="topLeft" activeCell="O2540" activeCellId="0" sqref="O2540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1.18"/>
    <col collapsed="false" customWidth="true" hidden="false" outlineLevel="0" max="2" min="2" style="0" width="13.82"/>
    <col collapsed="false" customWidth="true" hidden="false" outlineLevel="0" max="3" min="3" style="0" width="6.82"/>
    <col collapsed="false" customWidth="true" hidden="false" outlineLevel="0" max="4" min="4" style="0" width="14"/>
    <col collapsed="false" customWidth="true" hidden="false" outlineLevel="0" max="5" min="5" style="0" width="13.54"/>
    <col collapsed="false" customWidth="true" hidden="false" outlineLevel="0" max="6" min="6" style="0" width="12.82"/>
    <col collapsed="false" customWidth="true" hidden="false" outlineLevel="0" max="7" min="7" style="0" width="11.18"/>
    <col collapsed="false" customWidth="true" hidden="false" outlineLevel="0" max="8" min="8" style="0" width="11.09"/>
    <col collapsed="false" customWidth="true" hidden="false" outlineLevel="0" max="9" min="9" style="0" width="11.45"/>
    <col collapsed="false" customWidth="true" hidden="false" outlineLevel="0" max="10" min="10" style="0" width="5.54"/>
    <col collapsed="false" customWidth="true" hidden="false" outlineLevel="0" max="11" min="11" style="0" width="10.91"/>
    <col collapsed="false" customWidth="true" hidden="false" outlineLevel="0" max="12" min="12" style="0" width="11.73"/>
    <col collapsed="false" customWidth="true" hidden="false" outlineLevel="0" max="13" min="13" style="0" width="4.82"/>
    <col collapsed="false" customWidth="true" hidden="false" outlineLevel="0" max="14" min="14" style="0" width="10.64"/>
    <col collapsed="false" customWidth="true" hidden="false" outlineLevel="0" max="15" min="15" style="0" width="15.18"/>
    <col collapsed="false" customWidth="true" hidden="false" outlineLevel="0" max="16" min="16" style="0" width="6.54"/>
    <col collapsed="false" customWidth="true" hidden="false" outlineLevel="0" max="17" min="17" style="0" width="16"/>
    <col collapsed="false" customWidth="true" hidden="false" outlineLevel="0" max="18" min="18" style="0" width="15.18"/>
    <col collapsed="false" customWidth="true" hidden="false" outlineLevel="0" max="19" min="19" style="0" width="11.54"/>
    <col collapsed="false" customWidth="true" hidden="false" outlineLevel="0" max="20" min="20" style="0" width="15"/>
    <col collapsed="false" customWidth="true" hidden="false" outlineLevel="0" max="21" min="21" style="0" width="10.18"/>
  </cols>
  <sheetData>
    <row r="1" customFormat="false" ht="19.7" hidden="false" customHeight="false" outlineLevel="0" collapsed="false">
      <c r="A1" s="826" t="s">
        <v>2175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6"/>
      <c r="Q1" s="826"/>
      <c r="R1" s="826"/>
      <c r="S1" s="826"/>
      <c r="T1" s="826"/>
      <c r="U1" s="826"/>
      <c r="V1" s="827"/>
      <c r="W1" s="827"/>
    </row>
    <row r="2" customFormat="false" ht="17.35" hidden="false" customHeight="false" outlineLevel="0" collapsed="false">
      <c r="A2" s="828" t="s">
        <v>2176</v>
      </c>
      <c r="B2" s="828" t="s">
        <v>2177</v>
      </c>
      <c r="C2" s="828" t="s">
        <v>2178</v>
      </c>
      <c r="D2" s="828" t="s">
        <v>1</v>
      </c>
      <c r="E2" s="828" t="s">
        <v>2179</v>
      </c>
      <c r="F2" s="828" t="s">
        <v>2180</v>
      </c>
      <c r="G2" s="828" t="s">
        <v>2181</v>
      </c>
      <c r="H2" s="828" t="s">
        <v>31</v>
      </c>
      <c r="I2" s="828" t="s">
        <v>142</v>
      </c>
      <c r="J2" s="828" t="s">
        <v>2182</v>
      </c>
      <c r="K2" s="828" t="s">
        <v>2183</v>
      </c>
      <c r="L2" s="828" t="s">
        <v>2184</v>
      </c>
      <c r="M2" s="828" t="s">
        <v>2185</v>
      </c>
      <c r="N2" s="828" t="s">
        <v>2186</v>
      </c>
      <c r="O2" s="828" t="s">
        <v>1647</v>
      </c>
      <c r="P2" s="828" t="s">
        <v>2177</v>
      </c>
      <c r="Q2" s="828" t="s">
        <v>2176</v>
      </c>
      <c r="R2" s="828" t="s">
        <v>2187</v>
      </c>
      <c r="S2" s="828" t="s">
        <v>2188</v>
      </c>
      <c r="T2" s="828" t="s">
        <v>2189</v>
      </c>
      <c r="U2" s="828" t="s">
        <v>2190</v>
      </c>
      <c r="V2" s="828"/>
      <c r="W2" s="828"/>
    </row>
    <row r="3" customFormat="false" ht="15" hidden="false" customHeight="true" outlineLevel="0" collapsed="false">
      <c r="A3" s="829" t="n">
        <v>418</v>
      </c>
      <c r="B3" s="830" t="s">
        <v>2191</v>
      </c>
      <c r="C3" s="830" t="n">
        <v>2022</v>
      </c>
      <c r="D3" s="831" t="s">
        <v>16</v>
      </c>
      <c r="E3" s="831" t="s">
        <v>2192</v>
      </c>
      <c r="F3" s="832" t="s">
        <v>1651</v>
      </c>
      <c r="G3" s="833"/>
      <c r="H3" s="834" t="n">
        <v>22.5</v>
      </c>
      <c r="I3" s="835"/>
      <c r="J3" s="835"/>
      <c r="K3" s="836" t="n">
        <f aca="false">H3*I3/100</f>
        <v>0</v>
      </c>
      <c r="L3" s="837" t="n">
        <v>122</v>
      </c>
      <c r="M3" s="837" t="n">
        <v>15</v>
      </c>
      <c r="N3" s="837" t="n">
        <f aca="false">L3*M3</f>
        <v>1830</v>
      </c>
      <c r="O3" s="837" t="n">
        <f aca="false">H3*N3</f>
        <v>41175</v>
      </c>
      <c r="P3" s="838" t="s">
        <v>2193</v>
      </c>
      <c r="Q3" s="839" t="s">
        <v>2194</v>
      </c>
      <c r="R3" s="840" t="n">
        <v>2700</v>
      </c>
      <c r="S3" s="840" t="n">
        <f aca="false">R3/H3</f>
        <v>120</v>
      </c>
      <c r="T3" s="841" t="n">
        <f aca="false">O3-R3-R4</f>
        <v>0</v>
      </c>
      <c r="U3" s="842" t="n">
        <f aca="false">N3-S3-S4</f>
        <v>0</v>
      </c>
    </row>
    <row r="4" customFormat="false" ht="15" hidden="false" customHeight="true" outlineLevel="0" collapsed="false">
      <c r="A4" s="829"/>
      <c r="B4" s="830"/>
      <c r="C4" s="830"/>
      <c r="D4" s="843" t="s">
        <v>16</v>
      </c>
      <c r="E4" s="843" t="s">
        <v>2192</v>
      </c>
      <c r="F4" s="832"/>
      <c r="G4" s="833"/>
      <c r="H4" s="834"/>
      <c r="I4" s="835"/>
      <c r="J4" s="835"/>
      <c r="K4" s="836"/>
      <c r="L4" s="837"/>
      <c r="M4" s="837"/>
      <c r="N4" s="837"/>
      <c r="O4" s="837"/>
      <c r="P4" s="844" t="s">
        <v>2195</v>
      </c>
      <c r="Q4" s="845" t="s">
        <v>2196</v>
      </c>
      <c r="R4" s="846" t="n">
        <v>38475</v>
      </c>
      <c r="S4" s="846" t="n">
        <f aca="false">R4/H3</f>
        <v>1710</v>
      </c>
      <c r="T4" s="841"/>
      <c r="U4" s="842"/>
    </row>
    <row r="5" customFormat="false" ht="15" hidden="false" customHeight="true" outlineLevel="0" collapsed="false">
      <c r="A5" s="847" t="n">
        <v>240</v>
      </c>
      <c r="B5" s="847" t="s">
        <v>2191</v>
      </c>
      <c r="C5" s="847" t="n">
        <v>2023</v>
      </c>
      <c r="D5" s="848" t="s">
        <v>16</v>
      </c>
      <c r="E5" s="848" t="s">
        <v>2192</v>
      </c>
      <c r="F5" s="848" t="s">
        <v>1651</v>
      </c>
      <c r="G5" s="849"/>
      <c r="H5" s="850" t="n">
        <v>22.5</v>
      </c>
      <c r="I5" s="851"/>
      <c r="J5" s="851"/>
      <c r="K5" s="852" t="n">
        <f aca="false">H5*I5/100</f>
        <v>0</v>
      </c>
      <c r="L5" s="853" t="n">
        <v>3</v>
      </c>
      <c r="M5" s="854" t="n">
        <v>15</v>
      </c>
      <c r="N5" s="853" t="n">
        <f aca="false">L5*M5</f>
        <v>45</v>
      </c>
      <c r="O5" s="855" t="n">
        <f aca="false">H5*N5</f>
        <v>1012.5</v>
      </c>
      <c r="P5" s="856" t="s">
        <v>2195</v>
      </c>
      <c r="Q5" s="857" t="s">
        <v>2196</v>
      </c>
      <c r="R5" s="854" t="n">
        <v>1012.5</v>
      </c>
      <c r="S5" s="840" t="n">
        <f aca="false">R5/H5</f>
        <v>45</v>
      </c>
      <c r="T5" s="858" t="n">
        <f aca="false">O5-R5</f>
        <v>0</v>
      </c>
      <c r="U5" s="537" t="n">
        <f aca="false">N5-S5</f>
        <v>0</v>
      </c>
    </row>
    <row r="6" customFormat="false" ht="15" hidden="false" customHeight="true" outlineLevel="0" collapsed="false">
      <c r="A6" s="859" t="n">
        <v>393</v>
      </c>
      <c r="B6" s="859" t="s">
        <v>2191</v>
      </c>
      <c r="C6" s="859" t="n">
        <v>2023</v>
      </c>
      <c r="D6" s="860" t="s">
        <v>16</v>
      </c>
      <c r="E6" s="860" t="s">
        <v>2192</v>
      </c>
      <c r="F6" s="860" t="s">
        <v>1651</v>
      </c>
      <c r="G6" s="861"/>
      <c r="H6" s="862" t="n">
        <v>22.5</v>
      </c>
      <c r="I6" s="863"/>
      <c r="J6" s="863"/>
      <c r="K6" s="864" t="n">
        <f aca="false">H6*I6/100</f>
        <v>0</v>
      </c>
      <c r="L6" s="865" t="n">
        <v>22</v>
      </c>
      <c r="M6" s="866" t="n">
        <v>15</v>
      </c>
      <c r="N6" s="865" t="n">
        <f aca="false">L6*M6</f>
        <v>330</v>
      </c>
      <c r="O6" s="867" t="n">
        <f aca="false">H6*N6</f>
        <v>7425</v>
      </c>
      <c r="P6" s="868" t="s">
        <v>2197</v>
      </c>
      <c r="Q6" s="869" t="s">
        <v>2198</v>
      </c>
      <c r="R6" s="866" t="n">
        <v>7425</v>
      </c>
      <c r="S6" s="866" t="n">
        <f aca="false">R6/H6</f>
        <v>330</v>
      </c>
      <c r="T6" s="543" t="n">
        <f aca="false">O6-R6</f>
        <v>0</v>
      </c>
      <c r="U6" s="543" t="n">
        <f aca="false">N6-S6</f>
        <v>0</v>
      </c>
    </row>
    <row r="7" customFormat="false" ht="15" hidden="false" customHeight="true" outlineLevel="0" collapsed="false">
      <c r="A7" s="870" t="n">
        <v>6</v>
      </c>
      <c r="B7" s="870" t="s">
        <v>81</v>
      </c>
      <c r="C7" s="870" t="n">
        <v>2024</v>
      </c>
      <c r="D7" s="871" t="s">
        <v>16</v>
      </c>
      <c r="E7" s="871" t="s">
        <v>2192</v>
      </c>
      <c r="F7" s="871" t="s">
        <v>2199</v>
      </c>
      <c r="G7" s="872"/>
      <c r="H7" s="873" t="n">
        <v>82.7</v>
      </c>
      <c r="I7" s="874"/>
      <c r="J7" s="874"/>
      <c r="K7" s="875" t="n">
        <f aca="false">H7*I7/100</f>
        <v>0</v>
      </c>
      <c r="L7" s="876" t="n">
        <v>2365</v>
      </c>
      <c r="M7" s="877" t="n">
        <v>1</v>
      </c>
      <c r="N7" s="876" t="n">
        <f aca="false">L7*M7</f>
        <v>2365</v>
      </c>
      <c r="O7" s="878" t="n">
        <f aca="false">H7*N7</f>
        <v>195585.5</v>
      </c>
      <c r="P7" s="879" t="s">
        <v>2200</v>
      </c>
      <c r="Q7" s="880" t="s">
        <v>96</v>
      </c>
      <c r="R7" s="877" t="n">
        <v>195585.5</v>
      </c>
      <c r="S7" s="877" t="n">
        <f aca="false">R7/H7</f>
        <v>2365</v>
      </c>
      <c r="T7" s="553" t="n">
        <f aca="false">O7-R7</f>
        <v>0</v>
      </c>
      <c r="U7" s="553" t="n">
        <f aca="false">N7-S7</f>
        <v>0</v>
      </c>
    </row>
    <row r="8" customFormat="false" ht="15" hidden="false" customHeight="true" outlineLevel="0" collapsed="false">
      <c r="A8" s="881" t="n">
        <v>20</v>
      </c>
      <c r="B8" s="882" t="s">
        <v>86</v>
      </c>
      <c r="C8" s="883" t="n">
        <v>2024</v>
      </c>
      <c r="D8" s="831" t="s">
        <v>16</v>
      </c>
      <c r="E8" s="831" t="s">
        <v>2192</v>
      </c>
      <c r="F8" s="832" t="s">
        <v>1650</v>
      </c>
      <c r="G8" s="833"/>
      <c r="H8" s="834" t="n">
        <v>91</v>
      </c>
      <c r="I8" s="835"/>
      <c r="J8" s="835"/>
      <c r="K8" s="836" t="n">
        <f aca="false">H8*I8/100</f>
        <v>0</v>
      </c>
      <c r="L8" s="837" t="n">
        <v>1960</v>
      </c>
      <c r="M8" s="837" t="n">
        <v>1</v>
      </c>
      <c r="N8" s="837" t="n">
        <f aca="false">L8*M8</f>
        <v>1960</v>
      </c>
      <c r="O8" s="837" t="n">
        <f aca="false">H8*N8</f>
        <v>178360</v>
      </c>
      <c r="P8" s="884" t="s">
        <v>2193</v>
      </c>
      <c r="Q8" s="885" t="s">
        <v>100</v>
      </c>
      <c r="R8" s="886" t="n">
        <v>87360</v>
      </c>
      <c r="S8" s="886" t="n">
        <f aca="false">R8/H8</f>
        <v>960</v>
      </c>
      <c r="T8" s="837" t="n">
        <f aca="false">O8-R8-R10-R9</f>
        <v>0</v>
      </c>
      <c r="U8" s="842" t="n">
        <f aca="false">N8-S8-S10-S9</f>
        <v>0</v>
      </c>
    </row>
    <row r="9" customFormat="false" ht="15" hidden="false" customHeight="true" outlineLevel="0" collapsed="false">
      <c r="A9" s="881"/>
      <c r="B9" s="882"/>
      <c r="C9" s="883"/>
      <c r="D9" s="860" t="s">
        <v>16</v>
      </c>
      <c r="E9" s="860" t="s">
        <v>2192</v>
      </c>
      <c r="F9" s="832"/>
      <c r="G9" s="833"/>
      <c r="H9" s="834"/>
      <c r="I9" s="835"/>
      <c r="J9" s="835"/>
      <c r="K9" s="836"/>
      <c r="L9" s="837"/>
      <c r="M9" s="837"/>
      <c r="N9" s="837"/>
      <c r="O9" s="837"/>
      <c r="P9" s="868" t="s">
        <v>2193</v>
      </c>
      <c r="Q9" s="869" t="s">
        <v>2201</v>
      </c>
      <c r="R9" s="866" t="n">
        <v>36400</v>
      </c>
      <c r="S9" s="866" t="n">
        <f aca="false">R9/H8</f>
        <v>400</v>
      </c>
      <c r="T9" s="837"/>
      <c r="U9" s="842"/>
    </row>
    <row r="10" customFormat="false" ht="15" hidden="false" customHeight="true" outlineLevel="0" collapsed="false">
      <c r="A10" s="881"/>
      <c r="B10" s="882"/>
      <c r="C10" s="883"/>
      <c r="D10" s="887" t="s">
        <v>16</v>
      </c>
      <c r="E10" s="887" t="s">
        <v>2192</v>
      </c>
      <c r="F10" s="832"/>
      <c r="G10" s="833"/>
      <c r="H10" s="834"/>
      <c r="I10" s="835"/>
      <c r="J10" s="835"/>
      <c r="K10" s="836"/>
      <c r="L10" s="837"/>
      <c r="M10" s="837"/>
      <c r="N10" s="837"/>
      <c r="O10" s="837"/>
      <c r="P10" s="888" t="s">
        <v>2193</v>
      </c>
      <c r="Q10" s="889" t="s">
        <v>2202</v>
      </c>
      <c r="R10" s="890" t="n">
        <v>54600</v>
      </c>
      <c r="S10" s="890" t="n">
        <f aca="false">R10/H8</f>
        <v>600</v>
      </c>
      <c r="T10" s="837"/>
      <c r="U10" s="842"/>
    </row>
    <row r="11" customFormat="false" ht="15" hidden="false" customHeight="true" outlineLevel="0" collapsed="false">
      <c r="A11" s="881"/>
      <c r="B11" s="847" t="s">
        <v>86</v>
      </c>
      <c r="C11" s="847" t="n">
        <v>2024</v>
      </c>
      <c r="D11" s="848" t="s">
        <v>16</v>
      </c>
      <c r="E11" s="848" t="s">
        <v>2203</v>
      </c>
      <c r="F11" s="848"/>
      <c r="G11" s="849"/>
      <c r="H11" s="850" t="n">
        <v>0</v>
      </c>
      <c r="I11" s="851"/>
      <c r="J11" s="851"/>
      <c r="K11" s="852" t="n">
        <f aca="false">H11*I11/100</f>
        <v>0</v>
      </c>
      <c r="L11" s="853" t="n">
        <v>244</v>
      </c>
      <c r="M11" s="854" t="n">
        <v>1</v>
      </c>
      <c r="N11" s="853" t="n">
        <f aca="false">L11*M11</f>
        <v>244</v>
      </c>
      <c r="O11" s="855" t="n">
        <f aca="false">H11*N11</f>
        <v>0</v>
      </c>
      <c r="P11" s="856" t="s">
        <v>2204</v>
      </c>
      <c r="Q11" s="857" t="n">
        <v>25092024</v>
      </c>
      <c r="R11" s="854" t="n">
        <v>0</v>
      </c>
      <c r="S11" s="891" t="n">
        <v>244</v>
      </c>
      <c r="T11" s="537" t="n">
        <f aca="false">O11-R11</f>
        <v>0</v>
      </c>
      <c r="U11" s="892" t="n">
        <f aca="false">N11-S11</f>
        <v>0</v>
      </c>
    </row>
    <row r="12" customFormat="false" ht="15" hidden="false" customHeight="true" outlineLevel="0" collapsed="false">
      <c r="A12" s="881"/>
      <c r="B12" s="893" t="s">
        <v>86</v>
      </c>
      <c r="C12" s="893" t="n">
        <v>2024</v>
      </c>
      <c r="D12" s="843" t="s">
        <v>16</v>
      </c>
      <c r="E12" s="843" t="s">
        <v>2205</v>
      </c>
      <c r="F12" s="843"/>
      <c r="G12" s="894"/>
      <c r="H12" s="895" t="n">
        <v>41.4</v>
      </c>
      <c r="I12" s="896"/>
      <c r="J12" s="896"/>
      <c r="K12" s="897" t="n">
        <f aca="false">H12*I12/100</f>
        <v>0</v>
      </c>
      <c r="L12" s="898" t="n">
        <v>128</v>
      </c>
      <c r="M12" s="846" t="n">
        <v>1</v>
      </c>
      <c r="N12" s="898" t="n">
        <f aca="false">L12*M12</f>
        <v>128</v>
      </c>
      <c r="O12" s="899" t="n">
        <f aca="false">H12*N12</f>
        <v>5299.2</v>
      </c>
      <c r="P12" s="844" t="s">
        <v>2204</v>
      </c>
      <c r="Q12" s="900" t="s">
        <v>2206</v>
      </c>
      <c r="R12" s="901" t="n">
        <v>5299.2</v>
      </c>
      <c r="S12" s="846" t="n">
        <f aca="false">R12/H12</f>
        <v>128</v>
      </c>
      <c r="T12" s="589" t="n">
        <f aca="false">O12-R12</f>
        <v>0</v>
      </c>
      <c r="U12" s="902" t="n">
        <f aca="false">N12-S12</f>
        <v>0</v>
      </c>
    </row>
    <row r="13" customFormat="false" ht="15" hidden="false" customHeight="true" outlineLevel="0" collapsed="false">
      <c r="A13" s="847" t="n">
        <v>24</v>
      </c>
      <c r="B13" s="847" t="s">
        <v>2207</v>
      </c>
      <c r="C13" s="847" t="n">
        <v>2024</v>
      </c>
      <c r="D13" s="848" t="s">
        <v>16</v>
      </c>
      <c r="E13" s="848" t="s">
        <v>2192</v>
      </c>
      <c r="F13" s="848" t="s">
        <v>1651</v>
      </c>
      <c r="G13" s="849"/>
      <c r="H13" s="850" t="n">
        <v>27.3</v>
      </c>
      <c r="I13" s="851"/>
      <c r="J13" s="851"/>
      <c r="K13" s="852" t="n">
        <f aca="false">H13*I13/100</f>
        <v>0</v>
      </c>
      <c r="L13" s="853" t="n">
        <v>3200</v>
      </c>
      <c r="M13" s="854" t="n">
        <v>1</v>
      </c>
      <c r="N13" s="853" t="n">
        <f aca="false">L13*M13</f>
        <v>3200</v>
      </c>
      <c r="O13" s="855" t="n">
        <f aca="false">H13*N13</f>
        <v>87360</v>
      </c>
      <c r="P13" s="856" t="s">
        <v>2193</v>
      </c>
      <c r="Q13" s="857" t="s">
        <v>100</v>
      </c>
      <c r="R13" s="854" t="n">
        <v>87360</v>
      </c>
      <c r="S13" s="854" t="n">
        <f aca="false">R13/H13</f>
        <v>3200</v>
      </c>
      <c r="T13" s="537" t="n">
        <f aca="false">O13-R13</f>
        <v>0</v>
      </c>
      <c r="U13" s="537" t="n">
        <f aca="false">N13-S13</f>
        <v>0</v>
      </c>
    </row>
    <row r="14" customFormat="false" ht="15" hidden="false" customHeight="true" outlineLevel="0" collapsed="false">
      <c r="A14" s="903" t="s">
        <v>2208</v>
      </c>
      <c r="B14" s="903" t="s">
        <v>2207</v>
      </c>
      <c r="C14" s="903" t="n">
        <v>2024</v>
      </c>
      <c r="D14" s="904" t="s">
        <v>16</v>
      </c>
      <c r="E14" s="904" t="s">
        <v>2192</v>
      </c>
      <c r="F14" s="904" t="s">
        <v>1651</v>
      </c>
      <c r="G14" s="905"/>
      <c r="H14" s="906" t="n">
        <v>27.1265</v>
      </c>
      <c r="I14" s="907"/>
      <c r="J14" s="907"/>
      <c r="K14" s="875" t="n">
        <f aca="false">H14*I14/100</f>
        <v>0</v>
      </c>
      <c r="L14" s="908" t="n">
        <v>3320</v>
      </c>
      <c r="M14" s="891" t="n">
        <v>1</v>
      </c>
      <c r="N14" s="876" t="n">
        <f aca="false">L14*M14</f>
        <v>3320</v>
      </c>
      <c r="O14" s="909" t="n">
        <f aca="false">H14*N14</f>
        <v>90059.98</v>
      </c>
      <c r="P14" s="910" t="s">
        <v>2197</v>
      </c>
      <c r="Q14" s="911" t="s">
        <v>2209</v>
      </c>
      <c r="R14" s="912" t="n">
        <v>90059.98</v>
      </c>
      <c r="S14" s="877" t="n">
        <f aca="false">R14/H14</f>
        <v>3320</v>
      </c>
      <c r="T14" s="553" t="n">
        <f aca="false">O14-R14</f>
        <v>0</v>
      </c>
      <c r="U14" s="553" t="n">
        <f aca="false">N14-S14</f>
        <v>0</v>
      </c>
    </row>
    <row r="15" customFormat="false" ht="15" hidden="false" customHeight="true" outlineLevel="0" collapsed="false">
      <c r="A15" s="913" t="n">
        <v>36</v>
      </c>
      <c r="B15" s="914" t="s">
        <v>81</v>
      </c>
      <c r="C15" s="914" t="n">
        <v>2024</v>
      </c>
      <c r="D15" s="915" t="s">
        <v>16</v>
      </c>
      <c r="E15" s="915" t="s">
        <v>2192</v>
      </c>
      <c r="F15" s="916" t="s">
        <v>1650</v>
      </c>
      <c r="G15" s="917"/>
      <c r="H15" s="918" t="n">
        <v>91.9</v>
      </c>
      <c r="I15" s="919"/>
      <c r="J15" s="919"/>
      <c r="K15" s="920" t="n">
        <f aca="false">H15*I15/100</f>
        <v>0</v>
      </c>
      <c r="L15" s="921" t="n">
        <v>5501</v>
      </c>
      <c r="M15" s="921" t="n">
        <v>1</v>
      </c>
      <c r="N15" s="921" t="n">
        <f aca="false">L15*M15</f>
        <v>5501</v>
      </c>
      <c r="O15" s="922" t="n">
        <f aca="false">H15*N15</f>
        <v>505541.9</v>
      </c>
      <c r="P15" s="923" t="s">
        <v>2193</v>
      </c>
      <c r="Q15" s="924" t="s">
        <v>2210</v>
      </c>
      <c r="R15" s="925" t="n">
        <v>87305</v>
      </c>
      <c r="S15" s="926" t="n">
        <f aca="false">R15/H15</f>
        <v>950</v>
      </c>
      <c r="T15" s="927" t="n">
        <f aca="false">O15-R15-R20-R19-R16-R18-R17</f>
        <v>135184.9</v>
      </c>
      <c r="U15" s="928" t="n">
        <f aca="false">N15-S15-S20-S19-S16-S18-S17</f>
        <v>1471</v>
      </c>
    </row>
    <row r="16" customFormat="false" ht="15" hidden="false" customHeight="true" outlineLevel="0" collapsed="false">
      <c r="A16" s="913"/>
      <c r="B16" s="914"/>
      <c r="C16" s="914"/>
      <c r="D16" s="929" t="s">
        <v>16</v>
      </c>
      <c r="E16" s="929" t="s">
        <v>2192</v>
      </c>
      <c r="F16" s="916"/>
      <c r="G16" s="917"/>
      <c r="H16" s="918"/>
      <c r="I16" s="919"/>
      <c r="J16" s="919"/>
      <c r="K16" s="920"/>
      <c r="L16" s="921"/>
      <c r="M16" s="921"/>
      <c r="N16" s="921"/>
      <c r="O16" s="922"/>
      <c r="P16" s="930" t="s">
        <v>2193</v>
      </c>
      <c r="Q16" s="931" t="s">
        <v>2211</v>
      </c>
      <c r="R16" s="932" t="n">
        <v>34922</v>
      </c>
      <c r="S16" s="933" t="n">
        <f aca="false">R16/H15</f>
        <v>380</v>
      </c>
      <c r="T16" s="927"/>
      <c r="U16" s="928"/>
    </row>
    <row r="17" customFormat="false" ht="15" hidden="false" customHeight="true" outlineLevel="0" collapsed="false">
      <c r="A17" s="913"/>
      <c r="B17" s="914"/>
      <c r="C17" s="914"/>
      <c r="D17" s="929" t="s">
        <v>16</v>
      </c>
      <c r="E17" s="929" t="s">
        <v>2192</v>
      </c>
      <c r="F17" s="916"/>
      <c r="G17" s="917"/>
      <c r="H17" s="918"/>
      <c r="I17" s="919"/>
      <c r="J17" s="919"/>
      <c r="K17" s="920"/>
      <c r="L17" s="921"/>
      <c r="M17" s="921"/>
      <c r="N17" s="921"/>
      <c r="O17" s="922"/>
      <c r="P17" s="930" t="s">
        <v>2193</v>
      </c>
      <c r="Q17" s="931" t="s">
        <v>2212</v>
      </c>
      <c r="R17" s="932" t="n">
        <v>110280</v>
      </c>
      <c r="S17" s="933" t="n">
        <f aca="false">R17/H15</f>
        <v>1200</v>
      </c>
      <c r="T17" s="927"/>
      <c r="U17" s="928"/>
    </row>
    <row r="18" customFormat="false" ht="15" hidden="false" customHeight="true" outlineLevel="0" collapsed="false">
      <c r="A18" s="913"/>
      <c r="B18" s="914"/>
      <c r="C18" s="914"/>
      <c r="D18" s="929" t="s">
        <v>16</v>
      </c>
      <c r="E18" s="929" t="s">
        <v>2192</v>
      </c>
      <c r="F18" s="916"/>
      <c r="G18" s="917"/>
      <c r="H18" s="918"/>
      <c r="I18" s="919"/>
      <c r="J18" s="919"/>
      <c r="K18" s="920"/>
      <c r="L18" s="921"/>
      <c r="M18" s="921"/>
      <c r="N18" s="921"/>
      <c r="O18" s="922"/>
      <c r="P18" s="930" t="s">
        <v>2193</v>
      </c>
      <c r="Q18" s="931" t="s">
        <v>2213</v>
      </c>
      <c r="R18" s="932" t="n">
        <v>55140</v>
      </c>
      <c r="S18" s="933" t="n">
        <f aca="false">R18/H15</f>
        <v>600</v>
      </c>
      <c r="T18" s="927"/>
      <c r="U18" s="928"/>
    </row>
    <row r="19" customFormat="false" ht="15" hidden="false" customHeight="true" outlineLevel="0" collapsed="false">
      <c r="A19" s="913"/>
      <c r="B19" s="914"/>
      <c r="C19" s="914"/>
      <c r="D19" s="929" t="s">
        <v>16</v>
      </c>
      <c r="E19" s="929" t="s">
        <v>2192</v>
      </c>
      <c r="F19" s="916"/>
      <c r="G19" s="917"/>
      <c r="H19" s="918"/>
      <c r="I19" s="919"/>
      <c r="J19" s="919"/>
      <c r="K19" s="920"/>
      <c r="L19" s="921"/>
      <c r="M19" s="921"/>
      <c r="N19" s="921"/>
      <c r="O19" s="922"/>
      <c r="P19" s="930" t="s">
        <v>2193</v>
      </c>
      <c r="Q19" s="931" t="s">
        <v>2214</v>
      </c>
      <c r="R19" s="932" t="n">
        <v>16542</v>
      </c>
      <c r="S19" s="933" t="n">
        <f aca="false">R19/H15</f>
        <v>180</v>
      </c>
      <c r="T19" s="927"/>
      <c r="U19" s="928"/>
    </row>
    <row r="20" customFormat="false" ht="15" hidden="false" customHeight="true" outlineLevel="0" collapsed="false">
      <c r="A20" s="913"/>
      <c r="B20" s="914"/>
      <c r="C20" s="914"/>
      <c r="D20" s="934" t="s">
        <v>16</v>
      </c>
      <c r="E20" s="934" t="s">
        <v>2192</v>
      </c>
      <c r="F20" s="916"/>
      <c r="G20" s="917"/>
      <c r="H20" s="918"/>
      <c r="I20" s="919"/>
      <c r="J20" s="919"/>
      <c r="K20" s="920"/>
      <c r="L20" s="921"/>
      <c r="M20" s="921"/>
      <c r="N20" s="921"/>
      <c r="O20" s="922"/>
      <c r="P20" s="935" t="s">
        <v>2193</v>
      </c>
      <c r="Q20" s="936" t="s">
        <v>2215</v>
      </c>
      <c r="R20" s="937" t="n">
        <v>66168</v>
      </c>
      <c r="S20" s="938" t="n">
        <f aca="false">R20/H15</f>
        <v>720</v>
      </c>
      <c r="T20" s="927"/>
      <c r="U20" s="928"/>
    </row>
    <row r="21" customFormat="false" ht="15" hidden="false" customHeight="true" outlineLevel="0" collapsed="false">
      <c r="A21" s="903" t="n">
        <v>88</v>
      </c>
      <c r="B21" s="903" t="s">
        <v>2207</v>
      </c>
      <c r="C21" s="903" t="n">
        <v>2024</v>
      </c>
      <c r="D21" s="904" t="s">
        <v>16</v>
      </c>
      <c r="E21" s="904" t="s">
        <v>2192</v>
      </c>
      <c r="F21" s="904" t="s">
        <v>1651</v>
      </c>
      <c r="G21" s="905"/>
      <c r="H21" s="906" t="n">
        <v>27.4371</v>
      </c>
      <c r="I21" s="907"/>
      <c r="J21" s="907"/>
      <c r="K21" s="939" t="n">
        <f aca="false">H21*I21/100</f>
        <v>0</v>
      </c>
      <c r="L21" s="908" t="n">
        <v>1990</v>
      </c>
      <c r="M21" s="891" t="n">
        <v>1</v>
      </c>
      <c r="N21" s="908" t="n">
        <f aca="false">L21*M21</f>
        <v>1990</v>
      </c>
      <c r="O21" s="940" t="n">
        <f aca="false">H21*N21</f>
        <v>54599.829</v>
      </c>
      <c r="P21" s="910" t="s">
        <v>2197</v>
      </c>
      <c r="Q21" s="911" t="s">
        <v>2216</v>
      </c>
      <c r="R21" s="912" t="n">
        <v>54599.829</v>
      </c>
      <c r="S21" s="891" t="n">
        <f aca="false">R21/H21</f>
        <v>1990</v>
      </c>
      <c r="T21" s="941" t="n">
        <f aca="false">O21-R21</f>
        <v>0</v>
      </c>
      <c r="U21" s="942" t="n">
        <f aca="false">N21-S21</f>
        <v>0</v>
      </c>
    </row>
    <row r="22" customFormat="false" ht="15" hidden="false" customHeight="true" outlineLevel="0" collapsed="false">
      <c r="A22" s="829" t="n">
        <v>111</v>
      </c>
      <c r="B22" s="830" t="s">
        <v>2207</v>
      </c>
      <c r="C22" s="830" t="n">
        <v>2024</v>
      </c>
      <c r="D22" s="831" t="s">
        <v>16</v>
      </c>
      <c r="E22" s="831" t="s">
        <v>2192</v>
      </c>
      <c r="F22" s="832" t="s">
        <v>1651</v>
      </c>
      <c r="G22" s="833"/>
      <c r="H22" s="834" t="n">
        <v>28.8611</v>
      </c>
      <c r="I22" s="835"/>
      <c r="J22" s="835"/>
      <c r="K22" s="836" t="n">
        <f aca="false">H22*I22/100</f>
        <v>0</v>
      </c>
      <c r="L22" s="837" t="n">
        <v>3025</v>
      </c>
      <c r="M22" s="837" t="n">
        <v>1</v>
      </c>
      <c r="N22" s="837" t="n">
        <f aca="false">L22*M22</f>
        <v>3025</v>
      </c>
      <c r="O22" s="943" t="n">
        <f aca="false">H22*N22</f>
        <v>87304.8275</v>
      </c>
      <c r="P22" s="838" t="s">
        <v>2197</v>
      </c>
      <c r="Q22" s="839" t="s">
        <v>2217</v>
      </c>
      <c r="R22" s="944" t="n">
        <v>58010.811</v>
      </c>
      <c r="S22" s="840" t="n">
        <f aca="false">R22/H22</f>
        <v>2010</v>
      </c>
      <c r="T22" s="943" t="n">
        <f aca="false">O22-R22-R23</f>
        <v>0</v>
      </c>
      <c r="U22" s="842" t="n">
        <f aca="false">N22-S22-S23</f>
        <v>0</v>
      </c>
    </row>
    <row r="23" customFormat="false" ht="15" hidden="false" customHeight="true" outlineLevel="0" collapsed="false">
      <c r="A23" s="829"/>
      <c r="B23" s="830"/>
      <c r="C23" s="830"/>
      <c r="D23" s="887" t="s">
        <v>16</v>
      </c>
      <c r="E23" s="887" t="s">
        <v>2192</v>
      </c>
      <c r="F23" s="832"/>
      <c r="G23" s="833"/>
      <c r="H23" s="834"/>
      <c r="I23" s="835"/>
      <c r="J23" s="835"/>
      <c r="K23" s="836"/>
      <c r="L23" s="837"/>
      <c r="M23" s="837"/>
      <c r="N23" s="837"/>
      <c r="O23" s="943"/>
      <c r="P23" s="888" t="s">
        <v>2197</v>
      </c>
      <c r="Q23" s="889" t="s">
        <v>2218</v>
      </c>
      <c r="R23" s="945" t="n">
        <v>29294.0165</v>
      </c>
      <c r="S23" s="846" t="n">
        <f aca="false">R23/H22</f>
        <v>1015</v>
      </c>
      <c r="T23" s="943"/>
      <c r="U23" s="842"/>
    </row>
    <row r="24" customFormat="false" ht="15" hidden="false" customHeight="true" outlineLevel="0" collapsed="false">
      <c r="A24" s="829" t="n">
        <v>121</v>
      </c>
      <c r="B24" s="830" t="s">
        <v>2207</v>
      </c>
      <c r="C24" s="830" t="n">
        <v>2024</v>
      </c>
      <c r="D24" s="831" t="s">
        <v>16</v>
      </c>
      <c r="E24" s="831" t="s">
        <v>2192</v>
      </c>
      <c r="F24" s="832" t="s">
        <v>1651</v>
      </c>
      <c r="G24" s="833"/>
      <c r="H24" s="834" t="n">
        <v>28.289</v>
      </c>
      <c r="I24" s="835"/>
      <c r="J24" s="835"/>
      <c r="K24" s="836" t="n">
        <f aca="false">H24*I24/100</f>
        <v>0</v>
      </c>
      <c r="L24" s="837" t="n">
        <v>2339</v>
      </c>
      <c r="M24" s="837" t="n">
        <v>1</v>
      </c>
      <c r="N24" s="837" t="n">
        <f aca="false">L24*M24</f>
        <v>2339</v>
      </c>
      <c r="O24" s="943" t="n">
        <f aca="false">H24*N24</f>
        <v>66167.971</v>
      </c>
      <c r="P24" s="838" t="s">
        <v>2197</v>
      </c>
      <c r="Q24" s="839" t="s">
        <v>2219</v>
      </c>
      <c r="R24" s="944" t="n">
        <v>28006.11</v>
      </c>
      <c r="S24" s="886" t="n">
        <f aca="false">R24/H24</f>
        <v>990</v>
      </c>
      <c r="T24" s="943" t="n">
        <f aca="false">O24-R24-R25</f>
        <v>0</v>
      </c>
      <c r="U24" s="842" t="n">
        <f aca="false">N24-S24-S25</f>
        <v>0</v>
      </c>
    </row>
    <row r="25" customFormat="false" ht="15" hidden="false" customHeight="true" outlineLevel="0" collapsed="false">
      <c r="A25" s="829"/>
      <c r="B25" s="830"/>
      <c r="C25" s="830"/>
      <c r="D25" s="887" t="s">
        <v>16</v>
      </c>
      <c r="E25" s="887" t="s">
        <v>2192</v>
      </c>
      <c r="F25" s="832"/>
      <c r="G25" s="833"/>
      <c r="H25" s="834"/>
      <c r="I25" s="835"/>
      <c r="J25" s="835"/>
      <c r="K25" s="836"/>
      <c r="L25" s="837"/>
      <c r="M25" s="837"/>
      <c r="N25" s="837"/>
      <c r="O25" s="943"/>
      <c r="P25" s="888" t="s">
        <v>2197</v>
      </c>
      <c r="Q25" s="889" t="s">
        <v>2220</v>
      </c>
      <c r="R25" s="945" t="n">
        <v>38161.861</v>
      </c>
      <c r="S25" s="846" t="n">
        <f aca="false">R25/H24</f>
        <v>1349</v>
      </c>
      <c r="T25" s="943"/>
      <c r="U25" s="842"/>
    </row>
    <row r="26" customFormat="false" ht="15" hidden="false" customHeight="true" outlineLevel="0" collapsed="false">
      <c r="A26" s="829" t="n">
        <v>170</v>
      </c>
      <c r="B26" s="830" t="s">
        <v>2207</v>
      </c>
      <c r="C26" s="830" t="n">
        <v>2024</v>
      </c>
      <c r="D26" s="831" t="s">
        <v>16</v>
      </c>
      <c r="E26" s="831" t="s">
        <v>2192</v>
      </c>
      <c r="F26" s="832" t="s">
        <v>1651</v>
      </c>
      <c r="G26" s="833"/>
      <c r="H26" s="834" t="n">
        <v>29.5454</v>
      </c>
      <c r="I26" s="835"/>
      <c r="J26" s="835"/>
      <c r="K26" s="836" t="n">
        <f aca="false">H26*I26/100</f>
        <v>0</v>
      </c>
      <c r="L26" s="837" t="n">
        <v>1232</v>
      </c>
      <c r="M26" s="837" t="n">
        <v>1</v>
      </c>
      <c r="N26" s="837" t="n">
        <f aca="false">L26*M26</f>
        <v>1232</v>
      </c>
      <c r="O26" s="943" t="n">
        <f aca="false">H26*N26</f>
        <v>36399.9328</v>
      </c>
      <c r="P26" s="838" t="s">
        <v>2197</v>
      </c>
      <c r="Q26" s="839" t="s">
        <v>2221</v>
      </c>
      <c r="R26" s="944" t="n">
        <v>29781.7632</v>
      </c>
      <c r="S26" s="886" t="n">
        <f aca="false">R26/H26</f>
        <v>1008</v>
      </c>
      <c r="T26" s="943" t="n">
        <f aca="false">O26-R26-R27</f>
        <v>0</v>
      </c>
      <c r="U26" s="842" t="n">
        <f aca="false">N26-S26-S27</f>
        <v>0</v>
      </c>
    </row>
    <row r="27" customFormat="false" ht="15" hidden="false" customHeight="true" outlineLevel="0" collapsed="false">
      <c r="A27" s="829"/>
      <c r="B27" s="830"/>
      <c r="C27" s="830"/>
      <c r="D27" s="887" t="s">
        <v>16</v>
      </c>
      <c r="E27" s="887" t="s">
        <v>2192</v>
      </c>
      <c r="F27" s="832"/>
      <c r="G27" s="833"/>
      <c r="H27" s="834"/>
      <c r="I27" s="835"/>
      <c r="J27" s="835"/>
      <c r="K27" s="836"/>
      <c r="L27" s="837"/>
      <c r="M27" s="837"/>
      <c r="N27" s="837"/>
      <c r="O27" s="943"/>
      <c r="P27" s="888" t="s">
        <v>2197</v>
      </c>
      <c r="Q27" s="889" t="s">
        <v>2222</v>
      </c>
      <c r="R27" s="945" t="n">
        <v>6618.1696</v>
      </c>
      <c r="S27" s="846" t="n">
        <f aca="false">R27/H26</f>
        <v>224</v>
      </c>
      <c r="T27" s="943"/>
      <c r="U27" s="842"/>
    </row>
    <row r="28" customFormat="false" ht="15" hidden="false" customHeight="true" outlineLevel="0" collapsed="false">
      <c r="A28" s="903" t="n">
        <v>172</v>
      </c>
      <c r="B28" s="903" t="s">
        <v>2207</v>
      </c>
      <c r="C28" s="903" t="n">
        <v>2024</v>
      </c>
      <c r="D28" s="904" t="s">
        <v>16</v>
      </c>
      <c r="E28" s="904" t="s">
        <v>2192</v>
      </c>
      <c r="F28" s="904" t="s">
        <v>1651</v>
      </c>
      <c r="G28" s="905"/>
      <c r="H28" s="946" t="n">
        <v>28.6689</v>
      </c>
      <c r="I28" s="947"/>
      <c r="J28" s="947"/>
      <c r="K28" s="939" t="n">
        <f aca="false">H28*I28/100</f>
        <v>0</v>
      </c>
      <c r="L28" s="942" t="n">
        <v>577</v>
      </c>
      <c r="M28" s="942" t="n">
        <v>1</v>
      </c>
      <c r="N28" s="908" t="n">
        <f aca="false">L28*M28</f>
        <v>577</v>
      </c>
      <c r="O28" s="940" t="n">
        <f aca="false">H28*N28</f>
        <v>16541.9553</v>
      </c>
      <c r="P28" s="910" t="s">
        <v>2197</v>
      </c>
      <c r="Q28" s="911" t="s">
        <v>2223</v>
      </c>
      <c r="R28" s="912" t="n">
        <v>16541.9553</v>
      </c>
      <c r="S28" s="877" t="n">
        <f aca="false">R28/H28</f>
        <v>577</v>
      </c>
      <c r="T28" s="948" t="n">
        <f aca="false">O28-R28</f>
        <v>0</v>
      </c>
      <c r="U28" s="942" t="n">
        <f aca="false">N28-S28</f>
        <v>0</v>
      </c>
    </row>
    <row r="29" customFormat="false" ht="15" hidden="false" customHeight="true" outlineLevel="0" collapsed="false">
      <c r="A29" s="829" t="n">
        <v>186</v>
      </c>
      <c r="B29" s="830" t="s">
        <v>2207</v>
      </c>
      <c r="C29" s="830" t="n">
        <v>2024</v>
      </c>
      <c r="D29" s="831" t="s">
        <v>16</v>
      </c>
      <c r="E29" s="831" t="s">
        <v>2192</v>
      </c>
      <c r="F29" s="832" t="s">
        <v>1651</v>
      </c>
      <c r="G29" s="833"/>
      <c r="H29" s="834" t="n">
        <v>27.9599</v>
      </c>
      <c r="I29" s="835"/>
      <c r="J29" s="835"/>
      <c r="K29" s="836" t="n">
        <f aca="false">H29*I29/100</f>
        <v>0</v>
      </c>
      <c r="L29" s="837" t="n">
        <v>1249</v>
      </c>
      <c r="M29" s="837" t="n">
        <v>1</v>
      </c>
      <c r="N29" s="837" t="n">
        <f aca="false">L29*M29</f>
        <v>1249</v>
      </c>
      <c r="O29" s="943" t="n">
        <f aca="false">H29*N29</f>
        <v>34921.9151</v>
      </c>
      <c r="P29" s="838" t="s">
        <v>2197</v>
      </c>
      <c r="Q29" s="839" t="s">
        <v>2224</v>
      </c>
      <c r="R29" s="944" t="n">
        <v>28183.5792</v>
      </c>
      <c r="S29" s="840" t="n">
        <f aca="false">R29/H29</f>
        <v>1008</v>
      </c>
      <c r="T29" s="943" t="n">
        <f aca="false">O29-R29-R30</f>
        <v>0</v>
      </c>
      <c r="U29" s="842" t="n">
        <f aca="false">N29-S29-S30</f>
        <v>0</v>
      </c>
    </row>
    <row r="30" customFormat="false" ht="15" hidden="false" customHeight="true" outlineLevel="0" collapsed="false">
      <c r="A30" s="829"/>
      <c r="B30" s="830"/>
      <c r="C30" s="830"/>
      <c r="D30" s="887" t="s">
        <v>16</v>
      </c>
      <c r="E30" s="887" t="s">
        <v>2192</v>
      </c>
      <c r="F30" s="832"/>
      <c r="G30" s="833"/>
      <c r="H30" s="834"/>
      <c r="I30" s="835"/>
      <c r="J30" s="835"/>
      <c r="K30" s="836"/>
      <c r="L30" s="837"/>
      <c r="M30" s="837"/>
      <c r="N30" s="837"/>
      <c r="O30" s="943"/>
      <c r="P30" s="888" t="s">
        <v>2197</v>
      </c>
      <c r="Q30" s="889" t="s">
        <v>2225</v>
      </c>
      <c r="R30" s="945" t="n">
        <v>6738.3359</v>
      </c>
      <c r="S30" s="846" t="n">
        <f aca="false">R30/H29</f>
        <v>241</v>
      </c>
      <c r="T30" s="943"/>
      <c r="U30" s="842"/>
    </row>
    <row r="31" customFormat="false" ht="15" hidden="false" customHeight="true" outlineLevel="0" collapsed="false">
      <c r="A31" s="847" t="n">
        <v>211</v>
      </c>
      <c r="B31" s="847" t="s">
        <v>2207</v>
      </c>
      <c r="C31" s="847" t="n">
        <v>2024</v>
      </c>
      <c r="D31" s="848" t="s">
        <v>16</v>
      </c>
      <c r="E31" s="848" t="s">
        <v>2192</v>
      </c>
      <c r="F31" s="848" t="s">
        <v>1651</v>
      </c>
      <c r="G31" s="849"/>
      <c r="H31" s="949" t="n">
        <v>31.1173</v>
      </c>
      <c r="I31" s="950"/>
      <c r="J31" s="950"/>
      <c r="K31" s="852" t="n">
        <f aca="false">H31*I31/100</f>
        <v>0</v>
      </c>
      <c r="L31" s="537" t="n">
        <v>1772</v>
      </c>
      <c r="M31" s="537" t="n">
        <v>1</v>
      </c>
      <c r="N31" s="853" t="n">
        <f aca="false">L31*M31</f>
        <v>1772</v>
      </c>
      <c r="O31" s="951" t="n">
        <f aca="false">H31*N31</f>
        <v>55139.8556</v>
      </c>
      <c r="P31" s="856" t="s">
        <v>2197</v>
      </c>
      <c r="Q31" s="857" t="s">
        <v>2226</v>
      </c>
      <c r="R31" s="952" t="n">
        <v>55139.8556</v>
      </c>
      <c r="S31" s="877" t="n">
        <f aca="false">R31/H31</f>
        <v>1772</v>
      </c>
      <c r="T31" s="953" t="n">
        <f aca="false">O31-R31</f>
        <v>0</v>
      </c>
      <c r="U31" s="537" t="n">
        <f aca="false">N31-S31</f>
        <v>0</v>
      </c>
    </row>
    <row r="32" customFormat="false" ht="15" hidden="false" customHeight="true" outlineLevel="0" collapsed="false">
      <c r="A32" s="847" t="n">
        <v>227</v>
      </c>
      <c r="B32" s="847" t="s">
        <v>2207</v>
      </c>
      <c r="C32" s="847" t="n">
        <v>2024</v>
      </c>
      <c r="D32" s="848" t="s">
        <v>16</v>
      </c>
      <c r="E32" s="848" t="s">
        <v>2192</v>
      </c>
      <c r="F32" s="848" t="s">
        <v>1651</v>
      </c>
      <c r="G32" s="849"/>
      <c r="H32" s="949" t="n">
        <v>30.0818</v>
      </c>
      <c r="I32" s="950"/>
      <c r="J32" s="950"/>
      <c r="K32" s="852" t="n">
        <f aca="false">H32*I32/100</f>
        <v>0</v>
      </c>
      <c r="L32" s="537" t="n">
        <v>3666</v>
      </c>
      <c r="M32" s="537" t="n">
        <v>1</v>
      </c>
      <c r="N32" s="853" t="n">
        <f aca="false">L32*M32</f>
        <v>3666</v>
      </c>
      <c r="O32" s="951" t="n">
        <f aca="false">H32*N32</f>
        <v>110279.8788</v>
      </c>
      <c r="P32" s="856" t="s">
        <v>2197</v>
      </c>
      <c r="Q32" s="857" t="s">
        <v>2227</v>
      </c>
      <c r="R32" s="952" t="n">
        <v>110279.8788</v>
      </c>
      <c r="S32" s="877" t="n">
        <f aca="false">R32/H32</f>
        <v>3666</v>
      </c>
      <c r="T32" s="953" t="n">
        <f aca="false">O32-R32</f>
        <v>0</v>
      </c>
      <c r="U32" s="537" t="n">
        <f aca="false">N32-S32</f>
        <v>0</v>
      </c>
    </row>
    <row r="33" customFormat="false" ht="15" hidden="false" customHeight="true" outlineLevel="0" collapsed="false">
      <c r="A33" s="954" t="n">
        <v>4</v>
      </c>
      <c r="B33" s="954" t="s">
        <v>2191</v>
      </c>
      <c r="C33" s="954" t="n">
        <v>2025</v>
      </c>
      <c r="D33" s="955" t="s">
        <v>16</v>
      </c>
      <c r="E33" s="955" t="s">
        <v>2192</v>
      </c>
      <c r="F33" s="955" t="s">
        <v>1651</v>
      </c>
      <c r="G33" s="956"/>
      <c r="H33" s="957" t="n">
        <v>22.5901</v>
      </c>
      <c r="I33" s="958"/>
      <c r="J33" s="958"/>
      <c r="K33" s="959" t="n">
        <f aca="false">H33*I33/100</f>
        <v>0</v>
      </c>
      <c r="L33" s="960" t="n">
        <v>1748</v>
      </c>
      <c r="M33" s="960" t="n">
        <v>1</v>
      </c>
      <c r="N33" s="961" t="n">
        <f aca="false">L33*M33</f>
        <v>1748</v>
      </c>
      <c r="O33" s="962" t="n">
        <f aca="false">H33*N33</f>
        <v>39487.4948</v>
      </c>
      <c r="P33" s="963"/>
      <c r="Q33" s="964"/>
      <c r="R33" s="965"/>
      <c r="S33" s="966"/>
      <c r="T33" s="967" t="n">
        <f aca="false">O33-R33</f>
        <v>39487.4948</v>
      </c>
      <c r="U33" s="960" t="n">
        <f aca="false">N33-S33</f>
        <v>1748</v>
      </c>
    </row>
    <row r="34" customFormat="false" ht="15" hidden="false" customHeight="true" outlineLevel="0" collapsed="false">
      <c r="A34" s="859"/>
      <c r="B34" s="859"/>
      <c r="C34" s="859"/>
      <c r="D34" s="860"/>
      <c r="E34" s="860"/>
      <c r="F34" s="860"/>
      <c r="G34" s="861"/>
      <c r="H34" s="862"/>
      <c r="I34" s="863"/>
      <c r="J34" s="863"/>
      <c r="K34" s="864"/>
      <c r="L34" s="865"/>
      <c r="M34" s="866"/>
      <c r="N34" s="865"/>
      <c r="O34" s="865"/>
      <c r="P34" s="868"/>
      <c r="Q34" s="869"/>
      <c r="R34" s="866"/>
      <c r="S34" s="866"/>
      <c r="T34" s="968"/>
      <c r="U34" s="543"/>
    </row>
    <row r="35" customFormat="false" ht="15" hidden="false" customHeight="true" outlineLevel="0" collapsed="false">
      <c r="A35" s="969" t="n">
        <v>155</v>
      </c>
      <c r="B35" s="969" t="s">
        <v>81</v>
      </c>
      <c r="C35" s="969" t="n">
        <v>2023</v>
      </c>
      <c r="D35" s="929" t="s">
        <v>173</v>
      </c>
      <c r="E35" s="929" t="s">
        <v>2192</v>
      </c>
      <c r="F35" s="929"/>
      <c r="G35" s="970"/>
      <c r="H35" s="971" t="n">
        <v>1</v>
      </c>
      <c r="I35" s="972"/>
      <c r="J35" s="972"/>
      <c r="K35" s="973" t="n">
        <f aca="false">H35*I35/100</f>
        <v>0</v>
      </c>
      <c r="L35" s="974" t="n">
        <v>2004</v>
      </c>
      <c r="M35" s="975" t="n">
        <v>1</v>
      </c>
      <c r="N35" s="976" t="n">
        <f aca="false">L35*M35</f>
        <v>2004</v>
      </c>
      <c r="O35" s="976" t="n">
        <f aca="false">H35*N35</f>
        <v>2004</v>
      </c>
      <c r="P35" s="930"/>
      <c r="Q35" s="977"/>
      <c r="R35" s="933"/>
      <c r="S35" s="933"/>
      <c r="T35" s="978" t="n">
        <f aca="false">O35-R35</f>
        <v>2004</v>
      </c>
      <c r="U35" s="979" t="n">
        <f aca="false">N35-S35</f>
        <v>2004</v>
      </c>
    </row>
    <row r="36" customFormat="false" ht="15" hidden="false" customHeight="true" outlineLevel="0" collapsed="false">
      <c r="A36" s="859" t="s">
        <v>2228</v>
      </c>
      <c r="B36" s="859" t="s">
        <v>86</v>
      </c>
      <c r="C36" s="859" t="n">
        <v>2023</v>
      </c>
      <c r="D36" s="860" t="s">
        <v>173</v>
      </c>
      <c r="E36" s="860" t="s">
        <v>2192</v>
      </c>
      <c r="F36" s="860"/>
      <c r="G36" s="861"/>
      <c r="H36" s="980" t="n">
        <v>1</v>
      </c>
      <c r="I36" s="981"/>
      <c r="J36" s="981"/>
      <c r="K36" s="864" t="n">
        <f aca="false">H36*I36/100</f>
        <v>0</v>
      </c>
      <c r="L36" s="982" t="n">
        <v>990</v>
      </c>
      <c r="M36" s="983" t="n">
        <v>1</v>
      </c>
      <c r="N36" s="865" t="n">
        <f aca="false">L36*M36</f>
        <v>990</v>
      </c>
      <c r="O36" s="865" t="n">
        <f aca="false">H36*N36</f>
        <v>990</v>
      </c>
      <c r="P36" s="868" t="s">
        <v>2197</v>
      </c>
      <c r="Q36" s="984" t="s">
        <v>2229</v>
      </c>
      <c r="R36" s="866" t="n">
        <v>990</v>
      </c>
      <c r="S36" s="866" t="n">
        <v>990</v>
      </c>
      <c r="T36" s="985" t="n">
        <f aca="false">O36-R36</f>
        <v>0</v>
      </c>
      <c r="U36" s="543" t="n">
        <f aca="false">N36-S36</f>
        <v>0</v>
      </c>
    </row>
    <row r="37" customFormat="false" ht="15" hidden="false" customHeight="true" outlineLevel="0" collapsed="false">
      <c r="A37" s="859"/>
      <c r="B37" s="859"/>
      <c r="C37" s="859"/>
      <c r="D37" s="860"/>
      <c r="E37" s="860"/>
      <c r="F37" s="860"/>
      <c r="G37" s="861"/>
      <c r="H37" s="862"/>
      <c r="I37" s="863"/>
      <c r="J37" s="863"/>
      <c r="K37" s="864"/>
      <c r="L37" s="986"/>
      <c r="M37" s="866"/>
      <c r="N37" s="865"/>
      <c r="O37" s="867"/>
      <c r="P37" s="868"/>
      <c r="Q37" s="543"/>
      <c r="R37" s="866"/>
      <c r="S37" s="866"/>
      <c r="T37" s="543"/>
      <c r="U37" s="543"/>
    </row>
    <row r="38" customFormat="false" ht="15" hidden="false" customHeight="true" outlineLevel="0" collapsed="false">
      <c r="A38" s="987" t="n">
        <v>80</v>
      </c>
      <c r="B38" s="987" t="s">
        <v>2230</v>
      </c>
      <c r="C38" s="987" t="n">
        <v>2022</v>
      </c>
      <c r="D38" s="988" t="s">
        <v>7</v>
      </c>
      <c r="E38" s="988" t="s">
        <v>2192</v>
      </c>
      <c r="F38" s="988" t="s">
        <v>1650</v>
      </c>
      <c r="G38" s="989"/>
      <c r="H38" s="990" t="n">
        <v>94.5</v>
      </c>
      <c r="I38" s="991"/>
      <c r="J38" s="991"/>
      <c r="K38" s="992" t="n">
        <f aca="false">H38*I38/100</f>
        <v>0</v>
      </c>
      <c r="L38" s="993" t="n">
        <v>780</v>
      </c>
      <c r="M38" s="994" t="n">
        <v>1</v>
      </c>
      <c r="N38" s="995" t="n">
        <f aca="false">L38*M38</f>
        <v>780</v>
      </c>
      <c r="O38" s="995" t="n">
        <f aca="false">H38*N38</f>
        <v>73710</v>
      </c>
      <c r="P38" s="996"/>
      <c r="Q38" s="997"/>
      <c r="R38" s="994"/>
      <c r="S38" s="994"/>
      <c r="T38" s="998" t="n">
        <f aca="false">O38-R38</f>
        <v>73710</v>
      </c>
      <c r="U38" s="998" t="n">
        <f aca="false">N38-S38</f>
        <v>780</v>
      </c>
    </row>
    <row r="39" customFormat="false" ht="15" hidden="false" customHeight="true" outlineLevel="0" collapsed="false">
      <c r="A39" s="870" t="n">
        <v>182</v>
      </c>
      <c r="B39" s="870" t="s">
        <v>2191</v>
      </c>
      <c r="C39" s="870" t="n">
        <v>2022</v>
      </c>
      <c r="D39" s="871" t="s">
        <v>7</v>
      </c>
      <c r="E39" s="871" t="s">
        <v>2192</v>
      </c>
      <c r="F39" s="871" t="s">
        <v>2133</v>
      </c>
      <c r="G39" s="872"/>
      <c r="H39" s="873" t="n">
        <v>90</v>
      </c>
      <c r="I39" s="874"/>
      <c r="J39" s="874"/>
      <c r="K39" s="875" t="n">
        <f aca="false">H39*I39/100</f>
        <v>0</v>
      </c>
      <c r="L39" s="999" t="n">
        <v>592.5</v>
      </c>
      <c r="M39" s="1000" t="n">
        <v>1</v>
      </c>
      <c r="N39" s="876" t="n">
        <f aca="false">L39*M39</f>
        <v>592.5</v>
      </c>
      <c r="O39" s="876" t="n">
        <f aca="false">H39*N39</f>
        <v>53325</v>
      </c>
      <c r="P39" s="879" t="s">
        <v>2204</v>
      </c>
      <c r="Q39" s="1001" t="n">
        <v>16102024</v>
      </c>
      <c r="R39" s="877" t="n">
        <v>53325</v>
      </c>
      <c r="S39" s="877" t="n">
        <f aca="false">R39/H39</f>
        <v>592.5</v>
      </c>
      <c r="T39" s="553" t="n">
        <f aca="false">O39-R39</f>
        <v>0</v>
      </c>
      <c r="U39" s="553" t="n">
        <f aca="false">N39-S39</f>
        <v>0</v>
      </c>
    </row>
    <row r="40" customFormat="false" ht="15" hidden="false" customHeight="true" outlineLevel="0" collapsed="false">
      <c r="A40" s="829" t="n">
        <v>284</v>
      </c>
      <c r="B40" s="830" t="s">
        <v>2191</v>
      </c>
      <c r="C40" s="830" t="n">
        <v>2022</v>
      </c>
      <c r="D40" s="831" t="s">
        <v>7</v>
      </c>
      <c r="E40" s="831" t="s">
        <v>2192</v>
      </c>
      <c r="F40" s="832" t="s">
        <v>1651</v>
      </c>
      <c r="G40" s="833"/>
      <c r="H40" s="834" t="n">
        <v>25.71</v>
      </c>
      <c r="I40" s="835"/>
      <c r="J40" s="835"/>
      <c r="K40" s="836" t="n">
        <f aca="false">H40*I40/100</f>
        <v>0</v>
      </c>
      <c r="L40" s="1002" t="n">
        <v>18</v>
      </c>
      <c r="M40" s="1003" t="n">
        <v>15</v>
      </c>
      <c r="N40" s="837" t="n">
        <f aca="false">L40*M40</f>
        <v>270</v>
      </c>
      <c r="O40" s="837" t="n">
        <f aca="false">H40*N40</f>
        <v>6941.7</v>
      </c>
      <c r="P40" s="838" t="s">
        <v>2193</v>
      </c>
      <c r="Q40" s="1004" t="s">
        <v>2231</v>
      </c>
      <c r="R40" s="840" t="n">
        <v>6170.4</v>
      </c>
      <c r="S40" s="840" t="n">
        <f aca="false">R40/H40</f>
        <v>240</v>
      </c>
      <c r="T40" s="841" t="n">
        <f aca="false">O40-R40-R41</f>
        <v>0</v>
      </c>
      <c r="U40" s="842" t="n">
        <f aca="false">N40-S40-S41</f>
        <v>3.19744231092045E-014</v>
      </c>
    </row>
    <row r="41" customFormat="false" ht="15" hidden="false" customHeight="true" outlineLevel="0" collapsed="false">
      <c r="A41" s="829"/>
      <c r="B41" s="830"/>
      <c r="C41" s="830"/>
      <c r="D41" s="843" t="s">
        <v>7</v>
      </c>
      <c r="E41" s="843" t="s">
        <v>2192</v>
      </c>
      <c r="F41" s="832"/>
      <c r="G41" s="833"/>
      <c r="H41" s="834"/>
      <c r="I41" s="835"/>
      <c r="J41" s="835"/>
      <c r="K41" s="836"/>
      <c r="L41" s="1002"/>
      <c r="M41" s="1003"/>
      <c r="N41" s="837"/>
      <c r="O41" s="837"/>
      <c r="P41" s="844" t="s">
        <v>2232</v>
      </c>
      <c r="Q41" s="1005" t="s">
        <v>2233</v>
      </c>
      <c r="R41" s="846" t="n">
        <v>771.3</v>
      </c>
      <c r="S41" s="846" t="n">
        <f aca="false">R41/H40</f>
        <v>30</v>
      </c>
      <c r="T41" s="841"/>
      <c r="U41" s="842"/>
    </row>
    <row r="42" customFormat="false" ht="15" hidden="false" customHeight="true" outlineLevel="0" collapsed="false">
      <c r="A42" s="847" t="n">
        <v>356</v>
      </c>
      <c r="B42" s="847" t="s">
        <v>2191</v>
      </c>
      <c r="C42" s="847" t="n">
        <v>2022</v>
      </c>
      <c r="D42" s="848" t="s">
        <v>7</v>
      </c>
      <c r="E42" s="848" t="s">
        <v>2192</v>
      </c>
      <c r="F42" s="848" t="s">
        <v>1651</v>
      </c>
      <c r="G42" s="849"/>
      <c r="H42" s="850" t="n">
        <v>25.71</v>
      </c>
      <c r="I42" s="851"/>
      <c r="J42" s="851"/>
      <c r="K42" s="852" t="n">
        <f aca="false">H42*I42/100</f>
        <v>0</v>
      </c>
      <c r="L42" s="1006" t="n">
        <v>2</v>
      </c>
      <c r="M42" s="1007" t="n">
        <v>15</v>
      </c>
      <c r="N42" s="853" t="n">
        <f aca="false">L42*M42</f>
        <v>30</v>
      </c>
      <c r="O42" s="853" t="n">
        <f aca="false">H42*N42</f>
        <v>771.3</v>
      </c>
      <c r="P42" s="856" t="s">
        <v>2193</v>
      </c>
      <c r="Q42" s="1008" t="s">
        <v>2231</v>
      </c>
      <c r="R42" s="854" t="n">
        <v>771.3</v>
      </c>
      <c r="S42" s="854" t="n">
        <f aca="false">R42/H42</f>
        <v>30</v>
      </c>
      <c r="T42" s="1009" t="n">
        <f aca="false">O42-R42</f>
        <v>0</v>
      </c>
      <c r="U42" s="537" t="n">
        <f aca="false">N42-S42</f>
        <v>0</v>
      </c>
    </row>
    <row r="43" customFormat="false" ht="15" hidden="false" customHeight="true" outlineLevel="0" collapsed="false">
      <c r="A43" s="859" t="n">
        <v>364</v>
      </c>
      <c r="B43" s="859" t="s">
        <v>2191</v>
      </c>
      <c r="C43" s="859" t="n">
        <v>2022</v>
      </c>
      <c r="D43" s="860" t="s">
        <v>7</v>
      </c>
      <c r="E43" s="860" t="s">
        <v>2192</v>
      </c>
      <c r="F43" s="860" t="s">
        <v>1651</v>
      </c>
      <c r="G43" s="861"/>
      <c r="H43" s="862" t="n">
        <v>25.71</v>
      </c>
      <c r="I43" s="863"/>
      <c r="J43" s="863"/>
      <c r="K43" s="864" t="n">
        <f aca="false">H43*I43/100</f>
        <v>0</v>
      </c>
      <c r="L43" s="982" t="n">
        <v>7</v>
      </c>
      <c r="M43" s="983" t="n">
        <v>15</v>
      </c>
      <c r="N43" s="865" t="n">
        <f aca="false">L43*M43</f>
        <v>105</v>
      </c>
      <c r="O43" s="1010" t="n">
        <f aca="false">H43*N43</f>
        <v>2699.55</v>
      </c>
      <c r="P43" s="868" t="s">
        <v>2193</v>
      </c>
      <c r="Q43" s="1011" t="s">
        <v>2234</v>
      </c>
      <c r="R43" s="866" t="n">
        <v>2699.55</v>
      </c>
      <c r="S43" s="866" t="n">
        <f aca="false">R43/H43</f>
        <v>105</v>
      </c>
      <c r="T43" s="968" t="n">
        <f aca="false">O43-R43</f>
        <v>0</v>
      </c>
      <c r="U43" s="543" t="n">
        <f aca="false">N43-S43</f>
        <v>0</v>
      </c>
    </row>
    <row r="44" customFormat="false" ht="15" hidden="false" customHeight="true" outlineLevel="0" collapsed="false">
      <c r="A44" s="859" t="n">
        <v>415</v>
      </c>
      <c r="B44" s="859" t="s">
        <v>2191</v>
      </c>
      <c r="C44" s="859" t="n">
        <v>2022</v>
      </c>
      <c r="D44" s="860" t="s">
        <v>7</v>
      </c>
      <c r="E44" s="860" t="s">
        <v>2192</v>
      </c>
      <c r="F44" s="860" t="s">
        <v>1731</v>
      </c>
      <c r="G44" s="861"/>
      <c r="H44" s="862" t="n">
        <v>60</v>
      </c>
      <c r="I44" s="863"/>
      <c r="J44" s="863"/>
      <c r="K44" s="864" t="n">
        <f aca="false">H44*I44/100</f>
        <v>0</v>
      </c>
      <c r="L44" s="982" t="n">
        <v>1174</v>
      </c>
      <c r="M44" s="983" t="n">
        <v>1</v>
      </c>
      <c r="N44" s="865" t="n">
        <f aca="false">L44*M44</f>
        <v>1174</v>
      </c>
      <c r="O44" s="865" t="n">
        <f aca="false">H44*N44</f>
        <v>70440</v>
      </c>
      <c r="P44" s="868" t="s">
        <v>2204</v>
      </c>
      <c r="Q44" s="1012" t="n">
        <v>16102024</v>
      </c>
      <c r="R44" s="866" t="n">
        <v>70440</v>
      </c>
      <c r="S44" s="866" t="n">
        <f aca="false">R44/H44</f>
        <v>1174</v>
      </c>
      <c r="T44" s="968" t="n">
        <f aca="false">O44-R44</f>
        <v>0</v>
      </c>
      <c r="U44" s="543" t="n">
        <f aca="false">N44-S44</f>
        <v>0</v>
      </c>
    </row>
    <row r="45" customFormat="false" ht="15" hidden="false" customHeight="true" outlineLevel="0" collapsed="false">
      <c r="A45" s="870" t="n">
        <v>537</v>
      </c>
      <c r="B45" s="870" t="s">
        <v>2191</v>
      </c>
      <c r="C45" s="870" t="n">
        <v>2022</v>
      </c>
      <c r="D45" s="871" t="s">
        <v>7</v>
      </c>
      <c r="E45" s="871" t="s">
        <v>2192</v>
      </c>
      <c r="F45" s="871" t="s">
        <v>1652</v>
      </c>
      <c r="G45" s="872"/>
      <c r="H45" s="873" t="n">
        <v>36</v>
      </c>
      <c r="I45" s="874"/>
      <c r="J45" s="874"/>
      <c r="K45" s="875" t="n">
        <f aca="false">H45*I45/100</f>
        <v>0</v>
      </c>
      <c r="L45" s="999" t="n">
        <v>78</v>
      </c>
      <c r="M45" s="1000" t="n">
        <v>15</v>
      </c>
      <c r="N45" s="876" t="n">
        <f aca="false">L45*M45</f>
        <v>1170</v>
      </c>
      <c r="O45" s="876" t="n">
        <f aca="false">H45*N45</f>
        <v>42120</v>
      </c>
      <c r="P45" s="879" t="s">
        <v>2193</v>
      </c>
      <c r="Q45" s="1013" t="s">
        <v>2231</v>
      </c>
      <c r="R45" s="877" t="n">
        <v>42120</v>
      </c>
      <c r="S45" s="866" t="n">
        <f aca="false">R45/H45</f>
        <v>1170</v>
      </c>
      <c r="T45" s="1014" t="n">
        <f aca="false">O45-R45</f>
        <v>0</v>
      </c>
      <c r="U45" s="553" t="n">
        <f aca="false">N45-S45</f>
        <v>0</v>
      </c>
    </row>
    <row r="46" customFormat="false" ht="15" hidden="false" customHeight="true" outlineLevel="0" collapsed="false">
      <c r="A46" s="829" t="n">
        <v>538</v>
      </c>
      <c r="B46" s="830" t="s">
        <v>2191</v>
      </c>
      <c r="C46" s="830" t="n">
        <v>2022</v>
      </c>
      <c r="D46" s="831" t="s">
        <v>7</v>
      </c>
      <c r="E46" s="831" t="s">
        <v>2192</v>
      </c>
      <c r="F46" s="832" t="s">
        <v>1651</v>
      </c>
      <c r="G46" s="833"/>
      <c r="H46" s="834" t="n">
        <v>25.71</v>
      </c>
      <c r="I46" s="835"/>
      <c r="J46" s="835"/>
      <c r="K46" s="836" t="n">
        <f aca="false">H46*I46/100</f>
        <v>0</v>
      </c>
      <c r="L46" s="1002" t="n">
        <v>69</v>
      </c>
      <c r="M46" s="1003" t="n">
        <v>15</v>
      </c>
      <c r="N46" s="837" t="n">
        <f aca="false">L46*M46</f>
        <v>1035</v>
      </c>
      <c r="O46" s="837" t="n">
        <f aca="false">H46*N46</f>
        <v>26609.85</v>
      </c>
      <c r="P46" s="884" t="s">
        <v>2193</v>
      </c>
      <c r="Q46" s="1015" t="s">
        <v>2234</v>
      </c>
      <c r="R46" s="1016" t="n">
        <v>5399.1</v>
      </c>
      <c r="S46" s="886" t="n">
        <f aca="false">R46/H46</f>
        <v>210</v>
      </c>
      <c r="T46" s="1017" t="n">
        <f aca="false">O46-R46-R49-R48-R47</f>
        <v>0</v>
      </c>
      <c r="U46" s="842" t="n">
        <f aca="false">N46-S46-S49-S48-S47</f>
        <v>0</v>
      </c>
    </row>
    <row r="47" customFormat="false" ht="15" hidden="false" customHeight="true" outlineLevel="0" collapsed="false">
      <c r="A47" s="829"/>
      <c r="B47" s="830"/>
      <c r="C47" s="830"/>
      <c r="D47" s="904" t="s">
        <v>7</v>
      </c>
      <c r="E47" s="904" t="s">
        <v>2192</v>
      </c>
      <c r="F47" s="832"/>
      <c r="G47" s="833"/>
      <c r="H47" s="834"/>
      <c r="I47" s="835"/>
      <c r="J47" s="835"/>
      <c r="K47" s="836"/>
      <c r="L47" s="1002"/>
      <c r="M47" s="1003"/>
      <c r="N47" s="837"/>
      <c r="O47" s="837"/>
      <c r="P47" s="868" t="s">
        <v>2232</v>
      </c>
      <c r="Q47" s="1011" t="s">
        <v>2233</v>
      </c>
      <c r="R47" s="1018" t="n">
        <v>17354.25</v>
      </c>
      <c r="S47" s="866" t="n">
        <f aca="false">R47/H46</f>
        <v>675</v>
      </c>
      <c r="T47" s="1017"/>
      <c r="U47" s="842"/>
    </row>
    <row r="48" customFormat="false" ht="15" hidden="false" customHeight="true" outlineLevel="0" collapsed="false">
      <c r="A48" s="829"/>
      <c r="B48" s="830"/>
      <c r="C48" s="830"/>
      <c r="D48" s="904" t="s">
        <v>7</v>
      </c>
      <c r="E48" s="904" t="s">
        <v>2192</v>
      </c>
      <c r="F48" s="832"/>
      <c r="G48" s="833"/>
      <c r="H48" s="834"/>
      <c r="I48" s="835"/>
      <c r="J48" s="835"/>
      <c r="K48" s="836"/>
      <c r="L48" s="1002"/>
      <c r="M48" s="1003"/>
      <c r="N48" s="837"/>
      <c r="O48" s="837"/>
      <c r="P48" s="868" t="s">
        <v>2193</v>
      </c>
      <c r="Q48" s="1011" t="s">
        <v>2235</v>
      </c>
      <c r="R48" s="1018" t="n">
        <v>3085.2</v>
      </c>
      <c r="S48" s="866" t="n">
        <f aca="false">R48/H46</f>
        <v>120</v>
      </c>
      <c r="T48" s="1017"/>
      <c r="U48" s="842"/>
    </row>
    <row r="49" customFormat="false" ht="15" hidden="false" customHeight="true" outlineLevel="0" collapsed="false">
      <c r="A49" s="829"/>
      <c r="B49" s="830"/>
      <c r="C49" s="830"/>
      <c r="D49" s="843" t="s">
        <v>7</v>
      </c>
      <c r="E49" s="843" t="s">
        <v>2192</v>
      </c>
      <c r="F49" s="832"/>
      <c r="G49" s="833"/>
      <c r="H49" s="834"/>
      <c r="I49" s="835"/>
      <c r="J49" s="835"/>
      <c r="K49" s="836"/>
      <c r="L49" s="1002"/>
      <c r="M49" s="1003"/>
      <c r="N49" s="837"/>
      <c r="O49" s="837"/>
      <c r="P49" s="844" t="s">
        <v>2193</v>
      </c>
      <c r="Q49" s="1005" t="s">
        <v>2236</v>
      </c>
      <c r="R49" s="901" t="n">
        <v>771.3</v>
      </c>
      <c r="S49" s="846" t="n">
        <f aca="false">R49/H46</f>
        <v>30</v>
      </c>
      <c r="T49" s="1017"/>
      <c r="U49" s="842"/>
    </row>
    <row r="50" customFormat="false" ht="15" hidden="false" customHeight="true" outlineLevel="0" collapsed="false">
      <c r="A50" s="847" t="n">
        <v>541</v>
      </c>
      <c r="B50" s="847" t="s">
        <v>2191</v>
      </c>
      <c r="C50" s="847" t="n">
        <v>2022</v>
      </c>
      <c r="D50" s="848" t="s">
        <v>7</v>
      </c>
      <c r="E50" s="848" t="s">
        <v>2192</v>
      </c>
      <c r="F50" s="848" t="s">
        <v>1651</v>
      </c>
      <c r="G50" s="849"/>
      <c r="H50" s="850" t="n">
        <v>25.71</v>
      </c>
      <c r="I50" s="851"/>
      <c r="J50" s="851"/>
      <c r="K50" s="852" t="n">
        <f aca="false">H50*I50/100</f>
        <v>0</v>
      </c>
      <c r="L50" s="1006" t="n">
        <v>22</v>
      </c>
      <c r="M50" s="1007" t="n">
        <v>15</v>
      </c>
      <c r="N50" s="853" t="n">
        <f aca="false">L50*M50</f>
        <v>330</v>
      </c>
      <c r="O50" s="855" t="n">
        <f aca="false">H50*N50</f>
        <v>8484.3</v>
      </c>
      <c r="P50" s="856" t="s">
        <v>2204</v>
      </c>
      <c r="Q50" s="857" t="n">
        <v>24052024</v>
      </c>
      <c r="R50" s="854" t="n">
        <v>8484.3</v>
      </c>
      <c r="S50" s="854" t="n">
        <f aca="false">R50/H50</f>
        <v>330</v>
      </c>
      <c r="T50" s="1009" t="n">
        <f aca="false">O50-R50</f>
        <v>0</v>
      </c>
      <c r="U50" s="537" t="n">
        <f aca="false">N50-S50</f>
        <v>0</v>
      </c>
    </row>
    <row r="51" customFormat="false" ht="15" hidden="false" customHeight="true" outlineLevel="0" collapsed="false">
      <c r="A51" s="859" t="n">
        <v>573</v>
      </c>
      <c r="B51" s="870" t="s">
        <v>2191</v>
      </c>
      <c r="C51" s="870" t="n">
        <v>2022</v>
      </c>
      <c r="D51" s="871" t="s">
        <v>7</v>
      </c>
      <c r="E51" s="871" t="s">
        <v>2192</v>
      </c>
      <c r="F51" s="871" t="s">
        <v>2131</v>
      </c>
      <c r="G51" s="872"/>
      <c r="H51" s="873" t="n">
        <v>60</v>
      </c>
      <c r="I51" s="874"/>
      <c r="J51" s="874"/>
      <c r="K51" s="875" t="n">
        <f aca="false">H51*I51/100</f>
        <v>0</v>
      </c>
      <c r="L51" s="999" t="n">
        <v>860</v>
      </c>
      <c r="M51" s="1000" t="n">
        <v>1</v>
      </c>
      <c r="N51" s="876" t="n">
        <f aca="false">L51*M51</f>
        <v>860</v>
      </c>
      <c r="O51" s="876" t="n">
        <f aca="false">H51*N51</f>
        <v>51600</v>
      </c>
      <c r="P51" s="879" t="s">
        <v>2204</v>
      </c>
      <c r="Q51" s="1001" t="n">
        <v>16102024</v>
      </c>
      <c r="R51" s="877" t="n">
        <v>51600</v>
      </c>
      <c r="S51" s="866" t="n">
        <f aca="false">R51/H51</f>
        <v>860</v>
      </c>
      <c r="T51" s="1014" t="n">
        <f aca="false">O51-R51</f>
        <v>0</v>
      </c>
      <c r="U51" s="553" t="n">
        <f aca="false">N51-S51</f>
        <v>0</v>
      </c>
    </row>
    <row r="52" customFormat="false" ht="15" hidden="false" customHeight="true" outlineLevel="0" collapsed="false">
      <c r="A52" s="1019" t="n">
        <v>43</v>
      </c>
      <c r="B52" s="882" t="s">
        <v>86</v>
      </c>
      <c r="C52" s="883" t="n">
        <v>2023</v>
      </c>
      <c r="D52" s="831" t="s">
        <v>7</v>
      </c>
      <c r="E52" s="831" t="s">
        <v>2192</v>
      </c>
      <c r="F52" s="832" t="s">
        <v>2199</v>
      </c>
      <c r="G52" s="833"/>
      <c r="H52" s="834" t="n">
        <v>83.1</v>
      </c>
      <c r="I52" s="1020" t="n">
        <v>82</v>
      </c>
      <c r="J52" s="1020" t="n">
        <v>85</v>
      </c>
      <c r="K52" s="836" t="n">
        <f aca="false">H52*I52/100</f>
        <v>68.142</v>
      </c>
      <c r="L52" s="1002" t="n">
        <v>4270</v>
      </c>
      <c r="M52" s="1003" t="n">
        <v>1</v>
      </c>
      <c r="N52" s="837" t="n">
        <f aca="false">L52*M52</f>
        <v>4270</v>
      </c>
      <c r="O52" s="837" t="n">
        <f aca="false">H52*N52</f>
        <v>354837</v>
      </c>
      <c r="P52" s="884" t="s">
        <v>2237</v>
      </c>
      <c r="Q52" s="1015" t="s">
        <v>2238</v>
      </c>
      <c r="R52" s="886" t="n">
        <v>354837</v>
      </c>
      <c r="S52" s="886" t="n">
        <f aca="false">R52/H52</f>
        <v>4270</v>
      </c>
      <c r="T52" s="841" t="n">
        <f aca="false">O52-R52-R54-R53</f>
        <v>0</v>
      </c>
      <c r="U52" s="842" t="n">
        <f aca="false">N52-S52-S54-S53</f>
        <v>0</v>
      </c>
    </row>
    <row r="53" customFormat="false" ht="15" hidden="false" customHeight="true" outlineLevel="0" collapsed="false">
      <c r="A53" s="1019"/>
      <c r="B53" s="882"/>
      <c r="C53" s="883"/>
      <c r="D53" s="904" t="s">
        <v>7</v>
      </c>
      <c r="E53" s="904" t="s">
        <v>2192</v>
      </c>
      <c r="F53" s="832"/>
      <c r="G53" s="833"/>
      <c r="H53" s="834"/>
      <c r="I53" s="1020"/>
      <c r="J53" s="1020"/>
      <c r="K53" s="836"/>
      <c r="L53" s="1002"/>
      <c r="M53" s="1003"/>
      <c r="N53" s="837"/>
      <c r="O53" s="837"/>
      <c r="P53" s="868" t="s">
        <v>2193</v>
      </c>
      <c r="Q53" s="1011" t="s">
        <v>2239</v>
      </c>
      <c r="R53" s="866" t="n">
        <v>18448.2</v>
      </c>
      <c r="S53" s="866" t="n">
        <f aca="false">R53/H52</f>
        <v>222</v>
      </c>
      <c r="T53" s="841"/>
      <c r="U53" s="842"/>
    </row>
    <row r="54" customFormat="false" ht="15" hidden="false" customHeight="true" outlineLevel="0" collapsed="false">
      <c r="A54" s="1019"/>
      <c r="B54" s="882"/>
      <c r="C54" s="883"/>
      <c r="D54" s="843" t="s">
        <v>7</v>
      </c>
      <c r="E54" s="843" t="s">
        <v>2192</v>
      </c>
      <c r="F54" s="832"/>
      <c r="G54" s="833"/>
      <c r="H54" s="834"/>
      <c r="I54" s="1020"/>
      <c r="J54" s="1020"/>
      <c r="K54" s="836"/>
      <c r="L54" s="1002"/>
      <c r="M54" s="1003"/>
      <c r="N54" s="837"/>
      <c r="O54" s="837"/>
      <c r="P54" s="844" t="s">
        <v>2195</v>
      </c>
      <c r="Q54" s="1005" t="s">
        <v>2240</v>
      </c>
      <c r="R54" s="846" t="n">
        <v>-18448.2</v>
      </c>
      <c r="S54" s="846" t="n">
        <f aca="false">R54/H52</f>
        <v>-222</v>
      </c>
      <c r="T54" s="841"/>
      <c r="U54" s="842"/>
    </row>
    <row r="55" customFormat="false" ht="15" hidden="false" customHeight="true" outlineLevel="0" collapsed="false">
      <c r="A55" s="1019"/>
      <c r="B55" s="903" t="s">
        <v>86</v>
      </c>
      <c r="C55" s="903" t="n">
        <v>2023</v>
      </c>
      <c r="D55" s="1021" t="s">
        <v>7</v>
      </c>
      <c r="E55" s="904" t="s">
        <v>2241</v>
      </c>
      <c r="F55" s="904"/>
      <c r="G55" s="905"/>
      <c r="H55" s="906" t="n">
        <v>23.9</v>
      </c>
      <c r="I55" s="907"/>
      <c r="J55" s="907"/>
      <c r="K55" s="939" t="n">
        <f aca="false">H55*I55/100</f>
        <v>0</v>
      </c>
      <c r="L55" s="1022" t="n">
        <v>90</v>
      </c>
      <c r="M55" s="1023" t="n">
        <v>1</v>
      </c>
      <c r="N55" s="908" t="n">
        <f aca="false">L55*M55</f>
        <v>90</v>
      </c>
      <c r="O55" s="908" t="n">
        <f aca="false">H55*N55</f>
        <v>2151</v>
      </c>
      <c r="P55" s="910" t="s">
        <v>2204</v>
      </c>
      <c r="Q55" s="1024" t="n">
        <v>20082024</v>
      </c>
      <c r="R55" s="1025" t="n">
        <v>2151</v>
      </c>
      <c r="S55" s="891" t="n">
        <f aca="false">R55/H55</f>
        <v>90</v>
      </c>
      <c r="T55" s="942" t="n">
        <f aca="false">O55-R55</f>
        <v>0</v>
      </c>
      <c r="U55" s="1026" t="n">
        <f aca="false">N55-S55</f>
        <v>0</v>
      </c>
    </row>
    <row r="56" customFormat="false" ht="15" hidden="false" customHeight="true" outlineLevel="0" collapsed="false">
      <c r="A56" s="1019"/>
      <c r="B56" s="1027" t="s">
        <v>86</v>
      </c>
      <c r="C56" s="1028" t="n">
        <v>2023</v>
      </c>
      <c r="D56" s="1029" t="s">
        <v>7</v>
      </c>
      <c r="E56" s="831" t="s">
        <v>2205</v>
      </c>
      <c r="F56" s="1028"/>
      <c r="G56" s="1030"/>
      <c r="H56" s="1031" t="n">
        <v>15.2</v>
      </c>
      <c r="I56" s="1032"/>
      <c r="J56" s="1032"/>
      <c r="K56" s="1033" t="n">
        <f aca="false">H56*I56/100</f>
        <v>0</v>
      </c>
      <c r="L56" s="1034" t="n">
        <v>994</v>
      </c>
      <c r="M56" s="1035" t="n">
        <v>1</v>
      </c>
      <c r="N56" s="1036" t="n">
        <f aca="false">L56*M56</f>
        <v>994</v>
      </c>
      <c r="O56" s="1036" t="n">
        <f aca="false">H56*N56</f>
        <v>15108.8</v>
      </c>
      <c r="P56" s="884" t="s">
        <v>2195</v>
      </c>
      <c r="Q56" s="1015" t="s">
        <v>2240</v>
      </c>
      <c r="R56" s="886" t="n">
        <v>60.8</v>
      </c>
      <c r="S56" s="886" t="n">
        <f aca="false">R56/H56</f>
        <v>4</v>
      </c>
      <c r="T56" s="1036" t="n">
        <f aca="false">O56-R56-R57</f>
        <v>0</v>
      </c>
      <c r="U56" s="1037" t="n">
        <f aca="false">N56-S56-S57</f>
        <v>0</v>
      </c>
    </row>
    <row r="57" customFormat="false" ht="15" hidden="false" customHeight="true" outlineLevel="0" collapsed="false">
      <c r="A57" s="1019"/>
      <c r="B57" s="1027"/>
      <c r="C57" s="1028"/>
      <c r="D57" s="871" t="s">
        <v>7</v>
      </c>
      <c r="E57" s="871" t="s">
        <v>2205</v>
      </c>
      <c r="F57" s="1028"/>
      <c r="G57" s="1030"/>
      <c r="H57" s="1031"/>
      <c r="I57" s="1032"/>
      <c r="J57" s="1032"/>
      <c r="K57" s="1033"/>
      <c r="L57" s="1034"/>
      <c r="M57" s="1035"/>
      <c r="N57" s="1036"/>
      <c r="O57" s="1036"/>
      <c r="P57" s="879" t="s">
        <v>2204</v>
      </c>
      <c r="Q57" s="1001" t="s">
        <v>2206</v>
      </c>
      <c r="R57" s="1038" t="n">
        <v>15048</v>
      </c>
      <c r="S57" s="877" t="n">
        <f aca="false">R57/H56</f>
        <v>990</v>
      </c>
      <c r="T57" s="1036"/>
      <c r="U57" s="1037"/>
    </row>
    <row r="58" customFormat="false" ht="15" hidden="false" customHeight="true" outlineLevel="0" collapsed="false">
      <c r="A58" s="1039" t="n">
        <v>56</v>
      </c>
      <c r="B58" s="1040" t="s">
        <v>86</v>
      </c>
      <c r="C58" s="1040" t="n">
        <v>2023</v>
      </c>
      <c r="D58" s="1041" t="s">
        <v>7</v>
      </c>
      <c r="E58" s="1041" t="s">
        <v>2242</v>
      </c>
      <c r="F58" s="1040"/>
      <c r="G58" s="1042"/>
      <c r="H58" s="1043" t="n">
        <v>73.1</v>
      </c>
      <c r="I58" s="1044"/>
      <c r="J58" s="1045"/>
      <c r="K58" s="1046" t="n">
        <f aca="false">H58*I58/100</f>
        <v>0</v>
      </c>
      <c r="L58" s="1047" t="n">
        <v>545</v>
      </c>
      <c r="M58" s="1048" t="n">
        <v>1</v>
      </c>
      <c r="N58" s="1049" t="n">
        <f aca="false">L58*M58</f>
        <v>545</v>
      </c>
      <c r="O58" s="1049" t="n">
        <f aca="false">H58*N58</f>
        <v>39839.5</v>
      </c>
      <c r="P58" s="1050" t="s">
        <v>2195</v>
      </c>
      <c r="Q58" s="1051" t="s">
        <v>2240</v>
      </c>
      <c r="R58" s="1052" t="n">
        <v>-365.5</v>
      </c>
      <c r="S58" s="1053" t="n">
        <f aca="false">R58/H58</f>
        <v>-5</v>
      </c>
      <c r="T58" s="1049" t="n">
        <f aca="false">O58-R58</f>
        <v>40205</v>
      </c>
      <c r="U58" s="1054" t="n">
        <f aca="false">N58-S58</f>
        <v>550</v>
      </c>
    </row>
    <row r="59" customFormat="false" ht="15" hidden="false" customHeight="true" outlineLevel="0" collapsed="false">
      <c r="A59" s="829" t="n">
        <v>78</v>
      </c>
      <c r="B59" s="830" t="s">
        <v>86</v>
      </c>
      <c r="C59" s="830" t="n">
        <v>2023</v>
      </c>
      <c r="D59" s="831" t="s">
        <v>7</v>
      </c>
      <c r="E59" s="831" t="s">
        <v>2192</v>
      </c>
      <c r="F59" s="830" t="s">
        <v>2199</v>
      </c>
      <c r="G59" s="833"/>
      <c r="H59" s="834" t="n">
        <v>82.1</v>
      </c>
      <c r="I59" s="836" t="n">
        <v>79</v>
      </c>
      <c r="J59" s="836" t="n">
        <v>63</v>
      </c>
      <c r="K59" s="836" t="n">
        <f aca="false">H59*I59/100</f>
        <v>64.859</v>
      </c>
      <c r="L59" s="1002" t="n">
        <v>1108</v>
      </c>
      <c r="M59" s="1003" t="n">
        <v>1</v>
      </c>
      <c r="N59" s="837" t="n">
        <f aca="false">L59*M59</f>
        <v>1108</v>
      </c>
      <c r="O59" s="837" t="n">
        <f aca="false">H59*N59</f>
        <v>90966.8</v>
      </c>
      <c r="P59" s="838" t="s">
        <v>2195</v>
      </c>
      <c r="Q59" s="1004" t="s">
        <v>2240</v>
      </c>
      <c r="R59" s="840" t="n">
        <v>34317.8</v>
      </c>
      <c r="S59" s="840" t="n">
        <f aca="false">R59/H59</f>
        <v>418</v>
      </c>
      <c r="T59" s="837" t="n">
        <f aca="false">O59-R59-R60</f>
        <v>0</v>
      </c>
      <c r="U59" s="842" t="n">
        <f aca="false">N59-S59-S60</f>
        <v>0</v>
      </c>
    </row>
    <row r="60" customFormat="false" ht="15" hidden="false" customHeight="true" outlineLevel="0" collapsed="false">
      <c r="A60" s="829"/>
      <c r="B60" s="830"/>
      <c r="C60" s="830"/>
      <c r="D60" s="843" t="s">
        <v>7</v>
      </c>
      <c r="E60" s="843" t="s">
        <v>2192</v>
      </c>
      <c r="F60" s="830"/>
      <c r="G60" s="833"/>
      <c r="H60" s="834"/>
      <c r="I60" s="836"/>
      <c r="J60" s="836"/>
      <c r="K60" s="836"/>
      <c r="L60" s="1002"/>
      <c r="M60" s="1003"/>
      <c r="N60" s="837"/>
      <c r="O60" s="837"/>
      <c r="P60" s="844" t="s">
        <v>2193</v>
      </c>
      <c r="Q60" s="1005" t="s">
        <v>2239</v>
      </c>
      <c r="R60" s="846" t="n">
        <v>56649</v>
      </c>
      <c r="S60" s="846" t="n">
        <f aca="false">R60/H59</f>
        <v>690</v>
      </c>
      <c r="T60" s="837"/>
      <c r="U60" s="842"/>
    </row>
    <row r="61" customFormat="false" ht="15" hidden="false" customHeight="true" outlineLevel="0" collapsed="false">
      <c r="A61" s="903" t="n">
        <v>89</v>
      </c>
      <c r="B61" s="903" t="s">
        <v>86</v>
      </c>
      <c r="C61" s="903" t="n">
        <v>2023</v>
      </c>
      <c r="D61" s="904" t="s">
        <v>7</v>
      </c>
      <c r="E61" s="904" t="s">
        <v>2242</v>
      </c>
      <c r="F61" s="904"/>
      <c r="G61" s="905"/>
      <c r="H61" s="906" t="n">
        <v>39.7</v>
      </c>
      <c r="I61" s="1055"/>
      <c r="J61" s="1055"/>
      <c r="K61" s="939" t="n">
        <f aca="false">H61*I61/100</f>
        <v>0</v>
      </c>
      <c r="L61" s="1022" t="n">
        <v>238</v>
      </c>
      <c r="M61" s="1023" t="n">
        <v>1</v>
      </c>
      <c r="N61" s="908" t="n">
        <f aca="false">L61*M61</f>
        <v>238</v>
      </c>
      <c r="O61" s="1056" t="n">
        <f aca="false">H61*N61</f>
        <v>9448.6</v>
      </c>
      <c r="P61" s="910" t="s">
        <v>2232</v>
      </c>
      <c r="Q61" s="1057" t="s">
        <v>2243</v>
      </c>
      <c r="R61" s="891" t="n">
        <v>9448.6</v>
      </c>
      <c r="S61" s="854" t="n">
        <f aca="false">R61/H61</f>
        <v>238</v>
      </c>
      <c r="T61" s="1058" t="n">
        <f aca="false">O61-R61</f>
        <v>0</v>
      </c>
      <c r="U61" s="942" t="n">
        <f aca="false">N61-S61</f>
        <v>0</v>
      </c>
    </row>
    <row r="62" customFormat="false" ht="15" hidden="false" customHeight="true" outlineLevel="0" collapsed="false">
      <c r="A62" s="881" t="n">
        <v>90</v>
      </c>
      <c r="B62" s="1027" t="s">
        <v>86</v>
      </c>
      <c r="C62" s="1028" t="n">
        <v>2023</v>
      </c>
      <c r="D62" s="831" t="s">
        <v>7</v>
      </c>
      <c r="E62" s="831" t="s">
        <v>2203</v>
      </c>
      <c r="F62" s="1028"/>
      <c r="G62" s="1030"/>
      <c r="H62" s="1031" t="n">
        <v>15</v>
      </c>
      <c r="I62" s="1032"/>
      <c r="J62" s="1032"/>
      <c r="K62" s="1033" t="n">
        <f aca="false">H62*I62/100</f>
        <v>0</v>
      </c>
      <c r="L62" s="1034" t="n">
        <v>2230</v>
      </c>
      <c r="M62" s="1035" t="n">
        <v>1</v>
      </c>
      <c r="N62" s="1036" t="n">
        <f aca="false">L62*M62</f>
        <v>2230</v>
      </c>
      <c r="O62" s="1036" t="n">
        <f aca="false">H62*N62</f>
        <v>33450</v>
      </c>
      <c r="P62" s="838" t="s">
        <v>2232</v>
      </c>
      <c r="Q62" s="1004" t="s">
        <v>2244</v>
      </c>
      <c r="R62" s="840" t="n">
        <v>30000</v>
      </c>
      <c r="S62" s="886" t="n">
        <f aca="false">R62/H62</f>
        <v>2000</v>
      </c>
      <c r="T62" s="1036" t="n">
        <f aca="false">O62-R62-R64-R63</f>
        <v>0</v>
      </c>
      <c r="U62" s="1037" t="n">
        <f aca="false">N62-S62-S64-S63</f>
        <v>0</v>
      </c>
    </row>
    <row r="63" customFormat="false" ht="15" hidden="false" customHeight="true" outlineLevel="0" collapsed="false">
      <c r="A63" s="881"/>
      <c r="B63" s="1027"/>
      <c r="C63" s="1028"/>
      <c r="D63" s="860" t="s">
        <v>7</v>
      </c>
      <c r="E63" s="860" t="s">
        <v>2203</v>
      </c>
      <c r="F63" s="1028"/>
      <c r="G63" s="1030"/>
      <c r="H63" s="1031"/>
      <c r="I63" s="1032"/>
      <c r="J63" s="947"/>
      <c r="K63" s="1033"/>
      <c r="L63" s="1034"/>
      <c r="M63" s="1035"/>
      <c r="N63" s="1036"/>
      <c r="O63" s="1036"/>
      <c r="P63" s="868" t="s">
        <v>2232</v>
      </c>
      <c r="Q63" s="1011" t="s">
        <v>2243</v>
      </c>
      <c r="R63" s="866" t="n">
        <v>9330</v>
      </c>
      <c r="S63" s="866" t="n">
        <f aca="false">R63/H62</f>
        <v>622</v>
      </c>
      <c r="T63" s="1036"/>
      <c r="U63" s="1037"/>
    </row>
    <row r="64" customFormat="false" ht="15" hidden="false" customHeight="true" outlineLevel="0" collapsed="false">
      <c r="A64" s="881"/>
      <c r="B64" s="1027"/>
      <c r="C64" s="1028"/>
      <c r="D64" s="904" t="s">
        <v>7</v>
      </c>
      <c r="E64" s="904" t="s">
        <v>2203</v>
      </c>
      <c r="F64" s="1028"/>
      <c r="G64" s="1030"/>
      <c r="H64" s="1031"/>
      <c r="I64" s="1032"/>
      <c r="J64" s="947"/>
      <c r="K64" s="1033"/>
      <c r="L64" s="1034"/>
      <c r="M64" s="1035"/>
      <c r="N64" s="1036"/>
      <c r="O64" s="1036"/>
      <c r="P64" s="910" t="s">
        <v>2195</v>
      </c>
      <c r="Q64" s="1057" t="s">
        <v>2240</v>
      </c>
      <c r="R64" s="891" t="n">
        <v>-5880</v>
      </c>
      <c r="S64" s="891" t="n">
        <f aca="false">R64/H62</f>
        <v>-392</v>
      </c>
      <c r="T64" s="1036"/>
      <c r="U64" s="1037"/>
    </row>
    <row r="65" customFormat="false" ht="15" hidden="false" customHeight="true" outlineLevel="0" collapsed="false">
      <c r="A65" s="881"/>
      <c r="B65" s="829" t="s">
        <v>86</v>
      </c>
      <c r="C65" s="830" t="n">
        <v>2023</v>
      </c>
      <c r="D65" s="831" t="s">
        <v>7</v>
      </c>
      <c r="E65" s="831" t="s">
        <v>2205</v>
      </c>
      <c r="F65" s="830"/>
      <c r="G65" s="833"/>
      <c r="H65" s="1059" t="n">
        <v>26</v>
      </c>
      <c r="I65" s="835"/>
      <c r="J65" s="835"/>
      <c r="K65" s="836" t="n">
        <f aca="false">H65*I65/100</f>
        <v>0</v>
      </c>
      <c r="L65" s="1002" t="n">
        <v>691</v>
      </c>
      <c r="M65" s="1003" t="n">
        <v>1</v>
      </c>
      <c r="N65" s="837" t="n">
        <f aca="false">L65*M65</f>
        <v>691</v>
      </c>
      <c r="O65" s="837" t="n">
        <f aca="false">H65*N65</f>
        <v>17966</v>
      </c>
      <c r="P65" s="838" t="s">
        <v>2195</v>
      </c>
      <c r="Q65" s="1004" t="s">
        <v>2240</v>
      </c>
      <c r="R65" s="840" t="n">
        <v>11336</v>
      </c>
      <c r="S65" s="840" t="n">
        <f aca="false">R65/H65</f>
        <v>436</v>
      </c>
      <c r="T65" s="837" t="n">
        <f aca="false">O65-R65-R66</f>
        <v>0</v>
      </c>
      <c r="U65" s="842" t="n">
        <f aca="false">N65-S65-S66</f>
        <v>0</v>
      </c>
    </row>
    <row r="66" customFormat="false" ht="15" hidden="false" customHeight="true" outlineLevel="0" collapsed="false">
      <c r="A66" s="881"/>
      <c r="B66" s="829"/>
      <c r="C66" s="830"/>
      <c r="D66" s="843" t="s">
        <v>7</v>
      </c>
      <c r="E66" s="843" t="s">
        <v>2205</v>
      </c>
      <c r="F66" s="830"/>
      <c r="G66" s="833"/>
      <c r="H66" s="1059"/>
      <c r="I66" s="835"/>
      <c r="J66" s="835"/>
      <c r="K66" s="836"/>
      <c r="L66" s="1002"/>
      <c r="M66" s="1003"/>
      <c r="N66" s="837"/>
      <c r="O66" s="837"/>
      <c r="P66" s="844" t="s">
        <v>2204</v>
      </c>
      <c r="Q66" s="900" t="s">
        <v>2206</v>
      </c>
      <c r="R66" s="901" t="n">
        <v>6630</v>
      </c>
      <c r="S66" s="846" t="n">
        <f aca="false">R66/H65</f>
        <v>255</v>
      </c>
      <c r="T66" s="837"/>
      <c r="U66" s="842"/>
    </row>
    <row r="67" customFormat="false" ht="15" hidden="false" customHeight="true" outlineLevel="0" collapsed="false">
      <c r="A67" s="881" t="n">
        <v>136</v>
      </c>
      <c r="B67" s="1060" t="s">
        <v>86</v>
      </c>
      <c r="C67" s="1061" t="n">
        <v>2023</v>
      </c>
      <c r="D67" s="848" t="s">
        <v>7</v>
      </c>
      <c r="E67" s="848" t="s">
        <v>2192</v>
      </c>
      <c r="F67" s="887" t="s">
        <v>1650</v>
      </c>
      <c r="G67" s="1062"/>
      <c r="H67" s="1063" t="n">
        <v>97.6</v>
      </c>
      <c r="I67" s="1064" t="n">
        <v>86</v>
      </c>
      <c r="J67" s="1064" t="n">
        <v>91</v>
      </c>
      <c r="K67" s="1064" t="n">
        <f aca="false">H67*I67/100</f>
        <v>83.936</v>
      </c>
      <c r="L67" s="1065" t="n">
        <v>5485</v>
      </c>
      <c r="M67" s="1066" t="n">
        <v>1</v>
      </c>
      <c r="N67" s="1067" t="n">
        <f aca="false">L67*M67</f>
        <v>5485</v>
      </c>
      <c r="O67" s="1067" t="n">
        <f aca="false">H67*N67</f>
        <v>535336</v>
      </c>
      <c r="P67" s="910" t="s">
        <v>2193</v>
      </c>
      <c r="Q67" s="1068" t="s">
        <v>2245</v>
      </c>
      <c r="R67" s="891" t="n">
        <v>437736</v>
      </c>
      <c r="S67" s="891" t="n">
        <f aca="false">R67/H67</f>
        <v>4485</v>
      </c>
      <c r="T67" s="1069" t="n">
        <f aca="false">O67-R67-R70-R68-R69</f>
        <v>0</v>
      </c>
      <c r="U67" s="1070" t="n">
        <f aca="false">N67-S67-S70-S68-S69</f>
        <v>0</v>
      </c>
    </row>
    <row r="68" customFormat="false" ht="15" hidden="false" customHeight="true" outlineLevel="0" collapsed="false">
      <c r="A68" s="881"/>
      <c r="B68" s="1060"/>
      <c r="C68" s="1061"/>
      <c r="D68" s="860" t="s">
        <v>7</v>
      </c>
      <c r="E68" s="860" t="s">
        <v>2192</v>
      </c>
      <c r="F68" s="887"/>
      <c r="G68" s="1062"/>
      <c r="H68" s="1063"/>
      <c r="I68" s="1064"/>
      <c r="J68" s="1064"/>
      <c r="K68" s="1064"/>
      <c r="L68" s="1065"/>
      <c r="M68" s="1066"/>
      <c r="N68" s="1067"/>
      <c r="O68" s="1067"/>
      <c r="P68" s="868" t="s">
        <v>2193</v>
      </c>
      <c r="Q68" s="984" t="s">
        <v>2246</v>
      </c>
      <c r="R68" s="866" t="n">
        <v>9564.8</v>
      </c>
      <c r="S68" s="866" t="n">
        <f aca="false">R68/H67</f>
        <v>98</v>
      </c>
      <c r="T68" s="1069"/>
      <c r="U68" s="1070"/>
    </row>
    <row r="69" customFormat="false" ht="15" hidden="false" customHeight="true" outlineLevel="0" collapsed="false">
      <c r="A69" s="881"/>
      <c r="B69" s="1060"/>
      <c r="C69" s="1061"/>
      <c r="D69" s="860" t="s">
        <v>7</v>
      </c>
      <c r="E69" s="860" t="s">
        <v>2192</v>
      </c>
      <c r="F69" s="887"/>
      <c r="G69" s="1062"/>
      <c r="H69" s="1063"/>
      <c r="I69" s="1064"/>
      <c r="J69" s="1064"/>
      <c r="K69" s="1064"/>
      <c r="L69" s="1065"/>
      <c r="M69" s="1066"/>
      <c r="N69" s="1067"/>
      <c r="O69" s="1067"/>
      <c r="P69" s="868" t="s">
        <v>2193</v>
      </c>
      <c r="Q69" s="984" t="s">
        <v>2239</v>
      </c>
      <c r="R69" s="866" t="n">
        <v>45091.2</v>
      </c>
      <c r="S69" s="866" t="n">
        <f aca="false">R69/H67</f>
        <v>462</v>
      </c>
      <c r="T69" s="1069"/>
      <c r="U69" s="1070"/>
    </row>
    <row r="70" customFormat="false" ht="15" hidden="false" customHeight="true" outlineLevel="0" collapsed="false">
      <c r="A70" s="881"/>
      <c r="B70" s="1060"/>
      <c r="C70" s="1061"/>
      <c r="D70" s="887" t="s">
        <v>7</v>
      </c>
      <c r="E70" s="887" t="s">
        <v>2192</v>
      </c>
      <c r="F70" s="887"/>
      <c r="G70" s="1062"/>
      <c r="H70" s="1063"/>
      <c r="I70" s="1064"/>
      <c r="J70" s="1064"/>
      <c r="K70" s="1064"/>
      <c r="L70" s="1065"/>
      <c r="M70" s="1066"/>
      <c r="N70" s="1067"/>
      <c r="O70" s="1067"/>
      <c r="P70" s="888" t="s">
        <v>2193</v>
      </c>
      <c r="Q70" s="1071" t="s">
        <v>2247</v>
      </c>
      <c r="R70" s="890" t="n">
        <v>42944</v>
      </c>
      <c r="S70" s="846" t="n">
        <f aca="false">R70/H67</f>
        <v>440</v>
      </c>
      <c r="T70" s="1069"/>
      <c r="U70" s="1070"/>
    </row>
    <row r="71" customFormat="false" ht="15" hidden="false" customHeight="true" outlineLevel="0" collapsed="false">
      <c r="A71" s="881"/>
      <c r="B71" s="1072" t="s">
        <v>86</v>
      </c>
      <c r="C71" s="1072" t="n">
        <v>2023</v>
      </c>
      <c r="D71" s="887" t="s">
        <v>7</v>
      </c>
      <c r="E71" s="887" t="s">
        <v>2241</v>
      </c>
      <c r="F71" s="887"/>
      <c r="G71" s="1062"/>
      <c r="H71" s="1063" t="n">
        <v>36.9</v>
      </c>
      <c r="I71" s="1064"/>
      <c r="J71" s="1064"/>
      <c r="K71" s="1064" t="n">
        <f aca="false">H71*I71/100</f>
        <v>0</v>
      </c>
      <c r="L71" s="1065" t="n">
        <v>606</v>
      </c>
      <c r="M71" s="1066" t="n">
        <v>1</v>
      </c>
      <c r="N71" s="1073" t="n">
        <f aca="false">L71*M71</f>
        <v>606</v>
      </c>
      <c r="O71" s="1074" t="n">
        <f aca="false">H71*N71</f>
        <v>22361.4</v>
      </c>
      <c r="P71" s="888" t="s">
        <v>2204</v>
      </c>
      <c r="Q71" s="1071" t="n">
        <v>26062024</v>
      </c>
      <c r="R71" s="890" t="n">
        <v>22361.4</v>
      </c>
      <c r="S71" s="890" t="n">
        <f aca="false">R71/H71</f>
        <v>606</v>
      </c>
      <c r="T71" s="1069" t="n">
        <f aca="false">O71-R71</f>
        <v>0</v>
      </c>
      <c r="U71" s="1070" t="n">
        <f aca="false">N71-S71</f>
        <v>0</v>
      </c>
    </row>
    <row r="72" customFormat="false" ht="15" hidden="false" customHeight="true" outlineLevel="0" collapsed="false">
      <c r="A72" s="881" t="n">
        <v>137</v>
      </c>
      <c r="B72" s="882" t="s">
        <v>86</v>
      </c>
      <c r="C72" s="883" t="n">
        <v>2023</v>
      </c>
      <c r="D72" s="831" t="s">
        <v>7</v>
      </c>
      <c r="E72" s="831" t="s">
        <v>2192</v>
      </c>
      <c r="F72" s="832" t="s">
        <v>1650</v>
      </c>
      <c r="G72" s="833"/>
      <c r="H72" s="834" t="n">
        <v>95.5</v>
      </c>
      <c r="I72" s="1020" t="n">
        <v>90</v>
      </c>
      <c r="J72" s="1020" t="n">
        <v>90</v>
      </c>
      <c r="K72" s="836" t="n">
        <f aca="false">H72*I72/100</f>
        <v>85.95</v>
      </c>
      <c r="L72" s="1002" t="n">
        <v>4627</v>
      </c>
      <c r="M72" s="1003" t="n">
        <v>1</v>
      </c>
      <c r="N72" s="1075" t="n">
        <f aca="false">L72*M72</f>
        <v>4627</v>
      </c>
      <c r="O72" s="837" t="n">
        <f aca="false">H72*N72</f>
        <v>441878.5</v>
      </c>
      <c r="P72" s="838" t="s">
        <v>2193</v>
      </c>
      <c r="Q72" s="1076" t="s">
        <v>2248</v>
      </c>
      <c r="R72" s="840" t="n">
        <v>430705</v>
      </c>
      <c r="S72" s="886" t="n">
        <f aca="false">R72/H72</f>
        <v>4510</v>
      </c>
      <c r="T72" s="837" t="n">
        <f aca="false">O72-R72-R74-R73</f>
        <v>0</v>
      </c>
      <c r="U72" s="842" t="n">
        <f aca="false">N72-S72-S74-S73</f>
        <v>0</v>
      </c>
    </row>
    <row r="73" customFormat="false" ht="15" hidden="false" customHeight="true" outlineLevel="0" collapsed="false">
      <c r="A73" s="881"/>
      <c r="B73" s="882"/>
      <c r="C73" s="883"/>
      <c r="D73" s="860" t="s">
        <v>7</v>
      </c>
      <c r="E73" s="860" t="s">
        <v>2192</v>
      </c>
      <c r="F73" s="832"/>
      <c r="G73" s="833"/>
      <c r="H73" s="834"/>
      <c r="I73" s="1020"/>
      <c r="J73" s="1020"/>
      <c r="K73" s="836"/>
      <c r="L73" s="1002"/>
      <c r="M73" s="1003"/>
      <c r="N73" s="1075"/>
      <c r="O73" s="837"/>
      <c r="P73" s="868" t="s">
        <v>2193</v>
      </c>
      <c r="Q73" s="984" t="s">
        <v>2239</v>
      </c>
      <c r="R73" s="866" t="n">
        <v>60738</v>
      </c>
      <c r="S73" s="866" t="n">
        <f aca="false">R73/H72</f>
        <v>636</v>
      </c>
      <c r="T73" s="837"/>
      <c r="U73" s="842"/>
    </row>
    <row r="74" customFormat="false" ht="15" hidden="false" customHeight="true" outlineLevel="0" collapsed="false">
      <c r="A74" s="881"/>
      <c r="B74" s="882"/>
      <c r="C74" s="883"/>
      <c r="D74" s="887" t="s">
        <v>7</v>
      </c>
      <c r="E74" s="887" t="s">
        <v>2192</v>
      </c>
      <c r="F74" s="832"/>
      <c r="G74" s="833"/>
      <c r="H74" s="834"/>
      <c r="I74" s="1020"/>
      <c r="J74" s="1020"/>
      <c r="K74" s="836"/>
      <c r="L74" s="1002"/>
      <c r="M74" s="1003"/>
      <c r="N74" s="1075"/>
      <c r="O74" s="837"/>
      <c r="P74" s="888" t="s">
        <v>2195</v>
      </c>
      <c r="Q74" s="1071" t="s">
        <v>2240</v>
      </c>
      <c r="R74" s="890" t="n">
        <v>-49564.5</v>
      </c>
      <c r="S74" s="890" t="n">
        <v>-519</v>
      </c>
      <c r="T74" s="837"/>
      <c r="U74" s="842"/>
    </row>
    <row r="75" customFormat="false" ht="15" hidden="false" customHeight="true" outlineLevel="0" collapsed="false">
      <c r="A75" s="881"/>
      <c r="B75" s="1072" t="s">
        <v>86</v>
      </c>
      <c r="C75" s="1072" t="n">
        <v>2023</v>
      </c>
      <c r="D75" s="887" t="s">
        <v>7</v>
      </c>
      <c r="E75" s="887" t="s">
        <v>2241</v>
      </c>
      <c r="F75" s="887"/>
      <c r="G75" s="1062"/>
      <c r="H75" s="1077" t="n">
        <v>17.8</v>
      </c>
      <c r="I75" s="1078"/>
      <c r="J75" s="1078"/>
      <c r="K75" s="1064" t="n">
        <f aca="false">H75*I75/100</f>
        <v>0</v>
      </c>
      <c r="L75" s="1065" t="n">
        <v>827</v>
      </c>
      <c r="M75" s="1066" t="n">
        <v>1</v>
      </c>
      <c r="N75" s="1073" t="n">
        <f aca="false">L75*M75</f>
        <v>827</v>
      </c>
      <c r="O75" s="1073" t="n">
        <f aca="false">H75*N75</f>
        <v>14720.6</v>
      </c>
      <c r="P75" s="888" t="s">
        <v>2204</v>
      </c>
      <c r="Q75" s="1079" t="s">
        <v>2206</v>
      </c>
      <c r="R75" s="1080" t="n">
        <v>14720.6</v>
      </c>
      <c r="S75" s="890" t="n">
        <f aca="false">R75/H75</f>
        <v>827</v>
      </c>
      <c r="T75" s="1069" t="n">
        <f aca="false">O75-R75</f>
        <v>0</v>
      </c>
      <c r="U75" s="1070" t="n">
        <f aca="false">N75-S75</f>
        <v>0</v>
      </c>
    </row>
    <row r="76" customFormat="false" ht="15" hidden="false" customHeight="true" outlineLevel="0" collapsed="false">
      <c r="A76" s="1081" t="n">
        <v>138</v>
      </c>
      <c r="B76" s="1060" t="s">
        <v>86</v>
      </c>
      <c r="C76" s="1061" t="n">
        <v>2023</v>
      </c>
      <c r="D76" s="848" t="s">
        <v>7</v>
      </c>
      <c r="E76" s="848" t="s">
        <v>2192</v>
      </c>
      <c r="F76" s="887" t="s">
        <v>1650</v>
      </c>
      <c r="G76" s="1062"/>
      <c r="H76" s="1077" t="n">
        <v>96.8</v>
      </c>
      <c r="I76" s="1078" t="n">
        <v>88</v>
      </c>
      <c r="J76" s="1078" t="n">
        <v>92</v>
      </c>
      <c r="K76" s="1064" t="n">
        <f aca="false">H76*I76/100</f>
        <v>85.184</v>
      </c>
      <c r="L76" s="1065" t="n">
        <v>8086</v>
      </c>
      <c r="M76" s="1066" t="n">
        <v>1</v>
      </c>
      <c r="N76" s="1082" t="n">
        <f aca="false">L76*M76</f>
        <v>8086</v>
      </c>
      <c r="O76" s="1082" t="n">
        <f aca="false">H76*N76</f>
        <v>782724.8</v>
      </c>
      <c r="P76" s="856" t="s">
        <v>2193</v>
      </c>
      <c r="Q76" s="1083" t="s">
        <v>2249</v>
      </c>
      <c r="R76" s="854" t="n">
        <v>125840</v>
      </c>
      <c r="S76" s="891" t="n">
        <f aca="false">R76/H76</f>
        <v>1300</v>
      </c>
      <c r="T76" s="1067" t="n">
        <f aca="false">O76-R76-R81-R80-R77-R78-R79</f>
        <v>0</v>
      </c>
      <c r="U76" s="1070" t="n">
        <f aca="false">N76-S76-S81-S80-S77-S78-S79</f>
        <v>0</v>
      </c>
    </row>
    <row r="77" customFormat="false" ht="15" hidden="false" customHeight="true" outlineLevel="0" collapsed="false">
      <c r="A77" s="1081"/>
      <c r="B77" s="1060"/>
      <c r="C77" s="1061"/>
      <c r="D77" s="848" t="s">
        <v>7</v>
      </c>
      <c r="E77" s="848" t="s">
        <v>2192</v>
      </c>
      <c r="F77" s="887"/>
      <c r="G77" s="1062"/>
      <c r="H77" s="1077"/>
      <c r="I77" s="1078"/>
      <c r="J77" s="1078"/>
      <c r="K77" s="1064"/>
      <c r="L77" s="1065"/>
      <c r="M77" s="1066"/>
      <c r="N77" s="1082"/>
      <c r="O77" s="1082"/>
      <c r="P77" s="856" t="s">
        <v>2193</v>
      </c>
      <c r="Q77" s="1083" t="s">
        <v>2239</v>
      </c>
      <c r="R77" s="854" t="n">
        <v>98252</v>
      </c>
      <c r="S77" s="866" t="n">
        <f aca="false">R77/H76</f>
        <v>1015</v>
      </c>
      <c r="T77" s="1067"/>
      <c r="U77" s="1070"/>
    </row>
    <row r="78" customFormat="false" ht="15" hidden="false" customHeight="true" outlineLevel="0" collapsed="false">
      <c r="A78" s="1081"/>
      <c r="B78" s="1060"/>
      <c r="C78" s="1061"/>
      <c r="D78" s="848" t="s">
        <v>7</v>
      </c>
      <c r="E78" s="848" t="s">
        <v>2192</v>
      </c>
      <c r="F78" s="887"/>
      <c r="G78" s="1062"/>
      <c r="H78" s="1077"/>
      <c r="I78" s="1078"/>
      <c r="J78" s="1078"/>
      <c r="K78" s="1064"/>
      <c r="L78" s="1065"/>
      <c r="M78" s="1066"/>
      <c r="N78" s="1082"/>
      <c r="O78" s="1082"/>
      <c r="P78" s="856" t="s">
        <v>2193</v>
      </c>
      <c r="Q78" s="1083" t="s">
        <v>2250</v>
      </c>
      <c r="R78" s="854" t="n">
        <v>29040</v>
      </c>
      <c r="S78" s="866" t="n">
        <f aca="false">R78/H76</f>
        <v>300</v>
      </c>
      <c r="T78" s="1067"/>
      <c r="U78" s="1070"/>
    </row>
    <row r="79" customFormat="false" ht="15" hidden="false" customHeight="true" outlineLevel="0" collapsed="false">
      <c r="A79" s="1081"/>
      <c r="B79" s="1060"/>
      <c r="C79" s="1061"/>
      <c r="D79" s="848" t="s">
        <v>7</v>
      </c>
      <c r="E79" s="848" t="s">
        <v>2192</v>
      </c>
      <c r="F79" s="887"/>
      <c r="G79" s="1062"/>
      <c r="H79" s="1077"/>
      <c r="I79" s="1078"/>
      <c r="J79" s="1078"/>
      <c r="K79" s="1064"/>
      <c r="L79" s="1065"/>
      <c r="M79" s="1066"/>
      <c r="N79" s="1082"/>
      <c r="O79" s="1082"/>
      <c r="P79" s="856" t="s">
        <v>2193</v>
      </c>
      <c r="Q79" s="1083" t="s">
        <v>2251</v>
      </c>
      <c r="R79" s="854" t="n">
        <v>328152</v>
      </c>
      <c r="S79" s="866" t="n">
        <f aca="false">R79/H76</f>
        <v>3390</v>
      </c>
      <c r="T79" s="1067"/>
      <c r="U79" s="1070"/>
    </row>
    <row r="80" customFormat="false" ht="15" hidden="false" customHeight="true" outlineLevel="0" collapsed="false">
      <c r="A80" s="1081"/>
      <c r="B80" s="1060"/>
      <c r="C80" s="1061"/>
      <c r="D80" s="860" t="s">
        <v>7</v>
      </c>
      <c r="E80" s="860" t="s">
        <v>2192</v>
      </c>
      <c r="F80" s="887"/>
      <c r="G80" s="1062"/>
      <c r="H80" s="1077"/>
      <c r="I80" s="1078"/>
      <c r="J80" s="1078"/>
      <c r="K80" s="1064"/>
      <c r="L80" s="1065"/>
      <c r="M80" s="1066"/>
      <c r="N80" s="1082"/>
      <c r="O80" s="1082"/>
      <c r="P80" s="868" t="s">
        <v>2195</v>
      </c>
      <c r="Q80" s="984" t="s">
        <v>2240</v>
      </c>
      <c r="R80" s="866" t="n">
        <v>46560.8</v>
      </c>
      <c r="S80" s="866" t="n">
        <f aca="false">R80/H76</f>
        <v>481</v>
      </c>
      <c r="T80" s="1067"/>
      <c r="U80" s="1070"/>
    </row>
    <row r="81" customFormat="false" ht="15" hidden="false" customHeight="true" outlineLevel="0" collapsed="false">
      <c r="A81" s="1081"/>
      <c r="B81" s="1060"/>
      <c r="C81" s="1061"/>
      <c r="D81" s="887" t="s">
        <v>7</v>
      </c>
      <c r="E81" s="887" t="s">
        <v>2192</v>
      </c>
      <c r="F81" s="887"/>
      <c r="G81" s="1062"/>
      <c r="H81" s="1077"/>
      <c r="I81" s="1078"/>
      <c r="J81" s="1078"/>
      <c r="K81" s="1064"/>
      <c r="L81" s="1065"/>
      <c r="M81" s="1066"/>
      <c r="N81" s="1082"/>
      <c r="O81" s="1082"/>
      <c r="P81" s="888" t="s">
        <v>2193</v>
      </c>
      <c r="Q81" s="1071" t="s">
        <v>2252</v>
      </c>
      <c r="R81" s="890" t="n">
        <v>154880</v>
      </c>
      <c r="S81" s="890" t="n">
        <f aca="false">R81/H76</f>
        <v>1600</v>
      </c>
      <c r="T81" s="1067"/>
      <c r="U81" s="1070"/>
    </row>
    <row r="82" customFormat="false" ht="15" hidden="false" customHeight="true" outlineLevel="0" collapsed="false">
      <c r="A82" s="1081"/>
      <c r="B82" s="1072" t="s">
        <v>86</v>
      </c>
      <c r="C82" s="1072" t="n">
        <v>2023</v>
      </c>
      <c r="D82" s="887" t="s">
        <v>7</v>
      </c>
      <c r="E82" s="887" t="s">
        <v>2241</v>
      </c>
      <c r="F82" s="887"/>
      <c r="G82" s="1062"/>
      <c r="H82" s="1077" t="n">
        <v>17.8</v>
      </c>
      <c r="I82" s="1078"/>
      <c r="J82" s="1078"/>
      <c r="K82" s="1064" t="n">
        <f aca="false">H82*I82/100</f>
        <v>0</v>
      </c>
      <c r="L82" s="1065" t="n">
        <v>1612</v>
      </c>
      <c r="M82" s="1066" t="n">
        <v>1</v>
      </c>
      <c r="N82" s="1073" t="n">
        <f aca="false">L82*M82</f>
        <v>1612</v>
      </c>
      <c r="O82" s="1073" t="n">
        <f aca="false">H82*N82</f>
        <v>28693.6</v>
      </c>
      <c r="P82" s="888" t="s">
        <v>2204</v>
      </c>
      <c r="Q82" s="1079" t="s">
        <v>2206</v>
      </c>
      <c r="R82" s="1080" t="n">
        <v>28693.6</v>
      </c>
      <c r="S82" s="890" t="n">
        <f aca="false">R82/H82</f>
        <v>1612</v>
      </c>
      <c r="T82" s="1069" t="n">
        <f aca="false">O82-R82</f>
        <v>0</v>
      </c>
      <c r="U82" s="1070" t="n">
        <f aca="false">N82-S82</f>
        <v>0</v>
      </c>
    </row>
    <row r="83" customFormat="false" ht="15" hidden="false" customHeight="true" outlineLevel="0" collapsed="false">
      <c r="A83" s="881" t="n">
        <v>196</v>
      </c>
      <c r="B83" s="882" t="s">
        <v>86</v>
      </c>
      <c r="C83" s="883" t="n">
        <v>2023</v>
      </c>
      <c r="D83" s="831" t="s">
        <v>7</v>
      </c>
      <c r="E83" s="831" t="s">
        <v>2192</v>
      </c>
      <c r="F83" s="832" t="s">
        <v>1650</v>
      </c>
      <c r="G83" s="833"/>
      <c r="H83" s="834" t="n">
        <v>94.1</v>
      </c>
      <c r="I83" s="1020" t="n">
        <v>84</v>
      </c>
      <c r="J83" s="1020" t="n">
        <v>73</v>
      </c>
      <c r="K83" s="836" t="n">
        <f aca="false">H83*I83/100</f>
        <v>79.044</v>
      </c>
      <c r="L83" s="1002" t="n">
        <v>4505</v>
      </c>
      <c r="M83" s="1003" t="n">
        <v>1</v>
      </c>
      <c r="N83" s="837" t="n">
        <f aca="false">L83*M83</f>
        <v>4505</v>
      </c>
      <c r="O83" s="837" t="n">
        <f aca="false">H83*N83</f>
        <v>423920.5</v>
      </c>
      <c r="P83" s="884" t="s">
        <v>2197</v>
      </c>
      <c r="Q83" s="1084" t="s">
        <v>2253</v>
      </c>
      <c r="R83" s="886" t="n">
        <v>37734.1</v>
      </c>
      <c r="S83" s="886" t="n">
        <f aca="false">R83/H83</f>
        <v>401</v>
      </c>
      <c r="T83" s="841" t="n">
        <f aca="false">O83-R83-R85-R84</f>
        <v>0</v>
      </c>
      <c r="U83" s="842" t="n">
        <f aca="false">N83-S83-S85-S84</f>
        <v>0</v>
      </c>
    </row>
    <row r="84" customFormat="false" ht="15" hidden="false" customHeight="true" outlineLevel="0" collapsed="false">
      <c r="A84" s="881"/>
      <c r="B84" s="882"/>
      <c r="C84" s="883"/>
      <c r="D84" s="904" t="s">
        <v>7</v>
      </c>
      <c r="E84" s="904" t="s">
        <v>2192</v>
      </c>
      <c r="F84" s="832"/>
      <c r="G84" s="833"/>
      <c r="H84" s="834"/>
      <c r="I84" s="1020"/>
      <c r="J84" s="1020"/>
      <c r="K84" s="836"/>
      <c r="L84" s="1002"/>
      <c r="M84" s="1003"/>
      <c r="N84" s="837"/>
      <c r="O84" s="837"/>
      <c r="P84" s="868" t="s">
        <v>2193</v>
      </c>
      <c r="Q84" s="984" t="s">
        <v>2254</v>
      </c>
      <c r="R84" s="866" t="n">
        <v>325021.4</v>
      </c>
      <c r="S84" s="866" t="n">
        <f aca="false">R84/H83</f>
        <v>3454</v>
      </c>
      <c r="T84" s="841"/>
      <c r="U84" s="842"/>
    </row>
    <row r="85" customFormat="false" ht="15" hidden="false" customHeight="true" outlineLevel="0" collapsed="false">
      <c r="A85" s="881"/>
      <c r="B85" s="882"/>
      <c r="C85" s="883"/>
      <c r="D85" s="843" t="s">
        <v>7</v>
      </c>
      <c r="E85" s="843" t="s">
        <v>2192</v>
      </c>
      <c r="F85" s="832"/>
      <c r="G85" s="833"/>
      <c r="H85" s="834"/>
      <c r="I85" s="1020"/>
      <c r="J85" s="1020"/>
      <c r="K85" s="836"/>
      <c r="L85" s="1002"/>
      <c r="M85" s="1003"/>
      <c r="N85" s="837"/>
      <c r="O85" s="837"/>
      <c r="P85" s="844" t="s">
        <v>2255</v>
      </c>
      <c r="Q85" s="1085" t="s">
        <v>2246</v>
      </c>
      <c r="R85" s="846" t="n">
        <v>61165</v>
      </c>
      <c r="S85" s="846" t="n">
        <f aca="false">R85/H83</f>
        <v>650</v>
      </c>
      <c r="T85" s="841"/>
      <c r="U85" s="842"/>
    </row>
    <row r="86" customFormat="false" ht="15" hidden="false" customHeight="true" outlineLevel="0" collapsed="false">
      <c r="A86" s="881"/>
      <c r="B86" s="1072" t="s">
        <v>86</v>
      </c>
      <c r="C86" s="1072" t="n">
        <v>2023</v>
      </c>
      <c r="D86" s="887" t="s">
        <v>7</v>
      </c>
      <c r="E86" s="887" t="s">
        <v>2205</v>
      </c>
      <c r="F86" s="887"/>
      <c r="G86" s="1062"/>
      <c r="H86" s="1077" t="n">
        <v>0</v>
      </c>
      <c r="I86" s="1086"/>
      <c r="J86" s="1086"/>
      <c r="K86" s="1064" t="n">
        <f aca="false">H86*I86/100</f>
        <v>0</v>
      </c>
      <c r="L86" s="1065" t="n">
        <v>107</v>
      </c>
      <c r="M86" s="1066" t="n">
        <v>1</v>
      </c>
      <c r="N86" s="1073" t="n">
        <f aca="false">L86*M86</f>
        <v>107</v>
      </c>
      <c r="O86" s="1073" t="n">
        <f aca="false">H86*N86</f>
        <v>0</v>
      </c>
      <c r="P86" s="888" t="s">
        <v>2204</v>
      </c>
      <c r="Q86" s="1071" t="n">
        <v>23052024</v>
      </c>
      <c r="R86" s="890" t="n">
        <v>0</v>
      </c>
      <c r="S86" s="890" t="n">
        <v>107</v>
      </c>
      <c r="T86" s="1069" t="n">
        <f aca="false">O86-R86</f>
        <v>0</v>
      </c>
      <c r="U86" s="1070" t="n">
        <f aca="false">N86-S86</f>
        <v>0</v>
      </c>
    </row>
    <row r="87" customFormat="false" ht="15" hidden="false" customHeight="true" outlineLevel="0" collapsed="false">
      <c r="A87" s="1087" t="n">
        <v>195</v>
      </c>
      <c r="B87" s="1072" t="s">
        <v>86</v>
      </c>
      <c r="C87" s="1072" t="n">
        <v>2023</v>
      </c>
      <c r="D87" s="848" t="s">
        <v>7</v>
      </c>
      <c r="E87" s="848" t="s">
        <v>2192</v>
      </c>
      <c r="F87" s="887" t="s">
        <v>1650</v>
      </c>
      <c r="G87" s="1062"/>
      <c r="H87" s="1077" t="n">
        <v>94.2</v>
      </c>
      <c r="I87" s="1078" t="n">
        <v>78</v>
      </c>
      <c r="J87" s="1078" t="n">
        <v>78</v>
      </c>
      <c r="K87" s="1064" t="n">
        <f aca="false">H87*I87/100</f>
        <v>73.476</v>
      </c>
      <c r="L87" s="1065" t="n">
        <v>8712</v>
      </c>
      <c r="M87" s="1066" t="n">
        <v>1</v>
      </c>
      <c r="N87" s="1067" t="n">
        <f aca="false">L87*M87</f>
        <v>8712</v>
      </c>
      <c r="O87" s="1069" t="n">
        <f aca="false">H87*N87</f>
        <v>820670.4</v>
      </c>
      <c r="P87" s="856" t="s">
        <v>2193</v>
      </c>
      <c r="Q87" s="1083" t="s">
        <v>2256</v>
      </c>
      <c r="R87" s="1088" t="n">
        <v>349670.4</v>
      </c>
      <c r="S87" s="854" t="n">
        <f aca="false">R87/H87</f>
        <v>3712</v>
      </c>
      <c r="T87" s="1067" t="n">
        <f aca="false">O87-R87-R89-R88</f>
        <v>0</v>
      </c>
      <c r="U87" s="1070" t="n">
        <f aca="false">N87-S87-S89-S88</f>
        <v>0</v>
      </c>
    </row>
    <row r="88" customFormat="false" ht="15" hidden="false" customHeight="true" outlineLevel="0" collapsed="false">
      <c r="A88" s="1087"/>
      <c r="B88" s="1072"/>
      <c r="C88" s="1072"/>
      <c r="D88" s="904" t="s">
        <v>7</v>
      </c>
      <c r="E88" s="904" t="s">
        <v>2192</v>
      </c>
      <c r="F88" s="887"/>
      <c r="G88" s="1062"/>
      <c r="H88" s="1077"/>
      <c r="I88" s="1078"/>
      <c r="J88" s="1078"/>
      <c r="K88" s="1064"/>
      <c r="L88" s="1065"/>
      <c r="M88" s="1066"/>
      <c r="N88" s="1067"/>
      <c r="O88" s="1069"/>
      <c r="P88" s="910" t="s">
        <v>2255</v>
      </c>
      <c r="Q88" s="1068" t="s">
        <v>2246</v>
      </c>
      <c r="R88" s="1025" t="n">
        <v>282600</v>
      </c>
      <c r="S88" s="854" t="n">
        <f aca="false">R88/H87</f>
        <v>3000</v>
      </c>
      <c r="T88" s="1067"/>
      <c r="U88" s="1070"/>
    </row>
    <row r="89" customFormat="false" ht="15" hidden="false" customHeight="true" outlineLevel="0" collapsed="false">
      <c r="A89" s="1087"/>
      <c r="B89" s="1072"/>
      <c r="C89" s="1072"/>
      <c r="D89" s="843" t="s">
        <v>7</v>
      </c>
      <c r="E89" s="843" t="s">
        <v>2192</v>
      </c>
      <c r="F89" s="887"/>
      <c r="G89" s="1062"/>
      <c r="H89" s="1077"/>
      <c r="I89" s="1078"/>
      <c r="J89" s="1078"/>
      <c r="K89" s="1064"/>
      <c r="L89" s="1065"/>
      <c r="M89" s="1066"/>
      <c r="N89" s="1067"/>
      <c r="O89" s="1069"/>
      <c r="P89" s="844" t="s">
        <v>2193</v>
      </c>
      <c r="Q89" s="1085" t="s">
        <v>2257</v>
      </c>
      <c r="R89" s="901" t="n">
        <v>188400</v>
      </c>
      <c r="S89" s="846" t="n">
        <f aca="false">R89/H87</f>
        <v>2000</v>
      </c>
      <c r="T89" s="1067"/>
      <c r="U89" s="1070"/>
    </row>
    <row r="90" customFormat="false" ht="15" hidden="false" customHeight="true" outlineLevel="0" collapsed="false">
      <c r="A90" s="1087" t="n">
        <v>230</v>
      </c>
      <c r="B90" s="1089" t="s">
        <v>86</v>
      </c>
      <c r="C90" s="1089" t="n">
        <v>2023</v>
      </c>
      <c r="D90" s="1090" t="s">
        <v>7</v>
      </c>
      <c r="E90" s="1090" t="s">
        <v>2192</v>
      </c>
      <c r="F90" s="1090" t="s">
        <v>2199</v>
      </c>
      <c r="G90" s="1091"/>
      <c r="H90" s="1092" t="n">
        <v>77.2</v>
      </c>
      <c r="I90" s="1093" t="n">
        <v>84</v>
      </c>
      <c r="J90" s="1093"/>
      <c r="K90" s="1094" t="n">
        <f aca="false">H90*I90/100</f>
        <v>64.848</v>
      </c>
      <c r="L90" s="1095" t="n">
        <v>448</v>
      </c>
      <c r="M90" s="1096" t="n">
        <v>1</v>
      </c>
      <c r="N90" s="1097" t="n">
        <f aca="false">L90*M90</f>
        <v>448</v>
      </c>
      <c r="O90" s="1097" t="n">
        <f aca="false">H90*N90</f>
        <v>34585.6</v>
      </c>
      <c r="P90" s="1098" t="s">
        <v>2195</v>
      </c>
      <c r="Q90" s="1099" t="s">
        <v>2240</v>
      </c>
      <c r="R90" s="1100" t="n">
        <v>-15980.4</v>
      </c>
      <c r="S90" s="994" t="n">
        <f aca="false">R90/H90</f>
        <v>-207</v>
      </c>
      <c r="T90" s="1101" t="n">
        <f aca="false">O90-R90</f>
        <v>50566</v>
      </c>
      <c r="U90" s="1102" t="n">
        <f aca="false">N90-S90</f>
        <v>655</v>
      </c>
    </row>
    <row r="91" customFormat="false" ht="15" hidden="false" customHeight="true" outlineLevel="0" collapsed="false">
      <c r="A91" s="1087"/>
      <c r="B91" s="893" t="s">
        <v>86</v>
      </c>
      <c r="C91" s="893" t="n">
        <v>2023</v>
      </c>
      <c r="D91" s="843" t="s">
        <v>7</v>
      </c>
      <c r="E91" s="843" t="s">
        <v>2205</v>
      </c>
      <c r="F91" s="843"/>
      <c r="G91" s="894"/>
      <c r="H91" s="1103" t="n">
        <v>1.9</v>
      </c>
      <c r="I91" s="1104"/>
      <c r="J91" s="1104"/>
      <c r="K91" s="1064" t="n">
        <f aca="false">H91*I91/100</f>
        <v>0</v>
      </c>
      <c r="L91" s="1105" t="n">
        <v>703</v>
      </c>
      <c r="M91" s="1106" t="n">
        <v>1</v>
      </c>
      <c r="N91" s="898" t="n">
        <f aca="false">L91*M91</f>
        <v>703</v>
      </c>
      <c r="O91" s="898" t="n">
        <f aca="false">H91*N91</f>
        <v>1335.7</v>
      </c>
      <c r="P91" s="844" t="s">
        <v>2204</v>
      </c>
      <c r="Q91" s="1085" t="n">
        <v>15052024</v>
      </c>
      <c r="R91" s="846" t="n">
        <v>1335.7</v>
      </c>
      <c r="S91" s="846" t="n">
        <f aca="false">R91/H91</f>
        <v>703</v>
      </c>
      <c r="T91" s="1069" t="n">
        <f aca="false">O91-R91</f>
        <v>0</v>
      </c>
      <c r="U91" s="1070" t="n">
        <f aca="false">N91-S91</f>
        <v>0</v>
      </c>
    </row>
    <row r="92" customFormat="false" ht="15" hidden="false" customHeight="true" outlineLevel="0" collapsed="false">
      <c r="A92" s="1107" t="n">
        <v>333</v>
      </c>
      <c r="B92" s="1107" t="s">
        <v>2191</v>
      </c>
      <c r="C92" s="1107" t="n">
        <v>2023</v>
      </c>
      <c r="D92" s="848" t="s">
        <v>7</v>
      </c>
      <c r="E92" s="848" t="s">
        <v>2192</v>
      </c>
      <c r="F92" s="831" t="s">
        <v>1652</v>
      </c>
      <c r="G92" s="1108"/>
      <c r="H92" s="1109" t="n">
        <v>36</v>
      </c>
      <c r="I92" s="1110"/>
      <c r="J92" s="1110"/>
      <c r="K92" s="1111" t="n">
        <f aca="false">H92*I92/100</f>
        <v>0</v>
      </c>
      <c r="L92" s="1112" t="n">
        <v>12</v>
      </c>
      <c r="M92" s="1113" t="n">
        <v>15</v>
      </c>
      <c r="N92" s="1114" t="n">
        <f aca="false">L92*M92</f>
        <v>180</v>
      </c>
      <c r="O92" s="1114" t="n">
        <f aca="false">H92*N92</f>
        <v>6480</v>
      </c>
      <c r="P92" s="856" t="s">
        <v>2193</v>
      </c>
      <c r="Q92" s="1083" t="s">
        <v>2231</v>
      </c>
      <c r="R92" s="854" t="n">
        <v>3780</v>
      </c>
      <c r="S92" s="866" t="n">
        <f aca="false">R92/H92</f>
        <v>105</v>
      </c>
      <c r="T92" s="1115" t="n">
        <f aca="false">O92-R92-R93</f>
        <v>0</v>
      </c>
      <c r="U92" s="1114" t="n">
        <f aca="false">N92-S92-S93</f>
        <v>0</v>
      </c>
    </row>
    <row r="93" customFormat="false" ht="15" hidden="false" customHeight="true" outlineLevel="0" collapsed="false">
      <c r="A93" s="1107"/>
      <c r="B93" s="1107"/>
      <c r="C93" s="1107"/>
      <c r="D93" s="848" t="s">
        <v>7</v>
      </c>
      <c r="E93" s="848" t="s">
        <v>2192</v>
      </c>
      <c r="F93" s="831"/>
      <c r="G93" s="1108"/>
      <c r="H93" s="1109"/>
      <c r="I93" s="1110"/>
      <c r="J93" s="1110"/>
      <c r="K93" s="1111"/>
      <c r="L93" s="1112"/>
      <c r="M93" s="1113"/>
      <c r="N93" s="1114"/>
      <c r="O93" s="1114"/>
      <c r="P93" s="856" t="s">
        <v>2232</v>
      </c>
      <c r="Q93" s="1083" t="s">
        <v>2233</v>
      </c>
      <c r="R93" s="854" t="n">
        <v>2700</v>
      </c>
      <c r="S93" s="866" t="n">
        <f aca="false">R93/H92</f>
        <v>75</v>
      </c>
      <c r="T93" s="1115"/>
      <c r="U93" s="1114"/>
    </row>
    <row r="94" customFormat="false" ht="15" hidden="false" customHeight="true" outlineLevel="0" collapsed="false">
      <c r="A94" s="859" t="n">
        <v>334</v>
      </c>
      <c r="B94" s="859" t="s">
        <v>2191</v>
      </c>
      <c r="C94" s="859" t="n">
        <v>2023</v>
      </c>
      <c r="D94" s="860" t="s">
        <v>7</v>
      </c>
      <c r="E94" s="860" t="s">
        <v>2192</v>
      </c>
      <c r="F94" s="860" t="s">
        <v>1652</v>
      </c>
      <c r="G94" s="861"/>
      <c r="H94" s="980" t="n">
        <v>36</v>
      </c>
      <c r="I94" s="981"/>
      <c r="J94" s="981"/>
      <c r="K94" s="852" t="n">
        <f aca="false">H94*I94/100</f>
        <v>0</v>
      </c>
      <c r="L94" s="982" t="n">
        <v>6</v>
      </c>
      <c r="M94" s="983" t="n">
        <v>15</v>
      </c>
      <c r="N94" s="853" t="n">
        <f aca="false">L94*M94</f>
        <v>90</v>
      </c>
      <c r="O94" s="853" t="n">
        <f aca="false">H94*N94</f>
        <v>3240</v>
      </c>
      <c r="P94" s="868" t="s">
        <v>2197</v>
      </c>
      <c r="Q94" s="984" t="s">
        <v>2258</v>
      </c>
      <c r="R94" s="866" t="n">
        <v>3240</v>
      </c>
      <c r="S94" s="866" t="n">
        <f aca="false">R94/H94</f>
        <v>90</v>
      </c>
      <c r="T94" s="858" t="n">
        <f aca="false">O94-R94</f>
        <v>0</v>
      </c>
      <c r="U94" s="537" t="n">
        <f aca="false">N94-S94</f>
        <v>0</v>
      </c>
    </row>
    <row r="95" customFormat="false" ht="15" hidden="false" customHeight="true" outlineLevel="0" collapsed="false">
      <c r="A95" s="870" t="n">
        <v>338</v>
      </c>
      <c r="B95" s="870" t="s">
        <v>2191</v>
      </c>
      <c r="C95" s="870" t="n">
        <v>2023</v>
      </c>
      <c r="D95" s="871" t="s">
        <v>7</v>
      </c>
      <c r="E95" s="871" t="s">
        <v>2192</v>
      </c>
      <c r="F95" s="871" t="s">
        <v>2131</v>
      </c>
      <c r="G95" s="872"/>
      <c r="H95" s="1116" t="n">
        <v>63.8741</v>
      </c>
      <c r="I95" s="1117"/>
      <c r="J95" s="1117"/>
      <c r="K95" s="939" t="n">
        <f aca="false">H95*I95/100</f>
        <v>0</v>
      </c>
      <c r="L95" s="999" t="n">
        <v>8</v>
      </c>
      <c r="M95" s="1000" t="n">
        <v>25</v>
      </c>
      <c r="N95" s="908" t="n">
        <f aca="false">L95*M95</f>
        <v>200</v>
      </c>
      <c r="O95" s="908" t="n">
        <f aca="false">H95*N95</f>
        <v>12774.82</v>
      </c>
      <c r="P95" s="879" t="s">
        <v>2232</v>
      </c>
      <c r="Q95" s="1118" t="s">
        <v>2254</v>
      </c>
      <c r="R95" s="877" t="n">
        <v>12774.82</v>
      </c>
      <c r="S95" s="877" t="n">
        <f aca="false">R95/H95</f>
        <v>200</v>
      </c>
      <c r="T95" s="1058" t="n">
        <f aca="false">O95-R95</f>
        <v>0</v>
      </c>
      <c r="U95" s="942" t="n">
        <f aca="false">N95-S95</f>
        <v>0</v>
      </c>
    </row>
    <row r="96" customFormat="false" ht="15" hidden="false" customHeight="true" outlineLevel="0" collapsed="false">
      <c r="A96" s="829" t="n">
        <v>520</v>
      </c>
      <c r="B96" s="830" t="s">
        <v>2191</v>
      </c>
      <c r="C96" s="830" t="n">
        <v>2023</v>
      </c>
      <c r="D96" s="831" t="s">
        <v>7</v>
      </c>
      <c r="E96" s="831" t="s">
        <v>2192</v>
      </c>
      <c r="F96" s="1119" t="s">
        <v>1651</v>
      </c>
      <c r="G96" s="833"/>
      <c r="H96" s="834" t="n">
        <v>25.71</v>
      </c>
      <c r="I96" s="835"/>
      <c r="J96" s="835"/>
      <c r="K96" s="836" t="n">
        <f aca="false">H96*I96/100</f>
        <v>0</v>
      </c>
      <c r="L96" s="1002" t="n">
        <v>96</v>
      </c>
      <c r="M96" s="1003" t="n">
        <v>15</v>
      </c>
      <c r="N96" s="837" t="n">
        <f aca="false">L96*M96</f>
        <v>1440</v>
      </c>
      <c r="O96" s="1120" t="n">
        <f aca="false">H96*N96</f>
        <v>37022.4</v>
      </c>
      <c r="P96" s="838" t="s">
        <v>2193</v>
      </c>
      <c r="Q96" s="1076" t="s">
        <v>2259</v>
      </c>
      <c r="R96" s="840" t="n">
        <v>9255.6</v>
      </c>
      <c r="S96" s="840" t="n">
        <f aca="false">R96/H96</f>
        <v>360</v>
      </c>
      <c r="T96" s="841" t="n">
        <f aca="false">O96-R96-R97</f>
        <v>0</v>
      </c>
      <c r="U96" s="842" t="n">
        <f aca="false">N96-S96-S97</f>
        <v>0</v>
      </c>
    </row>
    <row r="97" customFormat="false" ht="15" hidden="false" customHeight="true" outlineLevel="0" collapsed="false">
      <c r="A97" s="829"/>
      <c r="B97" s="830"/>
      <c r="C97" s="830"/>
      <c r="D97" s="843" t="s">
        <v>7</v>
      </c>
      <c r="E97" s="843" t="s">
        <v>2192</v>
      </c>
      <c r="F97" s="1119"/>
      <c r="G97" s="833"/>
      <c r="H97" s="834"/>
      <c r="I97" s="835"/>
      <c r="J97" s="835"/>
      <c r="K97" s="836"/>
      <c r="L97" s="1002"/>
      <c r="M97" s="1003"/>
      <c r="N97" s="837"/>
      <c r="O97" s="1120"/>
      <c r="P97" s="844" t="s">
        <v>2232</v>
      </c>
      <c r="Q97" s="1085" t="s">
        <v>2233</v>
      </c>
      <c r="R97" s="846" t="n">
        <v>27766.8</v>
      </c>
      <c r="S97" s="846" t="n">
        <f aca="false">R97/H96</f>
        <v>1080</v>
      </c>
      <c r="T97" s="841"/>
      <c r="U97" s="842"/>
    </row>
    <row r="98" customFormat="false" ht="15" hidden="false" customHeight="true" outlineLevel="0" collapsed="false">
      <c r="A98" s="903" t="n">
        <v>568</v>
      </c>
      <c r="B98" s="903" t="s">
        <v>2191</v>
      </c>
      <c r="C98" s="903" t="n">
        <v>2023</v>
      </c>
      <c r="D98" s="904" t="s">
        <v>7</v>
      </c>
      <c r="E98" s="904" t="s">
        <v>2192</v>
      </c>
      <c r="F98" s="904" t="s">
        <v>1651</v>
      </c>
      <c r="G98" s="905"/>
      <c r="H98" s="946" t="n">
        <v>25.71</v>
      </c>
      <c r="I98" s="947"/>
      <c r="J98" s="947"/>
      <c r="K98" s="939" t="n">
        <f aca="false">H98*I98/100</f>
        <v>0</v>
      </c>
      <c r="L98" s="1022" t="n">
        <v>5</v>
      </c>
      <c r="M98" s="1023" t="n">
        <v>15</v>
      </c>
      <c r="N98" s="908" t="n">
        <f aca="false">L98*M98</f>
        <v>75</v>
      </c>
      <c r="O98" s="1121" t="n">
        <f aca="false">H98*N98</f>
        <v>1928.25</v>
      </c>
      <c r="P98" s="910" t="s">
        <v>2232</v>
      </c>
      <c r="Q98" s="1068" t="s">
        <v>2233</v>
      </c>
      <c r="R98" s="891" t="n">
        <v>1928.25</v>
      </c>
      <c r="S98" s="886" t="n">
        <f aca="false">R98/H98</f>
        <v>75</v>
      </c>
      <c r="T98" s="1122" t="n">
        <f aca="false">O98-R98</f>
        <v>0</v>
      </c>
      <c r="U98" s="942" t="n">
        <f aca="false">N98-S98</f>
        <v>0</v>
      </c>
    </row>
    <row r="99" customFormat="false" ht="15" hidden="false" customHeight="true" outlineLevel="0" collapsed="false">
      <c r="A99" s="882" t="n">
        <v>6</v>
      </c>
      <c r="B99" s="1123" t="s">
        <v>86</v>
      </c>
      <c r="C99" s="1123" t="n">
        <v>2024</v>
      </c>
      <c r="D99" s="1124" t="s">
        <v>7</v>
      </c>
      <c r="E99" s="1124" t="s">
        <v>2192</v>
      </c>
      <c r="F99" s="1124" t="s">
        <v>2199</v>
      </c>
      <c r="G99" s="1125"/>
      <c r="H99" s="1126" t="n">
        <v>42.2</v>
      </c>
      <c r="I99" s="1127" t="n">
        <v>63</v>
      </c>
      <c r="J99" s="1127"/>
      <c r="K99" s="1128" t="n">
        <f aca="false">H99*I99/100</f>
        <v>26.586</v>
      </c>
      <c r="L99" s="1129" t="n">
        <v>417</v>
      </c>
      <c r="M99" s="1130" t="n">
        <v>1</v>
      </c>
      <c r="N99" s="1131" t="n">
        <f aca="false">L99*M99</f>
        <v>417</v>
      </c>
      <c r="O99" s="1131" t="n">
        <f aca="false">H99*N99</f>
        <v>17597.4</v>
      </c>
      <c r="P99" s="923"/>
      <c r="Q99" s="1132"/>
      <c r="R99" s="926"/>
      <c r="S99" s="926"/>
      <c r="T99" s="1133" t="n">
        <f aca="false">O99-R99</f>
        <v>17597.4</v>
      </c>
      <c r="U99" s="1134" t="n">
        <f aca="false">N99-S99</f>
        <v>417</v>
      </c>
    </row>
    <row r="100" customFormat="false" ht="15" hidden="false" customHeight="true" outlineLevel="0" collapsed="false">
      <c r="A100" s="882"/>
      <c r="B100" s="859" t="s">
        <v>86</v>
      </c>
      <c r="C100" s="859" t="n">
        <v>2024</v>
      </c>
      <c r="D100" s="860" t="s">
        <v>7</v>
      </c>
      <c r="E100" s="860" t="s">
        <v>2203</v>
      </c>
      <c r="F100" s="860"/>
      <c r="G100" s="861"/>
      <c r="H100" s="980" t="n">
        <v>0</v>
      </c>
      <c r="I100" s="981"/>
      <c r="J100" s="981"/>
      <c r="K100" s="864" t="n">
        <f aca="false">H100*I100/100</f>
        <v>0</v>
      </c>
      <c r="L100" s="982" t="n">
        <v>82</v>
      </c>
      <c r="M100" s="983" t="n">
        <v>1</v>
      </c>
      <c r="N100" s="865" t="n">
        <f aca="false">L100*M100</f>
        <v>82</v>
      </c>
      <c r="O100" s="865" t="n">
        <f aca="false">H100*N100</f>
        <v>0</v>
      </c>
      <c r="P100" s="868" t="s">
        <v>2204</v>
      </c>
      <c r="Q100" s="984" t="n">
        <v>15052024</v>
      </c>
      <c r="R100" s="866" t="n">
        <v>0</v>
      </c>
      <c r="S100" s="866" t="n">
        <v>82</v>
      </c>
      <c r="T100" s="985"/>
      <c r="U100" s="1135" t="n">
        <f aca="false">N100-S100</f>
        <v>0</v>
      </c>
    </row>
    <row r="101" customFormat="false" ht="15" hidden="false" customHeight="true" outlineLevel="0" collapsed="false">
      <c r="A101" s="882"/>
      <c r="B101" s="1072" t="s">
        <v>86</v>
      </c>
      <c r="C101" s="1072" t="n">
        <v>2024</v>
      </c>
      <c r="D101" s="887" t="s">
        <v>7</v>
      </c>
      <c r="E101" s="887" t="s">
        <v>2241</v>
      </c>
      <c r="F101" s="887"/>
      <c r="G101" s="1062"/>
      <c r="H101" s="1077" t="n">
        <v>31.7</v>
      </c>
      <c r="I101" s="1086"/>
      <c r="J101" s="1086"/>
      <c r="K101" s="897" t="n">
        <f aca="false">H101*I101/100</f>
        <v>0</v>
      </c>
      <c r="L101" s="1065" t="n">
        <v>136</v>
      </c>
      <c r="M101" s="1066" t="n">
        <v>1</v>
      </c>
      <c r="N101" s="898" t="n">
        <f aca="false">L101*M101</f>
        <v>136</v>
      </c>
      <c r="O101" s="899" t="n">
        <f aca="false">H101*N101</f>
        <v>4311.2</v>
      </c>
      <c r="P101" s="888" t="s">
        <v>2204</v>
      </c>
      <c r="Q101" s="1071" t="n">
        <v>23052024</v>
      </c>
      <c r="R101" s="890" t="n">
        <v>4311.2</v>
      </c>
      <c r="S101" s="846" t="n">
        <f aca="false">R101/H101</f>
        <v>136</v>
      </c>
      <c r="T101" s="589" t="n">
        <f aca="false">O101-R101</f>
        <v>0</v>
      </c>
      <c r="U101" s="902" t="n">
        <f aca="false">N101-S101</f>
        <v>0</v>
      </c>
    </row>
    <row r="102" customFormat="false" ht="15" hidden="false" customHeight="true" outlineLevel="0" collapsed="false">
      <c r="A102" s="829" t="n">
        <v>2</v>
      </c>
      <c r="B102" s="830" t="s">
        <v>2207</v>
      </c>
      <c r="C102" s="830" t="n">
        <v>2024</v>
      </c>
      <c r="D102" s="831" t="s">
        <v>7</v>
      </c>
      <c r="E102" s="831" t="s">
        <v>2192</v>
      </c>
      <c r="F102" s="832" t="s">
        <v>1651</v>
      </c>
      <c r="G102" s="833"/>
      <c r="H102" s="834" t="n">
        <v>29.9836</v>
      </c>
      <c r="I102" s="835"/>
      <c r="J102" s="835"/>
      <c r="K102" s="836" t="n">
        <f aca="false">H102*I102/100</f>
        <v>0</v>
      </c>
      <c r="L102" s="1002" t="n">
        <v>319</v>
      </c>
      <c r="M102" s="1003" t="n">
        <v>1</v>
      </c>
      <c r="N102" s="1075" t="n">
        <f aca="false">L102*M102</f>
        <v>319</v>
      </c>
      <c r="O102" s="943" t="n">
        <f aca="false">H102*N102</f>
        <v>9564.7684</v>
      </c>
      <c r="P102" s="838" t="s">
        <v>2197</v>
      </c>
      <c r="Q102" s="1076" t="s">
        <v>2260</v>
      </c>
      <c r="R102" s="840" t="n">
        <v>9294.916</v>
      </c>
      <c r="S102" s="840" t="n">
        <f aca="false">R102/H102</f>
        <v>310</v>
      </c>
      <c r="T102" s="943" t="n">
        <f aca="false">O102-R102-R103</f>
        <v>0</v>
      </c>
      <c r="U102" s="842" t="n">
        <f aca="false">N102-S102-S103</f>
        <v>0</v>
      </c>
    </row>
    <row r="103" customFormat="false" ht="15" hidden="false" customHeight="true" outlineLevel="0" collapsed="false">
      <c r="A103" s="829"/>
      <c r="B103" s="830"/>
      <c r="C103" s="830"/>
      <c r="D103" s="843" t="s">
        <v>7</v>
      </c>
      <c r="E103" s="843" t="s">
        <v>2192</v>
      </c>
      <c r="F103" s="832"/>
      <c r="G103" s="833"/>
      <c r="H103" s="834"/>
      <c r="I103" s="835"/>
      <c r="J103" s="835"/>
      <c r="K103" s="836"/>
      <c r="L103" s="1002"/>
      <c r="M103" s="1003"/>
      <c r="N103" s="1075"/>
      <c r="O103" s="943"/>
      <c r="P103" s="844" t="s">
        <v>2261</v>
      </c>
      <c r="Q103" s="1085"/>
      <c r="R103" s="1136" t="n">
        <v>269.8524</v>
      </c>
      <c r="S103" s="890" t="n">
        <f aca="false">R103/H102</f>
        <v>9</v>
      </c>
      <c r="T103" s="943"/>
      <c r="U103" s="842"/>
    </row>
    <row r="104" customFormat="false" ht="15" hidden="false" customHeight="true" outlineLevel="0" collapsed="false">
      <c r="A104" s="903" t="n">
        <v>6</v>
      </c>
      <c r="B104" s="903" t="s">
        <v>2207</v>
      </c>
      <c r="C104" s="903" t="n">
        <v>2024</v>
      </c>
      <c r="D104" s="904" t="s">
        <v>7</v>
      </c>
      <c r="E104" s="904" t="s">
        <v>2192</v>
      </c>
      <c r="F104" s="904" t="s">
        <v>1651</v>
      </c>
      <c r="G104" s="905"/>
      <c r="H104" s="946" t="n">
        <v>26.0841</v>
      </c>
      <c r="I104" s="947"/>
      <c r="J104" s="947"/>
      <c r="K104" s="939" t="n">
        <f aca="false">H104*I104/100</f>
        <v>0</v>
      </c>
      <c r="L104" s="1022" t="n">
        <v>10703</v>
      </c>
      <c r="M104" s="1023" t="n">
        <v>1</v>
      </c>
      <c r="N104" s="1137" t="n">
        <f aca="false">L104*M104</f>
        <v>10703</v>
      </c>
      <c r="O104" s="940" t="n">
        <f aca="false">H104*N104</f>
        <v>279178.1223</v>
      </c>
      <c r="P104" s="910" t="s">
        <v>2193</v>
      </c>
      <c r="Q104" s="1068" t="s">
        <v>2234</v>
      </c>
      <c r="R104" s="1138" t="n">
        <v>279178.1223</v>
      </c>
      <c r="S104" s="891" t="n">
        <f aca="false">R104/H104</f>
        <v>10703</v>
      </c>
      <c r="T104" s="948" t="n">
        <f aca="false">O104-R104</f>
        <v>0</v>
      </c>
      <c r="U104" s="942" t="n">
        <f aca="false">N104-S104</f>
        <v>0</v>
      </c>
    </row>
    <row r="105" customFormat="false" ht="15" hidden="false" customHeight="true" outlineLevel="0" collapsed="false">
      <c r="A105" s="882" t="s">
        <v>2262</v>
      </c>
      <c r="B105" s="830" t="s">
        <v>2207</v>
      </c>
      <c r="C105" s="830" t="n">
        <v>2024</v>
      </c>
      <c r="D105" s="831" t="s">
        <v>7</v>
      </c>
      <c r="E105" s="831" t="s">
        <v>2192</v>
      </c>
      <c r="F105" s="832" t="s">
        <v>1651</v>
      </c>
      <c r="G105" s="833"/>
      <c r="H105" s="834" t="n">
        <v>26.0734</v>
      </c>
      <c r="I105" s="835"/>
      <c r="J105" s="835"/>
      <c r="K105" s="836" t="n">
        <f aca="false">H105*I105/100</f>
        <v>0</v>
      </c>
      <c r="L105" s="1002" t="n">
        <v>11018</v>
      </c>
      <c r="M105" s="1003" t="n">
        <v>1</v>
      </c>
      <c r="N105" s="1075" t="n">
        <f aca="false">L105*M105</f>
        <v>11018</v>
      </c>
      <c r="O105" s="943" t="n">
        <f aca="false">H105*N105</f>
        <v>287276.7212</v>
      </c>
      <c r="P105" s="838" t="s">
        <v>2197</v>
      </c>
      <c r="Q105" s="1076" t="s">
        <v>2263</v>
      </c>
      <c r="R105" s="1139" t="n">
        <v>13036.7</v>
      </c>
      <c r="S105" s="886" t="n">
        <f aca="false">R105/H104</f>
        <v>499.794894207582</v>
      </c>
      <c r="T105" s="837" t="n">
        <f aca="false">O105-R105-R109-R110-R106-R107-R108</f>
        <v>-2.5465851649642E-011</v>
      </c>
      <c r="U105" s="842" t="n">
        <f aca="false">N105-S105-S109-S110-S106-S107-S108</f>
        <v>0.205105792418181</v>
      </c>
    </row>
    <row r="106" customFormat="false" ht="15" hidden="false" customHeight="true" outlineLevel="0" collapsed="false">
      <c r="A106" s="882"/>
      <c r="B106" s="830"/>
      <c r="C106" s="830"/>
      <c r="D106" s="848" t="s">
        <v>7</v>
      </c>
      <c r="E106" s="848" t="s">
        <v>2192</v>
      </c>
      <c r="F106" s="832"/>
      <c r="G106" s="833"/>
      <c r="H106" s="834"/>
      <c r="I106" s="835"/>
      <c r="J106" s="835"/>
      <c r="K106" s="836"/>
      <c r="L106" s="1002"/>
      <c r="M106" s="1003"/>
      <c r="N106" s="1075"/>
      <c r="O106" s="943"/>
      <c r="P106" s="856" t="s">
        <v>2197</v>
      </c>
      <c r="Q106" s="1083" t="s">
        <v>2264</v>
      </c>
      <c r="R106" s="1088" t="n">
        <v>156440.4</v>
      </c>
      <c r="S106" s="866" t="n">
        <f aca="false">R106/H105</f>
        <v>6000</v>
      </c>
      <c r="T106" s="837"/>
      <c r="U106" s="842"/>
    </row>
    <row r="107" customFormat="false" ht="15" hidden="false" customHeight="true" outlineLevel="0" collapsed="false">
      <c r="A107" s="882"/>
      <c r="B107" s="830"/>
      <c r="C107" s="830"/>
      <c r="D107" s="848" t="s">
        <v>7</v>
      </c>
      <c r="E107" s="848" t="s">
        <v>2192</v>
      </c>
      <c r="F107" s="832"/>
      <c r="G107" s="833"/>
      <c r="H107" s="834"/>
      <c r="I107" s="835"/>
      <c r="J107" s="835"/>
      <c r="K107" s="836"/>
      <c r="L107" s="1002"/>
      <c r="M107" s="1003"/>
      <c r="N107" s="1075"/>
      <c r="O107" s="943"/>
      <c r="P107" s="856" t="s">
        <v>2197</v>
      </c>
      <c r="Q107" s="1083" t="s">
        <v>2265</v>
      </c>
      <c r="R107" s="1088" t="n">
        <v>31288.08</v>
      </c>
      <c r="S107" s="866" t="n">
        <f aca="false">R107/H105</f>
        <v>1200</v>
      </c>
      <c r="T107" s="837"/>
      <c r="U107" s="842"/>
    </row>
    <row r="108" customFormat="false" ht="15" hidden="false" customHeight="true" outlineLevel="0" collapsed="false">
      <c r="A108" s="882"/>
      <c r="B108" s="830"/>
      <c r="C108" s="830"/>
      <c r="D108" s="848" t="s">
        <v>7</v>
      </c>
      <c r="E108" s="848" t="s">
        <v>2192</v>
      </c>
      <c r="F108" s="832"/>
      <c r="G108" s="833"/>
      <c r="H108" s="834"/>
      <c r="I108" s="835"/>
      <c r="J108" s="835"/>
      <c r="K108" s="836"/>
      <c r="L108" s="1002"/>
      <c r="M108" s="1003"/>
      <c r="N108" s="1075"/>
      <c r="O108" s="943"/>
      <c r="P108" s="856" t="s">
        <v>2197</v>
      </c>
      <c r="Q108" s="1083" t="s">
        <v>2266</v>
      </c>
      <c r="R108" s="1088" t="n">
        <v>13375.6542</v>
      </c>
      <c r="S108" s="866" t="n">
        <f aca="false">R108/H105</f>
        <v>513</v>
      </c>
      <c r="T108" s="837"/>
      <c r="U108" s="842"/>
    </row>
    <row r="109" customFormat="false" ht="15" hidden="false" customHeight="true" outlineLevel="0" collapsed="false">
      <c r="A109" s="882"/>
      <c r="B109" s="830"/>
      <c r="C109" s="830"/>
      <c r="D109" s="848" t="s">
        <v>7</v>
      </c>
      <c r="E109" s="848" t="s">
        <v>2192</v>
      </c>
      <c r="F109" s="832"/>
      <c r="G109" s="833"/>
      <c r="H109" s="834"/>
      <c r="I109" s="835"/>
      <c r="J109" s="835"/>
      <c r="K109" s="836"/>
      <c r="L109" s="1002"/>
      <c r="M109" s="1003"/>
      <c r="N109" s="1075"/>
      <c r="O109" s="943"/>
      <c r="P109" s="856" t="s">
        <v>2197</v>
      </c>
      <c r="Q109" s="1083" t="s">
        <v>2267</v>
      </c>
      <c r="R109" s="952" t="n">
        <v>46932.12</v>
      </c>
      <c r="S109" s="1140" t="n">
        <f aca="false">R109/H105</f>
        <v>1800</v>
      </c>
      <c r="T109" s="837"/>
      <c r="U109" s="842"/>
    </row>
    <row r="110" customFormat="false" ht="15" hidden="false" customHeight="true" outlineLevel="0" collapsed="false">
      <c r="A110" s="882"/>
      <c r="B110" s="830"/>
      <c r="C110" s="830"/>
      <c r="D110" s="887" t="s">
        <v>7</v>
      </c>
      <c r="E110" s="887" t="s">
        <v>2192</v>
      </c>
      <c r="F110" s="832"/>
      <c r="G110" s="833"/>
      <c r="H110" s="834"/>
      <c r="I110" s="835"/>
      <c r="J110" s="835"/>
      <c r="K110" s="836"/>
      <c r="L110" s="1002"/>
      <c r="M110" s="1003"/>
      <c r="N110" s="1075"/>
      <c r="O110" s="943"/>
      <c r="P110" s="888" t="s">
        <v>2197</v>
      </c>
      <c r="Q110" s="1071" t="s">
        <v>2211</v>
      </c>
      <c r="R110" s="1141" t="n">
        <v>26203.767</v>
      </c>
      <c r="S110" s="1142" t="n">
        <f aca="false">R110/H105</f>
        <v>1005</v>
      </c>
      <c r="T110" s="837"/>
      <c r="U110" s="842"/>
    </row>
    <row r="111" customFormat="false" ht="15" hidden="false" customHeight="true" outlineLevel="0" collapsed="false">
      <c r="A111" s="847" t="n">
        <v>118</v>
      </c>
      <c r="B111" s="847" t="s">
        <v>2191</v>
      </c>
      <c r="C111" s="847" t="n">
        <v>2024</v>
      </c>
      <c r="D111" s="848" t="s">
        <v>7</v>
      </c>
      <c r="E111" s="848" t="s">
        <v>2192</v>
      </c>
      <c r="F111" s="848" t="s">
        <v>1651</v>
      </c>
      <c r="G111" s="849"/>
      <c r="H111" s="949" t="n">
        <v>25.71</v>
      </c>
      <c r="I111" s="950"/>
      <c r="J111" s="950"/>
      <c r="K111" s="852" t="n">
        <f aca="false">H111*I111/100</f>
        <v>0</v>
      </c>
      <c r="L111" s="1006" t="n">
        <v>16</v>
      </c>
      <c r="M111" s="1007" t="n">
        <v>15</v>
      </c>
      <c r="N111" s="1143" t="n">
        <f aca="false">L111*M111</f>
        <v>240</v>
      </c>
      <c r="O111" s="951" t="n">
        <f aca="false">H111*N111</f>
        <v>6170.4</v>
      </c>
      <c r="P111" s="856" t="s">
        <v>2193</v>
      </c>
      <c r="Q111" s="1083" t="s">
        <v>2235</v>
      </c>
      <c r="R111" s="1144" t="n">
        <v>6170.4</v>
      </c>
      <c r="S111" s="891" t="n">
        <f aca="false">R111/H111</f>
        <v>240</v>
      </c>
      <c r="T111" s="953" t="n">
        <f aca="false">O111-R111</f>
        <v>0</v>
      </c>
      <c r="U111" s="537" t="n">
        <f aca="false">N111-S111</f>
        <v>0</v>
      </c>
    </row>
    <row r="112" customFormat="false" ht="15" hidden="false" customHeight="true" outlineLevel="0" collapsed="false">
      <c r="A112" s="903" t="n">
        <v>17</v>
      </c>
      <c r="B112" s="903" t="s">
        <v>2207</v>
      </c>
      <c r="C112" s="903" t="n">
        <v>2024</v>
      </c>
      <c r="D112" s="904" t="s">
        <v>7</v>
      </c>
      <c r="E112" s="904" t="s">
        <v>2192</v>
      </c>
      <c r="F112" s="904" t="s">
        <v>1651</v>
      </c>
      <c r="G112" s="905"/>
      <c r="H112" s="946" t="n">
        <v>34.0046</v>
      </c>
      <c r="I112" s="947"/>
      <c r="J112" s="947"/>
      <c r="K112" s="939" t="n">
        <f aca="false">H112*I112/100</f>
        <v>0</v>
      </c>
      <c r="L112" s="1022" t="n">
        <v>854</v>
      </c>
      <c r="M112" s="1023" t="n">
        <v>1</v>
      </c>
      <c r="N112" s="1137" t="n">
        <f aca="false">L112*M112</f>
        <v>854</v>
      </c>
      <c r="O112" s="940" t="n">
        <f aca="false">H112*N112</f>
        <v>29039.9284</v>
      </c>
      <c r="P112" s="910" t="s">
        <v>2193</v>
      </c>
      <c r="Q112" s="1068" t="s">
        <v>2236</v>
      </c>
      <c r="R112" s="1138" t="n">
        <v>29039.9284</v>
      </c>
      <c r="S112" s="877" t="n">
        <f aca="false">R112/H112</f>
        <v>854</v>
      </c>
      <c r="T112" s="948" t="n">
        <f aca="false">O112-R112</f>
        <v>0</v>
      </c>
      <c r="U112" s="942" t="n">
        <f aca="false">N112-S112</f>
        <v>0</v>
      </c>
    </row>
    <row r="113" customFormat="false" ht="15" hidden="false" customHeight="true" outlineLevel="0" collapsed="false">
      <c r="A113" s="829" t="s">
        <v>2268</v>
      </c>
      <c r="B113" s="830" t="s">
        <v>2207</v>
      </c>
      <c r="C113" s="830" t="n">
        <v>2024</v>
      </c>
      <c r="D113" s="831" t="s">
        <v>7</v>
      </c>
      <c r="E113" s="831" t="s">
        <v>2192</v>
      </c>
      <c r="F113" s="832" t="s">
        <v>1651</v>
      </c>
      <c r="G113" s="833"/>
      <c r="H113" s="834" t="n">
        <v>33.7231</v>
      </c>
      <c r="I113" s="835"/>
      <c r="J113" s="835"/>
      <c r="K113" s="836" t="n">
        <f aca="false">H113*I113/100</f>
        <v>0</v>
      </c>
      <c r="L113" s="1002" t="n">
        <v>884</v>
      </c>
      <c r="M113" s="1003" t="n">
        <v>1</v>
      </c>
      <c r="N113" s="837" t="n">
        <f aca="false">L113*M113</f>
        <v>884</v>
      </c>
      <c r="O113" s="943" t="n">
        <f aca="false">H113*N113</f>
        <v>29811.2204</v>
      </c>
      <c r="P113" s="838" t="s">
        <v>2197</v>
      </c>
      <c r="Q113" s="1076" t="s">
        <v>2266</v>
      </c>
      <c r="R113" s="1145" t="n">
        <v>3540.9255</v>
      </c>
      <c r="S113" s="840" t="n">
        <f aca="false">R113/H113</f>
        <v>105</v>
      </c>
      <c r="T113" s="943" t="n">
        <f aca="false">O113-R113-R114</f>
        <v>0</v>
      </c>
      <c r="U113" s="842" t="n">
        <f aca="false">N113-S113-S114</f>
        <v>0</v>
      </c>
    </row>
    <row r="114" customFormat="false" ht="15" hidden="false" customHeight="true" outlineLevel="0" collapsed="false">
      <c r="A114" s="829"/>
      <c r="B114" s="830"/>
      <c r="C114" s="830"/>
      <c r="D114" s="887" t="s">
        <v>7</v>
      </c>
      <c r="E114" s="887" t="s">
        <v>2192</v>
      </c>
      <c r="F114" s="832"/>
      <c r="G114" s="833"/>
      <c r="H114" s="834"/>
      <c r="I114" s="835"/>
      <c r="J114" s="835"/>
      <c r="K114" s="836"/>
      <c r="L114" s="1002"/>
      <c r="M114" s="1003"/>
      <c r="N114" s="837"/>
      <c r="O114" s="943"/>
      <c r="P114" s="888" t="s">
        <v>2197</v>
      </c>
      <c r="Q114" s="1071" t="s">
        <v>2269</v>
      </c>
      <c r="R114" s="1146" t="n">
        <v>26270.2949</v>
      </c>
      <c r="S114" s="890" t="n">
        <f aca="false">R114/H113</f>
        <v>779</v>
      </c>
      <c r="T114" s="943"/>
      <c r="U114" s="842"/>
    </row>
    <row r="115" customFormat="false" ht="15" hidden="false" customHeight="true" outlineLevel="0" collapsed="false">
      <c r="A115" s="903" t="n">
        <v>27</v>
      </c>
      <c r="B115" s="903" t="s">
        <v>2207</v>
      </c>
      <c r="C115" s="903" t="n">
        <v>2024</v>
      </c>
      <c r="D115" s="904" t="s">
        <v>7</v>
      </c>
      <c r="E115" s="904" t="s">
        <v>2192</v>
      </c>
      <c r="F115" s="904" t="s">
        <v>1651</v>
      </c>
      <c r="G115" s="905"/>
      <c r="H115" s="946" t="n">
        <v>28.436</v>
      </c>
      <c r="I115" s="947"/>
      <c r="J115" s="947"/>
      <c r="K115" s="939" t="n">
        <f aca="false">H115*I115/100</f>
        <v>0</v>
      </c>
      <c r="L115" s="1022" t="n">
        <v>11540</v>
      </c>
      <c r="M115" s="1023" t="n">
        <v>1</v>
      </c>
      <c r="N115" s="1137" t="n">
        <f aca="false">L115*M115</f>
        <v>11540</v>
      </c>
      <c r="O115" s="940" t="n">
        <f aca="false">H115*N115</f>
        <v>328151.44</v>
      </c>
      <c r="P115" s="910" t="s">
        <v>2193</v>
      </c>
      <c r="Q115" s="1068" t="s">
        <v>2235</v>
      </c>
      <c r="R115" s="1138" t="n">
        <v>328151.44</v>
      </c>
      <c r="S115" s="891" t="n">
        <f aca="false">R115/H115</f>
        <v>11540</v>
      </c>
      <c r="T115" s="948" t="n">
        <f aca="false">O115-R115</f>
        <v>0</v>
      </c>
      <c r="U115" s="942" t="n">
        <f aca="false">N115-S115</f>
        <v>0</v>
      </c>
    </row>
    <row r="116" customFormat="false" ht="15" hidden="false" customHeight="true" outlineLevel="0" collapsed="false">
      <c r="A116" s="882" t="s">
        <v>2270</v>
      </c>
      <c r="B116" s="883" t="s">
        <v>2207</v>
      </c>
      <c r="C116" s="883" t="n">
        <v>2024</v>
      </c>
      <c r="D116" s="831" t="s">
        <v>7</v>
      </c>
      <c r="E116" s="831" t="s">
        <v>2192</v>
      </c>
      <c r="F116" s="832" t="s">
        <v>1651</v>
      </c>
      <c r="G116" s="833"/>
      <c r="H116" s="834" t="n">
        <v>28.3534</v>
      </c>
      <c r="I116" s="835"/>
      <c r="J116" s="835"/>
      <c r="K116" s="836" t="n">
        <f aca="false">H116*I116/100</f>
        <v>0</v>
      </c>
      <c r="L116" s="1002" t="n">
        <v>11900</v>
      </c>
      <c r="M116" s="1003" t="n">
        <v>1</v>
      </c>
      <c r="N116" s="837" t="n">
        <f aca="false">L116*M116</f>
        <v>11900</v>
      </c>
      <c r="O116" s="943" t="n">
        <f aca="false">H116*N116</f>
        <v>337405.46</v>
      </c>
      <c r="P116" s="838" t="s">
        <v>2197</v>
      </c>
      <c r="Q116" s="1076" t="s">
        <v>2271</v>
      </c>
      <c r="R116" s="1145" t="n">
        <v>14460.234</v>
      </c>
      <c r="S116" s="886" t="n">
        <f aca="false">R116/H116</f>
        <v>510</v>
      </c>
      <c r="T116" s="943" t="n">
        <f aca="false">O116-R116-R118-R117</f>
        <v>0</v>
      </c>
      <c r="U116" s="842" t="n">
        <f aca="false">N116-S116-S118-S117</f>
        <v>0</v>
      </c>
    </row>
    <row r="117" customFormat="false" ht="15" hidden="false" customHeight="true" outlineLevel="0" collapsed="false">
      <c r="A117" s="882"/>
      <c r="B117" s="883"/>
      <c r="C117" s="883"/>
      <c r="D117" s="904" t="s">
        <v>7</v>
      </c>
      <c r="E117" s="904" t="s">
        <v>2192</v>
      </c>
      <c r="F117" s="832"/>
      <c r="G117" s="833"/>
      <c r="H117" s="834"/>
      <c r="I117" s="835"/>
      <c r="J117" s="835"/>
      <c r="K117" s="836"/>
      <c r="L117" s="1002"/>
      <c r="M117" s="1003"/>
      <c r="N117" s="837"/>
      <c r="O117" s="943"/>
      <c r="P117" s="910" t="s">
        <v>2197</v>
      </c>
      <c r="Q117" s="1068" t="s">
        <v>2272</v>
      </c>
      <c r="R117" s="1138" t="n">
        <v>39694.76</v>
      </c>
      <c r="S117" s="866" t="n">
        <f aca="false">R117/H116</f>
        <v>1400</v>
      </c>
      <c r="T117" s="943"/>
      <c r="U117" s="842"/>
    </row>
    <row r="118" customFormat="false" ht="15" hidden="false" customHeight="true" outlineLevel="0" collapsed="false">
      <c r="A118" s="882"/>
      <c r="B118" s="883"/>
      <c r="C118" s="883"/>
      <c r="D118" s="843" t="s">
        <v>7</v>
      </c>
      <c r="E118" s="843" t="s">
        <v>2192</v>
      </c>
      <c r="F118" s="832"/>
      <c r="G118" s="833"/>
      <c r="H118" s="834"/>
      <c r="I118" s="835"/>
      <c r="J118" s="835"/>
      <c r="K118" s="836"/>
      <c r="L118" s="1002"/>
      <c r="M118" s="1003"/>
      <c r="N118" s="837"/>
      <c r="O118" s="943"/>
      <c r="P118" s="844" t="s">
        <v>2197</v>
      </c>
      <c r="Q118" s="1085" t="s">
        <v>2273</v>
      </c>
      <c r="R118" s="1136" t="n">
        <v>283250.466</v>
      </c>
      <c r="S118" s="846" t="n">
        <f aca="false">R118/H116</f>
        <v>9990</v>
      </c>
      <c r="T118" s="943"/>
      <c r="U118" s="842"/>
    </row>
    <row r="119" customFormat="false" ht="15" hidden="false" customHeight="true" outlineLevel="0" collapsed="false">
      <c r="A119" s="903" t="n">
        <v>28</v>
      </c>
      <c r="B119" s="903" t="s">
        <v>2207</v>
      </c>
      <c r="C119" s="903" t="n">
        <v>2024</v>
      </c>
      <c r="D119" s="904" t="s">
        <v>7</v>
      </c>
      <c r="E119" s="904" t="s">
        <v>2192</v>
      </c>
      <c r="F119" s="904" t="s">
        <v>1651</v>
      </c>
      <c r="G119" s="905"/>
      <c r="H119" s="946" t="n">
        <v>28.6521</v>
      </c>
      <c r="I119" s="947"/>
      <c r="J119" s="947"/>
      <c r="K119" s="939" t="n">
        <f aca="false">H119*I119/100</f>
        <v>0</v>
      </c>
      <c r="L119" s="1022" t="n">
        <v>12204</v>
      </c>
      <c r="M119" s="1023" t="n">
        <v>1</v>
      </c>
      <c r="N119" s="1137" t="n">
        <f aca="false">L119*M119</f>
        <v>12204</v>
      </c>
      <c r="O119" s="940" t="n">
        <f aca="false">H119*N119</f>
        <v>349670.2284</v>
      </c>
      <c r="P119" s="910" t="s">
        <v>2193</v>
      </c>
      <c r="Q119" s="1068" t="s">
        <v>2259</v>
      </c>
      <c r="R119" s="1138" t="n">
        <v>349670.2284</v>
      </c>
      <c r="S119" s="891" t="n">
        <f aca="false">R119/H119</f>
        <v>12204</v>
      </c>
      <c r="T119" s="948" t="n">
        <f aca="false">O119-R119</f>
        <v>0</v>
      </c>
      <c r="U119" s="942" t="n">
        <f aca="false">N119-S119</f>
        <v>0</v>
      </c>
    </row>
    <row r="120" customFormat="false" ht="15" hidden="false" customHeight="true" outlineLevel="0" collapsed="false">
      <c r="A120" s="882" t="s">
        <v>2274</v>
      </c>
      <c r="B120" s="883" t="s">
        <v>2207</v>
      </c>
      <c r="C120" s="883" t="n">
        <v>2024</v>
      </c>
      <c r="D120" s="831" t="s">
        <v>7</v>
      </c>
      <c r="E120" s="831" t="s">
        <v>2192</v>
      </c>
      <c r="F120" s="832" t="s">
        <v>1651</v>
      </c>
      <c r="G120" s="833"/>
      <c r="H120" s="834" t="n">
        <v>28.5678</v>
      </c>
      <c r="I120" s="835"/>
      <c r="J120" s="835"/>
      <c r="K120" s="836" t="n">
        <f aca="false">H120*I120/100</f>
        <v>0</v>
      </c>
      <c r="L120" s="1002" t="n">
        <v>12564</v>
      </c>
      <c r="M120" s="1003" t="n">
        <v>1</v>
      </c>
      <c r="N120" s="837" t="n">
        <f aca="false">L120*M120</f>
        <v>12564</v>
      </c>
      <c r="O120" s="943" t="n">
        <f aca="false">H120*N120</f>
        <v>358925.8392</v>
      </c>
      <c r="P120" s="838" t="s">
        <v>2197</v>
      </c>
      <c r="Q120" s="1076" t="s">
        <v>2275</v>
      </c>
      <c r="R120" s="1145" t="n">
        <v>285392.322</v>
      </c>
      <c r="S120" s="840" t="n">
        <f aca="false">R120/H120</f>
        <v>9990</v>
      </c>
      <c r="T120" s="943" t="n">
        <f aca="false">O120-R120-R121-R122</f>
        <v>0</v>
      </c>
      <c r="U120" s="842" t="n">
        <f aca="false">N120-S120-S121-S122</f>
        <v>0</v>
      </c>
    </row>
    <row r="121" customFormat="false" ht="15" hidden="false" customHeight="true" outlineLevel="0" collapsed="false">
      <c r="A121" s="882"/>
      <c r="B121" s="883"/>
      <c r="C121" s="883"/>
      <c r="D121" s="860" t="s">
        <v>7</v>
      </c>
      <c r="E121" s="860" t="s">
        <v>2192</v>
      </c>
      <c r="F121" s="832"/>
      <c r="G121" s="833"/>
      <c r="H121" s="834"/>
      <c r="I121" s="835"/>
      <c r="J121" s="835"/>
      <c r="K121" s="836"/>
      <c r="L121" s="1002"/>
      <c r="M121" s="1003"/>
      <c r="N121" s="837"/>
      <c r="O121" s="943"/>
      <c r="P121" s="868" t="s">
        <v>2197</v>
      </c>
      <c r="Q121" s="984" t="s">
        <v>2276</v>
      </c>
      <c r="R121" s="1147" t="n">
        <v>57421.278</v>
      </c>
      <c r="S121" s="866" t="n">
        <f aca="false">R121/H120</f>
        <v>2010</v>
      </c>
      <c r="T121" s="943"/>
      <c r="U121" s="842"/>
    </row>
    <row r="122" customFormat="false" ht="15" hidden="false" customHeight="true" outlineLevel="0" collapsed="false">
      <c r="A122" s="882"/>
      <c r="B122" s="883"/>
      <c r="C122" s="883"/>
      <c r="D122" s="843" t="s">
        <v>7</v>
      </c>
      <c r="E122" s="843" t="s">
        <v>2192</v>
      </c>
      <c r="F122" s="832"/>
      <c r="G122" s="833"/>
      <c r="H122" s="834"/>
      <c r="I122" s="835"/>
      <c r="J122" s="835"/>
      <c r="K122" s="836"/>
      <c r="L122" s="1002"/>
      <c r="M122" s="1003"/>
      <c r="N122" s="837"/>
      <c r="O122" s="943"/>
      <c r="P122" s="844" t="s">
        <v>2197</v>
      </c>
      <c r="Q122" s="1085" t="s">
        <v>2277</v>
      </c>
      <c r="R122" s="1136" t="n">
        <v>16112.2392</v>
      </c>
      <c r="S122" s="846" t="n">
        <f aca="false">R122/H120</f>
        <v>564</v>
      </c>
      <c r="T122" s="943"/>
      <c r="U122" s="842"/>
    </row>
    <row r="123" customFormat="false" ht="15" hidden="false" customHeight="true" outlineLevel="0" collapsed="false">
      <c r="A123" s="847" t="n">
        <v>30</v>
      </c>
      <c r="B123" s="847" t="s">
        <v>81</v>
      </c>
      <c r="C123" s="847" t="n">
        <v>2024</v>
      </c>
      <c r="D123" s="848" t="s">
        <v>7</v>
      </c>
      <c r="E123" s="848" t="s">
        <v>2192</v>
      </c>
      <c r="F123" s="848" t="s">
        <v>2199</v>
      </c>
      <c r="G123" s="849"/>
      <c r="H123" s="949" t="n">
        <v>83</v>
      </c>
      <c r="I123" s="950"/>
      <c r="J123" s="950"/>
      <c r="K123" s="852" t="n">
        <f aca="false">H123*I123/100</f>
        <v>0</v>
      </c>
      <c r="L123" s="1006" t="n">
        <v>10024</v>
      </c>
      <c r="M123" s="1007" t="n">
        <v>1</v>
      </c>
      <c r="N123" s="853" t="n">
        <f aca="false">L123*M123</f>
        <v>10024</v>
      </c>
      <c r="O123" s="1148" t="n">
        <f aca="false">H123*N123</f>
        <v>831992</v>
      </c>
      <c r="P123" s="856" t="s">
        <v>2237</v>
      </c>
      <c r="Q123" s="1083" t="s">
        <v>111</v>
      </c>
      <c r="R123" s="1144" t="n">
        <v>831992</v>
      </c>
      <c r="S123" s="891" t="n">
        <f aca="false">R123/H123</f>
        <v>10024</v>
      </c>
      <c r="T123" s="537" t="n">
        <f aca="false">O123-R123</f>
        <v>0</v>
      </c>
      <c r="U123" s="537" t="n">
        <f aca="false">N123-S123</f>
        <v>0</v>
      </c>
    </row>
    <row r="124" customFormat="false" ht="15" hidden="false" customHeight="true" outlineLevel="0" collapsed="false">
      <c r="A124" s="859" t="n">
        <v>31</v>
      </c>
      <c r="B124" s="859" t="s">
        <v>81</v>
      </c>
      <c r="C124" s="859" t="n">
        <v>2024</v>
      </c>
      <c r="D124" s="860" t="s">
        <v>7</v>
      </c>
      <c r="E124" s="860" t="s">
        <v>2192</v>
      </c>
      <c r="F124" s="860" t="s">
        <v>2199</v>
      </c>
      <c r="G124" s="861"/>
      <c r="H124" s="980" t="n">
        <v>87.7</v>
      </c>
      <c r="I124" s="981"/>
      <c r="J124" s="981"/>
      <c r="K124" s="864" t="n">
        <f aca="false">H124*I124/100</f>
        <v>0</v>
      </c>
      <c r="L124" s="982" t="n">
        <v>1423</v>
      </c>
      <c r="M124" s="983" t="n">
        <v>1</v>
      </c>
      <c r="N124" s="865" t="n">
        <f aca="false">L124*M124</f>
        <v>1423</v>
      </c>
      <c r="O124" s="1010" t="n">
        <f aca="false">H124*N124</f>
        <v>124797.1</v>
      </c>
      <c r="P124" s="868" t="s">
        <v>2200</v>
      </c>
      <c r="Q124" s="984" t="s">
        <v>112</v>
      </c>
      <c r="R124" s="1147" t="n">
        <v>124797.1</v>
      </c>
      <c r="S124" s="866" t="n">
        <f aca="false">R124/H124</f>
        <v>1423</v>
      </c>
      <c r="T124" s="985" t="n">
        <f aca="false">O124-R124</f>
        <v>0</v>
      </c>
      <c r="U124" s="543" t="n">
        <f aca="false">N124-S124</f>
        <v>0</v>
      </c>
    </row>
    <row r="125" customFormat="false" ht="15" hidden="false" customHeight="true" outlineLevel="0" collapsed="false">
      <c r="A125" s="859" t="n">
        <v>49</v>
      </c>
      <c r="B125" s="859" t="s">
        <v>2207</v>
      </c>
      <c r="C125" s="859" t="n">
        <v>2024</v>
      </c>
      <c r="D125" s="860" t="s">
        <v>7</v>
      </c>
      <c r="E125" s="860" t="s">
        <v>2192</v>
      </c>
      <c r="F125" s="860" t="s">
        <v>1652</v>
      </c>
      <c r="G125" s="861"/>
      <c r="H125" s="980" t="n">
        <v>35.797</v>
      </c>
      <c r="I125" s="981"/>
      <c r="J125" s="981"/>
      <c r="K125" s="864" t="n">
        <f aca="false">H125*I125/100</f>
        <v>0</v>
      </c>
      <c r="L125" s="982" t="n">
        <v>5263</v>
      </c>
      <c r="M125" s="983" t="n">
        <v>1</v>
      </c>
      <c r="N125" s="865" t="n">
        <f aca="false">L125*M125</f>
        <v>5263</v>
      </c>
      <c r="O125" s="1149" t="n">
        <f aca="false">H125*N125</f>
        <v>188399.611</v>
      </c>
      <c r="P125" s="868" t="s">
        <v>2197</v>
      </c>
      <c r="Q125" s="984" t="s">
        <v>2258</v>
      </c>
      <c r="R125" s="1147" t="n">
        <v>188399.611</v>
      </c>
      <c r="S125" s="866" t="n">
        <f aca="false">R125/H125</f>
        <v>5263</v>
      </c>
      <c r="T125" s="968" t="n">
        <f aca="false">O125-R125</f>
        <v>0</v>
      </c>
      <c r="U125" s="543" t="n">
        <f aca="false">N125-S125</f>
        <v>0</v>
      </c>
    </row>
    <row r="126" customFormat="false" ht="15" hidden="false" customHeight="true" outlineLevel="0" collapsed="false">
      <c r="A126" s="859" t="n">
        <v>2</v>
      </c>
      <c r="B126" s="859" t="s">
        <v>2278</v>
      </c>
      <c r="C126" s="859" t="n">
        <v>2024</v>
      </c>
      <c r="D126" s="860" t="s">
        <v>7</v>
      </c>
      <c r="E126" s="860" t="s">
        <v>2192</v>
      </c>
      <c r="F126" s="860" t="s">
        <v>1650</v>
      </c>
      <c r="G126" s="861"/>
      <c r="H126" s="980" t="n">
        <v>95.4902</v>
      </c>
      <c r="I126" s="981"/>
      <c r="J126" s="981"/>
      <c r="K126" s="864" t="n">
        <f aca="false">H126*I126/100</f>
        <v>0</v>
      </c>
      <c r="L126" s="982" t="n">
        <v>3600</v>
      </c>
      <c r="M126" s="983" t="n">
        <v>1</v>
      </c>
      <c r="N126" s="865" t="n">
        <f aca="false">L126*M126</f>
        <v>3600</v>
      </c>
      <c r="O126" s="1149" t="n">
        <f aca="false">H126*N126</f>
        <v>343764.72</v>
      </c>
      <c r="P126" s="868" t="s">
        <v>2232</v>
      </c>
      <c r="Q126" s="984" t="s">
        <v>2243</v>
      </c>
      <c r="R126" s="1147" t="n">
        <v>343764.72</v>
      </c>
      <c r="S126" s="866" t="n">
        <f aca="false">R126/H126</f>
        <v>3600</v>
      </c>
      <c r="T126" s="968" t="n">
        <f aca="false">O126-R126</f>
        <v>0</v>
      </c>
      <c r="U126" s="543" t="n">
        <f aca="false">N126-S126</f>
        <v>0</v>
      </c>
    </row>
    <row r="127" customFormat="false" ht="15" hidden="false" customHeight="true" outlineLevel="0" collapsed="false">
      <c r="A127" s="870" t="n">
        <v>66</v>
      </c>
      <c r="B127" s="870" t="s">
        <v>2207</v>
      </c>
      <c r="C127" s="870" t="n">
        <v>2024</v>
      </c>
      <c r="D127" s="871" t="s">
        <v>7</v>
      </c>
      <c r="E127" s="871" t="s">
        <v>2192</v>
      </c>
      <c r="F127" s="871" t="s">
        <v>1651</v>
      </c>
      <c r="G127" s="872"/>
      <c r="H127" s="1116" t="n">
        <v>24.2227</v>
      </c>
      <c r="I127" s="1117"/>
      <c r="J127" s="1117"/>
      <c r="K127" s="875" t="n">
        <f aca="false">H127*I127/100</f>
        <v>0</v>
      </c>
      <c r="L127" s="999" t="n">
        <v>13418</v>
      </c>
      <c r="M127" s="1000" t="n">
        <v>1</v>
      </c>
      <c r="N127" s="876" t="n">
        <f aca="false">L127*M127</f>
        <v>13418</v>
      </c>
      <c r="O127" s="1150" t="n">
        <f aca="false">H127*N127</f>
        <v>325020.1886</v>
      </c>
      <c r="P127" s="879" t="s">
        <v>2193</v>
      </c>
      <c r="Q127" s="1118" t="s">
        <v>2231</v>
      </c>
      <c r="R127" s="1151" t="n">
        <v>325020.189</v>
      </c>
      <c r="S127" s="877" t="n">
        <f aca="false">R127/H127</f>
        <v>13418.0000165134</v>
      </c>
      <c r="T127" s="1014"/>
      <c r="U127" s="553" t="n">
        <f aca="false">N127-S127</f>
        <v>-1.65134370035958E-005</v>
      </c>
    </row>
    <row r="128" customFormat="false" ht="15" hidden="false" customHeight="true" outlineLevel="0" collapsed="false">
      <c r="A128" s="882" t="s">
        <v>2279</v>
      </c>
      <c r="B128" s="883" t="s">
        <v>2207</v>
      </c>
      <c r="C128" s="883" t="n">
        <v>2024</v>
      </c>
      <c r="D128" s="831" t="s">
        <v>7</v>
      </c>
      <c r="E128" s="831" t="s">
        <v>2192</v>
      </c>
      <c r="F128" s="832" t="s">
        <v>1651</v>
      </c>
      <c r="G128" s="833"/>
      <c r="H128" s="1152" t="n">
        <v>25.2531</v>
      </c>
      <c r="I128" s="835"/>
      <c r="J128" s="835"/>
      <c r="K128" s="836" t="n">
        <f aca="false">H128*I128/100</f>
        <v>0</v>
      </c>
      <c r="L128" s="1002" t="n">
        <v>14963</v>
      </c>
      <c r="M128" s="1003" t="n">
        <v>1</v>
      </c>
      <c r="N128" s="837" t="n">
        <f aca="false">L128*M128</f>
        <v>14963</v>
      </c>
      <c r="O128" s="1017" t="n">
        <f aca="false">H128*N128</f>
        <v>377862.1353</v>
      </c>
      <c r="P128" s="838" t="s">
        <v>2197</v>
      </c>
      <c r="Q128" s="1076" t="s">
        <v>2280</v>
      </c>
      <c r="R128" s="1145" t="n">
        <v>2525.31</v>
      </c>
      <c r="S128" s="840" t="n">
        <f aca="false">R128/H128</f>
        <v>100</v>
      </c>
      <c r="T128" s="837" t="n">
        <f aca="false">O128-R128-R130-R129</f>
        <v>0.000300000014249235</v>
      </c>
      <c r="U128" s="842" t="n">
        <f aca="false">N128-S128-S130-S129</f>
        <v>1.18797297545825E-005</v>
      </c>
    </row>
    <row r="129" customFormat="false" ht="15" hidden="false" customHeight="true" outlineLevel="0" collapsed="false">
      <c r="A129" s="882"/>
      <c r="B129" s="883"/>
      <c r="C129" s="883"/>
      <c r="D129" s="860" t="s">
        <v>7</v>
      </c>
      <c r="E129" s="860" t="s">
        <v>2192</v>
      </c>
      <c r="F129" s="832"/>
      <c r="G129" s="833"/>
      <c r="H129" s="1152"/>
      <c r="I129" s="835"/>
      <c r="J129" s="835"/>
      <c r="K129" s="836"/>
      <c r="L129" s="1002"/>
      <c r="M129" s="1003"/>
      <c r="N129" s="837"/>
      <c r="O129" s="1017"/>
      <c r="P129" s="868" t="s">
        <v>2197</v>
      </c>
      <c r="Q129" s="984" t="s">
        <v>2281</v>
      </c>
      <c r="R129" s="1147" t="n">
        <v>123058.356</v>
      </c>
      <c r="S129" s="866" t="n">
        <f aca="false">R129/H128</f>
        <v>4872.99998812027</v>
      </c>
      <c r="T129" s="837"/>
      <c r="U129" s="842"/>
    </row>
    <row r="130" customFormat="false" ht="15" hidden="false" customHeight="true" outlineLevel="0" collapsed="false">
      <c r="A130" s="882"/>
      <c r="B130" s="883"/>
      <c r="C130" s="883"/>
      <c r="D130" s="843" t="s">
        <v>7</v>
      </c>
      <c r="E130" s="843" t="s">
        <v>2192</v>
      </c>
      <c r="F130" s="832"/>
      <c r="G130" s="833"/>
      <c r="H130" s="1152"/>
      <c r="I130" s="835"/>
      <c r="J130" s="835"/>
      <c r="K130" s="836"/>
      <c r="L130" s="1002"/>
      <c r="M130" s="1003"/>
      <c r="N130" s="837"/>
      <c r="O130" s="1017"/>
      <c r="P130" s="844" t="s">
        <v>2197</v>
      </c>
      <c r="Q130" s="1085" t="s">
        <v>2282</v>
      </c>
      <c r="R130" s="1136" t="n">
        <v>252278.469</v>
      </c>
      <c r="S130" s="846" t="n">
        <f aca="false">R130/H128</f>
        <v>9990</v>
      </c>
      <c r="T130" s="837"/>
      <c r="U130" s="842"/>
    </row>
    <row r="131" customFormat="false" ht="15" hidden="false" customHeight="true" outlineLevel="0" collapsed="false">
      <c r="A131" s="847" t="n">
        <v>10</v>
      </c>
      <c r="B131" s="847" t="s">
        <v>2283</v>
      </c>
      <c r="C131" s="847" t="n">
        <v>2024</v>
      </c>
      <c r="D131" s="848" t="s">
        <v>7</v>
      </c>
      <c r="E131" s="848" t="s">
        <v>2192</v>
      </c>
      <c r="F131" s="848" t="s">
        <v>2131</v>
      </c>
      <c r="G131" s="849"/>
      <c r="H131" s="1153" t="n">
        <v>60.4238</v>
      </c>
      <c r="I131" s="950"/>
      <c r="J131" s="950"/>
      <c r="K131" s="852" t="n">
        <f aca="false">H131*I131/100</f>
        <v>0</v>
      </c>
      <c r="L131" s="1006" t="n">
        <v>6000</v>
      </c>
      <c r="M131" s="1007" t="n">
        <v>1</v>
      </c>
      <c r="N131" s="537" t="n">
        <f aca="false">L131*M131</f>
        <v>6000</v>
      </c>
      <c r="O131" s="1009" t="n">
        <f aca="false">H131*N131</f>
        <v>362542.8</v>
      </c>
      <c r="P131" s="856" t="s">
        <v>2197</v>
      </c>
      <c r="Q131" s="1083" t="s">
        <v>2284</v>
      </c>
      <c r="R131" s="1144" t="n">
        <v>362542.8</v>
      </c>
      <c r="S131" s="854" t="n">
        <f aca="false">R131/H131</f>
        <v>6000</v>
      </c>
      <c r="T131" s="858" t="n">
        <f aca="false">O131-R131</f>
        <v>0</v>
      </c>
      <c r="U131" s="537" t="n">
        <f aca="false">N131-S131</f>
        <v>0</v>
      </c>
    </row>
    <row r="132" customFormat="false" ht="15" hidden="false" customHeight="true" outlineLevel="0" collapsed="false">
      <c r="A132" s="903" t="n">
        <v>74</v>
      </c>
      <c r="B132" s="903" t="s">
        <v>81</v>
      </c>
      <c r="C132" s="903" t="n">
        <v>2024</v>
      </c>
      <c r="D132" s="904" t="s">
        <v>7</v>
      </c>
      <c r="E132" s="904" t="s">
        <v>2192</v>
      </c>
      <c r="F132" s="904" t="s">
        <v>1651</v>
      </c>
      <c r="G132" s="905"/>
      <c r="H132" s="1154" t="n">
        <v>25.71</v>
      </c>
      <c r="I132" s="947"/>
      <c r="J132" s="947"/>
      <c r="K132" s="939" t="n">
        <f aca="false">H132*I132/100</f>
        <v>0</v>
      </c>
      <c r="L132" s="1022" t="n">
        <v>6000</v>
      </c>
      <c r="M132" s="1023" t="n">
        <v>1</v>
      </c>
      <c r="N132" s="942" t="n">
        <f aca="false">L132*M132</f>
        <v>6000</v>
      </c>
      <c r="O132" s="941" t="n">
        <f aca="false">H132*N132</f>
        <v>154260</v>
      </c>
      <c r="P132" s="910" t="s">
        <v>2197</v>
      </c>
      <c r="Q132" s="1068" t="s">
        <v>2285</v>
      </c>
      <c r="R132" s="1138" t="n">
        <v>154260</v>
      </c>
      <c r="S132" s="891" t="n">
        <f aca="false">R132/H132</f>
        <v>6000</v>
      </c>
      <c r="T132" s="1058" t="n">
        <f aca="false">O132-R132</f>
        <v>0</v>
      </c>
      <c r="U132" s="942" t="n">
        <f aca="false">N132-S132</f>
        <v>0</v>
      </c>
    </row>
    <row r="133" customFormat="false" ht="15" hidden="false" customHeight="true" outlineLevel="0" collapsed="false">
      <c r="A133" s="829" t="n">
        <v>75</v>
      </c>
      <c r="B133" s="830" t="s">
        <v>81</v>
      </c>
      <c r="C133" s="830" t="n">
        <v>2024</v>
      </c>
      <c r="D133" s="831" t="s">
        <v>7</v>
      </c>
      <c r="E133" s="831" t="s">
        <v>2192</v>
      </c>
      <c r="F133" s="832" t="s">
        <v>1651</v>
      </c>
      <c r="G133" s="833"/>
      <c r="H133" s="834" t="n">
        <v>25.71</v>
      </c>
      <c r="I133" s="835"/>
      <c r="J133" s="835"/>
      <c r="K133" s="836" t="n">
        <f aca="false">H133*I133/100</f>
        <v>0</v>
      </c>
      <c r="L133" s="1002" t="n">
        <v>5000</v>
      </c>
      <c r="M133" s="1003" t="n">
        <v>1</v>
      </c>
      <c r="N133" s="837" t="n">
        <f aca="false">L133*M133</f>
        <v>5000</v>
      </c>
      <c r="O133" s="1017" t="n">
        <f aca="false">H133*N133</f>
        <v>128550</v>
      </c>
      <c r="P133" s="838" t="s">
        <v>2197</v>
      </c>
      <c r="Q133" s="1076" t="s">
        <v>2285</v>
      </c>
      <c r="R133" s="1145" t="n">
        <v>102582.9</v>
      </c>
      <c r="S133" s="840" t="n">
        <f aca="false">R133/H133</f>
        <v>3990</v>
      </c>
      <c r="T133" s="841" t="n">
        <f aca="false">O133-R133-R134</f>
        <v>0</v>
      </c>
      <c r="U133" s="842" t="n">
        <f aca="false">N133-S133-S134</f>
        <v>0</v>
      </c>
    </row>
    <row r="134" customFormat="false" ht="15" hidden="false" customHeight="true" outlineLevel="0" collapsed="false">
      <c r="A134" s="829"/>
      <c r="B134" s="830"/>
      <c r="C134" s="830"/>
      <c r="D134" s="843" t="s">
        <v>7</v>
      </c>
      <c r="E134" s="843" t="s">
        <v>2192</v>
      </c>
      <c r="F134" s="832"/>
      <c r="G134" s="833"/>
      <c r="H134" s="834"/>
      <c r="I134" s="835"/>
      <c r="J134" s="835"/>
      <c r="K134" s="836"/>
      <c r="L134" s="1002"/>
      <c r="M134" s="1003"/>
      <c r="N134" s="837"/>
      <c r="O134" s="1017"/>
      <c r="P134" s="844" t="s">
        <v>2197</v>
      </c>
      <c r="Q134" s="1085" t="s">
        <v>2286</v>
      </c>
      <c r="R134" s="1136" t="n">
        <v>25967.1</v>
      </c>
      <c r="S134" s="846" t="n">
        <f aca="false">R134/H133</f>
        <v>1010</v>
      </c>
      <c r="T134" s="841"/>
      <c r="U134" s="842"/>
    </row>
    <row r="135" customFormat="false" ht="15" hidden="false" customHeight="true" outlineLevel="0" collapsed="false">
      <c r="A135" s="903" t="n">
        <v>79</v>
      </c>
      <c r="B135" s="903" t="s">
        <v>81</v>
      </c>
      <c r="C135" s="903" t="n">
        <v>2024</v>
      </c>
      <c r="D135" s="904" t="s">
        <v>7</v>
      </c>
      <c r="E135" s="904" t="s">
        <v>2192</v>
      </c>
      <c r="F135" s="904" t="s">
        <v>1651</v>
      </c>
      <c r="G135" s="905"/>
      <c r="H135" s="1154" t="n">
        <v>25.71</v>
      </c>
      <c r="I135" s="947"/>
      <c r="J135" s="947"/>
      <c r="K135" s="939" t="n">
        <f aca="false">H135*I135/100</f>
        <v>0</v>
      </c>
      <c r="L135" s="1022" t="n">
        <v>1000</v>
      </c>
      <c r="M135" s="1023" t="n">
        <v>1</v>
      </c>
      <c r="N135" s="942" t="n">
        <f aca="false">L135*M135</f>
        <v>1000</v>
      </c>
      <c r="O135" s="941" t="n">
        <f aca="false">H135*N135</f>
        <v>25710</v>
      </c>
      <c r="P135" s="910" t="s">
        <v>2197</v>
      </c>
      <c r="Q135" s="1068" t="s">
        <v>2286</v>
      </c>
      <c r="R135" s="1138" t="n">
        <v>25710</v>
      </c>
      <c r="S135" s="891" t="n">
        <f aca="false">R135/H135</f>
        <v>1000</v>
      </c>
      <c r="T135" s="1058" t="n">
        <f aca="false">O135-R135</f>
        <v>0</v>
      </c>
      <c r="U135" s="942" t="n">
        <f aca="false">N135-S135</f>
        <v>0</v>
      </c>
    </row>
    <row r="136" customFormat="false" ht="15" hidden="false" customHeight="true" outlineLevel="0" collapsed="false">
      <c r="A136" s="881" t="n">
        <v>60</v>
      </c>
      <c r="B136" s="829" t="s">
        <v>86</v>
      </c>
      <c r="C136" s="830" t="n">
        <v>2024</v>
      </c>
      <c r="D136" s="831" t="s">
        <v>7</v>
      </c>
      <c r="E136" s="831" t="s">
        <v>2192</v>
      </c>
      <c r="F136" s="832" t="s">
        <v>1650</v>
      </c>
      <c r="G136" s="833"/>
      <c r="H136" s="834" t="n">
        <v>93.4</v>
      </c>
      <c r="I136" s="835"/>
      <c r="J136" s="835"/>
      <c r="K136" s="836" t="n">
        <f aca="false">H136*I136/100</f>
        <v>0</v>
      </c>
      <c r="L136" s="1002" t="n">
        <v>8712</v>
      </c>
      <c r="M136" s="1003" t="n">
        <v>1</v>
      </c>
      <c r="N136" s="837" t="n">
        <f aca="false">L136*M136</f>
        <v>8712</v>
      </c>
      <c r="O136" s="1017" t="n">
        <f aca="false">H136*N136</f>
        <v>813700.8</v>
      </c>
      <c r="P136" s="838" t="s">
        <v>2193</v>
      </c>
      <c r="Q136" s="1076" t="s">
        <v>2287</v>
      </c>
      <c r="R136" s="1145" t="n">
        <v>280200</v>
      </c>
      <c r="S136" s="840" t="n">
        <f aca="false">R136/H136</f>
        <v>3000</v>
      </c>
      <c r="T136" s="841" t="n">
        <f aca="false">O136-R136-R137</f>
        <v>0</v>
      </c>
      <c r="U136" s="842" t="n">
        <f aca="false">N136-S136-S137</f>
        <v>0</v>
      </c>
    </row>
    <row r="137" customFormat="false" ht="15" hidden="false" customHeight="true" outlineLevel="0" collapsed="false">
      <c r="A137" s="881"/>
      <c r="B137" s="829"/>
      <c r="C137" s="830"/>
      <c r="D137" s="887" t="s">
        <v>7</v>
      </c>
      <c r="E137" s="887" t="s">
        <v>2192</v>
      </c>
      <c r="F137" s="832"/>
      <c r="G137" s="833"/>
      <c r="H137" s="834"/>
      <c r="I137" s="835"/>
      <c r="J137" s="835"/>
      <c r="K137" s="836"/>
      <c r="L137" s="1002"/>
      <c r="M137" s="1003"/>
      <c r="N137" s="837"/>
      <c r="O137" s="1017"/>
      <c r="P137" s="888" t="s">
        <v>2193</v>
      </c>
      <c r="Q137" s="1071" t="s">
        <v>2288</v>
      </c>
      <c r="R137" s="1146" t="n">
        <v>533500.8</v>
      </c>
      <c r="S137" s="846" t="n">
        <f aca="false">R137/H136</f>
        <v>5712</v>
      </c>
      <c r="T137" s="841"/>
      <c r="U137" s="842"/>
    </row>
    <row r="138" customFormat="false" ht="15" hidden="false" customHeight="true" outlineLevel="0" collapsed="false">
      <c r="A138" s="881"/>
      <c r="B138" s="1155" t="s">
        <v>86</v>
      </c>
      <c r="C138" s="1155" t="n">
        <v>2024</v>
      </c>
      <c r="D138" s="1156" t="s">
        <v>7</v>
      </c>
      <c r="E138" s="1156" t="s">
        <v>2203</v>
      </c>
      <c r="F138" s="1156"/>
      <c r="G138" s="1157"/>
      <c r="H138" s="1158" t="n">
        <v>52.3</v>
      </c>
      <c r="I138" s="1159"/>
      <c r="J138" s="1159"/>
      <c r="K138" s="1160" t="n">
        <f aca="false">H138*I138/100</f>
        <v>0</v>
      </c>
      <c r="L138" s="1161" t="n">
        <v>688</v>
      </c>
      <c r="M138" s="1162" t="n">
        <v>1</v>
      </c>
      <c r="N138" s="1163" t="n">
        <f aca="false">L138*M138</f>
        <v>688</v>
      </c>
      <c r="O138" s="1164" t="n">
        <f aca="false">H138*N138</f>
        <v>35982.4</v>
      </c>
      <c r="P138" s="1165"/>
      <c r="Q138" s="1166"/>
      <c r="R138" s="1167"/>
      <c r="S138" s="1168"/>
      <c r="T138" s="1169" t="n">
        <f aca="false">O138-R138</f>
        <v>35982.4</v>
      </c>
      <c r="U138" s="1170" t="n">
        <f aca="false">N138-S138</f>
        <v>688</v>
      </c>
    </row>
    <row r="139" customFormat="false" ht="15" hidden="false" customHeight="true" outlineLevel="0" collapsed="false">
      <c r="A139" s="881"/>
      <c r="B139" s="1155" t="s">
        <v>86</v>
      </c>
      <c r="C139" s="1155" t="n">
        <v>2024</v>
      </c>
      <c r="D139" s="1156" t="s">
        <v>7</v>
      </c>
      <c r="E139" s="1156" t="s">
        <v>2241</v>
      </c>
      <c r="F139" s="1156"/>
      <c r="G139" s="1157"/>
      <c r="H139" s="1158" t="n">
        <v>50.1</v>
      </c>
      <c r="I139" s="1159"/>
      <c r="J139" s="1159"/>
      <c r="K139" s="1160" t="n">
        <f aca="false">H139*I139/100</f>
        <v>0</v>
      </c>
      <c r="L139" s="1161" t="n">
        <v>198</v>
      </c>
      <c r="M139" s="1162" t="n">
        <v>1</v>
      </c>
      <c r="N139" s="1163" t="n">
        <f aca="false">L139*M139</f>
        <v>198</v>
      </c>
      <c r="O139" s="1164" t="n">
        <f aca="false">H139*N139</f>
        <v>9919.8</v>
      </c>
      <c r="P139" s="1165"/>
      <c r="Q139" s="1166"/>
      <c r="R139" s="1167"/>
      <c r="S139" s="1168"/>
      <c r="T139" s="1169" t="n">
        <f aca="false">O139-R139</f>
        <v>9919.8</v>
      </c>
      <c r="U139" s="1170" t="n">
        <f aca="false">N139-S139</f>
        <v>198</v>
      </c>
    </row>
    <row r="140" customFormat="false" ht="15" hidden="false" customHeight="true" outlineLevel="0" collapsed="false">
      <c r="A140" s="881"/>
      <c r="B140" s="1072" t="s">
        <v>86</v>
      </c>
      <c r="C140" s="1072" t="n">
        <v>2024</v>
      </c>
      <c r="D140" s="887" t="s">
        <v>7</v>
      </c>
      <c r="E140" s="887" t="s">
        <v>2205</v>
      </c>
      <c r="F140" s="887"/>
      <c r="G140" s="1062"/>
      <c r="H140" s="1171" t="n">
        <v>1.9</v>
      </c>
      <c r="I140" s="1086"/>
      <c r="J140" s="1086"/>
      <c r="K140" s="1064" t="n">
        <f aca="false">H140*I140/100</f>
        <v>0</v>
      </c>
      <c r="L140" s="1065" t="n">
        <v>284</v>
      </c>
      <c r="M140" s="1066" t="n">
        <v>1</v>
      </c>
      <c r="N140" s="1067" t="n">
        <f aca="false">L140*M140</f>
        <v>284</v>
      </c>
      <c r="O140" s="1172" t="n">
        <f aca="false">H140*N140</f>
        <v>539.6</v>
      </c>
      <c r="P140" s="888" t="s">
        <v>2204</v>
      </c>
      <c r="Q140" s="1071" t="n">
        <v>22112024</v>
      </c>
      <c r="R140" s="1146" t="n">
        <v>539.6</v>
      </c>
      <c r="S140" s="890" t="n">
        <f aca="false">R140/H140</f>
        <v>284</v>
      </c>
      <c r="T140" s="1069" t="n">
        <f aca="false">O140-R140</f>
        <v>0</v>
      </c>
      <c r="U140" s="1070" t="n">
        <f aca="false">N140-S140</f>
        <v>0</v>
      </c>
    </row>
    <row r="141" customFormat="false" ht="15" hidden="false" customHeight="true" outlineLevel="0" collapsed="false">
      <c r="A141" s="829" t="n">
        <v>61</v>
      </c>
      <c r="B141" s="1173" t="s">
        <v>86</v>
      </c>
      <c r="C141" s="1173" t="n">
        <v>2024</v>
      </c>
      <c r="D141" s="831" t="s">
        <v>7</v>
      </c>
      <c r="E141" s="831" t="s">
        <v>2192</v>
      </c>
      <c r="F141" s="831" t="s">
        <v>1650</v>
      </c>
      <c r="G141" s="1108"/>
      <c r="H141" s="1174" t="n">
        <v>92.9</v>
      </c>
      <c r="I141" s="1110"/>
      <c r="J141" s="1110"/>
      <c r="K141" s="1111" t="n">
        <f aca="false">H141*I141/100</f>
        <v>0</v>
      </c>
      <c r="L141" s="1112" t="n">
        <v>1212</v>
      </c>
      <c r="M141" s="1113" t="n">
        <v>1</v>
      </c>
      <c r="N141" s="1114" t="n">
        <f aca="false">L141*M141</f>
        <v>1212</v>
      </c>
      <c r="O141" s="1175" t="n">
        <f aca="false">H141*N141</f>
        <v>112594.8</v>
      </c>
      <c r="P141" s="838" t="s">
        <v>2193</v>
      </c>
      <c r="Q141" s="1076" t="s">
        <v>2288</v>
      </c>
      <c r="R141" s="1145" t="n">
        <v>112594.8</v>
      </c>
      <c r="S141" s="840" t="n">
        <f aca="false">R141/H141</f>
        <v>1212</v>
      </c>
      <c r="T141" s="1115" t="n">
        <f aca="false">O141-R141</f>
        <v>0</v>
      </c>
      <c r="U141" s="1176" t="n">
        <f aca="false">N141-S141</f>
        <v>0</v>
      </c>
    </row>
    <row r="142" customFormat="false" ht="15" hidden="false" customHeight="true" outlineLevel="0" collapsed="false">
      <c r="A142" s="829"/>
      <c r="B142" s="1155" t="s">
        <v>86</v>
      </c>
      <c r="C142" s="1155" t="n">
        <v>2024</v>
      </c>
      <c r="D142" s="1156" t="s">
        <v>7</v>
      </c>
      <c r="E142" s="1156" t="s">
        <v>2203</v>
      </c>
      <c r="F142" s="1156"/>
      <c r="G142" s="1157"/>
      <c r="H142" s="1158" t="n">
        <v>43.1</v>
      </c>
      <c r="I142" s="1159"/>
      <c r="J142" s="1159"/>
      <c r="K142" s="1160" t="n">
        <f aca="false">H142*I142/100</f>
        <v>0</v>
      </c>
      <c r="L142" s="1161" t="n">
        <v>152</v>
      </c>
      <c r="M142" s="1162" t="n">
        <v>1</v>
      </c>
      <c r="N142" s="1163" t="n">
        <f aca="false">L142*M142</f>
        <v>152</v>
      </c>
      <c r="O142" s="1164" t="n">
        <f aca="false">H142*N142</f>
        <v>6551.2</v>
      </c>
      <c r="P142" s="1165"/>
      <c r="Q142" s="1166"/>
      <c r="R142" s="1167"/>
      <c r="S142" s="1177"/>
      <c r="T142" s="1169" t="n">
        <f aca="false">O142-R142</f>
        <v>6551.2</v>
      </c>
      <c r="U142" s="1170" t="n">
        <f aca="false">N142-S142</f>
        <v>152</v>
      </c>
    </row>
    <row r="143" customFormat="false" ht="15" hidden="false" customHeight="true" outlineLevel="0" collapsed="false">
      <c r="A143" s="829"/>
      <c r="B143" s="847" t="s">
        <v>86</v>
      </c>
      <c r="C143" s="847" t="n">
        <v>2024</v>
      </c>
      <c r="D143" s="848" t="s">
        <v>7</v>
      </c>
      <c r="E143" s="848" t="s">
        <v>2241</v>
      </c>
      <c r="F143" s="848"/>
      <c r="G143" s="849"/>
      <c r="H143" s="1153" t="n">
        <v>63.4</v>
      </c>
      <c r="I143" s="950"/>
      <c r="J143" s="950"/>
      <c r="K143" s="852" t="n">
        <f aca="false">H143*I143/100</f>
        <v>0</v>
      </c>
      <c r="L143" s="1006" t="n">
        <v>46</v>
      </c>
      <c r="M143" s="1007" t="n">
        <v>1</v>
      </c>
      <c r="N143" s="537" t="n">
        <f aca="false">L143*M143</f>
        <v>46</v>
      </c>
      <c r="O143" s="1009" t="n">
        <f aca="false">H143*N143</f>
        <v>2916.4</v>
      </c>
      <c r="P143" s="856" t="s">
        <v>2195</v>
      </c>
      <c r="Q143" s="1083" t="s">
        <v>1375</v>
      </c>
      <c r="R143" s="1088" t="n">
        <v>2916.4</v>
      </c>
      <c r="S143" s="866" t="n">
        <f aca="false">R143/H143</f>
        <v>46</v>
      </c>
      <c r="T143" s="858" t="n">
        <f aca="false">O143-R143</f>
        <v>0</v>
      </c>
      <c r="U143" s="892" t="n">
        <f aca="false">N143-S143</f>
        <v>0</v>
      </c>
    </row>
    <row r="144" customFormat="false" ht="15" hidden="false" customHeight="true" outlineLevel="0" collapsed="false">
      <c r="A144" s="829"/>
      <c r="B144" s="1072" t="s">
        <v>86</v>
      </c>
      <c r="C144" s="1072" t="n">
        <v>2024</v>
      </c>
      <c r="D144" s="887" t="s">
        <v>7</v>
      </c>
      <c r="E144" s="887" t="s">
        <v>2205</v>
      </c>
      <c r="F144" s="887"/>
      <c r="G144" s="1062"/>
      <c r="H144" s="1171" t="n">
        <v>0</v>
      </c>
      <c r="I144" s="1086"/>
      <c r="J144" s="1086"/>
      <c r="K144" s="1064" t="n">
        <f aca="false">H144*I144/100</f>
        <v>0</v>
      </c>
      <c r="L144" s="1065" t="n">
        <v>31</v>
      </c>
      <c r="M144" s="1066" t="n">
        <v>1</v>
      </c>
      <c r="N144" s="1067" t="n">
        <f aca="false">L144*M144</f>
        <v>31</v>
      </c>
      <c r="O144" s="1172" t="n">
        <f aca="false">H144*N144</f>
        <v>0</v>
      </c>
      <c r="P144" s="888" t="s">
        <v>2204</v>
      </c>
      <c r="Q144" s="1071" t="n">
        <v>22112024</v>
      </c>
      <c r="R144" s="1146" t="n">
        <v>0</v>
      </c>
      <c r="S144" s="890" t="n">
        <v>31</v>
      </c>
      <c r="T144" s="1069" t="n">
        <f aca="false">O144-R144</f>
        <v>0</v>
      </c>
      <c r="U144" s="1070" t="n">
        <f aca="false">N144-S144</f>
        <v>0</v>
      </c>
    </row>
    <row r="145" customFormat="false" ht="15" hidden="false" customHeight="true" outlineLevel="0" collapsed="false">
      <c r="A145" s="903" t="n">
        <v>91</v>
      </c>
      <c r="B145" s="903" t="s">
        <v>2207</v>
      </c>
      <c r="C145" s="903" t="n">
        <v>2024</v>
      </c>
      <c r="D145" s="904" t="s">
        <v>7</v>
      </c>
      <c r="E145" s="904" t="s">
        <v>2192</v>
      </c>
      <c r="F145" s="904" t="s">
        <v>1652</v>
      </c>
      <c r="G145" s="905"/>
      <c r="H145" s="1154" t="n">
        <v>38.4573</v>
      </c>
      <c r="I145" s="947"/>
      <c r="J145" s="947"/>
      <c r="K145" s="939" t="n">
        <f aca="false">H145*I145/100</f>
        <v>0</v>
      </c>
      <c r="L145" s="1022" t="n">
        <v>7286</v>
      </c>
      <c r="M145" s="1023" t="n">
        <v>1</v>
      </c>
      <c r="N145" s="942" t="n">
        <f aca="false">L145*M145</f>
        <v>7286</v>
      </c>
      <c r="O145" s="948" t="n">
        <f aca="false">H145*N145</f>
        <v>280199.8878</v>
      </c>
      <c r="P145" s="910" t="s">
        <v>2197</v>
      </c>
      <c r="Q145" s="1068" t="s">
        <v>2289</v>
      </c>
      <c r="R145" s="1138" t="n">
        <v>280199.8878</v>
      </c>
      <c r="S145" s="891" t="n">
        <f aca="false">R145/H145</f>
        <v>7286</v>
      </c>
      <c r="T145" s="948" t="n">
        <f aca="false">O145-R145</f>
        <v>0</v>
      </c>
      <c r="U145" s="942" t="n">
        <f aca="false">N145-S145</f>
        <v>0</v>
      </c>
    </row>
    <row r="146" customFormat="false" ht="15" hidden="false" customHeight="true" outlineLevel="0" collapsed="false">
      <c r="A146" s="882" t="n">
        <v>92</v>
      </c>
      <c r="B146" s="883" t="s">
        <v>2207</v>
      </c>
      <c r="C146" s="883" t="n">
        <v>2024</v>
      </c>
      <c r="D146" s="831" t="s">
        <v>7</v>
      </c>
      <c r="E146" s="831" t="s">
        <v>2192</v>
      </c>
      <c r="F146" s="832" t="s">
        <v>1651</v>
      </c>
      <c r="G146" s="833"/>
      <c r="H146" s="834" t="n">
        <v>24.8202</v>
      </c>
      <c r="I146" s="835"/>
      <c r="J146" s="835"/>
      <c r="K146" s="836" t="n">
        <f aca="false">H146*I146/100</f>
        <v>0</v>
      </c>
      <c r="L146" s="1002" t="n">
        <v>26031</v>
      </c>
      <c r="M146" s="1003" t="n">
        <v>1</v>
      </c>
      <c r="N146" s="837" t="n">
        <f aca="false">L146*M146</f>
        <v>26031</v>
      </c>
      <c r="O146" s="943" t="n">
        <f aca="false">H146*N146</f>
        <v>646094.6262</v>
      </c>
      <c r="P146" s="838" t="s">
        <v>2197</v>
      </c>
      <c r="Q146" s="1076" t="s">
        <v>2290</v>
      </c>
      <c r="R146" s="1145" t="n">
        <v>247953.798</v>
      </c>
      <c r="S146" s="840" t="n">
        <f aca="false">R146/H146</f>
        <v>9990</v>
      </c>
      <c r="T146" s="943" t="n">
        <f aca="false">O146-R146-R147-R148</f>
        <v>0</v>
      </c>
      <c r="U146" s="842" t="n">
        <f aca="false">N146-S146-S147-S148</f>
        <v>0</v>
      </c>
    </row>
    <row r="147" customFormat="false" ht="15" hidden="false" customHeight="true" outlineLevel="0" collapsed="false">
      <c r="A147" s="882"/>
      <c r="B147" s="883"/>
      <c r="C147" s="883"/>
      <c r="D147" s="860" t="s">
        <v>7</v>
      </c>
      <c r="E147" s="860" t="s">
        <v>2192</v>
      </c>
      <c r="F147" s="832"/>
      <c r="G147" s="833"/>
      <c r="H147" s="834"/>
      <c r="I147" s="835"/>
      <c r="J147" s="835"/>
      <c r="K147" s="836"/>
      <c r="L147" s="1002"/>
      <c r="M147" s="1003"/>
      <c r="N147" s="837"/>
      <c r="O147" s="943"/>
      <c r="P147" s="868" t="s">
        <v>2197</v>
      </c>
      <c r="Q147" s="984" t="s">
        <v>2291</v>
      </c>
      <c r="R147" s="1147" t="n">
        <v>247953.798</v>
      </c>
      <c r="S147" s="1178" t="n">
        <f aca="false">R147/H146</f>
        <v>9990</v>
      </c>
      <c r="T147" s="943"/>
      <c r="U147" s="842"/>
    </row>
    <row r="148" customFormat="false" ht="15" hidden="false" customHeight="true" outlineLevel="0" collapsed="false">
      <c r="A148" s="882"/>
      <c r="B148" s="883"/>
      <c r="C148" s="883"/>
      <c r="D148" s="843" t="s">
        <v>7</v>
      </c>
      <c r="E148" s="843" t="s">
        <v>2192</v>
      </c>
      <c r="F148" s="832"/>
      <c r="G148" s="833"/>
      <c r="H148" s="834"/>
      <c r="I148" s="835"/>
      <c r="J148" s="835"/>
      <c r="K148" s="836"/>
      <c r="L148" s="1002"/>
      <c r="M148" s="1003"/>
      <c r="N148" s="837"/>
      <c r="O148" s="943"/>
      <c r="P148" s="844" t="s">
        <v>2197</v>
      </c>
      <c r="Q148" s="1085" t="s">
        <v>2292</v>
      </c>
      <c r="R148" s="1136" t="n">
        <v>150187.0302</v>
      </c>
      <c r="S148" s="1179" t="n">
        <f aca="false">R148/H146</f>
        <v>6051</v>
      </c>
      <c r="T148" s="943"/>
      <c r="U148" s="842"/>
    </row>
    <row r="149" customFormat="false" ht="15" hidden="false" customHeight="true" outlineLevel="0" collapsed="false">
      <c r="A149" s="903" t="n">
        <v>97</v>
      </c>
      <c r="B149" s="903" t="s">
        <v>81</v>
      </c>
      <c r="C149" s="903" t="n">
        <v>2024</v>
      </c>
      <c r="D149" s="904" t="s">
        <v>7</v>
      </c>
      <c r="E149" s="904" t="s">
        <v>2192</v>
      </c>
      <c r="F149" s="904" t="s">
        <v>2199</v>
      </c>
      <c r="G149" s="905"/>
      <c r="H149" s="946" t="n">
        <v>91.7</v>
      </c>
      <c r="I149" s="947"/>
      <c r="J149" s="947"/>
      <c r="K149" s="939" t="n">
        <f aca="false">H149*I149/100</f>
        <v>0</v>
      </c>
      <c r="L149" s="1022" t="n">
        <v>1000</v>
      </c>
      <c r="M149" s="1023" t="n">
        <v>1</v>
      </c>
      <c r="N149" s="942" t="n">
        <f aca="false">L149*M149</f>
        <v>1000</v>
      </c>
      <c r="O149" s="948" t="n">
        <f aca="false">H149*N149</f>
        <v>91700</v>
      </c>
      <c r="P149" s="910" t="s">
        <v>2193</v>
      </c>
      <c r="Q149" s="1068" t="s">
        <v>2293</v>
      </c>
      <c r="R149" s="1138" t="n">
        <v>91700</v>
      </c>
      <c r="S149" s="891" t="n">
        <f aca="false">R149/H149</f>
        <v>1000</v>
      </c>
      <c r="T149" s="942" t="n">
        <f aca="false">O149-R149</f>
        <v>0</v>
      </c>
      <c r="U149" s="942" t="n">
        <f aca="false">N149-S149</f>
        <v>0</v>
      </c>
    </row>
    <row r="150" customFormat="false" ht="15" hidden="false" customHeight="true" outlineLevel="0" collapsed="false">
      <c r="A150" s="829" t="n">
        <v>98</v>
      </c>
      <c r="B150" s="830" t="s">
        <v>81</v>
      </c>
      <c r="C150" s="830" t="n">
        <v>2024</v>
      </c>
      <c r="D150" s="831" t="s">
        <v>7</v>
      </c>
      <c r="E150" s="831" t="s">
        <v>2192</v>
      </c>
      <c r="F150" s="832" t="s">
        <v>2199</v>
      </c>
      <c r="G150" s="833"/>
      <c r="H150" s="834" t="n">
        <v>91.9</v>
      </c>
      <c r="I150" s="835"/>
      <c r="J150" s="835"/>
      <c r="K150" s="836" t="n">
        <f aca="false">H150*I150/100</f>
        <v>0</v>
      </c>
      <c r="L150" s="1002" t="n">
        <v>6040</v>
      </c>
      <c r="M150" s="1003" t="n">
        <v>1</v>
      </c>
      <c r="N150" s="837" t="n">
        <f aca="false">L150*M150</f>
        <v>6040</v>
      </c>
      <c r="O150" s="943" t="n">
        <f aca="false">H150*N150</f>
        <v>555076</v>
      </c>
      <c r="P150" s="838" t="s">
        <v>2193</v>
      </c>
      <c r="Q150" s="1076" t="s">
        <v>2293</v>
      </c>
      <c r="R150" s="1145" t="n">
        <v>99252</v>
      </c>
      <c r="S150" s="840" t="n">
        <f aca="false">R150/H150</f>
        <v>1080</v>
      </c>
      <c r="T150" s="1017" t="n">
        <f aca="false">O150-R150-R151</f>
        <v>0</v>
      </c>
      <c r="U150" s="842" t="n">
        <f aca="false">N150-S150-S151</f>
        <v>0</v>
      </c>
    </row>
    <row r="151" customFormat="false" ht="15" hidden="false" customHeight="true" outlineLevel="0" collapsed="false">
      <c r="A151" s="829"/>
      <c r="B151" s="830"/>
      <c r="C151" s="830"/>
      <c r="D151" s="843" t="s">
        <v>7</v>
      </c>
      <c r="E151" s="843" t="s">
        <v>2192</v>
      </c>
      <c r="F151" s="832"/>
      <c r="G151" s="833"/>
      <c r="H151" s="834"/>
      <c r="I151" s="835"/>
      <c r="J151" s="835"/>
      <c r="K151" s="836"/>
      <c r="L151" s="1002"/>
      <c r="M151" s="1003"/>
      <c r="N151" s="837"/>
      <c r="O151" s="943"/>
      <c r="P151" s="844" t="s">
        <v>2193</v>
      </c>
      <c r="Q151" s="1085" t="s">
        <v>2294</v>
      </c>
      <c r="R151" s="1136" t="n">
        <v>455824</v>
      </c>
      <c r="S151" s="890" t="n">
        <f aca="false">R151/H150</f>
        <v>4960</v>
      </c>
      <c r="T151" s="1017"/>
      <c r="U151" s="842"/>
    </row>
    <row r="152" customFormat="false" ht="15" hidden="false" customHeight="true" outlineLevel="0" collapsed="false">
      <c r="A152" s="1180" t="n">
        <v>102</v>
      </c>
      <c r="B152" s="1173" t="s">
        <v>81</v>
      </c>
      <c r="C152" s="1173" t="n">
        <v>2024</v>
      </c>
      <c r="D152" s="831" t="s">
        <v>7</v>
      </c>
      <c r="E152" s="831" t="s">
        <v>2192</v>
      </c>
      <c r="F152" s="831" t="s">
        <v>1650</v>
      </c>
      <c r="G152" s="1108"/>
      <c r="H152" s="1109" t="n">
        <v>94.6</v>
      </c>
      <c r="I152" s="1110"/>
      <c r="J152" s="1110"/>
      <c r="K152" s="1111" t="n">
        <f aca="false">H152*I152/100</f>
        <v>0</v>
      </c>
      <c r="L152" s="1112" t="n">
        <v>370</v>
      </c>
      <c r="M152" s="1113" t="n">
        <v>1</v>
      </c>
      <c r="N152" s="1114" t="n">
        <f aca="false">L152*M152</f>
        <v>370</v>
      </c>
      <c r="O152" s="1181" t="n">
        <f aca="false">H152*N152</f>
        <v>35002</v>
      </c>
      <c r="P152" s="838" t="s">
        <v>2197</v>
      </c>
      <c r="Q152" s="1076" t="s">
        <v>2295</v>
      </c>
      <c r="R152" s="1145" t="n">
        <v>35002</v>
      </c>
      <c r="S152" s="886" t="n">
        <f aca="false">R152/H152</f>
        <v>370</v>
      </c>
      <c r="T152" s="1036" t="n">
        <f aca="false">O152-R152</f>
        <v>0</v>
      </c>
      <c r="U152" s="1037" t="n">
        <f aca="false">N152-S152</f>
        <v>0</v>
      </c>
    </row>
    <row r="153" customFormat="false" ht="15" hidden="false" customHeight="true" outlineLevel="0" collapsed="false">
      <c r="A153" s="1182" t="n">
        <v>113</v>
      </c>
      <c r="B153" s="893" t="s">
        <v>2207</v>
      </c>
      <c r="C153" s="893" t="n">
        <v>2024</v>
      </c>
      <c r="D153" s="843" t="s">
        <v>7</v>
      </c>
      <c r="E153" s="843" t="s">
        <v>2192</v>
      </c>
      <c r="F153" s="843" t="s">
        <v>1652</v>
      </c>
      <c r="G153" s="894"/>
      <c r="H153" s="1103" t="n">
        <v>37.8122</v>
      </c>
      <c r="I153" s="1104"/>
      <c r="J153" s="1104"/>
      <c r="K153" s="897" t="n">
        <f aca="false">H153*I153/100</f>
        <v>0</v>
      </c>
      <c r="L153" s="1105" t="n">
        <v>5050</v>
      </c>
      <c r="M153" s="1106" t="n">
        <v>1</v>
      </c>
      <c r="N153" s="589" t="n">
        <f aca="false">L153*M153</f>
        <v>5050</v>
      </c>
      <c r="O153" s="1183" t="n">
        <f aca="false">H153*N153</f>
        <v>190951.61</v>
      </c>
      <c r="P153" s="844" t="s">
        <v>2197</v>
      </c>
      <c r="Q153" s="1085" t="s">
        <v>2296</v>
      </c>
      <c r="R153" s="1136" t="n">
        <v>190951.61</v>
      </c>
      <c r="S153" s="846" t="n">
        <f aca="false">R153/H153</f>
        <v>5050</v>
      </c>
      <c r="T153" s="1184" t="n">
        <f aca="false">O153-R153</f>
        <v>0</v>
      </c>
      <c r="U153" s="902" t="n">
        <f aca="false">N153-S153</f>
        <v>0</v>
      </c>
    </row>
    <row r="154" customFormat="false" ht="15" hidden="false" customHeight="true" outlineLevel="0" collapsed="false">
      <c r="A154" s="829" t="n">
        <v>114</v>
      </c>
      <c r="B154" s="830" t="s">
        <v>2207</v>
      </c>
      <c r="C154" s="830" t="n">
        <v>2024</v>
      </c>
      <c r="D154" s="831" t="s">
        <v>7</v>
      </c>
      <c r="E154" s="831" t="s">
        <v>2192</v>
      </c>
      <c r="F154" s="832" t="s">
        <v>1651</v>
      </c>
      <c r="G154" s="833"/>
      <c r="H154" s="834" t="n">
        <v>25.2688</v>
      </c>
      <c r="I154" s="835"/>
      <c r="J154" s="835"/>
      <c r="K154" s="836" t="n">
        <f aca="false">H154*I154/100</f>
        <v>0</v>
      </c>
      <c r="L154" s="1002" t="n">
        <v>18039</v>
      </c>
      <c r="M154" s="1003" t="n">
        <v>1</v>
      </c>
      <c r="N154" s="837" t="n">
        <f aca="false">L154*M154</f>
        <v>18039</v>
      </c>
      <c r="O154" s="943" t="n">
        <f aca="false">H154*N154</f>
        <v>455823.8832</v>
      </c>
      <c r="P154" s="838" t="s">
        <v>2197</v>
      </c>
      <c r="Q154" s="1076" t="s">
        <v>2297</v>
      </c>
      <c r="R154" s="1145" t="n">
        <v>252435.312</v>
      </c>
      <c r="S154" s="840" t="n">
        <f aca="false">R154/H154</f>
        <v>9990</v>
      </c>
      <c r="T154" s="837" t="n">
        <f aca="false">O154-R154-R155</f>
        <v>0.00119999996968545</v>
      </c>
      <c r="U154" s="842" t="n">
        <f aca="false">N154-S154-S155</f>
        <v>4.74893931823317E-005</v>
      </c>
    </row>
    <row r="155" customFormat="false" ht="15" hidden="false" customHeight="true" outlineLevel="0" collapsed="false">
      <c r="A155" s="829"/>
      <c r="B155" s="830"/>
      <c r="C155" s="830"/>
      <c r="D155" s="843" t="s">
        <v>7</v>
      </c>
      <c r="E155" s="843" t="s">
        <v>2192</v>
      </c>
      <c r="F155" s="832"/>
      <c r="G155" s="833"/>
      <c r="H155" s="834"/>
      <c r="I155" s="835"/>
      <c r="J155" s="835"/>
      <c r="K155" s="836"/>
      <c r="L155" s="1002"/>
      <c r="M155" s="1003"/>
      <c r="N155" s="837"/>
      <c r="O155" s="943"/>
      <c r="P155" s="844" t="s">
        <v>2197</v>
      </c>
      <c r="Q155" s="1085" t="s">
        <v>2298</v>
      </c>
      <c r="R155" s="1136" t="n">
        <v>203388.57</v>
      </c>
      <c r="S155" s="846" t="n">
        <f aca="false">R155/H154</f>
        <v>8048.99995251061</v>
      </c>
      <c r="T155" s="837"/>
      <c r="U155" s="842"/>
    </row>
    <row r="156" customFormat="false" ht="15" hidden="false" customHeight="true" outlineLevel="0" collapsed="false">
      <c r="A156" s="847" t="n">
        <v>123</v>
      </c>
      <c r="B156" s="903" t="s">
        <v>81</v>
      </c>
      <c r="C156" s="903" t="n">
        <v>2024</v>
      </c>
      <c r="D156" s="904" t="s">
        <v>7</v>
      </c>
      <c r="E156" s="904" t="s">
        <v>2192</v>
      </c>
      <c r="F156" s="904" t="s">
        <v>1650</v>
      </c>
      <c r="G156" s="905"/>
      <c r="H156" s="946" t="n">
        <v>91.9</v>
      </c>
      <c r="I156" s="947"/>
      <c r="J156" s="947"/>
      <c r="K156" s="939" t="n">
        <f aca="false">H156*I156/100</f>
        <v>0</v>
      </c>
      <c r="L156" s="1022" t="n">
        <v>10140</v>
      </c>
      <c r="M156" s="1023" t="n">
        <v>1</v>
      </c>
      <c r="N156" s="942" t="n">
        <f aca="false">L156*M156</f>
        <v>10140</v>
      </c>
      <c r="O156" s="948" t="n">
        <f aca="false">H156*N156</f>
        <v>931866</v>
      </c>
      <c r="P156" s="910" t="s">
        <v>2200</v>
      </c>
      <c r="Q156" s="1068" t="s">
        <v>2299</v>
      </c>
      <c r="R156" s="1138" t="n">
        <v>931866</v>
      </c>
      <c r="S156" s="891" t="n">
        <f aca="false">R156/H156</f>
        <v>10140</v>
      </c>
      <c r="T156" s="942" t="n">
        <f aca="false">O156-R156</f>
        <v>0</v>
      </c>
      <c r="U156" s="942" t="n">
        <f aca="false">N156-S156</f>
        <v>0</v>
      </c>
    </row>
    <row r="157" customFormat="false" ht="15" hidden="false" customHeight="true" outlineLevel="0" collapsed="false">
      <c r="A157" s="1185" t="n">
        <v>94</v>
      </c>
      <c r="B157" s="1186" t="s">
        <v>86</v>
      </c>
      <c r="C157" s="1187" t="n">
        <v>2024</v>
      </c>
      <c r="D157" s="915" t="s">
        <v>7</v>
      </c>
      <c r="E157" s="915" t="s">
        <v>2192</v>
      </c>
      <c r="F157" s="916" t="s">
        <v>1650</v>
      </c>
      <c r="G157" s="917"/>
      <c r="H157" s="1188" t="n">
        <v>91.9</v>
      </c>
      <c r="I157" s="1189"/>
      <c r="J157" s="919"/>
      <c r="K157" s="920" t="n">
        <f aca="false">H157*I157/100</f>
        <v>0</v>
      </c>
      <c r="L157" s="1190" t="n">
        <v>10010</v>
      </c>
      <c r="M157" s="1191" t="n">
        <v>1</v>
      </c>
      <c r="N157" s="921" t="n">
        <f aca="false">L157*M157</f>
        <v>10010</v>
      </c>
      <c r="O157" s="1192" t="n">
        <f aca="false">H157*N157</f>
        <v>919919</v>
      </c>
      <c r="P157" s="1193" t="s">
        <v>2193</v>
      </c>
      <c r="Q157" s="1194" t="s">
        <v>2300</v>
      </c>
      <c r="R157" s="1195" t="n">
        <v>552319</v>
      </c>
      <c r="S157" s="1196" t="n">
        <f aca="false">R157/H157</f>
        <v>6010</v>
      </c>
      <c r="T157" s="921" t="n">
        <f aca="false">O157-R157-R158</f>
        <v>362086</v>
      </c>
      <c r="U157" s="928" t="n">
        <f aca="false">N157-S157-S158</f>
        <v>3940</v>
      </c>
    </row>
    <row r="158" customFormat="false" ht="15" hidden="false" customHeight="true" outlineLevel="0" collapsed="false">
      <c r="A158" s="1185"/>
      <c r="B158" s="1186"/>
      <c r="C158" s="1187"/>
      <c r="D158" s="934" t="s">
        <v>7</v>
      </c>
      <c r="E158" s="934" t="s">
        <v>2192</v>
      </c>
      <c r="F158" s="916"/>
      <c r="G158" s="917"/>
      <c r="H158" s="1188"/>
      <c r="I158" s="1197"/>
      <c r="J158" s="919"/>
      <c r="K158" s="920"/>
      <c r="L158" s="1190"/>
      <c r="M158" s="1191"/>
      <c r="N158" s="921"/>
      <c r="O158" s="1192"/>
      <c r="P158" s="935" t="s">
        <v>2197</v>
      </c>
      <c r="Q158" s="1198" t="s">
        <v>2301</v>
      </c>
      <c r="R158" s="1199" t="n">
        <v>5514</v>
      </c>
      <c r="S158" s="938" t="n">
        <f aca="false">R158/H157</f>
        <v>60</v>
      </c>
      <c r="T158" s="921"/>
      <c r="U158" s="928"/>
    </row>
    <row r="159" customFormat="false" ht="15" hidden="false" customHeight="true" outlineLevel="0" collapsed="false">
      <c r="A159" s="1185"/>
      <c r="B159" s="903" t="s">
        <v>86</v>
      </c>
      <c r="C159" s="903" t="n">
        <v>2024</v>
      </c>
      <c r="D159" s="904" t="s">
        <v>7</v>
      </c>
      <c r="E159" s="904" t="s">
        <v>2205</v>
      </c>
      <c r="F159" s="904"/>
      <c r="G159" s="905"/>
      <c r="H159" s="946" t="n">
        <v>0</v>
      </c>
      <c r="I159" s="947"/>
      <c r="J159" s="947"/>
      <c r="K159" s="939" t="n">
        <f aca="false">H159*I159/100</f>
        <v>0</v>
      </c>
      <c r="L159" s="1022" t="n">
        <v>147</v>
      </c>
      <c r="M159" s="1023" t="n">
        <v>1</v>
      </c>
      <c r="N159" s="942" t="n">
        <f aca="false">L159*M159</f>
        <v>147</v>
      </c>
      <c r="O159" s="948" t="n">
        <f aca="false">H159*N159</f>
        <v>0</v>
      </c>
      <c r="P159" s="910" t="s">
        <v>2204</v>
      </c>
      <c r="Q159" s="1068" t="n">
        <v>22112024</v>
      </c>
      <c r="R159" s="1138" t="n">
        <v>0</v>
      </c>
      <c r="S159" s="854" t="n">
        <v>147</v>
      </c>
      <c r="T159" s="942" t="n">
        <f aca="false">O159-R159</f>
        <v>0</v>
      </c>
      <c r="U159" s="942" t="n">
        <f aca="false">N159-S159</f>
        <v>0</v>
      </c>
    </row>
    <row r="160" customFormat="false" ht="15" hidden="false" customHeight="true" outlineLevel="0" collapsed="false">
      <c r="A160" s="882" t="n">
        <v>134</v>
      </c>
      <c r="B160" s="883" t="s">
        <v>2207</v>
      </c>
      <c r="C160" s="883" t="n">
        <v>2024</v>
      </c>
      <c r="D160" s="831" t="s">
        <v>7</v>
      </c>
      <c r="E160" s="831" t="s">
        <v>2192</v>
      </c>
      <c r="F160" s="832" t="s">
        <v>1651</v>
      </c>
      <c r="G160" s="833"/>
      <c r="H160" s="834" t="n">
        <v>25.9743</v>
      </c>
      <c r="I160" s="835"/>
      <c r="J160" s="835"/>
      <c r="K160" s="836" t="n">
        <f aca="false">H160*I160/100</f>
        <v>0</v>
      </c>
      <c r="L160" s="1002" t="n">
        <v>21264</v>
      </c>
      <c r="M160" s="1003" t="n">
        <v>1</v>
      </c>
      <c r="N160" s="837" t="n">
        <f aca="false">L160*M160</f>
        <v>21264</v>
      </c>
      <c r="O160" s="943" t="n">
        <f aca="false">H160*N160</f>
        <v>552317.5152</v>
      </c>
      <c r="P160" s="838" t="s">
        <v>2197</v>
      </c>
      <c r="Q160" s="1076" t="s">
        <v>2302</v>
      </c>
      <c r="R160" s="1145" t="n">
        <v>259483.257</v>
      </c>
      <c r="S160" s="840" t="n">
        <f aca="false">R160/H160</f>
        <v>9990</v>
      </c>
      <c r="T160" s="943" t="n">
        <f aca="false">O160-R160-R161-R162</f>
        <v>0</v>
      </c>
      <c r="U160" s="842" t="n">
        <f aca="false">N160-S160-S161-S162</f>
        <v>0</v>
      </c>
    </row>
    <row r="161" customFormat="false" ht="15" hidden="false" customHeight="true" outlineLevel="0" collapsed="false">
      <c r="A161" s="882"/>
      <c r="B161" s="883"/>
      <c r="C161" s="883"/>
      <c r="D161" s="848" t="s">
        <v>7</v>
      </c>
      <c r="E161" s="848" t="s">
        <v>2192</v>
      </c>
      <c r="F161" s="832"/>
      <c r="G161" s="833"/>
      <c r="H161" s="834"/>
      <c r="I161" s="835"/>
      <c r="J161" s="835"/>
      <c r="K161" s="836"/>
      <c r="L161" s="1002"/>
      <c r="M161" s="1003"/>
      <c r="N161" s="837"/>
      <c r="O161" s="943"/>
      <c r="P161" s="856" t="s">
        <v>2197</v>
      </c>
      <c r="Q161" s="1083" t="s">
        <v>2303</v>
      </c>
      <c r="R161" s="1144" t="n">
        <v>228314.097</v>
      </c>
      <c r="S161" s="854" t="n">
        <f aca="false">R161/H160</f>
        <v>8790</v>
      </c>
      <c r="T161" s="943"/>
      <c r="U161" s="842"/>
    </row>
    <row r="162" customFormat="false" ht="15" hidden="false" customHeight="true" outlineLevel="0" collapsed="false">
      <c r="A162" s="882"/>
      <c r="B162" s="883"/>
      <c r="C162" s="883"/>
      <c r="D162" s="887" t="s">
        <v>7</v>
      </c>
      <c r="E162" s="887" t="s">
        <v>2192</v>
      </c>
      <c r="F162" s="832"/>
      <c r="G162" s="833"/>
      <c r="H162" s="834"/>
      <c r="I162" s="835"/>
      <c r="J162" s="835"/>
      <c r="K162" s="836"/>
      <c r="L162" s="1002"/>
      <c r="M162" s="1003"/>
      <c r="N162" s="837"/>
      <c r="O162" s="943"/>
      <c r="P162" s="888" t="s">
        <v>2197</v>
      </c>
      <c r="Q162" s="1071" t="s">
        <v>2304</v>
      </c>
      <c r="R162" s="1146" t="n">
        <v>64520.1612</v>
      </c>
      <c r="S162" s="890" t="n">
        <f aca="false">R162/H160</f>
        <v>2484</v>
      </c>
      <c r="T162" s="943"/>
      <c r="U162" s="842"/>
    </row>
    <row r="163" customFormat="false" ht="15" hidden="false" customHeight="true" outlineLevel="0" collapsed="false">
      <c r="A163" s="954" t="n">
        <v>520</v>
      </c>
      <c r="B163" s="954" t="s">
        <v>2191</v>
      </c>
      <c r="C163" s="954" t="n">
        <v>2023</v>
      </c>
      <c r="D163" s="955" t="s">
        <v>7</v>
      </c>
      <c r="E163" s="955" t="s">
        <v>2192</v>
      </c>
      <c r="F163" s="955" t="s">
        <v>1651</v>
      </c>
      <c r="G163" s="956"/>
      <c r="H163" s="957" t="n">
        <v>29.7</v>
      </c>
      <c r="I163" s="958"/>
      <c r="J163" s="958"/>
      <c r="K163" s="959" t="n">
        <f aca="false">H163*I163/100</f>
        <v>0</v>
      </c>
      <c r="L163" s="1200" t="n">
        <v>33</v>
      </c>
      <c r="M163" s="1201" t="n">
        <v>15</v>
      </c>
      <c r="N163" s="961" t="n">
        <f aca="false">L163*M163</f>
        <v>495</v>
      </c>
      <c r="O163" s="1202" t="n">
        <f aca="false">H163*N163</f>
        <v>14701.5</v>
      </c>
      <c r="P163" s="963"/>
      <c r="Q163" s="1203"/>
      <c r="R163" s="1204"/>
      <c r="S163" s="1205"/>
      <c r="T163" s="1206" t="n">
        <f aca="false">O163-R163</f>
        <v>14701.5</v>
      </c>
      <c r="U163" s="960" t="n">
        <f aca="false">N163-S163</f>
        <v>495</v>
      </c>
    </row>
    <row r="164" customFormat="false" ht="15" hidden="false" customHeight="true" outlineLevel="0" collapsed="false">
      <c r="A164" s="954" t="n">
        <v>482</v>
      </c>
      <c r="B164" s="954" t="s">
        <v>2191</v>
      </c>
      <c r="C164" s="954" t="n">
        <v>2024</v>
      </c>
      <c r="D164" s="955" t="s">
        <v>7</v>
      </c>
      <c r="E164" s="955" t="s">
        <v>2192</v>
      </c>
      <c r="F164" s="955" t="s">
        <v>1651</v>
      </c>
      <c r="G164" s="956"/>
      <c r="H164" s="957" t="n">
        <v>25.4123</v>
      </c>
      <c r="I164" s="958"/>
      <c r="J164" s="958"/>
      <c r="K164" s="959" t="n">
        <f aca="false">H164*I164/100</f>
        <v>0</v>
      </c>
      <c r="L164" s="1200" t="n">
        <v>41</v>
      </c>
      <c r="M164" s="1201" t="n">
        <v>15</v>
      </c>
      <c r="N164" s="961" t="n">
        <f aca="false">L164*M164</f>
        <v>615</v>
      </c>
      <c r="O164" s="962" t="n">
        <f aca="false">H164*N164</f>
        <v>15628.5645</v>
      </c>
      <c r="P164" s="963"/>
      <c r="Q164" s="1203"/>
      <c r="R164" s="1204"/>
      <c r="S164" s="1205"/>
      <c r="T164" s="967" t="n">
        <f aca="false">O164-R164</f>
        <v>15628.5645</v>
      </c>
      <c r="U164" s="960" t="n">
        <f aca="false">N164-S164</f>
        <v>615</v>
      </c>
    </row>
    <row r="165" customFormat="false" ht="15" hidden="false" customHeight="true" outlineLevel="0" collapsed="false">
      <c r="A165" s="954" t="n">
        <v>562</v>
      </c>
      <c r="B165" s="954" t="s">
        <v>2191</v>
      </c>
      <c r="C165" s="954" t="n">
        <v>2024</v>
      </c>
      <c r="D165" s="955" t="s">
        <v>7</v>
      </c>
      <c r="E165" s="955" t="s">
        <v>2192</v>
      </c>
      <c r="F165" s="955" t="s">
        <v>1651</v>
      </c>
      <c r="G165" s="956"/>
      <c r="H165" s="957" t="n">
        <v>25.2688</v>
      </c>
      <c r="I165" s="958"/>
      <c r="J165" s="958"/>
      <c r="K165" s="959" t="n">
        <f aca="false">H165*I165/100</f>
        <v>0</v>
      </c>
      <c r="L165" s="1200" t="n">
        <v>33</v>
      </c>
      <c r="M165" s="1201" t="n">
        <v>15</v>
      </c>
      <c r="N165" s="961" t="n">
        <f aca="false">L165*M165</f>
        <v>495</v>
      </c>
      <c r="O165" s="962" t="n">
        <f aca="false">H165*N165</f>
        <v>12508.056</v>
      </c>
      <c r="P165" s="963"/>
      <c r="Q165" s="1203"/>
      <c r="R165" s="1204"/>
      <c r="S165" s="1205"/>
      <c r="T165" s="967" t="n">
        <f aca="false">O165-R165</f>
        <v>12508.056</v>
      </c>
      <c r="U165" s="960" t="n">
        <f aca="false">N165-S165</f>
        <v>495</v>
      </c>
    </row>
    <row r="166" customFormat="false" ht="15" hidden="false" customHeight="true" outlineLevel="0" collapsed="false">
      <c r="A166" s="859"/>
      <c r="B166" s="859"/>
      <c r="C166" s="859"/>
      <c r="D166" s="860"/>
      <c r="E166" s="860"/>
      <c r="F166" s="860"/>
      <c r="G166" s="861"/>
      <c r="H166" s="980"/>
      <c r="I166" s="981"/>
      <c r="J166" s="981"/>
      <c r="K166" s="864"/>
      <c r="L166" s="982"/>
      <c r="M166" s="983"/>
      <c r="N166" s="865"/>
      <c r="O166" s="865"/>
      <c r="P166" s="868"/>
      <c r="Q166" s="984"/>
      <c r="R166" s="866"/>
      <c r="S166" s="866"/>
      <c r="T166" s="543"/>
      <c r="U166" s="543"/>
    </row>
    <row r="167" customFormat="false" ht="15" hidden="false" customHeight="true" outlineLevel="0" collapsed="false">
      <c r="A167" s="1207" t="n">
        <v>97</v>
      </c>
      <c r="B167" s="1207" t="s">
        <v>86</v>
      </c>
      <c r="C167" s="1207" t="n">
        <v>2022</v>
      </c>
      <c r="D167" s="1208" t="s">
        <v>23</v>
      </c>
      <c r="E167" s="1208" t="s">
        <v>2242</v>
      </c>
      <c r="F167" s="1208"/>
      <c r="G167" s="1209"/>
      <c r="H167" s="1210" t="n">
        <v>1</v>
      </c>
      <c r="I167" s="1211"/>
      <c r="J167" s="1211"/>
      <c r="K167" s="1212" t="n">
        <f aca="false">H167*I167/100</f>
        <v>0</v>
      </c>
      <c r="L167" s="1213" t="n">
        <v>848</v>
      </c>
      <c r="M167" s="1214" t="n">
        <v>1</v>
      </c>
      <c r="N167" s="1215" t="n">
        <f aca="false">L167*M167</f>
        <v>848</v>
      </c>
      <c r="O167" s="1215" t="n">
        <f aca="false">H167*N167</f>
        <v>848</v>
      </c>
      <c r="P167" s="1216"/>
      <c r="Q167" s="1217"/>
      <c r="R167" s="1218"/>
      <c r="S167" s="1218"/>
      <c r="T167" s="1219" t="n">
        <f aca="false">O167-R167</f>
        <v>848</v>
      </c>
      <c r="U167" s="1219" t="n">
        <f aca="false">N167-S167</f>
        <v>848</v>
      </c>
    </row>
    <row r="168" customFormat="false" ht="15" hidden="false" customHeight="true" outlineLevel="0" collapsed="false">
      <c r="A168" s="870" t="n">
        <v>106</v>
      </c>
      <c r="B168" s="870" t="s">
        <v>86</v>
      </c>
      <c r="C168" s="870" t="n">
        <v>2023</v>
      </c>
      <c r="D168" s="871" t="s">
        <v>23</v>
      </c>
      <c r="E168" s="871" t="s">
        <v>2203</v>
      </c>
      <c r="F168" s="871"/>
      <c r="G168" s="872"/>
      <c r="H168" s="1116" t="n">
        <v>1</v>
      </c>
      <c r="I168" s="1117"/>
      <c r="J168" s="1117"/>
      <c r="K168" s="875" t="n">
        <f aca="false">H168*I168/100</f>
        <v>0</v>
      </c>
      <c r="L168" s="999" t="n">
        <v>255</v>
      </c>
      <c r="M168" s="1000" t="n">
        <v>1</v>
      </c>
      <c r="N168" s="876" t="n">
        <f aca="false">L168*M168</f>
        <v>255</v>
      </c>
      <c r="O168" s="876" t="n">
        <f aca="false">H168*N168</f>
        <v>255</v>
      </c>
      <c r="P168" s="879" t="s">
        <v>2204</v>
      </c>
      <c r="Q168" s="1118" t="n">
        <v>15052024</v>
      </c>
      <c r="R168" s="877" t="n">
        <v>255</v>
      </c>
      <c r="S168" s="854" t="n">
        <f aca="false">R168/H168</f>
        <v>255</v>
      </c>
      <c r="T168" s="553" t="n">
        <f aca="false">O168-R168</f>
        <v>0</v>
      </c>
      <c r="U168" s="553" t="n">
        <f aca="false">N168-S168</f>
        <v>0</v>
      </c>
    </row>
    <row r="169" customFormat="false" ht="15" hidden="false" customHeight="true" outlineLevel="0" collapsed="false">
      <c r="A169" s="1220" t="s">
        <v>2305</v>
      </c>
      <c r="B169" s="1221" t="s">
        <v>86</v>
      </c>
      <c r="C169" s="1221" t="n">
        <v>2023</v>
      </c>
      <c r="D169" s="1041" t="s">
        <v>23</v>
      </c>
      <c r="E169" s="1041" t="s">
        <v>2205</v>
      </c>
      <c r="F169" s="1041"/>
      <c r="G169" s="1222"/>
      <c r="H169" s="1223" t="n">
        <v>1</v>
      </c>
      <c r="I169" s="1224"/>
      <c r="J169" s="1224"/>
      <c r="K169" s="1046" t="n">
        <f aca="false">H169*I169/100</f>
        <v>0</v>
      </c>
      <c r="L169" s="1225" t="n">
        <v>160</v>
      </c>
      <c r="M169" s="1226" t="n">
        <v>1</v>
      </c>
      <c r="N169" s="1227" t="n">
        <f aca="false">L169*M169</f>
        <v>160</v>
      </c>
      <c r="O169" s="1227" t="n">
        <f aca="false">H169*N169</f>
        <v>160</v>
      </c>
      <c r="P169" s="1050"/>
      <c r="Q169" s="1228"/>
      <c r="R169" s="1053"/>
      <c r="S169" s="1053"/>
      <c r="T169" s="1049" t="n">
        <f aca="false">O169-R169</f>
        <v>160</v>
      </c>
      <c r="U169" s="1054" t="n">
        <f aca="false">N169-S169</f>
        <v>160</v>
      </c>
    </row>
    <row r="170" customFormat="false" ht="15" hidden="false" customHeight="true" outlineLevel="0" collapsed="false">
      <c r="A170" s="1220"/>
      <c r="B170" s="1229" t="s">
        <v>86</v>
      </c>
      <c r="C170" s="1229" t="n">
        <v>2023</v>
      </c>
      <c r="D170" s="1230" t="s">
        <v>23</v>
      </c>
      <c r="E170" s="1230" t="s">
        <v>2205</v>
      </c>
      <c r="F170" s="1230" t="s">
        <v>2306</v>
      </c>
      <c r="G170" s="1231"/>
      <c r="H170" s="1232" t="n">
        <v>1</v>
      </c>
      <c r="I170" s="1233"/>
      <c r="J170" s="1233"/>
      <c r="K170" s="1212" t="n">
        <f aca="false">H170*I170/100</f>
        <v>0</v>
      </c>
      <c r="L170" s="1234" t="n">
        <v>252</v>
      </c>
      <c r="M170" s="1235" t="n">
        <v>1</v>
      </c>
      <c r="N170" s="1215" t="n">
        <f aca="false">L170*M170</f>
        <v>252</v>
      </c>
      <c r="O170" s="1215" t="n">
        <f aca="false">H170*N170</f>
        <v>252</v>
      </c>
      <c r="P170" s="1236"/>
      <c r="Q170" s="1237"/>
      <c r="R170" s="1177"/>
      <c r="S170" s="1177"/>
      <c r="T170" s="1219" t="n">
        <f aca="false">O170-R170</f>
        <v>252</v>
      </c>
      <c r="U170" s="1238" t="n">
        <f aca="false">N170-S170</f>
        <v>252</v>
      </c>
    </row>
    <row r="171" customFormat="false" ht="15" hidden="false" customHeight="true" outlineLevel="0" collapsed="false">
      <c r="A171" s="1220"/>
      <c r="B171" s="1239" t="s">
        <v>86</v>
      </c>
      <c r="C171" s="1239" t="n">
        <v>2023</v>
      </c>
      <c r="D171" s="1240" t="s">
        <v>23</v>
      </c>
      <c r="E171" s="1240" t="s">
        <v>2242</v>
      </c>
      <c r="F171" s="1240"/>
      <c r="G171" s="1241"/>
      <c r="H171" s="1242" t="n">
        <v>1</v>
      </c>
      <c r="I171" s="1243"/>
      <c r="J171" s="1243"/>
      <c r="K171" s="1244" t="n">
        <f aca="false">H171*I171/100</f>
        <v>0</v>
      </c>
      <c r="L171" s="1245" t="n">
        <v>232</v>
      </c>
      <c r="M171" s="1246" t="n">
        <v>1</v>
      </c>
      <c r="N171" s="1247" t="n">
        <f aca="false">L171*M171</f>
        <v>232</v>
      </c>
      <c r="O171" s="1247" t="n">
        <f aca="false">H171*N171</f>
        <v>232</v>
      </c>
      <c r="P171" s="1248"/>
      <c r="Q171" s="1249"/>
      <c r="R171" s="1250"/>
      <c r="S171" s="1250"/>
      <c r="T171" s="1251" t="n">
        <f aca="false">O171-R171</f>
        <v>232</v>
      </c>
      <c r="U171" s="1252" t="n">
        <f aca="false">N171-S171</f>
        <v>232</v>
      </c>
    </row>
    <row r="172" customFormat="false" ht="15" hidden="false" customHeight="true" outlineLevel="0" collapsed="false">
      <c r="A172" s="1253" t="s">
        <v>2307</v>
      </c>
      <c r="B172" s="1221" t="s">
        <v>86</v>
      </c>
      <c r="C172" s="1221" t="n">
        <v>2023</v>
      </c>
      <c r="D172" s="1041" t="s">
        <v>23</v>
      </c>
      <c r="E172" s="1041" t="s">
        <v>2203</v>
      </c>
      <c r="F172" s="1041"/>
      <c r="G172" s="1222"/>
      <c r="H172" s="1223" t="n">
        <v>1</v>
      </c>
      <c r="I172" s="1224"/>
      <c r="J172" s="1224"/>
      <c r="K172" s="1254" t="n">
        <f aca="false">H172*I172/100</f>
        <v>0</v>
      </c>
      <c r="L172" s="1225" t="n">
        <v>508</v>
      </c>
      <c r="M172" s="1226" t="n">
        <v>1</v>
      </c>
      <c r="N172" s="1255" t="n">
        <f aca="false">L172*M172</f>
        <v>508</v>
      </c>
      <c r="O172" s="1255" t="n">
        <f aca="false">H172*N172</f>
        <v>508</v>
      </c>
      <c r="P172" s="1050"/>
      <c r="Q172" s="1228"/>
      <c r="R172" s="1053"/>
      <c r="S172" s="1053"/>
      <c r="T172" s="1256" t="n">
        <f aca="false">O172-R172</f>
        <v>508</v>
      </c>
      <c r="U172" s="1257" t="n">
        <f aca="false">N172-S172</f>
        <v>508</v>
      </c>
    </row>
    <row r="173" customFormat="false" ht="15" hidden="false" customHeight="true" outlineLevel="0" collapsed="false">
      <c r="A173" s="1253"/>
      <c r="B173" s="1258" t="s">
        <v>86</v>
      </c>
      <c r="C173" s="1258" t="n">
        <v>2023</v>
      </c>
      <c r="D173" s="1259" t="s">
        <v>23</v>
      </c>
      <c r="E173" s="1259" t="s">
        <v>2205</v>
      </c>
      <c r="F173" s="1259"/>
      <c r="G173" s="1260"/>
      <c r="H173" s="1261" t="n">
        <v>1</v>
      </c>
      <c r="I173" s="1262"/>
      <c r="J173" s="1262"/>
      <c r="K173" s="1263" t="n">
        <f aca="false">H173*I173/100</f>
        <v>0</v>
      </c>
      <c r="L173" s="1264" t="n">
        <v>113</v>
      </c>
      <c r="M173" s="1265" t="n">
        <v>1</v>
      </c>
      <c r="N173" s="1266" t="n">
        <f aca="false">L173*M173</f>
        <v>113</v>
      </c>
      <c r="O173" s="1266" t="n">
        <f aca="false">H173*N173</f>
        <v>113</v>
      </c>
      <c r="P173" s="1267"/>
      <c r="Q173" s="1268"/>
      <c r="R173" s="1269"/>
      <c r="S173" s="1269"/>
      <c r="T173" s="1270" t="n">
        <f aca="false">O173-R173</f>
        <v>113</v>
      </c>
      <c r="U173" s="1271" t="n">
        <f aca="false">N173-S173</f>
        <v>113</v>
      </c>
    </row>
    <row r="174" customFormat="false" ht="15" hidden="false" customHeight="true" outlineLevel="0" collapsed="false">
      <c r="A174" s="881" t="n">
        <v>170</v>
      </c>
      <c r="B174" s="1180" t="s">
        <v>86</v>
      </c>
      <c r="C174" s="1173" t="n">
        <v>2023</v>
      </c>
      <c r="D174" s="831" t="s">
        <v>23</v>
      </c>
      <c r="E174" s="831" t="s">
        <v>2205</v>
      </c>
      <c r="F174" s="831"/>
      <c r="G174" s="1108"/>
      <c r="H174" s="1109" t="n">
        <v>1</v>
      </c>
      <c r="I174" s="1110"/>
      <c r="J174" s="1110"/>
      <c r="K174" s="1111" t="n">
        <f aca="false">H174*I174/100</f>
        <v>0</v>
      </c>
      <c r="L174" s="1112" t="n">
        <v>431</v>
      </c>
      <c r="M174" s="1113" t="n">
        <v>1</v>
      </c>
      <c r="N174" s="1272" t="n">
        <f aca="false">L174*M174</f>
        <v>431</v>
      </c>
      <c r="O174" s="1272" t="n">
        <f aca="false">H174*N174</f>
        <v>431</v>
      </c>
      <c r="P174" s="838" t="s">
        <v>2204</v>
      </c>
      <c r="Q174" s="1273" t="s">
        <v>2206</v>
      </c>
      <c r="R174" s="1139" t="n">
        <v>431</v>
      </c>
      <c r="S174" s="840" t="n">
        <f aca="false">R174/H174</f>
        <v>431</v>
      </c>
      <c r="T174" s="1114" t="n">
        <f aca="false">O174-R174</f>
        <v>0</v>
      </c>
      <c r="U174" s="1176" t="n">
        <f aca="false">N174-S174</f>
        <v>0</v>
      </c>
    </row>
    <row r="175" customFormat="false" ht="15" hidden="false" customHeight="true" outlineLevel="0" collapsed="false">
      <c r="A175" s="881"/>
      <c r="B175" s="1182" t="s">
        <v>86</v>
      </c>
      <c r="C175" s="893" t="n">
        <v>2023</v>
      </c>
      <c r="D175" s="843" t="s">
        <v>23</v>
      </c>
      <c r="E175" s="843" t="s">
        <v>2242</v>
      </c>
      <c r="F175" s="843"/>
      <c r="G175" s="894"/>
      <c r="H175" s="1103" t="n">
        <v>1</v>
      </c>
      <c r="I175" s="1104"/>
      <c r="J175" s="1104"/>
      <c r="K175" s="897" t="n">
        <f aca="false">H175*I175/100</f>
        <v>0</v>
      </c>
      <c r="L175" s="1105" t="n">
        <v>220</v>
      </c>
      <c r="M175" s="1106" t="n">
        <v>1</v>
      </c>
      <c r="N175" s="898" t="n">
        <f aca="false">L175*M175</f>
        <v>220</v>
      </c>
      <c r="O175" s="898" t="n">
        <f aca="false">H175*N175</f>
        <v>220</v>
      </c>
      <c r="P175" s="844" t="s">
        <v>2204</v>
      </c>
      <c r="Q175" s="1085" t="n">
        <v>23052024</v>
      </c>
      <c r="R175" s="846" t="n">
        <v>220</v>
      </c>
      <c r="S175" s="890" t="n">
        <f aca="false">R175/H175</f>
        <v>220</v>
      </c>
      <c r="T175" s="589" t="n">
        <f aca="false">O175-R175</f>
        <v>0</v>
      </c>
      <c r="U175" s="902" t="n">
        <f aca="false">N175-S175</f>
        <v>0</v>
      </c>
    </row>
    <row r="176" customFormat="false" ht="15" hidden="false" customHeight="true" outlineLevel="0" collapsed="false">
      <c r="A176" s="829" t="n">
        <v>173</v>
      </c>
      <c r="B176" s="830" t="s">
        <v>86</v>
      </c>
      <c r="C176" s="830" t="n">
        <v>2023</v>
      </c>
      <c r="D176" s="831" t="s">
        <v>23</v>
      </c>
      <c r="E176" s="831" t="s">
        <v>2205</v>
      </c>
      <c r="F176" s="830"/>
      <c r="G176" s="833"/>
      <c r="H176" s="834" t="n">
        <v>1</v>
      </c>
      <c r="I176" s="835"/>
      <c r="J176" s="835"/>
      <c r="K176" s="836" t="n">
        <f aca="false">H176*I176/100</f>
        <v>0</v>
      </c>
      <c r="L176" s="1002" t="n">
        <v>90</v>
      </c>
      <c r="M176" s="1003" t="n">
        <v>1</v>
      </c>
      <c r="N176" s="837" t="n">
        <f aca="false">L176*M176</f>
        <v>90</v>
      </c>
      <c r="O176" s="837" t="n">
        <f aca="false">H176*N176</f>
        <v>90</v>
      </c>
      <c r="P176" s="838" t="s">
        <v>2195</v>
      </c>
      <c r="Q176" s="1076" t="s">
        <v>2240</v>
      </c>
      <c r="R176" s="840" t="n">
        <v>-167</v>
      </c>
      <c r="S176" s="840" t="n">
        <f aca="false">R176/H176</f>
        <v>-167</v>
      </c>
      <c r="T176" s="837" t="n">
        <f aca="false">O176-R176-R177</f>
        <v>0</v>
      </c>
      <c r="U176" s="842" t="n">
        <f aca="false">N176-S176-S177</f>
        <v>0</v>
      </c>
    </row>
    <row r="177" customFormat="false" ht="15" hidden="false" customHeight="true" outlineLevel="0" collapsed="false">
      <c r="A177" s="829"/>
      <c r="B177" s="830"/>
      <c r="C177" s="830"/>
      <c r="D177" s="887" t="s">
        <v>23</v>
      </c>
      <c r="E177" s="887" t="s">
        <v>2205</v>
      </c>
      <c r="F177" s="830"/>
      <c r="G177" s="833"/>
      <c r="H177" s="834"/>
      <c r="I177" s="835"/>
      <c r="J177" s="835"/>
      <c r="K177" s="836"/>
      <c r="L177" s="1002"/>
      <c r="M177" s="1003"/>
      <c r="N177" s="837"/>
      <c r="O177" s="837"/>
      <c r="P177" s="888" t="s">
        <v>2204</v>
      </c>
      <c r="Q177" s="1079" t="s">
        <v>2308</v>
      </c>
      <c r="R177" s="1080" t="n">
        <v>257</v>
      </c>
      <c r="S177" s="890" t="n">
        <f aca="false">R177/H176</f>
        <v>257</v>
      </c>
      <c r="T177" s="837"/>
      <c r="U177" s="842"/>
    </row>
    <row r="178" customFormat="false" ht="15" hidden="false" customHeight="true" outlineLevel="0" collapsed="false">
      <c r="A178" s="1229" t="n">
        <v>177</v>
      </c>
      <c r="B178" s="1155" t="s">
        <v>86</v>
      </c>
      <c r="C178" s="1155" t="n">
        <v>2023</v>
      </c>
      <c r="D178" s="1156" t="s">
        <v>23</v>
      </c>
      <c r="E178" s="1156" t="s">
        <v>2205</v>
      </c>
      <c r="F178" s="1156"/>
      <c r="G178" s="1157"/>
      <c r="H178" s="1274" t="n">
        <v>1</v>
      </c>
      <c r="I178" s="1275"/>
      <c r="J178" s="1275"/>
      <c r="K178" s="1160" t="n">
        <f aca="false">H178*I178/100</f>
        <v>0</v>
      </c>
      <c r="L178" s="1161" t="n">
        <v>17</v>
      </c>
      <c r="M178" s="1162" t="n">
        <v>1</v>
      </c>
      <c r="N178" s="1276" t="n">
        <f aca="false">L178*M178</f>
        <v>17</v>
      </c>
      <c r="O178" s="1276" t="n">
        <f aca="false">H178*N178</f>
        <v>17</v>
      </c>
      <c r="P178" s="1165"/>
      <c r="Q178" s="1166"/>
      <c r="R178" s="1168"/>
      <c r="S178" s="1168"/>
      <c r="T178" s="1163" t="n">
        <f aca="false">O178-R178</f>
        <v>17</v>
      </c>
      <c r="U178" s="1163" t="n">
        <f aca="false">N178-S178</f>
        <v>17</v>
      </c>
    </row>
    <row r="179" customFormat="false" ht="15" hidden="false" customHeight="true" outlineLevel="0" collapsed="false">
      <c r="A179" s="859" t="n">
        <v>178</v>
      </c>
      <c r="B179" s="859" t="s">
        <v>86</v>
      </c>
      <c r="C179" s="859" t="n">
        <v>2023</v>
      </c>
      <c r="D179" s="860" t="s">
        <v>23</v>
      </c>
      <c r="E179" s="860" t="s">
        <v>2205</v>
      </c>
      <c r="F179" s="860"/>
      <c r="G179" s="861"/>
      <c r="H179" s="862" t="n">
        <v>1</v>
      </c>
      <c r="I179" s="863"/>
      <c r="J179" s="863"/>
      <c r="K179" s="864" t="n">
        <f aca="false">H179*I179/100</f>
        <v>0</v>
      </c>
      <c r="L179" s="982" t="n">
        <v>87</v>
      </c>
      <c r="M179" s="983" t="n">
        <v>1</v>
      </c>
      <c r="N179" s="865" t="n">
        <f aca="false">L179*M179</f>
        <v>87</v>
      </c>
      <c r="O179" s="865" t="n">
        <f aca="false">H179*N179</f>
        <v>87</v>
      </c>
      <c r="P179" s="868" t="s">
        <v>2204</v>
      </c>
      <c r="Q179" s="1277" t="s">
        <v>2308</v>
      </c>
      <c r="R179" s="1018" t="n">
        <v>87</v>
      </c>
      <c r="S179" s="866" t="n">
        <f aca="false">R179/H179</f>
        <v>87</v>
      </c>
      <c r="T179" s="543" t="n">
        <f aca="false">O179-R179</f>
        <v>0</v>
      </c>
      <c r="U179" s="543" t="n">
        <f aca="false">N179-S179</f>
        <v>0</v>
      </c>
    </row>
    <row r="180" customFormat="false" ht="15" hidden="false" customHeight="true" outlineLevel="0" collapsed="false">
      <c r="A180" s="1278" t="n">
        <v>337</v>
      </c>
      <c r="B180" s="1278" t="s">
        <v>2191</v>
      </c>
      <c r="C180" s="1278" t="n">
        <v>2023</v>
      </c>
      <c r="D180" s="1279" t="s">
        <v>23</v>
      </c>
      <c r="E180" s="1279" t="s">
        <v>2192</v>
      </c>
      <c r="F180" s="1279" t="s">
        <v>1650</v>
      </c>
      <c r="G180" s="1280"/>
      <c r="H180" s="1281" t="n">
        <v>1</v>
      </c>
      <c r="I180" s="1282"/>
      <c r="J180" s="1282"/>
      <c r="K180" s="1283" t="n">
        <f aca="false">H180*I180/100</f>
        <v>0</v>
      </c>
      <c r="L180" s="1284" t="n">
        <v>1</v>
      </c>
      <c r="M180" s="1285" t="n">
        <v>10</v>
      </c>
      <c r="N180" s="1286" t="n">
        <f aca="false">L180*M180</f>
        <v>10</v>
      </c>
      <c r="O180" s="1286" t="n">
        <f aca="false">H180*N180</f>
        <v>10</v>
      </c>
      <c r="P180" s="1287"/>
      <c r="Q180" s="1288"/>
      <c r="R180" s="1289"/>
      <c r="S180" s="1289"/>
      <c r="T180" s="1290" t="n">
        <f aca="false">O180-R180</f>
        <v>10</v>
      </c>
      <c r="U180" s="1290" t="n">
        <f aca="false">N180-S180</f>
        <v>10</v>
      </c>
    </row>
    <row r="181" customFormat="false" ht="15" hidden="false" customHeight="true" outlineLevel="0" collapsed="false">
      <c r="A181" s="903" t="n">
        <v>4</v>
      </c>
      <c r="B181" s="903" t="s">
        <v>86</v>
      </c>
      <c r="C181" s="903" t="n">
        <v>2024</v>
      </c>
      <c r="D181" s="904" t="s">
        <v>23</v>
      </c>
      <c r="E181" s="904" t="s">
        <v>2205</v>
      </c>
      <c r="F181" s="904"/>
      <c r="G181" s="905"/>
      <c r="H181" s="906" t="n">
        <v>1</v>
      </c>
      <c r="I181" s="907"/>
      <c r="J181" s="907"/>
      <c r="K181" s="939" t="n">
        <f aca="false">H181*I181/100</f>
        <v>0</v>
      </c>
      <c r="L181" s="1022" t="n">
        <v>3649</v>
      </c>
      <c r="M181" s="1023" t="n">
        <v>1</v>
      </c>
      <c r="N181" s="908" t="n">
        <f aca="false">L181*M181</f>
        <v>3649</v>
      </c>
      <c r="O181" s="908" t="n">
        <f aca="false">H181*N181</f>
        <v>3649</v>
      </c>
      <c r="P181" s="910" t="s">
        <v>2204</v>
      </c>
      <c r="Q181" s="1068"/>
      <c r="R181" s="891" t="n">
        <v>3649</v>
      </c>
      <c r="S181" s="890" t="n">
        <f aca="false">R181/H181</f>
        <v>3649</v>
      </c>
      <c r="T181" s="942" t="n">
        <f aca="false">O181-R181</f>
        <v>0</v>
      </c>
      <c r="U181" s="1026" t="n">
        <f aca="false">N181-S181</f>
        <v>0</v>
      </c>
    </row>
    <row r="182" customFormat="false" ht="15" hidden="false" customHeight="true" outlineLevel="0" collapsed="false">
      <c r="A182" s="881" t="n">
        <v>5</v>
      </c>
      <c r="B182" s="882" t="s">
        <v>86</v>
      </c>
      <c r="C182" s="883" t="n">
        <v>2024</v>
      </c>
      <c r="D182" s="831" t="s">
        <v>23</v>
      </c>
      <c r="E182" s="831" t="s">
        <v>2192</v>
      </c>
      <c r="F182" s="832" t="s">
        <v>1650</v>
      </c>
      <c r="G182" s="833"/>
      <c r="H182" s="834" t="n">
        <v>1</v>
      </c>
      <c r="I182" s="835"/>
      <c r="J182" s="835"/>
      <c r="K182" s="836" t="n">
        <f aca="false">H182*I182/100</f>
        <v>0</v>
      </c>
      <c r="L182" s="1002" t="n">
        <v>2372</v>
      </c>
      <c r="M182" s="1003" t="n">
        <v>1</v>
      </c>
      <c r="N182" s="837" t="n">
        <f aca="false">L182*M182</f>
        <v>2372</v>
      </c>
      <c r="O182" s="837" t="n">
        <f aca="false">H182*N182</f>
        <v>2372</v>
      </c>
      <c r="P182" s="884" t="s">
        <v>2197</v>
      </c>
      <c r="Q182" s="1084" t="s">
        <v>2309</v>
      </c>
      <c r="R182" s="886" t="n">
        <v>430</v>
      </c>
      <c r="S182" s="886" t="n">
        <f aca="false">R182/H182</f>
        <v>430</v>
      </c>
      <c r="T182" s="837" t="n">
        <f aca="false">O182-R182-R184-R183</f>
        <v>0</v>
      </c>
      <c r="U182" s="842" t="n">
        <f aca="false">N182-S182-S184-S183</f>
        <v>0</v>
      </c>
    </row>
    <row r="183" customFormat="false" ht="15" hidden="false" customHeight="true" outlineLevel="0" collapsed="false">
      <c r="A183" s="881"/>
      <c r="B183" s="882"/>
      <c r="C183" s="883"/>
      <c r="D183" s="860" t="s">
        <v>23</v>
      </c>
      <c r="E183" s="860" t="s">
        <v>2192</v>
      </c>
      <c r="F183" s="832"/>
      <c r="G183" s="833"/>
      <c r="H183" s="834"/>
      <c r="I183" s="835"/>
      <c r="J183" s="835"/>
      <c r="K183" s="836"/>
      <c r="L183" s="1002"/>
      <c r="M183" s="1003"/>
      <c r="N183" s="837"/>
      <c r="O183" s="837"/>
      <c r="P183" s="868" t="s">
        <v>2204</v>
      </c>
      <c r="Q183" s="984" t="n">
        <v>22112024</v>
      </c>
      <c r="R183" s="866" t="n">
        <v>362</v>
      </c>
      <c r="S183" s="866" t="n">
        <v>362</v>
      </c>
      <c r="T183" s="837"/>
      <c r="U183" s="842"/>
    </row>
    <row r="184" customFormat="false" ht="15" hidden="false" customHeight="true" outlineLevel="0" collapsed="false">
      <c r="A184" s="881"/>
      <c r="B184" s="882"/>
      <c r="C184" s="883"/>
      <c r="D184" s="887" t="s">
        <v>23</v>
      </c>
      <c r="E184" s="887" t="s">
        <v>2192</v>
      </c>
      <c r="F184" s="832"/>
      <c r="G184" s="833"/>
      <c r="H184" s="834"/>
      <c r="I184" s="835"/>
      <c r="J184" s="835"/>
      <c r="K184" s="836"/>
      <c r="L184" s="1002"/>
      <c r="M184" s="1003"/>
      <c r="N184" s="837"/>
      <c r="O184" s="837"/>
      <c r="P184" s="888" t="s">
        <v>2197</v>
      </c>
      <c r="Q184" s="1071" t="s">
        <v>2310</v>
      </c>
      <c r="R184" s="890" t="n">
        <v>1580</v>
      </c>
      <c r="S184" s="890" t="n">
        <f aca="false">R184/H182</f>
        <v>1580</v>
      </c>
      <c r="T184" s="837"/>
      <c r="U184" s="842"/>
    </row>
    <row r="185" customFormat="false" ht="15" hidden="false" customHeight="true" outlineLevel="0" collapsed="false">
      <c r="A185" s="881"/>
      <c r="B185" s="1072" t="s">
        <v>86</v>
      </c>
      <c r="C185" s="1072" t="n">
        <v>2024</v>
      </c>
      <c r="D185" s="887" t="s">
        <v>23</v>
      </c>
      <c r="E185" s="887" t="s">
        <v>2205</v>
      </c>
      <c r="F185" s="887"/>
      <c r="G185" s="1062"/>
      <c r="H185" s="1291" t="n">
        <v>1</v>
      </c>
      <c r="I185" s="1292"/>
      <c r="J185" s="1292"/>
      <c r="K185" s="1064" t="n">
        <f aca="false">H185*I185/100</f>
        <v>0</v>
      </c>
      <c r="L185" s="1065" t="n">
        <v>97</v>
      </c>
      <c r="M185" s="1066" t="n">
        <v>1</v>
      </c>
      <c r="N185" s="1073" t="n">
        <f aca="false">L185*M185</f>
        <v>97</v>
      </c>
      <c r="O185" s="1073" t="n">
        <f aca="false">H185*N185</f>
        <v>97</v>
      </c>
      <c r="P185" s="888" t="s">
        <v>2204</v>
      </c>
      <c r="Q185" s="1079" t="s">
        <v>2308</v>
      </c>
      <c r="R185" s="1080" t="n">
        <v>97</v>
      </c>
      <c r="S185" s="890" t="n">
        <f aca="false">R185/H185</f>
        <v>97</v>
      </c>
      <c r="T185" s="1067" t="n">
        <f aca="false">O185-R185</f>
        <v>0</v>
      </c>
      <c r="U185" s="1070" t="n">
        <f aca="false">N185-S185</f>
        <v>0</v>
      </c>
    </row>
    <row r="186" customFormat="false" ht="15" hidden="false" customHeight="true" outlineLevel="0" collapsed="false">
      <c r="A186" s="903" t="n">
        <v>53</v>
      </c>
      <c r="B186" s="903" t="s">
        <v>81</v>
      </c>
      <c r="C186" s="903" t="n">
        <v>2024</v>
      </c>
      <c r="D186" s="904" t="s">
        <v>23</v>
      </c>
      <c r="E186" s="904" t="s">
        <v>2192</v>
      </c>
      <c r="F186" s="904" t="s">
        <v>1650</v>
      </c>
      <c r="G186" s="905"/>
      <c r="H186" s="906" t="n">
        <v>1</v>
      </c>
      <c r="I186" s="907"/>
      <c r="J186" s="907"/>
      <c r="K186" s="939" t="n">
        <f aca="false">H186*I186/100</f>
        <v>0</v>
      </c>
      <c r="L186" s="1022" t="n">
        <v>19660</v>
      </c>
      <c r="M186" s="1023" t="n">
        <v>1</v>
      </c>
      <c r="N186" s="908" t="n">
        <f aca="false">L186*M186</f>
        <v>19660</v>
      </c>
      <c r="O186" s="908" t="n">
        <f aca="false">H186*N186</f>
        <v>19660</v>
      </c>
      <c r="P186" s="910" t="s">
        <v>2200</v>
      </c>
      <c r="Q186" s="1068" t="s">
        <v>2311</v>
      </c>
      <c r="R186" s="891" t="n">
        <v>19660</v>
      </c>
      <c r="S186" s="891" t="n">
        <f aca="false">R186/H186</f>
        <v>19660</v>
      </c>
      <c r="T186" s="942" t="n">
        <f aca="false">O186-R186</f>
        <v>0</v>
      </c>
      <c r="U186" s="942" t="n">
        <f aca="false">N186-S186</f>
        <v>0</v>
      </c>
    </row>
    <row r="187" customFormat="false" ht="15" hidden="false" customHeight="true" outlineLevel="0" collapsed="false">
      <c r="A187" s="829" t="n">
        <v>50</v>
      </c>
      <c r="B187" s="830" t="s">
        <v>86</v>
      </c>
      <c r="C187" s="830" t="n">
        <v>2024</v>
      </c>
      <c r="D187" s="831" t="s">
        <v>23</v>
      </c>
      <c r="E187" s="831" t="s">
        <v>2192</v>
      </c>
      <c r="F187" s="832" t="s">
        <v>1650</v>
      </c>
      <c r="G187" s="833"/>
      <c r="H187" s="834" t="n">
        <v>1</v>
      </c>
      <c r="I187" s="835"/>
      <c r="J187" s="835"/>
      <c r="K187" s="836" t="n">
        <f aca="false">H187*I187/100</f>
        <v>0</v>
      </c>
      <c r="L187" s="1002" t="n">
        <v>12105</v>
      </c>
      <c r="M187" s="1003" t="n">
        <v>1</v>
      </c>
      <c r="N187" s="837" t="n">
        <f aca="false">L187*M187</f>
        <v>12105</v>
      </c>
      <c r="O187" s="837" t="n">
        <f aca="false">H187*N187</f>
        <v>12105</v>
      </c>
      <c r="P187" s="838" t="s">
        <v>2197</v>
      </c>
      <c r="Q187" s="1076" t="s">
        <v>2312</v>
      </c>
      <c r="R187" s="840" t="n">
        <v>4000</v>
      </c>
      <c r="S187" s="840" t="n">
        <f aca="false">R187/H187</f>
        <v>4000</v>
      </c>
      <c r="T187" s="837" t="n">
        <f aca="false">O187-R187-R194-R193-R188-R190-R189-R192-R191</f>
        <v>0</v>
      </c>
      <c r="U187" s="842" t="n">
        <f aca="false">N187-S187-S194-S193-S188-S190-S189-S192-S191</f>
        <v>0</v>
      </c>
    </row>
    <row r="188" customFormat="false" ht="15" hidden="false" customHeight="true" outlineLevel="0" collapsed="false">
      <c r="A188" s="829"/>
      <c r="B188" s="830"/>
      <c r="C188" s="830"/>
      <c r="D188" s="848" t="s">
        <v>23</v>
      </c>
      <c r="E188" s="848" t="s">
        <v>2192</v>
      </c>
      <c r="F188" s="832"/>
      <c r="G188" s="833"/>
      <c r="H188" s="834"/>
      <c r="I188" s="835"/>
      <c r="J188" s="835"/>
      <c r="K188" s="836"/>
      <c r="L188" s="1002"/>
      <c r="M188" s="1003"/>
      <c r="N188" s="837"/>
      <c r="O188" s="837"/>
      <c r="P188" s="856" t="s">
        <v>2197</v>
      </c>
      <c r="Q188" s="1083" t="s">
        <v>2313</v>
      </c>
      <c r="R188" s="854" t="n">
        <v>630</v>
      </c>
      <c r="S188" s="866" t="n">
        <f aca="false">R188/H187</f>
        <v>630</v>
      </c>
      <c r="T188" s="837"/>
      <c r="U188" s="842"/>
    </row>
    <row r="189" customFormat="false" ht="15" hidden="false" customHeight="true" outlineLevel="0" collapsed="false">
      <c r="A189" s="829"/>
      <c r="B189" s="830"/>
      <c r="C189" s="830"/>
      <c r="D189" s="848" t="s">
        <v>23</v>
      </c>
      <c r="E189" s="848" t="s">
        <v>2192</v>
      </c>
      <c r="F189" s="832"/>
      <c r="G189" s="833"/>
      <c r="H189" s="834"/>
      <c r="I189" s="835"/>
      <c r="J189" s="835"/>
      <c r="K189" s="836"/>
      <c r="L189" s="1002"/>
      <c r="M189" s="1003"/>
      <c r="N189" s="837"/>
      <c r="O189" s="837"/>
      <c r="P189" s="856" t="s">
        <v>85</v>
      </c>
      <c r="Q189" s="1083" t="n">
        <v>25743</v>
      </c>
      <c r="R189" s="854" t="n">
        <v>810</v>
      </c>
      <c r="S189" s="866" t="n">
        <f aca="false">R189/H187</f>
        <v>810</v>
      </c>
      <c r="T189" s="837"/>
      <c r="U189" s="842"/>
    </row>
    <row r="190" customFormat="false" ht="15" hidden="false" customHeight="true" outlineLevel="0" collapsed="false">
      <c r="A190" s="829"/>
      <c r="B190" s="830"/>
      <c r="C190" s="830"/>
      <c r="D190" s="848" t="s">
        <v>23</v>
      </c>
      <c r="E190" s="848" t="s">
        <v>2192</v>
      </c>
      <c r="F190" s="832"/>
      <c r="G190" s="833"/>
      <c r="H190" s="834"/>
      <c r="I190" s="835"/>
      <c r="J190" s="835"/>
      <c r="K190" s="836"/>
      <c r="L190" s="1002"/>
      <c r="M190" s="1003"/>
      <c r="N190" s="837"/>
      <c r="O190" s="837"/>
      <c r="P190" s="856" t="s">
        <v>2197</v>
      </c>
      <c r="Q190" s="1083" t="s">
        <v>2314</v>
      </c>
      <c r="R190" s="854" t="n">
        <v>360</v>
      </c>
      <c r="S190" s="866" t="n">
        <f aca="false">R190/H187</f>
        <v>360</v>
      </c>
      <c r="T190" s="837"/>
      <c r="U190" s="842"/>
    </row>
    <row r="191" customFormat="false" ht="15" hidden="false" customHeight="true" outlineLevel="0" collapsed="false">
      <c r="A191" s="829"/>
      <c r="B191" s="830"/>
      <c r="C191" s="830"/>
      <c r="D191" s="848" t="s">
        <v>23</v>
      </c>
      <c r="E191" s="848" t="s">
        <v>2192</v>
      </c>
      <c r="F191" s="832"/>
      <c r="G191" s="833"/>
      <c r="H191" s="834"/>
      <c r="I191" s="835"/>
      <c r="J191" s="835"/>
      <c r="K191" s="836"/>
      <c r="L191" s="1002"/>
      <c r="M191" s="1003"/>
      <c r="N191" s="837"/>
      <c r="O191" s="837"/>
      <c r="P191" s="856" t="s">
        <v>2197</v>
      </c>
      <c r="Q191" s="1083" t="s">
        <v>2315</v>
      </c>
      <c r="R191" s="854" t="n">
        <v>1000</v>
      </c>
      <c r="S191" s="866" t="n">
        <f aca="false">R191/H187</f>
        <v>1000</v>
      </c>
      <c r="T191" s="837"/>
      <c r="U191" s="842"/>
    </row>
    <row r="192" customFormat="false" ht="15" hidden="false" customHeight="true" outlineLevel="0" collapsed="false">
      <c r="A192" s="829"/>
      <c r="B192" s="830"/>
      <c r="C192" s="830"/>
      <c r="D192" s="848" t="s">
        <v>23</v>
      </c>
      <c r="E192" s="848" t="s">
        <v>2192</v>
      </c>
      <c r="F192" s="832"/>
      <c r="G192" s="833"/>
      <c r="H192" s="834"/>
      <c r="I192" s="835"/>
      <c r="J192" s="835"/>
      <c r="K192" s="836"/>
      <c r="L192" s="1002"/>
      <c r="M192" s="1003"/>
      <c r="N192" s="837"/>
      <c r="O192" s="837"/>
      <c r="P192" s="856" t="s">
        <v>2193</v>
      </c>
      <c r="Q192" s="1083" t="s">
        <v>2311</v>
      </c>
      <c r="R192" s="854" t="n">
        <v>3690</v>
      </c>
      <c r="S192" s="866" t="n">
        <f aca="false">R192/H187</f>
        <v>3690</v>
      </c>
      <c r="T192" s="837"/>
      <c r="U192" s="842"/>
    </row>
    <row r="193" customFormat="false" ht="15" hidden="false" customHeight="true" outlineLevel="0" collapsed="false">
      <c r="A193" s="829"/>
      <c r="B193" s="830"/>
      <c r="C193" s="830"/>
      <c r="D193" s="848" t="s">
        <v>23</v>
      </c>
      <c r="E193" s="848" t="s">
        <v>2192</v>
      </c>
      <c r="F193" s="832"/>
      <c r="G193" s="833"/>
      <c r="H193" s="834"/>
      <c r="I193" s="835"/>
      <c r="J193" s="835"/>
      <c r="K193" s="836"/>
      <c r="L193" s="1002"/>
      <c r="M193" s="1003"/>
      <c r="N193" s="837"/>
      <c r="O193" s="837"/>
      <c r="P193" s="856" t="s">
        <v>2197</v>
      </c>
      <c r="Q193" s="1083" t="s">
        <v>2316</v>
      </c>
      <c r="R193" s="854" t="n">
        <v>615</v>
      </c>
      <c r="S193" s="866" t="n">
        <f aca="false">R193/H187</f>
        <v>615</v>
      </c>
      <c r="T193" s="837"/>
      <c r="U193" s="842"/>
    </row>
    <row r="194" customFormat="false" ht="15" hidden="false" customHeight="true" outlineLevel="0" collapsed="false">
      <c r="A194" s="829"/>
      <c r="B194" s="830"/>
      <c r="C194" s="830"/>
      <c r="D194" s="887" t="s">
        <v>23</v>
      </c>
      <c r="E194" s="887" t="s">
        <v>2192</v>
      </c>
      <c r="F194" s="832"/>
      <c r="G194" s="833"/>
      <c r="H194" s="834"/>
      <c r="I194" s="835"/>
      <c r="J194" s="835"/>
      <c r="K194" s="836"/>
      <c r="L194" s="1002"/>
      <c r="M194" s="1003"/>
      <c r="N194" s="837"/>
      <c r="O194" s="837"/>
      <c r="P194" s="888" t="s">
        <v>2197</v>
      </c>
      <c r="Q194" s="1071" t="s">
        <v>2317</v>
      </c>
      <c r="R194" s="890" t="n">
        <v>1000</v>
      </c>
      <c r="S194" s="846" t="n">
        <f aca="false">R194/H187</f>
        <v>1000</v>
      </c>
      <c r="T194" s="837"/>
      <c r="U194" s="842"/>
    </row>
    <row r="195" customFormat="false" ht="15" hidden="false" customHeight="true" outlineLevel="0" collapsed="false">
      <c r="A195" s="903" t="n">
        <v>50</v>
      </c>
      <c r="B195" s="903" t="s">
        <v>86</v>
      </c>
      <c r="C195" s="903" t="n">
        <v>2024</v>
      </c>
      <c r="D195" s="904" t="s">
        <v>23</v>
      </c>
      <c r="E195" s="904" t="s">
        <v>2205</v>
      </c>
      <c r="F195" s="904"/>
      <c r="G195" s="905"/>
      <c r="H195" s="906" t="n">
        <v>1</v>
      </c>
      <c r="I195" s="907"/>
      <c r="J195" s="907"/>
      <c r="K195" s="939" t="n">
        <f aca="false">H195*I195/100</f>
        <v>0</v>
      </c>
      <c r="L195" s="1022" t="n">
        <v>7555</v>
      </c>
      <c r="M195" s="1023" t="n">
        <v>1</v>
      </c>
      <c r="N195" s="908" t="n">
        <f aca="false">L195*M195</f>
        <v>7555</v>
      </c>
      <c r="O195" s="908" t="n">
        <f aca="false">H195*N195</f>
        <v>7555</v>
      </c>
      <c r="P195" s="910" t="s">
        <v>2204</v>
      </c>
      <c r="Q195" s="1068" t="n">
        <v>25092024</v>
      </c>
      <c r="R195" s="891" t="n">
        <v>7555</v>
      </c>
      <c r="S195" s="891" t="n">
        <v>7555</v>
      </c>
      <c r="T195" s="942" t="n">
        <f aca="false">O195-R195</f>
        <v>0</v>
      </c>
      <c r="U195" s="942" t="n">
        <f aca="false">N195-S195</f>
        <v>0</v>
      </c>
    </row>
    <row r="196" customFormat="false" ht="15" hidden="false" customHeight="true" outlineLevel="0" collapsed="false">
      <c r="A196" s="882" t="n">
        <v>115</v>
      </c>
      <c r="B196" s="883" t="s">
        <v>2207</v>
      </c>
      <c r="C196" s="883" t="n">
        <v>2024</v>
      </c>
      <c r="D196" s="831" t="s">
        <v>23</v>
      </c>
      <c r="E196" s="831" t="s">
        <v>2192</v>
      </c>
      <c r="F196" s="832" t="s">
        <v>1652</v>
      </c>
      <c r="G196" s="833"/>
      <c r="H196" s="834" t="n">
        <v>1</v>
      </c>
      <c r="I196" s="835"/>
      <c r="J196" s="835"/>
      <c r="K196" s="836" t="n">
        <f aca="false">H196*I196/100</f>
        <v>0</v>
      </c>
      <c r="L196" s="1002" t="n">
        <v>9333</v>
      </c>
      <c r="M196" s="1003" t="n">
        <v>1</v>
      </c>
      <c r="N196" s="837" t="n">
        <f aca="false">L196*M196</f>
        <v>9333</v>
      </c>
      <c r="O196" s="837" t="n">
        <f aca="false">H196*N196</f>
        <v>9333</v>
      </c>
      <c r="P196" s="838" t="s">
        <v>2197</v>
      </c>
      <c r="Q196" s="1076" t="s">
        <v>2318</v>
      </c>
      <c r="R196" s="840" t="n">
        <v>4530</v>
      </c>
      <c r="S196" s="840" t="n">
        <f aca="false">R196/H196</f>
        <v>4530</v>
      </c>
      <c r="T196" s="837" t="n">
        <f aca="false">O196-R196-R197-R198</f>
        <v>0</v>
      </c>
      <c r="U196" s="842" t="n">
        <f aca="false">N196-S196-S197-S198</f>
        <v>0</v>
      </c>
    </row>
    <row r="197" customFormat="false" ht="15" hidden="false" customHeight="true" outlineLevel="0" collapsed="false">
      <c r="A197" s="882"/>
      <c r="B197" s="883"/>
      <c r="C197" s="883"/>
      <c r="D197" s="848" t="s">
        <v>23</v>
      </c>
      <c r="E197" s="848" t="s">
        <v>2192</v>
      </c>
      <c r="F197" s="832"/>
      <c r="G197" s="833"/>
      <c r="H197" s="834"/>
      <c r="I197" s="835"/>
      <c r="J197" s="835"/>
      <c r="K197" s="836"/>
      <c r="L197" s="1002"/>
      <c r="M197" s="1003"/>
      <c r="N197" s="837"/>
      <c r="O197" s="837"/>
      <c r="P197" s="856" t="s">
        <v>2197</v>
      </c>
      <c r="Q197" s="1083" t="s">
        <v>2319</v>
      </c>
      <c r="R197" s="854" t="n">
        <v>4665</v>
      </c>
      <c r="S197" s="866" t="n">
        <f aca="false">R197/H196</f>
        <v>4665</v>
      </c>
      <c r="T197" s="837"/>
      <c r="U197" s="842"/>
    </row>
    <row r="198" customFormat="false" ht="15" hidden="false" customHeight="true" outlineLevel="0" collapsed="false">
      <c r="A198" s="882"/>
      <c r="B198" s="883"/>
      <c r="C198" s="883"/>
      <c r="D198" s="887" t="s">
        <v>23</v>
      </c>
      <c r="E198" s="887" t="s">
        <v>2192</v>
      </c>
      <c r="F198" s="832"/>
      <c r="G198" s="833"/>
      <c r="H198" s="834"/>
      <c r="I198" s="835"/>
      <c r="J198" s="835"/>
      <c r="K198" s="836"/>
      <c r="L198" s="1002"/>
      <c r="M198" s="1003"/>
      <c r="N198" s="837"/>
      <c r="O198" s="837"/>
      <c r="P198" s="888"/>
      <c r="Q198" s="1071" t="s">
        <v>2320</v>
      </c>
      <c r="R198" s="890" t="n">
        <v>138</v>
      </c>
      <c r="S198" s="846" t="n">
        <f aca="false">R198/H196</f>
        <v>138</v>
      </c>
      <c r="T198" s="837"/>
      <c r="U198" s="842"/>
    </row>
    <row r="199" customFormat="false" ht="15" hidden="false" customHeight="true" outlineLevel="0" collapsed="false">
      <c r="A199" s="847"/>
      <c r="B199" s="847"/>
      <c r="C199" s="847"/>
      <c r="D199" s="848"/>
      <c r="E199" s="848"/>
      <c r="F199" s="848"/>
      <c r="G199" s="849"/>
      <c r="H199" s="850"/>
      <c r="I199" s="851"/>
      <c r="J199" s="851"/>
      <c r="K199" s="852"/>
      <c r="L199" s="1006"/>
      <c r="M199" s="1007"/>
      <c r="N199" s="853"/>
      <c r="O199" s="853"/>
      <c r="P199" s="856"/>
      <c r="Q199" s="1083"/>
      <c r="R199" s="854"/>
      <c r="S199" s="854"/>
      <c r="T199" s="537"/>
      <c r="U199" s="537"/>
    </row>
    <row r="200" customFormat="false" ht="15" hidden="false" customHeight="true" outlineLevel="0" collapsed="false">
      <c r="A200" s="859" t="n">
        <v>174</v>
      </c>
      <c r="B200" s="859" t="s">
        <v>86</v>
      </c>
      <c r="C200" s="859" t="n">
        <v>2023</v>
      </c>
      <c r="D200" s="860" t="s">
        <v>2144</v>
      </c>
      <c r="E200" s="860" t="s">
        <v>2242</v>
      </c>
      <c r="F200" s="860"/>
      <c r="G200" s="861"/>
      <c r="H200" s="862" t="n">
        <v>1</v>
      </c>
      <c r="I200" s="863"/>
      <c r="J200" s="863"/>
      <c r="K200" s="875" t="n">
        <f aca="false">H200*I200/100</f>
        <v>0</v>
      </c>
      <c r="L200" s="982" t="n">
        <v>188</v>
      </c>
      <c r="M200" s="983" t="n">
        <v>1</v>
      </c>
      <c r="N200" s="876" t="n">
        <f aca="false">L200*M200</f>
        <v>188</v>
      </c>
      <c r="O200" s="876" t="n">
        <f aca="false">H200*N200</f>
        <v>188</v>
      </c>
      <c r="P200" s="868" t="s">
        <v>2204</v>
      </c>
      <c r="Q200" s="984" t="n">
        <v>26032025</v>
      </c>
      <c r="R200" s="866" t="n">
        <v>188</v>
      </c>
      <c r="S200" s="866" t="n">
        <f aca="false">R200/H200</f>
        <v>188</v>
      </c>
      <c r="T200" s="553" t="n">
        <f aca="false">O200-R200</f>
        <v>0</v>
      </c>
      <c r="U200" s="1293" t="n">
        <f aca="false">N200-S200</f>
        <v>0</v>
      </c>
    </row>
    <row r="201" customFormat="false" ht="15" hidden="false" customHeight="true" outlineLevel="0" collapsed="false">
      <c r="A201" s="859"/>
      <c r="B201" s="859"/>
      <c r="C201" s="859"/>
      <c r="D201" s="860"/>
      <c r="E201" s="860"/>
      <c r="F201" s="860"/>
      <c r="G201" s="861"/>
      <c r="H201" s="862"/>
      <c r="I201" s="863"/>
      <c r="J201" s="863"/>
      <c r="K201" s="864"/>
      <c r="L201" s="982"/>
      <c r="M201" s="983"/>
      <c r="N201" s="865"/>
      <c r="O201" s="865"/>
      <c r="P201" s="868"/>
      <c r="Q201" s="984"/>
      <c r="R201" s="866"/>
      <c r="S201" s="866"/>
      <c r="T201" s="543"/>
      <c r="U201" s="543"/>
    </row>
    <row r="202" customFormat="false" ht="15" hidden="false" customHeight="true" outlineLevel="0" collapsed="false">
      <c r="A202" s="969" t="n">
        <v>23</v>
      </c>
      <c r="B202" s="969" t="s">
        <v>86</v>
      </c>
      <c r="C202" s="969" t="n">
        <v>2021</v>
      </c>
      <c r="D202" s="929" t="s">
        <v>11</v>
      </c>
      <c r="E202" s="929" t="s">
        <v>2192</v>
      </c>
      <c r="F202" s="929" t="s">
        <v>1650</v>
      </c>
      <c r="G202" s="970"/>
      <c r="H202" s="1294" t="n">
        <v>53.76</v>
      </c>
      <c r="I202" s="1295"/>
      <c r="J202" s="1295"/>
      <c r="K202" s="1296" t="n">
        <f aca="false">H202*I202/100</f>
        <v>0</v>
      </c>
      <c r="L202" s="974" t="n">
        <v>4</v>
      </c>
      <c r="M202" s="975" t="n">
        <v>448</v>
      </c>
      <c r="N202" s="1297" t="n">
        <f aca="false">L202*M202</f>
        <v>1792</v>
      </c>
      <c r="O202" s="1297" t="n">
        <f aca="false">H202*N202</f>
        <v>96337.92</v>
      </c>
      <c r="P202" s="930"/>
      <c r="Q202" s="977"/>
      <c r="R202" s="933"/>
      <c r="S202" s="933"/>
      <c r="T202" s="1298" t="n">
        <f aca="false">O202-R202</f>
        <v>96337.92</v>
      </c>
      <c r="U202" s="979" t="n">
        <f aca="false">N202-S202</f>
        <v>1792</v>
      </c>
    </row>
    <row r="203" customFormat="false" ht="15" hidden="false" customHeight="true" outlineLevel="0" collapsed="false">
      <c r="A203" s="859" t="n">
        <v>212</v>
      </c>
      <c r="B203" s="859" t="s">
        <v>2191</v>
      </c>
      <c r="C203" s="859" t="n">
        <v>2022</v>
      </c>
      <c r="D203" s="860" t="s">
        <v>11</v>
      </c>
      <c r="E203" s="860" t="s">
        <v>2192</v>
      </c>
      <c r="F203" s="860" t="s">
        <v>1651</v>
      </c>
      <c r="G203" s="861"/>
      <c r="H203" s="862" t="n">
        <v>14</v>
      </c>
      <c r="I203" s="864"/>
      <c r="J203" s="864"/>
      <c r="K203" s="864" t="n">
        <f aca="false">H203*I203/100</f>
        <v>0</v>
      </c>
      <c r="L203" s="1299" t="n">
        <v>22</v>
      </c>
      <c r="M203" s="1300" t="n">
        <v>15</v>
      </c>
      <c r="N203" s="1299" t="n">
        <f aca="false">L203*M203</f>
        <v>330</v>
      </c>
      <c r="O203" s="1299" t="n">
        <f aca="false">H203*N203</f>
        <v>4620</v>
      </c>
      <c r="P203" s="868" t="s">
        <v>2195</v>
      </c>
      <c r="Q203" s="869" t="s">
        <v>2321</v>
      </c>
      <c r="R203" s="866" t="n">
        <v>4620</v>
      </c>
      <c r="S203" s="866" t="n">
        <f aca="false">R203/H203</f>
        <v>330</v>
      </c>
      <c r="T203" s="543" t="n">
        <f aca="false">O203-R203</f>
        <v>0</v>
      </c>
      <c r="U203" s="543" t="n">
        <f aca="false">N203-S203</f>
        <v>0</v>
      </c>
    </row>
    <row r="204" customFormat="false" ht="15" hidden="false" customHeight="true" outlineLevel="0" collapsed="false">
      <c r="A204" s="859" t="n">
        <v>213</v>
      </c>
      <c r="B204" s="859" t="s">
        <v>2191</v>
      </c>
      <c r="C204" s="859" t="n">
        <v>2022</v>
      </c>
      <c r="D204" s="860" t="s">
        <v>11</v>
      </c>
      <c r="E204" s="860" t="s">
        <v>2192</v>
      </c>
      <c r="F204" s="860" t="s">
        <v>1651</v>
      </c>
      <c r="G204" s="861"/>
      <c r="H204" s="862" t="n">
        <v>14</v>
      </c>
      <c r="I204" s="864"/>
      <c r="J204" s="864"/>
      <c r="K204" s="864" t="n">
        <f aca="false">H204*I204/100</f>
        <v>0</v>
      </c>
      <c r="L204" s="1299" t="n">
        <v>8</v>
      </c>
      <c r="M204" s="1300" t="n">
        <v>10</v>
      </c>
      <c r="N204" s="1299" t="n">
        <f aca="false">L204*M204</f>
        <v>80</v>
      </c>
      <c r="O204" s="1299" t="n">
        <f aca="false">H204*N204</f>
        <v>1120</v>
      </c>
      <c r="P204" s="868" t="s">
        <v>2193</v>
      </c>
      <c r="Q204" s="869" t="s">
        <v>2322</v>
      </c>
      <c r="R204" s="866" t="n">
        <v>1120</v>
      </c>
      <c r="S204" s="866" t="n">
        <f aca="false">R204/H204</f>
        <v>80</v>
      </c>
      <c r="T204" s="543" t="n">
        <f aca="false">O204-R204</f>
        <v>0</v>
      </c>
      <c r="U204" s="543" t="n">
        <f aca="false">N204-S204</f>
        <v>0</v>
      </c>
    </row>
    <row r="205" customFormat="false" ht="15" hidden="false" customHeight="true" outlineLevel="0" collapsed="false">
      <c r="A205" s="870" t="n">
        <v>231</v>
      </c>
      <c r="B205" s="870" t="s">
        <v>2191</v>
      </c>
      <c r="C205" s="870" t="n">
        <v>2022</v>
      </c>
      <c r="D205" s="871" t="s">
        <v>11</v>
      </c>
      <c r="E205" s="871" t="s">
        <v>2192</v>
      </c>
      <c r="F205" s="871" t="s">
        <v>1651</v>
      </c>
      <c r="G205" s="872"/>
      <c r="H205" s="873" t="n">
        <v>14</v>
      </c>
      <c r="I205" s="875"/>
      <c r="J205" s="875"/>
      <c r="K205" s="875" t="n">
        <f aca="false">H205*I205/100</f>
        <v>0</v>
      </c>
      <c r="L205" s="1301" t="n">
        <v>35</v>
      </c>
      <c r="M205" s="1302" t="n">
        <v>15</v>
      </c>
      <c r="N205" s="1301" t="n">
        <f aca="false">L205*M205</f>
        <v>525</v>
      </c>
      <c r="O205" s="1301" t="n">
        <f aca="false">H205*N205</f>
        <v>7350</v>
      </c>
      <c r="P205" s="879" t="s">
        <v>2195</v>
      </c>
      <c r="Q205" s="880" t="s">
        <v>2321</v>
      </c>
      <c r="R205" s="877" t="n">
        <v>7350</v>
      </c>
      <c r="S205" s="866" t="n">
        <f aca="false">R205/H205</f>
        <v>525</v>
      </c>
      <c r="T205" s="553" t="n">
        <f aca="false">O205-R205</f>
        <v>0</v>
      </c>
      <c r="U205" s="553" t="n">
        <f aca="false">N205-S205</f>
        <v>0</v>
      </c>
    </row>
    <row r="206" customFormat="false" ht="15" hidden="false" customHeight="true" outlineLevel="0" collapsed="false">
      <c r="A206" s="882" t="n">
        <v>248</v>
      </c>
      <c r="B206" s="883" t="s">
        <v>2191</v>
      </c>
      <c r="C206" s="883" t="n">
        <v>2022</v>
      </c>
      <c r="D206" s="831" t="s">
        <v>11</v>
      </c>
      <c r="E206" s="831" t="s">
        <v>2192</v>
      </c>
      <c r="F206" s="832" t="s">
        <v>1651</v>
      </c>
      <c r="G206" s="833"/>
      <c r="H206" s="834" t="n">
        <v>14</v>
      </c>
      <c r="I206" s="1020"/>
      <c r="J206" s="1020"/>
      <c r="K206" s="836" t="n">
        <f aca="false">H206*I206/100</f>
        <v>0</v>
      </c>
      <c r="L206" s="837" t="n">
        <v>28</v>
      </c>
      <c r="M206" s="1303" t="n">
        <v>15</v>
      </c>
      <c r="N206" s="837" t="n">
        <f aca="false">L206*M206</f>
        <v>420</v>
      </c>
      <c r="O206" s="837" t="n">
        <f aca="false">H206*N206</f>
        <v>5880</v>
      </c>
      <c r="P206" s="838" t="s">
        <v>2193</v>
      </c>
      <c r="Q206" s="839" t="s">
        <v>2323</v>
      </c>
      <c r="R206" s="840" t="n">
        <v>2100</v>
      </c>
      <c r="S206" s="886" t="n">
        <f aca="false">R206/H206</f>
        <v>150</v>
      </c>
      <c r="T206" s="837" t="n">
        <f aca="false">O206-R206-R208-R207</f>
        <v>0</v>
      </c>
      <c r="U206" s="842" t="n">
        <f aca="false">N206-S206-S208-S207</f>
        <v>0</v>
      </c>
    </row>
    <row r="207" customFormat="false" ht="15" hidden="false" customHeight="true" outlineLevel="0" collapsed="false">
      <c r="A207" s="882"/>
      <c r="B207" s="883"/>
      <c r="C207" s="883"/>
      <c r="D207" s="904" t="s">
        <v>11</v>
      </c>
      <c r="E207" s="904" t="s">
        <v>2192</v>
      </c>
      <c r="F207" s="832"/>
      <c r="G207" s="833"/>
      <c r="H207" s="834"/>
      <c r="I207" s="1020"/>
      <c r="J207" s="1020"/>
      <c r="K207" s="836"/>
      <c r="L207" s="837"/>
      <c r="M207" s="1303"/>
      <c r="N207" s="837"/>
      <c r="O207" s="837"/>
      <c r="P207" s="910" t="s">
        <v>2195</v>
      </c>
      <c r="Q207" s="911" t="s">
        <v>2321</v>
      </c>
      <c r="R207" s="891" t="n">
        <v>420</v>
      </c>
      <c r="S207" s="866" t="n">
        <f aca="false">R207/H206</f>
        <v>30</v>
      </c>
      <c r="T207" s="837"/>
      <c r="U207" s="842"/>
    </row>
    <row r="208" customFormat="false" ht="15" hidden="false" customHeight="true" outlineLevel="0" collapsed="false">
      <c r="A208" s="882"/>
      <c r="B208" s="883"/>
      <c r="C208" s="883"/>
      <c r="D208" s="843" t="s">
        <v>11</v>
      </c>
      <c r="E208" s="843" t="s">
        <v>2192</v>
      </c>
      <c r="F208" s="832"/>
      <c r="G208" s="833"/>
      <c r="H208" s="834"/>
      <c r="I208" s="1020"/>
      <c r="J208" s="1020"/>
      <c r="K208" s="836"/>
      <c r="L208" s="837"/>
      <c r="M208" s="1303"/>
      <c r="N208" s="837"/>
      <c r="O208" s="837"/>
      <c r="P208" s="844" t="s">
        <v>2193</v>
      </c>
      <c r="Q208" s="845" t="s">
        <v>2322</v>
      </c>
      <c r="R208" s="846" t="n">
        <v>3360</v>
      </c>
      <c r="S208" s="846" t="n">
        <f aca="false">R208/H206</f>
        <v>240</v>
      </c>
      <c r="T208" s="837"/>
      <c r="U208" s="842"/>
    </row>
    <row r="209" customFormat="false" ht="15" hidden="false" customHeight="true" outlineLevel="0" collapsed="false">
      <c r="A209" s="847" t="n">
        <v>273</v>
      </c>
      <c r="B209" s="847" t="s">
        <v>2191</v>
      </c>
      <c r="C209" s="847" t="n">
        <v>2022</v>
      </c>
      <c r="D209" s="848" t="s">
        <v>11</v>
      </c>
      <c r="E209" s="848" t="s">
        <v>2192</v>
      </c>
      <c r="F209" s="848" t="s">
        <v>1652</v>
      </c>
      <c r="G209" s="849"/>
      <c r="H209" s="850" t="n">
        <v>20</v>
      </c>
      <c r="I209" s="852"/>
      <c r="J209" s="852"/>
      <c r="K209" s="852" t="n">
        <f aca="false">H209*I209/100</f>
        <v>0</v>
      </c>
      <c r="L209" s="1143" t="n">
        <v>24</v>
      </c>
      <c r="M209" s="1304" t="n">
        <v>15</v>
      </c>
      <c r="N209" s="1143" t="n">
        <f aca="false">L209*M209</f>
        <v>360</v>
      </c>
      <c r="O209" s="1143" t="n">
        <f aca="false">H209*N209</f>
        <v>7200</v>
      </c>
      <c r="P209" s="856" t="s">
        <v>2195</v>
      </c>
      <c r="Q209" s="857" t="s">
        <v>2321</v>
      </c>
      <c r="R209" s="854" t="n">
        <v>7200</v>
      </c>
      <c r="S209" s="866" t="n">
        <f aca="false">R209/H209</f>
        <v>360</v>
      </c>
      <c r="T209" s="537" t="n">
        <f aca="false">O209-R209</f>
        <v>0</v>
      </c>
      <c r="U209" s="537" t="n">
        <f aca="false">N209-S209</f>
        <v>0</v>
      </c>
    </row>
    <row r="210" customFormat="false" ht="15" hidden="false" customHeight="true" outlineLevel="0" collapsed="false">
      <c r="A210" s="859" t="n">
        <v>295</v>
      </c>
      <c r="B210" s="859" t="s">
        <v>2191</v>
      </c>
      <c r="C210" s="859" t="n">
        <v>2022</v>
      </c>
      <c r="D210" s="860" t="s">
        <v>11</v>
      </c>
      <c r="E210" s="860" t="s">
        <v>2192</v>
      </c>
      <c r="F210" s="860" t="s">
        <v>1651</v>
      </c>
      <c r="G210" s="861"/>
      <c r="H210" s="862" t="n">
        <v>14</v>
      </c>
      <c r="I210" s="864"/>
      <c r="J210" s="864"/>
      <c r="K210" s="864" t="n">
        <f aca="false">H210*I210/100</f>
        <v>0</v>
      </c>
      <c r="L210" s="1299" t="n">
        <v>6</v>
      </c>
      <c r="M210" s="1300" t="n">
        <v>15</v>
      </c>
      <c r="N210" s="1299" t="n">
        <f aca="false">L210*M210</f>
        <v>90</v>
      </c>
      <c r="O210" s="1299" t="n">
        <f aca="false">H210*N210</f>
        <v>1260</v>
      </c>
      <c r="P210" s="868" t="s">
        <v>2195</v>
      </c>
      <c r="Q210" s="869" t="s">
        <v>1375</v>
      </c>
      <c r="R210" s="866" t="n">
        <v>1260</v>
      </c>
      <c r="S210" s="866" t="n">
        <f aca="false">R210/H210</f>
        <v>90</v>
      </c>
      <c r="T210" s="543" t="n">
        <f aca="false">O210-R210</f>
        <v>0</v>
      </c>
      <c r="U210" s="543" t="n">
        <f aca="false">N210-S210</f>
        <v>0</v>
      </c>
    </row>
    <row r="211" customFormat="false" ht="15" hidden="false" customHeight="true" outlineLevel="0" collapsed="false">
      <c r="A211" s="859" t="n">
        <v>297</v>
      </c>
      <c r="B211" s="859" t="s">
        <v>2191</v>
      </c>
      <c r="C211" s="859" t="n">
        <v>2022</v>
      </c>
      <c r="D211" s="860" t="s">
        <v>11</v>
      </c>
      <c r="E211" s="860" t="s">
        <v>2192</v>
      </c>
      <c r="F211" s="860" t="s">
        <v>1652</v>
      </c>
      <c r="G211" s="861"/>
      <c r="H211" s="862" t="n">
        <v>20</v>
      </c>
      <c r="I211" s="864"/>
      <c r="J211" s="864"/>
      <c r="K211" s="864" t="n">
        <f aca="false">H211*I211/100</f>
        <v>0</v>
      </c>
      <c r="L211" s="1299" t="n">
        <v>54</v>
      </c>
      <c r="M211" s="1300" t="n">
        <v>15</v>
      </c>
      <c r="N211" s="1299" t="n">
        <f aca="false">L211*M211</f>
        <v>810</v>
      </c>
      <c r="O211" s="1299" t="n">
        <f aca="false">H211*N211</f>
        <v>16200</v>
      </c>
      <c r="P211" s="868" t="s">
        <v>2193</v>
      </c>
      <c r="Q211" s="869" t="s">
        <v>2324</v>
      </c>
      <c r="R211" s="866" t="n">
        <v>16200</v>
      </c>
      <c r="S211" s="866" t="n">
        <f aca="false">R211/H211</f>
        <v>810</v>
      </c>
      <c r="T211" s="543" t="n">
        <f aca="false">O211-R211</f>
        <v>0</v>
      </c>
      <c r="U211" s="543" t="n">
        <f aca="false">N211-S211</f>
        <v>0</v>
      </c>
    </row>
    <row r="212" customFormat="false" ht="15" hidden="false" customHeight="true" outlineLevel="0" collapsed="false">
      <c r="A212" s="870" t="n">
        <v>468</v>
      </c>
      <c r="B212" s="870" t="s">
        <v>2191</v>
      </c>
      <c r="C212" s="870" t="n">
        <v>2022</v>
      </c>
      <c r="D212" s="871" t="s">
        <v>11</v>
      </c>
      <c r="E212" s="871" t="s">
        <v>2192</v>
      </c>
      <c r="F212" s="871" t="s">
        <v>1651</v>
      </c>
      <c r="G212" s="872"/>
      <c r="H212" s="873" t="n">
        <v>14</v>
      </c>
      <c r="I212" s="875"/>
      <c r="J212" s="875"/>
      <c r="K212" s="875" t="n">
        <f aca="false">H212*I212/100</f>
        <v>0</v>
      </c>
      <c r="L212" s="1301" t="n">
        <v>116</v>
      </c>
      <c r="M212" s="1302" t="n">
        <v>15</v>
      </c>
      <c r="N212" s="1301" t="n">
        <f aca="false">L212*M212</f>
        <v>1740</v>
      </c>
      <c r="O212" s="1301" t="n">
        <f aca="false">H212*N212</f>
        <v>24360</v>
      </c>
      <c r="P212" s="879" t="s">
        <v>2195</v>
      </c>
      <c r="Q212" s="880" t="s">
        <v>1375</v>
      </c>
      <c r="R212" s="877" t="n">
        <v>24360</v>
      </c>
      <c r="S212" s="877" t="n">
        <f aca="false">R212/H212</f>
        <v>1740</v>
      </c>
      <c r="T212" s="553" t="n">
        <f aca="false">O212-R212</f>
        <v>0</v>
      </c>
      <c r="U212" s="553" t="n">
        <f aca="false">N212-S212</f>
        <v>0</v>
      </c>
    </row>
    <row r="213" customFormat="false" ht="15" hidden="false" customHeight="true" outlineLevel="0" collapsed="false">
      <c r="A213" s="829" t="n">
        <v>469</v>
      </c>
      <c r="B213" s="830" t="s">
        <v>2191</v>
      </c>
      <c r="C213" s="830" t="n">
        <v>2022</v>
      </c>
      <c r="D213" s="831" t="s">
        <v>11</v>
      </c>
      <c r="E213" s="831" t="s">
        <v>2192</v>
      </c>
      <c r="F213" s="832" t="s">
        <v>1651</v>
      </c>
      <c r="G213" s="833"/>
      <c r="H213" s="834" t="n">
        <v>14</v>
      </c>
      <c r="I213" s="1020"/>
      <c r="J213" s="1020"/>
      <c r="K213" s="836" t="n">
        <f aca="false">H213*I213/100</f>
        <v>0</v>
      </c>
      <c r="L213" s="837" t="n">
        <v>140</v>
      </c>
      <c r="M213" s="1303" t="n">
        <v>15</v>
      </c>
      <c r="N213" s="837" t="n">
        <f aca="false">L213*M213</f>
        <v>2100</v>
      </c>
      <c r="O213" s="837" t="n">
        <f aca="false">H213*N213</f>
        <v>29400</v>
      </c>
      <c r="P213" s="838" t="s">
        <v>2193</v>
      </c>
      <c r="Q213" s="839" t="s">
        <v>2325</v>
      </c>
      <c r="R213" s="840" t="n">
        <v>1260</v>
      </c>
      <c r="S213" s="840" t="n">
        <f aca="false">R213/H213</f>
        <v>90</v>
      </c>
      <c r="T213" s="837" t="n">
        <f aca="false">O213-R213-R214</f>
        <v>0</v>
      </c>
      <c r="U213" s="842" t="n">
        <f aca="false">N213-S213-S214</f>
        <v>0</v>
      </c>
    </row>
    <row r="214" customFormat="false" ht="15" hidden="false" customHeight="true" outlineLevel="0" collapsed="false">
      <c r="A214" s="829"/>
      <c r="B214" s="830"/>
      <c r="C214" s="830"/>
      <c r="D214" s="843" t="s">
        <v>11</v>
      </c>
      <c r="E214" s="843" t="s">
        <v>2192</v>
      </c>
      <c r="F214" s="832"/>
      <c r="G214" s="833"/>
      <c r="H214" s="834"/>
      <c r="I214" s="1020"/>
      <c r="J214" s="1020"/>
      <c r="K214" s="836"/>
      <c r="L214" s="837"/>
      <c r="M214" s="1303"/>
      <c r="N214" s="837"/>
      <c r="O214" s="837"/>
      <c r="P214" s="844" t="s">
        <v>2195</v>
      </c>
      <c r="Q214" s="845" t="s">
        <v>2321</v>
      </c>
      <c r="R214" s="846" t="n">
        <v>28140</v>
      </c>
      <c r="S214" s="846" t="n">
        <f aca="false">R214/H213</f>
        <v>2010</v>
      </c>
      <c r="T214" s="837"/>
      <c r="U214" s="842"/>
    </row>
    <row r="215" customFormat="false" ht="15" hidden="false" customHeight="true" outlineLevel="0" collapsed="false">
      <c r="A215" s="829" t="n">
        <v>470</v>
      </c>
      <c r="B215" s="830" t="s">
        <v>2191</v>
      </c>
      <c r="C215" s="830" t="n">
        <v>2022</v>
      </c>
      <c r="D215" s="831" t="s">
        <v>11</v>
      </c>
      <c r="E215" s="831" t="s">
        <v>2192</v>
      </c>
      <c r="F215" s="832" t="s">
        <v>1651</v>
      </c>
      <c r="G215" s="833"/>
      <c r="H215" s="834" t="n">
        <v>14</v>
      </c>
      <c r="I215" s="1020"/>
      <c r="J215" s="1020"/>
      <c r="K215" s="836" t="n">
        <f aca="false">H215*I215/100</f>
        <v>0</v>
      </c>
      <c r="L215" s="837" t="n">
        <v>19</v>
      </c>
      <c r="M215" s="1303" t="n">
        <v>15</v>
      </c>
      <c r="N215" s="837" t="n">
        <f aca="false">L215*M215</f>
        <v>285</v>
      </c>
      <c r="O215" s="837" t="n">
        <f aca="false">H215*N215</f>
        <v>3990</v>
      </c>
      <c r="P215" s="838" t="s">
        <v>2193</v>
      </c>
      <c r="Q215" s="839" t="s">
        <v>2322</v>
      </c>
      <c r="R215" s="840" t="n">
        <v>2100</v>
      </c>
      <c r="S215" s="840" t="n">
        <f aca="false">R215/H215</f>
        <v>150</v>
      </c>
      <c r="T215" s="837" t="n">
        <f aca="false">O215-R215-R216</f>
        <v>0</v>
      </c>
      <c r="U215" s="842" t="n">
        <f aca="false">N215-S215-S216</f>
        <v>0</v>
      </c>
    </row>
    <row r="216" customFormat="false" ht="15" hidden="false" customHeight="true" outlineLevel="0" collapsed="false">
      <c r="A216" s="829"/>
      <c r="B216" s="830"/>
      <c r="C216" s="830"/>
      <c r="D216" s="887" t="s">
        <v>11</v>
      </c>
      <c r="E216" s="887" t="s">
        <v>2192</v>
      </c>
      <c r="F216" s="832"/>
      <c r="G216" s="833"/>
      <c r="H216" s="834"/>
      <c r="I216" s="1020"/>
      <c r="J216" s="1020"/>
      <c r="K216" s="836"/>
      <c r="L216" s="837"/>
      <c r="M216" s="1303"/>
      <c r="N216" s="837"/>
      <c r="O216" s="837"/>
      <c r="P216" s="888" t="s">
        <v>2195</v>
      </c>
      <c r="Q216" s="889" t="s">
        <v>2321</v>
      </c>
      <c r="R216" s="890" t="n">
        <v>1890</v>
      </c>
      <c r="S216" s="890" t="n">
        <f aca="false">R216/H215</f>
        <v>135</v>
      </c>
      <c r="T216" s="837"/>
      <c r="U216" s="842"/>
    </row>
    <row r="217" customFormat="false" ht="15" hidden="false" customHeight="true" outlineLevel="0" collapsed="false">
      <c r="A217" s="903" t="n">
        <v>511</v>
      </c>
      <c r="B217" s="903" t="s">
        <v>2191</v>
      </c>
      <c r="C217" s="903" t="n">
        <v>2022</v>
      </c>
      <c r="D217" s="904" t="s">
        <v>11</v>
      </c>
      <c r="E217" s="904" t="s">
        <v>2192</v>
      </c>
      <c r="F217" s="904" t="s">
        <v>1651</v>
      </c>
      <c r="G217" s="905"/>
      <c r="H217" s="906" t="n">
        <v>14</v>
      </c>
      <c r="I217" s="939"/>
      <c r="J217" s="939"/>
      <c r="K217" s="939" t="n">
        <f aca="false">H217*I217/100</f>
        <v>0</v>
      </c>
      <c r="L217" s="1137" t="n">
        <v>2</v>
      </c>
      <c r="M217" s="1305" t="n">
        <v>15</v>
      </c>
      <c r="N217" s="1137" t="n">
        <f aca="false">L217*M217</f>
        <v>30</v>
      </c>
      <c r="O217" s="1137" t="n">
        <f aca="false">H217*N217</f>
        <v>420</v>
      </c>
      <c r="P217" s="910" t="s">
        <v>2195</v>
      </c>
      <c r="Q217" s="911" t="s">
        <v>2321</v>
      </c>
      <c r="R217" s="891" t="n">
        <v>420</v>
      </c>
      <c r="S217" s="840" t="n">
        <f aca="false">R217/H217</f>
        <v>30</v>
      </c>
      <c r="T217" s="942" t="n">
        <f aca="false">O217-R217</f>
        <v>0</v>
      </c>
      <c r="U217" s="942" t="n">
        <f aca="false">N217-S217</f>
        <v>0</v>
      </c>
    </row>
    <row r="218" customFormat="false" ht="15" hidden="false" customHeight="true" outlineLevel="0" collapsed="false">
      <c r="A218" s="882" t="n">
        <v>526</v>
      </c>
      <c r="B218" s="883" t="s">
        <v>2191</v>
      </c>
      <c r="C218" s="883" t="n">
        <v>2022</v>
      </c>
      <c r="D218" s="831" t="s">
        <v>11</v>
      </c>
      <c r="E218" s="831" t="s">
        <v>2192</v>
      </c>
      <c r="F218" s="832" t="s">
        <v>1651</v>
      </c>
      <c r="G218" s="833"/>
      <c r="H218" s="834" t="n">
        <v>14</v>
      </c>
      <c r="I218" s="1020"/>
      <c r="J218" s="1020"/>
      <c r="K218" s="836" t="n">
        <f aca="false">H218*I218/100</f>
        <v>0</v>
      </c>
      <c r="L218" s="837" t="n">
        <v>36</v>
      </c>
      <c r="M218" s="1303" t="n">
        <v>15</v>
      </c>
      <c r="N218" s="837" t="n">
        <f aca="false">L218*M218</f>
        <v>540</v>
      </c>
      <c r="O218" s="837" t="n">
        <f aca="false">H218*N218</f>
        <v>7560</v>
      </c>
      <c r="P218" s="838" t="s">
        <v>2193</v>
      </c>
      <c r="Q218" s="839" t="s">
        <v>2325</v>
      </c>
      <c r="R218" s="840" t="n">
        <v>2100</v>
      </c>
      <c r="S218" s="886" t="n">
        <f aca="false">R218/H218</f>
        <v>150</v>
      </c>
      <c r="T218" s="837" t="n">
        <f aca="false">O218-R218-R220-R219</f>
        <v>0</v>
      </c>
      <c r="U218" s="842" t="n">
        <f aca="false">N218-S218-S220-S219</f>
        <v>0</v>
      </c>
    </row>
    <row r="219" customFormat="false" ht="15" hidden="false" customHeight="true" outlineLevel="0" collapsed="false">
      <c r="A219" s="882"/>
      <c r="B219" s="883"/>
      <c r="C219" s="883"/>
      <c r="D219" s="904" t="s">
        <v>11</v>
      </c>
      <c r="E219" s="904" t="s">
        <v>2192</v>
      </c>
      <c r="F219" s="832"/>
      <c r="G219" s="833"/>
      <c r="H219" s="834"/>
      <c r="I219" s="1020"/>
      <c r="J219" s="1020"/>
      <c r="K219" s="836"/>
      <c r="L219" s="837"/>
      <c r="M219" s="1303"/>
      <c r="N219" s="837"/>
      <c r="O219" s="837"/>
      <c r="P219" s="910" t="s">
        <v>2195</v>
      </c>
      <c r="Q219" s="911" t="s">
        <v>2321</v>
      </c>
      <c r="R219" s="891" t="n">
        <v>1680</v>
      </c>
      <c r="S219" s="866" t="n">
        <f aca="false">R219/H218</f>
        <v>120</v>
      </c>
      <c r="T219" s="837"/>
      <c r="U219" s="842"/>
    </row>
    <row r="220" customFormat="false" ht="15" hidden="false" customHeight="true" outlineLevel="0" collapsed="false">
      <c r="A220" s="882"/>
      <c r="B220" s="883"/>
      <c r="C220" s="883"/>
      <c r="D220" s="843" t="s">
        <v>11</v>
      </c>
      <c r="E220" s="843" t="s">
        <v>2192</v>
      </c>
      <c r="F220" s="832"/>
      <c r="G220" s="833"/>
      <c r="H220" s="834"/>
      <c r="I220" s="1020"/>
      <c r="J220" s="1020"/>
      <c r="K220" s="836"/>
      <c r="L220" s="837"/>
      <c r="M220" s="1303"/>
      <c r="N220" s="837"/>
      <c r="O220" s="837"/>
      <c r="P220" s="844" t="s">
        <v>2193</v>
      </c>
      <c r="Q220" s="845" t="s">
        <v>2326</v>
      </c>
      <c r="R220" s="846" t="n">
        <v>3780</v>
      </c>
      <c r="S220" s="846" t="n">
        <f aca="false">R220/H218</f>
        <v>270</v>
      </c>
      <c r="T220" s="837"/>
      <c r="U220" s="842"/>
    </row>
    <row r="221" customFormat="false" ht="15" hidden="false" customHeight="true" outlineLevel="0" collapsed="false">
      <c r="A221" s="847" t="n">
        <v>527</v>
      </c>
      <c r="B221" s="847" t="s">
        <v>2191</v>
      </c>
      <c r="C221" s="847" t="n">
        <v>2022</v>
      </c>
      <c r="D221" s="848" t="s">
        <v>11</v>
      </c>
      <c r="E221" s="848" t="s">
        <v>2192</v>
      </c>
      <c r="F221" s="848" t="s">
        <v>1651</v>
      </c>
      <c r="G221" s="849"/>
      <c r="H221" s="850" t="n">
        <v>14</v>
      </c>
      <c r="I221" s="852"/>
      <c r="J221" s="852"/>
      <c r="K221" s="852" t="n">
        <f aca="false">H221*I221/100</f>
        <v>0</v>
      </c>
      <c r="L221" s="1143" t="n">
        <v>115</v>
      </c>
      <c r="M221" s="1304" t="n">
        <v>15</v>
      </c>
      <c r="N221" s="1143" t="n">
        <f aca="false">L221*M221</f>
        <v>1725</v>
      </c>
      <c r="O221" s="1143" t="n">
        <f aca="false">H221*N221</f>
        <v>24150</v>
      </c>
      <c r="P221" s="856" t="s">
        <v>2195</v>
      </c>
      <c r="Q221" s="857" t="s">
        <v>2321</v>
      </c>
      <c r="R221" s="854" t="n">
        <v>24150</v>
      </c>
      <c r="S221" s="840" t="n">
        <f aca="false">R221/H221</f>
        <v>1725</v>
      </c>
      <c r="T221" s="537" t="n">
        <f aca="false">O221-R221</f>
        <v>0</v>
      </c>
      <c r="U221" s="537" t="n">
        <f aca="false">N221-S221</f>
        <v>0</v>
      </c>
    </row>
    <row r="222" customFormat="false" ht="15" hidden="false" customHeight="true" outlineLevel="0" collapsed="false">
      <c r="A222" s="913" t="n">
        <v>13</v>
      </c>
      <c r="B222" s="914" t="s">
        <v>86</v>
      </c>
      <c r="C222" s="914" t="n">
        <v>2023</v>
      </c>
      <c r="D222" s="915" t="s">
        <v>11</v>
      </c>
      <c r="E222" s="915" t="s">
        <v>2192</v>
      </c>
      <c r="F222" s="916" t="s">
        <v>1650</v>
      </c>
      <c r="G222" s="917"/>
      <c r="H222" s="1306" t="n">
        <v>58.6</v>
      </c>
      <c r="I222" s="1307"/>
      <c r="J222" s="1308"/>
      <c r="K222" s="1309" t="n">
        <f aca="false">H222*I222/100</f>
        <v>0</v>
      </c>
      <c r="L222" s="1310" t="n">
        <v>2617</v>
      </c>
      <c r="M222" s="1311" t="n">
        <v>1</v>
      </c>
      <c r="N222" s="1310" t="n">
        <f aca="false">L222*M222</f>
        <v>2617</v>
      </c>
      <c r="O222" s="1310" t="n">
        <f aca="false">H222*N222</f>
        <v>153356.2</v>
      </c>
      <c r="P222" s="1193" t="s">
        <v>2232</v>
      </c>
      <c r="Q222" s="1312" t="s">
        <v>2327</v>
      </c>
      <c r="R222" s="1196" t="n">
        <v>8790</v>
      </c>
      <c r="S222" s="926" t="n">
        <f aca="false">R222/H222</f>
        <v>150</v>
      </c>
      <c r="T222" s="927" t="n">
        <f aca="false">O222-R222-R224-R223</f>
        <v>107384.5</v>
      </c>
      <c r="U222" s="1313" t="n">
        <f aca="false">N222-S222-S224-S223</f>
        <v>1832.5</v>
      </c>
    </row>
    <row r="223" customFormat="false" ht="15" hidden="false" customHeight="true" outlineLevel="0" collapsed="false">
      <c r="A223" s="913"/>
      <c r="B223" s="914"/>
      <c r="C223" s="914"/>
      <c r="D223" s="988" t="s">
        <v>11</v>
      </c>
      <c r="E223" s="988" t="s">
        <v>2192</v>
      </c>
      <c r="F223" s="916"/>
      <c r="G223" s="917"/>
      <c r="H223" s="1306"/>
      <c r="I223" s="1307"/>
      <c r="J223" s="1314"/>
      <c r="K223" s="1309"/>
      <c r="L223" s="1310"/>
      <c r="M223" s="1311"/>
      <c r="N223" s="1310"/>
      <c r="O223" s="1310"/>
      <c r="P223" s="996" t="s">
        <v>2195</v>
      </c>
      <c r="Q223" s="1315"/>
      <c r="R223" s="994" t="n">
        <v>7881.7</v>
      </c>
      <c r="S223" s="933" t="n">
        <f aca="false">R223/H222</f>
        <v>134.5</v>
      </c>
      <c r="T223" s="927"/>
      <c r="U223" s="1313"/>
    </row>
    <row r="224" customFormat="false" ht="15" hidden="false" customHeight="true" outlineLevel="0" collapsed="false">
      <c r="A224" s="913"/>
      <c r="B224" s="914"/>
      <c r="C224" s="914"/>
      <c r="D224" s="934" t="s">
        <v>11</v>
      </c>
      <c r="E224" s="934" t="s">
        <v>2192</v>
      </c>
      <c r="F224" s="916"/>
      <c r="G224" s="917"/>
      <c r="H224" s="1306"/>
      <c r="I224" s="1307"/>
      <c r="J224" s="1316"/>
      <c r="K224" s="1309"/>
      <c r="L224" s="1310"/>
      <c r="M224" s="1311"/>
      <c r="N224" s="1310"/>
      <c r="O224" s="1310"/>
      <c r="P224" s="935" t="s">
        <v>2232</v>
      </c>
      <c r="Q224" s="936" t="s">
        <v>2328</v>
      </c>
      <c r="R224" s="938" t="n">
        <v>29300</v>
      </c>
      <c r="S224" s="938" t="n">
        <f aca="false">R224/H222</f>
        <v>500</v>
      </c>
      <c r="T224" s="927"/>
      <c r="U224" s="1313"/>
    </row>
    <row r="225" customFormat="false" ht="15" hidden="false" customHeight="true" outlineLevel="0" collapsed="false">
      <c r="A225" s="829" t="n">
        <v>35</v>
      </c>
      <c r="B225" s="830" t="s">
        <v>86</v>
      </c>
      <c r="C225" s="830" t="n">
        <v>2023</v>
      </c>
      <c r="D225" s="831" t="s">
        <v>11</v>
      </c>
      <c r="E225" s="831" t="s">
        <v>2241</v>
      </c>
      <c r="F225" s="830"/>
      <c r="G225" s="833"/>
      <c r="H225" s="834" t="n">
        <v>45.6</v>
      </c>
      <c r="I225" s="1317"/>
      <c r="J225" s="1020"/>
      <c r="K225" s="1318" t="n">
        <f aca="false">H225*I225/100</f>
        <v>0</v>
      </c>
      <c r="L225" s="837" t="n">
        <v>33</v>
      </c>
      <c r="M225" s="1303" t="n">
        <v>1</v>
      </c>
      <c r="N225" s="837" t="n">
        <f aca="false">L225*M225</f>
        <v>33</v>
      </c>
      <c r="O225" s="837" t="n">
        <f aca="false">H225*N225</f>
        <v>1504.8</v>
      </c>
      <c r="P225" s="838" t="s">
        <v>2195</v>
      </c>
      <c r="Q225" s="839" t="s">
        <v>2240</v>
      </c>
      <c r="R225" s="840" t="n">
        <v>501.6</v>
      </c>
      <c r="S225" s="840" t="n">
        <f aca="false">R225/H225</f>
        <v>11</v>
      </c>
      <c r="T225" s="837" t="n">
        <f aca="false">O225-R225-R226</f>
        <v>0</v>
      </c>
      <c r="U225" s="842" t="n">
        <f aca="false">N225-S225-S226</f>
        <v>0</v>
      </c>
    </row>
    <row r="226" customFormat="false" ht="15" hidden="false" customHeight="true" outlineLevel="0" collapsed="false">
      <c r="A226" s="829"/>
      <c r="B226" s="830"/>
      <c r="C226" s="830"/>
      <c r="D226" s="887" t="s">
        <v>11</v>
      </c>
      <c r="E226" s="887" t="s">
        <v>2241</v>
      </c>
      <c r="F226" s="830"/>
      <c r="G226" s="833"/>
      <c r="H226" s="834"/>
      <c r="I226" s="1319"/>
      <c r="J226" s="1020"/>
      <c r="K226" s="1318"/>
      <c r="L226" s="837"/>
      <c r="M226" s="1303"/>
      <c r="N226" s="837"/>
      <c r="O226" s="837"/>
      <c r="P226" s="888" t="s">
        <v>2204</v>
      </c>
      <c r="Q226" s="1320" t="s">
        <v>2206</v>
      </c>
      <c r="R226" s="1080" t="n">
        <v>1003.2</v>
      </c>
      <c r="S226" s="890" t="n">
        <f aca="false">R226/H225</f>
        <v>22</v>
      </c>
      <c r="T226" s="837"/>
      <c r="U226" s="842"/>
    </row>
    <row r="227" customFormat="false" ht="15" hidden="false" customHeight="true" outlineLevel="0" collapsed="false">
      <c r="A227" s="1155" t="n">
        <v>36</v>
      </c>
      <c r="B227" s="1155" t="s">
        <v>86</v>
      </c>
      <c r="C227" s="1155" t="n">
        <v>2023</v>
      </c>
      <c r="D227" s="1156" t="s">
        <v>11</v>
      </c>
      <c r="E227" s="1156" t="s">
        <v>2203</v>
      </c>
      <c r="F227" s="1156"/>
      <c r="G227" s="1157"/>
      <c r="H227" s="1274" t="n">
        <v>15.7</v>
      </c>
      <c r="I227" s="1160"/>
      <c r="J227" s="1160"/>
      <c r="K227" s="1160" t="n">
        <f aca="false">H227*I227/100</f>
        <v>0</v>
      </c>
      <c r="L227" s="1321" t="n">
        <v>582</v>
      </c>
      <c r="M227" s="1322" t="n">
        <v>1</v>
      </c>
      <c r="N227" s="1321" t="n">
        <f aca="false">L227*M227</f>
        <v>582</v>
      </c>
      <c r="O227" s="1321" t="n">
        <f aca="false">H227*N227</f>
        <v>9137.4</v>
      </c>
      <c r="P227" s="1165" t="s">
        <v>2195</v>
      </c>
      <c r="Q227" s="1323" t="s">
        <v>2240</v>
      </c>
      <c r="R227" s="1168" t="n">
        <v>580.9</v>
      </c>
      <c r="S227" s="1168" t="n">
        <f aca="false">R227/H227</f>
        <v>37</v>
      </c>
      <c r="T227" s="1163" t="n">
        <f aca="false">O227-R227</f>
        <v>8556.5</v>
      </c>
      <c r="U227" s="1163" t="n">
        <f aca="false">N227-S227</f>
        <v>545</v>
      </c>
    </row>
    <row r="228" customFormat="false" ht="15" hidden="false" customHeight="true" outlineLevel="0" collapsed="false">
      <c r="A228" s="859" t="n">
        <v>38</v>
      </c>
      <c r="B228" s="859" t="s">
        <v>86</v>
      </c>
      <c r="C228" s="859" t="n">
        <v>2023</v>
      </c>
      <c r="D228" s="860" t="s">
        <v>11</v>
      </c>
      <c r="E228" s="860" t="s">
        <v>2205</v>
      </c>
      <c r="F228" s="860"/>
      <c r="G228" s="861"/>
      <c r="H228" s="862" t="n">
        <v>13.9</v>
      </c>
      <c r="I228" s="864"/>
      <c r="J228" s="864"/>
      <c r="K228" s="864" t="n">
        <f aca="false">H228*I228/100</f>
        <v>0</v>
      </c>
      <c r="L228" s="1299" t="n">
        <v>77</v>
      </c>
      <c r="M228" s="1300" t="n">
        <v>1</v>
      </c>
      <c r="N228" s="1299" t="n">
        <f aca="false">L228*M228</f>
        <v>77</v>
      </c>
      <c r="O228" s="1299" t="n">
        <f aca="false">H228*N228</f>
        <v>1070.3</v>
      </c>
      <c r="P228" s="868" t="s">
        <v>2204</v>
      </c>
      <c r="Q228" s="1012" t="s">
        <v>2206</v>
      </c>
      <c r="R228" s="1018" t="n">
        <v>1070.3</v>
      </c>
      <c r="S228" s="854" t="n">
        <f aca="false">R228/H228</f>
        <v>77</v>
      </c>
      <c r="T228" s="543" t="n">
        <f aca="false">O228-R228</f>
        <v>0</v>
      </c>
      <c r="U228" s="543" t="n">
        <f aca="false">N228-S228</f>
        <v>0</v>
      </c>
    </row>
    <row r="229" customFormat="false" ht="15" hidden="false" customHeight="true" outlineLevel="0" collapsed="false">
      <c r="A229" s="1258" t="n">
        <v>39</v>
      </c>
      <c r="B229" s="1258" t="s">
        <v>86</v>
      </c>
      <c r="C229" s="1258" t="n">
        <v>2023</v>
      </c>
      <c r="D229" s="1259" t="s">
        <v>11</v>
      </c>
      <c r="E229" s="1259" t="s">
        <v>2203</v>
      </c>
      <c r="F229" s="1259"/>
      <c r="G229" s="1260"/>
      <c r="H229" s="1324" t="n">
        <v>9.1</v>
      </c>
      <c r="I229" s="1263"/>
      <c r="J229" s="1263"/>
      <c r="K229" s="1263" t="n">
        <f aca="false">H229*I229/100</f>
        <v>0</v>
      </c>
      <c r="L229" s="1325" t="n">
        <v>223</v>
      </c>
      <c r="M229" s="1326" t="n">
        <v>1</v>
      </c>
      <c r="N229" s="1325" t="n">
        <f aca="false">L229*M229</f>
        <v>223</v>
      </c>
      <c r="O229" s="1325" t="n">
        <f aca="false">H229*N229</f>
        <v>2029.3</v>
      </c>
      <c r="P229" s="1267"/>
      <c r="Q229" s="1327"/>
      <c r="R229" s="1269"/>
      <c r="S229" s="1269"/>
      <c r="T229" s="1270" t="n">
        <f aca="false">O229-R229</f>
        <v>2029.3</v>
      </c>
      <c r="U229" s="1270" t="n">
        <f aca="false">N229-S229</f>
        <v>223</v>
      </c>
    </row>
    <row r="230" customFormat="false" ht="15" hidden="false" customHeight="true" outlineLevel="0" collapsed="false">
      <c r="A230" s="882" t="n">
        <v>13</v>
      </c>
      <c r="B230" s="883" t="s">
        <v>2207</v>
      </c>
      <c r="C230" s="883" t="n">
        <v>2023</v>
      </c>
      <c r="D230" s="1328" t="s">
        <v>11</v>
      </c>
      <c r="E230" s="1328" t="s">
        <v>2192</v>
      </c>
      <c r="F230" s="832" t="s">
        <v>1651</v>
      </c>
      <c r="G230" s="833"/>
      <c r="H230" s="834" t="n">
        <v>10.2</v>
      </c>
      <c r="I230" s="835"/>
      <c r="J230" s="835"/>
      <c r="K230" s="836" t="n">
        <f aca="false">H230*I230/100</f>
        <v>0</v>
      </c>
      <c r="L230" s="1002" t="n">
        <v>7053</v>
      </c>
      <c r="M230" s="1003" t="n">
        <v>1</v>
      </c>
      <c r="N230" s="837" t="n">
        <f aca="false">L230*M230</f>
        <v>7053</v>
      </c>
      <c r="O230" s="837" t="n">
        <f aca="false">H230*N230</f>
        <v>71940.6</v>
      </c>
      <c r="P230" s="884" t="s">
        <v>2197</v>
      </c>
      <c r="Q230" s="1015" t="s">
        <v>2329</v>
      </c>
      <c r="R230" s="886" t="n">
        <v>22267</v>
      </c>
      <c r="S230" s="886" t="n">
        <f aca="false">R230/H230</f>
        <v>2183.03921568627</v>
      </c>
      <c r="T230" s="841" t="n">
        <f aca="false">O230-R230-R232-R231</f>
        <v>0</v>
      </c>
      <c r="U230" s="842" t="n">
        <f aca="false">N230-S230-S232-S231</f>
        <v>0</v>
      </c>
    </row>
    <row r="231" customFormat="false" ht="15" hidden="false" customHeight="true" outlineLevel="0" collapsed="false">
      <c r="A231" s="882"/>
      <c r="B231" s="883"/>
      <c r="C231" s="883"/>
      <c r="D231" s="860" t="s">
        <v>11</v>
      </c>
      <c r="E231" s="860" t="s">
        <v>2192</v>
      </c>
      <c r="F231" s="832"/>
      <c r="G231" s="833"/>
      <c r="H231" s="834"/>
      <c r="I231" s="835"/>
      <c r="J231" s="835"/>
      <c r="K231" s="836"/>
      <c r="L231" s="1002"/>
      <c r="M231" s="1003"/>
      <c r="N231" s="837"/>
      <c r="O231" s="837"/>
      <c r="P231" s="868" t="s">
        <v>2195</v>
      </c>
      <c r="Q231" s="1011" t="s">
        <v>2330</v>
      </c>
      <c r="R231" s="866" t="n">
        <v>29987.6</v>
      </c>
      <c r="S231" s="866" t="n">
        <f aca="false">R231/H230</f>
        <v>2939.96078431373</v>
      </c>
      <c r="T231" s="841"/>
      <c r="U231" s="842"/>
    </row>
    <row r="232" customFormat="false" ht="15" hidden="false" customHeight="true" outlineLevel="0" collapsed="false">
      <c r="A232" s="882"/>
      <c r="B232" s="883"/>
      <c r="C232" s="883"/>
      <c r="D232" s="887" t="s">
        <v>11</v>
      </c>
      <c r="E232" s="887" t="s">
        <v>2192</v>
      </c>
      <c r="F232" s="832"/>
      <c r="G232" s="833"/>
      <c r="H232" s="834"/>
      <c r="I232" s="835"/>
      <c r="J232" s="835"/>
      <c r="K232" s="836"/>
      <c r="L232" s="1002"/>
      <c r="M232" s="1003"/>
      <c r="N232" s="837"/>
      <c r="O232" s="837"/>
      <c r="P232" s="844" t="s">
        <v>2195</v>
      </c>
      <c r="Q232" s="1005" t="s">
        <v>2240</v>
      </c>
      <c r="R232" s="846" t="n">
        <v>19686</v>
      </c>
      <c r="S232" s="846" t="n">
        <f aca="false">R232/H230</f>
        <v>1930</v>
      </c>
      <c r="T232" s="841"/>
      <c r="U232" s="842"/>
    </row>
    <row r="233" customFormat="false" ht="15" hidden="false" customHeight="true" outlineLevel="0" collapsed="false">
      <c r="A233" s="1329" t="n">
        <v>40</v>
      </c>
      <c r="B233" s="1229" t="s">
        <v>86</v>
      </c>
      <c r="C233" s="1229" t="n">
        <v>2023</v>
      </c>
      <c r="D233" s="1230" t="s">
        <v>11</v>
      </c>
      <c r="E233" s="1230" t="s">
        <v>2203</v>
      </c>
      <c r="F233" s="1230"/>
      <c r="G233" s="1231"/>
      <c r="H233" s="1330" t="n">
        <v>15.8</v>
      </c>
      <c r="I233" s="1331"/>
      <c r="J233" s="1331"/>
      <c r="K233" s="1332" t="n">
        <f aca="false">H233*I233/100</f>
        <v>0</v>
      </c>
      <c r="L233" s="1234" t="n">
        <v>133</v>
      </c>
      <c r="M233" s="1235" t="n">
        <v>1</v>
      </c>
      <c r="N233" s="1333" t="n">
        <f aca="false">L233*M233</f>
        <v>133</v>
      </c>
      <c r="O233" s="1333" t="n">
        <f aca="false">H233*N233</f>
        <v>2101.4</v>
      </c>
      <c r="P233" s="1236"/>
      <c r="Q233" s="1334"/>
      <c r="R233" s="1177"/>
      <c r="S233" s="1177" t="n">
        <f aca="false">R233/H233</f>
        <v>0</v>
      </c>
      <c r="T233" s="1335" t="n">
        <f aca="false">O233-R233</f>
        <v>2101.4</v>
      </c>
      <c r="U233" s="1336" t="n">
        <f aca="false">N233-S233</f>
        <v>133</v>
      </c>
    </row>
    <row r="234" customFormat="false" ht="15" hidden="false" customHeight="true" outlineLevel="0" collapsed="false">
      <c r="A234" s="1337" t="n">
        <v>65</v>
      </c>
      <c r="B234" s="1338" t="s">
        <v>86</v>
      </c>
      <c r="C234" s="1028" t="n">
        <v>2023</v>
      </c>
      <c r="D234" s="1328" t="s">
        <v>11</v>
      </c>
      <c r="E234" s="1328" t="s">
        <v>2203</v>
      </c>
      <c r="F234" s="1328"/>
      <c r="G234" s="1030"/>
      <c r="H234" s="1339" t="n">
        <v>0</v>
      </c>
      <c r="I234" s="1340"/>
      <c r="J234" s="1340"/>
      <c r="K234" s="1033" t="n">
        <f aca="false">H234*I234/100</f>
        <v>0</v>
      </c>
      <c r="L234" s="1034" t="n">
        <v>1333</v>
      </c>
      <c r="M234" s="1035" t="n">
        <v>1</v>
      </c>
      <c r="N234" s="1341" t="n">
        <f aca="false">L234*M234</f>
        <v>1333</v>
      </c>
      <c r="O234" s="1341" t="n">
        <f aca="false">H234*N234</f>
        <v>0</v>
      </c>
      <c r="P234" s="884" t="s">
        <v>2204</v>
      </c>
      <c r="Q234" s="885" t="n">
        <v>14052024</v>
      </c>
      <c r="R234" s="886" t="n">
        <v>0</v>
      </c>
      <c r="S234" s="886" t="n">
        <v>1333</v>
      </c>
      <c r="T234" s="1036" t="n">
        <f aca="false">O234-R234</f>
        <v>0</v>
      </c>
      <c r="U234" s="1037" t="n">
        <f aca="false">N234-S234</f>
        <v>0</v>
      </c>
    </row>
    <row r="235" customFormat="false" ht="15" hidden="false" customHeight="true" outlineLevel="0" collapsed="false">
      <c r="A235" s="1337"/>
      <c r="B235" s="1342" t="s">
        <v>86</v>
      </c>
      <c r="C235" s="830" t="n">
        <v>2023</v>
      </c>
      <c r="D235" s="831" t="s">
        <v>11</v>
      </c>
      <c r="E235" s="831" t="s">
        <v>2205</v>
      </c>
      <c r="F235" s="830"/>
      <c r="G235" s="833"/>
      <c r="H235" s="834" t="n">
        <v>7.6</v>
      </c>
      <c r="I235" s="835"/>
      <c r="J235" s="835"/>
      <c r="K235" s="836" t="n">
        <f aca="false">H235*I235/100</f>
        <v>0</v>
      </c>
      <c r="L235" s="1002" t="n">
        <v>1008</v>
      </c>
      <c r="M235" s="1003" t="n">
        <v>1</v>
      </c>
      <c r="N235" s="837" t="n">
        <f aca="false">L235*M235</f>
        <v>1008</v>
      </c>
      <c r="O235" s="837" t="n">
        <f aca="false">H235*N235</f>
        <v>7660.8</v>
      </c>
      <c r="P235" s="838" t="s">
        <v>2204</v>
      </c>
      <c r="Q235" s="839" t="n">
        <v>14052024</v>
      </c>
      <c r="R235" s="840" t="n">
        <v>6087.6</v>
      </c>
      <c r="S235" s="840" t="n">
        <f aca="false">R235/H235</f>
        <v>801</v>
      </c>
      <c r="T235" s="841" t="n">
        <f aca="false">O235-R235-R236</f>
        <v>0</v>
      </c>
      <c r="U235" s="842" t="n">
        <f aca="false">N235-S235-S236</f>
        <v>0</v>
      </c>
    </row>
    <row r="236" customFormat="false" ht="15" hidden="false" customHeight="true" outlineLevel="0" collapsed="false">
      <c r="A236" s="1337"/>
      <c r="B236" s="1342"/>
      <c r="C236" s="830"/>
      <c r="D236" s="843" t="s">
        <v>11</v>
      </c>
      <c r="E236" s="843" t="s">
        <v>2205</v>
      </c>
      <c r="F236" s="830"/>
      <c r="G236" s="833"/>
      <c r="H236" s="834"/>
      <c r="I236" s="835"/>
      <c r="J236" s="835"/>
      <c r="K236" s="836"/>
      <c r="L236" s="1002"/>
      <c r="M236" s="1003"/>
      <c r="N236" s="837"/>
      <c r="O236" s="837"/>
      <c r="P236" s="844" t="s">
        <v>2204</v>
      </c>
      <c r="Q236" s="845" t="n">
        <v>15052024</v>
      </c>
      <c r="R236" s="846" t="n">
        <v>1573.2</v>
      </c>
      <c r="S236" s="846" t="n">
        <f aca="false">R236/H235</f>
        <v>207</v>
      </c>
      <c r="T236" s="841"/>
      <c r="U236" s="842"/>
    </row>
    <row r="237" customFormat="false" ht="15" hidden="false" customHeight="true" outlineLevel="0" collapsed="false">
      <c r="A237" s="1155" t="n">
        <v>70</v>
      </c>
      <c r="B237" s="1155" t="s">
        <v>86</v>
      </c>
      <c r="C237" s="1155" t="n">
        <v>2023</v>
      </c>
      <c r="D237" s="1156" t="s">
        <v>11</v>
      </c>
      <c r="E237" s="1156" t="s">
        <v>2203</v>
      </c>
      <c r="F237" s="1156"/>
      <c r="G237" s="1157"/>
      <c r="H237" s="1274" t="n">
        <v>33</v>
      </c>
      <c r="I237" s="1160"/>
      <c r="J237" s="1160"/>
      <c r="K237" s="1160" t="n">
        <f aca="false">H237*I237/100</f>
        <v>0</v>
      </c>
      <c r="L237" s="1161" t="n">
        <v>363</v>
      </c>
      <c r="M237" s="1162" t="n">
        <v>1</v>
      </c>
      <c r="N237" s="1321" t="n">
        <f aca="false">L237*M237</f>
        <v>363</v>
      </c>
      <c r="O237" s="1321" t="n">
        <f aca="false">H237*N237</f>
        <v>11979</v>
      </c>
      <c r="P237" s="1165"/>
      <c r="Q237" s="1343"/>
      <c r="R237" s="1168"/>
      <c r="S237" s="1168"/>
      <c r="T237" s="1163" t="n">
        <f aca="false">O237-R237</f>
        <v>11979</v>
      </c>
      <c r="U237" s="1163" t="n">
        <f aca="false">N237-S237</f>
        <v>363</v>
      </c>
    </row>
    <row r="238" customFormat="false" ht="15" hidden="false" customHeight="true" outlineLevel="0" collapsed="false">
      <c r="A238" s="1344" t="n">
        <v>82</v>
      </c>
      <c r="B238" s="903" t="s">
        <v>2191</v>
      </c>
      <c r="C238" s="903" t="n">
        <v>2023</v>
      </c>
      <c r="D238" s="904" t="s">
        <v>11</v>
      </c>
      <c r="E238" s="904" t="s">
        <v>2192</v>
      </c>
      <c r="F238" s="904" t="s">
        <v>1652</v>
      </c>
      <c r="G238" s="905"/>
      <c r="H238" s="906" t="n">
        <v>20</v>
      </c>
      <c r="I238" s="939"/>
      <c r="J238" s="939"/>
      <c r="K238" s="939" t="n">
        <f aca="false">H238*I238/100</f>
        <v>0</v>
      </c>
      <c r="L238" s="1022" t="n">
        <v>3</v>
      </c>
      <c r="M238" s="1023" t="n">
        <v>15</v>
      </c>
      <c r="N238" s="1137" t="n">
        <f aca="false">L238*M238</f>
        <v>45</v>
      </c>
      <c r="O238" s="1137" t="n">
        <f aca="false">H238*N238</f>
        <v>900</v>
      </c>
      <c r="P238" s="910" t="s">
        <v>2193</v>
      </c>
      <c r="Q238" s="1057" t="s">
        <v>2324</v>
      </c>
      <c r="R238" s="891" t="n">
        <v>900</v>
      </c>
      <c r="S238" s="866" t="n">
        <f aca="false">R238/H238</f>
        <v>45</v>
      </c>
      <c r="T238" s="1345" t="n">
        <f aca="false">O238-R238</f>
        <v>0</v>
      </c>
      <c r="U238" s="1070" t="n">
        <f aca="false">N238-S238</f>
        <v>0</v>
      </c>
    </row>
    <row r="239" customFormat="false" ht="15" hidden="false" customHeight="true" outlineLevel="0" collapsed="false">
      <c r="A239" s="882" t="n">
        <v>165</v>
      </c>
      <c r="B239" s="883" t="s">
        <v>86</v>
      </c>
      <c r="C239" s="883" t="n">
        <v>2023</v>
      </c>
      <c r="D239" s="831" t="s">
        <v>11</v>
      </c>
      <c r="E239" s="831" t="s">
        <v>2192</v>
      </c>
      <c r="F239" s="832" t="s">
        <v>1650</v>
      </c>
      <c r="G239" s="833"/>
      <c r="H239" s="834" t="n">
        <v>51</v>
      </c>
      <c r="I239" s="835"/>
      <c r="J239" s="835"/>
      <c r="K239" s="836" t="n">
        <f aca="false">H239*I239/100</f>
        <v>0</v>
      </c>
      <c r="L239" s="1002" t="n">
        <v>1914</v>
      </c>
      <c r="M239" s="1003" t="n">
        <v>1</v>
      </c>
      <c r="N239" s="1075" t="n">
        <f aca="false">L239*M239</f>
        <v>1914</v>
      </c>
      <c r="O239" s="1075" t="n">
        <f aca="false">H239*N239</f>
        <v>97614</v>
      </c>
      <c r="P239" s="838" t="s">
        <v>2232</v>
      </c>
      <c r="Q239" s="1004" t="s">
        <v>2328</v>
      </c>
      <c r="R239" s="840" t="n">
        <v>66300</v>
      </c>
      <c r="S239" s="886" t="n">
        <f aca="false">R239/H239</f>
        <v>1300</v>
      </c>
      <c r="T239" s="837" t="n">
        <f aca="false">O239-R239-R241-R240</f>
        <v>0</v>
      </c>
      <c r="U239" s="1346" t="n">
        <f aca="false">N239-S239-S241-S240</f>
        <v>0</v>
      </c>
    </row>
    <row r="240" customFormat="false" ht="15" hidden="false" customHeight="true" outlineLevel="0" collapsed="false">
      <c r="A240" s="882"/>
      <c r="B240" s="883"/>
      <c r="C240" s="883"/>
      <c r="D240" s="904" t="s">
        <v>11</v>
      </c>
      <c r="E240" s="904" t="s">
        <v>2192</v>
      </c>
      <c r="F240" s="832"/>
      <c r="G240" s="833"/>
      <c r="H240" s="834"/>
      <c r="I240" s="835"/>
      <c r="J240" s="835"/>
      <c r="K240" s="836"/>
      <c r="L240" s="1002"/>
      <c r="M240" s="1003"/>
      <c r="N240" s="1075"/>
      <c r="O240" s="1075"/>
      <c r="P240" s="910" t="s">
        <v>2193</v>
      </c>
      <c r="Q240" s="1057" t="s">
        <v>2331</v>
      </c>
      <c r="R240" s="891" t="n">
        <v>31237.5</v>
      </c>
      <c r="S240" s="866" t="n">
        <f aca="false">R240/H239</f>
        <v>612.5</v>
      </c>
      <c r="T240" s="837"/>
      <c r="U240" s="1346"/>
    </row>
    <row r="241" customFormat="false" ht="15" hidden="false" customHeight="true" outlineLevel="0" collapsed="false">
      <c r="A241" s="882"/>
      <c r="B241" s="883"/>
      <c r="C241" s="883"/>
      <c r="D241" s="843" t="s">
        <v>11</v>
      </c>
      <c r="E241" s="843" t="s">
        <v>2192</v>
      </c>
      <c r="F241" s="832"/>
      <c r="G241" s="833"/>
      <c r="H241" s="834"/>
      <c r="I241" s="835"/>
      <c r="J241" s="835"/>
      <c r="K241" s="836"/>
      <c r="L241" s="1002"/>
      <c r="M241" s="1003"/>
      <c r="N241" s="1075"/>
      <c r="O241" s="1075"/>
      <c r="P241" s="844" t="s">
        <v>2195</v>
      </c>
      <c r="Q241" s="1005"/>
      <c r="R241" s="901" t="n">
        <v>76.5</v>
      </c>
      <c r="S241" s="901" t="n">
        <f aca="false">R241/H239</f>
        <v>1.5</v>
      </c>
      <c r="T241" s="837"/>
      <c r="U241" s="1346"/>
    </row>
    <row r="242" customFormat="false" ht="15" hidden="false" customHeight="true" outlineLevel="0" collapsed="false">
      <c r="A242" s="1344" t="n">
        <v>119</v>
      </c>
      <c r="B242" s="903" t="s">
        <v>2191</v>
      </c>
      <c r="C242" s="903" t="n">
        <v>2023</v>
      </c>
      <c r="D242" s="904" t="s">
        <v>11</v>
      </c>
      <c r="E242" s="904" t="s">
        <v>2192</v>
      </c>
      <c r="F242" s="904" t="s">
        <v>1651</v>
      </c>
      <c r="G242" s="905"/>
      <c r="H242" s="946" t="n">
        <v>14</v>
      </c>
      <c r="I242" s="947"/>
      <c r="J242" s="947"/>
      <c r="K242" s="852" t="n">
        <f aca="false">H242*I242/100</f>
        <v>0</v>
      </c>
      <c r="L242" s="1022" t="n">
        <v>11</v>
      </c>
      <c r="M242" s="1023" t="n">
        <v>15</v>
      </c>
      <c r="N242" s="1137" t="n">
        <f aca="false">L242*M242</f>
        <v>165</v>
      </c>
      <c r="O242" s="1137" t="n">
        <f aca="false">H242*N242</f>
        <v>2310</v>
      </c>
      <c r="P242" s="910" t="s">
        <v>2195</v>
      </c>
      <c r="Q242" s="1057" t="s">
        <v>2321</v>
      </c>
      <c r="R242" s="891" t="n">
        <v>2310</v>
      </c>
      <c r="S242" s="886" t="n">
        <f aca="false">R242/H242</f>
        <v>165</v>
      </c>
      <c r="T242" s="1347" t="n">
        <f aca="false">O242-R242</f>
        <v>0</v>
      </c>
      <c r="U242" s="537" t="n">
        <f aca="false">N242-S242</f>
        <v>0</v>
      </c>
    </row>
    <row r="243" customFormat="false" ht="15" hidden="false" customHeight="true" outlineLevel="0" collapsed="false">
      <c r="A243" s="859" t="n">
        <v>252</v>
      </c>
      <c r="B243" s="859" t="s">
        <v>2191</v>
      </c>
      <c r="C243" s="859" t="n">
        <v>2023</v>
      </c>
      <c r="D243" s="860" t="s">
        <v>11</v>
      </c>
      <c r="E243" s="860" t="s">
        <v>2192</v>
      </c>
      <c r="F243" s="860" t="s">
        <v>1651</v>
      </c>
      <c r="G243" s="861"/>
      <c r="H243" s="862" t="n">
        <v>14</v>
      </c>
      <c r="I243" s="981"/>
      <c r="J243" s="981"/>
      <c r="K243" s="852" t="n">
        <f aca="false">H243*I243/100</f>
        <v>0</v>
      </c>
      <c r="L243" s="982" t="n">
        <v>60</v>
      </c>
      <c r="M243" s="983" t="n">
        <v>15</v>
      </c>
      <c r="N243" s="1299" t="n">
        <f aca="false">L243*M243</f>
        <v>900</v>
      </c>
      <c r="O243" s="1348" t="n">
        <f aca="false">H243*N243</f>
        <v>12600</v>
      </c>
      <c r="P243" s="868" t="s">
        <v>2195</v>
      </c>
      <c r="Q243" s="1011" t="s">
        <v>2321</v>
      </c>
      <c r="R243" s="866" t="n">
        <v>12600</v>
      </c>
      <c r="S243" s="866" t="n">
        <f aca="false">R243/H243</f>
        <v>900</v>
      </c>
      <c r="T243" s="543" t="n">
        <f aca="false">O243-R243</f>
        <v>0</v>
      </c>
      <c r="U243" s="543" t="n">
        <f aca="false">N243-S243</f>
        <v>0</v>
      </c>
    </row>
    <row r="244" customFormat="false" ht="15" hidden="false" customHeight="true" outlineLevel="0" collapsed="false">
      <c r="A244" s="870" t="n">
        <v>258</v>
      </c>
      <c r="B244" s="870" t="s">
        <v>2191</v>
      </c>
      <c r="C244" s="870" t="n">
        <v>2023</v>
      </c>
      <c r="D244" s="871" t="s">
        <v>11</v>
      </c>
      <c r="E244" s="871" t="s">
        <v>2192</v>
      </c>
      <c r="F244" s="871" t="s">
        <v>1652</v>
      </c>
      <c r="G244" s="872"/>
      <c r="H244" s="873" t="n">
        <v>24</v>
      </c>
      <c r="I244" s="1117"/>
      <c r="J244" s="1117"/>
      <c r="K244" s="875" t="n">
        <f aca="false">H244*I244/100</f>
        <v>0</v>
      </c>
      <c r="L244" s="999" t="n">
        <v>2</v>
      </c>
      <c r="M244" s="1000" t="n">
        <v>15</v>
      </c>
      <c r="N244" s="1301" t="n">
        <f aca="false">L244*M244</f>
        <v>30</v>
      </c>
      <c r="O244" s="1349" t="n">
        <f aca="false">H244*N244</f>
        <v>720</v>
      </c>
      <c r="P244" s="879" t="s">
        <v>2197</v>
      </c>
      <c r="Q244" s="1013" t="s">
        <v>2332</v>
      </c>
      <c r="R244" s="877" t="n">
        <v>720</v>
      </c>
      <c r="S244" s="866" t="n">
        <f aca="false">R244/H244</f>
        <v>30</v>
      </c>
      <c r="T244" s="553" t="n">
        <f aca="false">O244-R244</f>
        <v>0</v>
      </c>
      <c r="U244" s="553" t="n">
        <f aca="false">N244-S244</f>
        <v>0</v>
      </c>
    </row>
    <row r="245" customFormat="false" ht="15" hidden="false" customHeight="true" outlineLevel="0" collapsed="false">
      <c r="A245" s="829" t="n">
        <v>516</v>
      </c>
      <c r="B245" s="830" t="s">
        <v>2191</v>
      </c>
      <c r="C245" s="830" t="n">
        <v>2023</v>
      </c>
      <c r="D245" s="831" t="s">
        <v>11</v>
      </c>
      <c r="E245" s="831" t="s">
        <v>2192</v>
      </c>
      <c r="F245" s="832" t="s">
        <v>1651</v>
      </c>
      <c r="G245" s="833"/>
      <c r="H245" s="834" t="n">
        <v>15.8</v>
      </c>
      <c r="I245" s="835"/>
      <c r="J245" s="835"/>
      <c r="K245" s="836" t="n">
        <f aca="false">H245*I245/100</f>
        <v>0</v>
      </c>
      <c r="L245" s="1002" t="n">
        <v>29</v>
      </c>
      <c r="M245" s="1003" t="n">
        <v>15</v>
      </c>
      <c r="N245" s="837" t="n">
        <f aca="false">L245*M245</f>
        <v>435</v>
      </c>
      <c r="O245" s="1120" t="n">
        <f aca="false">H245*N245</f>
        <v>6873</v>
      </c>
      <c r="P245" s="838" t="s">
        <v>2193</v>
      </c>
      <c r="Q245" s="1004" t="s">
        <v>2324</v>
      </c>
      <c r="R245" s="840" t="n">
        <v>3318</v>
      </c>
      <c r="S245" s="840" t="n">
        <f aca="false">R245/H245</f>
        <v>210</v>
      </c>
      <c r="T245" s="837" t="n">
        <f aca="false">O245-R245-R246</f>
        <v>0</v>
      </c>
      <c r="U245" s="842" t="n">
        <f aca="false">N245-S245-S246</f>
        <v>0</v>
      </c>
    </row>
    <row r="246" customFormat="false" ht="15" hidden="false" customHeight="true" outlineLevel="0" collapsed="false">
      <c r="A246" s="829"/>
      <c r="B246" s="830"/>
      <c r="C246" s="830"/>
      <c r="D246" s="843" t="s">
        <v>11</v>
      </c>
      <c r="E246" s="843" t="s">
        <v>2192</v>
      </c>
      <c r="F246" s="832"/>
      <c r="G246" s="833"/>
      <c r="H246" s="834"/>
      <c r="I246" s="835"/>
      <c r="J246" s="835"/>
      <c r="K246" s="836"/>
      <c r="L246" s="1002"/>
      <c r="M246" s="1003"/>
      <c r="N246" s="837"/>
      <c r="O246" s="1120"/>
      <c r="P246" s="844" t="s">
        <v>2197</v>
      </c>
      <c r="Q246" s="1005" t="s">
        <v>2333</v>
      </c>
      <c r="R246" s="846" t="n">
        <v>3555</v>
      </c>
      <c r="S246" s="846" t="n">
        <f aca="false">R246/H245</f>
        <v>225</v>
      </c>
      <c r="T246" s="837"/>
      <c r="U246" s="842"/>
    </row>
    <row r="247" customFormat="false" ht="15" hidden="false" customHeight="true" outlineLevel="0" collapsed="false">
      <c r="A247" s="1081" t="n">
        <v>1</v>
      </c>
      <c r="B247" s="1087" t="s">
        <v>86</v>
      </c>
      <c r="C247" s="1061" t="n">
        <v>2024</v>
      </c>
      <c r="D247" s="904" t="s">
        <v>11</v>
      </c>
      <c r="E247" s="904" t="s">
        <v>2192</v>
      </c>
      <c r="F247" s="887" t="s">
        <v>1650</v>
      </c>
      <c r="G247" s="1062"/>
      <c r="H247" s="1077" t="n">
        <v>71.13</v>
      </c>
      <c r="I247" s="1086"/>
      <c r="J247" s="1086"/>
      <c r="K247" s="1064" t="n">
        <f aca="false">H247*I247/100</f>
        <v>0</v>
      </c>
      <c r="L247" s="1065" t="n">
        <v>500</v>
      </c>
      <c r="M247" s="1066" t="n">
        <v>1</v>
      </c>
      <c r="N247" s="1067" t="n">
        <f aca="false">L247*M247</f>
        <v>500</v>
      </c>
      <c r="O247" s="1345" t="n">
        <f aca="false">H247*N247</f>
        <v>35565</v>
      </c>
      <c r="P247" s="910" t="s">
        <v>2193</v>
      </c>
      <c r="Q247" s="1057" t="s">
        <v>2334</v>
      </c>
      <c r="R247" s="912" t="n">
        <v>9673.68</v>
      </c>
      <c r="S247" s="891" t="n">
        <f aca="false">R247/H247</f>
        <v>136</v>
      </c>
      <c r="T247" s="1345" t="n">
        <f aca="false">O247-R247-R248</f>
        <v>0</v>
      </c>
      <c r="U247" s="1070" t="n">
        <f aca="false">N247-S247-S248</f>
        <v>0</v>
      </c>
    </row>
    <row r="248" customFormat="false" ht="15" hidden="false" customHeight="true" outlineLevel="0" collapsed="false">
      <c r="A248" s="1081"/>
      <c r="B248" s="1087"/>
      <c r="C248" s="1061"/>
      <c r="D248" s="843" t="s">
        <v>11</v>
      </c>
      <c r="E248" s="843" t="s">
        <v>2192</v>
      </c>
      <c r="F248" s="887"/>
      <c r="G248" s="1062"/>
      <c r="H248" s="1077"/>
      <c r="I248" s="1086"/>
      <c r="J248" s="1086"/>
      <c r="K248" s="1064"/>
      <c r="L248" s="1065"/>
      <c r="M248" s="1066"/>
      <c r="N248" s="1067"/>
      <c r="O248" s="1345"/>
      <c r="P248" s="844" t="s">
        <v>2193</v>
      </c>
      <c r="Q248" s="1005" t="s">
        <v>2243</v>
      </c>
      <c r="R248" s="1350" t="n">
        <v>25891.32</v>
      </c>
      <c r="S248" s="846" t="n">
        <f aca="false">R248/H247</f>
        <v>364</v>
      </c>
      <c r="T248" s="1345"/>
      <c r="U248" s="1070"/>
    </row>
    <row r="249" customFormat="false" ht="15" hidden="false" customHeight="true" outlineLevel="0" collapsed="false">
      <c r="A249" s="1081"/>
      <c r="B249" s="1351" t="s">
        <v>86</v>
      </c>
      <c r="C249" s="903" t="n">
        <v>2024</v>
      </c>
      <c r="D249" s="904" t="s">
        <v>11</v>
      </c>
      <c r="E249" s="904" t="s">
        <v>2205</v>
      </c>
      <c r="F249" s="1351"/>
      <c r="G249" s="905"/>
      <c r="H249" s="1154" t="n">
        <v>0</v>
      </c>
      <c r="I249" s="1352"/>
      <c r="J249" s="1352"/>
      <c r="K249" s="1353" t="n">
        <f aca="false">H249*I249/100</f>
        <v>0</v>
      </c>
      <c r="L249" s="1354" t="n">
        <v>1485</v>
      </c>
      <c r="M249" s="1351" t="n">
        <v>1</v>
      </c>
      <c r="N249" s="1355" t="n">
        <f aca="false">L249*M249</f>
        <v>1485</v>
      </c>
      <c r="O249" s="1356" t="n">
        <f aca="false">H249*N249</f>
        <v>0</v>
      </c>
      <c r="P249" s="910" t="s">
        <v>2204</v>
      </c>
      <c r="Q249" s="857" t="n">
        <v>13052024</v>
      </c>
      <c r="R249" s="891" t="n">
        <v>0</v>
      </c>
      <c r="S249" s="854" t="n">
        <v>1485</v>
      </c>
      <c r="T249" s="537" t="n">
        <f aca="false">O249-R249</f>
        <v>0</v>
      </c>
      <c r="U249" s="1026" t="n">
        <f aca="false">N249-S249</f>
        <v>0</v>
      </c>
    </row>
    <row r="250" customFormat="false" ht="15" hidden="false" customHeight="true" outlineLevel="0" collapsed="false">
      <c r="A250" s="1081"/>
      <c r="B250" s="1357" t="s">
        <v>86</v>
      </c>
      <c r="C250" s="893" t="n">
        <v>2024</v>
      </c>
      <c r="D250" s="843" t="s">
        <v>11</v>
      </c>
      <c r="E250" s="843" t="s">
        <v>2242</v>
      </c>
      <c r="F250" s="1357"/>
      <c r="G250" s="894"/>
      <c r="H250" s="1358" t="n">
        <v>31.37</v>
      </c>
      <c r="I250" s="1359"/>
      <c r="J250" s="1359"/>
      <c r="K250" s="1360" t="n">
        <f aca="false">H250*I250/100</f>
        <v>0</v>
      </c>
      <c r="L250" s="1361" t="n">
        <v>54</v>
      </c>
      <c r="M250" s="1357" t="n">
        <v>1</v>
      </c>
      <c r="N250" s="1362" t="n">
        <f aca="false">L250*M250</f>
        <v>54</v>
      </c>
      <c r="O250" s="1363" t="n">
        <f aca="false">H250*N250</f>
        <v>1693.98</v>
      </c>
      <c r="P250" s="844" t="s">
        <v>2195</v>
      </c>
      <c r="Q250" s="1364" t="s">
        <v>1375</v>
      </c>
      <c r="R250" s="846" t="n">
        <v>1693.98</v>
      </c>
      <c r="S250" s="890" t="n">
        <f aca="false">R250/H250</f>
        <v>54</v>
      </c>
      <c r="T250" s="1183" t="n">
        <f aca="false">O250-R250</f>
        <v>0</v>
      </c>
      <c r="U250" s="902" t="n">
        <f aca="false">N250-S250</f>
        <v>0</v>
      </c>
    </row>
    <row r="251" customFormat="false" ht="15" hidden="false" customHeight="true" outlineLevel="0" collapsed="false">
      <c r="A251" s="1027" t="n">
        <v>2</v>
      </c>
      <c r="B251" s="1173" t="s">
        <v>86</v>
      </c>
      <c r="C251" s="1173" t="n">
        <v>2024</v>
      </c>
      <c r="D251" s="831" t="s">
        <v>11</v>
      </c>
      <c r="E251" s="831" t="s">
        <v>2192</v>
      </c>
      <c r="F251" s="1365" t="s">
        <v>1650</v>
      </c>
      <c r="G251" s="1108"/>
      <c r="H251" s="1174" t="n">
        <v>71.25</v>
      </c>
      <c r="I251" s="1366"/>
      <c r="J251" s="1366"/>
      <c r="K251" s="1367" t="n">
        <f aca="false">H251*I251/100</f>
        <v>0</v>
      </c>
      <c r="L251" s="1368" t="n">
        <v>491</v>
      </c>
      <c r="M251" s="1365" t="n">
        <v>1</v>
      </c>
      <c r="N251" s="1369" t="n">
        <f aca="false">L251*M251</f>
        <v>491</v>
      </c>
      <c r="O251" s="1370" t="n">
        <f aca="false">H251*N251</f>
        <v>34983.75</v>
      </c>
      <c r="P251" s="838" t="s">
        <v>2193</v>
      </c>
      <c r="Q251" s="1004" t="s">
        <v>2243</v>
      </c>
      <c r="R251" s="944" t="n">
        <v>34983.75</v>
      </c>
      <c r="S251" s="866" t="n">
        <f aca="false">R251/H251</f>
        <v>491</v>
      </c>
      <c r="T251" s="1371" t="n">
        <f aca="false">O251-R251</f>
        <v>0</v>
      </c>
      <c r="U251" s="1176" t="n">
        <f aca="false">N251-S251</f>
        <v>0</v>
      </c>
    </row>
    <row r="252" customFormat="false" ht="15" hidden="false" customHeight="true" outlineLevel="0" collapsed="false">
      <c r="A252" s="1027"/>
      <c r="B252" s="903" t="s">
        <v>86</v>
      </c>
      <c r="C252" s="903" t="n">
        <v>2024</v>
      </c>
      <c r="D252" s="904" t="s">
        <v>11</v>
      </c>
      <c r="E252" s="904" t="s">
        <v>2205</v>
      </c>
      <c r="F252" s="1351"/>
      <c r="G252" s="905"/>
      <c r="H252" s="1154" t="n">
        <v>0</v>
      </c>
      <c r="I252" s="1352"/>
      <c r="J252" s="1352"/>
      <c r="K252" s="1372" t="n">
        <f aca="false">H252*I252/100</f>
        <v>0</v>
      </c>
      <c r="L252" s="1354" t="n">
        <v>946</v>
      </c>
      <c r="M252" s="1351" t="n">
        <v>1</v>
      </c>
      <c r="N252" s="1355" t="n">
        <f aca="false">L252*M252</f>
        <v>946</v>
      </c>
      <c r="O252" s="1373" t="n">
        <f aca="false">H252*N252</f>
        <v>0</v>
      </c>
      <c r="P252" s="910" t="s">
        <v>2204</v>
      </c>
      <c r="Q252" s="911" t="n">
        <v>13052024</v>
      </c>
      <c r="R252" s="891" t="n">
        <v>0</v>
      </c>
      <c r="S252" s="891" t="n">
        <v>946</v>
      </c>
      <c r="T252" s="942" t="n">
        <f aca="false">O252-R252</f>
        <v>0</v>
      </c>
      <c r="U252" s="1026" t="n">
        <f aca="false">N252-S252</f>
        <v>0</v>
      </c>
    </row>
    <row r="253" customFormat="false" ht="15" hidden="false" customHeight="true" outlineLevel="0" collapsed="false">
      <c r="A253" s="829" t="n">
        <v>3</v>
      </c>
      <c r="B253" s="830" t="s">
        <v>86</v>
      </c>
      <c r="C253" s="830" t="n">
        <v>2024</v>
      </c>
      <c r="D253" s="831" t="s">
        <v>11</v>
      </c>
      <c r="E253" s="831" t="s">
        <v>2192</v>
      </c>
      <c r="F253" s="832" t="s">
        <v>1650</v>
      </c>
      <c r="G253" s="833"/>
      <c r="H253" s="834" t="n">
        <v>70.2</v>
      </c>
      <c r="I253" s="835"/>
      <c r="J253" s="835"/>
      <c r="K253" s="836" t="n">
        <f aca="false">H253*I253/100</f>
        <v>0</v>
      </c>
      <c r="L253" s="1002" t="n">
        <v>6513</v>
      </c>
      <c r="M253" s="1003" t="n">
        <v>1</v>
      </c>
      <c r="N253" s="837" t="n">
        <f aca="false">L253*M253</f>
        <v>6513</v>
      </c>
      <c r="O253" s="1120" t="n">
        <f aca="false">H253*N253</f>
        <v>457212.6</v>
      </c>
      <c r="P253" s="884" t="s">
        <v>2193</v>
      </c>
      <c r="Q253" s="1015" t="s">
        <v>2243</v>
      </c>
      <c r="R253" s="1016" t="n">
        <v>52088.4</v>
      </c>
      <c r="S253" s="886" t="n">
        <f aca="false">R253/H253</f>
        <v>742</v>
      </c>
      <c r="T253" s="1120" t="n">
        <f aca="false">O253-R253-R257-R256-R255-R254</f>
        <v>0</v>
      </c>
      <c r="U253" s="842" t="n">
        <f aca="false">N253-S253-S257-S256-S255-S254</f>
        <v>0</v>
      </c>
    </row>
    <row r="254" customFormat="false" ht="15" hidden="false" customHeight="true" outlineLevel="0" collapsed="false">
      <c r="A254" s="829"/>
      <c r="B254" s="830"/>
      <c r="C254" s="830"/>
      <c r="D254" s="848" t="s">
        <v>11</v>
      </c>
      <c r="E254" s="848" t="s">
        <v>2192</v>
      </c>
      <c r="F254" s="832"/>
      <c r="G254" s="833"/>
      <c r="H254" s="834"/>
      <c r="I254" s="835"/>
      <c r="J254" s="835"/>
      <c r="K254" s="836"/>
      <c r="L254" s="1002"/>
      <c r="M254" s="1003"/>
      <c r="N254" s="837"/>
      <c r="O254" s="1120"/>
      <c r="P254" s="868" t="s">
        <v>2193</v>
      </c>
      <c r="Q254" s="1011" t="s">
        <v>116</v>
      </c>
      <c r="R254" s="1018" t="n">
        <v>57915</v>
      </c>
      <c r="S254" s="866" t="n">
        <f aca="false">R254/H253</f>
        <v>825</v>
      </c>
      <c r="T254" s="1120"/>
      <c r="U254" s="842"/>
    </row>
    <row r="255" customFormat="false" ht="15" hidden="false" customHeight="true" outlineLevel="0" collapsed="false">
      <c r="A255" s="829"/>
      <c r="B255" s="830"/>
      <c r="C255" s="830"/>
      <c r="D255" s="860" t="s">
        <v>11</v>
      </c>
      <c r="E255" s="860" t="s">
        <v>2192</v>
      </c>
      <c r="F255" s="832"/>
      <c r="G255" s="833"/>
      <c r="H255" s="834"/>
      <c r="I255" s="835"/>
      <c r="J255" s="835"/>
      <c r="K255" s="836"/>
      <c r="L255" s="1002"/>
      <c r="M255" s="1003"/>
      <c r="N255" s="837"/>
      <c r="O255" s="1120"/>
      <c r="P255" s="868" t="s">
        <v>2193</v>
      </c>
      <c r="Q255" s="1011" t="s">
        <v>115</v>
      </c>
      <c r="R255" s="1018" t="n">
        <v>140119.2</v>
      </c>
      <c r="S255" s="866" t="n">
        <f aca="false">R255/H253</f>
        <v>1996</v>
      </c>
      <c r="T255" s="1120"/>
      <c r="U255" s="842"/>
    </row>
    <row r="256" customFormat="false" ht="15" hidden="false" customHeight="true" outlineLevel="0" collapsed="false">
      <c r="A256" s="829"/>
      <c r="B256" s="830"/>
      <c r="C256" s="830"/>
      <c r="D256" s="860" t="s">
        <v>11</v>
      </c>
      <c r="E256" s="860" t="s">
        <v>2192</v>
      </c>
      <c r="F256" s="832"/>
      <c r="G256" s="833"/>
      <c r="H256" s="834"/>
      <c r="I256" s="835"/>
      <c r="J256" s="835"/>
      <c r="K256" s="836"/>
      <c r="L256" s="1002"/>
      <c r="M256" s="1003"/>
      <c r="N256" s="837"/>
      <c r="O256" s="1120"/>
      <c r="P256" s="868" t="s">
        <v>2193</v>
      </c>
      <c r="Q256" s="1011" t="s">
        <v>2335</v>
      </c>
      <c r="R256" s="1018" t="n">
        <v>154440</v>
      </c>
      <c r="S256" s="866" t="n">
        <f aca="false">R256/H253</f>
        <v>2200</v>
      </c>
      <c r="T256" s="1120"/>
      <c r="U256" s="842"/>
    </row>
    <row r="257" customFormat="false" ht="15" hidden="false" customHeight="true" outlineLevel="0" collapsed="false">
      <c r="A257" s="829"/>
      <c r="B257" s="830"/>
      <c r="C257" s="830"/>
      <c r="D257" s="843" t="s">
        <v>11</v>
      </c>
      <c r="E257" s="843" t="s">
        <v>2192</v>
      </c>
      <c r="F257" s="832"/>
      <c r="G257" s="833"/>
      <c r="H257" s="834"/>
      <c r="I257" s="835"/>
      <c r="J257" s="835"/>
      <c r="K257" s="836"/>
      <c r="L257" s="1002"/>
      <c r="M257" s="1003"/>
      <c r="N257" s="837"/>
      <c r="O257" s="1120"/>
      <c r="P257" s="844" t="s">
        <v>2193</v>
      </c>
      <c r="Q257" s="1005" t="s">
        <v>2336</v>
      </c>
      <c r="R257" s="901" t="n">
        <v>52650</v>
      </c>
      <c r="S257" s="846" t="n">
        <f aca="false">R257/H253</f>
        <v>750</v>
      </c>
      <c r="T257" s="1120"/>
      <c r="U257" s="842"/>
    </row>
    <row r="258" customFormat="false" ht="15" hidden="false" customHeight="true" outlineLevel="0" collapsed="false">
      <c r="A258" s="1087" t="n">
        <v>10</v>
      </c>
      <c r="B258" s="1089" t="s">
        <v>86</v>
      </c>
      <c r="C258" s="1089" t="n">
        <v>2024</v>
      </c>
      <c r="D258" s="1090" t="s">
        <v>11</v>
      </c>
      <c r="E258" s="1090" t="s">
        <v>2192</v>
      </c>
      <c r="F258" s="1090" t="s">
        <v>2199</v>
      </c>
      <c r="G258" s="1091"/>
      <c r="H258" s="1374" t="n">
        <v>35.74</v>
      </c>
      <c r="I258" s="1093"/>
      <c r="J258" s="1093"/>
      <c r="K258" s="1375" t="n">
        <f aca="false">H258*I258/100</f>
        <v>0</v>
      </c>
      <c r="L258" s="1095" t="n">
        <v>266</v>
      </c>
      <c r="M258" s="1096" t="n">
        <v>1</v>
      </c>
      <c r="N258" s="1376" t="n">
        <f aca="false">L258*M258</f>
        <v>266</v>
      </c>
      <c r="O258" s="1377" t="n">
        <f aca="false">H258*N258</f>
        <v>9506.84</v>
      </c>
      <c r="P258" s="1098"/>
      <c r="Q258" s="1378"/>
      <c r="R258" s="1100"/>
      <c r="S258" s="1100"/>
      <c r="T258" s="1379" t="n">
        <f aca="false">O258-R258</f>
        <v>9506.84</v>
      </c>
      <c r="U258" s="1102" t="n">
        <f aca="false">N258-S258</f>
        <v>266</v>
      </c>
    </row>
    <row r="259" customFormat="false" ht="15" hidden="false" customHeight="true" outlineLevel="0" collapsed="false">
      <c r="A259" s="1087"/>
      <c r="B259" s="859" t="s">
        <v>86</v>
      </c>
      <c r="C259" s="859" t="n">
        <v>2024</v>
      </c>
      <c r="D259" s="860" t="s">
        <v>11</v>
      </c>
      <c r="E259" s="860" t="s">
        <v>2203</v>
      </c>
      <c r="F259" s="860"/>
      <c r="G259" s="861"/>
      <c r="H259" s="862" t="n">
        <v>0</v>
      </c>
      <c r="I259" s="981"/>
      <c r="J259" s="981"/>
      <c r="K259" s="1353" t="n">
        <f aca="false">H259*I259/100</f>
        <v>0</v>
      </c>
      <c r="L259" s="982" t="n">
        <v>389</v>
      </c>
      <c r="M259" s="983" t="n">
        <v>1</v>
      </c>
      <c r="N259" s="1380" t="n">
        <f aca="false">L259*M259</f>
        <v>389</v>
      </c>
      <c r="O259" s="1356" t="n">
        <f aca="false">H259*N259</f>
        <v>0</v>
      </c>
      <c r="P259" s="868" t="s">
        <v>2204</v>
      </c>
      <c r="Q259" s="869" t="n">
        <v>23052024</v>
      </c>
      <c r="R259" s="866" t="n">
        <v>0</v>
      </c>
      <c r="S259" s="866" t="n">
        <v>389</v>
      </c>
      <c r="T259" s="537" t="n">
        <f aca="false">O259-R259</f>
        <v>0</v>
      </c>
      <c r="U259" s="892" t="n">
        <f aca="false">N259-S259</f>
        <v>0</v>
      </c>
    </row>
    <row r="260" customFormat="false" ht="15" hidden="false" customHeight="true" outlineLevel="0" collapsed="false">
      <c r="A260" s="1087"/>
      <c r="B260" s="893" t="s">
        <v>86</v>
      </c>
      <c r="C260" s="893" t="n">
        <v>2024</v>
      </c>
      <c r="D260" s="843" t="s">
        <v>11</v>
      </c>
      <c r="E260" s="843" t="s">
        <v>2205</v>
      </c>
      <c r="F260" s="843"/>
      <c r="G260" s="894"/>
      <c r="H260" s="895" t="n">
        <v>0</v>
      </c>
      <c r="I260" s="1104"/>
      <c r="J260" s="1104"/>
      <c r="K260" s="1319" t="n">
        <f aca="false">H260*I260/100</f>
        <v>0</v>
      </c>
      <c r="L260" s="1105" t="n">
        <v>372</v>
      </c>
      <c r="M260" s="1106" t="n">
        <v>1</v>
      </c>
      <c r="N260" s="1381" t="n">
        <f aca="false">L260*M260</f>
        <v>372</v>
      </c>
      <c r="O260" s="1382" t="n">
        <f aca="false">H260*N260</f>
        <v>0</v>
      </c>
      <c r="P260" s="844" t="s">
        <v>2204</v>
      </c>
      <c r="Q260" s="845" t="n">
        <v>23052024</v>
      </c>
      <c r="R260" s="846" t="n">
        <v>0</v>
      </c>
      <c r="S260" s="846" t="n">
        <v>372</v>
      </c>
      <c r="T260" s="1067" t="n">
        <f aca="false">O260-R260</f>
        <v>0</v>
      </c>
      <c r="U260" s="1070" t="n">
        <f aca="false">N260-S260</f>
        <v>0</v>
      </c>
    </row>
    <row r="261" customFormat="false" ht="15" hidden="false" customHeight="true" outlineLevel="0" collapsed="false">
      <c r="A261" s="903" t="n">
        <v>63</v>
      </c>
      <c r="B261" s="903" t="s">
        <v>35</v>
      </c>
      <c r="C261" s="903" t="n">
        <v>2024</v>
      </c>
      <c r="D261" s="904" t="s">
        <v>11</v>
      </c>
      <c r="E261" s="904" t="s">
        <v>2192</v>
      </c>
      <c r="F261" s="904" t="s">
        <v>1650</v>
      </c>
      <c r="G261" s="905"/>
      <c r="H261" s="906" t="n">
        <v>62.0873</v>
      </c>
      <c r="I261" s="947"/>
      <c r="J261" s="947"/>
      <c r="K261" s="1372" t="n">
        <f aca="false">H261*I261/100</f>
        <v>0</v>
      </c>
      <c r="L261" s="1022" t="n">
        <v>2640</v>
      </c>
      <c r="M261" s="1023" t="n">
        <v>1</v>
      </c>
      <c r="N261" s="1355" t="n">
        <f aca="false">L261*M261</f>
        <v>2640</v>
      </c>
      <c r="O261" s="1373" t="n">
        <f aca="false">H261*N261</f>
        <v>163910.472</v>
      </c>
      <c r="P261" s="910" t="s">
        <v>2193</v>
      </c>
      <c r="Q261" s="1057" t="s">
        <v>2331</v>
      </c>
      <c r="R261" s="891" t="n">
        <v>163910.47</v>
      </c>
      <c r="S261" s="886" t="n">
        <f aca="false">R261/H261</f>
        <v>2639.99996778729</v>
      </c>
      <c r="T261" s="942" t="n">
        <f aca="false">O261-R261</f>
        <v>0.00200000000768341</v>
      </c>
      <c r="U261" s="942" t="n">
        <f aca="false">N261-S261</f>
        <v>3.22127070830902E-005</v>
      </c>
    </row>
    <row r="262" customFormat="false" ht="15" hidden="false" customHeight="true" outlineLevel="0" collapsed="false">
      <c r="A262" s="882" t="n">
        <v>3</v>
      </c>
      <c r="B262" s="883" t="s">
        <v>2207</v>
      </c>
      <c r="C262" s="883" t="n">
        <v>2024</v>
      </c>
      <c r="D262" s="831" t="s">
        <v>11</v>
      </c>
      <c r="E262" s="831" t="s">
        <v>2192</v>
      </c>
      <c r="F262" s="832" t="s">
        <v>1651</v>
      </c>
      <c r="G262" s="833"/>
      <c r="H262" s="834" t="n">
        <v>14.8825</v>
      </c>
      <c r="I262" s="835"/>
      <c r="J262" s="835"/>
      <c r="K262" s="836" t="n">
        <f aca="false">H262*I262/100</f>
        <v>0</v>
      </c>
      <c r="L262" s="1002" t="n">
        <v>650</v>
      </c>
      <c r="M262" s="1003" t="n">
        <v>1</v>
      </c>
      <c r="N262" s="837" t="n">
        <f aca="false">L262*M262</f>
        <v>650</v>
      </c>
      <c r="O262" s="1017" t="n">
        <f aca="false">H262*N262</f>
        <v>9673.625</v>
      </c>
      <c r="P262" s="838" t="s">
        <v>2197</v>
      </c>
      <c r="Q262" s="1004" t="s">
        <v>2337</v>
      </c>
      <c r="R262" s="1145" t="n">
        <v>1562.6625</v>
      </c>
      <c r="S262" s="886" t="n">
        <f aca="false">R262/H262</f>
        <v>105</v>
      </c>
      <c r="T262" s="837" t="n">
        <f aca="false">O262-R262-R263-R264</f>
        <v>-7.38964445190504E-013</v>
      </c>
      <c r="U262" s="842" t="n">
        <f aca="false">N262-S262-S263-S264</f>
        <v>0</v>
      </c>
    </row>
    <row r="263" customFormat="false" ht="15" hidden="false" customHeight="true" outlineLevel="0" collapsed="false">
      <c r="A263" s="882"/>
      <c r="B263" s="883"/>
      <c r="C263" s="883"/>
      <c r="D263" s="860" t="s">
        <v>11</v>
      </c>
      <c r="E263" s="860" t="s">
        <v>2192</v>
      </c>
      <c r="F263" s="832"/>
      <c r="G263" s="833"/>
      <c r="H263" s="834"/>
      <c r="I263" s="835"/>
      <c r="J263" s="835"/>
      <c r="K263" s="836"/>
      <c r="L263" s="1002"/>
      <c r="M263" s="1003"/>
      <c r="N263" s="837"/>
      <c r="O263" s="1017"/>
      <c r="P263" s="868" t="s">
        <v>2197</v>
      </c>
      <c r="Q263" s="1011" t="s">
        <v>2338</v>
      </c>
      <c r="R263" s="1383" t="n">
        <v>7887.725</v>
      </c>
      <c r="S263" s="877" t="n">
        <f aca="false">R263/H262</f>
        <v>530</v>
      </c>
      <c r="T263" s="837"/>
      <c r="U263" s="842"/>
    </row>
    <row r="264" customFormat="false" ht="15" hidden="false" customHeight="true" outlineLevel="0" collapsed="false">
      <c r="A264" s="882"/>
      <c r="B264" s="883"/>
      <c r="C264" s="883"/>
      <c r="D264" s="843" t="s">
        <v>11</v>
      </c>
      <c r="E264" s="843" t="s">
        <v>2192</v>
      </c>
      <c r="F264" s="832"/>
      <c r="G264" s="833"/>
      <c r="H264" s="834"/>
      <c r="I264" s="835"/>
      <c r="J264" s="835"/>
      <c r="K264" s="836"/>
      <c r="L264" s="1002"/>
      <c r="M264" s="1003"/>
      <c r="N264" s="837"/>
      <c r="O264" s="1017"/>
      <c r="P264" s="844" t="s">
        <v>2261</v>
      </c>
      <c r="Q264" s="1005"/>
      <c r="R264" s="1136" t="n">
        <v>223.2375</v>
      </c>
      <c r="S264" s="846" t="n">
        <f aca="false">R264/H262</f>
        <v>15</v>
      </c>
      <c r="T264" s="837"/>
      <c r="U264" s="842"/>
    </row>
    <row r="265" customFormat="false" ht="15" hidden="false" customHeight="true" outlineLevel="0" collapsed="false">
      <c r="A265" s="903" t="n">
        <v>10</v>
      </c>
      <c r="B265" s="903" t="s">
        <v>2207</v>
      </c>
      <c r="C265" s="903" t="n">
        <v>2024</v>
      </c>
      <c r="D265" s="904" t="s">
        <v>11</v>
      </c>
      <c r="E265" s="904" t="s">
        <v>2192</v>
      </c>
      <c r="F265" s="904" t="s">
        <v>1651</v>
      </c>
      <c r="G265" s="905"/>
      <c r="H265" s="946" t="n">
        <v>14.2414</v>
      </c>
      <c r="I265" s="947"/>
      <c r="J265" s="947"/>
      <c r="K265" s="939" t="n">
        <f aca="false">H265*I265/100</f>
        <v>0</v>
      </c>
      <c r="L265" s="1022" t="n">
        <v>7932</v>
      </c>
      <c r="M265" s="1023" t="n">
        <v>1</v>
      </c>
      <c r="N265" s="1137" t="n">
        <f aca="false">L265*M265</f>
        <v>7932</v>
      </c>
      <c r="O265" s="1384" t="n">
        <f aca="false">H265*N265</f>
        <v>112962.7848</v>
      </c>
      <c r="P265" s="910" t="s">
        <v>2193</v>
      </c>
      <c r="Q265" s="1057" t="s">
        <v>2325</v>
      </c>
      <c r="R265" s="1138" t="n">
        <v>112962.7848</v>
      </c>
      <c r="S265" s="877" t="n">
        <f aca="false">R265/H265</f>
        <v>7932</v>
      </c>
      <c r="T265" s="948" t="n">
        <f aca="false">O265-R265</f>
        <v>0</v>
      </c>
      <c r="U265" s="942" t="n">
        <f aca="false">N265-S265</f>
        <v>0</v>
      </c>
    </row>
    <row r="266" customFormat="false" ht="15" hidden="false" customHeight="true" outlineLevel="0" collapsed="false">
      <c r="A266" s="882" t="s">
        <v>2339</v>
      </c>
      <c r="B266" s="830" t="s">
        <v>2207</v>
      </c>
      <c r="C266" s="830" t="n">
        <v>2024</v>
      </c>
      <c r="D266" s="831" t="s">
        <v>11</v>
      </c>
      <c r="E266" s="831" t="s">
        <v>2192</v>
      </c>
      <c r="F266" s="832" t="s">
        <v>1651</v>
      </c>
      <c r="G266" s="833"/>
      <c r="H266" s="834" t="n">
        <v>14.2343</v>
      </c>
      <c r="I266" s="835"/>
      <c r="J266" s="835"/>
      <c r="K266" s="836" t="n">
        <f aca="false">H266*I266/100</f>
        <v>0</v>
      </c>
      <c r="L266" s="1002" t="n">
        <v>8172</v>
      </c>
      <c r="M266" s="1003" t="n">
        <v>1</v>
      </c>
      <c r="N266" s="837" t="n">
        <f aca="false">L266*M266</f>
        <v>8172</v>
      </c>
      <c r="O266" s="943" t="n">
        <f aca="false">H266*N266</f>
        <v>116322.6996</v>
      </c>
      <c r="P266" s="838" t="s">
        <v>2197</v>
      </c>
      <c r="Q266" s="1004" t="s">
        <v>2340</v>
      </c>
      <c r="R266" s="1145" t="n">
        <v>87256.259</v>
      </c>
      <c r="S266" s="886" t="n">
        <f aca="false">R266/H266</f>
        <v>6130</v>
      </c>
      <c r="T266" s="837" t="n">
        <f aca="false">O266-R266-R271-R267-R270-R268-R269</f>
        <v>-1.36424205265939E-011</v>
      </c>
      <c r="U266" s="842" t="n">
        <f aca="false">N266-S266-S271-S267-S270-S268-S269</f>
        <v>-9.09494701772928E-013</v>
      </c>
    </row>
    <row r="267" customFormat="false" ht="15" hidden="false" customHeight="true" outlineLevel="0" collapsed="false">
      <c r="A267" s="882"/>
      <c r="B267" s="830"/>
      <c r="C267" s="830"/>
      <c r="D267" s="860" t="s">
        <v>11</v>
      </c>
      <c r="E267" s="860" t="s">
        <v>2192</v>
      </c>
      <c r="F267" s="832"/>
      <c r="G267" s="833"/>
      <c r="H267" s="834"/>
      <c r="I267" s="835"/>
      <c r="J267" s="835"/>
      <c r="K267" s="836"/>
      <c r="L267" s="1002"/>
      <c r="M267" s="1003"/>
      <c r="N267" s="837"/>
      <c r="O267" s="943"/>
      <c r="P267" s="868" t="s">
        <v>2197</v>
      </c>
      <c r="Q267" s="1011" t="s">
        <v>2341</v>
      </c>
      <c r="R267" s="1147" t="n">
        <v>8540.58</v>
      </c>
      <c r="S267" s="866" t="n">
        <f aca="false">R267/H266</f>
        <v>600</v>
      </c>
      <c r="T267" s="837"/>
      <c r="U267" s="842"/>
    </row>
    <row r="268" customFormat="false" ht="15" hidden="false" customHeight="true" outlineLevel="0" collapsed="false">
      <c r="A268" s="882"/>
      <c r="B268" s="830"/>
      <c r="C268" s="830"/>
      <c r="D268" s="860" t="s">
        <v>11</v>
      </c>
      <c r="E268" s="860" t="s">
        <v>2192</v>
      </c>
      <c r="F268" s="832"/>
      <c r="G268" s="833"/>
      <c r="H268" s="834"/>
      <c r="I268" s="835"/>
      <c r="J268" s="835"/>
      <c r="K268" s="836"/>
      <c r="L268" s="1002"/>
      <c r="M268" s="1003"/>
      <c r="N268" s="837"/>
      <c r="O268" s="943"/>
      <c r="P268" s="868" t="s">
        <v>2197</v>
      </c>
      <c r="Q268" s="1011" t="s">
        <v>2342</v>
      </c>
      <c r="R268" s="1147" t="n">
        <v>2846.86</v>
      </c>
      <c r="S268" s="866" t="n">
        <f aca="false">R268/H266</f>
        <v>200</v>
      </c>
      <c r="T268" s="837"/>
      <c r="U268" s="842"/>
    </row>
    <row r="269" customFormat="false" ht="15" hidden="false" customHeight="true" outlineLevel="0" collapsed="false">
      <c r="A269" s="882"/>
      <c r="B269" s="830"/>
      <c r="C269" s="830"/>
      <c r="D269" s="860" t="s">
        <v>11</v>
      </c>
      <c r="E269" s="860" t="s">
        <v>2192</v>
      </c>
      <c r="F269" s="832"/>
      <c r="G269" s="833"/>
      <c r="H269" s="834"/>
      <c r="I269" s="835"/>
      <c r="J269" s="835"/>
      <c r="K269" s="836"/>
      <c r="L269" s="1002"/>
      <c r="M269" s="1003"/>
      <c r="N269" s="837"/>
      <c r="O269" s="943"/>
      <c r="P269" s="868" t="s">
        <v>2197</v>
      </c>
      <c r="Q269" s="1011" t="s">
        <v>2343</v>
      </c>
      <c r="R269" s="1147" t="n">
        <v>7003.2756</v>
      </c>
      <c r="S269" s="866" t="n">
        <f aca="false">R269/H266</f>
        <v>492</v>
      </c>
      <c r="T269" s="837"/>
      <c r="U269" s="842"/>
    </row>
    <row r="270" customFormat="false" ht="15" hidden="false" customHeight="true" outlineLevel="0" collapsed="false">
      <c r="A270" s="882"/>
      <c r="B270" s="830"/>
      <c r="C270" s="830"/>
      <c r="D270" s="860" t="s">
        <v>11</v>
      </c>
      <c r="E270" s="860" t="s">
        <v>2192</v>
      </c>
      <c r="F270" s="832"/>
      <c r="G270" s="833"/>
      <c r="H270" s="834"/>
      <c r="I270" s="835"/>
      <c r="J270" s="835"/>
      <c r="K270" s="836"/>
      <c r="L270" s="1002"/>
      <c r="M270" s="1003"/>
      <c r="N270" s="837"/>
      <c r="O270" s="943"/>
      <c r="P270" s="868" t="s">
        <v>2197</v>
      </c>
      <c r="Q270" s="1011" t="s">
        <v>2344</v>
      </c>
      <c r="R270" s="1147" t="n">
        <v>4270.29</v>
      </c>
      <c r="S270" s="866" t="n">
        <f aca="false">R270/H266</f>
        <v>300</v>
      </c>
      <c r="T270" s="837"/>
      <c r="U270" s="842"/>
    </row>
    <row r="271" customFormat="false" ht="15" hidden="false" customHeight="true" outlineLevel="0" collapsed="false">
      <c r="A271" s="882"/>
      <c r="B271" s="830"/>
      <c r="C271" s="830"/>
      <c r="D271" s="887" t="s">
        <v>11</v>
      </c>
      <c r="E271" s="887" t="s">
        <v>2192</v>
      </c>
      <c r="F271" s="832"/>
      <c r="G271" s="833"/>
      <c r="H271" s="834"/>
      <c r="I271" s="835"/>
      <c r="J271" s="835"/>
      <c r="K271" s="836"/>
      <c r="L271" s="1002"/>
      <c r="M271" s="1003"/>
      <c r="N271" s="837"/>
      <c r="O271" s="943"/>
      <c r="P271" s="888" t="s">
        <v>2197</v>
      </c>
      <c r="Q271" s="1364" t="s">
        <v>2345</v>
      </c>
      <c r="R271" s="1146" t="n">
        <v>6405.435</v>
      </c>
      <c r="S271" s="890" t="n">
        <f aca="false">R271/H266</f>
        <v>450</v>
      </c>
      <c r="T271" s="837"/>
      <c r="U271" s="842"/>
    </row>
    <row r="272" customFormat="false" ht="15" hidden="false" customHeight="true" outlineLevel="0" collapsed="false">
      <c r="A272" s="847" t="n">
        <v>12</v>
      </c>
      <c r="B272" s="847" t="s">
        <v>81</v>
      </c>
      <c r="C272" s="847" t="n">
        <v>2024</v>
      </c>
      <c r="D272" s="848" t="s">
        <v>11</v>
      </c>
      <c r="E272" s="848" t="s">
        <v>2192</v>
      </c>
      <c r="F272" s="848" t="s">
        <v>2199</v>
      </c>
      <c r="G272" s="849"/>
      <c r="H272" s="949" t="n">
        <v>70.3</v>
      </c>
      <c r="I272" s="950" t="n">
        <v>68</v>
      </c>
      <c r="J272" s="950"/>
      <c r="K272" s="1385" t="n">
        <f aca="false">H272*I272/100</f>
        <v>47.804</v>
      </c>
      <c r="L272" s="1006" t="n">
        <v>6409.5</v>
      </c>
      <c r="M272" s="1007" t="n">
        <v>1</v>
      </c>
      <c r="N272" s="1143" t="n">
        <f aca="false">L272*M272</f>
        <v>6409.5</v>
      </c>
      <c r="O272" s="1386" t="n">
        <f aca="false">K272*N272</f>
        <v>306399.738</v>
      </c>
      <c r="P272" s="856" t="s">
        <v>2200</v>
      </c>
      <c r="Q272" s="1008" t="s">
        <v>2346</v>
      </c>
      <c r="R272" s="1144" t="n">
        <v>306399.738</v>
      </c>
      <c r="S272" s="877" t="n">
        <f aca="false">R272/K272</f>
        <v>6409.5</v>
      </c>
      <c r="T272" s="1009" t="n">
        <f aca="false">O272-R272</f>
        <v>0</v>
      </c>
      <c r="U272" s="537" t="n">
        <f aca="false">N272-S272</f>
        <v>0</v>
      </c>
    </row>
    <row r="273" customFormat="false" ht="15" hidden="false" customHeight="true" outlineLevel="0" collapsed="false">
      <c r="A273" s="870" t="n">
        <v>13</v>
      </c>
      <c r="B273" s="870" t="s">
        <v>81</v>
      </c>
      <c r="C273" s="870" t="n">
        <v>2024</v>
      </c>
      <c r="D273" s="871" t="s">
        <v>11</v>
      </c>
      <c r="E273" s="871" t="s">
        <v>2192</v>
      </c>
      <c r="F273" s="871" t="s">
        <v>2199</v>
      </c>
      <c r="G273" s="872"/>
      <c r="H273" s="1116" t="n">
        <v>71.2</v>
      </c>
      <c r="I273" s="1117" t="n">
        <v>68</v>
      </c>
      <c r="J273" s="1117"/>
      <c r="K273" s="1387" t="n">
        <f aca="false">H273*I273/100</f>
        <v>48.416</v>
      </c>
      <c r="L273" s="999" t="n">
        <v>7210.5</v>
      </c>
      <c r="M273" s="1000" t="n">
        <v>1</v>
      </c>
      <c r="N273" s="1301" t="n">
        <f aca="false">L273*M273</f>
        <v>7210.5</v>
      </c>
      <c r="O273" s="1384" t="n">
        <f aca="false">K273*N273</f>
        <v>349103.568</v>
      </c>
      <c r="P273" s="879" t="s">
        <v>2200</v>
      </c>
      <c r="Q273" s="1013" t="s">
        <v>2335</v>
      </c>
      <c r="R273" s="1151" t="n">
        <v>349103.568</v>
      </c>
      <c r="S273" s="877" t="n">
        <f aca="false">R273/K273</f>
        <v>7210.5</v>
      </c>
      <c r="T273" s="1014" t="n">
        <f aca="false">O273-R273</f>
        <v>0</v>
      </c>
      <c r="U273" s="553" t="n">
        <f aca="false">N273-S273</f>
        <v>0</v>
      </c>
    </row>
    <row r="274" customFormat="false" ht="15" hidden="false" customHeight="true" outlineLevel="0" collapsed="false">
      <c r="A274" s="881" t="n">
        <v>23</v>
      </c>
      <c r="B274" s="829" t="s">
        <v>86</v>
      </c>
      <c r="C274" s="830" t="n">
        <v>2024</v>
      </c>
      <c r="D274" s="831" t="s">
        <v>11</v>
      </c>
      <c r="E274" s="831" t="s">
        <v>2192</v>
      </c>
      <c r="F274" s="832" t="s">
        <v>1650</v>
      </c>
      <c r="G274" s="833"/>
      <c r="H274" s="834" t="n">
        <v>94.8</v>
      </c>
      <c r="I274" s="1020" t="n">
        <v>70</v>
      </c>
      <c r="J274" s="835"/>
      <c r="K274" s="1388" t="n">
        <f aca="false">H274*I274/100</f>
        <v>66.36</v>
      </c>
      <c r="L274" s="1002" t="n">
        <v>3990</v>
      </c>
      <c r="M274" s="1003" t="n">
        <v>1</v>
      </c>
      <c r="N274" s="837" t="n">
        <f aca="false">L274*M274</f>
        <v>3990</v>
      </c>
      <c r="O274" s="943" t="n">
        <f aca="false">K274*N274</f>
        <v>264776.4</v>
      </c>
      <c r="P274" s="838" t="s">
        <v>2193</v>
      </c>
      <c r="Q274" s="1004" t="s">
        <v>116</v>
      </c>
      <c r="R274" s="1145" t="n">
        <v>212352</v>
      </c>
      <c r="S274" s="886" t="n">
        <f aca="false">R274/K274</f>
        <v>3200</v>
      </c>
      <c r="T274" s="1017" t="n">
        <f aca="false">O274-R274-R275</f>
        <v>0</v>
      </c>
      <c r="U274" s="842" t="n">
        <f aca="false">N274-S274-S275</f>
        <v>0</v>
      </c>
    </row>
    <row r="275" customFormat="false" ht="15" hidden="false" customHeight="true" outlineLevel="0" collapsed="false">
      <c r="A275" s="881"/>
      <c r="B275" s="829"/>
      <c r="C275" s="830"/>
      <c r="D275" s="887" t="s">
        <v>11</v>
      </c>
      <c r="E275" s="887" t="s">
        <v>2192</v>
      </c>
      <c r="F275" s="832"/>
      <c r="G275" s="833"/>
      <c r="H275" s="834"/>
      <c r="I275" s="1020"/>
      <c r="J275" s="835"/>
      <c r="K275" s="1388"/>
      <c r="L275" s="1002"/>
      <c r="M275" s="1003"/>
      <c r="N275" s="837"/>
      <c r="O275" s="943"/>
      <c r="P275" s="888" t="s">
        <v>2193</v>
      </c>
      <c r="Q275" s="1364" t="s">
        <v>2347</v>
      </c>
      <c r="R275" s="1146" t="n">
        <v>52424.4</v>
      </c>
      <c r="S275" s="846" t="n">
        <f aca="false">R275/K274</f>
        <v>790</v>
      </c>
      <c r="T275" s="1017"/>
      <c r="U275" s="842"/>
    </row>
    <row r="276" customFormat="false" ht="15" hidden="false" customHeight="true" outlineLevel="0" collapsed="false">
      <c r="A276" s="881"/>
      <c r="B276" s="1155" t="s">
        <v>86</v>
      </c>
      <c r="C276" s="1155" t="n">
        <v>2024</v>
      </c>
      <c r="D276" s="1156" t="s">
        <v>11</v>
      </c>
      <c r="E276" s="1156" t="s">
        <v>2203</v>
      </c>
      <c r="F276" s="1156"/>
      <c r="G276" s="1157"/>
      <c r="H276" s="1389" t="n">
        <v>14.6</v>
      </c>
      <c r="I276" s="1159" t="n">
        <v>32</v>
      </c>
      <c r="J276" s="1159"/>
      <c r="K276" s="1390" t="n">
        <f aca="false">H276*I276/100</f>
        <v>4.672</v>
      </c>
      <c r="L276" s="1161" t="n">
        <v>2187</v>
      </c>
      <c r="M276" s="1162" t="n">
        <v>1</v>
      </c>
      <c r="N276" s="1321" t="n">
        <f aca="false">L276*M276</f>
        <v>2187</v>
      </c>
      <c r="O276" s="1391" t="n">
        <f aca="false">K276*N276</f>
        <v>10217.664</v>
      </c>
      <c r="P276" s="1165"/>
      <c r="Q276" s="1343"/>
      <c r="R276" s="1167"/>
      <c r="S276" s="1168"/>
      <c r="T276" s="1164" t="n">
        <f aca="false">O276-R276</f>
        <v>10217.664</v>
      </c>
      <c r="U276" s="1170" t="n">
        <f aca="false">N276-S276</f>
        <v>2187</v>
      </c>
    </row>
    <row r="277" customFormat="false" ht="15" hidden="false" customHeight="true" outlineLevel="0" collapsed="false">
      <c r="A277" s="881"/>
      <c r="B277" s="893" t="s">
        <v>86</v>
      </c>
      <c r="C277" s="893" t="n">
        <v>2024</v>
      </c>
      <c r="D277" s="843" t="s">
        <v>11</v>
      </c>
      <c r="E277" s="843" t="s">
        <v>2205</v>
      </c>
      <c r="F277" s="843"/>
      <c r="G277" s="894"/>
      <c r="H277" s="1103" t="n">
        <v>35.4</v>
      </c>
      <c r="I277" s="1104" t="n">
        <v>61</v>
      </c>
      <c r="J277" s="1104"/>
      <c r="K277" s="1392" t="n">
        <f aca="false">H277*I277/100</f>
        <v>21.594</v>
      </c>
      <c r="L277" s="1105" t="n">
        <v>151</v>
      </c>
      <c r="M277" s="1106" t="n">
        <v>1</v>
      </c>
      <c r="N277" s="1393" t="n">
        <f aca="false">L277*M277</f>
        <v>151</v>
      </c>
      <c r="O277" s="1394" t="n">
        <f aca="false">K277*N277</f>
        <v>3260.694</v>
      </c>
      <c r="P277" s="844" t="s">
        <v>2204</v>
      </c>
      <c r="Q277" s="900" t="s">
        <v>2308</v>
      </c>
      <c r="R277" s="901" t="n">
        <v>3260.694</v>
      </c>
      <c r="S277" s="846" t="n">
        <f aca="false">R277/K277</f>
        <v>151</v>
      </c>
      <c r="T277" s="1395" t="n">
        <f aca="false">O277-R277</f>
        <v>0</v>
      </c>
      <c r="U277" s="902" t="n">
        <f aca="false">N277-S277</f>
        <v>0</v>
      </c>
    </row>
    <row r="278" customFormat="false" ht="15" hidden="false" customHeight="true" outlineLevel="0" collapsed="false">
      <c r="A278" s="1087" t="n">
        <v>25</v>
      </c>
      <c r="B278" s="1396" t="s">
        <v>86</v>
      </c>
      <c r="C278" s="1396" t="n">
        <v>2024</v>
      </c>
      <c r="D278" s="848" t="s">
        <v>11</v>
      </c>
      <c r="E278" s="848" t="s">
        <v>2192</v>
      </c>
      <c r="F278" s="848" t="s">
        <v>1650</v>
      </c>
      <c r="G278" s="849"/>
      <c r="H278" s="949" t="n">
        <v>95.2</v>
      </c>
      <c r="I278" s="1397" t="n">
        <v>60</v>
      </c>
      <c r="J278" s="950"/>
      <c r="K278" s="1385" t="n">
        <f aca="false">H278*I278/100</f>
        <v>57.12</v>
      </c>
      <c r="L278" s="1006" t="n">
        <v>4685</v>
      </c>
      <c r="M278" s="1007" t="n">
        <v>1</v>
      </c>
      <c r="N278" s="537" t="n">
        <f aca="false">L278*M278</f>
        <v>4685</v>
      </c>
      <c r="O278" s="953" t="n">
        <f aca="false">K278*N278</f>
        <v>267607.2</v>
      </c>
      <c r="P278" s="910" t="s">
        <v>2193</v>
      </c>
      <c r="Q278" s="1057" t="s">
        <v>2348</v>
      </c>
      <c r="R278" s="1138" t="n">
        <v>102816</v>
      </c>
      <c r="S278" s="891" t="n">
        <f aca="false">R278/K278</f>
        <v>1800</v>
      </c>
      <c r="T278" s="1009" t="n">
        <f aca="false">O278-R278-R280-R279</f>
        <v>0</v>
      </c>
      <c r="U278" s="892" t="n">
        <f aca="false">N278-S278-S280-S279</f>
        <v>0</v>
      </c>
    </row>
    <row r="279" customFormat="false" ht="15" hidden="false" customHeight="true" outlineLevel="0" collapsed="false">
      <c r="A279" s="1087"/>
      <c r="B279" s="1396"/>
      <c r="C279" s="1396"/>
      <c r="D279" s="848" t="s">
        <v>11</v>
      </c>
      <c r="E279" s="848" t="s">
        <v>2192</v>
      </c>
      <c r="F279" s="848"/>
      <c r="G279" s="849"/>
      <c r="H279" s="949"/>
      <c r="I279" s="1397"/>
      <c r="J279" s="950"/>
      <c r="K279" s="1385"/>
      <c r="L279" s="1006"/>
      <c r="M279" s="1007"/>
      <c r="N279" s="537"/>
      <c r="O279" s="953"/>
      <c r="P279" s="868" t="s">
        <v>2193</v>
      </c>
      <c r="Q279" s="1011" t="s">
        <v>107</v>
      </c>
      <c r="R279" s="1147" t="n">
        <v>151539.36</v>
      </c>
      <c r="S279" s="866" t="n">
        <f aca="false">R279/K278</f>
        <v>2653</v>
      </c>
      <c r="T279" s="1009"/>
      <c r="U279" s="892"/>
    </row>
    <row r="280" customFormat="false" ht="15" hidden="false" customHeight="true" outlineLevel="0" collapsed="false">
      <c r="A280" s="1087"/>
      <c r="B280" s="1396"/>
      <c r="C280" s="1396"/>
      <c r="D280" s="848" t="s">
        <v>11</v>
      </c>
      <c r="E280" s="848" t="s">
        <v>2192</v>
      </c>
      <c r="F280" s="848"/>
      <c r="G280" s="849"/>
      <c r="H280" s="949"/>
      <c r="I280" s="1397"/>
      <c r="J280" s="950"/>
      <c r="K280" s="1385"/>
      <c r="L280" s="1006"/>
      <c r="M280" s="1007"/>
      <c r="N280" s="537"/>
      <c r="O280" s="953"/>
      <c r="P280" s="856" t="s">
        <v>2193</v>
      </c>
      <c r="Q280" s="1008" t="s">
        <v>106</v>
      </c>
      <c r="R280" s="1144" t="n">
        <v>13251.84</v>
      </c>
      <c r="S280" s="866" t="n">
        <f aca="false">R280/K278</f>
        <v>232</v>
      </c>
      <c r="T280" s="1009"/>
      <c r="U280" s="892"/>
    </row>
    <row r="281" customFormat="false" ht="15" hidden="false" customHeight="true" outlineLevel="0" collapsed="false">
      <c r="A281" s="1087"/>
      <c r="B281" s="1207" t="s">
        <v>86</v>
      </c>
      <c r="C281" s="1207" t="n">
        <v>2024</v>
      </c>
      <c r="D281" s="1208" t="s">
        <v>11</v>
      </c>
      <c r="E281" s="1208" t="s">
        <v>2203</v>
      </c>
      <c r="F281" s="1208"/>
      <c r="G281" s="1209"/>
      <c r="H281" s="1210" t="n">
        <v>28</v>
      </c>
      <c r="I281" s="1211" t="n">
        <v>60</v>
      </c>
      <c r="J281" s="1211"/>
      <c r="K281" s="1390" t="n">
        <f aca="false">H281*I281/100</f>
        <v>16.8</v>
      </c>
      <c r="L281" s="1213" t="n">
        <v>2330</v>
      </c>
      <c r="M281" s="1214" t="n">
        <v>1</v>
      </c>
      <c r="N281" s="1398" t="n">
        <f aca="false">L281*M281</f>
        <v>2330</v>
      </c>
      <c r="O281" s="1391" t="n">
        <f aca="false">K281*N281</f>
        <v>39144</v>
      </c>
      <c r="P281" s="1216"/>
      <c r="Q281" s="1399"/>
      <c r="R281" s="1400"/>
      <c r="S281" s="1218"/>
      <c r="T281" s="1401" t="n">
        <f aca="false">O281-R281</f>
        <v>39144</v>
      </c>
      <c r="U281" s="1238" t="n">
        <f aca="false">N281-S281</f>
        <v>2330</v>
      </c>
    </row>
    <row r="282" customFormat="false" ht="15" hidden="false" customHeight="true" outlineLevel="0" collapsed="false">
      <c r="A282" s="1087"/>
      <c r="B282" s="893" t="s">
        <v>86</v>
      </c>
      <c r="C282" s="893" t="n">
        <v>2024</v>
      </c>
      <c r="D282" s="843" t="s">
        <v>11</v>
      </c>
      <c r="E282" s="843" t="s">
        <v>2205</v>
      </c>
      <c r="F282" s="843"/>
      <c r="G282" s="894"/>
      <c r="H282" s="1103" t="n">
        <v>37.7</v>
      </c>
      <c r="I282" s="1104" t="n">
        <v>60</v>
      </c>
      <c r="J282" s="1104"/>
      <c r="K282" s="1392" t="n">
        <f aca="false">H282*I282/100</f>
        <v>22.62</v>
      </c>
      <c r="L282" s="1105" t="n">
        <v>176</v>
      </c>
      <c r="M282" s="1106" t="n">
        <v>1</v>
      </c>
      <c r="N282" s="1393" t="n">
        <f aca="false">L282*M282</f>
        <v>176</v>
      </c>
      <c r="O282" s="1394" t="n">
        <f aca="false">K282*N282</f>
        <v>3981.12</v>
      </c>
      <c r="P282" s="844" t="s">
        <v>2204</v>
      </c>
      <c r="Q282" s="900" t="n">
        <v>20082024</v>
      </c>
      <c r="R282" s="901" t="n">
        <v>3981.12</v>
      </c>
      <c r="S282" s="846" t="n">
        <f aca="false">R282/K282</f>
        <v>176</v>
      </c>
      <c r="T282" s="1395" t="n">
        <f aca="false">O282-R282</f>
        <v>0</v>
      </c>
      <c r="U282" s="902" t="n">
        <f aca="false">N282-S282</f>
        <v>0</v>
      </c>
    </row>
    <row r="283" customFormat="false" ht="15" hidden="false" customHeight="true" outlineLevel="0" collapsed="false">
      <c r="A283" s="903" t="n">
        <v>18</v>
      </c>
      <c r="B283" s="903" t="s">
        <v>2207</v>
      </c>
      <c r="C283" s="903" t="n">
        <v>2024</v>
      </c>
      <c r="D283" s="904" t="s">
        <v>11</v>
      </c>
      <c r="E283" s="904" t="s">
        <v>2192</v>
      </c>
      <c r="F283" s="904" t="s">
        <v>1651</v>
      </c>
      <c r="G283" s="905"/>
      <c r="H283" s="946" t="n">
        <v>19.5943</v>
      </c>
      <c r="I283" s="947"/>
      <c r="J283" s="947"/>
      <c r="K283" s="939" t="n">
        <f aca="false">H283*I283/100</f>
        <v>0</v>
      </c>
      <c r="L283" s="1022" t="n">
        <v>2687</v>
      </c>
      <c r="M283" s="1023" t="n">
        <v>1</v>
      </c>
      <c r="N283" s="1137" t="n">
        <f aca="false">L283*M283</f>
        <v>2687</v>
      </c>
      <c r="O283" s="1384" t="n">
        <f aca="false">H283*N283</f>
        <v>52649.8841</v>
      </c>
      <c r="P283" s="910" t="s">
        <v>2193</v>
      </c>
      <c r="Q283" s="1057" t="s">
        <v>2323</v>
      </c>
      <c r="R283" s="1138" t="n">
        <v>52649.8841</v>
      </c>
      <c r="S283" s="877" t="n">
        <f aca="false">R283/H283</f>
        <v>2687</v>
      </c>
      <c r="T283" s="948" t="n">
        <f aca="false">O283-R283</f>
        <v>0</v>
      </c>
      <c r="U283" s="942" t="n">
        <f aca="false">N283-S283</f>
        <v>0</v>
      </c>
    </row>
    <row r="284" customFormat="false" ht="15" hidden="false" customHeight="true" outlineLevel="0" collapsed="false">
      <c r="A284" s="829" t="s">
        <v>2349</v>
      </c>
      <c r="B284" s="830" t="s">
        <v>2207</v>
      </c>
      <c r="C284" s="830" t="n">
        <v>2024</v>
      </c>
      <c r="D284" s="831" t="s">
        <v>11</v>
      </c>
      <c r="E284" s="831" t="s">
        <v>2192</v>
      </c>
      <c r="F284" s="832" t="s">
        <v>1651</v>
      </c>
      <c r="G284" s="833"/>
      <c r="H284" s="834" t="n">
        <v>19.2985</v>
      </c>
      <c r="I284" s="835"/>
      <c r="J284" s="835"/>
      <c r="K284" s="1388" t="n">
        <f aca="false">H284*I284/100</f>
        <v>0</v>
      </c>
      <c r="L284" s="1002" t="n">
        <v>2837</v>
      </c>
      <c r="M284" s="1003" t="n">
        <v>1</v>
      </c>
      <c r="N284" s="837" t="n">
        <f aca="false">L284*M284</f>
        <v>2837</v>
      </c>
      <c r="O284" s="943" t="n">
        <f aca="false">H284*N284</f>
        <v>54749.8445</v>
      </c>
      <c r="P284" s="838" t="s">
        <v>2197</v>
      </c>
      <c r="Q284" s="1004" t="s">
        <v>2350</v>
      </c>
      <c r="R284" s="1145" t="n">
        <v>47667.295</v>
      </c>
      <c r="S284" s="840" t="n">
        <f aca="false">R284/H284</f>
        <v>2470</v>
      </c>
      <c r="T284" s="943" t="n">
        <f aca="false">O284-R284-R285</f>
        <v>0</v>
      </c>
      <c r="U284" s="842" t="n">
        <f aca="false">N284-S284-S285</f>
        <v>0</v>
      </c>
    </row>
    <row r="285" customFormat="false" ht="15" hidden="false" customHeight="true" outlineLevel="0" collapsed="false">
      <c r="A285" s="829"/>
      <c r="B285" s="830"/>
      <c r="C285" s="830"/>
      <c r="D285" s="843" t="s">
        <v>11</v>
      </c>
      <c r="E285" s="843" t="s">
        <v>2192</v>
      </c>
      <c r="F285" s="832"/>
      <c r="G285" s="833"/>
      <c r="H285" s="834"/>
      <c r="I285" s="835"/>
      <c r="J285" s="835"/>
      <c r="K285" s="1388"/>
      <c r="L285" s="1002"/>
      <c r="M285" s="1003"/>
      <c r="N285" s="837"/>
      <c r="O285" s="943"/>
      <c r="P285" s="844" t="s">
        <v>2197</v>
      </c>
      <c r="Q285" s="1005" t="s">
        <v>2351</v>
      </c>
      <c r="R285" s="1136" t="n">
        <v>7082.5495</v>
      </c>
      <c r="S285" s="846" t="n">
        <f aca="false">R285/H284</f>
        <v>367</v>
      </c>
      <c r="T285" s="943"/>
      <c r="U285" s="842"/>
    </row>
    <row r="286" customFormat="false" ht="15" hidden="false" customHeight="true" outlineLevel="0" collapsed="false">
      <c r="A286" s="903" t="n">
        <v>25</v>
      </c>
      <c r="B286" s="903" t="s">
        <v>2207</v>
      </c>
      <c r="C286" s="903" t="n">
        <v>2024</v>
      </c>
      <c r="D286" s="904" t="s">
        <v>11</v>
      </c>
      <c r="E286" s="904" t="s">
        <v>2192</v>
      </c>
      <c r="F286" s="904" t="s">
        <v>1651</v>
      </c>
      <c r="G286" s="905"/>
      <c r="H286" s="946" t="n">
        <v>15.0967</v>
      </c>
      <c r="I286" s="947"/>
      <c r="J286" s="947"/>
      <c r="K286" s="939" t="n">
        <f aca="false">H286*I286/100</f>
        <v>0</v>
      </c>
      <c r="L286" s="1022" t="n">
        <v>10230</v>
      </c>
      <c r="M286" s="1023" t="n">
        <v>1</v>
      </c>
      <c r="N286" s="1137" t="n">
        <f aca="false">L286*M286</f>
        <v>10230</v>
      </c>
      <c r="O286" s="1384" t="n">
        <f aca="false">H286*N286</f>
        <v>154439.241</v>
      </c>
      <c r="P286" s="910" t="s">
        <v>2193</v>
      </c>
      <c r="Q286" s="1057" t="s">
        <v>2322</v>
      </c>
      <c r="R286" s="1138" t="n">
        <v>154439.241</v>
      </c>
      <c r="S286" s="891" t="n">
        <f aca="false">R286/H286</f>
        <v>10230</v>
      </c>
      <c r="T286" s="948" t="n">
        <f aca="false">O286-R286</f>
        <v>0</v>
      </c>
      <c r="U286" s="942" t="n">
        <f aca="false">N286-S286</f>
        <v>0</v>
      </c>
    </row>
    <row r="287" customFormat="false" ht="15" hidden="false" customHeight="true" outlineLevel="0" collapsed="false">
      <c r="A287" s="829" t="s">
        <v>2352</v>
      </c>
      <c r="B287" s="830" t="s">
        <v>2207</v>
      </c>
      <c r="C287" s="830" t="n">
        <v>2024</v>
      </c>
      <c r="D287" s="831" t="s">
        <v>11</v>
      </c>
      <c r="E287" s="831" t="s">
        <v>2192</v>
      </c>
      <c r="F287" s="832" t="s">
        <v>1651</v>
      </c>
      <c r="G287" s="833"/>
      <c r="H287" s="834" t="n">
        <v>15.0485</v>
      </c>
      <c r="I287" s="835"/>
      <c r="J287" s="835"/>
      <c r="K287" s="836" t="n">
        <f aca="false">H287*I287/100</f>
        <v>0</v>
      </c>
      <c r="L287" s="1002" t="n">
        <v>10700</v>
      </c>
      <c r="M287" s="1003" t="n">
        <v>1</v>
      </c>
      <c r="N287" s="1075" t="n">
        <f aca="false">L287*M287</f>
        <v>10700</v>
      </c>
      <c r="O287" s="943" t="n">
        <f aca="false">H287*N287</f>
        <v>161018.95</v>
      </c>
      <c r="P287" s="838" t="s">
        <v>2197</v>
      </c>
      <c r="Q287" s="1004" t="s">
        <v>2353</v>
      </c>
      <c r="R287" s="1145" t="n">
        <v>28215.9375</v>
      </c>
      <c r="S287" s="886" t="n">
        <f aca="false">R287/H287</f>
        <v>1875</v>
      </c>
      <c r="T287" s="943" t="n">
        <f aca="false">O287-R287-R289-R290-R288</f>
        <v>0</v>
      </c>
      <c r="U287" s="842" t="n">
        <f aca="false">N287-S287-S289-S290-S288</f>
        <v>0</v>
      </c>
    </row>
    <row r="288" customFormat="false" ht="15" hidden="false" customHeight="true" outlineLevel="0" collapsed="false">
      <c r="A288" s="829"/>
      <c r="B288" s="830"/>
      <c r="C288" s="830"/>
      <c r="D288" s="848" t="s">
        <v>11</v>
      </c>
      <c r="E288" s="848" t="s">
        <v>2192</v>
      </c>
      <c r="F288" s="832"/>
      <c r="G288" s="833"/>
      <c r="H288" s="834"/>
      <c r="I288" s="835"/>
      <c r="J288" s="835"/>
      <c r="K288" s="836"/>
      <c r="L288" s="1002"/>
      <c r="M288" s="1003"/>
      <c r="N288" s="1075"/>
      <c r="O288" s="943"/>
      <c r="P288" s="856" t="s">
        <v>2197</v>
      </c>
      <c r="Q288" s="1008" t="s">
        <v>2354</v>
      </c>
      <c r="R288" s="1144" t="n">
        <v>82992.4775</v>
      </c>
      <c r="S288" s="866" t="n">
        <f aca="false">R288/H287</f>
        <v>5515</v>
      </c>
      <c r="T288" s="943"/>
      <c r="U288" s="842"/>
    </row>
    <row r="289" customFormat="false" ht="15" hidden="false" customHeight="true" outlineLevel="0" collapsed="false">
      <c r="A289" s="829"/>
      <c r="B289" s="830"/>
      <c r="C289" s="830"/>
      <c r="D289" s="848" t="s">
        <v>11</v>
      </c>
      <c r="E289" s="848" t="s">
        <v>2192</v>
      </c>
      <c r="F289" s="832"/>
      <c r="G289" s="833"/>
      <c r="H289" s="834"/>
      <c r="I289" s="835"/>
      <c r="J289" s="835"/>
      <c r="K289" s="836"/>
      <c r="L289" s="1002"/>
      <c r="M289" s="1003"/>
      <c r="N289" s="1075"/>
      <c r="O289" s="943"/>
      <c r="P289" s="856" t="s">
        <v>2197</v>
      </c>
      <c r="Q289" s="1008" t="s">
        <v>2355</v>
      </c>
      <c r="R289" s="1144" t="n">
        <v>4665.035</v>
      </c>
      <c r="S289" s="866" t="n">
        <f aca="false">R289/H287</f>
        <v>310</v>
      </c>
      <c r="T289" s="943"/>
      <c r="U289" s="842"/>
    </row>
    <row r="290" customFormat="false" ht="15" hidden="false" customHeight="true" outlineLevel="0" collapsed="false">
      <c r="A290" s="829"/>
      <c r="B290" s="830"/>
      <c r="C290" s="830"/>
      <c r="D290" s="887" t="s">
        <v>11</v>
      </c>
      <c r="E290" s="887" t="s">
        <v>2192</v>
      </c>
      <c r="F290" s="832"/>
      <c r="G290" s="833"/>
      <c r="H290" s="834"/>
      <c r="I290" s="835"/>
      <c r="J290" s="835"/>
      <c r="K290" s="836"/>
      <c r="L290" s="1002"/>
      <c r="M290" s="1003"/>
      <c r="N290" s="1075"/>
      <c r="O290" s="943"/>
      <c r="P290" s="888" t="s">
        <v>2197</v>
      </c>
      <c r="Q290" s="1364" t="s">
        <v>2356</v>
      </c>
      <c r="R290" s="1146" t="n">
        <v>45145.5</v>
      </c>
      <c r="S290" s="846" t="n">
        <f aca="false">R290/H287</f>
        <v>3000</v>
      </c>
      <c r="T290" s="943"/>
      <c r="U290" s="842"/>
    </row>
    <row r="291" customFormat="false" ht="15" hidden="false" customHeight="true" outlineLevel="0" collapsed="false">
      <c r="A291" s="847" t="n">
        <v>34</v>
      </c>
      <c r="B291" s="847" t="s">
        <v>2207</v>
      </c>
      <c r="C291" s="847" t="n">
        <v>2024</v>
      </c>
      <c r="D291" s="848" t="s">
        <v>11</v>
      </c>
      <c r="E291" s="848" t="s">
        <v>2192</v>
      </c>
      <c r="F291" s="848" t="s">
        <v>1651</v>
      </c>
      <c r="G291" s="849"/>
      <c r="H291" s="949" t="n">
        <v>11.2985</v>
      </c>
      <c r="I291" s="950"/>
      <c r="J291" s="950"/>
      <c r="K291" s="852" t="n">
        <f aca="false">H291*I291/100</f>
        <v>0</v>
      </c>
      <c r="L291" s="1006" t="n">
        <v>9100</v>
      </c>
      <c r="M291" s="1007" t="n">
        <v>1</v>
      </c>
      <c r="N291" s="1143" t="n">
        <f aca="false">L291*M291</f>
        <v>9100</v>
      </c>
      <c r="O291" s="1386" t="n">
        <f aca="false">H291*N291</f>
        <v>102816.35</v>
      </c>
      <c r="P291" s="856" t="s">
        <v>2193</v>
      </c>
      <c r="Q291" s="1008" t="s">
        <v>2326</v>
      </c>
      <c r="R291" s="1144" t="n">
        <v>102816.35</v>
      </c>
      <c r="S291" s="854" t="n">
        <f aca="false">R291/H291</f>
        <v>9100</v>
      </c>
      <c r="T291" s="953" t="n">
        <f aca="false">O291-R291</f>
        <v>0</v>
      </c>
      <c r="U291" s="537" t="n">
        <f aca="false">N291-S291</f>
        <v>0</v>
      </c>
    </row>
    <row r="292" customFormat="false" ht="15" hidden="false" customHeight="true" outlineLevel="0" collapsed="false">
      <c r="A292" s="870" t="s">
        <v>2357</v>
      </c>
      <c r="B292" s="870" t="s">
        <v>2207</v>
      </c>
      <c r="C292" s="870" t="n">
        <v>2024</v>
      </c>
      <c r="D292" s="871" t="s">
        <v>11</v>
      </c>
      <c r="E292" s="871" t="s">
        <v>2192</v>
      </c>
      <c r="F292" s="871" t="s">
        <v>1651</v>
      </c>
      <c r="G292" s="872"/>
      <c r="H292" s="1116" t="n">
        <v>11.3763</v>
      </c>
      <c r="I292" s="1117"/>
      <c r="J292" s="1117"/>
      <c r="K292" s="875" t="n">
        <f aca="false">H292*I292/100</f>
        <v>0</v>
      </c>
      <c r="L292" s="999" t="n">
        <v>9370</v>
      </c>
      <c r="M292" s="1000" t="n">
        <v>1</v>
      </c>
      <c r="N292" s="1301" t="n">
        <f aca="false">L292*M292</f>
        <v>9370</v>
      </c>
      <c r="O292" s="1402" t="n">
        <f aca="false">H292*N292</f>
        <v>106595.931</v>
      </c>
      <c r="P292" s="879" t="s">
        <v>2197</v>
      </c>
      <c r="Q292" s="1013" t="s">
        <v>2358</v>
      </c>
      <c r="R292" s="1151" t="n">
        <v>106595.931</v>
      </c>
      <c r="S292" s="877" t="n">
        <f aca="false">R292/H292</f>
        <v>9370</v>
      </c>
      <c r="T292" s="1403" t="n">
        <f aca="false">O292-R292</f>
        <v>0</v>
      </c>
      <c r="U292" s="553" t="n">
        <f aca="false">N292-S292</f>
        <v>0</v>
      </c>
    </row>
    <row r="293" customFormat="false" ht="15" hidden="false" customHeight="true" outlineLevel="0" collapsed="false">
      <c r="A293" s="829" t="n">
        <v>42</v>
      </c>
      <c r="B293" s="830" t="s">
        <v>2207</v>
      </c>
      <c r="C293" s="830" t="n">
        <v>2024</v>
      </c>
      <c r="D293" s="831" t="s">
        <v>11</v>
      </c>
      <c r="E293" s="831" t="s">
        <v>2192</v>
      </c>
      <c r="F293" s="832" t="s">
        <v>1652</v>
      </c>
      <c r="G293" s="833"/>
      <c r="H293" s="834" t="n">
        <v>16.5648</v>
      </c>
      <c r="I293" s="835"/>
      <c r="J293" s="835"/>
      <c r="K293" s="836" t="n">
        <f aca="false">H293*I293/100</f>
        <v>0</v>
      </c>
      <c r="L293" s="1002" t="n">
        <v>800</v>
      </c>
      <c r="M293" s="1003" t="n">
        <v>1</v>
      </c>
      <c r="N293" s="837" t="n">
        <f aca="false">L293*M293</f>
        <v>800</v>
      </c>
      <c r="O293" s="943" t="n">
        <f aca="false">H293*N293</f>
        <v>13251.84</v>
      </c>
      <c r="P293" s="838" t="s">
        <v>2197</v>
      </c>
      <c r="Q293" s="1004" t="s">
        <v>2359</v>
      </c>
      <c r="R293" s="1145" t="n">
        <v>8448.048</v>
      </c>
      <c r="S293" s="840" t="n">
        <f aca="false">R293/H293</f>
        <v>510</v>
      </c>
      <c r="T293" s="943" t="n">
        <f aca="false">O293-R293-R294</f>
        <v>0</v>
      </c>
      <c r="U293" s="842" t="n">
        <f aca="false">N293-S293-S294</f>
        <v>0</v>
      </c>
    </row>
    <row r="294" customFormat="false" ht="15" hidden="false" customHeight="true" outlineLevel="0" collapsed="false">
      <c r="A294" s="829"/>
      <c r="B294" s="830"/>
      <c r="C294" s="830"/>
      <c r="D294" s="843" t="s">
        <v>11</v>
      </c>
      <c r="E294" s="843" t="s">
        <v>2192</v>
      </c>
      <c r="F294" s="832"/>
      <c r="G294" s="833"/>
      <c r="H294" s="834"/>
      <c r="I294" s="835"/>
      <c r="J294" s="835"/>
      <c r="K294" s="836"/>
      <c r="L294" s="1002"/>
      <c r="M294" s="1003"/>
      <c r="N294" s="837"/>
      <c r="O294" s="943"/>
      <c r="P294" s="844" t="s">
        <v>2197</v>
      </c>
      <c r="Q294" s="1005" t="s">
        <v>2332</v>
      </c>
      <c r="R294" s="1136" t="n">
        <v>4803.792</v>
      </c>
      <c r="S294" s="846" t="n">
        <f aca="false">R294/H293</f>
        <v>290</v>
      </c>
      <c r="T294" s="943"/>
      <c r="U294" s="842"/>
    </row>
    <row r="295" customFormat="false" ht="15" hidden="false" customHeight="true" outlineLevel="0" collapsed="false">
      <c r="A295" s="903" t="n">
        <v>43</v>
      </c>
      <c r="B295" s="903" t="s">
        <v>2207</v>
      </c>
      <c r="C295" s="903" t="n">
        <v>2024</v>
      </c>
      <c r="D295" s="904" t="s">
        <v>11</v>
      </c>
      <c r="E295" s="904" t="s">
        <v>2192</v>
      </c>
      <c r="F295" s="904" t="s">
        <v>1651</v>
      </c>
      <c r="G295" s="905"/>
      <c r="H295" s="946" t="n">
        <v>11.3802</v>
      </c>
      <c r="I295" s="947"/>
      <c r="J295" s="947"/>
      <c r="K295" s="939" t="n">
        <f aca="false">H295*I295/100</f>
        <v>0</v>
      </c>
      <c r="L295" s="1022" t="n">
        <v>13316</v>
      </c>
      <c r="M295" s="1023" t="n">
        <v>1</v>
      </c>
      <c r="N295" s="1137" t="n">
        <f aca="false">L295*M295</f>
        <v>13316</v>
      </c>
      <c r="O295" s="1384" t="n">
        <f aca="false">H295*N295</f>
        <v>151538.7432</v>
      </c>
      <c r="P295" s="910" t="s">
        <v>2193</v>
      </c>
      <c r="Q295" s="1057" t="s">
        <v>2324</v>
      </c>
      <c r="R295" s="1138" t="n">
        <v>151538.7432</v>
      </c>
      <c r="S295" s="891" t="n">
        <f aca="false">R295/H295</f>
        <v>13316</v>
      </c>
      <c r="T295" s="948" t="n">
        <f aca="false">O295-R295</f>
        <v>0</v>
      </c>
      <c r="U295" s="942" t="n">
        <f aca="false">N295-S295</f>
        <v>0</v>
      </c>
    </row>
    <row r="296" customFormat="false" ht="15" hidden="false" customHeight="true" outlineLevel="0" collapsed="false">
      <c r="A296" s="829" t="s">
        <v>2360</v>
      </c>
      <c r="B296" s="830" t="s">
        <v>2207</v>
      </c>
      <c r="C296" s="830" t="n">
        <v>2024</v>
      </c>
      <c r="D296" s="831" t="s">
        <v>11</v>
      </c>
      <c r="E296" s="831" t="s">
        <v>2192</v>
      </c>
      <c r="F296" s="832" t="s">
        <v>1651</v>
      </c>
      <c r="G296" s="833"/>
      <c r="H296" s="834" t="n">
        <v>11.9572</v>
      </c>
      <c r="I296" s="835"/>
      <c r="J296" s="835"/>
      <c r="K296" s="836" t="n">
        <f aca="false">H296*I296/100</f>
        <v>0</v>
      </c>
      <c r="L296" s="1002" t="n">
        <v>14381</v>
      </c>
      <c r="M296" s="1003" t="n">
        <v>1</v>
      </c>
      <c r="N296" s="837" t="n">
        <f aca="false">L296*M296</f>
        <v>14381</v>
      </c>
      <c r="O296" s="943" t="n">
        <f aca="false">H296*N296</f>
        <v>171956.4932</v>
      </c>
      <c r="P296" s="838" t="s">
        <v>2197</v>
      </c>
      <c r="Q296" s="1004" t="s">
        <v>2361</v>
      </c>
      <c r="R296" s="1145" t="n">
        <v>119452.428</v>
      </c>
      <c r="S296" s="840" t="n">
        <f aca="false">R296/H296</f>
        <v>9990</v>
      </c>
      <c r="T296" s="943" t="n">
        <f aca="false">O296-R296-R297</f>
        <v>0</v>
      </c>
      <c r="U296" s="842" t="n">
        <f aca="false">N296-S296-S297</f>
        <v>0</v>
      </c>
    </row>
    <row r="297" customFormat="false" ht="15" hidden="false" customHeight="true" outlineLevel="0" collapsed="false">
      <c r="A297" s="829"/>
      <c r="B297" s="830"/>
      <c r="C297" s="830"/>
      <c r="D297" s="843" t="s">
        <v>11</v>
      </c>
      <c r="E297" s="843" t="s">
        <v>2192</v>
      </c>
      <c r="F297" s="832"/>
      <c r="G297" s="833"/>
      <c r="H297" s="834"/>
      <c r="I297" s="835"/>
      <c r="J297" s="835"/>
      <c r="K297" s="836"/>
      <c r="L297" s="1002"/>
      <c r="M297" s="1003"/>
      <c r="N297" s="837"/>
      <c r="O297" s="943"/>
      <c r="P297" s="844" t="s">
        <v>2197</v>
      </c>
      <c r="Q297" s="1005" t="s">
        <v>2333</v>
      </c>
      <c r="R297" s="1136" t="n">
        <v>52504.0652</v>
      </c>
      <c r="S297" s="846" t="n">
        <f aca="false">R297/H296</f>
        <v>4391</v>
      </c>
      <c r="T297" s="943"/>
      <c r="U297" s="842"/>
    </row>
    <row r="298" customFormat="false" ht="15" hidden="false" customHeight="true" outlineLevel="0" collapsed="false">
      <c r="A298" s="903" t="n">
        <v>64</v>
      </c>
      <c r="B298" s="903" t="s">
        <v>2207</v>
      </c>
      <c r="C298" s="903" t="n">
        <v>2024</v>
      </c>
      <c r="D298" s="904" t="s">
        <v>11</v>
      </c>
      <c r="E298" s="904" t="s">
        <v>2192</v>
      </c>
      <c r="F298" s="904" t="s">
        <v>1651</v>
      </c>
      <c r="G298" s="905"/>
      <c r="H298" s="946" t="n">
        <v>16.1987</v>
      </c>
      <c r="I298" s="947"/>
      <c r="J298" s="947"/>
      <c r="K298" s="939" t="n">
        <f aca="false">H298*I298/100</f>
        <v>0</v>
      </c>
      <c r="L298" s="1022" t="n">
        <v>8650</v>
      </c>
      <c r="M298" s="1023" t="n">
        <v>1</v>
      </c>
      <c r="N298" s="1137" t="n">
        <f aca="false">L298*M298</f>
        <v>8650</v>
      </c>
      <c r="O298" s="1384" t="n">
        <f aca="false">H298*N298</f>
        <v>140118.755</v>
      </c>
      <c r="P298" s="910" t="s">
        <v>2193</v>
      </c>
      <c r="Q298" s="1057" t="s">
        <v>2362</v>
      </c>
      <c r="R298" s="1138" t="n">
        <v>140118.755</v>
      </c>
      <c r="S298" s="891" t="n">
        <f aca="false">R298/H298</f>
        <v>8650</v>
      </c>
      <c r="T298" s="948" t="n">
        <f aca="false">O298-R298</f>
        <v>0</v>
      </c>
      <c r="U298" s="942" t="n">
        <f aca="false">N298-S298</f>
        <v>0</v>
      </c>
    </row>
    <row r="299" customFormat="false" ht="15" hidden="false" customHeight="true" outlineLevel="0" collapsed="false">
      <c r="A299" s="829" t="s">
        <v>2363</v>
      </c>
      <c r="B299" s="830" t="s">
        <v>2207</v>
      </c>
      <c r="C299" s="830" t="n">
        <v>2024</v>
      </c>
      <c r="D299" s="831" t="s">
        <v>11</v>
      </c>
      <c r="E299" s="831" t="s">
        <v>2192</v>
      </c>
      <c r="F299" s="832" t="s">
        <v>1651</v>
      </c>
      <c r="G299" s="833"/>
      <c r="H299" s="834" t="n">
        <v>15.4488</v>
      </c>
      <c r="I299" s="835"/>
      <c r="J299" s="835"/>
      <c r="K299" s="836" t="n">
        <f aca="false">H299*I299/100</f>
        <v>0</v>
      </c>
      <c r="L299" s="1002" t="n">
        <v>10300</v>
      </c>
      <c r="M299" s="1003" t="n">
        <v>1</v>
      </c>
      <c r="N299" s="837" t="n">
        <f aca="false">L299*M299</f>
        <v>10300</v>
      </c>
      <c r="O299" s="943" t="n">
        <f aca="false">H299*N299</f>
        <v>159122.64</v>
      </c>
      <c r="P299" s="838" t="s">
        <v>2197</v>
      </c>
      <c r="Q299" s="1004" t="s">
        <v>2364</v>
      </c>
      <c r="R299" s="1145" t="n">
        <v>154333.512</v>
      </c>
      <c r="S299" s="840" t="n">
        <f aca="false">R299/H299</f>
        <v>9990</v>
      </c>
      <c r="T299" s="837" t="n">
        <f aca="false">O299-R299-R300</f>
        <v>2.63753463514149E-011</v>
      </c>
      <c r="U299" s="842" t="n">
        <f aca="false">N299-S299-S300</f>
        <v>1.81898940354586E-012</v>
      </c>
    </row>
    <row r="300" customFormat="false" ht="15" hidden="false" customHeight="true" outlineLevel="0" collapsed="false">
      <c r="A300" s="829"/>
      <c r="B300" s="830"/>
      <c r="C300" s="830"/>
      <c r="D300" s="887" t="s">
        <v>11</v>
      </c>
      <c r="E300" s="887" t="s">
        <v>2192</v>
      </c>
      <c r="F300" s="832"/>
      <c r="G300" s="833"/>
      <c r="H300" s="834"/>
      <c r="I300" s="835"/>
      <c r="J300" s="835"/>
      <c r="K300" s="836"/>
      <c r="L300" s="1002"/>
      <c r="M300" s="1003"/>
      <c r="N300" s="837"/>
      <c r="O300" s="943"/>
      <c r="P300" s="888" t="s">
        <v>2197</v>
      </c>
      <c r="Q300" s="1364" t="s">
        <v>2365</v>
      </c>
      <c r="R300" s="1146" t="n">
        <v>4789.128</v>
      </c>
      <c r="S300" s="846" t="n">
        <f aca="false">R300/H299</f>
        <v>310</v>
      </c>
      <c r="T300" s="837"/>
      <c r="U300" s="842"/>
    </row>
    <row r="301" customFormat="false" ht="15" hidden="false" customHeight="true" outlineLevel="0" collapsed="false">
      <c r="A301" s="903" t="n">
        <v>65</v>
      </c>
      <c r="B301" s="903" t="s">
        <v>2207</v>
      </c>
      <c r="C301" s="903" t="n">
        <v>2024</v>
      </c>
      <c r="D301" s="904" t="s">
        <v>11</v>
      </c>
      <c r="E301" s="904" t="s">
        <v>2192</v>
      </c>
      <c r="F301" s="904" t="s">
        <v>1651</v>
      </c>
      <c r="G301" s="905"/>
      <c r="H301" s="946" t="n">
        <v>12.9382</v>
      </c>
      <c r="I301" s="947"/>
      <c r="J301" s="947"/>
      <c r="K301" s="939" t="n">
        <f aca="false">H301*I301/100</f>
        <v>0</v>
      </c>
      <c r="L301" s="1022" t="n">
        <v>20889</v>
      </c>
      <c r="M301" s="1023" t="n">
        <v>1</v>
      </c>
      <c r="N301" s="1137" t="n">
        <f aca="false">L301*M301</f>
        <v>20889</v>
      </c>
      <c r="O301" s="1384" t="n">
        <f aca="false">H301*N301</f>
        <v>270266.0598</v>
      </c>
      <c r="P301" s="910" t="s">
        <v>2193</v>
      </c>
      <c r="Q301" s="1057" t="s">
        <v>2366</v>
      </c>
      <c r="R301" s="1138" t="n">
        <v>270266.0598</v>
      </c>
      <c r="S301" s="891" t="n">
        <f aca="false">R301/H301</f>
        <v>20889</v>
      </c>
      <c r="T301" s="948" t="n">
        <f aca="false">O301-R301</f>
        <v>0</v>
      </c>
      <c r="U301" s="942" t="n">
        <f aca="false">N301-S301</f>
        <v>0</v>
      </c>
    </row>
    <row r="302" customFormat="false" ht="15" hidden="false" customHeight="true" outlineLevel="0" collapsed="false">
      <c r="A302" s="882" t="s">
        <v>2367</v>
      </c>
      <c r="B302" s="830" t="s">
        <v>2207</v>
      </c>
      <c r="C302" s="830" t="n">
        <v>2024</v>
      </c>
      <c r="D302" s="831" t="s">
        <v>11</v>
      </c>
      <c r="E302" s="831" t="s">
        <v>2192</v>
      </c>
      <c r="F302" s="832" t="s">
        <v>1651</v>
      </c>
      <c r="G302" s="833"/>
      <c r="H302" s="834" t="n">
        <v>12.7544</v>
      </c>
      <c r="I302" s="835"/>
      <c r="J302" s="835"/>
      <c r="K302" s="836" t="n">
        <f aca="false">H302*I302/100</f>
        <v>0</v>
      </c>
      <c r="L302" s="1002" t="n">
        <v>23994</v>
      </c>
      <c r="M302" s="1003" t="n">
        <v>1</v>
      </c>
      <c r="N302" s="837" t="n">
        <f aca="false">L302*M302</f>
        <v>23994</v>
      </c>
      <c r="O302" s="943" t="n">
        <f aca="false">H302*N302</f>
        <v>306029.0736</v>
      </c>
      <c r="P302" s="838" t="s">
        <v>2197</v>
      </c>
      <c r="Q302" s="1004" t="s">
        <v>2365</v>
      </c>
      <c r="R302" s="1145" t="n">
        <v>17601.072</v>
      </c>
      <c r="S302" s="886" t="n">
        <f aca="false">R302/H302</f>
        <v>1380</v>
      </c>
      <c r="T302" s="943" t="n">
        <f aca="false">O302-R302-R307-R303-R304-R306-R305</f>
        <v>0</v>
      </c>
      <c r="U302" s="842" t="n">
        <f aca="false">N302-S302-S307-S303-S304-S306-S305</f>
        <v>0</v>
      </c>
    </row>
    <row r="303" customFormat="false" ht="15" hidden="false" customHeight="true" outlineLevel="0" collapsed="false">
      <c r="A303" s="882"/>
      <c r="B303" s="830"/>
      <c r="C303" s="830"/>
      <c r="D303" s="860" t="s">
        <v>11</v>
      </c>
      <c r="E303" s="860" t="s">
        <v>2192</v>
      </c>
      <c r="F303" s="832"/>
      <c r="G303" s="833"/>
      <c r="H303" s="834"/>
      <c r="I303" s="835"/>
      <c r="J303" s="835"/>
      <c r="K303" s="836"/>
      <c r="L303" s="1002"/>
      <c r="M303" s="1003"/>
      <c r="N303" s="837"/>
      <c r="O303" s="943"/>
      <c r="P303" s="868" t="s">
        <v>2197</v>
      </c>
      <c r="Q303" s="1011" t="s">
        <v>2368</v>
      </c>
      <c r="R303" s="1147" t="n">
        <v>127416.456</v>
      </c>
      <c r="S303" s="866" t="n">
        <f aca="false">R303/H302</f>
        <v>9990</v>
      </c>
      <c r="T303" s="943"/>
      <c r="U303" s="842"/>
    </row>
    <row r="304" customFormat="false" ht="15" hidden="false" customHeight="true" outlineLevel="0" collapsed="false">
      <c r="A304" s="882"/>
      <c r="B304" s="830"/>
      <c r="C304" s="830"/>
      <c r="D304" s="860" t="s">
        <v>11</v>
      </c>
      <c r="E304" s="860" t="s">
        <v>2192</v>
      </c>
      <c r="F304" s="832"/>
      <c r="G304" s="833"/>
      <c r="H304" s="834"/>
      <c r="I304" s="835"/>
      <c r="J304" s="835"/>
      <c r="K304" s="836"/>
      <c r="L304" s="1002"/>
      <c r="M304" s="1003"/>
      <c r="N304" s="837"/>
      <c r="O304" s="943"/>
      <c r="P304" s="868" t="s">
        <v>2197</v>
      </c>
      <c r="Q304" s="1011" t="s">
        <v>2369</v>
      </c>
      <c r="R304" s="1147" t="n">
        <v>95658</v>
      </c>
      <c r="S304" s="866" t="n">
        <f aca="false">R304/H302</f>
        <v>7500</v>
      </c>
      <c r="T304" s="943"/>
      <c r="U304" s="842"/>
    </row>
    <row r="305" customFormat="false" ht="15" hidden="false" customHeight="true" outlineLevel="0" collapsed="false">
      <c r="A305" s="882"/>
      <c r="B305" s="830"/>
      <c r="C305" s="830"/>
      <c r="D305" s="860" t="s">
        <v>11</v>
      </c>
      <c r="E305" s="860" t="s">
        <v>2192</v>
      </c>
      <c r="F305" s="832"/>
      <c r="G305" s="833"/>
      <c r="H305" s="834"/>
      <c r="I305" s="835"/>
      <c r="J305" s="835"/>
      <c r="K305" s="836"/>
      <c r="L305" s="1002"/>
      <c r="M305" s="1003"/>
      <c r="N305" s="837"/>
      <c r="O305" s="943"/>
      <c r="P305" s="868" t="s">
        <v>2197</v>
      </c>
      <c r="Q305" s="1011" t="s">
        <v>2370</v>
      </c>
      <c r="R305" s="1147" t="n">
        <v>43033.3456</v>
      </c>
      <c r="S305" s="866" t="n">
        <f aca="false">R305/H302</f>
        <v>3374</v>
      </c>
      <c r="T305" s="943"/>
      <c r="U305" s="842"/>
    </row>
    <row r="306" customFormat="false" ht="15" hidden="false" customHeight="true" outlineLevel="0" collapsed="false">
      <c r="A306" s="882"/>
      <c r="B306" s="830"/>
      <c r="C306" s="830"/>
      <c r="D306" s="860" t="s">
        <v>11</v>
      </c>
      <c r="E306" s="860" t="s">
        <v>2192</v>
      </c>
      <c r="F306" s="832"/>
      <c r="G306" s="833"/>
      <c r="H306" s="834"/>
      <c r="I306" s="835"/>
      <c r="J306" s="835"/>
      <c r="K306" s="836"/>
      <c r="L306" s="1002"/>
      <c r="M306" s="1003"/>
      <c r="N306" s="837"/>
      <c r="O306" s="943"/>
      <c r="P306" s="868" t="s">
        <v>2197</v>
      </c>
      <c r="Q306" s="1011" t="s">
        <v>2371</v>
      </c>
      <c r="R306" s="1147" t="n">
        <v>19131.6</v>
      </c>
      <c r="S306" s="866" t="n">
        <f aca="false">R306/H302</f>
        <v>1500</v>
      </c>
      <c r="T306" s="943"/>
      <c r="U306" s="842"/>
    </row>
    <row r="307" customFormat="false" ht="15" hidden="false" customHeight="true" outlineLevel="0" collapsed="false">
      <c r="A307" s="882"/>
      <c r="B307" s="830"/>
      <c r="C307" s="830"/>
      <c r="D307" s="887" t="s">
        <v>11</v>
      </c>
      <c r="E307" s="887" t="s">
        <v>2192</v>
      </c>
      <c r="F307" s="832"/>
      <c r="G307" s="833"/>
      <c r="H307" s="834"/>
      <c r="I307" s="835"/>
      <c r="J307" s="835"/>
      <c r="K307" s="836"/>
      <c r="L307" s="1002"/>
      <c r="M307" s="1003"/>
      <c r="N307" s="837"/>
      <c r="O307" s="943"/>
      <c r="P307" s="888" t="s">
        <v>2197</v>
      </c>
      <c r="Q307" s="1364" t="s">
        <v>2372</v>
      </c>
      <c r="R307" s="1146" t="n">
        <v>3188.6</v>
      </c>
      <c r="S307" s="890" t="n">
        <f aca="false">R307/H302</f>
        <v>250</v>
      </c>
      <c r="T307" s="943"/>
      <c r="U307" s="842"/>
    </row>
    <row r="308" customFormat="false" ht="15" hidden="false" customHeight="true" outlineLevel="0" collapsed="false">
      <c r="A308" s="882" t="n">
        <v>71</v>
      </c>
      <c r="B308" s="883" t="s">
        <v>81</v>
      </c>
      <c r="C308" s="883" t="n">
        <v>2024</v>
      </c>
      <c r="D308" s="831" t="s">
        <v>11</v>
      </c>
      <c r="E308" s="831" t="s">
        <v>2192</v>
      </c>
      <c r="F308" s="832" t="s">
        <v>1651</v>
      </c>
      <c r="G308" s="833"/>
      <c r="H308" s="834" t="n">
        <v>14</v>
      </c>
      <c r="I308" s="835"/>
      <c r="J308" s="835"/>
      <c r="K308" s="836" t="n">
        <f aca="false">H308*I308/100</f>
        <v>0</v>
      </c>
      <c r="L308" s="1002" t="n">
        <v>5000</v>
      </c>
      <c r="M308" s="1003" t="n">
        <v>1</v>
      </c>
      <c r="N308" s="837" t="n">
        <f aca="false">L308*M308</f>
        <v>5000</v>
      </c>
      <c r="O308" s="837" t="n">
        <f aca="false">H308*N308</f>
        <v>70000</v>
      </c>
      <c r="P308" s="838" t="s">
        <v>2197</v>
      </c>
      <c r="Q308" s="1004" t="s">
        <v>2373</v>
      </c>
      <c r="R308" s="1145" t="n">
        <v>42000</v>
      </c>
      <c r="S308" s="886" t="n">
        <f aca="false">R308/H308</f>
        <v>3000</v>
      </c>
      <c r="T308" s="841" t="n">
        <f aca="false">O308-R308-R310-R309</f>
        <v>0</v>
      </c>
      <c r="U308" s="842" t="n">
        <f aca="false">N308-S308-S310-S309</f>
        <v>0</v>
      </c>
    </row>
    <row r="309" customFormat="false" ht="15" hidden="false" customHeight="true" outlineLevel="0" collapsed="false">
      <c r="A309" s="882"/>
      <c r="B309" s="883"/>
      <c r="C309" s="883"/>
      <c r="D309" s="860" t="s">
        <v>11</v>
      </c>
      <c r="E309" s="860" t="s">
        <v>2192</v>
      </c>
      <c r="F309" s="832"/>
      <c r="G309" s="833"/>
      <c r="H309" s="834"/>
      <c r="I309" s="835"/>
      <c r="J309" s="835"/>
      <c r="K309" s="836"/>
      <c r="L309" s="1002"/>
      <c r="M309" s="1003"/>
      <c r="N309" s="837"/>
      <c r="O309" s="837"/>
      <c r="P309" s="868" t="s">
        <v>2197</v>
      </c>
      <c r="Q309" s="1011" t="s">
        <v>2374</v>
      </c>
      <c r="R309" s="1147" t="n">
        <v>3710</v>
      </c>
      <c r="S309" s="866" t="n">
        <f aca="false">R309/H308</f>
        <v>265</v>
      </c>
      <c r="T309" s="841"/>
      <c r="U309" s="842"/>
    </row>
    <row r="310" customFormat="false" ht="15" hidden="false" customHeight="true" outlineLevel="0" collapsed="false">
      <c r="A310" s="882"/>
      <c r="B310" s="883"/>
      <c r="C310" s="883"/>
      <c r="D310" s="887" t="s">
        <v>11</v>
      </c>
      <c r="E310" s="887" t="s">
        <v>2192</v>
      </c>
      <c r="F310" s="832"/>
      <c r="G310" s="833"/>
      <c r="H310" s="834"/>
      <c r="I310" s="835"/>
      <c r="J310" s="835"/>
      <c r="K310" s="836"/>
      <c r="L310" s="1002"/>
      <c r="M310" s="1003"/>
      <c r="N310" s="837"/>
      <c r="O310" s="837"/>
      <c r="P310" s="888" t="s">
        <v>2197</v>
      </c>
      <c r="Q310" s="1364" t="s">
        <v>2375</v>
      </c>
      <c r="R310" s="1146" t="n">
        <v>24290</v>
      </c>
      <c r="S310" s="890" t="n">
        <f aca="false">R310/H308</f>
        <v>1735</v>
      </c>
      <c r="T310" s="841"/>
      <c r="U310" s="842"/>
    </row>
    <row r="311" customFormat="false" ht="15" hidden="false" customHeight="true" outlineLevel="0" collapsed="false">
      <c r="A311" s="847" t="n">
        <v>72</v>
      </c>
      <c r="B311" s="847" t="s">
        <v>81</v>
      </c>
      <c r="C311" s="847" t="n">
        <v>2024</v>
      </c>
      <c r="D311" s="848" t="s">
        <v>11</v>
      </c>
      <c r="E311" s="848" t="s">
        <v>2192</v>
      </c>
      <c r="F311" s="848" t="s">
        <v>1651</v>
      </c>
      <c r="G311" s="849"/>
      <c r="H311" s="949" t="n">
        <v>14</v>
      </c>
      <c r="I311" s="950"/>
      <c r="J311" s="950"/>
      <c r="K311" s="852" t="n">
        <f aca="false">H311*I311/100</f>
        <v>0</v>
      </c>
      <c r="L311" s="1006" t="n">
        <v>500</v>
      </c>
      <c r="M311" s="1007" t="n">
        <v>1</v>
      </c>
      <c r="N311" s="1143" t="n">
        <f aca="false">L311*M311</f>
        <v>500</v>
      </c>
      <c r="O311" s="1143" t="n">
        <f aca="false">H311*N311</f>
        <v>7000</v>
      </c>
      <c r="P311" s="856" t="s">
        <v>2197</v>
      </c>
      <c r="Q311" s="1008" t="s">
        <v>2375</v>
      </c>
      <c r="R311" s="1144" t="n">
        <v>7000</v>
      </c>
      <c r="S311" s="854" t="n">
        <f aca="false">R311/H311</f>
        <v>500</v>
      </c>
      <c r="T311" s="858" t="n">
        <f aca="false">O311-R311</f>
        <v>0</v>
      </c>
      <c r="U311" s="537" t="n">
        <f aca="false">N311-S311</f>
        <v>0</v>
      </c>
    </row>
    <row r="312" customFormat="false" ht="15" hidden="false" customHeight="true" outlineLevel="0" collapsed="false">
      <c r="A312" s="870" t="n">
        <v>77</v>
      </c>
      <c r="B312" s="870" t="s">
        <v>81</v>
      </c>
      <c r="C312" s="870" t="n">
        <v>2024</v>
      </c>
      <c r="D312" s="871" t="s">
        <v>11</v>
      </c>
      <c r="E312" s="871" t="s">
        <v>2192</v>
      </c>
      <c r="F312" s="871" t="s">
        <v>1651</v>
      </c>
      <c r="G312" s="872"/>
      <c r="H312" s="1116" t="n">
        <v>14</v>
      </c>
      <c r="I312" s="1117"/>
      <c r="J312" s="1117"/>
      <c r="K312" s="875" t="n">
        <f aca="false">H312*I312/100</f>
        <v>0</v>
      </c>
      <c r="L312" s="999" t="n">
        <v>4500</v>
      </c>
      <c r="M312" s="1000" t="n">
        <v>1</v>
      </c>
      <c r="N312" s="1301" t="n">
        <f aca="false">L312*M312</f>
        <v>4500</v>
      </c>
      <c r="O312" s="1301" t="n">
        <f aca="false">H312*N312</f>
        <v>63000</v>
      </c>
      <c r="P312" s="879" t="s">
        <v>2197</v>
      </c>
      <c r="Q312" s="1013" t="s">
        <v>2375</v>
      </c>
      <c r="R312" s="1151" t="n">
        <v>63000</v>
      </c>
      <c r="S312" s="877" t="n">
        <f aca="false">R312/H312</f>
        <v>4500</v>
      </c>
      <c r="T312" s="1404" t="n">
        <f aca="false">O312-R312</f>
        <v>0</v>
      </c>
      <c r="U312" s="553" t="n">
        <f aca="false">N312-S312</f>
        <v>0</v>
      </c>
    </row>
    <row r="313" customFormat="false" ht="15" hidden="false" customHeight="true" outlineLevel="0" collapsed="false">
      <c r="A313" s="829" t="n">
        <v>102</v>
      </c>
      <c r="B313" s="830" t="s">
        <v>2207</v>
      </c>
      <c r="C313" s="830" t="n">
        <v>2024</v>
      </c>
      <c r="D313" s="831" t="s">
        <v>11</v>
      </c>
      <c r="E313" s="831" t="s">
        <v>2192</v>
      </c>
      <c r="F313" s="832" t="s">
        <v>1651</v>
      </c>
      <c r="G313" s="833"/>
      <c r="H313" s="1059" t="n">
        <v>14.2071</v>
      </c>
      <c r="I313" s="835"/>
      <c r="J313" s="835"/>
      <c r="K313" s="836" t="n">
        <f aca="false">H313*I313/100</f>
        <v>0</v>
      </c>
      <c r="L313" s="1002" t="n">
        <v>3690</v>
      </c>
      <c r="M313" s="1003" t="n">
        <v>1</v>
      </c>
      <c r="N313" s="837" t="n">
        <f aca="false">L313*M313</f>
        <v>3690</v>
      </c>
      <c r="O313" s="837" t="n">
        <f aca="false">H313*N313</f>
        <v>52424.199</v>
      </c>
      <c r="P313" s="838" t="s">
        <v>2197</v>
      </c>
      <c r="Q313" s="1004" t="s">
        <v>2313</v>
      </c>
      <c r="R313" s="1145" t="n">
        <v>26993.49</v>
      </c>
      <c r="S313" s="840" t="n">
        <f aca="false">R313/H313</f>
        <v>1900</v>
      </c>
      <c r="T313" s="1405" t="n">
        <f aca="false">O313-R313-R314</f>
        <v>0</v>
      </c>
      <c r="U313" s="842" t="n">
        <f aca="false">N313-S313-S314</f>
        <v>0</v>
      </c>
    </row>
    <row r="314" customFormat="false" ht="15" hidden="false" customHeight="true" outlineLevel="0" collapsed="false">
      <c r="A314" s="829"/>
      <c r="B314" s="830"/>
      <c r="C314" s="830"/>
      <c r="D314" s="843" t="s">
        <v>11</v>
      </c>
      <c r="E314" s="843" t="s">
        <v>2192</v>
      </c>
      <c r="F314" s="832"/>
      <c r="G314" s="833"/>
      <c r="H314" s="1059"/>
      <c r="I314" s="835"/>
      <c r="J314" s="835"/>
      <c r="K314" s="836"/>
      <c r="L314" s="1002"/>
      <c r="M314" s="1003"/>
      <c r="N314" s="837"/>
      <c r="O314" s="837"/>
      <c r="P314" s="844" t="s">
        <v>2197</v>
      </c>
      <c r="Q314" s="1005" t="s">
        <v>2376</v>
      </c>
      <c r="R314" s="1136" t="n">
        <v>25430.709</v>
      </c>
      <c r="S314" s="846" t="n">
        <f aca="false">R314/H313</f>
        <v>1790</v>
      </c>
      <c r="T314" s="1405"/>
      <c r="U314" s="842"/>
    </row>
    <row r="315" customFormat="false" ht="15" hidden="false" customHeight="true" outlineLevel="0" collapsed="false">
      <c r="A315" s="903" t="n">
        <v>95</v>
      </c>
      <c r="B315" s="903" t="s">
        <v>81</v>
      </c>
      <c r="C315" s="903" t="n">
        <v>2024</v>
      </c>
      <c r="D315" s="904" t="s">
        <v>11</v>
      </c>
      <c r="E315" s="904" t="s">
        <v>2192</v>
      </c>
      <c r="F315" s="904" t="s">
        <v>2199</v>
      </c>
      <c r="G315" s="905"/>
      <c r="H315" s="1406" t="n">
        <v>66.76</v>
      </c>
      <c r="I315" s="947"/>
      <c r="J315" s="947"/>
      <c r="K315" s="939" t="n">
        <f aca="false">H315*I315/100</f>
        <v>0</v>
      </c>
      <c r="L315" s="1022" t="n">
        <v>746</v>
      </c>
      <c r="M315" s="1023" t="n">
        <v>1</v>
      </c>
      <c r="N315" s="1137" t="n">
        <f aca="false">L315*M315</f>
        <v>746</v>
      </c>
      <c r="O315" s="1384" t="n">
        <f aca="false">H315*N315</f>
        <v>49802.96</v>
      </c>
      <c r="P315" s="910" t="s">
        <v>2200</v>
      </c>
      <c r="Q315" s="1057" t="s">
        <v>2377</v>
      </c>
      <c r="R315" s="1138" t="n">
        <v>49802.96</v>
      </c>
      <c r="S315" s="877" t="n">
        <f aca="false">R315/H315</f>
        <v>746</v>
      </c>
      <c r="T315" s="948" t="n">
        <f aca="false">O315-R315</f>
        <v>0</v>
      </c>
      <c r="U315" s="942" t="n">
        <f aca="false">N315-S315</f>
        <v>0</v>
      </c>
    </row>
    <row r="316" customFormat="false" ht="15" hidden="false" customHeight="true" outlineLevel="0" collapsed="false">
      <c r="A316" s="829" t="n">
        <v>71</v>
      </c>
      <c r="B316" s="1173" t="s">
        <v>86</v>
      </c>
      <c r="C316" s="1173" t="n">
        <v>2024</v>
      </c>
      <c r="D316" s="831" t="s">
        <v>11</v>
      </c>
      <c r="E316" s="831" t="s">
        <v>2192</v>
      </c>
      <c r="F316" s="831" t="s">
        <v>1650</v>
      </c>
      <c r="G316" s="1108"/>
      <c r="H316" s="1407" t="n">
        <v>76.67</v>
      </c>
      <c r="I316" s="1110"/>
      <c r="J316" s="1110"/>
      <c r="K316" s="1111" t="n">
        <f aca="false">H316*I316/100</f>
        <v>0</v>
      </c>
      <c r="L316" s="1112" t="n">
        <v>619</v>
      </c>
      <c r="M316" s="1113" t="n">
        <v>1</v>
      </c>
      <c r="N316" s="1408" t="n">
        <f aca="false">L316*M316</f>
        <v>619</v>
      </c>
      <c r="O316" s="1409" t="n">
        <f aca="false">H316*N316</f>
        <v>47458.73</v>
      </c>
      <c r="P316" s="838" t="s">
        <v>2193</v>
      </c>
      <c r="Q316" s="1004" t="s">
        <v>2378</v>
      </c>
      <c r="R316" s="1145" t="n">
        <v>47458.73</v>
      </c>
      <c r="S316" s="840" t="n">
        <f aca="false">R316/H316</f>
        <v>619</v>
      </c>
      <c r="T316" s="1181" t="n">
        <f aca="false">O316-R316</f>
        <v>0</v>
      </c>
      <c r="U316" s="1176" t="n">
        <f aca="false">N316-S316</f>
        <v>0</v>
      </c>
    </row>
    <row r="317" customFormat="false" ht="15" hidden="false" customHeight="true" outlineLevel="0" collapsed="false">
      <c r="A317" s="829"/>
      <c r="B317" s="893" t="s">
        <v>86</v>
      </c>
      <c r="C317" s="893" t="n">
        <v>2024</v>
      </c>
      <c r="D317" s="843" t="s">
        <v>11</v>
      </c>
      <c r="E317" s="843" t="s">
        <v>2203</v>
      </c>
      <c r="F317" s="843"/>
      <c r="G317" s="894"/>
      <c r="H317" s="1410" t="n">
        <v>14.43</v>
      </c>
      <c r="I317" s="1104"/>
      <c r="J317" s="1104"/>
      <c r="K317" s="897" t="n">
        <f aca="false">H317*I317/100</f>
        <v>0</v>
      </c>
      <c r="L317" s="1105" t="n">
        <v>134</v>
      </c>
      <c r="M317" s="1106" t="n">
        <v>1</v>
      </c>
      <c r="N317" s="1393" t="n">
        <f aca="false">L317*M317</f>
        <v>134</v>
      </c>
      <c r="O317" s="1411" t="n">
        <f aca="false">H317*N317</f>
        <v>1933.62</v>
      </c>
      <c r="P317" s="844" t="s">
        <v>2204</v>
      </c>
      <c r="Q317" s="900" t="n">
        <v>31012025</v>
      </c>
      <c r="R317" s="1136" t="n">
        <v>1933.62</v>
      </c>
      <c r="S317" s="846" t="n">
        <f aca="false">R317/H317</f>
        <v>134</v>
      </c>
      <c r="T317" s="1183" t="n">
        <f aca="false">O317-R317</f>
        <v>0</v>
      </c>
      <c r="U317" s="902" t="n">
        <f aca="false">N317-S317</f>
        <v>0</v>
      </c>
    </row>
    <row r="318" customFormat="false" ht="15" hidden="false" customHeight="true" outlineLevel="0" collapsed="false">
      <c r="A318" s="903" t="n">
        <v>105</v>
      </c>
      <c r="B318" s="903" t="s">
        <v>2207</v>
      </c>
      <c r="C318" s="903" t="n">
        <v>2024</v>
      </c>
      <c r="D318" s="904" t="s">
        <v>11</v>
      </c>
      <c r="E318" s="904" t="s">
        <v>2192</v>
      </c>
      <c r="F318" s="904" t="s">
        <v>1651</v>
      </c>
      <c r="G318" s="905"/>
      <c r="H318" s="1406" t="n">
        <v>15.5449</v>
      </c>
      <c r="I318" s="947"/>
      <c r="J318" s="947"/>
      <c r="K318" s="939" t="n">
        <f aca="false">H318*I318/100</f>
        <v>0</v>
      </c>
      <c r="L318" s="1022" t="n">
        <v>3053</v>
      </c>
      <c r="M318" s="1023" t="n">
        <v>1</v>
      </c>
      <c r="N318" s="1137" t="n">
        <f aca="false">L318*M318</f>
        <v>3053</v>
      </c>
      <c r="O318" s="1384" t="n">
        <f aca="false">H318*N318</f>
        <v>47458.5797</v>
      </c>
      <c r="P318" s="910" t="s">
        <v>2197</v>
      </c>
      <c r="Q318" s="1057" t="s">
        <v>2379</v>
      </c>
      <c r="R318" s="1138" t="n">
        <v>47458.5797</v>
      </c>
      <c r="S318" s="877" t="n">
        <f aca="false">R318/H318</f>
        <v>3053</v>
      </c>
      <c r="T318" s="948" t="n">
        <f aca="false">O318-R318</f>
        <v>0</v>
      </c>
      <c r="U318" s="942" t="n">
        <f aca="false">N318-S318</f>
        <v>0</v>
      </c>
    </row>
    <row r="319" customFormat="false" ht="15" hidden="false" customHeight="true" outlineLevel="0" collapsed="false">
      <c r="A319" s="882" t="n">
        <v>135</v>
      </c>
      <c r="B319" s="883" t="s">
        <v>2207</v>
      </c>
      <c r="C319" s="883" t="n">
        <v>2024</v>
      </c>
      <c r="D319" s="831" t="s">
        <v>11</v>
      </c>
      <c r="E319" s="831" t="s">
        <v>2192</v>
      </c>
      <c r="F319" s="832" t="s">
        <v>1651</v>
      </c>
      <c r="G319" s="833"/>
      <c r="H319" s="1059" t="n">
        <v>11.5335</v>
      </c>
      <c r="I319" s="835"/>
      <c r="J319" s="835"/>
      <c r="K319" s="836" t="n">
        <f aca="false">H319*I319/100</f>
        <v>0</v>
      </c>
      <c r="L319" s="1002" t="n">
        <v>16920</v>
      </c>
      <c r="M319" s="1003" t="n">
        <v>1</v>
      </c>
      <c r="N319" s="837" t="n">
        <f aca="false">L319*M319</f>
        <v>16920</v>
      </c>
      <c r="O319" s="943" t="n">
        <f aca="false">H319*N319</f>
        <v>195146.82</v>
      </c>
      <c r="P319" s="838" t="s">
        <v>2197</v>
      </c>
      <c r="Q319" s="1004" t="s">
        <v>2380</v>
      </c>
      <c r="R319" s="1145" t="n">
        <v>865.0125</v>
      </c>
      <c r="S319" s="886" t="n">
        <f aca="false">R319/H319</f>
        <v>75</v>
      </c>
      <c r="T319" s="943" t="n">
        <f aca="false">O319-R319-R321-R320</f>
        <v>0</v>
      </c>
      <c r="U319" s="842" t="n">
        <f aca="false">N319-S319-S321-S320</f>
        <v>0</v>
      </c>
    </row>
    <row r="320" customFormat="false" ht="15" hidden="false" customHeight="true" outlineLevel="0" collapsed="false">
      <c r="A320" s="882"/>
      <c r="B320" s="883"/>
      <c r="C320" s="883"/>
      <c r="D320" s="860" t="s">
        <v>11</v>
      </c>
      <c r="E320" s="860" t="s">
        <v>2192</v>
      </c>
      <c r="F320" s="832"/>
      <c r="G320" s="833"/>
      <c r="H320" s="1059"/>
      <c r="I320" s="835"/>
      <c r="J320" s="835"/>
      <c r="K320" s="836"/>
      <c r="L320" s="1002"/>
      <c r="M320" s="1003"/>
      <c r="N320" s="837"/>
      <c r="O320" s="943"/>
      <c r="P320" s="868" t="s">
        <v>2197</v>
      </c>
      <c r="Q320" s="1011" t="s">
        <v>2381</v>
      </c>
      <c r="R320" s="1147" t="n">
        <v>79062.1425</v>
      </c>
      <c r="S320" s="866" t="n">
        <f aca="false">R320/H319</f>
        <v>6855</v>
      </c>
      <c r="T320" s="943"/>
      <c r="U320" s="842"/>
    </row>
    <row r="321" customFormat="false" ht="15" hidden="false" customHeight="true" outlineLevel="0" collapsed="false">
      <c r="A321" s="882"/>
      <c r="B321" s="883"/>
      <c r="C321" s="883"/>
      <c r="D321" s="887" t="s">
        <v>11</v>
      </c>
      <c r="E321" s="887" t="s">
        <v>2192</v>
      </c>
      <c r="F321" s="832"/>
      <c r="G321" s="833"/>
      <c r="H321" s="1059"/>
      <c r="I321" s="835"/>
      <c r="J321" s="835"/>
      <c r="K321" s="836"/>
      <c r="L321" s="1002"/>
      <c r="M321" s="1003"/>
      <c r="N321" s="837"/>
      <c r="O321" s="943"/>
      <c r="P321" s="888" t="s">
        <v>2197</v>
      </c>
      <c r="Q321" s="1364" t="s">
        <v>2382</v>
      </c>
      <c r="R321" s="1146" t="n">
        <v>115219.665</v>
      </c>
      <c r="S321" s="890" t="n">
        <f aca="false">R321/H319</f>
        <v>9990</v>
      </c>
      <c r="T321" s="943"/>
      <c r="U321" s="842"/>
    </row>
    <row r="322" customFormat="false" ht="15" hidden="false" customHeight="true" outlineLevel="0" collapsed="false">
      <c r="A322" s="954" t="n">
        <v>254</v>
      </c>
      <c r="B322" s="954" t="s">
        <v>2191</v>
      </c>
      <c r="C322" s="954" t="n">
        <v>2023</v>
      </c>
      <c r="D322" s="955" t="s">
        <v>11</v>
      </c>
      <c r="E322" s="955" t="s">
        <v>2192</v>
      </c>
      <c r="F322" s="955" t="s">
        <v>1651</v>
      </c>
      <c r="G322" s="956"/>
      <c r="H322" s="1412" t="n">
        <v>12.5</v>
      </c>
      <c r="I322" s="958"/>
      <c r="J322" s="958"/>
      <c r="K322" s="959" t="n">
        <f aca="false">H322*I322/100</f>
        <v>0</v>
      </c>
      <c r="L322" s="1200" t="n">
        <v>34</v>
      </c>
      <c r="M322" s="1201" t="n">
        <v>10</v>
      </c>
      <c r="N322" s="960" t="n">
        <f aca="false">L322*M322</f>
        <v>340</v>
      </c>
      <c r="O322" s="967" t="n">
        <f aca="false">H322*N322</f>
        <v>4250</v>
      </c>
      <c r="P322" s="963"/>
      <c r="Q322" s="1413"/>
      <c r="R322" s="1204"/>
      <c r="S322" s="1205"/>
      <c r="T322" s="967" t="n">
        <f aca="false">O322-R322</f>
        <v>4250</v>
      </c>
      <c r="U322" s="960" t="n">
        <f aca="false">N322-S322</f>
        <v>340</v>
      </c>
    </row>
    <row r="323" customFormat="false" ht="15" hidden="false" customHeight="true" outlineLevel="0" collapsed="false">
      <c r="A323" s="954" t="n">
        <v>219</v>
      </c>
      <c r="B323" s="954" t="s">
        <v>2191</v>
      </c>
      <c r="C323" s="954" t="n">
        <v>2023</v>
      </c>
      <c r="D323" s="955" t="s">
        <v>11</v>
      </c>
      <c r="E323" s="955" t="s">
        <v>2192</v>
      </c>
      <c r="F323" s="955" t="s">
        <v>1651</v>
      </c>
      <c r="G323" s="956"/>
      <c r="H323" s="1412" t="n">
        <v>19.2985</v>
      </c>
      <c r="I323" s="958"/>
      <c r="J323" s="958"/>
      <c r="K323" s="959" t="n">
        <f aca="false">H323*I323/100</f>
        <v>0</v>
      </c>
      <c r="L323" s="1200" t="n">
        <v>31</v>
      </c>
      <c r="M323" s="1201" t="n">
        <v>10</v>
      </c>
      <c r="N323" s="960" t="n">
        <f aca="false">L323*M323</f>
        <v>310</v>
      </c>
      <c r="O323" s="967" t="n">
        <f aca="false">H323*N323</f>
        <v>5982.535</v>
      </c>
      <c r="P323" s="963"/>
      <c r="Q323" s="1413"/>
      <c r="R323" s="1204"/>
      <c r="S323" s="1205"/>
      <c r="T323" s="967" t="n">
        <f aca="false">O323-R323</f>
        <v>5982.535</v>
      </c>
      <c r="U323" s="960" t="n">
        <f aca="false">N323-S323</f>
        <v>310</v>
      </c>
    </row>
    <row r="324" customFormat="false" ht="15" hidden="false" customHeight="true" outlineLevel="0" collapsed="false">
      <c r="A324" s="954" t="n">
        <v>448</v>
      </c>
      <c r="B324" s="954" t="s">
        <v>2191</v>
      </c>
      <c r="C324" s="954" t="n">
        <v>2023</v>
      </c>
      <c r="D324" s="955" t="s">
        <v>11</v>
      </c>
      <c r="E324" s="955" t="s">
        <v>2192</v>
      </c>
      <c r="F324" s="955" t="s">
        <v>1651</v>
      </c>
      <c r="G324" s="956"/>
      <c r="H324" s="1412" t="n">
        <v>18.55</v>
      </c>
      <c r="I324" s="958"/>
      <c r="J324" s="958"/>
      <c r="K324" s="959" t="n">
        <f aca="false">H324*I324/100</f>
        <v>0</v>
      </c>
      <c r="L324" s="1200" t="n">
        <v>28</v>
      </c>
      <c r="M324" s="1201" t="n">
        <v>10</v>
      </c>
      <c r="N324" s="960" t="n">
        <f aca="false">L324*M324</f>
        <v>280</v>
      </c>
      <c r="O324" s="967" t="n">
        <f aca="false">H324*N324</f>
        <v>5194</v>
      </c>
      <c r="P324" s="963"/>
      <c r="Q324" s="1413"/>
      <c r="R324" s="1204"/>
      <c r="S324" s="1205"/>
      <c r="T324" s="967" t="n">
        <f aca="false">O324-R324</f>
        <v>5194</v>
      </c>
      <c r="U324" s="960" t="n">
        <f aca="false">N324-S324</f>
        <v>280</v>
      </c>
    </row>
    <row r="325" customFormat="false" ht="15" hidden="false" customHeight="true" outlineLevel="0" collapsed="false">
      <c r="A325" s="1414" t="n">
        <v>644</v>
      </c>
      <c r="B325" s="1414" t="s">
        <v>2191</v>
      </c>
      <c r="C325" s="1414" t="n">
        <v>2024</v>
      </c>
      <c r="D325" s="1415" t="s">
        <v>11</v>
      </c>
      <c r="E325" s="1415" t="s">
        <v>2192</v>
      </c>
      <c r="F325" s="1415" t="s">
        <v>1651</v>
      </c>
      <c r="G325" s="1416"/>
      <c r="H325" s="1417" t="n">
        <v>11.7389</v>
      </c>
      <c r="I325" s="1418"/>
      <c r="J325" s="1418"/>
      <c r="K325" s="1419" t="n">
        <f aca="false">H325*I325/100</f>
        <v>0</v>
      </c>
      <c r="L325" s="1420" t="n">
        <v>24</v>
      </c>
      <c r="M325" s="1421" t="n">
        <v>15</v>
      </c>
      <c r="N325" s="552" t="n">
        <f aca="false">L325*M325</f>
        <v>360</v>
      </c>
      <c r="O325" s="1422" t="n">
        <f aca="false">H325*N325</f>
        <v>4226.004</v>
      </c>
      <c r="P325" s="1423"/>
      <c r="Q325" s="1424"/>
      <c r="R325" s="1425"/>
      <c r="S325" s="1426"/>
      <c r="T325" s="1422" t="n">
        <f aca="false">O325-R325</f>
        <v>4226.004</v>
      </c>
      <c r="U325" s="552" t="n">
        <f aca="false">N325-S325</f>
        <v>360</v>
      </c>
    </row>
    <row r="326" customFormat="false" ht="15" hidden="false" customHeight="true" outlineLevel="0" collapsed="false">
      <c r="A326" s="1414" t="n">
        <v>7</v>
      </c>
      <c r="B326" s="1414" t="s">
        <v>2191</v>
      </c>
      <c r="C326" s="1414" t="n">
        <v>2025</v>
      </c>
      <c r="D326" s="1415" t="s">
        <v>11</v>
      </c>
      <c r="E326" s="1415" t="s">
        <v>2192</v>
      </c>
      <c r="F326" s="1415" t="s">
        <v>1651</v>
      </c>
      <c r="G326" s="1416"/>
      <c r="H326" s="1417" t="n">
        <v>12.7461</v>
      </c>
      <c r="I326" s="1418"/>
      <c r="J326" s="1418"/>
      <c r="K326" s="1419" t="n">
        <f aca="false">H326*I326/100</f>
        <v>0</v>
      </c>
      <c r="L326" s="1420" t="n">
        <v>8910</v>
      </c>
      <c r="M326" s="1421" t="n">
        <v>1</v>
      </c>
      <c r="N326" s="552" t="n">
        <f aca="false">L326*M326</f>
        <v>8910</v>
      </c>
      <c r="O326" s="1422" t="n">
        <f aca="false">H326*N326</f>
        <v>113567.751</v>
      </c>
      <c r="P326" s="1423"/>
      <c r="Q326" s="1424"/>
      <c r="R326" s="1425"/>
      <c r="S326" s="1426"/>
      <c r="T326" s="1422" t="n">
        <f aca="false">O326-R326</f>
        <v>113567.751</v>
      </c>
      <c r="U326" s="552" t="n">
        <f aca="false">N326-S326</f>
        <v>8910</v>
      </c>
    </row>
    <row r="327" customFormat="false" ht="15" hidden="false" customHeight="true" outlineLevel="0" collapsed="false">
      <c r="A327" s="1414" t="n">
        <v>8</v>
      </c>
      <c r="B327" s="1414" t="s">
        <v>2191</v>
      </c>
      <c r="C327" s="1414" t="n">
        <v>2025</v>
      </c>
      <c r="D327" s="1415" t="s">
        <v>11</v>
      </c>
      <c r="E327" s="1415" t="s">
        <v>2192</v>
      </c>
      <c r="F327" s="1415" t="s">
        <v>1652</v>
      </c>
      <c r="G327" s="1416"/>
      <c r="H327" s="1417" t="n">
        <v>19.9445</v>
      </c>
      <c r="I327" s="1418"/>
      <c r="J327" s="1418"/>
      <c r="K327" s="1419" t="n">
        <f aca="false">H327*I327/100</f>
        <v>0</v>
      </c>
      <c r="L327" s="1420" t="n">
        <v>361</v>
      </c>
      <c r="M327" s="1421" t="n">
        <v>1</v>
      </c>
      <c r="N327" s="1427" t="n">
        <f aca="false">L327*M327</f>
        <v>361</v>
      </c>
      <c r="O327" s="1428" t="n">
        <f aca="false">H327*N327</f>
        <v>7199.9645</v>
      </c>
      <c r="P327" s="1423"/>
      <c r="Q327" s="1424"/>
      <c r="R327" s="1425"/>
      <c r="S327" s="1426"/>
      <c r="T327" s="1422" t="n">
        <f aca="false">O327-R327</f>
        <v>7199.9645</v>
      </c>
      <c r="U327" s="552" t="n">
        <f aca="false">N327-S327</f>
        <v>361</v>
      </c>
    </row>
    <row r="328" customFormat="false" ht="15" hidden="false" customHeight="true" outlineLevel="0" collapsed="false">
      <c r="A328" s="859"/>
      <c r="B328" s="859"/>
      <c r="C328" s="859"/>
      <c r="D328" s="860"/>
      <c r="E328" s="860"/>
      <c r="F328" s="860"/>
      <c r="G328" s="861"/>
      <c r="H328" s="862"/>
      <c r="I328" s="863"/>
      <c r="J328" s="863"/>
      <c r="K328" s="864"/>
      <c r="L328" s="982"/>
      <c r="M328" s="983"/>
      <c r="N328" s="1299"/>
      <c r="O328" s="1149"/>
      <c r="P328" s="868"/>
      <c r="Q328" s="1011"/>
      <c r="R328" s="866"/>
      <c r="S328" s="866"/>
      <c r="T328" s="543"/>
      <c r="U328" s="543"/>
    </row>
    <row r="329" customFormat="false" ht="15" hidden="false" customHeight="true" outlineLevel="0" collapsed="false">
      <c r="A329" s="859" t="n">
        <v>89</v>
      </c>
      <c r="B329" s="859" t="s">
        <v>2230</v>
      </c>
      <c r="C329" s="859" t="n">
        <v>2022</v>
      </c>
      <c r="D329" s="860" t="s">
        <v>20</v>
      </c>
      <c r="E329" s="860" t="s">
        <v>2192</v>
      </c>
      <c r="F329" s="860" t="s">
        <v>2199</v>
      </c>
      <c r="G329" s="861"/>
      <c r="H329" s="862" t="n">
        <v>56.7</v>
      </c>
      <c r="I329" s="1429" t="n">
        <v>55</v>
      </c>
      <c r="J329" s="1429"/>
      <c r="K329" s="864" t="n">
        <f aca="false">H329*I329/100</f>
        <v>31.185</v>
      </c>
      <c r="L329" s="982" t="n">
        <v>2064</v>
      </c>
      <c r="M329" s="983" t="n">
        <v>1</v>
      </c>
      <c r="N329" s="1299" t="n">
        <f aca="false">L329*M329</f>
        <v>2064</v>
      </c>
      <c r="O329" s="1348" t="n">
        <f aca="false">H329*N329</f>
        <v>117028.8</v>
      </c>
      <c r="P329" s="868" t="s">
        <v>2204</v>
      </c>
      <c r="Q329" s="1012" t="n">
        <v>16102024</v>
      </c>
      <c r="R329" s="866" t="n">
        <v>117028.8</v>
      </c>
      <c r="S329" s="866" t="n">
        <f aca="false">R329/H329</f>
        <v>2064</v>
      </c>
      <c r="T329" s="985" t="n">
        <f aca="false">O329-R329</f>
        <v>0</v>
      </c>
      <c r="U329" s="543" t="n">
        <f aca="false">N329-S329</f>
        <v>0</v>
      </c>
    </row>
    <row r="330" customFormat="false" ht="15" hidden="false" customHeight="true" outlineLevel="0" collapsed="false">
      <c r="A330" s="859" t="n">
        <v>12</v>
      </c>
      <c r="B330" s="859" t="s">
        <v>86</v>
      </c>
      <c r="C330" s="859" t="n">
        <v>2023</v>
      </c>
      <c r="D330" s="860" t="s">
        <v>20</v>
      </c>
      <c r="E330" s="860" t="s">
        <v>2242</v>
      </c>
      <c r="F330" s="860"/>
      <c r="G330" s="861"/>
      <c r="H330" s="862" t="n">
        <v>82.6</v>
      </c>
      <c r="I330" s="1429"/>
      <c r="J330" s="1429"/>
      <c r="K330" s="864" t="n">
        <f aca="false">H330*I330/100</f>
        <v>0</v>
      </c>
      <c r="L330" s="982" t="n">
        <v>138</v>
      </c>
      <c r="M330" s="983" t="n">
        <v>1</v>
      </c>
      <c r="N330" s="1299" t="n">
        <f aca="false">L330*M330</f>
        <v>138</v>
      </c>
      <c r="O330" s="1149" t="n">
        <f aca="false">H330*N330</f>
        <v>11398.8</v>
      </c>
      <c r="P330" s="868" t="s">
        <v>2232</v>
      </c>
      <c r="Q330" s="1011" t="s">
        <v>107</v>
      </c>
      <c r="R330" s="866" t="n">
        <v>11398.8</v>
      </c>
      <c r="S330" s="866" t="n">
        <f aca="false">R330/H330</f>
        <v>138</v>
      </c>
      <c r="T330" s="985" t="n">
        <f aca="false">O330-R330</f>
        <v>0</v>
      </c>
      <c r="U330" s="543" t="n">
        <f aca="false">N330-S330</f>
        <v>0</v>
      </c>
    </row>
    <row r="331" customFormat="false" ht="15" hidden="false" customHeight="true" outlineLevel="0" collapsed="false">
      <c r="A331" s="859" t="n">
        <v>27</v>
      </c>
      <c r="B331" s="859" t="s">
        <v>2191</v>
      </c>
      <c r="C331" s="859" t="n">
        <v>2023</v>
      </c>
      <c r="D331" s="860" t="s">
        <v>20</v>
      </c>
      <c r="E331" s="860" t="s">
        <v>2192</v>
      </c>
      <c r="F331" s="860" t="s">
        <v>1652</v>
      </c>
      <c r="G331" s="861"/>
      <c r="H331" s="862" t="n">
        <v>38.29</v>
      </c>
      <c r="I331" s="863"/>
      <c r="J331" s="863"/>
      <c r="K331" s="864" t="n">
        <f aca="false">H331*I331/100</f>
        <v>0</v>
      </c>
      <c r="L331" s="982" t="n">
        <v>646</v>
      </c>
      <c r="M331" s="983" t="n">
        <v>1</v>
      </c>
      <c r="N331" s="1299" t="n">
        <f aca="false">L331*M331</f>
        <v>646</v>
      </c>
      <c r="O331" s="1430" t="n">
        <f aca="false">H331*N331</f>
        <v>24735.34</v>
      </c>
      <c r="P331" s="868" t="s">
        <v>2204</v>
      </c>
      <c r="Q331" s="1001" t="s">
        <v>2383</v>
      </c>
      <c r="R331" s="866" t="n">
        <v>24735.34</v>
      </c>
      <c r="S331" s="866" t="n">
        <f aca="false">R331/H331</f>
        <v>646</v>
      </c>
      <c r="T331" s="543" t="n">
        <f aca="false">O331-R331</f>
        <v>0</v>
      </c>
      <c r="U331" s="543" t="n">
        <f aca="false">N331-S331</f>
        <v>0</v>
      </c>
    </row>
    <row r="332" customFormat="false" ht="15" hidden="false" customHeight="true" outlineLevel="0" collapsed="false">
      <c r="A332" s="969" t="n">
        <v>20</v>
      </c>
      <c r="B332" s="969" t="s">
        <v>86</v>
      </c>
      <c r="C332" s="969" t="n">
        <v>2023</v>
      </c>
      <c r="D332" s="929" t="s">
        <v>20</v>
      </c>
      <c r="E332" s="929" t="s">
        <v>2192</v>
      </c>
      <c r="F332" s="929" t="s">
        <v>1650</v>
      </c>
      <c r="G332" s="970"/>
      <c r="H332" s="1294" t="n">
        <v>91</v>
      </c>
      <c r="I332" s="1431" t="n">
        <v>66</v>
      </c>
      <c r="J332" s="1431"/>
      <c r="K332" s="1296" t="n">
        <f aca="false">H332*I332/100</f>
        <v>60.06</v>
      </c>
      <c r="L332" s="974" t="n">
        <v>4871</v>
      </c>
      <c r="M332" s="975" t="n">
        <v>1</v>
      </c>
      <c r="N332" s="1297" t="n">
        <f aca="false">L332*M332</f>
        <v>4871</v>
      </c>
      <c r="O332" s="1297" t="n">
        <f aca="false">H332*N332</f>
        <v>443261</v>
      </c>
      <c r="P332" s="930" t="s">
        <v>2195</v>
      </c>
      <c r="Q332" s="1432" t="s">
        <v>2240</v>
      </c>
      <c r="R332" s="933" t="n">
        <v>350441</v>
      </c>
      <c r="S332" s="933" t="n">
        <f aca="false">R332/H332</f>
        <v>3851</v>
      </c>
      <c r="T332" s="978" t="n">
        <f aca="false">O332-R332</f>
        <v>92820</v>
      </c>
      <c r="U332" s="979" t="n">
        <f aca="false">N332-S332</f>
        <v>1020</v>
      </c>
    </row>
    <row r="333" customFormat="false" ht="15" hidden="false" customHeight="true" outlineLevel="0" collapsed="false">
      <c r="A333" s="870" t="n">
        <v>105</v>
      </c>
      <c r="B333" s="870" t="s">
        <v>86</v>
      </c>
      <c r="C333" s="870" t="n">
        <v>2023</v>
      </c>
      <c r="D333" s="871" t="s">
        <v>20</v>
      </c>
      <c r="E333" s="871" t="s">
        <v>2242</v>
      </c>
      <c r="F333" s="871"/>
      <c r="G333" s="872"/>
      <c r="H333" s="873" t="n">
        <v>54</v>
      </c>
      <c r="I333" s="1433"/>
      <c r="J333" s="1433"/>
      <c r="K333" s="875" t="n">
        <f aca="false">H333*I333/100</f>
        <v>0</v>
      </c>
      <c r="L333" s="999" t="n">
        <v>231</v>
      </c>
      <c r="M333" s="1000" t="n">
        <v>1</v>
      </c>
      <c r="N333" s="1301" t="n">
        <f aca="false">L333*M333</f>
        <v>231</v>
      </c>
      <c r="O333" s="876" t="n">
        <f aca="false">H333*N333</f>
        <v>12474</v>
      </c>
      <c r="P333" s="879" t="s">
        <v>2200</v>
      </c>
      <c r="Q333" s="1013" t="s">
        <v>2384</v>
      </c>
      <c r="R333" s="877" t="n">
        <v>12474</v>
      </c>
      <c r="S333" s="877" t="n">
        <f aca="false">R333/H333</f>
        <v>231</v>
      </c>
      <c r="T333" s="1404" t="n">
        <f aca="false">O333-R333</f>
        <v>0</v>
      </c>
      <c r="U333" s="553" t="n">
        <f aca="false">N333-S333</f>
        <v>0</v>
      </c>
    </row>
    <row r="334" customFormat="false" ht="15" hidden="false" customHeight="true" outlineLevel="0" collapsed="false">
      <c r="A334" s="829" t="n">
        <v>108</v>
      </c>
      <c r="B334" s="1173" t="s">
        <v>86</v>
      </c>
      <c r="C334" s="1173" t="n">
        <v>2023</v>
      </c>
      <c r="D334" s="831" t="s">
        <v>20</v>
      </c>
      <c r="E334" s="831" t="s">
        <v>2192</v>
      </c>
      <c r="F334" s="831" t="s">
        <v>1650</v>
      </c>
      <c r="G334" s="1108"/>
      <c r="H334" s="1434" t="n">
        <v>91.7</v>
      </c>
      <c r="I334" s="1435" t="n">
        <v>58</v>
      </c>
      <c r="J334" s="1435"/>
      <c r="K334" s="1111" t="n">
        <f aca="false">H334*I334/100</f>
        <v>53.186</v>
      </c>
      <c r="L334" s="1112" t="n">
        <v>951.357</v>
      </c>
      <c r="M334" s="1113" t="n">
        <v>14</v>
      </c>
      <c r="N334" s="1408" t="n">
        <f aca="false">L334*M334</f>
        <v>13318.998</v>
      </c>
      <c r="O334" s="1272" t="n">
        <f aca="false">H334*N334</f>
        <v>1221352.1166</v>
      </c>
      <c r="P334" s="838" t="s">
        <v>2232</v>
      </c>
      <c r="Q334" s="1004" t="s">
        <v>2385</v>
      </c>
      <c r="R334" s="840" t="n">
        <v>1221352.1166</v>
      </c>
      <c r="S334" s="840" t="n">
        <f aca="false">R334/H334</f>
        <v>13318.998</v>
      </c>
      <c r="T334" s="1181" t="n">
        <f aca="false">O334-R334</f>
        <v>0</v>
      </c>
      <c r="U334" s="1176" t="n">
        <f aca="false">N334-S334</f>
        <v>0</v>
      </c>
    </row>
    <row r="335" customFormat="false" ht="15" hidden="false" customHeight="true" outlineLevel="0" collapsed="false">
      <c r="A335" s="829"/>
      <c r="B335" s="893" t="s">
        <v>86</v>
      </c>
      <c r="C335" s="893" t="n">
        <v>2023</v>
      </c>
      <c r="D335" s="843" t="s">
        <v>20</v>
      </c>
      <c r="E335" s="843" t="s">
        <v>2241</v>
      </c>
      <c r="F335" s="843"/>
      <c r="G335" s="894"/>
      <c r="H335" s="895" t="n">
        <v>36.5</v>
      </c>
      <c r="I335" s="896"/>
      <c r="J335" s="896"/>
      <c r="K335" s="897" t="n">
        <f aca="false">H335*I335/100</f>
        <v>0</v>
      </c>
      <c r="L335" s="1105" t="n">
        <v>239</v>
      </c>
      <c r="M335" s="1106" t="n">
        <v>1</v>
      </c>
      <c r="N335" s="1393" t="n">
        <f aca="false">L335*M335</f>
        <v>239</v>
      </c>
      <c r="O335" s="898" t="n">
        <f aca="false">H335*N335</f>
        <v>8723.5</v>
      </c>
      <c r="P335" s="844" t="s">
        <v>2200</v>
      </c>
      <c r="Q335" s="900" t="s">
        <v>2384</v>
      </c>
      <c r="R335" s="901" t="n">
        <v>8723.5</v>
      </c>
      <c r="S335" s="890" t="n">
        <f aca="false">R335/H335</f>
        <v>239</v>
      </c>
      <c r="T335" s="589" t="n">
        <f aca="false">O335-R335</f>
        <v>0</v>
      </c>
      <c r="U335" s="902" t="n">
        <f aca="false">N335-S335</f>
        <v>0</v>
      </c>
    </row>
    <row r="336" customFormat="false" ht="15" hidden="false" customHeight="true" outlineLevel="0" collapsed="false">
      <c r="A336" s="829" t="n">
        <v>479</v>
      </c>
      <c r="B336" s="830" t="s">
        <v>2191</v>
      </c>
      <c r="C336" s="830" t="n">
        <v>2023</v>
      </c>
      <c r="D336" s="831" t="s">
        <v>20</v>
      </c>
      <c r="E336" s="831" t="s">
        <v>2192</v>
      </c>
      <c r="F336" s="832" t="s">
        <v>1651</v>
      </c>
      <c r="G336" s="833"/>
      <c r="H336" s="834" t="n">
        <v>28.3</v>
      </c>
      <c r="I336" s="835"/>
      <c r="J336" s="835"/>
      <c r="K336" s="836" t="n">
        <f aca="false">H336*I336/100</f>
        <v>0</v>
      </c>
      <c r="L336" s="1002" t="n">
        <v>200</v>
      </c>
      <c r="M336" s="1003" t="n">
        <v>15</v>
      </c>
      <c r="N336" s="837" t="n">
        <f aca="false">L336*M336</f>
        <v>3000</v>
      </c>
      <c r="O336" s="837" t="n">
        <f aca="false">H336*N336</f>
        <v>84900</v>
      </c>
      <c r="P336" s="838" t="s">
        <v>2197</v>
      </c>
      <c r="Q336" s="1004" t="s">
        <v>2386</v>
      </c>
      <c r="R336" s="840" t="n">
        <v>13159.5</v>
      </c>
      <c r="S336" s="840" t="n">
        <f aca="false">R336/H336</f>
        <v>465</v>
      </c>
      <c r="T336" s="1120" t="n">
        <f aca="false">O336-R336-R337</f>
        <v>0</v>
      </c>
      <c r="U336" s="842" t="n">
        <f aca="false">N336-S336-S337</f>
        <v>0</v>
      </c>
    </row>
    <row r="337" customFormat="false" ht="15" hidden="false" customHeight="true" outlineLevel="0" collapsed="false">
      <c r="A337" s="829"/>
      <c r="B337" s="830"/>
      <c r="C337" s="830"/>
      <c r="D337" s="887" t="s">
        <v>20</v>
      </c>
      <c r="E337" s="887" t="s">
        <v>2192</v>
      </c>
      <c r="F337" s="832"/>
      <c r="G337" s="833"/>
      <c r="H337" s="834"/>
      <c r="I337" s="835"/>
      <c r="J337" s="835"/>
      <c r="K337" s="836"/>
      <c r="L337" s="1002"/>
      <c r="M337" s="1003"/>
      <c r="N337" s="837"/>
      <c r="O337" s="837"/>
      <c r="P337" s="888" t="s">
        <v>2193</v>
      </c>
      <c r="Q337" s="1364" t="s">
        <v>2387</v>
      </c>
      <c r="R337" s="890" t="n">
        <v>71740.5</v>
      </c>
      <c r="S337" s="890" t="n">
        <f aca="false">R337/H336</f>
        <v>2535</v>
      </c>
      <c r="T337" s="1120"/>
      <c r="U337" s="842"/>
    </row>
    <row r="338" customFormat="false" ht="15" hidden="false" customHeight="true" outlineLevel="0" collapsed="false">
      <c r="A338" s="847" t="n">
        <v>559</v>
      </c>
      <c r="B338" s="847" t="s">
        <v>2191</v>
      </c>
      <c r="C338" s="847" t="n">
        <v>2023</v>
      </c>
      <c r="D338" s="848" t="s">
        <v>20</v>
      </c>
      <c r="E338" s="848" t="s">
        <v>2192</v>
      </c>
      <c r="F338" s="848" t="s">
        <v>1651</v>
      </c>
      <c r="G338" s="849"/>
      <c r="H338" s="949" t="n">
        <v>28.3</v>
      </c>
      <c r="I338" s="950"/>
      <c r="J338" s="950"/>
      <c r="K338" s="852" t="n">
        <f aca="false">H338*I338/100</f>
        <v>0</v>
      </c>
      <c r="L338" s="1006" t="n">
        <v>64</v>
      </c>
      <c r="M338" s="1007" t="n">
        <v>15</v>
      </c>
      <c r="N338" s="1143" t="n">
        <f aca="false">L338*M338</f>
        <v>960</v>
      </c>
      <c r="O338" s="1143" t="n">
        <f aca="false">H338*N338</f>
        <v>27168</v>
      </c>
      <c r="P338" s="856" t="s">
        <v>2193</v>
      </c>
      <c r="Q338" s="1008" t="s">
        <v>2387</v>
      </c>
      <c r="R338" s="854" t="n">
        <v>27168</v>
      </c>
      <c r="S338" s="891" t="n">
        <f aca="false">R338/H338</f>
        <v>960</v>
      </c>
      <c r="T338" s="1347" t="n">
        <f aca="false">O338-R338</f>
        <v>0</v>
      </c>
      <c r="U338" s="537" t="n">
        <f aca="false">N338-S338</f>
        <v>0</v>
      </c>
    </row>
    <row r="339" customFormat="false" ht="15" hidden="false" customHeight="true" outlineLevel="0" collapsed="false">
      <c r="A339" s="903" t="n">
        <v>21</v>
      </c>
      <c r="B339" s="903" t="s">
        <v>81</v>
      </c>
      <c r="C339" s="903" t="n">
        <v>2024</v>
      </c>
      <c r="D339" s="904" t="s">
        <v>20</v>
      </c>
      <c r="E339" s="904" t="s">
        <v>2192</v>
      </c>
      <c r="F339" s="904" t="s">
        <v>2199</v>
      </c>
      <c r="G339" s="905"/>
      <c r="H339" s="946" t="n">
        <v>79.2</v>
      </c>
      <c r="I339" s="947"/>
      <c r="J339" s="947"/>
      <c r="K339" s="939" t="n">
        <f aca="false">H339*I339/100</f>
        <v>0</v>
      </c>
      <c r="L339" s="1022" t="n">
        <v>19960</v>
      </c>
      <c r="M339" s="1023" t="n">
        <v>1</v>
      </c>
      <c r="N339" s="1137" t="n">
        <f aca="false">L339*M339</f>
        <v>19960</v>
      </c>
      <c r="O339" s="1137" t="n">
        <f aca="false">H339*N339</f>
        <v>1580832</v>
      </c>
      <c r="P339" s="910" t="s">
        <v>2200</v>
      </c>
      <c r="Q339" s="1057" t="s">
        <v>2388</v>
      </c>
      <c r="R339" s="891" t="n">
        <v>1580832</v>
      </c>
      <c r="S339" s="877" t="n">
        <f aca="false">R339/H339</f>
        <v>19960</v>
      </c>
      <c r="T339" s="942" t="n">
        <f aca="false">O339-R339</f>
        <v>0</v>
      </c>
      <c r="U339" s="942" t="n">
        <f aca="false">N339-S339</f>
        <v>0</v>
      </c>
    </row>
    <row r="340" customFormat="false" ht="15" hidden="false" customHeight="true" outlineLevel="0" collapsed="false">
      <c r="A340" s="881" t="n">
        <v>33</v>
      </c>
      <c r="B340" s="882" t="s">
        <v>86</v>
      </c>
      <c r="C340" s="883" t="n">
        <v>2024</v>
      </c>
      <c r="D340" s="831" t="s">
        <v>20</v>
      </c>
      <c r="E340" s="831" t="s">
        <v>2192</v>
      </c>
      <c r="F340" s="832" t="s">
        <v>1650</v>
      </c>
      <c r="G340" s="833"/>
      <c r="H340" s="834" t="n">
        <v>94.8</v>
      </c>
      <c r="I340" s="835"/>
      <c r="J340" s="835"/>
      <c r="K340" s="836" t="n">
        <f aca="false">H340*I340/100</f>
        <v>0</v>
      </c>
      <c r="L340" s="1002" t="n">
        <v>16983</v>
      </c>
      <c r="M340" s="1003" t="n">
        <v>1</v>
      </c>
      <c r="N340" s="837" t="n">
        <f aca="false">L340*M340</f>
        <v>16983</v>
      </c>
      <c r="O340" s="837" t="n">
        <f aca="false">H340*N340</f>
        <v>1609988.4</v>
      </c>
      <c r="P340" s="884" t="s">
        <v>2193</v>
      </c>
      <c r="Q340" s="1015" t="s">
        <v>2311</v>
      </c>
      <c r="R340" s="886" t="n">
        <v>492960</v>
      </c>
      <c r="S340" s="886" t="n">
        <f aca="false">R340/H340</f>
        <v>5200</v>
      </c>
      <c r="T340" s="837" t="n">
        <f aca="false">O340-R340-R342-R341</f>
        <v>0</v>
      </c>
      <c r="U340" s="842" t="n">
        <f aca="false">N340-S340-S342-S341</f>
        <v>0</v>
      </c>
    </row>
    <row r="341" customFormat="false" ht="15" hidden="false" customHeight="true" outlineLevel="0" collapsed="false">
      <c r="A341" s="881"/>
      <c r="B341" s="882"/>
      <c r="C341" s="883"/>
      <c r="D341" s="860" t="s">
        <v>20</v>
      </c>
      <c r="E341" s="860" t="s">
        <v>2192</v>
      </c>
      <c r="F341" s="832"/>
      <c r="G341" s="833"/>
      <c r="H341" s="834"/>
      <c r="I341" s="835"/>
      <c r="J341" s="835"/>
      <c r="K341" s="836"/>
      <c r="L341" s="1002"/>
      <c r="M341" s="1003"/>
      <c r="N341" s="837"/>
      <c r="O341" s="837"/>
      <c r="P341" s="868" t="s">
        <v>2193</v>
      </c>
      <c r="Q341" s="1011" t="s">
        <v>2389</v>
      </c>
      <c r="R341" s="866" t="n">
        <v>1023176.4</v>
      </c>
      <c r="S341" s="866" t="n">
        <f aca="false">R341/H340</f>
        <v>10793</v>
      </c>
      <c r="T341" s="837"/>
      <c r="U341" s="842"/>
    </row>
    <row r="342" customFormat="false" ht="15" hidden="false" customHeight="true" outlineLevel="0" collapsed="false">
      <c r="A342" s="881"/>
      <c r="B342" s="882"/>
      <c r="C342" s="883"/>
      <c r="D342" s="887" t="s">
        <v>20</v>
      </c>
      <c r="E342" s="887" t="s">
        <v>2192</v>
      </c>
      <c r="F342" s="832"/>
      <c r="G342" s="833"/>
      <c r="H342" s="834"/>
      <c r="I342" s="835"/>
      <c r="J342" s="835"/>
      <c r="K342" s="836"/>
      <c r="L342" s="1002"/>
      <c r="M342" s="1003"/>
      <c r="N342" s="837"/>
      <c r="O342" s="837"/>
      <c r="P342" s="888" t="s">
        <v>2197</v>
      </c>
      <c r="Q342" s="1364" t="s">
        <v>2390</v>
      </c>
      <c r="R342" s="890" t="n">
        <v>93852</v>
      </c>
      <c r="S342" s="890" t="n">
        <f aca="false">R342/H340</f>
        <v>990</v>
      </c>
      <c r="T342" s="837"/>
      <c r="U342" s="842"/>
    </row>
    <row r="343" customFormat="false" ht="15" hidden="false" customHeight="true" outlineLevel="0" collapsed="false">
      <c r="A343" s="881"/>
      <c r="B343" s="847" t="s">
        <v>86</v>
      </c>
      <c r="C343" s="847" t="n">
        <v>2024</v>
      </c>
      <c r="D343" s="848" t="s">
        <v>20</v>
      </c>
      <c r="E343" s="848" t="s">
        <v>2242</v>
      </c>
      <c r="F343" s="848"/>
      <c r="G343" s="849"/>
      <c r="H343" s="949" t="n">
        <v>45.3</v>
      </c>
      <c r="I343" s="950"/>
      <c r="J343" s="950"/>
      <c r="K343" s="852" t="n">
        <f aca="false">H343*I343/100</f>
        <v>0</v>
      </c>
      <c r="L343" s="1006" t="n">
        <v>327</v>
      </c>
      <c r="M343" s="1007" t="n">
        <v>1</v>
      </c>
      <c r="N343" s="1143" t="n">
        <f aca="false">L343*M343</f>
        <v>327</v>
      </c>
      <c r="O343" s="1143" t="n">
        <f aca="false">H343*N343</f>
        <v>14813.1</v>
      </c>
      <c r="P343" s="856" t="s">
        <v>2200</v>
      </c>
      <c r="Q343" s="1008" t="s">
        <v>2384</v>
      </c>
      <c r="R343" s="854" t="n">
        <v>14813.1</v>
      </c>
      <c r="S343" s="866" t="n">
        <f aca="false">R343/H343</f>
        <v>327</v>
      </c>
      <c r="T343" s="537" t="n">
        <f aca="false">O343-R343</f>
        <v>0</v>
      </c>
      <c r="U343" s="892" t="n">
        <f aca="false">N343-S343</f>
        <v>0</v>
      </c>
    </row>
    <row r="344" customFormat="false" ht="15" hidden="false" customHeight="true" outlineLevel="0" collapsed="false">
      <c r="A344" s="881"/>
      <c r="B344" s="847" t="s">
        <v>86</v>
      </c>
      <c r="C344" s="847" t="n">
        <v>2024</v>
      </c>
      <c r="D344" s="848" t="s">
        <v>20</v>
      </c>
      <c r="E344" s="848" t="s">
        <v>2203</v>
      </c>
      <c r="F344" s="848"/>
      <c r="G344" s="849"/>
      <c r="H344" s="949" t="n">
        <v>27.5</v>
      </c>
      <c r="I344" s="950"/>
      <c r="J344" s="950"/>
      <c r="K344" s="852" t="n">
        <f aca="false">H344*I344/100</f>
        <v>0</v>
      </c>
      <c r="L344" s="1006" t="n">
        <v>835</v>
      </c>
      <c r="M344" s="1007" t="n">
        <v>1</v>
      </c>
      <c r="N344" s="1143" t="n">
        <f aca="false">L344*M344</f>
        <v>835</v>
      </c>
      <c r="O344" s="1143" t="n">
        <f aca="false">H344*N344</f>
        <v>22962.5</v>
      </c>
      <c r="P344" s="856" t="s">
        <v>2200</v>
      </c>
      <c r="Q344" s="1008" t="s">
        <v>2384</v>
      </c>
      <c r="R344" s="854" t="n">
        <v>22962.5</v>
      </c>
      <c r="S344" s="866" t="n">
        <f aca="false">R344/H344</f>
        <v>835</v>
      </c>
      <c r="T344" s="537" t="n">
        <f aca="false">O344-R344</f>
        <v>0</v>
      </c>
      <c r="U344" s="892" t="n">
        <f aca="false">N344-S344</f>
        <v>0</v>
      </c>
    </row>
    <row r="345" customFormat="false" ht="15" hidden="false" customHeight="true" outlineLevel="0" collapsed="false">
      <c r="A345" s="881"/>
      <c r="B345" s="847" t="s">
        <v>86</v>
      </c>
      <c r="C345" s="847" t="n">
        <v>2024</v>
      </c>
      <c r="D345" s="848" t="s">
        <v>20</v>
      </c>
      <c r="E345" s="848" t="s">
        <v>2241</v>
      </c>
      <c r="F345" s="848"/>
      <c r="G345" s="849"/>
      <c r="H345" s="949" t="n">
        <v>26.9</v>
      </c>
      <c r="I345" s="950"/>
      <c r="J345" s="950"/>
      <c r="K345" s="852" t="n">
        <f aca="false">H345*I345/100</f>
        <v>0</v>
      </c>
      <c r="L345" s="1006" t="n">
        <v>1007</v>
      </c>
      <c r="M345" s="1007" t="n">
        <v>1</v>
      </c>
      <c r="N345" s="1143" t="n">
        <f aca="false">L345*M345</f>
        <v>1007</v>
      </c>
      <c r="O345" s="1143" t="n">
        <f aca="false">H345*N345</f>
        <v>27088.3</v>
      </c>
      <c r="P345" s="856" t="s">
        <v>2204</v>
      </c>
      <c r="Q345" s="1436" t="s">
        <v>2206</v>
      </c>
      <c r="R345" s="1088" t="n">
        <v>27088.3</v>
      </c>
      <c r="S345" s="866" t="n">
        <f aca="false">R345/H345</f>
        <v>1007</v>
      </c>
      <c r="T345" s="537" t="n">
        <f aca="false">O345-R345</f>
        <v>0</v>
      </c>
      <c r="U345" s="892" t="n">
        <f aca="false">N345-S345</f>
        <v>0</v>
      </c>
    </row>
    <row r="346" customFormat="false" ht="15" hidden="false" customHeight="true" outlineLevel="0" collapsed="false">
      <c r="A346" s="881"/>
      <c r="B346" s="1072" t="s">
        <v>86</v>
      </c>
      <c r="C346" s="1072" t="n">
        <v>2024</v>
      </c>
      <c r="D346" s="887" t="s">
        <v>20</v>
      </c>
      <c r="E346" s="887" t="s">
        <v>2205</v>
      </c>
      <c r="F346" s="887"/>
      <c r="G346" s="1062"/>
      <c r="H346" s="1077" t="n">
        <v>0.7</v>
      </c>
      <c r="I346" s="1086"/>
      <c r="J346" s="1086"/>
      <c r="K346" s="1064" t="n">
        <f aca="false">H346*I346/100</f>
        <v>0</v>
      </c>
      <c r="L346" s="1065" t="n">
        <v>809</v>
      </c>
      <c r="M346" s="1066" t="n">
        <v>1</v>
      </c>
      <c r="N346" s="1082" t="n">
        <f aca="false">L346*M346</f>
        <v>809</v>
      </c>
      <c r="O346" s="1082" t="n">
        <f aca="false">H346*N346</f>
        <v>566.3</v>
      </c>
      <c r="P346" s="888" t="s">
        <v>2204</v>
      </c>
      <c r="Q346" s="1320" t="s">
        <v>2206</v>
      </c>
      <c r="R346" s="1080" t="n">
        <v>566.3</v>
      </c>
      <c r="S346" s="846" t="n">
        <f aca="false">R346/H346</f>
        <v>809</v>
      </c>
      <c r="T346" s="1067" t="n">
        <f aca="false">O346-R346</f>
        <v>0</v>
      </c>
      <c r="U346" s="1070" t="n">
        <f aca="false">N346-S346</f>
        <v>0</v>
      </c>
    </row>
    <row r="347" customFormat="false" ht="15" hidden="false" customHeight="true" outlineLevel="0" collapsed="false">
      <c r="A347" s="903" t="n">
        <v>24</v>
      </c>
      <c r="B347" s="903" t="s">
        <v>81</v>
      </c>
      <c r="C347" s="903" t="n">
        <v>2024</v>
      </c>
      <c r="D347" s="904" t="s">
        <v>20</v>
      </c>
      <c r="E347" s="904" t="s">
        <v>2192</v>
      </c>
      <c r="F347" s="904" t="s">
        <v>2199</v>
      </c>
      <c r="G347" s="905"/>
      <c r="H347" s="946" t="n">
        <v>76.9</v>
      </c>
      <c r="I347" s="947"/>
      <c r="J347" s="947"/>
      <c r="K347" s="939" t="n">
        <f aca="false">H347*I347/100</f>
        <v>0</v>
      </c>
      <c r="L347" s="1022" t="n">
        <v>37780</v>
      </c>
      <c r="M347" s="1023" t="n">
        <v>1</v>
      </c>
      <c r="N347" s="1137" t="n">
        <f aca="false">L347*M347</f>
        <v>37780</v>
      </c>
      <c r="O347" s="1137" t="n">
        <f aca="false">H347*N347</f>
        <v>2905282</v>
      </c>
      <c r="P347" s="910" t="s">
        <v>2200</v>
      </c>
      <c r="Q347" s="1057" t="s">
        <v>2391</v>
      </c>
      <c r="R347" s="891" t="n">
        <v>2905282</v>
      </c>
      <c r="S347" s="891" t="n">
        <f aca="false">R347/H347</f>
        <v>37780</v>
      </c>
      <c r="T347" s="942" t="n">
        <f aca="false">O347-R347</f>
        <v>0</v>
      </c>
      <c r="U347" s="942" t="n">
        <f aca="false">N347-S347</f>
        <v>0</v>
      </c>
    </row>
    <row r="348" customFormat="false" ht="15" hidden="false" customHeight="true" outlineLevel="0" collapsed="false">
      <c r="A348" s="870" t="n">
        <v>29</v>
      </c>
      <c r="B348" s="870" t="s">
        <v>81</v>
      </c>
      <c r="C348" s="870" t="n">
        <v>2024</v>
      </c>
      <c r="D348" s="871" t="s">
        <v>20</v>
      </c>
      <c r="E348" s="871" t="s">
        <v>2192</v>
      </c>
      <c r="F348" s="871" t="s">
        <v>2199</v>
      </c>
      <c r="G348" s="872"/>
      <c r="H348" s="1116" t="n">
        <v>82.1</v>
      </c>
      <c r="I348" s="1117"/>
      <c r="J348" s="1117"/>
      <c r="K348" s="875" t="n">
        <f aca="false">H348*I348/100</f>
        <v>0</v>
      </c>
      <c r="L348" s="999" t="n">
        <v>37140</v>
      </c>
      <c r="M348" s="1000" t="n">
        <v>1</v>
      </c>
      <c r="N348" s="1301" t="n">
        <f aca="false">L348*M348</f>
        <v>37140</v>
      </c>
      <c r="O348" s="1437" t="n">
        <f aca="false">H348*N348</f>
        <v>3049194</v>
      </c>
      <c r="P348" s="879" t="s">
        <v>2200</v>
      </c>
      <c r="Q348" s="1013" t="s">
        <v>102</v>
      </c>
      <c r="R348" s="877" t="n">
        <v>3049194</v>
      </c>
      <c r="S348" s="877" t="n">
        <f aca="false">R348/H348</f>
        <v>37140</v>
      </c>
      <c r="T348" s="553" t="n">
        <f aca="false">O348-R348</f>
        <v>0</v>
      </c>
      <c r="U348" s="553" t="n">
        <f aca="false">N348-S348</f>
        <v>0</v>
      </c>
    </row>
    <row r="349" customFormat="false" ht="15" hidden="false" customHeight="true" outlineLevel="0" collapsed="false">
      <c r="A349" s="881" t="n">
        <v>37</v>
      </c>
      <c r="B349" s="882" t="s">
        <v>86</v>
      </c>
      <c r="C349" s="830" t="n">
        <v>2024</v>
      </c>
      <c r="D349" s="831" t="s">
        <v>20</v>
      </c>
      <c r="E349" s="831" t="s">
        <v>2192</v>
      </c>
      <c r="F349" s="832" t="s">
        <v>1650</v>
      </c>
      <c r="G349" s="833"/>
      <c r="H349" s="834" t="n">
        <v>87.5</v>
      </c>
      <c r="I349" s="835"/>
      <c r="J349" s="835"/>
      <c r="K349" s="836" t="n">
        <f aca="false">H349*I349/100</f>
        <v>0</v>
      </c>
      <c r="L349" s="1002" t="n">
        <v>30607</v>
      </c>
      <c r="M349" s="1003" t="n">
        <v>1</v>
      </c>
      <c r="N349" s="837" t="n">
        <f aca="false">L349*M349</f>
        <v>30607</v>
      </c>
      <c r="O349" s="841" t="n">
        <f aca="false">H349*N349</f>
        <v>2678112.5</v>
      </c>
      <c r="P349" s="838" t="s">
        <v>2232</v>
      </c>
      <c r="Q349" s="1004" t="s">
        <v>2392</v>
      </c>
      <c r="R349" s="944" t="n">
        <v>262500</v>
      </c>
      <c r="S349" s="840" t="n">
        <f aca="false">R349/H349</f>
        <v>3000</v>
      </c>
      <c r="T349" s="841" t="n">
        <f aca="false">O349-R349-R354-R353-R350-R351-R352</f>
        <v>0</v>
      </c>
      <c r="U349" s="842" t="n">
        <f aca="false">N349-S349-S354-S353-S350-S352-S351</f>
        <v>0</v>
      </c>
    </row>
    <row r="350" customFormat="false" ht="15" hidden="false" customHeight="true" outlineLevel="0" collapsed="false">
      <c r="A350" s="881"/>
      <c r="B350" s="882"/>
      <c r="C350" s="830"/>
      <c r="D350" s="848" t="s">
        <v>20</v>
      </c>
      <c r="E350" s="848" t="s">
        <v>2192</v>
      </c>
      <c r="F350" s="832"/>
      <c r="G350" s="833"/>
      <c r="H350" s="834"/>
      <c r="I350" s="835"/>
      <c r="J350" s="835"/>
      <c r="K350" s="836"/>
      <c r="L350" s="1002"/>
      <c r="M350" s="1003"/>
      <c r="N350" s="837"/>
      <c r="O350" s="841"/>
      <c r="P350" s="856" t="s">
        <v>2232</v>
      </c>
      <c r="Q350" s="1008" t="s">
        <v>2393</v>
      </c>
      <c r="R350" s="952" t="n">
        <v>507500</v>
      </c>
      <c r="S350" s="866" t="n">
        <f aca="false">R350/H349</f>
        <v>5800</v>
      </c>
      <c r="T350" s="841"/>
      <c r="U350" s="842"/>
    </row>
    <row r="351" customFormat="false" ht="15" hidden="false" customHeight="true" outlineLevel="0" collapsed="false">
      <c r="A351" s="881"/>
      <c r="B351" s="882"/>
      <c r="C351" s="830"/>
      <c r="D351" s="848" t="s">
        <v>20</v>
      </c>
      <c r="E351" s="848" t="s">
        <v>2192</v>
      </c>
      <c r="F351" s="832"/>
      <c r="G351" s="833"/>
      <c r="H351" s="834"/>
      <c r="I351" s="835"/>
      <c r="J351" s="835"/>
      <c r="K351" s="836"/>
      <c r="L351" s="1002"/>
      <c r="M351" s="1003"/>
      <c r="N351" s="837"/>
      <c r="O351" s="841"/>
      <c r="P351" s="856" t="s">
        <v>2232</v>
      </c>
      <c r="Q351" s="1008" t="s">
        <v>2394</v>
      </c>
      <c r="R351" s="952" t="n">
        <v>507500</v>
      </c>
      <c r="S351" s="866" t="n">
        <f aca="false">R351/H349</f>
        <v>5800</v>
      </c>
      <c r="T351" s="841"/>
      <c r="U351" s="842"/>
    </row>
    <row r="352" customFormat="false" ht="15" hidden="false" customHeight="true" outlineLevel="0" collapsed="false">
      <c r="A352" s="881"/>
      <c r="B352" s="882"/>
      <c r="C352" s="830"/>
      <c r="D352" s="848" t="s">
        <v>20</v>
      </c>
      <c r="E352" s="848" t="s">
        <v>2192</v>
      </c>
      <c r="F352" s="832"/>
      <c r="G352" s="833"/>
      <c r="H352" s="834"/>
      <c r="I352" s="835"/>
      <c r="J352" s="835"/>
      <c r="K352" s="836"/>
      <c r="L352" s="1002"/>
      <c r="M352" s="1003"/>
      <c r="N352" s="837"/>
      <c r="O352" s="841"/>
      <c r="P352" s="856" t="s">
        <v>2232</v>
      </c>
      <c r="Q352" s="1008" t="s">
        <v>2395</v>
      </c>
      <c r="R352" s="952" t="n">
        <v>595437.5</v>
      </c>
      <c r="S352" s="866" t="n">
        <f aca="false">R352/H349</f>
        <v>6805</v>
      </c>
      <c r="T352" s="841"/>
      <c r="U352" s="842"/>
    </row>
    <row r="353" customFormat="false" ht="15" hidden="false" customHeight="true" outlineLevel="0" collapsed="false">
      <c r="A353" s="881"/>
      <c r="B353" s="882"/>
      <c r="C353" s="830"/>
      <c r="D353" s="848" t="s">
        <v>20</v>
      </c>
      <c r="E353" s="848" t="s">
        <v>2192</v>
      </c>
      <c r="F353" s="832"/>
      <c r="G353" s="833"/>
      <c r="H353" s="834"/>
      <c r="I353" s="835"/>
      <c r="J353" s="835"/>
      <c r="K353" s="836"/>
      <c r="L353" s="1002"/>
      <c r="M353" s="1003"/>
      <c r="N353" s="837"/>
      <c r="O353" s="841"/>
      <c r="P353" s="856" t="s">
        <v>2232</v>
      </c>
      <c r="Q353" s="1008" t="s">
        <v>2396</v>
      </c>
      <c r="R353" s="952" t="n">
        <v>402587.5</v>
      </c>
      <c r="S353" s="866" t="n">
        <f aca="false">R353/H349</f>
        <v>4601</v>
      </c>
      <c r="T353" s="841"/>
      <c r="U353" s="842"/>
    </row>
    <row r="354" customFormat="false" ht="15" hidden="false" customHeight="true" outlineLevel="0" collapsed="false">
      <c r="A354" s="881"/>
      <c r="B354" s="882"/>
      <c r="C354" s="830"/>
      <c r="D354" s="887" t="s">
        <v>20</v>
      </c>
      <c r="E354" s="887" t="s">
        <v>2192</v>
      </c>
      <c r="F354" s="832"/>
      <c r="G354" s="833"/>
      <c r="H354" s="834"/>
      <c r="I354" s="835"/>
      <c r="J354" s="835"/>
      <c r="K354" s="836"/>
      <c r="L354" s="1002"/>
      <c r="M354" s="1003"/>
      <c r="N354" s="837"/>
      <c r="O354" s="841"/>
      <c r="P354" s="888" t="s">
        <v>2232</v>
      </c>
      <c r="Q354" s="1364" t="s">
        <v>107</v>
      </c>
      <c r="R354" s="945" t="n">
        <v>402587.5</v>
      </c>
      <c r="S354" s="846" t="n">
        <f aca="false">R354/H349</f>
        <v>4601</v>
      </c>
      <c r="T354" s="841"/>
      <c r="U354" s="842"/>
    </row>
    <row r="355" customFormat="false" ht="15" hidden="false" customHeight="true" outlineLevel="0" collapsed="false">
      <c r="A355" s="881"/>
      <c r="B355" s="847" t="s">
        <v>86</v>
      </c>
      <c r="C355" s="847" t="n">
        <v>2024</v>
      </c>
      <c r="D355" s="848" t="s">
        <v>20</v>
      </c>
      <c r="E355" s="848" t="s">
        <v>2203</v>
      </c>
      <c r="F355" s="848"/>
      <c r="G355" s="849"/>
      <c r="H355" s="949" t="n">
        <v>33.5</v>
      </c>
      <c r="I355" s="950"/>
      <c r="J355" s="950"/>
      <c r="K355" s="852" t="n">
        <f aca="false">H355*I355/100</f>
        <v>0</v>
      </c>
      <c r="L355" s="1006" t="n">
        <v>2940</v>
      </c>
      <c r="M355" s="1007" t="n">
        <v>1</v>
      </c>
      <c r="N355" s="1143" t="n">
        <f aca="false">L355*M355</f>
        <v>2940</v>
      </c>
      <c r="O355" s="1438" t="n">
        <f aca="false">H355*N355</f>
        <v>98490</v>
      </c>
      <c r="P355" s="856" t="s">
        <v>2200</v>
      </c>
      <c r="Q355" s="1008" t="s">
        <v>2384</v>
      </c>
      <c r="R355" s="854" t="n">
        <v>98490</v>
      </c>
      <c r="S355" s="891" t="n">
        <f aca="false">R355/H355</f>
        <v>2940</v>
      </c>
      <c r="T355" s="858" t="n">
        <f aca="false">O355-R355</f>
        <v>0</v>
      </c>
      <c r="U355" s="892" t="n">
        <f aca="false">N355-S355</f>
        <v>0</v>
      </c>
    </row>
    <row r="356" customFormat="false" ht="15" hidden="false" customHeight="true" outlineLevel="0" collapsed="false">
      <c r="A356" s="881"/>
      <c r="B356" s="859" t="s">
        <v>86</v>
      </c>
      <c r="C356" s="859" t="n">
        <v>2024</v>
      </c>
      <c r="D356" s="860" t="s">
        <v>20</v>
      </c>
      <c r="E356" s="860" t="s">
        <v>2241</v>
      </c>
      <c r="F356" s="860"/>
      <c r="G356" s="861"/>
      <c r="H356" s="980" t="n">
        <v>31.1</v>
      </c>
      <c r="I356" s="981"/>
      <c r="J356" s="981"/>
      <c r="K356" s="864" t="n">
        <f aca="false">H356*I356/100</f>
        <v>0</v>
      </c>
      <c r="L356" s="982" t="n">
        <v>1765</v>
      </c>
      <c r="M356" s="983" t="n">
        <v>1</v>
      </c>
      <c r="N356" s="1299" t="n">
        <f aca="false">L356*M356</f>
        <v>1765</v>
      </c>
      <c r="O356" s="1439" t="n">
        <f aca="false">H356*N356</f>
        <v>54891.5</v>
      </c>
      <c r="P356" s="868" t="s">
        <v>2204</v>
      </c>
      <c r="Q356" s="1012" t="s">
        <v>2206</v>
      </c>
      <c r="R356" s="1018" t="n">
        <v>54891.5</v>
      </c>
      <c r="S356" s="866" t="n">
        <f aca="false">R356/H356</f>
        <v>1765</v>
      </c>
      <c r="T356" s="985" t="n">
        <f aca="false">O356-R356</f>
        <v>0</v>
      </c>
      <c r="U356" s="1135" t="n">
        <f aca="false">N356-S356</f>
        <v>0</v>
      </c>
    </row>
    <row r="357" customFormat="false" ht="15" hidden="false" customHeight="true" outlineLevel="0" collapsed="false">
      <c r="A357" s="881"/>
      <c r="B357" s="893" t="s">
        <v>86</v>
      </c>
      <c r="C357" s="893" t="n">
        <v>2024</v>
      </c>
      <c r="D357" s="843" t="s">
        <v>20</v>
      </c>
      <c r="E357" s="843" t="s">
        <v>2205</v>
      </c>
      <c r="F357" s="843"/>
      <c r="G357" s="894"/>
      <c r="H357" s="1103" t="n">
        <v>1.4</v>
      </c>
      <c r="I357" s="1104"/>
      <c r="J357" s="1104"/>
      <c r="K357" s="897" t="n">
        <f aca="false">H357*I357/100</f>
        <v>0</v>
      </c>
      <c r="L357" s="1105" t="n">
        <v>1671</v>
      </c>
      <c r="M357" s="1106" t="n">
        <v>1</v>
      </c>
      <c r="N357" s="1393" t="n">
        <f aca="false">L357*M357</f>
        <v>1671</v>
      </c>
      <c r="O357" s="1440" t="n">
        <f aca="false">H357*N357</f>
        <v>2339.4</v>
      </c>
      <c r="P357" s="844" t="s">
        <v>2204</v>
      </c>
      <c r="Q357" s="900" t="s">
        <v>2206</v>
      </c>
      <c r="R357" s="901" t="n">
        <v>2339.4</v>
      </c>
      <c r="S357" s="846" t="n">
        <f aca="false">R357/H357</f>
        <v>1671</v>
      </c>
      <c r="T357" s="1441" t="n">
        <f aca="false">O357-R357</f>
        <v>0</v>
      </c>
      <c r="U357" s="902" t="n">
        <f aca="false">N357-S357</f>
        <v>0</v>
      </c>
    </row>
    <row r="358" customFormat="false" ht="15" hidden="false" customHeight="true" outlineLevel="0" collapsed="false">
      <c r="A358" s="1442" t="n">
        <v>42</v>
      </c>
      <c r="B358" s="903" t="s">
        <v>81</v>
      </c>
      <c r="C358" s="903" t="n">
        <v>2024</v>
      </c>
      <c r="D358" s="904" t="s">
        <v>20</v>
      </c>
      <c r="E358" s="904" t="s">
        <v>2192</v>
      </c>
      <c r="F358" s="904" t="s">
        <v>2199</v>
      </c>
      <c r="G358" s="905"/>
      <c r="H358" s="946" t="n">
        <v>76.3</v>
      </c>
      <c r="I358" s="947"/>
      <c r="J358" s="947"/>
      <c r="K358" s="939" t="n">
        <f aca="false">H358*I358/100</f>
        <v>0</v>
      </c>
      <c r="L358" s="1022" t="n">
        <v>1336</v>
      </c>
      <c r="M358" s="1023" t="n">
        <v>1</v>
      </c>
      <c r="N358" s="1137" t="n">
        <f aca="false">L358*M358</f>
        <v>1336</v>
      </c>
      <c r="O358" s="1443" t="n">
        <f aca="false">H358*N358</f>
        <v>101936.8</v>
      </c>
      <c r="P358" s="910" t="s">
        <v>2200</v>
      </c>
      <c r="Q358" s="1057" t="s">
        <v>2287</v>
      </c>
      <c r="R358" s="891" t="n">
        <v>101936.8</v>
      </c>
      <c r="S358" s="891" t="n">
        <f aca="false">R358/H358</f>
        <v>1336</v>
      </c>
      <c r="T358" s="1058" t="n">
        <f aca="false">O358-R358</f>
        <v>0</v>
      </c>
      <c r="U358" s="1444" t="n">
        <f aca="false">N358-S358</f>
        <v>0</v>
      </c>
    </row>
    <row r="359" customFormat="false" ht="15" hidden="false" customHeight="true" outlineLevel="0" collapsed="false">
      <c r="A359" s="870" t="n">
        <v>43</v>
      </c>
      <c r="B359" s="870" t="s">
        <v>81</v>
      </c>
      <c r="C359" s="870" t="n">
        <v>2024</v>
      </c>
      <c r="D359" s="871" t="s">
        <v>20</v>
      </c>
      <c r="E359" s="871" t="s">
        <v>2192</v>
      </c>
      <c r="F359" s="871" t="s">
        <v>2199</v>
      </c>
      <c r="G359" s="872"/>
      <c r="H359" s="1116" t="n">
        <v>74.6</v>
      </c>
      <c r="I359" s="1117"/>
      <c r="J359" s="1117"/>
      <c r="K359" s="875" t="n">
        <f aca="false">H359*I359/100</f>
        <v>0</v>
      </c>
      <c r="L359" s="999" t="n">
        <v>19460</v>
      </c>
      <c r="M359" s="1000" t="n">
        <v>1</v>
      </c>
      <c r="N359" s="1301" t="n">
        <f aca="false">L359*M359</f>
        <v>19460</v>
      </c>
      <c r="O359" s="1437" t="n">
        <f aca="false">H359*N359</f>
        <v>1451716</v>
      </c>
      <c r="P359" s="879" t="s">
        <v>2200</v>
      </c>
      <c r="Q359" s="1013" t="s">
        <v>106</v>
      </c>
      <c r="R359" s="877" t="n">
        <v>1451716</v>
      </c>
      <c r="S359" s="877" t="n">
        <f aca="false">R359/H359</f>
        <v>19460</v>
      </c>
      <c r="T359" s="1404" t="n">
        <f aca="false">O359-R359</f>
        <v>0</v>
      </c>
      <c r="U359" s="553" t="n">
        <f aca="false">N359-S359</f>
        <v>0</v>
      </c>
    </row>
    <row r="360" customFormat="false" ht="15" hidden="false" customHeight="true" outlineLevel="0" collapsed="false">
      <c r="A360" s="881" t="n">
        <v>38</v>
      </c>
      <c r="B360" s="829" t="s">
        <v>86</v>
      </c>
      <c r="C360" s="830" t="n">
        <v>2024</v>
      </c>
      <c r="D360" s="831" t="s">
        <v>20</v>
      </c>
      <c r="E360" s="831" t="s">
        <v>2192</v>
      </c>
      <c r="F360" s="832" t="s">
        <v>1650</v>
      </c>
      <c r="G360" s="833"/>
      <c r="H360" s="834" t="n">
        <v>91.4</v>
      </c>
      <c r="I360" s="835"/>
      <c r="J360" s="835"/>
      <c r="K360" s="836" t="n">
        <f aca="false">H360*I360/100</f>
        <v>0</v>
      </c>
      <c r="L360" s="1002" t="n">
        <v>29918</v>
      </c>
      <c r="M360" s="1445" t="n">
        <v>1</v>
      </c>
      <c r="N360" s="837" t="n">
        <f aca="false">L360*M360</f>
        <v>29918</v>
      </c>
      <c r="O360" s="1120" t="n">
        <f aca="false">H360*N360</f>
        <v>2734505.2</v>
      </c>
      <c r="P360" s="884" t="s">
        <v>2193</v>
      </c>
      <c r="Q360" s="1015" t="s">
        <v>2389</v>
      </c>
      <c r="R360" s="1446" t="n">
        <v>673343.8</v>
      </c>
      <c r="S360" s="886" t="n">
        <f aca="false">R360/H360</f>
        <v>7367</v>
      </c>
      <c r="T360" s="841" t="n">
        <f aca="false">O360-R360-R367-R366-R361-R362-R363-R364-R365</f>
        <v>0</v>
      </c>
      <c r="U360" s="842" t="n">
        <f aca="false">N360-S360-S367-S366-S361-S362-S363-S364-S365</f>
        <v>0</v>
      </c>
    </row>
    <row r="361" customFormat="false" ht="15" hidden="false" customHeight="true" outlineLevel="0" collapsed="false">
      <c r="A361" s="881"/>
      <c r="B361" s="829"/>
      <c r="C361" s="830"/>
      <c r="D361" s="848" t="s">
        <v>20</v>
      </c>
      <c r="E361" s="848" t="s">
        <v>2192</v>
      </c>
      <c r="F361" s="832"/>
      <c r="G361" s="833"/>
      <c r="H361" s="834"/>
      <c r="I361" s="835"/>
      <c r="J361" s="835"/>
      <c r="K361" s="836"/>
      <c r="L361" s="1002"/>
      <c r="M361" s="1445"/>
      <c r="N361" s="837"/>
      <c r="O361" s="1120"/>
      <c r="P361" s="868" t="s">
        <v>2232</v>
      </c>
      <c r="Q361" s="1011" t="s">
        <v>107</v>
      </c>
      <c r="R361" s="1447" t="n">
        <v>222559</v>
      </c>
      <c r="S361" s="866" t="n">
        <f aca="false">R361/H360</f>
        <v>2435</v>
      </c>
      <c r="T361" s="841"/>
      <c r="U361" s="842"/>
    </row>
    <row r="362" customFormat="false" ht="15" hidden="false" customHeight="true" outlineLevel="0" collapsed="false">
      <c r="A362" s="881"/>
      <c r="B362" s="829"/>
      <c r="C362" s="830"/>
      <c r="D362" s="848" t="s">
        <v>20</v>
      </c>
      <c r="E362" s="848" t="s">
        <v>2192</v>
      </c>
      <c r="F362" s="832"/>
      <c r="G362" s="833"/>
      <c r="H362" s="834"/>
      <c r="I362" s="835"/>
      <c r="J362" s="835"/>
      <c r="K362" s="836"/>
      <c r="L362" s="1002"/>
      <c r="M362" s="1445"/>
      <c r="N362" s="837"/>
      <c r="O362" s="1120"/>
      <c r="P362" s="868" t="s">
        <v>2232</v>
      </c>
      <c r="Q362" s="1011" t="s">
        <v>2396</v>
      </c>
      <c r="R362" s="1448" t="n">
        <v>222559</v>
      </c>
      <c r="S362" s="866" t="n">
        <f aca="false">R362/H360</f>
        <v>2435</v>
      </c>
      <c r="T362" s="841"/>
      <c r="U362" s="842"/>
    </row>
    <row r="363" customFormat="false" ht="15" hidden="false" customHeight="true" outlineLevel="0" collapsed="false">
      <c r="A363" s="881"/>
      <c r="B363" s="829"/>
      <c r="C363" s="830"/>
      <c r="D363" s="848" t="s">
        <v>20</v>
      </c>
      <c r="E363" s="848" t="s">
        <v>2192</v>
      </c>
      <c r="F363" s="832"/>
      <c r="G363" s="833"/>
      <c r="H363" s="834"/>
      <c r="I363" s="835"/>
      <c r="J363" s="835"/>
      <c r="K363" s="836"/>
      <c r="L363" s="1002"/>
      <c r="M363" s="1445"/>
      <c r="N363" s="837"/>
      <c r="O363" s="1120"/>
      <c r="P363" s="868" t="s">
        <v>2232</v>
      </c>
      <c r="Q363" s="1011" t="s">
        <v>2393</v>
      </c>
      <c r="R363" s="1448" t="n">
        <v>292480</v>
      </c>
      <c r="S363" s="866" t="n">
        <f aca="false">R363/H360</f>
        <v>3200</v>
      </c>
      <c r="T363" s="841"/>
      <c r="U363" s="842"/>
    </row>
    <row r="364" customFormat="false" ht="15" hidden="false" customHeight="true" outlineLevel="0" collapsed="false">
      <c r="A364" s="881"/>
      <c r="B364" s="829"/>
      <c r="C364" s="830"/>
      <c r="D364" s="848" t="s">
        <v>20</v>
      </c>
      <c r="E364" s="848" t="s">
        <v>2192</v>
      </c>
      <c r="F364" s="832"/>
      <c r="G364" s="833"/>
      <c r="H364" s="834"/>
      <c r="I364" s="835"/>
      <c r="J364" s="835"/>
      <c r="K364" s="836"/>
      <c r="L364" s="1002"/>
      <c r="M364" s="1445"/>
      <c r="N364" s="837"/>
      <c r="O364" s="1120"/>
      <c r="P364" s="868" t="s">
        <v>2232</v>
      </c>
      <c r="Q364" s="1011" t="s">
        <v>2394</v>
      </c>
      <c r="R364" s="1448" t="n">
        <v>292480</v>
      </c>
      <c r="S364" s="866" t="n">
        <f aca="false">R364/H360</f>
        <v>3200</v>
      </c>
      <c r="T364" s="841"/>
      <c r="U364" s="842"/>
    </row>
    <row r="365" customFormat="false" ht="15" hidden="false" customHeight="true" outlineLevel="0" collapsed="false">
      <c r="A365" s="881"/>
      <c r="B365" s="829"/>
      <c r="C365" s="830"/>
      <c r="D365" s="848" t="s">
        <v>20</v>
      </c>
      <c r="E365" s="848" t="s">
        <v>2192</v>
      </c>
      <c r="F365" s="832"/>
      <c r="G365" s="833"/>
      <c r="H365" s="834"/>
      <c r="I365" s="835"/>
      <c r="J365" s="835"/>
      <c r="K365" s="836"/>
      <c r="L365" s="1002"/>
      <c r="M365" s="1445"/>
      <c r="N365" s="837"/>
      <c r="O365" s="1120"/>
      <c r="P365" s="868" t="s">
        <v>2232</v>
      </c>
      <c r="Q365" s="1011" t="s">
        <v>2395</v>
      </c>
      <c r="R365" s="1448" t="n">
        <v>301711.4</v>
      </c>
      <c r="S365" s="866" t="n">
        <f aca="false">R365/H360</f>
        <v>3301</v>
      </c>
      <c r="T365" s="841"/>
      <c r="U365" s="842"/>
    </row>
    <row r="366" customFormat="false" ht="15" hidden="false" customHeight="true" outlineLevel="0" collapsed="false">
      <c r="A366" s="881"/>
      <c r="B366" s="829"/>
      <c r="C366" s="830"/>
      <c r="D366" s="860" t="s">
        <v>20</v>
      </c>
      <c r="E366" s="860" t="s">
        <v>2192</v>
      </c>
      <c r="F366" s="832"/>
      <c r="G366" s="833"/>
      <c r="H366" s="834"/>
      <c r="I366" s="835"/>
      <c r="J366" s="835"/>
      <c r="K366" s="836"/>
      <c r="L366" s="1002"/>
      <c r="M366" s="1445"/>
      <c r="N366" s="837"/>
      <c r="O366" s="1120"/>
      <c r="P366" s="868" t="s">
        <v>2232</v>
      </c>
      <c r="Q366" s="1011" t="s">
        <v>2392</v>
      </c>
      <c r="R366" s="1448" t="n">
        <v>638886</v>
      </c>
      <c r="S366" s="866" t="n">
        <f aca="false">R366/H360</f>
        <v>6990</v>
      </c>
      <c r="T366" s="841"/>
      <c r="U366" s="842"/>
    </row>
    <row r="367" customFormat="false" ht="15" hidden="false" customHeight="true" outlineLevel="0" collapsed="false">
      <c r="A367" s="881"/>
      <c r="B367" s="829"/>
      <c r="C367" s="830"/>
      <c r="D367" s="887" t="s">
        <v>20</v>
      </c>
      <c r="E367" s="887" t="s">
        <v>2192</v>
      </c>
      <c r="F367" s="832"/>
      <c r="G367" s="833"/>
      <c r="H367" s="834"/>
      <c r="I367" s="835"/>
      <c r="J367" s="835"/>
      <c r="K367" s="836"/>
      <c r="L367" s="1002"/>
      <c r="M367" s="1445"/>
      <c r="N367" s="837"/>
      <c r="O367" s="1120"/>
      <c r="P367" s="888" t="s">
        <v>2197</v>
      </c>
      <c r="Q367" s="1364" t="s">
        <v>2397</v>
      </c>
      <c r="R367" s="945" t="n">
        <v>90486</v>
      </c>
      <c r="S367" s="890" t="n">
        <f aca="false">R367/H360</f>
        <v>990</v>
      </c>
      <c r="T367" s="841"/>
      <c r="U367" s="842"/>
    </row>
    <row r="368" customFormat="false" ht="15" hidden="false" customHeight="true" outlineLevel="0" collapsed="false">
      <c r="A368" s="881"/>
      <c r="B368" s="847" t="s">
        <v>86</v>
      </c>
      <c r="C368" s="847" t="n">
        <v>2024</v>
      </c>
      <c r="D368" s="848" t="s">
        <v>20</v>
      </c>
      <c r="E368" s="848" t="s">
        <v>2242</v>
      </c>
      <c r="F368" s="848"/>
      <c r="G368" s="849"/>
      <c r="H368" s="949" t="n">
        <v>67.9</v>
      </c>
      <c r="I368" s="950"/>
      <c r="J368" s="950"/>
      <c r="K368" s="852" t="n">
        <f aca="false">H368*I368/100</f>
        <v>0</v>
      </c>
      <c r="L368" s="1006" t="n">
        <v>328</v>
      </c>
      <c r="M368" s="1007" t="n">
        <v>1</v>
      </c>
      <c r="N368" s="1143" t="n">
        <f aca="false">L368*M368</f>
        <v>328</v>
      </c>
      <c r="O368" s="1438" t="n">
        <f aca="false">H368*N368</f>
        <v>22271.2</v>
      </c>
      <c r="P368" s="856" t="s">
        <v>2204</v>
      </c>
      <c r="Q368" s="1436" t="n">
        <v>28022025</v>
      </c>
      <c r="R368" s="854" t="n">
        <v>22271.2</v>
      </c>
      <c r="S368" s="886" t="n">
        <f aca="false">R368/H368</f>
        <v>328</v>
      </c>
      <c r="T368" s="858" t="n">
        <f aca="false">O368-R368</f>
        <v>0</v>
      </c>
      <c r="U368" s="892" t="n">
        <f aca="false">N368-S368</f>
        <v>0</v>
      </c>
    </row>
    <row r="369" customFormat="false" ht="15" hidden="false" customHeight="true" outlineLevel="0" collapsed="false">
      <c r="A369" s="881"/>
      <c r="B369" s="859" t="s">
        <v>86</v>
      </c>
      <c r="C369" s="859" t="n">
        <v>2024</v>
      </c>
      <c r="D369" s="860" t="s">
        <v>20</v>
      </c>
      <c r="E369" s="860" t="s">
        <v>2203</v>
      </c>
      <c r="F369" s="860"/>
      <c r="G369" s="861"/>
      <c r="H369" s="980" t="n">
        <v>54.5</v>
      </c>
      <c r="I369" s="981"/>
      <c r="J369" s="981"/>
      <c r="K369" s="864" t="n">
        <f aca="false">H369*I369/100</f>
        <v>0</v>
      </c>
      <c r="L369" s="982" t="n">
        <v>2883</v>
      </c>
      <c r="M369" s="983" t="n">
        <v>1</v>
      </c>
      <c r="N369" s="1299" t="n">
        <f aca="false">L369*M369</f>
        <v>2883</v>
      </c>
      <c r="O369" s="1439" t="n">
        <f aca="false">H369*N369</f>
        <v>157123.5</v>
      </c>
      <c r="P369" s="868" t="s">
        <v>2200</v>
      </c>
      <c r="Q369" s="1011" t="s">
        <v>2384</v>
      </c>
      <c r="R369" s="866" t="n">
        <v>157123.5</v>
      </c>
      <c r="S369" s="866" t="n">
        <f aca="false">R369/H369</f>
        <v>2883</v>
      </c>
      <c r="T369" s="985" t="n">
        <f aca="false">O369-R369</f>
        <v>0</v>
      </c>
      <c r="U369" s="1135" t="n">
        <f aca="false">N369-S369</f>
        <v>0</v>
      </c>
    </row>
    <row r="370" customFormat="false" ht="15" hidden="false" customHeight="true" outlineLevel="0" collapsed="false">
      <c r="A370" s="881"/>
      <c r="B370" s="859" t="s">
        <v>86</v>
      </c>
      <c r="C370" s="859" t="n">
        <v>2024</v>
      </c>
      <c r="D370" s="860" t="s">
        <v>20</v>
      </c>
      <c r="E370" s="860" t="s">
        <v>2241</v>
      </c>
      <c r="F370" s="860"/>
      <c r="G370" s="861"/>
      <c r="H370" s="980" t="n">
        <v>48.9</v>
      </c>
      <c r="I370" s="981"/>
      <c r="J370" s="981"/>
      <c r="K370" s="864" t="n">
        <f aca="false">H370*I370/100</f>
        <v>0</v>
      </c>
      <c r="L370" s="982" t="n">
        <v>2180</v>
      </c>
      <c r="M370" s="983" t="n">
        <v>1</v>
      </c>
      <c r="N370" s="1299" t="n">
        <f aca="false">L370*M370</f>
        <v>2180</v>
      </c>
      <c r="O370" s="1439" t="n">
        <f aca="false">H370*N370</f>
        <v>106602</v>
      </c>
      <c r="P370" s="868" t="s">
        <v>2200</v>
      </c>
      <c r="Q370" s="1011" t="s">
        <v>2384</v>
      </c>
      <c r="R370" s="866" t="n">
        <v>106602</v>
      </c>
      <c r="S370" s="866" t="n">
        <f aca="false">R370/H370</f>
        <v>2180</v>
      </c>
      <c r="T370" s="985" t="n">
        <f aca="false">O370-R370</f>
        <v>0</v>
      </c>
      <c r="U370" s="1135" t="n">
        <f aca="false">N370-S370</f>
        <v>0</v>
      </c>
    </row>
    <row r="371" customFormat="false" ht="15" hidden="false" customHeight="true" outlineLevel="0" collapsed="false">
      <c r="A371" s="881"/>
      <c r="B371" s="893" t="s">
        <v>86</v>
      </c>
      <c r="C371" s="893" t="n">
        <v>2024</v>
      </c>
      <c r="D371" s="843" t="s">
        <v>20</v>
      </c>
      <c r="E371" s="843" t="s">
        <v>2205</v>
      </c>
      <c r="F371" s="843"/>
      <c r="G371" s="894"/>
      <c r="H371" s="1103" t="n">
        <v>3.3</v>
      </c>
      <c r="I371" s="1104"/>
      <c r="J371" s="1104"/>
      <c r="K371" s="897" t="n">
        <f aca="false">H371*I371/100</f>
        <v>0</v>
      </c>
      <c r="L371" s="1105" t="n">
        <v>2118</v>
      </c>
      <c r="M371" s="1106" t="n">
        <v>1</v>
      </c>
      <c r="N371" s="1393" t="n">
        <f aca="false">L371*M371</f>
        <v>2118</v>
      </c>
      <c r="O371" s="1440" t="n">
        <f aca="false">H371*N371</f>
        <v>6989.4</v>
      </c>
      <c r="P371" s="844" t="s">
        <v>2204</v>
      </c>
      <c r="Q371" s="900" t="s">
        <v>2398</v>
      </c>
      <c r="R371" s="846" t="n">
        <v>6989.4</v>
      </c>
      <c r="S371" s="846" t="n">
        <f aca="false">R371/H371</f>
        <v>2118</v>
      </c>
      <c r="T371" s="1441" t="n">
        <f aca="false">O371-R371</f>
        <v>0</v>
      </c>
      <c r="U371" s="902" t="n">
        <f aca="false">N371-S371</f>
        <v>0</v>
      </c>
    </row>
    <row r="372" customFormat="false" ht="15" hidden="false" customHeight="true" outlineLevel="0" collapsed="false">
      <c r="A372" s="903" t="n">
        <v>50</v>
      </c>
      <c r="B372" s="903" t="s">
        <v>2207</v>
      </c>
      <c r="C372" s="903" t="n">
        <v>2024</v>
      </c>
      <c r="D372" s="904" t="s">
        <v>20</v>
      </c>
      <c r="E372" s="904" t="s">
        <v>2192</v>
      </c>
      <c r="F372" s="904" t="s">
        <v>1652</v>
      </c>
      <c r="G372" s="905"/>
      <c r="H372" s="946" t="n">
        <v>40.2646</v>
      </c>
      <c r="I372" s="947"/>
      <c r="J372" s="947"/>
      <c r="K372" s="939" t="n">
        <f aca="false">H372*I372/100</f>
        <v>0</v>
      </c>
      <c r="L372" s="1022" t="n">
        <v>12243</v>
      </c>
      <c r="M372" s="1023" t="n">
        <v>1</v>
      </c>
      <c r="N372" s="1137" t="n">
        <f aca="false">L372*M372</f>
        <v>12243</v>
      </c>
      <c r="O372" s="1384" t="n">
        <f aca="false">H372*N372</f>
        <v>492959.4978</v>
      </c>
      <c r="P372" s="910" t="s">
        <v>2197</v>
      </c>
      <c r="Q372" s="1057" t="s">
        <v>2386</v>
      </c>
      <c r="R372" s="891" t="n">
        <v>492959.4978</v>
      </c>
      <c r="S372" s="891" t="n">
        <f aca="false">R372/H372</f>
        <v>12243</v>
      </c>
      <c r="T372" s="948" t="n">
        <f aca="false">O372-R372</f>
        <v>0</v>
      </c>
      <c r="U372" s="942" t="n">
        <f aca="false">N372-S372</f>
        <v>0</v>
      </c>
    </row>
    <row r="373" customFormat="false" ht="15" hidden="false" customHeight="true" outlineLevel="0" collapsed="false">
      <c r="A373" s="829" t="n">
        <v>42</v>
      </c>
      <c r="B373" s="1173" t="s">
        <v>86</v>
      </c>
      <c r="C373" s="1173" t="n">
        <v>2024</v>
      </c>
      <c r="D373" s="831" t="s">
        <v>20</v>
      </c>
      <c r="E373" s="831" t="s">
        <v>2192</v>
      </c>
      <c r="F373" s="831" t="s">
        <v>1650</v>
      </c>
      <c r="G373" s="1108"/>
      <c r="H373" s="1109" t="n">
        <v>91.5</v>
      </c>
      <c r="I373" s="1110"/>
      <c r="J373" s="1110"/>
      <c r="K373" s="1111" t="n">
        <f aca="false">H373*I373/100</f>
        <v>0</v>
      </c>
      <c r="L373" s="1112" t="n">
        <v>14371</v>
      </c>
      <c r="M373" s="1113" t="n">
        <v>1</v>
      </c>
      <c r="N373" s="1408" t="n">
        <f aca="false">L373*M373</f>
        <v>14371</v>
      </c>
      <c r="O373" s="1409" t="n">
        <f aca="false">H373*N373</f>
        <v>1314946.5</v>
      </c>
      <c r="P373" s="838" t="s">
        <v>2232</v>
      </c>
      <c r="Q373" s="1004" t="s">
        <v>2257</v>
      </c>
      <c r="R373" s="944" t="n">
        <v>1314946.5</v>
      </c>
      <c r="S373" s="840" t="n">
        <f aca="false">R373/H373</f>
        <v>14371</v>
      </c>
      <c r="T373" s="1181" t="n">
        <f aca="false">O373-R373</f>
        <v>0</v>
      </c>
      <c r="U373" s="1176" t="n">
        <f aca="false">N373-S373</f>
        <v>0</v>
      </c>
    </row>
    <row r="374" customFormat="false" ht="15" hidden="false" customHeight="true" outlineLevel="0" collapsed="false">
      <c r="A374" s="829"/>
      <c r="B374" s="859" t="s">
        <v>86</v>
      </c>
      <c r="C374" s="859" t="n">
        <v>2024</v>
      </c>
      <c r="D374" s="860" t="s">
        <v>20</v>
      </c>
      <c r="E374" s="860" t="s">
        <v>2242</v>
      </c>
      <c r="F374" s="860"/>
      <c r="G374" s="861"/>
      <c r="H374" s="980" t="n">
        <v>66.9</v>
      </c>
      <c r="I374" s="981"/>
      <c r="J374" s="981"/>
      <c r="K374" s="864" t="n">
        <f aca="false">H374*I374/100</f>
        <v>0</v>
      </c>
      <c r="L374" s="982" t="n">
        <v>296</v>
      </c>
      <c r="M374" s="983" t="n">
        <v>1</v>
      </c>
      <c r="N374" s="1299" t="n">
        <f aca="false">L374*M374</f>
        <v>296</v>
      </c>
      <c r="O374" s="1430" t="n">
        <f aca="false">H374*N374</f>
        <v>19802.4</v>
      </c>
      <c r="P374" s="868" t="s">
        <v>2200</v>
      </c>
      <c r="Q374" s="1011" t="s">
        <v>2384</v>
      </c>
      <c r="R374" s="866" t="n">
        <v>19802.4</v>
      </c>
      <c r="S374" s="854" t="n">
        <f aca="false">R374/H374</f>
        <v>296</v>
      </c>
      <c r="T374" s="1449" t="n">
        <f aca="false">O374-R374</f>
        <v>0</v>
      </c>
      <c r="U374" s="1135" t="n">
        <f aca="false">N374-S374</f>
        <v>0</v>
      </c>
    </row>
    <row r="375" customFormat="false" ht="15" hidden="false" customHeight="true" outlineLevel="0" collapsed="false">
      <c r="A375" s="829"/>
      <c r="B375" s="859" t="s">
        <v>86</v>
      </c>
      <c r="C375" s="859" t="n">
        <v>2024</v>
      </c>
      <c r="D375" s="860" t="s">
        <v>20</v>
      </c>
      <c r="E375" s="860" t="s">
        <v>2203</v>
      </c>
      <c r="F375" s="860"/>
      <c r="G375" s="861"/>
      <c r="H375" s="980" t="n">
        <v>42.3</v>
      </c>
      <c r="I375" s="981"/>
      <c r="J375" s="981"/>
      <c r="K375" s="864" t="n">
        <f aca="false">H375*I375/100</f>
        <v>0</v>
      </c>
      <c r="L375" s="982" t="n">
        <v>1222</v>
      </c>
      <c r="M375" s="983" t="n">
        <v>1</v>
      </c>
      <c r="N375" s="1299" t="n">
        <f aca="false">L375*M375</f>
        <v>1222</v>
      </c>
      <c r="O375" s="1430" t="n">
        <f aca="false">H375*N375</f>
        <v>51690.6</v>
      </c>
      <c r="P375" s="868" t="s">
        <v>2200</v>
      </c>
      <c r="Q375" s="1011" t="s">
        <v>2384</v>
      </c>
      <c r="R375" s="866" t="n">
        <v>51690.6</v>
      </c>
      <c r="S375" s="866" t="n">
        <f aca="false">R375/H375</f>
        <v>1222</v>
      </c>
      <c r="T375" s="1449" t="n">
        <f aca="false">O375-R375</f>
        <v>0</v>
      </c>
      <c r="U375" s="1135" t="n">
        <f aca="false">N375-S375</f>
        <v>0</v>
      </c>
    </row>
    <row r="376" customFormat="false" ht="15" hidden="false" customHeight="true" outlineLevel="0" collapsed="false">
      <c r="A376" s="829"/>
      <c r="B376" s="859" t="s">
        <v>86</v>
      </c>
      <c r="C376" s="859" t="n">
        <v>2024</v>
      </c>
      <c r="D376" s="860" t="s">
        <v>20</v>
      </c>
      <c r="E376" s="860" t="s">
        <v>2241</v>
      </c>
      <c r="F376" s="860"/>
      <c r="G376" s="861"/>
      <c r="H376" s="980" t="n">
        <v>47.7</v>
      </c>
      <c r="I376" s="981"/>
      <c r="J376" s="981"/>
      <c r="K376" s="864" t="n">
        <f aca="false">H376*I376/100</f>
        <v>0</v>
      </c>
      <c r="L376" s="982" t="n">
        <v>2069</v>
      </c>
      <c r="M376" s="983" t="n">
        <v>1</v>
      </c>
      <c r="N376" s="1299" t="n">
        <f aca="false">L376*M376</f>
        <v>2069</v>
      </c>
      <c r="O376" s="1430" t="n">
        <f aca="false">H376*N376</f>
        <v>98691.3</v>
      </c>
      <c r="P376" s="868" t="s">
        <v>2200</v>
      </c>
      <c r="Q376" s="1011" t="s">
        <v>2384</v>
      </c>
      <c r="R376" s="866" t="n">
        <v>98691.3</v>
      </c>
      <c r="S376" s="866" t="n">
        <f aca="false">R376/H376</f>
        <v>2069</v>
      </c>
      <c r="T376" s="1449" t="n">
        <f aca="false">O376-R376</f>
        <v>0</v>
      </c>
      <c r="U376" s="1135" t="n">
        <f aca="false">N376-S376</f>
        <v>0</v>
      </c>
    </row>
    <row r="377" customFormat="false" ht="15" hidden="false" customHeight="true" outlineLevel="0" collapsed="false">
      <c r="A377" s="829"/>
      <c r="B377" s="893" t="s">
        <v>86</v>
      </c>
      <c r="C377" s="893" t="n">
        <v>2024</v>
      </c>
      <c r="D377" s="843" t="s">
        <v>20</v>
      </c>
      <c r="E377" s="843" t="s">
        <v>2205</v>
      </c>
      <c r="F377" s="843"/>
      <c r="G377" s="894"/>
      <c r="H377" s="1103" t="n">
        <v>2.8</v>
      </c>
      <c r="I377" s="1104"/>
      <c r="J377" s="1104"/>
      <c r="K377" s="897" t="n">
        <f aca="false">H377*I377/100</f>
        <v>0</v>
      </c>
      <c r="L377" s="1105" t="n">
        <v>1368</v>
      </c>
      <c r="M377" s="1106" t="n">
        <v>1</v>
      </c>
      <c r="N377" s="1393" t="n">
        <f aca="false">L377*M377</f>
        <v>1368</v>
      </c>
      <c r="O377" s="1411" t="n">
        <f aca="false">H377*N377</f>
        <v>3830.4</v>
      </c>
      <c r="P377" s="844" t="s">
        <v>2204</v>
      </c>
      <c r="Q377" s="900" t="s">
        <v>2398</v>
      </c>
      <c r="R377" s="846" t="n">
        <v>3830.4</v>
      </c>
      <c r="S377" s="890" t="n">
        <f aca="false">R377/H377</f>
        <v>1368</v>
      </c>
      <c r="T377" s="1183" t="n">
        <f aca="false">O377-R377</f>
        <v>0</v>
      </c>
      <c r="U377" s="902" t="n">
        <f aca="false">N377-S377</f>
        <v>0</v>
      </c>
    </row>
    <row r="378" customFormat="false" ht="15" hidden="false" customHeight="true" outlineLevel="0" collapsed="false">
      <c r="A378" s="847" t="n">
        <v>61</v>
      </c>
      <c r="B378" s="847" t="s">
        <v>81</v>
      </c>
      <c r="C378" s="847" t="n">
        <v>2024</v>
      </c>
      <c r="D378" s="848" t="s">
        <v>20</v>
      </c>
      <c r="E378" s="848" t="s">
        <v>2192</v>
      </c>
      <c r="F378" s="848" t="s">
        <v>2199</v>
      </c>
      <c r="G378" s="849"/>
      <c r="H378" s="949" t="n">
        <v>79.7</v>
      </c>
      <c r="I378" s="950"/>
      <c r="J378" s="950"/>
      <c r="K378" s="852" t="n">
        <f aca="false">H378*I378/100</f>
        <v>0</v>
      </c>
      <c r="L378" s="1006" t="n">
        <v>29900</v>
      </c>
      <c r="M378" s="1007" t="n">
        <v>1</v>
      </c>
      <c r="N378" s="1143" t="n">
        <f aca="false">L378*M378</f>
        <v>29900</v>
      </c>
      <c r="O378" s="1386" t="n">
        <f aca="false">H378*N378</f>
        <v>2383030</v>
      </c>
      <c r="P378" s="856" t="s">
        <v>2200</v>
      </c>
      <c r="Q378" s="1008" t="s">
        <v>2399</v>
      </c>
      <c r="R378" s="854" t="n">
        <v>2383030</v>
      </c>
      <c r="S378" s="891" t="n">
        <f aca="false">R378/H378</f>
        <v>29900</v>
      </c>
      <c r="T378" s="953" t="n">
        <f aca="false">O378-R378</f>
        <v>0</v>
      </c>
      <c r="U378" s="537" t="n">
        <f aca="false">N378-S378</f>
        <v>0</v>
      </c>
    </row>
    <row r="379" customFormat="false" ht="15" hidden="false" customHeight="true" outlineLevel="0" collapsed="false">
      <c r="A379" s="903" t="n">
        <v>67</v>
      </c>
      <c r="B379" s="903" t="s">
        <v>2207</v>
      </c>
      <c r="C379" s="903" t="n">
        <v>2024</v>
      </c>
      <c r="D379" s="904" t="s">
        <v>20</v>
      </c>
      <c r="E379" s="904" t="s">
        <v>2192</v>
      </c>
      <c r="F379" s="904" t="s">
        <v>1652</v>
      </c>
      <c r="G379" s="905"/>
      <c r="H379" s="946" t="n">
        <v>37.2493</v>
      </c>
      <c r="I379" s="947"/>
      <c r="J379" s="947"/>
      <c r="K379" s="939" t="n">
        <f aca="false">H379*I379/100</f>
        <v>0</v>
      </c>
      <c r="L379" s="1022" t="n">
        <v>45545</v>
      </c>
      <c r="M379" s="1023" t="n">
        <v>1</v>
      </c>
      <c r="N379" s="1137" t="n">
        <f aca="false">L379*M379</f>
        <v>45545</v>
      </c>
      <c r="O379" s="1384" t="n">
        <f aca="false">H379*N379</f>
        <v>1696519.3685</v>
      </c>
      <c r="P379" s="910" t="s">
        <v>2193</v>
      </c>
      <c r="Q379" s="1057" t="s">
        <v>2387</v>
      </c>
      <c r="R379" s="891" t="n">
        <v>1696519.3685</v>
      </c>
      <c r="S379" s="877" t="n">
        <f aca="false">R379/H379</f>
        <v>45545</v>
      </c>
      <c r="T379" s="948" t="n">
        <f aca="false">O379-R379</f>
        <v>0</v>
      </c>
      <c r="U379" s="942" t="n">
        <f aca="false">N379-S379</f>
        <v>0</v>
      </c>
    </row>
    <row r="380" customFormat="false" ht="15" hidden="false" customHeight="true" outlineLevel="0" collapsed="false">
      <c r="A380" s="882" t="s">
        <v>2400</v>
      </c>
      <c r="B380" s="883" t="s">
        <v>2207</v>
      </c>
      <c r="C380" s="883" t="n">
        <v>2024</v>
      </c>
      <c r="D380" s="831" t="s">
        <v>20</v>
      </c>
      <c r="E380" s="831" t="s">
        <v>2192</v>
      </c>
      <c r="F380" s="832" t="s">
        <v>1652</v>
      </c>
      <c r="G380" s="833"/>
      <c r="H380" s="1152" t="n">
        <v>36.6115</v>
      </c>
      <c r="I380" s="835"/>
      <c r="J380" s="835"/>
      <c r="K380" s="836" t="n">
        <f aca="false">H380*I380/100</f>
        <v>0</v>
      </c>
      <c r="L380" s="1002" t="n">
        <v>49040</v>
      </c>
      <c r="M380" s="1003" t="n">
        <v>1</v>
      </c>
      <c r="N380" s="837" t="n">
        <f aca="false">L380*M380</f>
        <v>49040</v>
      </c>
      <c r="O380" s="943" t="n">
        <f aca="false">H380*N380</f>
        <v>1795427.96</v>
      </c>
      <c r="P380" s="838" t="s">
        <v>2197</v>
      </c>
      <c r="Q380" s="1004" t="s">
        <v>2401</v>
      </c>
      <c r="R380" s="840" t="n">
        <v>732046.9425</v>
      </c>
      <c r="S380" s="840" t="n">
        <f aca="false">R380/H380</f>
        <v>19995</v>
      </c>
      <c r="T380" s="943" t="n">
        <f aca="false">O380-R380-R382-R381</f>
        <v>0</v>
      </c>
      <c r="U380" s="842" t="n">
        <f aca="false">N380-S380-S382-S381</f>
        <v>0</v>
      </c>
    </row>
    <row r="381" customFormat="false" ht="15" hidden="false" customHeight="true" outlineLevel="0" collapsed="false">
      <c r="A381" s="882"/>
      <c r="B381" s="883"/>
      <c r="C381" s="883"/>
      <c r="D381" s="848" t="s">
        <v>20</v>
      </c>
      <c r="E381" s="848" t="s">
        <v>2192</v>
      </c>
      <c r="F381" s="832"/>
      <c r="G381" s="833"/>
      <c r="H381" s="1152"/>
      <c r="I381" s="835"/>
      <c r="J381" s="835"/>
      <c r="K381" s="836"/>
      <c r="L381" s="1002"/>
      <c r="M381" s="1003"/>
      <c r="N381" s="837"/>
      <c r="O381" s="943"/>
      <c r="P381" s="856" t="s">
        <v>2197</v>
      </c>
      <c r="Q381" s="1008" t="s">
        <v>2402</v>
      </c>
      <c r="R381" s="854" t="n">
        <v>331334.075</v>
      </c>
      <c r="S381" s="866" t="n">
        <f aca="false">R381/H380</f>
        <v>9050</v>
      </c>
      <c r="T381" s="943"/>
      <c r="U381" s="842"/>
    </row>
    <row r="382" customFormat="false" ht="15" hidden="false" customHeight="true" outlineLevel="0" collapsed="false">
      <c r="A382" s="882"/>
      <c r="B382" s="883"/>
      <c r="C382" s="883"/>
      <c r="D382" s="887" t="s">
        <v>20</v>
      </c>
      <c r="E382" s="887" t="s">
        <v>2192</v>
      </c>
      <c r="F382" s="832"/>
      <c r="G382" s="833"/>
      <c r="H382" s="1152"/>
      <c r="I382" s="835"/>
      <c r="J382" s="835"/>
      <c r="K382" s="836"/>
      <c r="L382" s="1002"/>
      <c r="M382" s="1003"/>
      <c r="N382" s="837"/>
      <c r="O382" s="943"/>
      <c r="P382" s="888" t="s">
        <v>2197</v>
      </c>
      <c r="Q382" s="1364" t="s">
        <v>2403</v>
      </c>
      <c r="R382" s="890" t="n">
        <v>732046.9425</v>
      </c>
      <c r="S382" s="846" t="n">
        <f aca="false">R382/H380</f>
        <v>19995</v>
      </c>
      <c r="T382" s="943"/>
      <c r="U382" s="842"/>
    </row>
    <row r="383" customFormat="false" ht="15" hidden="false" customHeight="true" outlineLevel="0" collapsed="false">
      <c r="A383" s="829" t="n">
        <v>57</v>
      </c>
      <c r="B383" s="1173" t="s">
        <v>86</v>
      </c>
      <c r="C383" s="1173" t="n">
        <v>2024</v>
      </c>
      <c r="D383" s="831" t="s">
        <v>20</v>
      </c>
      <c r="E383" s="831" t="s">
        <v>2192</v>
      </c>
      <c r="F383" s="831" t="s">
        <v>1650</v>
      </c>
      <c r="G383" s="1108"/>
      <c r="H383" s="1174" t="n">
        <v>90.5</v>
      </c>
      <c r="I383" s="1110" t="n">
        <v>65</v>
      </c>
      <c r="J383" s="1110"/>
      <c r="K383" s="1033" t="n">
        <f aca="false">H383*I383/100</f>
        <v>58.825</v>
      </c>
      <c r="L383" s="1112" t="n">
        <v>23630</v>
      </c>
      <c r="M383" s="1113" t="n">
        <v>1</v>
      </c>
      <c r="N383" s="1341" t="n">
        <f aca="false">L383*M383</f>
        <v>23630</v>
      </c>
      <c r="O383" s="1450" t="n">
        <f aca="false">H383*N383</f>
        <v>2138515</v>
      </c>
      <c r="P383" s="838" t="s">
        <v>2232</v>
      </c>
      <c r="Q383" s="1004" t="s">
        <v>2404</v>
      </c>
      <c r="R383" s="840" t="n">
        <v>2138515</v>
      </c>
      <c r="S383" s="854" t="n">
        <f aca="false">R383/H383</f>
        <v>23630</v>
      </c>
      <c r="T383" s="1181" t="n">
        <f aca="false">O383-R383</f>
        <v>0</v>
      </c>
      <c r="U383" s="1176" t="n">
        <f aca="false">N383-S383</f>
        <v>0</v>
      </c>
    </row>
    <row r="384" customFormat="false" ht="15" hidden="false" customHeight="true" outlineLevel="0" collapsed="false">
      <c r="A384" s="829"/>
      <c r="B384" s="859" t="s">
        <v>86</v>
      </c>
      <c r="C384" s="859" t="n">
        <v>2024</v>
      </c>
      <c r="D384" s="860" t="s">
        <v>20</v>
      </c>
      <c r="E384" s="860" t="s">
        <v>2242</v>
      </c>
      <c r="F384" s="860"/>
      <c r="G384" s="861"/>
      <c r="H384" s="1451" t="n">
        <v>64.8</v>
      </c>
      <c r="I384" s="981"/>
      <c r="J384" s="981"/>
      <c r="K384" s="875" t="n">
        <f aca="false">H384*I384/100</f>
        <v>0</v>
      </c>
      <c r="L384" s="982" t="n">
        <v>362</v>
      </c>
      <c r="M384" s="983" t="n">
        <v>1</v>
      </c>
      <c r="N384" s="1301" t="n">
        <f aca="false">L384*M384</f>
        <v>362</v>
      </c>
      <c r="O384" s="1301" t="n">
        <f aca="false">H384*N384</f>
        <v>23457.6</v>
      </c>
      <c r="P384" s="868" t="s">
        <v>2200</v>
      </c>
      <c r="Q384" s="1011" t="s">
        <v>2384</v>
      </c>
      <c r="R384" s="866" t="n">
        <v>23457.6</v>
      </c>
      <c r="S384" s="854" t="n">
        <f aca="false">R384/H384</f>
        <v>362</v>
      </c>
      <c r="T384" s="953" t="n">
        <f aca="false">O384-R384</f>
        <v>0</v>
      </c>
      <c r="U384" s="892" t="n">
        <f aca="false">N384-S384</f>
        <v>0</v>
      </c>
    </row>
    <row r="385" customFormat="false" ht="15" hidden="false" customHeight="true" outlineLevel="0" collapsed="false">
      <c r="A385" s="829"/>
      <c r="B385" s="859" t="s">
        <v>86</v>
      </c>
      <c r="C385" s="859" t="n">
        <v>2024</v>
      </c>
      <c r="D385" s="860" t="s">
        <v>20</v>
      </c>
      <c r="E385" s="860" t="s">
        <v>2203</v>
      </c>
      <c r="F385" s="860"/>
      <c r="G385" s="861"/>
      <c r="H385" s="1451" t="n">
        <v>31.5</v>
      </c>
      <c r="I385" s="981"/>
      <c r="J385" s="981"/>
      <c r="K385" s="875" t="n">
        <f aca="false">H385*I385/100</f>
        <v>0</v>
      </c>
      <c r="L385" s="982" t="n">
        <v>2184</v>
      </c>
      <c r="M385" s="983" t="n">
        <v>1</v>
      </c>
      <c r="N385" s="1301" t="n">
        <f aca="false">L385*M385</f>
        <v>2184</v>
      </c>
      <c r="O385" s="1301" t="n">
        <f aca="false">H385*N385</f>
        <v>68796</v>
      </c>
      <c r="P385" s="868" t="s">
        <v>2200</v>
      </c>
      <c r="Q385" s="1011" t="s">
        <v>2384</v>
      </c>
      <c r="R385" s="866" t="n">
        <v>68796</v>
      </c>
      <c r="S385" s="854" t="n">
        <f aca="false">R385/H385</f>
        <v>2184</v>
      </c>
      <c r="T385" s="953" t="n">
        <f aca="false">O385-R385</f>
        <v>0</v>
      </c>
      <c r="U385" s="892" t="n">
        <f aca="false">N385-S385</f>
        <v>0</v>
      </c>
    </row>
    <row r="386" customFormat="false" ht="15" hidden="false" customHeight="true" outlineLevel="0" collapsed="false">
      <c r="A386" s="829"/>
      <c r="B386" s="859" t="s">
        <v>86</v>
      </c>
      <c r="C386" s="859" t="n">
        <v>2024</v>
      </c>
      <c r="D386" s="860" t="s">
        <v>20</v>
      </c>
      <c r="E386" s="860" t="s">
        <v>2241</v>
      </c>
      <c r="F386" s="860"/>
      <c r="G386" s="861"/>
      <c r="H386" s="1451" t="n">
        <v>11.6</v>
      </c>
      <c r="I386" s="981"/>
      <c r="J386" s="981"/>
      <c r="K386" s="875" t="n">
        <f aca="false">H386*I386/100</f>
        <v>0</v>
      </c>
      <c r="L386" s="982" t="n">
        <v>2438</v>
      </c>
      <c r="M386" s="983" t="n">
        <v>1</v>
      </c>
      <c r="N386" s="1301" t="n">
        <f aca="false">L386*M386</f>
        <v>2438</v>
      </c>
      <c r="O386" s="1301" t="n">
        <f aca="false">H386*N386</f>
        <v>28280.8</v>
      </c>
      <c r="P386" s="868" t="s">
        <v>2204</v>
      </c>
      <c r="Q386" s="1012" t="n">
        <v>22112024</v>
      </c>
      <c r="R386" s="866" t="n">
        <v>28280.8</v>
      </c>
      <c r="S386" s="854" t="n">
        <f aca="false">R386/H386</f>
        <v>2438</v>
      </c>
      <c r="T386" s="953" t="n">
        <f aca="false">O386-R386</f>
        <v>0</v>
      </c>
      <c r="U386" s="892" t="n">
        <f aca="false">N386-S386</f>
        <v>0</v>
      </c>
    </row>
    <row r="387" customFormat="false" ht="15" hidden="false" customHeight="true" outlineLevel="0" collapsed="false">
      <c r="A387" s="829"/>
      <c r="B387" s="893" t="s">
        <v>86</v>
      </c>
      <c r="C387" s="893" t="n">
        <v>2024</v>
      </c>
      <c r="D387" s="843" t="s">
        <v>20</v>
      </c>
      <c r="E387" s="843" t="s">
        <v>2205</v>
      </c>
      <c r="F387" s="843"/>
      <c r="G387" s="894"/>
      <c r="H387" s="1358" t="n">
        <v>2.3</v>
      </c>
      <c r="I387" s="1104"/>
      <c r="J387" s="1104"/>
      <c r="K387" s="897" t="n">
        <f aca="false">H387*I387/100</f>
        <v>0</v>
      </c>
      <c r="L387" s="1105" t="n">
        <v>1285</v>
      </c>
      <c r="M387" s="1106" t="n">
        <v>1</v>
      </c>
      <c r="N387" s="1393" t="n">
        <f aca="false">L387*M387</f>
        <v>1285</v>
      </c>
      <c r="O387" s="1393" t="n">
        <f aca="false">H387*N387</f>
        <v>2955.5</v>
      </c>
      <c r="P387" s="844" t="s">
        <v>2204</v>
      </c>
      <c r="Q387" s="900" t="n">
        <v>22112024</v>
      </c>
      <c r="R387" s="846" t="n">
        <v>2955.5</v>
      </c>
      <c r="S387" s="890" t="n">
        <f aca="false">R387/H387</f>
        <v>1285</v>
      </c>
      <c r="T387" s="1452" t="n">
        <f aca="false">O387-R387</f>
        <v>0</v>
      </c>
      <c r="U387" s="1070" t="n">
        <f aca="false">N387-S387</f>
        <v>0</v>
      </c>
    </row>
    <row r="388" customFormat="false" ht="15" hidden="false" customHeight="true" outlineLevel="0" collapsed="false">
      <c r="A388" s="847" t="n">
        <v>35</v>
      </c>
      <c r="B388" s="847" t="s">
        <v>2230</v>
      </c>
      <c r="C388" s="847" t="n">
        <v>2024</v>
      </c>
      <c r="D388" s="848" t="s">
        <v>20</v>
      </c>
      <c r="E388" s="848" t="s">
        <v>2192</v>
      </c>
      <c r="F388" s="848" t="s">
        <v>1650</v>
      </c>
      <c r="G388" s="849"/>
      <c r="H388" s="1153" t="n">
        <v>89.9586</v>
      </c>
      <c r="I388" s="950"/>
      <c r="J388" s="950"/>
      <c r="K388" s="852" t="n">
        <f aca="false">H388*I388/100</f>
        <v>0</v>
      </c>
      <c r="L388" s="1006" t="n">
        <v>10020</v>
      </c>
      <c r="M388" s="1007" t="n">
        <v>1</v>
      </c>
      <c r="N388" s="1143" t="n">
        <f aca="false">L388*M388</f>
        <v>10020</v>
      </c>
      <c r="O388" s="1386" t="n">
        <f aca="false">H388*N388</f>
        <v>901385.172</v>
      </c>
      <c r="P388" s="856" t="s">
        <v>2197</v>
      </c>
      <c r="Q388" s="1008" t="s">
        <v>2405</v>
      </c>
      <c r="R388" s="854" t="n">
        <v>901385.172</v>
      </c>
      <c r="S388" s="854" t="n">
        <f aca="false">R388/H388</f>
        <v>10020</v>
      </c>
      <c r="T388" s="953" t="n">
        <f aca="false">O388-R388</f>
        <v>0</v>
      </c>
      <c r="U388" s="537" t="n">
        <f aca="false">N388-S388</f>
        <v>0</v>
      </c>
    </row>
    <row r="389" customFormat="false" ht="15" hidden="false" customHeight="true" outlineLevel="0" collapsed="false">
      <c r="A389" s="903" t="n">
        <v>108</v>
      </c>
      <c r="B389" s="903" t="s">
        <v>81</v>
      </c>
      <c r="C389" s="903" t="n">
        <v>2024</v>
      </c>
      <c r="D389" s="904" t="s">
        <v>20</v>
      </c>
      <c r="E389" s="904" t="s">
        <v>2192</v>
      </c>
      <c r="F389" s="904" t="s">
        <v>2199</v>
      </c>
      <c r="G389" s="905"/>
      <c r="H389" s="1154" t="n">
        <v>79.7</v>
      </c>
      <c r="I389" s="947"/>
      <c r="J389" s="947"/>
      <c r="K389" s="939" t="n">
        <f aca="false">H389*I389/100</f>
        <v>0</v>
      </c>
      <c r="L389" s="1022" t="n">
        <v>15420</v>
      </c>
      <c r="M389" s="1023" t="n">
        <v>1</v>
      </c>
      <c r="N389" s="1137" t="n">
        <f aca="false">L389*M389</f>
        <v>15420</v>
      </c>
      <c r="O389" s="1384" t="n">
        <f aca="false">H389*N389</f>
        <v>1228974</v>
      </c>
      <c r="P389" s="910" t="s">
        <v>2200</v>
      </c>
      <c r="Q389" s="1057" t="s">
        <v>2406</v>
      </c>
      <c r="R389" s="891" t="n">
        <v>1228974</v>
      </c>
      <c r="S389" s="877" t="n">
        <f aca="false">R389/H389</f>
        <v>15420</v>
      </c>
      <c r="T389" s="948" t="n">
        <f aca="false">O389-R389</f>
        <v>0</v>
      </c>
      <c r="U389" s="942" t="n">
        <f aca="false">N389-S389</f>
        <v>0</v>
      </c>
    </row>
    <row r="390" customFormat="false" ht="15" hidden="false" customHeight="true" outlineLevel="0" collapsed="false">
      <c r="A390" s="829" t="n">
        <v>91</v>
      </c>
      <c r="B390" s="1453" t="s">
        <v>86</v>
      </c>
      <c r="C390" s="1453" t="n">
        <v>2024</v>
      </c>
      <c r="D390" s="915" t="s">
        <v>20</v>
      </c>
      <c r="E390" s="915" t="s">
        <v>2192</v>
      </c>
      <c r="F390" s="915" t="s">
        <v>1650</v>
      </c>
      <c r="G390" s="1454"/>
      <c r="H390" s="1455" t="n">
        <v>93.1</v>
      </c>
      <c r="I390" s="1456" t="n">
        <v>66</v>
      </c>
      <c r="J390" s="1456"/>
      <c r="K390" s="1457" t="n">
        <f aca="false">H390*I390/100</f>
        <v>61.446</v>
      </c>
      <c r="L390" s="1458" t="n">
        <v>1065</v>
      </c>
      <c r="M390" s="1459" t="n">
        <v>1</v>
      </c>
      <c r="N390" s="1460" t="n">
        <f aca="false">L390*M390</f>
        <v>1065</v>
      </c>
      <c r="O390" s="1461" t="n">
        <f aca="false">H390*N390</f>
        <v>99151.5</v>
      </c>
      <c r="P390" s="1193"/>
      <c r="Q390" s="1462"/>
      <c r="R390" s="1196"/>
      <c r="S390" s="1196"/>
      <c r="T390" s="1463" t="n">
        <f aca="false">O390-R390</f>
        <v>99151.5</v>
      </c>
      <c r="U390" s="1464" t="n">
        <f aca="false">N390-S390</f>
        <v>1065</v>
      </c>
    </row>
    <row r="391" customFormat="false" ht="15" hidden="false" customHeight="true" outlineLevel="0" collapsed="false">
      <c r="A391" s="829"/>
      <c r="B391" s="847" t="s">
        <v>86</v>
      </c>
      <c r="C391" s="847" t="n">
        <v>2024</v>
      </c>
      <c r="D391" s="848" t="s">
        <v>20</v>
      </c>
      <c r="E391" s="848" t="s">
        <v>2203</v>
      </c>
      <c r="F391" s="848"/>
      <c r="G391" s="849"/>
      <c r="H391" s="1153" t="n">
        <v>41.8</v>
      </c>
      <c r="I391" s="950"/>
      <c r="J391" s="950"/>
      <c r="K391" s="852" t="n">
        <f aca="false">H391*I391/100</f>
        <v>0</v>
      </c>
      <c r="L391" s="1006" t="n">
        <v>58</v>
      </c>
      <c r="M391" s="1007" t="n">
        <v>1</v>
      </c>
      <c r="N391" s="1143" t="n">
        <f aca="false">L391*M391</f>
        <v>58</v>
      </c>
      <c r="O391" s="1386" t="n">
        <f aca="false">H391*N391</f>
        <v>2424.4</v>
      </c>
      <c r="P391" s="856" t="s">
        <v>2200</v>
      </c>
      <c r="Q391" s="1008" t="s">
        <v>2384</v>
      </c>
      <c r="R391" s="854" t="n">
        <v>2424.4</v>
      </c>
      <c r="S391" s="866" t="n">
        <f aca="false">R391/H391</f>
        <v>58</v>
      </c>
      <c r="T391" s="953" t="n">
        <f aca="false">O391-R391</f>
        <v>0</v>
      </c>
      <c r="U391" s="892" t="n">
        <f aca="false">N391-S391</f>
        <v>0</v>
      </c>
    </row>
    <row r="392" customFormat="false" ht="15" hidden="false" customHeight="true" outlineLevel="0" collapsed="false">
      <c r="A392" s="829"/>
      <c r="B392" s="847" t="s">
        <v>86</v>
      </c>
      <c r="C392" s="847" t="n">
        <v>2024</v>
      </c>
      <c r="D392" s="848" t="s">
        <v>20</v>
      </c>
      <c r="E392" s="848" t="s">
        <v>2241</v>
      </c>
      <c r="F392" s="848"/>
      <c r="G392" s="849"/>
      <c r="H392" s="1153" t="n">
        <v>0</v>
      </c>
      <c r="I392" s="950"/>
      <c r="J392" s="950"/>
      <c r="K392" s="852" t="n">
        <f aca="false">H392*I392/100</f>
        <v>0</v>
      </c>
      <c r="L392" s="1006" t="n">
        <v>75</v>
      </c>
      <c r="M392" s="1007" t="n">
        <v>1</v>
      </c>
      <c r="N392" s="1143" t="n">
        <f aca="false">L392*M392</f>
        <v>75</v>
      </c>
      <c r="O392" s="1386" t="n">
        <f aca="false">H392*N392</f>
        <v>0</v>
      </c>
      <c r="P392" s="856" t="s">
        <v>2204</v>
      </c>
      <c r="Q392" s="1436" t="n">
        <v>31012025</v>
      </c>
      <c r="R392" s="854"/>
      <c r="S392" s="854" t="n">
        <v>75</v>
      </c>
      <c r="T392" s="953" t="n">
        <f aca="false">O392-R392</f>
        <v>0</v>
      </c>
      <c r="U392" s="892" t="n">
        <f aca="false">N392-S392</f>
        <v>0</v>
      </c>
    </row>
    <row r="393" customFormat="false" ht="15" hidden="false" customHeight="true" outlineLevel="0" collapsed="false">
      <c r="A393" s="829"/>
      <c r="B393" s="1072" t="s">
        <v>86</v>
      </c>
      <c r="C393" s="1072" t="n">
        <v>2024</v>
      </c>
      <c r="D393" s="887" t="s">
        <v>20</v>
      </c>
      <c r="E393" s="887" t="s">
        <v>2205</v>
      </c>
      <c r="F393" s="887"/>
      <c r="G393" s="1062"/>
      <c r="H393" s="1171" t="n">
        <v>0</v>
      </c>
      <c r="I393" s="1086"/>
      <c r="J393" s="1086"/>
      <c r="K393" s="1064" t="n">
        <f aca="false">H393*I393/100</f>
        <v>0</v>
      </c>
      <c r="L393" s="1065" t="n">
        <v>127</v>
      </c>
      <c r="M393" s="1066" t="n">
        <v>1</v>
      </c>
      <c r="N393" s="1082" t="n">
        <f aca="false">L393*M393</f>
        <v>127</v>
      </c>
      <c r="O393" s="1394" t="n">
        <f aca="false">H393*N393</f>
        <v>0</v>
      </c>
      <c r="P393" s="888" t="s">
        <v>2204</v>
      </c>
      <c r="Q393" s="1320" t="n">
        <v>31012025</v>
      </c>
      <c r="R393" s="890"/>
      <c r="S393" s="890" t="n">
        <v>127</v>
      </c>
      <c r="T393" s="1452" t="n">
        <f aca="false">O393-R393</f>
        <v>0</v>
      </c>
      <c r="U393" s="1070" t="n">
        <f aca="false">N393-S393</f>
        <v>0</v>
      </c>
    </row>
    <row r="394" customFormat="false" ht="15" hidden="false" customHeight="true" outlineLevel="0" collapsed="false">
      <c r="A394" s="1465" t="n">
        <v>93</v>
      </c>
      <c r="B394" s="1173" t="s">
        <v>86</v>
      </c>
      <c r="C394" s="1173" t="n">
        <v>2024</v>
      </c>
      <c r="D394" s="831" t="s">
        <v>20</v>
      </c>
      <c r="E394" s="831" t="s">
        <v>2192</v>
      </c>
      <c r="F394" s="831" t="s">
        <v>1650</v>
      </c>
      <c r="G394" s="1108"/>
      <c r="H394" s="1174" t="n">
        <v>92.9</v>
      </c>
      <c r="I394" s="1110"/>
      <c r="J394" s="1110"/>
      <c r="K394" s="1111" t="n">
        <f aca="false">H394*I394/100</f>
        <v>0</v>
      </c>
      <c r="L394" s="1112" t="n">
        <v>10222</v>
      </c>
      <c r="M394" s="1113" t="n">
        <v>1</v>
      </c>
      <c r="N394" s="1408" t="n">
        <f aca="false">L394*M394</f>
        <v>10222</v>
      </c>
      <c r="O394" s="1409" t="n">
        <f aca="false">H394*N394</f>
        <v>949623.8</v>
      </c>
      <c r="P394" s="838" t="s">
        <v>2232</v>
      </c>
      <c r="Q394" s="1004" t="s">
        <v>2407</v>
      </c>
      <c r="R394" s="840" t="n">
        <v>949623.8</v>
      </c>
      <c r="S394" s="886" t="n">
        <f aca="false">R394/H394</f>
        <v>10222</v>
      </c>
      <c r="T394" s="1181" t="n">
        <f aca="false">O394-R394</f>
        <v>0</v>
      </c>
      <c r="U394" s="1176" t="n">
        <f aca="false">N394-S394</f>
        <v>0</v>
      </c>
    </row>
    <row r="395" customFormat="false" ht="15" hidden="false" customHeight="true" outlineLevel="0" collapsed="false">
      <c r="A395" s="1465"/>
      <c r="B395" s="847" t="s">
        <v>86</v>
      </c>
      <c r="C395" s="847" t="n">
        <v>2024</v>
      </c>
      <c r="D395" s="848" t="s">
        <v>20</v>
      </c>
      <c r="E395" s="848" t="s">
        <v>2203</v>
      </c>
      <c r="F395" s="848"/>
      <c r="G395" s="849"/>
      <c r="H395" s="1153" t="n">
        <v>62.6</v>
      </c>
      <c r="I395" s="950"/>
      <c r="J395" s="950"/>
      <c r="K395" s="852" t="n">
        <f aca="false">H395*I395/100</f>
        <v>0</v>
      </c>
      <c r="L395" s="1006" t="n">
        <v>3750</v>
      </c>
      <c r="M395" s="1007" t="n">
        <v>1</v>
      </c>
      <c r="N395" s="1143" t="n">
        <f aca="false">L395*M395</f>
        <v>3750</v>
      </c>
      <c r="O395" s="1386" t="n">
        <f aca="false">H395*N395</f>
        <v>234750</v>
      </c>
      <c r="P395" s="856" t="s">
        <v>2200</v>
      </c>
      <c r="Q395" s="1008" t="s">
        <v>2384</v>
      </c>
      <c r="R395" s="854" t="n">
        <v>234750</v>
      </c>
      <c r="S395" s="866" t="n">
        <f aca="false">R395/H395</f>
        <v>3750</v>
      </c>
      <c r="T395" s="953" t="n">
        <f aca="false">O395-R395</f>
        <v>0</v>
      </c>
      <c r="U395" s="892" t="n">
        <f aca="false">N395-S395</f>
        <v>0</v>
      </c>
    </row>
    <row r="396" customFormat="false" ht="15" hidden="false" customHeight="true" outlineLevel="0" collapsed="false">
      <c r="A396" s="1465"/>
      <c r="B396" s="847" t="s">
        <v>86</v>
      </c>
      <c r="C396" s="847" t="n">
        <v>2024</v>
      </c>
      <c r="D396" s="848" t="s">
        <v>20</v>
      </c>
      <c r="E396" s="848" t="s">
        <v>2241</v>
      </c>
      <c r="F396" s="848"/>
      <c r="G396" s="849"/>
      <c r="H396" s="1153" t="n">
        <v>18.6</v>
      </c>
      <c r="I396" s="950"/>
      <c r="J396" s="950"/>
      <c r="K396" s="852" t="n">
        <f aca="false">H396*I396/100</f>
        <v>0</v>
      </c>
      <c r="L396" s="1006" t="n">
        <v>624</v>
      </c>
      <c r="M396" s="1007" t="n">
        <v>1</v>
      </c>
      <c r="N396" s="1143" t="n">
        <f aca="false">L396*M396</f>
        <v>624</v>
      </c>
      <c r="O396" s="1386" t="n">
        <f aca="false">H396*N396</f>
        <v>11606.4</v>
      </c>
      <c r="P396" s="856" t="s">
        <v>2200</v>
      </c>
      <c r="Q396" s="1008" t="s">
        <v>2384</v>
      </c>
      <c r="R396" s="854" t="n">
        <v>11606.4</v>
      </c>
      <c r="S396" s="866" t="n">
        <f aca="false">R396/H396</f>
        <v>624</v>
      </c>
      <c r="T396" s="953" t="n">
        <f aca="false">O396-R396</f>
        <v>0</v>
      </c>
      <c r="U396" s="892" t="n">
        <f aca="false">N396-S396</f>
        <v>0</v>
      </c>
    </row>
    <row r="397" customFormat="false" ht="15" hidden="false" customHeight="true" outlineLevel="0" collapsed="false">
      <c r="A397" s="1465"/>
      <c r="B397" s="903" t="s">
        <v>86</v>
      </c>
      <c r="C397" s="903" t="n">
        <v>2024</v>
      </c>
      <c r="D397" s="904" t="s">
        <v>20</v>
      </c>
      <c r="E397" s="904" t="s">
        <v>2205</v>
      </c>
      <c r="F397" s="904"/>
      <c r="G397" s="905"/>
      <c r="H397" s="1154" t="n">
        <v>0</v>
      </c>
      <c r="I397" s="947"/>
      <c r="J397" s="947"/>
      <c r="K397" s="939" t="n">
        <f aca="false">H397*I397/100</f>
        <v>0</v>
      </c>
      <c r="L397" s="1022" t="n">
        <v>751</v>
      </c>
      <c r="M397" s="1023" t="n">
        <v>1</v>
      </c>
      <c r="N397" s="1137" t="n">
        <f aca="false">L397*M397</f>
        <v>751</v>
      </c>
      <c r="O397" s="1384" t="n">
        <f aca="false">H397*N397</f>
        <v>0</v>
      </c>
      <c r="P397" s="910" t="s">
        <v>2204</v>
      </c>
      <c r="Q397" s="1024" t="n">
        <v>31012025</v>
      </c>
      <c r="R397" s="891"/>
      <c r="S397" s="877" t="n">
        <v>751</v>
      </c>
      <c r="T397" s="948" t="n">
        <f aca="false">O397-R397</f>
        <v>0</v>
      </c>
      <c r="U397" s="1026" t="n">
        <f aca="false">N397-S397</f>
        <v>0</v>
      </c>
    </row>
    <row r="398" customFormat="false" ht="15" hidden="false" customHeight="true" outlineLevel="0" collapsed="false">
      <c r="A398" s="1465" t="n">
        <v>155</v>
      </c>
      <c r="B398" s="1453" t="s">
        <v>86</v>
      </c>
      <c r="C398" s="1453" t="n">
        <v>2024</v>
      </c>
      <c r="D398" s="915" t="s">
        <v>20</v>
      </c>
      <c r="E398" s="915" t="s">
        <v>2192</v>
      </c>
      <c r="F398" s="915" t="s">
        <v>2199</v>
      </c>
      <c r="G398" s="1454"/>
      <c r="H398" s="1455" t="n">
        <v>71.9</v>
      </c>
      <c r="I398" s="1456"/>
      <c r="J398" s="1456"/>
      <c r="K398" s="1457" t="n">
        <f aca="false">H398*I398/100</f>
        <v>0</v>
      </c>
      <c r="L398" s="1458" t="n">
        <v>10628</v>
      </c>
      <c r="M398" s="1459" t="n">
        <v>1</v>
      </c>
      <c r="N398" s="1460" t="n">
        <f aca="false">L398*M398</f>
        <v>10628</v>
      </c>
      <c r="O398" s="1461" t="n">
        <f aca="false">H398*N398</f>
        <v>764153.2</v>
      </c>
      <c r="P398" s="1193"/>
      <c r="Q398" s="1466"/>
      <c r="R398" s="1196"/>
      <c r="S398" s="1196"/>
      <c r="T398" s="1463" t="n">
        <f aca="false">O398-R398</f>
        <v>764153.2</v>
      </c>
      <c r="U398" s="1464" t="n">
        <f aca="false">N398-S398</f>
        <v>10628</v>
      </c>
    </row>
    <row r="399" customFormat="false" ht="15" hidden="false" customHeight="true" outlineLevel="0" collapsed="false">
      <c r="A399" s="1465"/>
      <c r="B399" s="1155" t="s">
        <v>86</v>
      </c>
      <c r="C399" s="1155" t="n">
        <v>2024</v>
      </c>
      <c r="D399" s="1156" t="s">
        <v>20</v>
      </c>
      <c r="E399" s="1156" t="s">
        <v>2203</v>
      </c>
      <c r="F399" s="1156"/>
      <c r="G399" s="1157"/>
      <c r="H399" s="1158" t="n">
        <v>0</v>
      </c>
      <c r="I399" s="1159"/>
      <c r="J399" s="1159"/>
      <c r="K399" s="1160" t="n">
        <f aca="false">H399*I399/100</f>
        <v>0</v>
      </c>
      <c r="L399" s="1161" t="n">
        <v>2994</v>
      </c>
      <c r="M399" s="1162" t="n">
        <v>1</v>
      </c>
      <c r="N399" s="1321" t="n">
        <f aca="false">L399*M399</f>
        <v>2994</v>
      </c>
      <c r="O399" s="1391" t="n">
        <f aca="false">H399*N399</f>
        <v>0</v>
      </c>
      <c r="P399" s="1165"/>
      <c r="Q399" s="1467"/>
      <c r="R399" s="1168"/>
      <c r="S399" s="1168"/>
      <c r="T399" s="1468" t="n">
        <f aca="false">O399-R399</f>
        <v>0</v>
      </c>
      <c r="U399" s="1238" t="n">
        <f aca="false">N399-S399</f>
        <v>2994</v>
      </c>
    </row>
    <row r="400" customFormat="false" ht="15" hidden="false" customHeight="true" outlineLevel="0" collapsed="false">
      <c r="A400" s="1465"/>
      <c r="B400" s="1155" t="s">
        <v>86</v>
      </c>
      <c r="C400" s="1155" t="n">
        <v>2024</v>
      </c>
      <c r="D400" s="1156" t="s">
        <v>20</v>
      </c>
      <c r="E400" s="1156" t="s">
        <v>2241</v>
      </c>
      <c r="F400" s="1156"/>
      <c r="G400" s="1157"/>
      <c r="H400" s="1158" t="n">
        <v>36.9</v>
      </c>
      <c r="I400" s="1159"/>
      <c r="J400" s="1159"/>
      <c r="K400" s="1160" t="n">
        <f aca="false">H400*I400/100</f>
        <v>0</v>
      </c>
      <c r="L400" s="1161" t="n">
        <v>1096</v>
      </c>
      <c r="M400" s="1162" t="n">
        <v>1</v>
      </c>
      <c r="N400" s="1321" t="n">
        <f aca="false">L400*M400</f>
        <v>1096</v>
      </c>
      <c r="O400" s="1391" t="n">
        <f aca="false">H400*N400</f>
        <v>40442.4</v>
      </c>
      <c r="P400" s="1165"/>
      <c r="Q400" s="1467"/>
      <c r="R400" s="1168"/>
      <c r="S400" s="1168"/>
      <c r="T400" s="1468" t="n">
        <f aca="false">O400-R400</f>
        <v>40442.4</v>
      </c>
      <c r="U400" s="1238" t="n">
        <f aca="false">N400-S400</f>
        <v>1096</v>
      </c>
    </row>
    <row r="401" customFormat="false" ht="15" hidden="false" customHeight="true" outlineLevel="0" collapsed="false">
      <c r="A401" s="1465"/>
      <c r="B401" s="1229" t="s">
        <v>86</v>
      </c>
      <c r="C401" s="1229" t="n">
        <v>2024</v>
      </c>
      <c r="D401" s="1230" t="s">
        <v>20</v>
      </c>
      <c r="E401" s="1230" t="s">
        <v>2205</v>
      </c>
      <c r="F401" s="1230"/>
      <c r="G401" s="1231"/>
      <c r="H401" s="1469" t="n">
        <v>0</v>
      </c>
      <c r="I401" s="1233"/>
      <c r="J401" s="1233"/>
      <c r="K401" s="1332" t="n">
        <f aca="false">H401*I401/100</f>
        <v>0</v>
      </c>
      <c r="L401" s="1234" t="n">
        <v>5953</v>
      </c>
      <c r="M401" s="1235" t="n">
        <v>1</v>
      </c>
      <c r="N401" s="1333" t="n">
        <f aca="false">L401*M401</f>
        <v>5953</v>
      </c>
      <c r="O401" s="1470" t="n">
        <f aca="false">H401*N401</f>
        <v>0</v>
      </c>
      <c r="P401" s="1236"/>
      <c r="Q401" s="1471"/>
      <c r="R401" s="1177"/>
      <c r="S401" s="1177"/>
      <c r="T401" s="1472" t="n">
        <f aca="false">O401-R401</f>
        <v>0</v>
      </c>
      <c r="U401" s="1271" t="n">
        <f aca="false">N401-S401</f>
        <v>5953</v>
      </c>
    </row>
    <row r="402" customFormat="false" ht="15" hidden="false" customHeight="true" outlineLevel="0" collapsed="false">
      <c r="A402" s="1414" t="n">
        <v>2</v>
      </c>
      <c r="B402" s="1414" t="s">
        <v>2191</v>
      </c>
      <c r="C402" s="1414" t="n">
        <v>2025</v>
      </c>
      <c r="D402" s="1415" t="s">
        <v>20</v>
      </c>
      <c r="E402" s="1415" t="s">
        <v>2192</v>
      </c>
      <c r="F402" s="1415" t="s">
        <v>1652</v>
      </c>
      <c r="G402" s="1416"/>
      <c r="H402" s="1473" t="n">
        <v>38.29</v>
      </c>
      <c r="I402" s="1418"/>
      <c r="J402" s="1418"/>
      <c r="K402" s="1419" t="n">
        <f aca="false">H402*I402/100</f>
        <v>0</v>
      </c>
      <c r="L402" s="1420" t="n">
        <v>8302</v>
      </c>
      <c r="M402" s="1421" t="n">
        <v>1</v>
      </c>
      <c r="N402" s="1427" t="n">
        <f aca="false">L402*M402</f>
        <v>8302</v>
      </c>
      <c r="O402" s="1428" t="n">
        <f aca="false">H402*N402</f>
        <v>317883.58</v>
      </c>
      <c r="P402" s="1423"/>
      <c r="Q402" s="1474"/>
      <c r="R402" s="1426"/>
      <c r="S402" s="1426"/>
      <c r="T402" s="1422" t="n">
        <f aca="false">O402-R402</f>
        <v>317883.58</v>
      </c>
      <c r="U402" s="552" t="n">
        <f aca="false">N402-S402</f>
        <v>8302</v>
      </c>
    </row>
    <row r="403" customFormat="false" ht="15" hidden="false" customHeight="true" outlineLevel="0" collapsed="false">
      <c r="A403" s="859"/>
      <c r="B403" s="859"/>
      <c r="C403" s="859"/>
      <c r="D403" s="860"/>
      <c r="E403" s="860"/>
      <c r="F403" s="860"/>
      <c r="G403" s="861"/>
      <c r="H403" s="862"/>
      <c r="I403" s="1475"/>
      <c r="J403" s="1475"/>
      <c r="K403" s="1476"/>
      <c r="L403" s="1299"/>
      <c r="M403" s="1300"/>
      <c r="N403" s="1299"/>
      <c r="O403" s="1299"/>
      <c r="P403" s="868"/>
      <c r="Q403" s="869"/>
      <c r="R403" s="866"/>
      <c r="S403" s="866"/>
      <c r="T403" s="543"/>
      <c r="U403" s="543"/>
    </row>
    <row r="404" customFormat="false" ht="14.25" hidden="false" customHeight="false" outlineLevel="0" collapsed="false">
      <c r="A404" s="969" t="n">
        <v>2</v>
      </c>
      <c r="B404" s="969" t="s">
        <v>86</v>
      </c>
      <c r="C404" s="969" t="n">
        <v>2021</v>
      </c>
      <c r="D404" s="929" t="s">
        <v>12</v>
      </c>
      <c r="E404" s="929" t="s">
        <v>2192</v>
      </c>
      <c r="F404" s="1477" t="s">
        <v>1650</v>
      </c>
      <c r="G404" s="970"/>
      <c r="H404" s="1294" t="n">
        <v>92</v>
      </c>
      <c r="I404" s="1431" t="n">
        <v>42</v>
      </c>
      <c r="J404" s="1431"/>
      <c r="K404" s="1296" t="n">
        <f aca="false">H404*I404/100</f>
        <v>38.64</v>
      </c>
      <c r="L404" s="1297" t="n">
        <v>506.454</v>
      </c>
      <c r="M404" s="975" t="n">
        <v>11</v>
      </c>
      <c r="N404" s="1297" t="n">
        <f aca="false">L404*M404</f>
        <v>5570.994</v>
      </c>
      <c r="O404" s="1297" t="n">
        <f aca="false">H404*N404</f>
        <v>512531.448</v>
      </c>
      <c r="P404" s="930"/>
      <c r="Q404" s="931"/>
      <c r="R404" s="933"/>
      <c r="S404" s="933"/>
      <c r="T404" s="979" t="n">
        <f aca="false">O404-R404</f>
        <v>512531.448</v>
      </c>
      <c r="U404" s="979" t="n">
        <f aca="false">N404-S404</f>
        <v>5570.994</v>
      </c>
    </row>
    <row r="405" customFormat="false" ht="14.25" hidden="false" customHeight="false" outlineLevel="0" collapsed="false">
      <c r="A405" s="870" t="n">
        <v>87</v>
      </c>
      <c r="B405" s="870" t="s">
        <v>2230</v>
      </c>
      <c r="C405" s="870" t="n">
        <v>2022</v>
      </c>
      <c r="D405" s="871" t="s">
        <v>12</v>
      </c>
      <c r="E405" s="871" t="s">
        <v>2192</v>
      </c>
      <c r="F405" s="1478" t="s">
        <v>2199</v>
      </c>
      <c r="G405" s="872"/>
      <c r="H405" s="873" t="n">
        <v>48</v>
      </c>
      <c r="I405" s="1433" t="n">
        <v>77</v>
      </c>
      <c r="J405" s="1433"/>
      <c r="K405" s="864" t="n">
        <f aca="false">H405*I405/100</f>
        <v>36.96</v>
      </c>
      <c r="L405" s="1301" t="n">
        <v>2262</v>
      </c>
      <c r="M405" s="1000" t="n">
        <v>1</v>
      </c>
      <c r="N405" s="1299" t="n">
        <f aca="false">L405*M405</f>
        <v>2262</v>
      </c>
      <c r="O405" s="1348" t="n">
        <f aca="false">H405*N405</f>
        <v>108576</v>
      </c>
      <c r="P405" s="879" t="s">
        <v>2195</v>
      </c>
      <c r="Q405" s="880" t="s">
        <v>1375</v>
      </c>
      <c r="R405" s="877" t="n">
        <v>108576</v>
      </c>
      <c r="S405" s="877" t="n">
        <f aca="false">R405/H405</f>
        <v>2262</v>
      </c>
      <c r="T405" s="543" t="n">
        <f aca="false">O405-R405</f>
        <v>0</v>
      </c>
      <c r="U405" s="543" t="n">
        <f aca="false">N405-S405</f>
        <v>0</v>
      </c>
    </row>
    <row r="406" customFormat="false" ht="14.25" hidden="false" customHeight="false" outlineLevel="0" collapsed="false">
      <c r="A406" s="870" t="n">
        <v>204</v>
      </c>
      <c r="B406" s="870" t="s">
        <v>2191</v>
      </c>
      <c r="C406" s="870" t="n">
        <v>2022</v>
      </c>
      <c r="D406" s="871" t="s">
        <v>12</v>
      </c>
      <c r="E406" s="871" t="s">
        <v>2192</v>
      </c>
      <c r="F406" s="1478" t="s">
        <v>1651</v>
      </c>
      <c r="G406" s="872"/>
      <c r="H406" s="873" t="n">
        <v>18</v>
      </c>
      <c r="I406" s="875"/>
      <c r="J406" s="875"/>
      <c r="K406" s="875" t="n">
        <f aca="false">H406*I406/100</f>
        <v>0</v>
      </c>
      <c r="L406" s="1301" t="n">
        <v>8</v>
      </c>
      <c r="M406" s="1000" t="n">
        <v>15</v>
      </c>
      <c r="N406" s="1301" t="n">
        <f aca="false">L406*M406</f>
        <v>120</v>
      </c>
      <c r="O406" s="1301" t="n">
        <f aca="false">H406*N406</f>
        <v>2160</v>
      </c>
      <c r="P406" s="879" t="s">
        <v>2193</v>
      </c>
      <c r="Q406" s="880" t="s">
        <v>2408</v>
      </c>
      <c r="R406" s="877" t="n">
        <v>2160</v>
      </c>
      <c r="S406" s="877" t="n">
        <f aca="false">R406/H406</f>
        <v>120</v>
      </c>
      <c r="T406" s="553" t="n">
        <f aca="false">O406-R406</f>
        <v>0</v>
      </c>
      <c r="U406" s="553" t="n">
        <f aca="false">N406-S406</f>
        <v>0</v>
      </c>
    </row>
    <row r="407" customFormat="false" ht="14.25" hidden="false" customHeight="false" outlineLevel="0" collapsed="false">
      <c r="A407" s="829" t="n">
        <v>237</v>
      </c>
      <c r="B407" s="830" t="s">
        <v>2191</v>
      </c>
      <c r="C407" s="830" t="n">
        <v>2022</v>
      </c>
      <c r="D407" s="831" t="s">
        <v>12</v>
      </c>
      <c r="E407" s="831" t="s">
        <v>2192</v>
      </c>
      <c r="F407" s="832" t="s">
        <v>1651</v>
      </c>
      <c r="G407" s="833"/>
      <c r="H407" s="834" t="n">
        <v>18</v>
      </c>
      <c r="I407" s="1020"/>
      <c r="J407" s="1020"/>
      <c r="K407" s="836" t="n">
        <f aca="false">H407*I407/100</f>
        <v>0</v>
      </c>
      <c r="L407" s="837" t="n">
        <v>38</v>
      </c>
      <c r="M407" s="1003" t="n">
        <v>15</v>
      </c>
      <c r="N407" s="837" t="n">
        <f aca="false">L407*M407</f>
        <v>570</v>
      </c>
      <c r="O407" s="837" t="n">
        <f aca="false">H407*N407</f>
        <v>10260</v>
      </c>
      <c r="P407" s="838" t="s">
        <v>2193</v>
      </c>
      <c r="Q407" s="839" t="s">
        <v>2409</v>
      </c>
      <c r="R407" s="840" t="n">
        <v>3240</v>
      </c>
      <c r="S407" s="840" t="n">
        <f aca="false">R407/H407</f>
        <v>180</v>
      </c>
      <c r="T407" s="837" t="n">
        <f aca="false">O407-R407-R408</f>
        <v>0</v>
      </c>
      <c r="U407" s="842" t="n">
        <f aca="false">N407-S407-S408</f>
        <v>0</v>
      </c>
    </row>
    <row r="408" customFormat="false" ht="14.25" hidden="false" customHeight="false" outlineLevel="0" collapsed="false">
      <c r="A408" s="829"/>
      <c r="B408" s="830"/>
      <c r="C408" s="830"/>
      <c r="D408" s="843" t="s">
        <v>12</v>
      </c>
      <c r="E408" s="843" t="s">
        <v>2192</v>
      </c>
      <c r="F408" s="832"/>
      <c r="G408" s="833"/>
      <c r="H408" s="834"/>
      <c r="I408" s="1020"/>
      <c r="J408" s="1020"/>
      <c r="K408" s="836"/>
      <c r="L408" s="837"/>
      <c r="M408" s="1003"/>
      <c r="N408" s="837"/>
      <c r="O408" s="837"/>
      <c r="P408" s="844" t="s">
        <v>2193</v>
      </c>
      <c r="Q408" s="845" t="s">
        <v>2408</v>
      </c>
      <c r="R408" s="846" t="n">
        <v>7020</v>
      </c>
      <c r="S408" s="846" t="n">
        <f aca="false">R408/H407</f>
        <v>390</v>
      </c>
      <c r="T408" s="837"/>
      <c r="U408" s="842"/>
    </row>
    <row r="409" customFormat="false" ht="14.25" hidden="false" customHeight="false" outlineLevel="0" collapsed="false">
      <c r="A409" s="903" t="n">
        <v>315</v>
      </c>
      <c r="B409" s="903" t="s">
        <v>2191</v>
      </c>
      <c r="C409" s="903" t="n">
        <v>2022</v>
      </c>
      <c r="D409" s="904" t="s">
        <v>12</v>
      </c>
      <c r="E409" s="904" t="s">
        <v>2192</v>
      </c>
      <c r="F409" s="1351" t="s">
        <v>2131</v>
      </c>
      <c r="G409" s="905"/>
      <c r="H409" s="906" t="n">
        <v>60</v>
      </c>
      <c r="I409" s="939"/>
      <c r="J409" s="939"/>
      <c r="K409" s="939" t="n">
        <f aca="false">H409*I409/100</f>
        <v>0</v>
      </c>
      <c r="L409" s="1137" t="n">
        <v>2</v>
      </c>
      <c r="M409" s="1023" t="n">
        <v>25</v>
      </c>
      <c r="N409" s="1137" t="n">
        <f aca="false">L409*M409</f>
        <v>50</v>
      </c>
      <c r="O409" s="1137" t="n">
        <f aca="false">H409*N409</f>
        <v>3000</v>
      </c>
      <c r="P409" s="910" t="s">
        <v>2200</v>
      </c>
      <c r="Q409" s="911" t="s">
        <v>2410</v>
      </c>
      <c r="R409" s="891" t="n">
        <v>3000</v>
      </c>
      <c r="S409" s="877" t="n">
        <f aca="false">R409/H409</f>
        <v>50</v>
      </c>
      <c r="T409" s="942" t="n">
        <f aca="false">O409-R409</f>
        <v>0</v>
      </c>
      <c r="U409" s="942" t="n">
        <f aca="false">N409-S409</f>
        <v>0</v>
      </c>
    </row>
    <row r="410" customFormat="false" ht="14.25" hidden="false" customHeight="false" outlineLevel="0" collapsed="false">
      <c r="A410" s="829" t="n">
        <v>247</v>
      </c>
      <c r="B410" s="830" t="s">
        <v>2191</v>
      </c>
      <c r="C410" s="830" t="n">
        <v>2022</v>
      </c>
      <c r="D410" s="831" t="s">
        <v>12</v>
      </c>
      <c r="E410" s="831" t="s">
        <v>2192</v>
      </c>
      <c r="F410" s="832" t="s">
        <v>1651</v>
      </c>
      <c r="G410" s="833"/>
      <c r="H410" s="834" t="n">
        <v>18</v>
      </c>
      <c r="I410" s="1020"/>
      <c r="J410" s="1020"/>
      <c r="K410" s="836" t="n">
        <f aca="false">H410*I410/100</f>
        <v>0</v>
      </c>
      <c r="L410" s="837" t="n">
        <v>49</v>
      </c>
      <c r="M410" s="1003" t="n">
        <v>15</v>
      </c>
      <c r="N410" s="837" t="n">
        <f aca="false">L410*M410</f>
        <v>735</v>
      </c>
      <c r="O410" s="837" t="n">
        <f aca="false">H410*N410</f>
        <v>13230</v>
      </c>
      <c r="P410" s="838" t="s">
        <v>2193</v>
      </c>
      <c r="Q410" s="839" t="s">
        <v>2409</v>
      </c>
      <c r="R410" s="840" t="n">
        <v>4590</v>
      </c>
      <c r="S410" s="840" t="n">
        <f aca="false">R410/H410</f>
        <v>255</v>
      </c>
      <c r="T410" s="837" t="n">
        <f aca="false">O410-R410-R411</f>
        <v>0</v>
      </c>
      <c r="U410" s="842" t="n">
        <f aca="false">N410-S410-S411</f>
        <v>0</v>
      </c>
    </row>
    <row r="411" customFormat="false" ht="14.25" hidden="false" customHeight="false" outlineLevel="0" collapsed="false">
      <c r="A411" s="829"/>
      <c r="B411" s="830"/>
      <c r="C411" s="830"/>
      <c r="D411" s="843" t="s">
        <v>12</v>
      </c>
      <c r="E411" s="843" t="s">
        <v>2192</v>
      </c>
      <c r="F411" s="832"/>
      <c r="G411" s="833"/>
      <c r="H411" s="834"/>
      <c r="I411" s="1020"/>
      <c r="J411" s="1020"/>
      <c r="K411" s="836"/>
      <c r="L411" s="837"/>
      <c r="M411" s="1003"/>
      <c r="N411" s="837"/>
      <c r="O411" s="837"/>
      <c r="P411" s="844" t="s">
        <v>2193</v>
      </c>
      <c r="Q411" s="845" t="s">
        <v>2408</v>
      </c>
      <c r="R411" s="846" t="n">
        <v>8640</v>
      </c>
      <c r="S411" s="846" t="n">
        <f aca="false">R411/H410</f>
        <v>480</v>
      </c>
      <c r="T411" s="837"/>
      <c r="U411" s="842"/>
    </row>
    <row r="412" customFormat="false" ht="14.25" hidden="false" customHeight="false" outlineLevel="0" collapsed="false">
      <c r="A412" s="847" t="n">
        <v>334</v>
      </c>
      <c r="B412" s="847" t="s">
        <v>2191</v>
      </c>
      <c r="C412" s="847" t="n">
        <v>2022</v>
      </c>
      <c r="D412" s="848" t="s">
        <v>12</v>
      </c>
      <c r="E412" s="848" t="s">
        <v>2192</v>
      </c>
      <c r="F412" s="1479" t="s">
        <v>1651</v>
      </c>
      <c r="G412" s="849"/>
      <c r="H412" s="850" t="n">
        <v>18</v>
      </c>
      <c r="I412" s="852"/>
      <c r="J412" s="852"/>
      <c r="K412" s="852" t="n">
        <f aca="false">H412*I412/100</f>
        <v>0</v>
      </c>
      <c r="L412" s="1143" t="n">
        <v>13</v>
      </c>
      <c r="M412" s="1007" t="n">
        <v>15</v>
      </c>
      <c r="N412" s="1143" t="n">
        <f aca="false">L412*M412</f>
        <v>195</v>
      </c>
      <c r="O412" s="1143" t="n">
        <f aca="false">H412*N412</f>
        <v>3510</v>
      </c>
      <c r="P412" s="856" t="s">
        <v>2193</v>
      </c>
      <c r="Q412" s="857" t="s">
        <v>2408</v>
      </c>
      <c r="R412" s="854" t="n">
        <v>3510</v>
      </c>
      <c r="S412" s="866" t="n">
        <f aca="false">R412/H412</f>
        <v>195</v>
      </c>
      <c r="T412" s="537" t="n">
        <f aca="false">O412-R412</f>
        <v>0</v>
      </c>
      <c r="U412" s="537" t="n">
        <f aca="false">N412-S412</f>
        <v>0</v>
      </c>
    </row>
    <row r="413" customFormat="false" ht="14.25" hidden="false" customHeight="false" outlineLevel="0" collapsed="false">
      <c r="A413" s="859" t="n">
        <v>335</v>
      </c>
      <c r="B413" s="859" t="s">
        <v>2191</v>
      </c>
      <c r="C413" s="859" t="n">
        <v>2022</v>
      </c>
      <c r="D413" s="860" t="s">
        <v>12</v>
      </c>
      <c r="E413" s="860" t="s">
        <v>2192</v>
      </c>
      <c r="F413" s="1480" t="s">
        <v>1651</v>
      </c>
      <c r="G413" s="861"/>
      <c r="H413" s="862" t="n">
        <v>18</v>
      </c>
      <c r="I413" s="864"/>
      <c r="J413" s="864"/>
      <c r="K413" s="864" t="n">
        <f aca="false">H413*I413/100</f>
        <v>0</v>
      </c>
      <c r="L413" s="1299" t="n">
        <v>6</v>
      </c>
      <c r="M413" s="983" t="n">
        <v>15</v>
      </c>
      <c r="N413" s="1299" t="n">
        <f aca="false">L413*M413</f>
        <v>90</v>
      </c>
      <c r="O413" s="1299" t="n">
        <f aca="false">H413*N413</f>
        <v>1620</v>
      </c>
      <c r="P413" s="868" t="s">
        <v>2193</v>
      </c>
      <c r="Q413" s="869" t="s">
        <v>2408</v>
      </c>
      <c r="R413" s="866" t="n">
        <v>1620</v>
      </c>
      <c r="S413" s="866" t="n">
        <f aca="false">R413/H413</f>
        <v>90</v>
      </c>
      <c r="T413" s="543" t="n">
        <f aca="false">O413-R413</f>
        <v>0</v>
      </c>
      <c r="U413" s="543" t="n">
        <f aca="false">N413-S413</f>
        <v>0</v>
      </c>
    </row>
    <row r="414" customFormat="false" ht="14.25" hidden="false" customHeight="false" outlineLevel="0" collapsed="false">
      <c r="A414" s="859" t="n">
        <v>443</v>
      </c>
      <c r="B414" s="859" t="s">
        <v>2191</v>
      </c>
      <c r="C414" s="859" t="n">
        <v>2022</v>
      </c>
      <c r="D414" s="860" t="s">
        <v>12</v>
      </c>
      <c r="E414" s="860" t="s">
        <v>2192</v>
      </c>
      <c r="F414" s="1480" t="s">
        <v>1651</v>
      </c>
      <c r="G414" s="861"/>
      <c r="H414" s="862" t="n">
        <v>18</v>
      </c>
      <c r="I414" s="864"/>
      <c r="J414" s="864"/>
      <c r="K414" s="864" t="n">
        <f aca="false">H414*I414/100</f>
        <v>0</v>
      </c>
      <c r="L414" s="1299" t="n">
        <v>1</v>
      </c>
      <c r="M414" s="983" t="n">
        <v>15</v>
      </c>
      <c r="N414" s="1299" t="n">
        <f aca="false">L414*M414</f>
        <v>15</v>
      </c>
      <c r="O414" s="1299" t="n">
        <f aca="false">H414*N414</f>
        <v>270</v>
      </c>
      <c r="P414" s="868" t="s">
        <v>2193</v>
      </c>
      <c r="Q414" s="869" t="s">
        <v>2408</v>
      </c>
      <c r="R414" s="866" t="n">
        <v>270</v>
      </c>
      <c r="S414" s="866" t="n">
        <f aca="false">R414/H414</f>
        <v>15</v>
      </c>
      <c r="T414" s="543" t="n">
        <f aca="false">O414-R414</f>
        <v>0</v>
      </c>
      <c r="U414" s="543" t="n">
        <f aca="false">N414-S414</f>
        <v>0</v>
      </c>
    </row>
    <row r="415" customFormat="false" ht="14.25" hidden="false" customHeight="false" outlineLevel="0" collapsed="false">
      <c r="A415" s="870" t="n">
        <v>19</v>
      </c>
      <c r="B415" s="870" t="s">
        <v>2191</v>
      </c>
      <c r="C415" s="870" t="n">
        <v>2023</v>
      </c>
      <c r="D415" s="871" t="s">
        <v>12</v>
      </c>
      <c r="E415" s="871" t="s">
        <v>2192</v>
      </c>
      <c r="F415" s="871" t="s">
        <v>1651</v>
      </c>
      <c r="G415" s="872"/>
      <c r="H415" s="1116" t="n">
        <v>18</v>
      </c>
      <c r="I415" s="1433"/>
      <c r="J415" s="1433"/>
      <c r="K415" s="875" t="n">
        <f aca="false">H415*I415/100</f>
        <v>0</v>
      </c>
      <c r="L415" s="553" t="n">
        <v>2</v>
      </c>
      <c r="M415" s="1000" t="n">
        <v>15</v>
      </c>
      <c r="N415" s="553" t="n">
        <f aca="false">L415*M415</f>
        <v>30</v>
      </c>
      <c r="O415" s="553" t="n">
        <f aca="false">H415*N415</f>
        <v>540</v>
      </c>
      <c r="P415" s="879" t="s">
        <v>2193</v>
      </c>
      <c r="Q415" s="880" t="s">
        <v>2408</v>
      </c>
      <c r="R415" s="877" t="n">
        <v>540</v>
      </c>
      <c r="S415" s="877" t="n">
        <f aca="false">R415/H415</f>
        <v>30</v>
      </c>
      <c r="T415" s="553" t="n">
        <f aca="false">O415-R415</f>
        <v>0</v>
      </c>
      <c r="U415" s="553" t="n">
        <f aca="false">N415-S415</f>
        <v>0</v>
      </c>
    </row>
    <row r="416" customFormat="false" ht="14.25" hidden="false" customHeight="false" outlineLevel="0" collapsed="false">
      <c r="A416" s="881" t="n">
        <v>58</v>
      </c>
      <c r="B416" s="882" t="s">
        <v>86</v>
      </c>
      <c r="C416" s="883" t="n">
        <v>2023</v>
      </c>
      <c r="D416" s="831" t="s">
        <v>12</v>
      </c>
      <c r="E416" s="831" t="s">
        <v>2192</v>
      </c>
      <c r="F416" s="832" t="s">
        <v>1650</v>
      </c>
      <c r="G416" s="833"/>
      <c r="H416" s="834" t="n">
        <v>95</v>
      </c>
      <c r="I416" s="1020" t="n">
        <v>88</v>
      </c>
      <c r="J416" s="1020" t="n">
        <v>3</v>
      </c>
      <c r="K416" s="836" t="n">
        <f aca="false">H416*I416/100</f>
        <v>83.6</v>
      </c>
      <c r="L416" s="837" t="n">
        <v>1300</v>
      </c>
      <c r="M416" s="1003" t="n">
        <v>1</v>
      </c>
      <c r="N416" s="837" t="n">
        <f aca="false">L416*M416</f>
        <v>1300</v>
      </c>
      <c r="O416" s="837" t="n">
        <f aca="false">H416*N416</f>
        <v>123500</v>
      </c>
      <c r="P416" s="838" t="s">
        <v>2193</v>
      </c>
      <c r="Q416" s="839" t="s">
        <v>2411</v>
      </c>
      <c r="R416" s="840" t="n">
        <v>59945</v>
      </c>
      <c r="S416" s="886" t="n">
        <f aca="false">R416/H416</f>
        <v>631</v>
      </c>
      <c r="T416" s="841" t="n">
        <f aca="false">O416-R416-R418-R417</f>
        <v>0</v>
      </c>
      <c r="U416" s="842" t="n">
        <f aca="false">N416-S416-S418-S417</f>
        <v>0</v>
      </c>
    </row>
    <row r="417" customFormat="false" ht="14.25" hidden="false" customHeight="false" outlineLevel="0" collapsed="false">
      <c r="A417" s="881"/>
      <c r="B417" s="882"/>
      <c r="C417" s="883"/>
      <c r="D417" s="860" t="s">
        <v>12</v>
      </c>
      <c r="E417" s="860" t="s">
        <v>2192</v>
      </c>
      <c r="F417" s="832"/>
      <c r="G417" s="833"/>
      <c r="H417" s="834"/>
      <c r="I417" s="1020"/>
      <c r="J417" s="1020"/>
      <c r="K417" s="836"/>
      <c r="L417" s="837"/>
      <c r="M417" s="1003"/>
      <c r="N417" s="837"/>
      <c r="O417" s="837"/>
      <c r="P417" s="868" t="s">
        <v>2200</v>
      </c>
      <c r="Q417" s="869" t="s">
        <v>2410</v>
      </c>
      <c r="R417" s="866" t="n">
        <v>102600</v>
      </c>
      <c r="S417" s="866" t="n">
        <f aca="false">R417/H416</f>
        <v>1080</v>
      </c>
      <c r="T417" s="841"/>
      <c r="U417" s="842"/>
    </row>
    <row r="418" customFormat="false" ht="14.25" hidden="false" customHeight="false" outlineLevel="0" collapsed="false">
      <c r="A418" s="881"/>
      <c r="B418" s="882"/>
      <c r="C418" s="883"/>
      <c r="D418" s="887" t="s">
        <v>12</v>
      </c>
      <c r="E418" s="887" t="s">
        <v>2192</v>
      </c>
      <c r="F418" s="832"/>
      <c r="G418" s="833"/>
      <c r="H418" s="834"/>
      <c r="I418" s="1020"/>
      <c r="J418" s="1020"/>
      <c r="K418" s="836"/>
      <c r="L418" s="837"/>
      <c r="M418" s="1003"/>
      <c r="N418" s="837"/>
      <c r="O418" s="837"/>
      <c r="P418" s="888" t="s">
        <v>2195</v>
      </c>
      <c r="Q418" s="889" t="s">
        <v>2240</v>
      </c>
      <c r="R418" s="890" t="n">
        <v>-39045</v>
      </c>
      <c r="S418" s="890" t="n">
        <v>-411</v>
      </c>
      <c r="T418" s="841"/>
      <c r="U418" s="842"/>
    </row>
    <row r="419" customFormat="false" ht="14.25" hidden="false" customHeight="false" outlineLevel="0" collapsed="false">
      <c r="A419" s="881"/>
      <c r="B419" s="1481" t="s">
        <v>86</v>
      </c>
      <c r="C419" s="1481" t="n">
        <v>2023</v>
      </c>
      <c r="D419" s="1482" t="s">
        <v>12</v>
      </c>
      <c r="E419" s="1482" t="s">
        <v>2242</v>
      </c>
      <c r="F419" s="1483"/>
      <c r="G419" s="1484"/>
      <c r="H419" s="1485" t="n">
        <v>18.4</v>
      </c>
      <c r="I419" s="1486"/>
      <c r="J419" s="1486"/>
      <c r="K419" s="1486" t="n">
        <f aca="false">H419*I419/100</f>
        <v>0</v>
      </c>
      <c r="L419" s="1487" t="n">
        <v>215</v>
      </c>
      <c r="M419" s="1488" t="n">
        <v>1</v>
      </c>
      <c r="N419" s="1487" t="n">
        <f aca="false">L419*M419</f>
        <v>215</v>
      </c>
      <c r="O419" s="1487" t="n">
        <f aca="false">H419*N419</f>
        <v>3956</v>
      </c>
      <c r="P419" s="1489" t="s">
        <v>2195</v>
      </c>
      <c r="Q419" s="1490" t="s">
        <v>2240</v>
      </c>
      <c r="R419" s="1491" t="n">
        <v>36.8</v>
      </c>
      <c r="S419" s="1491" t="n">
        <f aca="false">R419/H419</f>
        <v>2</v>
      </c>
      <c r="T419" s="1492" t="n">
        <f aca="false">O419-R419</f>
        <v>3919.2</v>
      </c>
      <c r="U419" s="1493" t="n">
        <f aca="false">N419-S419</f>
        <v>213</v>
      </c>
    </row>
    <row r="420" customFormat="false" ht="14.25" hidden="false" customHeight="false" outlineLevel="0" collapsed="false">
      <c r="A420" s="881" t="n">
        <v>60</v>
      </c>
      <c r="B420" s="882" t="s">
        <v>86</v>
      </c>
      <c r="C420" s="883" t="n">
        <v>2023</v>
      </c>
      <c r="D420" s="831" t="s">
        <v>12</v>
      </c>
      <c r="E420" s="831" t="s">
        <v>2192</v>
      </c>
      <c r="F420" s="832" t="s">
        <v>1650</v>
      </c>
      <c r="G420" s="833"/>
      <c r="H420" s="834" t="n">
        <v>91.4</v>
      </c>
      <c r="I420" s="1020" t="n">
        <v>88</v>
      </c>
      <c r="J420" s="1020" t="n">
        <v>12</v>
      </c>
      <c r="K420" s="836" t="n">
        <f aca="false">H420*I420/100</f>
        <v>80.432</v>
      </c>
      <c r="L420" s="837" t="n">
        <v>1093</v>
      </c>
      <c r="M420" s="1003" t="n">
        <v>1</v>
      </c>
      <c r="N420" s="837" t="n">
        <f aca="false">L420*M420</f>
        <v>1093</v>
      </c>
      <c r="O420" s="837" t="n">
        <f aca="false">H420*N420</f>
        <v>99900.2</v>
      </c>
      <c r="P420" s="838" t="s">
        <v>2232</v>
      </c>
      <c r="Q420" s="839" t="s">
        <v>2412</v>
      </c>
      <c r="R420" s="840" t="n">
        <v>27420</v>
      </c>
      <c r="S420" s="886" t="n">
        <f aca="false">R420/H420</f>
        <v>300</v>
      </c>
      <c r="T420" s="841" t="n">
        <f aca="false">O420-R420-R422-R421</f>
        <v>0</v>
      </c>
      <c r="U420" s="842" t="n">
        <f aca="false">N420-S420-S422-S421</f>
        <v>0</v>
      </c>
    </row>
    <row r="421" customFormat="false" ht="14.25" hidden="false" customHeight="false" outlineLevel="0" collapsed="false">
      <c r="A421" s="881"/>
      <c r="B421" s="882"/>
      <c r="C421" s="883"/>
      <c r="D421" s="860" t="s">
        <v>12</v>
      </c>
      <c r="E421" s="860" t="s">
        <v>2192</v>
      </c>
      <c r="F421" s="832"/>
      <c r="G421" s="833"/>
      <c r="H421" s="834"/>
      <c r="I421" s="1020"/>
      <c r="J421" s="1020"/>
      <c r="K421" s="836"/>
      <c r="L421" s="837"/>
      <c r="M421" s="1003"/>
      <c r="N421" s="837"/>
      <c r="O421" s="837"/>
      <c r="P421" s="868" t="s">
        <v>2193</v>
      </c>
      <c r="Q421" s="869" t="s">
        <v>114</v>
      </c>
      <c r="R421" s="866" t="n">
        <v>35646</v>
      </c>
      <c r="S421" s="866" t="n">
        <f aca="false">R421/H420</f>
        <v>390</v>
      </c>
      <c r="T421" s="841"/>
      <c r="U421" s="842"/>
    </row>
    <row r="422" customFormat="false" ht="14.25" hidden="false" customHeight="false" outlineLevel="0" collapsed="false">
      <c r="A422" s="881"/>
      <c r="B422" s="882"/>
      <c r="C422" s="883"/>
      <c r="D422" s="887" t="s">
        <v>12</v>
      </c>
      <c r="E422" s="887" t="s">
        <v>2192</v>
      </c>
      <c r="F422" s="832"/>
      <c r="G422" s="833"/>
      <c r="H422" s="834"/>
      <c r="I422" s="1020"/>
      <c r="J422" s="1020"/>
      <c r="K422" s="836"/>
      <c r="L422" s="837"/>
      <c r="M422" s="1003"/>
      <c r="N422" s="837"/>
      <c r="O422" s="837"/>
      <c r="P422" s="888" t="s">
        <v>2195</v>
      </c>
      <c r="Q422" s="889" t="s">
        <v>2240</v>
      </c>
      <c r="R422" s="890" t="n">
        <v>36834.2</v>
      </c>
      <c r="S422" s="890" t="n">
        <f aca="false">R422/H420</f>
        <v>403</v>
      </c>
      <c r="T422" s="841"/>
      <c r="U422" s="842"/>
    </row>
    <row r="423" customFormat="false" ht="14.25" hidden="false" customHeight="false" outlineLevel="0" collapsed="false">
      <c r="A423" s="881"/>
      <c r="B423" s="1481" t="s">
        <v>86</v>
      </c>
      <c r="C423" s="1481" t="n">
        <v>2023</v>
      </c>
      <c r="D423" s="1482" t="s">
        <v>12</v>
      </c>
      <c r="E423" s="1482" t="s">
        <v>2242</v>
      </c>
      <c r="F423" s="1483"/>
      <c r="G423" s="1484"/>
      <c r="H423" s="1485" t="n">
        <v>34.5</v>
      </c>
      <c r="I423" s="1486"/>
      <c r="J423" s="1486"/>
      <c r="K423" s="1486" t="n">
        <f aca="false">H423*I423/100</f>
        <v>0</v>
      </c>
      <c r="L423" s="1487" t="n">
        <v>311</v>
      </c>
      <c r="M423" s="1488" t="n">
        <v>1</v>
      </c>
      <c r="N423" s="1487" t="n">
        <f aca="false">L423*M423</f>
        <v>311</v>
      </c>
      <c r="O423" s="1487" t="n">
        <f aca="false">H423*N423</f>
        <v>10729.5</v>
      </c>
      <c r="P423" s="1489" t="s">
        <v>2195</v>
      </c>
      <c r="Q423" s="1490" t="s">
        <v>2240</v>
      </c>
      <c r="R423" s="1491" t="n">
        <v>138</v>
      </c>
      <c r="S423" s="1494" t="n">
        <f aca="false">R423/H423</f>
        <v>4</v>
      </c>
      <c r="T423" s="1492" t="n">
        <f aca="false">O423-R423</f>
        <v>10591.5</v>
      </c>
      <c r="U423" s="1493" t="n">
        <f aca="false">N423-S423</f>
        <v>307</v>
      </c>
    </row>
    <row r="424" customFormat="false" ht="14.25" hidden="false" customHeight="false" outlineLevel="0" collapsed="false">
      <c r="A424" s="847" t="n">
        <v>76</v>
      </c>
      <c r="B424" s="847" t="s">
        <v>81</v>
      </c>
      <c r="C424" s="847" t="n">
        <v>2023</v>
      </c>
      <c r="D424" s="848" t="s">
        <v>12</v>
      </c>
      <c r="E424" s="848" t="s">
        <v>2192</v>
      </c>
      <c r="F424" s="1479" t="s">
        <v>2199</v>
      </c>
      <c r="G424" s="849"/>
      <c r="H424" s="850" t="n">
        <v>57.8</v>
      </c>
      <c r="I424" s="1397" t="n">
        <v>88</v>
      </c>
      <c r="J424" s="1397" t="n">
        <v>3</v>
      </c>
      <c r="K424" s="852" t="n">
        <f aca="false">H424*I424/100</f>
        <v>50.864</v>
      </c>
      <c r="L424" s="1143" t="n">
        <v>7800</v>
      </c>
      <c r="M424" s="1007" t="n">
        <v>1</v>
      </c>
      <c r="N424" s="1143" t="n">
        <f aca="false">L424*M424</f>
        <v>7800</v>
      </c>
      <c r="O424" s="1143" t="n">
        <f aca="false">H424*N424</f>
        <v>450840</v>
      </c>
      <c r="P424" s="856" t="s">
        <v>2200</v>
      </c>
      <c r="Q424" s="857" t="s">
        <v>2413</v>
      </c>
      <c r="R424" s="854" t="n">
        <v>450840</v>
      </c>
      <c r="S424" s="886" t="n">
        <f aca="false">R424/H424</f>
        <v>7800</v>
      </c>
      <c r="T424" s="537" t="n">
        <f aca="false">O424-R424</f>
        <v>0</v>
      </c>
      <c r="U424" s="537" t="n">
        <f aca="false">N424-S424</f>
        <v>0</v>
      </c>
    </row>
    <row r="425" customFormat="false" ht="14.25" hidden="false" customHeight="false" outlineLevel="0" collapsed="false">
      <c r="A425" s="859" t="n">
        <v>124</v>
      </c>
      <c r="B425" s="859" t="s">
        <v>2191</v>
      </c>
      <c r="C425" s="859" t="n">
        <v>2023</v>
      </c>
      <c r="D425" s="860" t="s">
        <v>12</v>
      </c>
      <c r="E425" s="860" t="s">
        <v>2192</v>
      </c>
      <c r="F425" s="1480" t="s">
        <v>1651</v>
      </c>
      <c r="G425" s="861"/>
      <c r="H425" s="862" t="n">
        <v>18</v>
      </c>
      <c r="I425" s="864"/>
      <c r="J425" s="864"/>
      <c r="K425" s="864" t="n">
        <f aca="false">H425*I425/100</f>
        <v>0</v>
      </c>
      <c r="L425" s="1299" t="n">
        <v>13</v>
      </c>
      <c r="M425" s="983" t="n">
        <v>15</v>
      </c>
      <c r="N425" s="1299" t="n">
        <f aca="false">L425*M425</f>
        <v>195</v>
      </c>
      <c r="O425" s="1299" t="n">
        <f aca="false">H425*N425</f>
        <v>3510</v>
      </c>
      <c r="P425" s="868" t="s">
        <v>2193</v>
      </c>
      <c r="Q425" s="869" t="s">
        <v>2408</v>
      </c>
      <c r="R425" s="866" t="n">
        <v>3510</v>
      </c>
      <c r="S425" s="866" t="n">
        <f aca="false">R425/H425</f>
        <v>195</v>
      </c>
      <c r="T425" s="543" t="n">
        <f aca="false">O425-R425</f>
        <v>0</v>
      </c>
      <c r="U425" s="543" t="n">
        <f aca="false">N425-S425</f>
        <v>0</v>
      </c>
    </row>
    <row r="426" customFormat="false" ht="14.25" hidden="false" customHeight="false" outlineLevel="0" collapsed="false">
      <c r="A426" s="859" t="n">
        <v>131</v>
      </c>
      <c r="B426" s="859" t="s">
        <v>2191</v>
      </c>
      <c r="C426" s="859" t="n">
        <v>2023</v>
      </c>
      <c r="D426" s="860" t="s">
        <v>12</v>
      </c>
      <c r="E426" s="860" t="s">
        <v>2192</v>
      </c>
      <c r="F426" s="1480" t="s">
        <v>1651</v>
      </c>
      <c r="G426" s="861"/>
      <c r="H426" s="862" t="n">
        <v>18</v>
      </c>
      <c r="I426" s="864"/>
      <c r="J426" s="864"/>
      <c r="K426" s="864" t="n">
        <f aca="false">H426*I426/100</f>
        <v>0</v>
      </c>
      <c r="L426" s="1299" t="n">
        <v>1</v>
      </c>
      <c r="M426" s="983" t="n">
        <v>15</v>
      </c>
      <c r="N426" s="1299" t="n">
        <f aca="false">L426*M426</f>
        <v>15</v>
      </c>
      <c r="O426" s="1299" t="n">
        <f aca="false">H426*N426</f>
        <v>270</v>
      </c>
      <c r="P426" s="868" t="s">
        <v>2193</v>
      </c>
      <c r="Q426" s="869" t="s">
        <v>2408</v>
      </c>
      <c r="R426" s="866" t="n">
        <v>270</v>
      </c>
      <c r="S426" s="866" t="n">
        <f aca="false">R426/H426</f>
        <v>15</v>
      </c>
      <c r="T426" s="543" t="n">
        <f aca="false">O426-R426</f>
        <v>0</v>
      </c>
      <c r="U426" s="543" t="n">
        <f aca="false">N426-S426</f>
        <v>0</v>
      </c>
    </row>
    <row r="427" customFormat="false" ht="14.25" hidden="false" customHeight="false" outlineLevel="0" collapsed="false">
      <c r="A427" s="859" t="n">
        <v>416</v>
      </c>
      <c r="B427" s="859" t="s">
        <v>2191</v>
      </c>
      <c r="C427" s="859" t="n">
        <v>2023</v>
      </c>
      <c r="D427" s="860" t="s">
        <v>12</v>
      </c>
      <c r="E427" s="860" t="s">
        <v>2192</v>
      </c>
      <c r="F427" s="1480" t="s">
        <v>2131</v>
      </c>
      <c r="G427" s="861"/>
      <c r="H427" s="862" t="n">
        <v>63.4636</v>
      </c>
      <c r="I427" s="864"/>
      <c r="J427" s="864"/>
      <c r="K427" s="864" t="n">
        <f aca="false">H427*I427/100</f>
        <v>0</v>
      </c>
      <c r="L427" s="1299" t="n">
        <v>2</v>
      </c>
      <c r="M427" s="983" t="n">
        <v>25</v>
      </c>
      <c r="N427" s="1299" t="n">
        <f aca="false">L427*M427</f>
        <v>50</v>
      </c>
      <c r="O427" s="1299" t="n">
        <f aca="false">H427*N427</f>
        <v>3173.18</v>
      </c>
      <c r="P427" s="868" t="s">
        <v>2200</v>
      </c>
      <c r="Q427" s="869" t="s">
        <v>2410</v>
      </c>
      <c r="R427" s="866" t="n">
        <v>3173.18</v>
      </c>
      <c r="S427" s="866" t="n">
        <f aca="false">R427/H427</f>
        <v>50</v>
      </c>
      <c r="T427" s="543" t="n">
        <f aca="false">O427-R427</f>
        <v>0</v>
      </c>
      <c r="U427" s="543" t="n">
        <f aca="false">N427-S427</f>
        <v>0</v>
      </c>
    </row>
    <row r="428" customFormat="false" ht="14.25" hidden="false" customHeight="false" outlineLevel="0" collapsed="false">
      <c r="A428" s="1344" t="n">
        <v>140</v>
      </c>
      <c r="B428" s="1495" t="s">
        <v>86</v>
      </c>
      <c r="C428" s="1495" t="n">
        <v>2023</v>
      </c>
      <c r="D428" s="848" t="s">
        <v>12</v>
      </c>
      <c r="E428" s="848" t="s">
        <v>2192</v>
      </c>
      <c r="F428" s="871" t="s">
        <v>1650</v>
      </c>
      <c r="G428" s="872"/>
      <c r="H428" s="1116" t="n">
        <v>90.1</v>
      </c>
      <c r="I428" s="1433" t="n">
        <v>82</v>
      </c>
      <c r="J428" s="1433" t="n">
        <v>5</v>
      </c>
      <c r="K428" s="875" t="n">
        <f aca="false">H428*I428/100</f>
        <v>73.882</v>
      </c>
      <c r="L428" s="553" t="n">
        <v>4529</v>
      </c>
      <c r="M428" s="1000" t="n">
        <v>1</v>
      </c>
      <c r="N428" s="553" t="n">
        <f aca="false">L428*M428</f>
        <v>4529</v>
      </c>
      <c r="O428" s="553" t="n">
        <f aca="false">H428*N428</f>
        <v>408062.9</v>
      </c>
      <c r="P428" s="856" t="s">
        <v>2193</v>
      </c>
      <c r="Q428" s="857" t="s">
        <v>113</v>
      </c>
      <c r="R428" s="854" t="n">
        <v>47933.2</v>
      </c>
      <c r="S428" s="866" t="n">
        <f aca="false">R428/H428</f>
        <v>532</v>
      </c>
      <c r="T428" s="1496" t="n">
        <f aca="false">O428-R428-R429</f>
        <v>0</v>
      </c>
      <c r="U428" s="1293" t="n">
        <f aca="false">N428-S428-S429</f>
        <v>0</v>
      </c>
    </row>
    <row r="429" customFormat="false" ht="14.25" hidden="false" customHeight="false" outlineLevel="0" collapsed="false">
      <c r="A429" s="1344"/>
      <c r="B429" s="1495"/>
      <c r="C429" s="1495"/>
      <c r="D429" s="904" t="s">
        <v>12</v>
      </c>
      <c r="E429" s="904" t="s">
        <v>2192</v>
      </c>
      <c r="F429" s="871"/>
      <c r="G429" s="872"/>
      <c r="H429" s="1116"/>
      <c r="I429" s="1433"/>
      <c r="J429" s="1433"/>
      <c r="K429" s="875"/>
      <c r="L429" s="553"/>
      <c r="M429" s="1000"/>
      <c r="N429" s="553"/>
      <c r="O429" s="553"/>
      <c r="P429" s="910" t="s">
        <v>2193</v>
      </c>
      <c r="Q429" s="911" t="s">
        <v>114</v>
      </c>
      <c r="R429" s="891" t="n">
        <v>360129.7</v>
      </c>
      <c r="S429" s="877" t="n">
        <f aca="false">R429/H428</f>
        <v>3997</v>
      </c>
      <c r="T429" s="1496"/>
      <c r="U429" s="1293"/>
    </row>
    <row r="430" customFormat="false" ht="14.25" hidden="false" customHeight="false" outlineLevel="0" collapsed="false">
      <c r="A430" s="1344"/>
      <c r="B430" s="882" t="s">
        <v>86</v>
      </c>
      <c r="C430" s="883" t="n">
        <v>2023</v>
      </c>
      <c r="D430" s="831" t="s">
        <v>12</v>
      </c>
      <c r="E430" s="831" t="s">
        <v>2242</v>
      </c>
      <c r="F430" s="883"/>
      <c r="G430" s="833"/>
      <c r="H430" s="834" t="n">
        <v>45.8</v>
      </c>
      <c r="I430" s="1020"/>
      <c r="J430" s="1020"/>
      <c r="K430" s="836" t="n">
        <f aca="false">H430*I430/100</f>
        <v>0</v>
      </c>
      <c r="L430" s="837" t="n">
        <v>797</v>
      </c>
      <c r="M430" s="1003" t="n">
        <v>1</v>
      </c>
      <c r="N430" s="837" t="n">
        <f aca="false">L430*M430</f>
        <v>797</v>
      </c>
      <c r="O430" s="1120" t="n">
        <f aca="false">H430*N430</f>
        <v>36502.6</v>
      </c>
      <c r="P430" s="838" t="s">
        <v>2195</v>
      </c>
      <c r="Q430" s="839" t="s">
        <v>2240</v>
      </c>
      <c r="R430" s="840" t="n">
        <v>-320.6</v>
      </c>
      <c r="S430" s="886" t="n">
        <f aca="false">R430/H430</f>
        <v>-7</v>
      </c>
      <c r="T430" s="1120" t="n">
        <f aca="false">O430-R430-R432-R431</f>
        <v>0</v>
      </c>
      <c r="U430" s="842" t="n">
        <f aca="false">N430-S430-S432-S431</f>
        <v>0</v>
      </c>
    </row>
    <row r="431" customFormat="false" ht="14.25" hidden="false" customHeight="false" outlineLevel="0" collapsed="false">
      <c r="A431" s="1344"/>
      <c r="B431" s="882"/>
      <c r="C431" s="883"/>
      <c r="D431" s="860" t="s">
        <v>12</v>
      </c>
      <c r="E431" s="860" t="s">
        <v>2242</v>
      </c>
      <c r="F431" s="883"/>
      <c r="G431" s="833"/>
      <c r="H431" s="834"/>
      <c r="I431" s="1020"/>
      <c r="J431" s="1020"/>
      <c r="K431" s="836"/>
      <c r="L431" s="837"/>
      <c r="M431" s="1003"/>
      <c r="N431" s="837"/>
      <c r="O431" s="1120"/>
      <c r="P431" s="868" t="s">
        <v>2195</v>
      </c>
      <c r="Q431" s="869" t="s">
        <v>1375</v>
      </c>
      <c r="R431" s="866" t="n">
        <v>13465.2</v>
      </c>
      <c r="S431" s="866" t="n">
        <f aca="false">R431/H430</f>
        <v>294</v>
      </c>
      <c r="T431" s="1120"/>
      <c r="U431" s="842"/>
    </row>
    <row r="432" customFormat="false" ht="14.25" hidden="false" customHeight="false" outlineLevel="0" collapsed="false">
      <c r="A432" s="1344"/>
      <c r="B432" s="882"/>
      <c r="C432" s="883"/>
      <c r="D432" s="887" t="s">
        <v>12</v>
      </c>
      <c r="E432" s="887" t="s">
        <v>2242</v>
      </c>
      <c r="F432" s="883"/>
      <c r="G432" s="833"/>
      <c r="H432" s="834"/>
      <c r="I432" s="1020"/>
      <c r="J432" s="1020"/>
      <c r="K432" s="836"/>
      <c r="L432" s="837"/>
      <c r="M432" s="1003"/>
      <c r="N432" s="837"/>
      <c r="O432" s="1120"/>
      <c r="P432" s="888" t="s">
        <v>2200</v>
      </c>
      <c r="Q432" s="889" t="s">
        <v>2410</v>
      </c>
      <c r="R432" s="890" t="n">
        <v>23358</v>
      </c>
      <c r="S432" s="890" t="n">
        <f aca="false">R432/H430</f>
        <v>510</v>
      </c>
      <c r="T432" s="1120"/>
      <c r="U432" s="842"/>
    </row>
    <row r="433" customFormat="false" ht="14.25" hidden="false" customHeight="false" outlineLevel="0" collapsed="false">
      <c r="A433" s="1344"/>
      <c r="B433" s="847" t="s">
        <v>86</v>
      </c>
      <c r="C433" s="847" t="n">
        <v>2023</v>
      </c>
      <c r="D433" s="848" t="s">
        <v>12</v>
      </c>
      <c r="E433" s="848" t="s">
        <v>2203</v>
      </c>
      <c r="F433" s="1479"/>
      <c r="G433" s="849"/>
      <c r="H433" s="850" t="n">
        <v>0</v>
      </c>
      <c r="I433" s="852"/>
      <c r="J433" s="852"/>
      <c r="K433" s="852" t="n">
        <f aca="false">H433*I433/100</f>
        <v>0</v>
      </c>
      <c r="L433" s="1143" t="n">
        <v>249</v>
      </c>
      <c r="M433" s="1007" t="n">
        <v>1</v>
      </c>
      <c r="N433" s="1143" t="n">
        <f aca="false">L433*M433</f>
        <v>249</v>
      </c>
      <c r="O433" s="1143" t="n">
        <f aca="false">H433*N433</f>
        <v>0</v>
      </c>
      <c r="P433" s="856" t="s">
        <v>2204</v>
      </c>
      <c r="Q433" s="857" t="n">
        <v>26062024</v>
      </c>
      <c r="R433" s="854" t="n">
        <v>0</v>
      </c>
      <c r="S433" s="854" t="n">
        <v>249</v>
      </c>
      <c r="T433" s="537" t="n">
        <f aca="false">O433-R433</f>
        <v>0</v>
      </c>
      <c r="U433" s="892" t="n">
        <f aca="false">N433-S433</f>
        <v>0</v>
      </c>
    </row>
    <row r="434" customFormat="false" ht="14.25" hidden="false" customHeight="false" outlineLevel="0" collapsed="false">
      <c r="A434" s="1344"/>
      <c r="B434" s="1258" t="s">
        <v>86</v>
      </c>
      <c r="C434" s="1258" t="n">
        <v>2023</v>
      </c>
      <c r="D434" s="1259" t="s">
        <v>12</v>
      </c>
      <c r="E434" s="1259" t="s">
        <v>2241</v>
      </c>
      <c r="F434" s="1497"/>
      <c r="G434" s="1260"/>
      <c r="H434" s="1324" t="n">
        <v>59.4</v>
      </c>
      <c r="I434" s="1263"/>
      <c r="J434" s="1263"/>
      <c r="K434" s="1263" t="n">
        <f aca="false">H434*I434/100</f>
        <v>0</v>
      </c>
      <c r="L434" s="1325" t="n">
        <v>639</v>
      </c>
      <c r="M434" s="1265" t="n">
        <v>1</v>
      </c>
      <c r="N434" s="1325" t="n">
        <f aca="false">L434*M434</f>
        <v>639</v>
      </c>
      <c r="O434" s="1325" t="n">
        <f aca="false">H434*N434</f>
        <v>37956.6</v>
      </c>
      <c r="P434" s="1267"/>
      <c r="Q434" s="1327"/>
      <c r="R434" s="1498"/>
      <c r="S434" s="1218" t="n">
        <f aca="false">R434/H434</f>
        <v>0</v>
      </c>
      <c r="T434" s="1499" t="n">
        <f aca="false">O434-R434</f>
        <v>37956.6</v>
      </c>
      <c r="U434" s="1271" t="n">
        <f aca="false">N434-S434</f>
        <v>639</v>
      </c>
    </row>
    <row r="435" customFormat="false" ht="14.25" hidden="false" customHeight="false" outlineLevel="0" collapsed="false">
      <c r="A435" s="829" t="n">
        <v>13</v>
      </c>
      <c r="B435" s="1173" t="s">
        <v>86</v>
      </c>
      <c r="C435" s="1173" t="n">
        <v>2024</v>
      </c>
      <c r="D435" s="831" t="s">
        <v>12</v>
      </c>
      <c r="E435" s="831" t="s">
        <v>2192</v>
      </c>
      <c r="F435" s="1365" t="s">
        <v>2199</v>
      </c>
      <c r="G435" s="1108"/>
      <c r="H435" s="1434" t="n">
        <v>77.2</v>
      </c>
      <c r="I435" s="1111"/>
      <c r="J435" s="1111"/>
      <c r="K435" s="1111" t="n">
        <f aca="false">H435*I435/100</f>
        <v>0</v>
      </c>
      <c r="L435" s="1408" t="n">
        <v>4590</v>
      </c>
      <c r="M435" s="1113" t="n">
        <v>1</v>
      </c>
      <c r="N435" s="1408" t="n">
        <f aca="false">L435*M435</f>
        <v>4590</v>
      </c>
      <c r="O435" s="1408" t="n">
        <f aca="false">H435*N435</f>
        <v>354348</v>
      </c>
      <c r="P435" s="838" t="s">
        <v>2200</v>
      </c>
      <c r="Q435" s="839" t="s">
        <v>2250</v>
      </c>
      <c r="R435" s="840" t="n">
        <v>354348</v>
      </c>
      <c r="S435" s="840" t="n">
        <f aca="false">R435/H435</f>
        <v>4590</v>
      </c>
      <c r="T435" s="1114" t="n">
        <f aca="false">O435-R435</f>
        <v>0</v>
      </c>
      <c r="U435" s="1176" t="n">
        <f aca="false">N435-S435</f>
        <v>0</v>
      </c>
    </row>
    <row r="436" customFormat="false" ht="14.25" hidden="false" customHeight="false" outlineLevel="0" collapsed="false">
      <c r="A436" s="829"/>
      <c r="B436" s="859" t="s">
        <v>86</v>
      </c>
      <c r="C436" s="859" t="n">
        <v>2024</v>
      </c>
      <c r="D436" s="860" t="s">
        <v>12</v>
      </c>
      <c r="E436" s="860" t="s">
        <v>2242</v>
      </c>
      <c r="F436" s="1480"/>
      <c r="G436" s="861"/>
      <c r="H436" s="862" t="n">
        <v>56.7</v>
      </c>
      <c r="I436" s="864"/>
      <c r="J436" s="864"/>
      <c r="K436" s="864" t="n">
        <f aca="false">H436*I436/100</f>
        <v>0</v>
      </c>
      <c r="L436" s="1299" t="n">
        <v>530</v>
      </c>
      <c r="M436" s="983" t="n">
        <v>1</v>
      </c>
      <c r="N436" s="1299" t="n">
        <f aca="false">L436*M436</f>
        <v>530</v>
      </c>
      <c r="O436" s="1348" t="n">
        <f aca="false">H436*N436</f>
        <v>30051</v>
      </c>
      <c r="P436" s="868" t="s">
        <v>2200</v>
      </c>
      <c r="Q436" s="869" t="s">
        <v>2414</v>
      </c>
      <c r="R436" s="866" t="n">
        <v>30051</v>
      </c>
      <c r="S436" s="866" t="n">
        <f aca="false">R436/H436</f>
        <v>530</v>
      </c>
      <c r="T436" s="543" t="n">
        <f aca="false">O436-R436</f>
        <v>0</v>
      </c>
      <c r="U436" s="1135" t="n">
        <f aca="false">N436-S436</f>
        <v>0</v>
      </c>
    </row>
    <row r="437" customFormat="false" ht="14.25" hidden="false" customHeight="false" outlineLevel="0" collapsed="false">
      <c r="A437" s="829"/>
      <c r="B437" s="859" t="s">
        <v>86</v>
      </c>
      <c r="C437" s="859" t="n">
        <v>2024</v>
      </c>
      <c r="D437" s="860" t="s">
        <v>12</v>
      </c>
      <c r="E437" s="860" t="s">
        <v>2203</v>
      </c>
      <c r="F437" s="1480"/>
      <c r="G437" s="861"/>
      <c r="H437" s="862" t="n">
        <v>28.8</v>
      </c>
      <c r="I437" s="864"/>
      <c r="J437" s="864"/>
      <c r="K437" s="864" t="n">
        <f aca="false">H437*I437/100</f>
        <v>0</v>
      </c>
      <c r="L437" s="1299" t="n">
        <v>1623</v>
      </c>
      <c r="M437" s="983" t="n">
        <v>1</v>
      </c>
      <c r="N437" s="1299" t="n">
        <f aca="false">L437*M437</f>
        <v>1623</v>
      </c>
      <c r="O437" s="1348" t="n">
        <f aca="false">H437*N437</f>
        <v>46742.4</v>
      </c>
      <c r="P437" s="868" t="s">
        <v>2200</v>
      </c>
      <c r="Q437" s="869" t="s">
        <v>2414</v>
      </c>
      <c r="R437" s="866" t="n">
        <v>46742.4</v>
      </c>
      <c r="S437" s="866" t="n">
        <f aca="false">R437/H437</f>
        <v>1623</v>
      </c>
      <c r="T437" s="543" t="n">
        <f aca="false">O437-R437</f>
        <v>0</v>
      </c>
      <c r="U437" s="1135" t="n">
        <f aca="false">N437-S437</f>
        <v>0</v>
      </c>
    </row>
    <row r="438" customFormat="false" ht="14.25" hidden="false" customHeight="false" outlineLevel="0" collapsed="false">
      <c r="A438" s="829"/>
      <c r="B438" s="859" t="s">
        <v>86</v>
      </c>
      <c r="C438" s="859" t="n">
        <v>2024</v>
      </c>
      <c r="D438" s="860" t="s">
        <v>12</v>
      </c>
      <c r="E438" s="860" t="s">
        <v>2241</v>
      </c>
      <c r="F438" s="1480"/>
      <c r="G438" s="861"/>
      <c r="H438" s="862" t="n">
        <v>35.3</v>
      </c>
      <c r="I438" s="864"/>
      <c r="J438" s="864"/>
      <c r="K438" s="864" t="n">
        <f aca="false">H438*I438/100</f>
        <v>0</v>
      </c>
      <c r="L438" s="1299" t="n">
        <v>468</v>
      </c>
      <c r="M438" s="983" t="n">
        <v>1</v>
      </c>
      <c r="N438" s="1299" t="n">
        <f aca="false">L438*M438</f>
        <v>468</v>
      </c>
      <c r="O438" s="1348" t="n">
        <f aca="false">H438*N438</f>
        <v>16520.4</v>
      </c>
      <c r="P438" s="868" t="s">
        <v>2200</v>
      </c>
      <c r="Q438" s="869" t="s">
        <v>2414</v>
      </c>
      <c r="R438" s="866" t="n">
        <v>16520.4</v>
      </c>
      <c r="S438" s="866" t="n">
        <f aca="false">R438/H438</f>
        <v>468</v>
      </c>
      <c r="T438" s="543" t="n">
        <f aca="false">O438-R438</f>
        <v>0</v>
      </c>
      <c r="U438" s="1135" t="n">
        <f aca="false">N438-S438</f>
        <v>0</v>
      </c>
    </row>
    <row r="439" customFormat="false" ht="14.25" hidden="false" customHeight="false" outlineLevel="0" collapsed="false">
      <c r="A439" s="829"/>
      <c r="B439" s="893" t="s">
        <v>86</v>
      </c>
      <c r="C439" s="893" t="n">
        <v>2024</v>
      </c>
      <c r="D439" s="843" t="s">
        <v>12</v>
      </c>
      <c r="E439" s="843" t="s">
        <v>2205</v>
      </c>
      <c r="F439" s="1357"/>
      <c r="G439" s="894"/>
      <c r="H439" s="895" t="n">
        <v>19.5</v>
      </c>
      <c r="I439" s="897"/>
      <c r="J439" s="897"/>
      <c r="K439" s="897" t="n">
        <f aca="false">H439*I439/100</f>
        <v>0</v>
      </c>
      <c r="L439" s="1393" t="n">
        <v>471</v>
      </c>
      <c r="M439" s="1106" t="n">
        <v>1</v>
      </c>
      <c r="N439" s="1393" t="n">
        <f aca="false">L439*M439</f>
        <v>471</v>
      </c>
      <c r="O439" s="1500" t="n">
        <f aca="false">H439*N439</f>
        <v>9184.5</v>
      </c>
      <c r="P439" s="844" t="s">
        <v>2200</v>
      </c>
      <c r="Q439" s="845" t="s">
        <v>2414</v>
      </c>
      <c r="R439" s="846" t="n">
        <v>9184.5</v>
      </c>
      <c r="S439" s="846" t="n">
        <f aca="false">R439/H439</f>
        <v>471</v>
      </c>
      <c r="T439" s="589" t="n">
        <f aca="false">O439-R439</f>
        <v>0</v>
      </c>
      <c r="U439" s="902" t="n">
        <f aca="false">N439-S439</f>
        <v>0</v>
      </c>
    </row>
    <row r="440" customFormat="false" ht="14.25" hidden="false" customHeight="false" outlineLevel="0" collapsed="false">
      <c r="A440" s="881" t="n">
        <v>17</v>
      </c>
      <c r="B440" s="829" t="s">
        <v>86</v>
      </c>
      <c r="C440" s="830" t="n">
        <v>2024</v>
      </c>
      <c r="D440" s="831" t="s">
        <v>12</v>
      </c>
      <c r="E440" s="831" t="s">
        <v>2192</v>
      </c>
      <c r="F440" s="832" t="s">
        <v>1650</v>
      </c>
      <c r="G440" s="833"/>
      <c r="H440" s="1059" t="n">
        <v>90.1</v>
      </c>
      <c r="I440" s="1020"/>
      <c r="J440" s="1020"/>
      <c r="K440" s="836" t="n">
        <f aca="false">H440*I440/100</f>
        <v>0</v>
      </c>
      <c r="L440" s="837" t="n">
        <v>3396</v>
      </c>
      <c r="M440" s="1003" t="n">
        <v>1</v>
      </c>
      <c r="N440" s="837" t="n">
        <f aca="false">L440*M440</f>
        <v>3396</v>
      </c>
      <c r="O440" s="837" t="n">
        <f aca="false">H440*N440</f>
        <v>305979.6</v>
      </c>
      <c r="P440" s="838" t="s">
        <v>2193</v>
      </c>
      <c r="Q440" s="839" t="s">
        <v>102</v>
      </c>
      <c r="R440" s="840" t="n">
        <v>28381.5</v>
      </c>
      <c r="S440" s="886" t="n">
        <f aca="false">R440/H440</f>
        <v>315</v>
      </c>
      <c r="T440" s="837" t="n">
        <f aca="false">O440-R440-R441</f>
        <v>0</v>
      </c>
      <c r="U440" s="842" t="n">
        <f aca="false">N440-S440-S441</f>
        <v>0</v>
      </c>
    </row>
    <row r="441" customFormat="false" ht="14.25" hidden="false" customHeight="false" outlineLevel="0" collapsed="false">
      <c r="A441" s="881"/>
      <c r="B441" s="829"/>
      <c r="C441" s="830"/>
      <c r="D441" s="843" t="s">
        <v>12</v>
      </c>
      <c r="E441" s="843" t="s">
        <v>2192</v>
      </c>
      <c r="F441" s="832"/>
      <c r="G441" s="833"/>
      <c r="H441" s="1059"/>
      <c r="I441" s="1020"/>
      <c r="J441" s="1020"/>
      <c r="K441" s="836"/>
      <c r="L441" s="837"/>
      <c r="M441" s="1003"/>
      <c r="N441" s="837"/>
      <c r="O441" s="837"/>
      <c r="P441" s="844" t="s">
        <v>2193</v>
      </c>
      <c r="Q441" s="845" t="s">
        <v>103</v>
      </c>
      <c r="R441" s="846" t="n">
        <v>277598.1</v>
      </c>
      <c r="S441" s="846" t="n">
        <f aca="false">R441/H440</f>
        <v>3081</v>
      </c>
      <c r="T441" s="837"/>
      <c r="U441" s="842"/>
    </row>
    <row r="442" customFormat="false" ht="14.25" hidden="false" customHeight="false" outlineLevel="0" collapsed="false">
      <c r="A442" s="881"/>
      <c r="B442" s="1072" t="s">
        <v>86</v>
      </c>
      <c r="C442" s="1072" t="n">
        <v>2024</v>
      </c>
      <c r="D442" s="887" t="s">
        <v>12</v>
      </c>
      <c r="E442" s="887" t="s">
        <v>2203</v>
      </c>
      <c r="F442" s="1501"/>
      <c r="G442" s="1062"/>
      <c r="H442" s="1291" t="n">
        <v>49.6</v>
      </c>
      <c r="I442" s="1064"/>
      <c r="J442" s="1064"/>
      <c r="K442" s="1064" t="n">
        <f aca="false">H442*I442/100</f>
        <v>0</v>
      </c>
      <c r="L442" s="1082" t="n">
        <v>1145</v>
      </c>
      <c r="M442" s="1066" t="n">
        <v>1</v>
      </c>
      <c r="N442" s="1082" t="n">
        <f aca="false">L442*M442</f>
        <v>1145</v>
      </c>
      <c r="O442" s="1082" t="n">
        <f aca="false">H442*N442</f>
        <v>56792</v>
      </c>
      <c r="P442" s="888" t="s">
        <v>2200</v>
      </c>
      <c r="Q442" s="889" t="s">
        <v>2414</v>
      </c>
      <c r="R442" s="890" t="n">
        <v>56792</v>
      </c>
      <c r="S442" s="890" t="n">
        <f aca="false">R442/H442</f>
        <v>1145</v>
      </c>
      <c r="T442" s="1067" t="n">
        <f aca="false">O442-R442</f>
        <v>0</v>
      </c>
      <c r="U442" s="1070" t="n">
        <f aca="false">N442-S442</f>
        <v>0</v>
      </c>
    </row>
    <row r="443" customFormat="false" ht="14.25" hidden="false" customHeight="false" outlineLevel="0" collapsed="false">
      <c r="A443" s="829" t="n">
        <v>19</v>
      </c>
      <c r="B443" s="1453" t="s">
        <v>86</v>
      </c>
      <c r="C443" s="1453" t="n">
        <v>2024</v>
      </c>
      <c r="D443" s="915" t="s">
        <v>12</v>
      </c>
      <c r="E443" s="915" t="s">
        <v>2192</v>
      </c>
      <c r="F443" s="1502" t="s">
        <v>2199</v>
      </c>
      <c r="G443" s="1454"/>
      <c r="H443" s="1503" t="n">
        <v>75.3</v>
      </c>
      <c r="I443" s="1457"/>
      <c r="J443" s="1457"/>
      <c r="K443" s="1457" t="n">
        <f aca="false">H443*I443/100</f>
        <v>0</v>
      </c>
      <c r="L443" s="1460" t="n">
        <v>1570</v>
      </c>
      <c r="M443" s="1459" t="n">
        <v>1</v>
      </c>
      <c r="N443" s="1460" t="n">
        <f aca="false">L443*M443</f>
        <v>1570</v>
      </c>
      <c r="O443" s="1504" t="n">
        <f aca="false">H443*N443</f>
        <v>118221</v>
      </c>
      <c r="P443" s="1193"/>
      <c r="Q443" s="1312"/>
      <c r="R443" s="1196"/>
      <c r="S443" s="1196"/>
      <c r="T443" s="1505" t="n">
        <f aca="false">O443-R443</f>
        <v>118221</v>
      </c>
      <c r="U443" s="1464" t="n">
        <f aca="false">N443-S443</f>
        <v>1570</v>
      </c>
    </row>
    <row r="444" customFormat="false" ht="14.25" hidden="false" customHeight="false" outlineLevel="0" collapsed="false">
      <c r="A444" s="829"/>
      <c r="B444" s="1155" t="s">
        <v>86</v>
      </c>
      <c r="C444" s="1155" t="n">
        <v>2024</v>
      </c>
      <c r="D444" s="1156" t="s">
        <v>12</v>
      </c>
      <c r="E444" s="1156" t="s">
        <v>2242</v>
      </c>
      <c r="F444" s="1506"/>
      <c r="G444" s="1157"/>
      <c r="H444" s="1274" t="n">
        <v>44.1</v>
      </c>
      <c r="I444" s="1160"/>
      <c r="J444" s="1160"/>
      <c r="K444" s="1160" t="n">
        <f aca="false">H444*I444/100</f>
        <v>0</v>
      </c>
      <c r="L444" s="1321" t="n">
        <v>180</v>
      </c>
      <c r="M444" s="1162" t="n">
        <v>1</v>
      </c>
      <c r="N444" s="1321" t="n">
        <f aca="false">L444*M444</f>
        <v>180</v>
      </c>
      <c r="O444" s="1507" t="n">
        <f aca="false">H444*N444</f>
        <v>7938</v>
      </c>
      <c r="P444" s="1165"/>
      <c r="Q444" s="1323"/>
      <c r="R444" s="1168"/>
      <c r="S444" s="1168"/>
      <c r="T444" s="1164" t="n">
        <f aca="false">O444-R444</f>
        <v>7938</v>
      </c>
      <c r="U444" s="1170" t="n">
        <f aca="false">N444-S444</f>
        <v>180</v>
      </c>
    </row>
    <row r="445" customFormat="false" ht="14.25" hidden="false" customHeight="false" outlineLevel="0" collapsed="false">
      <c r="A445" s="829"/>
      <c r="B445" s="847" t="s">
        <v>86</v>
      </c>
      <c r="C445" s="847" t="n">
        <v>2024</v>
      </c>
      <c r="D445" s="848" t="s">
        <v>12</v>
      </c>
      <c r="E445" s="848" t="s">
        <v>2203</v>
      </c>
      <c r="F445" s="1479"/>
      <c r="G445" s="849"/>
      <c r="H445" s="850" t="n">
        <v>2.3</v>
      </c>
      <c r="I445" s="852"/>
      <c r="J445" s="852"/>
      <c r="K445" s="852" t="n">
        <f aca="false">H445*I445/100</f>
        <v>0</v>
      </c>
      <c r="L445" s="1143" t="n">
        <v>1223</v>
      </c>
      <c r="M445" s="1007" t="n">
        <v>1</v>
      </c>
      <c r="N445" s="1143" t="n">
        <f aca="false">L445*M445</f>
        <v>1223</v>
      </c>
      <c r="O445" s="1508" t="n">
        <f aca="false">H445*N445</f>
        <v>2812.9</v>
      </c>
      <c r="P445" s="856" t="s">
        <v>2204</v>
      </c>
      <c r="Q445" s="857" t="n">
        <v>26062024</v>
      </c>
      <c r="R445" s="854" t="n">
        <v>2812.9</v>
      </c>
      <c r="S445" s="866" t="n">
        <f aca="false">R445/H445</f>
        <v>1223</v>
      </c>
      <c r="T445" s="1009" t="n">
        <f aca="false">O445-R445</f>
        <v>0</v>
      </c>
      <c r="U445" s="892" t="n">
        <f aca="false">N445-S445</f>
        <v>0</v>
      </c>
    </row>
    <row r="446" customFormat="false" ht="14.25" hidden="false" customHeight="false" outlineLevel="0" collapsed="false">
      <c r="A446" s="829"/>
      <c r="B446" s="847" t="s">
        <v>86</v>
      </c>
      <c r="C446" s="847" t="n">
        <v>2024</v>
      </c>
      <c r="D446" s="848" t="s">
        <v>12</v>
      </c>
      <c r="E446" s="848" t="s">
        <v>2241</v>
      </c>
      <c r="F446" s="1479"/>
      <c r="G446" s="849"/>
      <c r="H446" s="850" t="n">
        <v>2</v>
      </c>
      <c r="I446" s="852"/>
      <c r="J446" s="852"/>
      <c r="K446" s="852" t="n">
        <f aca="false">H446*I446/100</f>
        <v>0</v>
      </c>
      <c r="L446" s="1143" t="n">
        <v>258</v>
      </c>
      <c r="M446" s="1007" t="n">
        <v>1</v>
      </c>
      <c r="N446" s="1143" t="n">
        <f aca="false">L446*M446</f>
        <v>258</v>
      </c>
      <c r="O446" s="1508" t="n">
        <f aca="false">H446*N446</f>
        <v>516</v>
      </c>
      <c r="P446" s="856" t="s">
        <v>2204</v>
      </c>
      <c r="Q446" s="857" t="n">
        <v>26062024</v>
      </c>
      <c r="R446" s="854" t="n">
        <v>516</v>
      </c>
      <c r="S446" s="854" t="n">
        <v>258</v>
      </c>
      <c r="T446" s="1009" t="n">
        <f aca="false">O446-R446</f>
        <v>0</v>
      </c>
      <c r="U446" s="892" t="n">
        <f aca="false">N446-S446</f>
        <v>0</v>
      </c>
    </row>
    <row r="447" customFormat="false" ht="14.25" hidden="false" customHeight="false" outlineLevel="0" collapsed="false">
      <c r="A447" s="829"/>
      <c r="B447" s="1072" t="s">
        <v>86</v>
      </c>
      <c r="C447" s="1072" t="n">
        <v>2024</v>
      </c>
      <c r="D447" s="887" t="s">
        <v>12</v>
      </c>
      <c r="E447" s="887" t="s">
        <v>2205</v>
      </c>
      <c r="F447" s="1501"/>
      <c r="G447" s="1062"/>
      <c r="H447" s="1291" t="n">
        <v>0.3</v>
      </c>
      <c r="I447" s="1064"/>
      <c r="J447" s="1064"/>
      <c r="K447" s="1064" t="n">
        <f aca="false">H447*I447/100</f>
        <v>0</v>
      </c>
      <c r="L447" s="1082" t="n">
        <v>900</v>
      </c>
      <c r="M447" s="1066" t="n">
        <v>1</v>
      </c>
      <c r="N447" s="1082" t="n">
        <f aca="false">L447*M447</f>
        <v>900</v>
      </c>
      <c r="O447" s="1509" t="n">
        <f aca="false">H447*N447</f>
        <v>270</v>
      </c>
      <c r="P447" s="888" t="s">
        <v>2204</v>
      </c>
      <c r="Q447" s="889" t="n">
        <v>26062024</v>
      </c>
      <c r="R447" s="890" t="n">
        <v>270</v>
      </c>
      <c r="S447" s="890" t="n">
        <v>900</v>
      </c>
      <c r="T447" s="1172" t="n">
        <f aca="false">O447-R447</f>
        <v>0</v>
      </c>
      <c r="U447" s="902" t="n">
        <f aca="false">N447-S447</f>
        <v>0</v>
      </c>
    </row>
    <row r="448" customFormat="false" ht="14.25" hidden="false" customHeight="false" outlineLevel="0" collapsed="false">
      <c r="A448" s="847" t="n">
        <v>38</v>
      </c>
      <c r="B448" s="847" t="s">
        <v>2207</v>
      </c>
      <c r="C448" s="847" t="n">
        <v>2024</v>
      </c>
      <c r="D448" s="848" t="s">
        <v>12</v>
      </c>
      <c r="E448" s="848" t="s">
        <v>2192</v>
      </c>
      <c r="F448" s="1479" t="s">
        <v>1652</v>
      </c>
      <c r="G448" s="849"/>
      <c r="H448" s="850" t="n">
        <v>29.564</v>
      </c>
      <c r="I448" s="852"/>
      <c r="J448" s="852"/>
      <c r="K448" s="852" t="n">
        <f aca="false">H448*I448/100</f>
        <v>0</v>
      </c>
      <c r="L448" s="1143" t="n">
        <v>960</v>
      </c>
      <c r="M448" s="1007" t="n">
        <v>1</v>
      </c>
      <c r="N448" s="1143" t="n">
        <f aca="false">L448*M448</f>
        <v>960</v>
      </c>
      <c r="O448" s="1508" t="n">
        <f aca="false">H448*N448</f>
        <v>28381.44</v>
      </c>
      <c r="P448" s="856" t="s">
        <v>2193</v>
      </c>
      <c r="Q448" s="857" t="s">
        <v>2415</v>
      </c>
      <c r="R448" s="854" t="n">
        <v>28381.44</v>
      </c>
      <c r="S448" s="854" t="n">
        <f aca="false">R448/H448</f>
        <v>960</v>
      </c>
      <c r="T448" s="1009" t="n">
        <f aca="false">O448-R448</f>
        <v>0</v>
      </c>
      <c r="U448" s="537" t="n">
        <f aca="false">N448-S448</f>
        <v>0</v>
      </c>
    </row>
    <row r="449" customFormat="false" ht="14.25" hidden="false" customHeight="false" outlineLevel="0" collapsed="false">
      <c r="A449" s="859" t="s">
        <v>2416</v>
      </c>
      <c r="B449" s="859" t="s">
        <v>2207</v>
      </c>
      <c r="C449" s="859" t="n">
        <v>2024</v>
      </c>
      <c r="D449" s="860" t="s">
        <v>12</v>
      </c>
      <c r="E449" s="860" t="s">
        <v>2192</v>
      </c>
      <c r="F449" s="1480" t="s">
        <v>1652</v>
      </c>
      <c r="G449" s="861"/>
      <c r="H449" s="862" t="n">
        <v>29.2337</v>
      </c>
      <c r="I449" s="864"/>
      <c r="J449" s="864"/>
      <c r="K449" s="864" t="n">
        <f aca="false">H449*I449/100</f>
        <v>0</v>
      </c>
      <c r="L449" s="1299" t="n">
        <v>1050</v>
      </c>
      <c r="M449" s="983" t="n">
        <v>1</v>
      </c>
      <c r="N449" s="1299" t="n">
        <f aca="false">L449*M449</f>
        <v>1050</v>
      </c>
      <c r="O449" s="1510" t="n">
        <f aca="false">H449*N449</f>
        <v>30695.385</v>
      </c>
      <c r="P449" s="868" t="s">
        <v>2197</v>
      </c>
      <c r="Q449" s="869" t="s">
        <v>2417</v>
      </c>
      <c r="R449" s="866" t="n">
        <v>30695.385</v>
      </c>
      <c r="S449" s="854" t="n">
        <f aca="false">R449/H449</f>
        <v>1050</v>
      </c>
      <c r="T449" s="968" t="n">
        <f aca="false">O449-R449</f>
        <v>0</v>
      </c>
      <c r="U449" s="543" t="n">
        <f aca="false">N449-S449</f>
        <v>0</v>
      </c>
    </row>
    <row r="450" customFormat="false" ht="14.25" hidden="false" customHeight="false" outlineLevel="0" collapsed="false">
      <c r="A450" s="870" t="n">
        <v>39</v>
      </c>
      <c r="B450" s="870" t="s">
        <v>2207</v>
      </c>
      <c r="C450" s="870" t="n">
        <v>2024</v>
      </c>
      <c r="D450" s="871" t="s">
        <v>12</v>
      </c>
      <c r="E450" s="871" t="s">
        <v>2192</v>
      </c>
      <c r="F450" s="1478" t="s">
        <v>1651</v>
      </c>
      <c r="G450" s="872"/>
      <c r="H450" s="873" t="n">
        <v>24.6359</v>
      </c>
      <c r="I450" s="875"/>
      <c r="J450" s="875"/>
      <c r="K450" s="875" t="n">
        <f aca="false">H450*I450/100</f>
        <v>0</v>
      </c>
      <c r="L450" s="1301" t="n">
        <v>11268</v>
      </c>
      <c r="M450" s="1000" t="n">
        <v>1</v>
      </c>
      <c r="N450" s="1301" t="n">
        <f aca="false">L450*M450</f>
        <v>11268</v>
      </c>
      <c r="O450" s="1511" t="n">
        <f aca="false">H450*N450</f>
        <v>277597.3212</v>
      </c>
      <c r="P450" s="879" t="s">
        <v>2193</v>
      </c>
      <c r="Q450" s="880" t="s">
        <v>2409</v>
      </c>
      <c r="R450" s="877" t="n">
        <v>277597.321</v>
      </c>
      <c r="S450" s="877" t="n">
        <f aca="false">R450/H450</f>
        <v>11267.9999918818</v>
      </c>
      <c r="T450" s="553" t="n">
        <f aca="false">O450-R450</f>
        <v>0.00020000000949949</v>
      </c>
      <c r="U450" s="553" t="n">
        <f aca="false">N450-S450</f>
        <v>8.11823338153772E-006</v>
      </c>
    </row>
    <row r="451" customFormat="false" ht="14.25" hidden="false" customHeight="false" outlineLevel="0" collapsed="false">
      <c r="A451" s="829" t="s">
        <v>2418</v>
      </c>
      <c r="B451" s="830" t="s">
        <v>2207</v>
      </c>
      <c r="C451" s="830" t="n">
        <v>2024</v>
      </c>
      <c r="D451" s="831" t="s">
        <v>12</v>
      </c>
      <c r="E451" s="831" t="s">
        <v>2192</v>
      </c>
      <c r="F451" s="832" t="s">
        <v>1651</v>
      </c>
      <c r="G451" s="833"/>
      <c r="H451" s="834" t="n">
        <v>24.3893</v>
      </c>
      <c r="I451" s="1020"/>
      <c r="J451" s="1020"/>
      <c r="K451" s="836" t="n">
        <f aca="false">H451*I451/100</f>
        <v>0</v>
      </c>
      <c r="L451" s="837" t="n">
        <v>11703</v>
      </c>
      <c r="M451" s="1003" t="n">
        <v>1</v>
      </c>
      <c r="N451" s="837" t="n">
        <f aca="false">L451*M451</f>
        <v>11703</v>
      </c>
      <c r="O451" s="1017" t="n">
        <f aca="false">H451*N451</f>
        <v>285427.9779</v>
      </c>
      <c r="P451" s="838" t="s">
        <v>2197</v>
      </c>
      <c r="Q451" s="839" t="s">
        <v>2419</v>
      </c>
      <c r="R451" s="840" t="n">
        <v>243649.107</v>
      </c>
      <c r="S451" s="840" t="n">
        <f aca="false">R451/H451</f>
        <v>9990</v>
      </c>
      <c r="T451" s="837" t="n">
        <f aca="false">O451-R451-R452</f>
        <v>-9.99999901978299E-005</v>
      </c>
      <c r="U451" s="842" t="n">
        <f aca="false">N451-S451-S452</f>
        <v>-4.10015877605474E-006</v>
      </c>
    </row>
    <row r="452" customFormat="false" ht="14.25" hidden="false" customHeight="false" outlineLevel="0" collapsed="false">
      <c r="A452" s="829"/>
      <c r="B452" s="830"/>
      <c r="C452" s="830"/>
      <c r="D452" s="843" t="s">
        <v>12</v>
      </c>
      <c r="E452" s="843" t="s">
        <v>2192</v>
      </c>
      <c r="F452" s="832"/>
      <c r="G452" s="833"/>
      <c r="H452" s="834"/>
      <c r="I452" s="1020"/>
      <c r="J452" s="1020"/>
      <c r="K452" s="836"/>
      <c r="L452" s="837"/>
      <c r="M452" s="1003"/>
      <c r="N452" s="837"/>
      <c r="O452" s="1017"/>
      <c r="P452" s="844" t="s">
        <v>2197</v>
      </c>
      <c r="Q452" s="845" t="s">
        <v>2420</v>
      </c>
      <c r="R452" s="846" t="n">
        <v>41778.871</v>
      </c>
      <c r="S452" s="846" t="n">
        <f aca="false">R452/H451</f>
        <v>1713.00000410016</v>
      </c>
      <c r="T452" s="837"/>
      <c r="U452" s="842"/>
    </row>
    <row r="453" customFormat="false" ht="14.25" hidden="false" customHeight="false" outlineLevel="0" collapsed="false">
      <c r="A453" s="847" t="n">
        <v>62</v>
      </c>
      <c r="B453" s="847" t="s">
        <v>2207</v>
      </c>
      <c r="C453" s="847" t="n">
        <v>2024</v>
      </c>
      <c r="D453" s="848" t="s">
        <v>12</v>
      </c>
      <c r="E453" s="848" t="s">
        <v>2192</v>
      </c>
      <c r="F453" s="848" t="s">
        <v>1652</v>
      </c>
      <c r="G453" s="849"/>
      <c r="H453" s="949" t="n">
        <v>25.2678</v>
      </c>
      <c r="I453" s="1397"/>
      <c r="J453" s="1397"/>
      <c r="K453" s="852" t="n">
        <f aca="false">H453*I453/100</f>
        <v>0</v>
      </c>
      <c r="L453" s="537" t="n">
        <v>1897</v>
      </c>
      <c r="M453" s="1007" t="n">
        <v>1</v>
      </c>
      <c r="N453" s="537" t="n">
        <f aca="false">L453*M453</f>
        <v>1897</v>
      </c>
      <c r="O453" s="1009" t="n">
        <f aca="false">H453*N453</f>
        <v>47933.0166</v>
      </c>
      <c r="P453" s="856" t="s">
        <v>2197</v>
      </c>
      <c r="Q453" s="857" t="s">
        <v>2421</v>
      </c>
      <c r="R453" s="1512" t="n">
        <v>47933.017</v>
      </c>
      <c r="S453" s="891" t="n">
        <f aca="false">R453/H453</f>
        <v>1897.00001583042</v>
      </c>
      <c r="T453" s="537" t="n">
        <f aca="false">O453-R453</f>
        <v>-0.000399999997171108</v>
      </c>
      <c r="U453" s="537" t="n">
        <f aca="false">N453-S453</f>
        <v>-1.58304244450846E-005</v>
      </c>
    </row>
    <row r="454" customFormat="false" ht="14.25" hidden="false" customHeight="false" outlineLevel="0" collapsed="false">
      <c r="A454" s="870" t="n">
        <v>63</v>
      </c>
      <c r="B454" s="870" t="s">
        <v>2207</v>
      </c>
      <c r="C454" s="870" t="n">
        <v>2024</v>
      </c>
      <c r="D454" s="871" t="s">
        <v>12</v>
      </c>
      <c r="E454" s="871" t="s">
        <v>2192</v>
      </c>
      <c r="F454" s="871" t="s">
        <v>1651</v>
      </c>
      <c r="G454" s="872"/>
      <c r="H454" s="1116" t="n">
        <v>20.2019</v>
      </c>
      <c r="I454" s="1433"/>
      <c r="J454" s="1433"/>
      <c r="K454" s="875" t="n">
        <f aca="false">H454*I454/100</f>
        <v>0</v>
      </c>
      <c r="L454" s="553" t="n">
        <v>19591</v>
      </c>
      <c r="M454" s="1000" t="n">
        <v>1</v>
      </c>
      <c r="N454" s="553" t="n">
        <f aca="false">L454*M454</f>
        <v>19591</v>
      </c>
      <c r="O454" s="1014" t="n">
        <f aca="false">H454*N454</f>
        <v>395775.4229</v>
      </c>
      <c r="P454" s="879" t="s">
        <v>2193</v>
      </c>
      <c r="Q454" s="880" t="s">
        <v>2408</v>
      </c>
      <c r="R454" s="877" t="n">
        <v>395775.423</v>
      </c>
      <c r="S454" s="877" t="n">
        <f aca="false">R454/H454</f>
        <v>19591.00000495</v>
      </c>
      <c r="T454" s="553" t="n">
        <f aca="false">O454-R454</f>
        <v>-0.000100000062957406</v>
      </c>
      <c r="U454" s="553" t="n">
        <f aca="false">N454-S454</f>
        <v>-4.95003041578457E-006</v>
      </c>
    </row>
    <row r="455" customFormat="false" ht="14.25" hidden="false" customHeight="false" outlineLevel="0" collapsed="false">
      <c r="A455" s="829" t="s">
        <v>2422</v>
      </c>
      <c r="B455" s="830" t="s">
        <v>2207</v>
      </c>
      <c r="C455" s="830" t="n">
        <v>2024</v>
      </c>
      <c r="D455" s="831" t="s">
        <v>12</v>
      </c>
      <c r="E455" s="831" t="s">
        <v>2192</v>
      </c>
      <c r="F455" s="832" t="s">
        <v>1651</v>
      </c>
      <c r="G455" s="833"/>
      <c r="H455" s="834" t="n">
        <v>20.057</v>
      </c>
      <c r="I455" s="1020"/>
      <c r="J455" s="1020"/>
      <c r="K455" s="836" t="n">
        <f aca="false">H455*I455/100</f>
        <v>0</v>
      </c>
      <c r="L455" s="837" t="n">
        <v>21221</v>
      </c>
      <c r="M455" s="1003" t="n">
        <v>1</v>
      </c>
      <c r="N455" s="837" t="n">
        <f aca="false">L455*M455</f>
        <v>21221</v>
      </c>
      <c r="O455" s="1017" t="n">
        <f aca="false">H455*N455</f>
        <v>425629.597</v>
      </c>
      <c r="P455" s="884" t="s">
        <v>2197</v>
      </c>
      <c r="Q455" s="885" t="s">
        <v>2423</v>
      </c>
      <c r="R455" s="886" t="n">
        <v>200369.43</v>
      </c>
      <c r="S455" s="886" t="n">
        <f aca="false">R455/H455</f>
        <v>9990</v>
      </c>
      <c r="T455" s="1017" t="n">
        <f aca="false">O455-R455-R458-R457-R456</f>
        <v>0</v>
      </c>
      <c r="U455" s="842" t="n">
        <f aca="false">N455-S455-S458-S457-S456</f>
        <v>0</v>
      </c>
    </row>
    <row r="456" customFormat="false" ht="14.25" hidden="false" customHeight="false" outlineLevel="0" collapsed="false">
      <c r="A456" s="829"/>
      <c r="B456" s="830"/>
      <c r="C456" s="830"/>
      <c r="D456" s="860" t="s">
        <v>12</v>
      </c>
      <c r="E456" s="860" t="s">
        <v>2192</v>
      </c>
      <c r="F456" s="832"/>
      <c r="G456" s="833"/>
      <c r="H456" s="834"/>
      <c r="I456" s="1020"/>
      <c r="J456" s="1020"/>
      <c r="K456" s="836"/>
      <c r="L456" s="837"/>
      <c r="M456" s="1003"/>
      <c r="N456" s="837"/>
      <c r="O456" s="1017"/>
      <c r="P456" s="868" t="s">
        <v>2197</v>
      </c>
      <c r="Q456" s="869" t="s">
        <v>2421</v>
      </c>
      <c r="R456" s="1383" t="n">
        <v>165089.167</v>
      </c>
      <c r="S456" s="866" t="n">
        <f aca="false">R456/H455</f>
        <v>8231</v>
      </c>
      <c r="T456" s="1017"/>
      <c r="U456" s="842"/>
    </row>
    <row r="457" customFormat="false" ht="14.25" hidden="false" customHeight="false" outlineLevel="0" collapsed="false">
      <c r="A457" s="829"/>
      <c r="B457" s="830"/>
      <c r="C457" s="830"/>
      <c r="D457" s="860" t="s">
        <v>12</v>
      </c>
      <c r="E457" s="860" t="s">
        <v>2192</v>
      </c>
      <c r="F457" s="832"/>
      <c r="G457" s="833"/>
      <c r="H457" s="834"/>
      <c r="I457" s="1020"/>
      <c r="J457" s="1020"/>
      <c r="K457" s="836"/>
      <c r="L457" s="837"/>
      <c r="M457" s="1003"/>
      <c r="N457" s="837"/>
      <c r="O457" s="1017"/>
      <c r="P457" s="868" t="s">
        <v>2197</v>
      </c>
      <c r="Q457" s="869" t="s">
        <v>2424</v>
      </c>
      <c r="R457" s="866" t="n">
        <v>19856.43</v>
      </c>
      <c r="S457" s="866" t="n">
        <f aca="false">R457/H455</f>
        <v>990</v>
      </c>
      <c r="T457" s="1017"/>
      <c r="U457" s="842"/>
    </row>
    <row r="458" customFormat="false" ht="14.25" hidden="false" customHeight="false" outlineLevel="0" collapsed="false">
      <c r="A458" s="829"/>
      <c r="B458" s="830"/>
      <c r="C458" s="830"/>
      <c r="D458" s="843" t="s">
        <v>12</v>
      </c>
      <c r="E458" s="843" t="s">
        <v>2192</v>
      </c>
      <c r="F458" s="832"/>
      <c r="G458" s="833"/>
      <c r="H458" s="834"/>
      <c r="I458" s="1020"/>
      <c r="J458" s="1020"/>
      <c r="K458" s="836"/>
      <c r="L458" s="837"/>
      <c r="M458" s="1003"/>
      <c r="N458" s="837"/>
      <c r="O458" s="1017"/>
      <c r="P458" s="844" t="s">
        <v>2197</v>
      </c>
      <c r="Q458" s="845" t="s">
        <v>2425</v>
      </c>
      <c r="R458" s="846" t="n">
        <v>40314.57</v>
      </c>
      <c r="S458" s="890" t="n">
        <f aca="false">R458/H455</f>
        <v>2010</v>
      </c>
      <c r="T458" s="1017"/>
      <c r="U458" s="842"/>
    </row>
    <row r="459" customFormat="false" ht="14.25" hidden="false" customHeight="false" outlineLevel="0" collapsed="false">
      <c r="A459" s="829" t="n">
        <v>73</v>
      </c>
      <c r="B459" s="830" t="s">
        <v>81</v>
      </c>
      <c r="C459" s="830" t="n">
        <v>2024</v>
      </c>
      <c r="D459" s="831" t="s">
        <v>12</v>
      </c>
      <c r="E459" s="831" t="s">
        <v>2192</v>
      </c>
      <c r="F459" s="832" t="s">
        <v>1651</v>
      </c>
      <c r="G459" s="833"/>
      <c r="H459" s="834" t="n">
        <v>18</v>
      </c>
      <c r="I459" s="1020"/>
      <c r="J459" s="1020"/>
      <c r="K459" s="836" t="n">
        <f aca="false">H459*I459/100</f>
        <v>0</v>
      </c>
      <c r="L459" s="837" t="n">
        <v>7500</v>
      </c>
      <c r="M459" s="1003" t="n">
        <v>1</v>
      </c>
      <c r="N459" s="837" t="n">
        <f aca="false">L459*M459</f>
        <v>7500</v>
      </c>
      <c r="O459" s="837" t="n">
        <f aca="false">H459*N459</f>
        <v>135000</v>
      </c>
      <c r="P459" s="838" t="s">
        <v>2197</v>
      </c>
      <c r="Q459" s="839" t="s">
        <v>2426</v>
      </c>
      <c r="R459" s="840" t="n">
        <v>98010</v>
      </c>
      <c r="S459" s="840" t="n">
        <f aca="false">R459/H459</f>
        <v>5445</v>
      </c>
      <c r="T459" s="837" t="n">
        <f aca="false">O459-R459-R460</f>
        <v>0</v>
      </c>
      <c r="U459" s="842" t="n">
        <f aca="false">N459-S459-S460</f>
        <v>0</v>
      </c>
    </row>
    <row r="460" customFormat="false" ht="14.25" hidden="false" customHeight="false" outlineLevel="0" collapsed="false">
      <c r="A460" s="829"/>
      <c r="B460" s="830"/>
      <c r="C460" s="830"/>
      <c r="D460" s="887" t="s">
        <v>12</v>
      </c>
      <c r="E460" s="887" t="s">
        <v>2192</v>
      </c>
      <c r="F460" s="832"/>
      <c r="G460" s="833"/>
      <c r="H460" s="834"/>
      <c r="I460" s="1020"/>
      <c r="J460" s="1020"/>
      <c r="K460" s="836"/>
      <c r="L460" s="837"/>
      <c r="M460" s="1003"/>
      <c r="N460" s="837"/>
      <c r="O460" s="837"/>
      <c r="P460" s="888" t="s">
        <v>2197</v>
      </c>
      <c r="Q460" s="889" t="s">
        <v>2427</v>
      </c>
      <c r="R460" s="890" t="n">
        <v>36990</v>
      </c>
      <c r="S460" s="846" t="n">
        <f aca="false">R460/H459</f>
        <v>2055</v>
      </c>
      <c r="T460" s="837"/>
      <c r="U460" s="842"/>
    </row>
    <row r="461" customFormat="false" ht="14.25" hidden="false" customHeight="false" outlineLevel="0" collapsed="false">
      <c r="A461" s="847" t="n">
        <v>76</v>
      </c>
      <c r="B461" s="847" t="s">
        <v>81</v>
      </c>
      <c r="C461" s="847" t="n">
        <v>2024</v>
      </c>
      <c r="D461" s="848" t="s">
        <v>12</v>
      </c>
      <c r="E461" s="848" t="s">
        <v>2192</v>
      </c>
      <c r="F461" s="848" t="s">
        <v>1651</v>
      </c>
      <c r="G461" s="849"/>
      <c r="H461" s="949" t="n">
        <v>18</v>
      </c>
      <c r="I461" s="1397"/>
      <c r="J461" s="1397"/>
      <c r="K461" s="852" t="n">
        <f aca="false">H461*I461/100</f>
        <v>0</v>
      </c>
      <c r="L461" s="537" t="n">
        <v>5000</v>
      </c>
      <c r="M461" s="1007" t="n">
        <v>1</v>
      </c>
      <c r="N461" s="1143" t="n">
        <f aca="false">L461*M461</f>
        <v>5000</v>
      </c>
      <c r="O461" s="1143" t="n">
        <f aca="false">H461*N461</f>
        <v>90000</v>
      </c>
      <c r="P461" s="856" t="s">
        <v>2197</v>
      </c>
      <c r="Q461" s="857" t="s">
        <v>2427</v>
      </c>
      <c r="R461" s="854" t="n">
        <v>90000</v>
      </c>
      <c r="S461" s="854" t="n">
        <f aca="false">R461/H461</f>
        <v>5000</v>
      </c>
      <c r="T461" s="537" t="n">
        <f aca="false">O461-R461</f>
        <v>0</v>
      </c>
      <c r="U461" s="537" t="n">
        <f aca="false">N461-S461</f>
        <v>0</v>
      </c>
    </row>
    <row r="462" customFormat="false" ht="14.25" hidden="false" customHeight="false" outlineLevel="0" collapsed="false">
      <c r="A462" s="847" t="n">
        <v>78</v>
      </c>
      <c r="B462" s="847" t="s">
        <v>81</v>
      </c>
      <c r="C462" s="847" t="n">
        <v>2024</v>
      </c>
      <c r="D462" s="848" t="s">
        <v>12</v>
      </c>
      <c r="E462" s="848" t="s">
        <v>2192</v>
      </c>
      <c r="F462" s="848" t="s">
        <v>1651</v>
      </c>
      <c r="G462" s="849"/>
      <c r="H462" s="949" t="n">
        <v>18</v>
      </c>
      <c r="I462" s="1397"/>
      <c r="J462" s="1397"/>
      <c r="K462" s="852" t="n">
        <f aca="false">H462*I462/100</f>
        <v>0</v>
      </c>
      <c r="L462" s="537" t="n">
        <v>500</v>
      </c>
      <c r="M462" s="1007" t="n">
        <v>1</v>
      </c>
      <c r="N462" s="1143" t="n">
        <f aca="false">L462*M462</f>
        <v>500</v>
      </c>
      <c r="O462" s="1143" t="n">
        <f aca="false">H462*N462</f>
        <v>9000</v>
      </c>
      <c r="P462" s="856" t="s">
        <v>2197</v>
      </c>
      <c r="Q462" s="857" t="s">
        <v>2427</v>
      </c>
      <c r="R462" s="854" t="n">
        <v>9000</v>
      </c>
      <c r="S462" s="866" t="n">
        <f aca="false">R462/H462</f>
        <v>500</v>
      </c>
      <c r="T462" s="537" t="n">
        <f aca="false">O462-R462</f>
        <v>0</v>
      </c>
      <c r="U462" s="537" t="n">
        <f aca="false">N462-S462</f>
        <v>0</v>
      </c>
    </row>
    <row r="463" customFormat="false" ht="14.25" hidden="false" customHeight="false" outlineLevel="0" collapsed="false">
      <c r="A463" s="847" t="n">
        <v>80</v>
      </c>
      <c r="B463" s="847" t="s">
        <v>81</v>
      </c>
      <c r="C463" s="847" t="n">
        <v>2024</v>
      </c>
      <c r="D463" s="848" t="s">
        <v>12</v>
      </c>
      <c r="E463" s="848" t="s">
        <v>2192</v>
      </c>
      <c r="F463" s="848" t="s">
        <v>1651</v>
      </c>
      <c r="G463" s="849"/>
      <c r="H463" s="949" t="n">
        <v>18</v>
      </c>
      <c r="I463" s="1397"/>
      <c r="J463" s="1397"/>
      <c r="K463" s="852" t="n">
        <f aca="false">H463*I463/100</f>
        <v>0</v>
      </c>
      <c r="L463" s="537" t="n">
        <v>2000</v>
      </c>
      <c r="M463" s="1007" t="n">
        <v>1</v>
      </c>
      <c r="N463" s="1143" t="n">
        <f aca="false">L463*M463</f>
        <v>2000</v>
      </c>
      <c r="O463" s="1143" t="n">
        <f aca="false">H463*N463</f>
        <v>36000</v>
      </c>
      <c r="P463" s="856" t="s">
        <v>2197</v>
      </c>
      <c r="Q463" s="857" t="s">
        <v>2427</v>
      </c>
      <c r="R463" s="854" t="n">
        <v>36000</v>
      </c>
      <c r="S463" s="866" t="n">
        <f aca="false">R463/H463</f>
        <v>2000</v>
      </c>
      <c r="T463" s="537" t="n">
        <f aca="false">O463-R463</f>
        <v>0</v>
      </c>
      <c r="U463" s="537" t="n">
        <f aca="false">N463-S463</f>
        <v>0</v>
      </c>
    </row>
    <row r="464" customFormat="false" ht="14.25" hidden="false" customHeight="false" outlineLevel="0" collapsed="false">
      <c r="A464" s="903" t="n">
        <v>128</v>
      </c>
      <c r="B464" s="903" t="s">
        <v>81</v>
      </c>
      <c r="C464" s="903" t="n">
        <v>2024</v>
      </c>
      <c r="D464" s="904" t="s">
        <v>12</v>
      </c>
      <c r="E464" s="904" t="s">
        <v>2192</v>
      </c>
      <c r="F464" s="904" t="s">
        <v>2199</v>
      </c>
      <c r="G464" s="905"/>
      <c r="H464" s="946" t="n">
        <v>57.3</v>
      </c>
      <c r="I464" s="1055"/>
      <c r="J464" s="1055"/>
      <c r="K464" s="939" t="n">
        <f aca="false">H464*I464/100</f>
        <v>0</v>
      </c>
      <c r="L464" s="942" t="n">
        <v>2000</v>
      </c>
      <c r="M464" s="1023" t="n">
        <v>1</v>
      </c>
      <c r="N464" s="1137" t="n">
        <f aca="false">L464*M464</f>
        <v>2000</v>
      </c>
      <c r="O464" s="1137" t="n">
        <f aca="false">H464*N464</f>
        <v>114600</v>
      </c>
      <c r="P464" s="910" t="s">
        <v>2200</v>
      </c>
      <c r="Q464" s="911" t="s">
        <v>2428</v>
      </c>
      <c r="R464" s="891" t="n">
        <v>114600</v>
      </c>
      <c r="S464" s="877" t="n">
        <f aca="false">R464/H464</f>
        <v>2000</v>
      </c>
      <c r="T464" s="948" t="n">
        <f aca="false">O464-R464</f>
        <v>0</v>
      </c>
      <c r="U464" s="942" t="n">
        <f aca="false">N464-S464</f>
        <v>0</v>
      </c>
    </row>
    <row r="465" customFormat="false" ht="14.25" hidden="false" customHeight="false" outlineLevel="0" collapsed="false">
      <c r="A465" s="881" t="n">
        <v>98</v>
      </c>
      <c r="B465" s="829" t="s">
        <v>86</v>
      </c>
      <c r="C465" s="830" t="n">
        <v>2024</v>
      </c>
      <c r="D465" s="831" t="s">
        <v>12</v>
      </c>
      <c r="E465" s="831" t="s">
        <v>2192</v>
      </c>
      <c r="F465" s="832" t="s">
        <v>1650</v>
      </c>
      <c r="G465" s="833"/>
      <c r="H465" s="834" t="n">
        <v>93.1</v>
      </c>
      <c r="I465" s="1020"/>
      <c r="J465" s="1020"/>
      <c r="K465" s="836" t="n">
        <f aca="false">H465*I465/100</f>
        <v>0</v>
      </c>
      <c r="L465" s="837" t="n">
        <v>1545</v>
      </c>
      <c r="M465" s="1003" t="n">
        <v>1</v>
      </c>
      <c r="N465" s="837" t="n">
        <f aca="false">L465*M465</f>
        <v>1545</v>
      </c>
      <c r="O465" s="837" t="n">
        <f aca="false">H465*N465</f>
        <v>143839.5</v>
      </c>
      <c r="P465" s="838" t="s">
        <v>2200</v>
      </c>
      <c r="Q465" s="839" t="s">
        <v>2410</v>
      </c>
      <c r="R465" s="840" t="n">
        <v>48412</v>
      </c>
      <c r="S465" s="886" t="n">
        <f aca="false">R465/H465</f>
        <v>520</v>
      </c>
      <c r="T465" s="837" t="n">
        <f aca="false">O465-R465-R466</f>
        <v>0</v>
      </c>
      <c r="U465" s="842" t="n">
        <f aca="false">N465-S465-S466</f>
        <v>0</v>
      </c>
    </row>
    <row r="466" customFormat="false" ht="14.25" hidden="false" customHeight="false" outlineLevel="0" collapsed="false">
      <c r="A466" s="881"/>
      <c r="B466" s="829"/>
      <c r="C466" s="830"/>
      <c r="D466" s="887" t="s">
        <v>12</v>
      </c>
      <c r="E466" s="887" t="s">
        <v>2192</v>
      </c>
      <c r="F466" s="832"/>
      <c r="G466" s="833"/>
      <c r="H466" s="834"/>
      <c r="I466" s="1020"/>
      <c r="J466" s="1020"/>
      <c r="K466" s="836"/>
      <c r="L466" s="837"/>
      <c r="M466" s="1003"/>
      <c r="N466" s="837"/>
      <c r="O466" s="837"/>
      <c r="P466" s="888" t="s">
        <v>2193</v>
      </c>
      <c r="Q466" s="889" t="s">
        <v>2429</v>
      </c>
      <c r="R466" s="890" t="n">
        <v>95427.5</v>
      </c>
      <c r="S466" s="846" t="n">
        <f aca="false">R466/H465</f>
        <v>1025</v>
      </c>
      <c r="T466" s="837"/>
      <c r="U466" s="842"/>
    </row>
    <row r="467" customFormat="false" ht="14.25" hidden="false" customHeight="false" outlineLevel="0" collapsed="false">
      <c r="A467" s="881"/>
      <c r="B467" s="1155" t="s">
        <v>86</v>
      </c>
      <c r="C467" s="1155" t="n">
        <v>2024</v>
      </c>
      <c r="D467" s="1156" t="s">
        <v>12</v>
      </c>
      <c r="E467" s="1156" t="s">
        <v>2203</v>
      </c>
      <c r="F467" s="1156"/>
      <c r="G467" s="1157"/>
      <c r="H467" s="1389" t="n">
        <v>0.9</v>
      </c>
      <c r="I467" s="1513"/>
      <c r="J467" s="1513"/>
      <c r="K467" s="1160" t="n">
        <f aca="false">H467*I467/100</f>
        <v>0</v>
      </c>
      <c r="L467" s="1163" t="n">
        <v>134</v>
      </c>
      <c r="M467" s="1162" t="n">
        <v>1</v>
      </c>
      <c r="N467" s="1321" t="n">
        <f aca="false">L467*M467</f>
        <v>134</v>
      </c>
      <c r="O467" s="1321" t="n">
        <f aca="false">H467*N467</f>
        <v>120.6</v>
      </c>
      <c r="P467" s="1165"/>
      <c r="Q467" s="1323"/>
      <c r="R467" s="1168"/>
      <c r="S467" s="1168" t="n">
        <f aca="false">R467/H467</f>
        <v>0</v>
      </c>
      <c r="T467" s="1163" t="n">
        <f aca="false">O467-R467</f>
        <v>120.6</v>
      </c>
      <c r="U467" s="1170" t="n">
        <f aca="false">N467-S467</f>
        <v>134</v>
      </c>
    </row>
    <row r="468" customFormat="false" ht="14.25" hidden="false" customHeight="false" outlineLevel="0" collapsed="false">
      <c r="A468" s="881"/>
      <c r="B468" s="1155" t="s">
        <v>86</v>
      </c>
      <c r="C468" s="1155" t="n">
        <v>2024</v>
      </c>
      <c r="D468" s="1156" t="s">
        <v>12</v>
      </c>
      <c r="E468" s="1156" t="s">
        <v>2241</v>
      </c>
      <c r="F468" s="1156"/>
      <c r="G468" s="1157"/>
      <c r="H468" s="1389" t="n">
        <v>20.6</v>
      </c>
      <c r="I468" s="1513"/>
      <c r="J468" s="1513"/>
      <c r="K468" s="1212" t="n">
        <f aca="false">H468*I468/100</f>
        <v>0</v>
      </c>
      <c r="L468" s="1163" t="n">
        <v>148</v>
      </c>
      <c r="M468" s="1162" t="n">
        <v>1</v>
      </c>
      <c r="N468" s="1321" t="n">
        <f aca="false">L468*M468</f>
        <v>148</v>
      </c>
      <c r="O468" s="1398" t="n">
        <f aca="false">H468*N468</f>
        <v>3048.8</v>
      </c>
      <c r="P468" s="1165"/>
      <c r="Q468" s="1323"/>
      <c r="R468" s="1168"/>
      <c r="S468" s="1218"/>
      <c r="T468" s="1219" t="n">
        <f aca="false">O468-R468</f>
        <v>3048.8</v>
      </c>
      <c r="U468" s="1238" t="n">
        <f aca="false">N468-S468</f>
        <v>148</v>
      </c>
    </row>
    <row r="469" customFormat="false" ht="14.25" hidden="false" customHeight="false" outlineLevel="0" collapsed="false">
      <c r="A469" s="881"/>
      <c r="B469" s="1481" t="s">
        <v>86</v>
      </c>
      <c r="C469" s="1481" t="n">
        <v>2024</v>
      </c>
      <c r="D469" s="1482" t="s">
        <v>12</v>
      </c>
      <c r="E469" s="1482" t="s">
        <v>2205</v>
      </c>
      <c r="F469" s="1482"/>
      <c r="G469" s="1484"/>
      <c r="H469" s="1514" t="n">
        <v>0</v>
      </c>
      <c r="I469" s="1515"/>
      <c r="J469" s="1515"/>
      <c r="K469" s="1244" t="n">
        <f aca="false">H469*I469/100</f>
        <v>0</v>
      </c>
      <c r="L469" s="1492" t="n">
        <v>57</v>
      </c>
      <c r="M469" s="1488" t="n">
        <v>1</v>
      </c>
      <c r="N469" s="1487" t="n">
        <f aca="false">L469*M469</f>
        <v>57</v>
      </c>
      <c r="O469" s="1516" t="n">
        <f aca="false">H469*N469</f>
        <v>0</v>
      </c>
      <c r="P469" s="1489"/>
      <c r="Q469" s="1490"/>
      <c r="R469" s="1491"/>
      <c r="S469" s="1250"/>
      <c r="T469" s="1251" t="n">
        <f aca="false">O469-R469</f>
        <v>0</v>
      </c>
      <c r="U469" s="1252" t="n">
        <f aca="false">N469-S469</f>
        <v>57</v>
      </c>
    </row>
    <row r="470" customFormat="false" ht="14.25" hidden="false" customHeight="false" outlineLevel="0" collapsed="false">
      <c r="A470" s="882" t="n">
        <v>99</v>
      </c>
      <c r="B470" s="1028" t="s">
        <v>86</v>
      </c>
      <c r="C470" s="1028" t="n">
        <v>2024</v>
      </c>
      <c r="D470" s="1328" t="s">
        <v>12</v>
      </c>
      <c r="E470" s="1328" t="s">
        <v>2192</v>
      </c>
      <c r="F470" s="1328" t="s">
        <v>2199</v>
      </c>
      <c r="G470" s="1030"/>
      <c r="H470" s="1031" t="n">
        <v>80.1</v>
      </c>
      <c r="I470" s="1517"/>
      <c r="J470" s="1517"/>
      <c r="K470" s="1033" t="n">
        <f aca="false">H470*I470/100</f>
        <v>0</v>
      </c>
      <c r="L470" s="1036" t="n">
        <v>1978</v>
      </c>
      <c r="M470" s="1035" t="n">
        <v>1</v>
      </c>
      <c r="N470" s="1341" t="n">
        <f aca="false">L470*M470</f>
        <v>1978</v>
      </c>
      <c r="O470" s="1518" t="n">
        <f aca="false">H470*N470</f>
        <v>158437.8</v>
      </c>
      <c r="P470" s="884" t="s">
        <v>2193</v>
      </c>
      <c r="Q470" s="885" t="s">
        <v>2429</v>
      </c>
      <c r="R470" s="886" t="n">
        <v>158437.8</v>
      </c>
      <c r="S470" s="886" t="n">
        <f aca="false">R470/H470</f>
        <v>1978</v>
      </c>
      <c r="T470" s="1036" t="n">
        <f aca="false">O470-R470</f>
        <v>0</v>
      </c>
      <c r="U470" s="1037" t="n">
        <f aca="false">N470-S470</f>
        <v>0</v>
      </c>
    </row>
    <row r="471" customFormat="false" ht="14.25" hidden="false" customHeight="false" outlineLevel="0" collapsed="false">
      <c r="A471" s="882"/>
      <c r="B471" s="859" t="s">
        <v>86</v>
      </c>
      <c r="C471" s="859" t="n">
        <v>2024</v>
      </c>
      <c r="D471" s="860" t="s">
        <v>12</v>
      </c>
      <c r="E471" s="860" t="s">
        <v>2242</v>
      </c>
      <c r="F471" s="860"/>
      <c r="G471" s="861"/>
      <c r="H471" s="980" t="n">
        <v>44.6</v>
      </c>
      <c r="I471" s="1429"/>
      <c r="J471" s="1429"/>
      <c r="K471" s="864" t="n">
        <f aca="false">H471*I471/100</f>
        <v>0</v>
      </c>
      <c r="L471" s="543" t="n">
        <v>18</v>
      </c>
      <c r="M471" s="983" t="n">
        <v>1</v>
      </c>
      <c r="N471" s="1299" t="n">
        <f aca="false">L471*M471</f>
        <v>18</v>
      </c>
      <c r="O471" s="1430" t="n">
        <f aca="false">H471*N471</f>
        <v>802.8</v>
      </c>
      <c r="P471" s="868" t="s">
        <v>2195</v>
      </c>
      <c r="Q471" s="869" t="s">
        <v>1375</v>
      </c>
      <c r="R471" s="866" t="n">
        <v>802.8</v>
      </c>
      <c r="S471" s="866" t="n">
        <f aca="false">R471/H471</f>
        <v>18</v>
      </c>
      <c r="T471" s="543" t="n">
        <f aca="false">O471-R471</f>
        <v>0</v>
      </c>
      <c r="U471" s="543" t="n">
        <f aca="false">N471-S471</f>
        <v>0</v>
      </c>
    </row>
    <row r="472" customFormat="false" ht="14.25" hidden="false" customHeight="false" outlineLevel="0" collapsed="false">
      <c r="A472" s="882"/>
      <c r="B472" s="1481" t="s">
        <v>86</v>
      </c>
      <c r="C472" s="1481" t="n">
        <v>2024</v>
      </c>
      <c r="D472" s="1482" t="s">
        <v>12</v>
      </c>
      <c r="E472" s="1482" t="s">
        <v>2205</v>
      </c>
      <c r="F472" s="1482"/>
      <c r="G472" s="1484"/>
      <c r="H472" s="1514" t="n">
        <v>0</v>
      </c>
      <c r="I472" s="1515"/>
      <c r="J472" s="1515"/>
      <c r="K472" s="1244" t="n">
        <f aca="false">H472*I472/100</f>
        <v>0</v>
      </c>
      <c r="L472" s="1492" t="n">
        <v>263</v>
      </c>
      <c r="M472" s="1488" t="n">
        <v>1</v>
      </c>
      <c r="N472" s="1487" t="n">
        <f aca="false">L472*M472</f>
        <v>263</v>
      </c>
      <c r="O472" s="1519" t="n">
        <f aca="false">H472*N472</f>
        <v>0</v>
      </c>
      <c r="P472" s="1489"/>
      <c r="Q472" s="1490"/>
      <c r="R472" s="1491"/>
      <c r="S472" s="1491"/>
      <c r="T472" s="1492" t="n">
        <f aca="false">O472-R472</f>
        <v>0</v>
      </c>
      <c r="U472" s="1493" t="n">
        <f aca="false">N472-S472</f>
        <v>263</v>
      </c>
    </row>
    <row r="473" customFormat="false" ht="14.25" hidden="false" customHeight="false" outlineLevel="0" collapsed="false">
      <c r="A473" s="829" t="n">
        <v>136</v>
      </c>
      <c r="B473" s="830" t="s">
        <v>2207</v>
      </c>
      <c r="C473" s="830" t="n">
        <v>2024</v>
      </c>
      <c r="D473" s="831" t="s">
        <v>12</v>
      </c>
      <c r="E473" s="831" t="s">
        <v>2192</v>
      </c>
      <c r="F473" s="832" t="s">
        <v>1651</v>
      </c>
      <c r="G473" s="833"/>
      <c r="H473" s="834" t="n">
        <v>16.6218</v>
      </c>
      <c r="I473" s="1020"/>
      <c r="J473" s="1020"/>
      <c r="K473" s="836" t="n">
        <f aca="false">H473*I473/100</f>
        <v>0</v>
      </c>
      <c r="L473" s="837" t="n">
        <v>15273</v>
      </c>
      <c r="M473" s="1003" t="n">
        <v>1</v>
      </c>
      <c r="N473" s="837" t="n">
        <f aca="false">L473*M473</f>
        <v>15273</v>
      </c>
      <c r="O473" s="943" t="n">
        <f aca="false">H473*N473</f>
        <v>253864.7514</v>
      </c>
      <c r="P473" s="838" t="s">
        <v>2197</v>
      </c>
      <c r="Q473" s="839" t="s">
        <v>2430</v>
      </c>
      <c r="R473" s="840" t="n">
        <v>165303.801</v>
      </c>
      <c r="S473" s="840" t="n">
        <f aca="false">R473/H473</f>
        <v>9945</v>
      </c>
      <c r="T473" s="943" t="n">
        <f aca="false">O473-R473-R474</f>
        <v>0</v>
      </c>
      <c r="U473" s="842" t="n">
        <f aca="false">N473-S473-S474</f>
        <v>0</v>
      </c>
    </row>
    <row r="474" customFormat="false" ht="14.25" hidden="false" customHeight="false" outlineLevel="0" collapsed="false">
      <c r="A474" s="829"/>
      <c r="B474" s="830"/>
      <c r="C474" s="830"/>
      <c r="D474" s="887" t="s">
        <v>12</v>
      </c>
      <c r="E474" s="887" t="s">
        <v>2192</v>
      </c>
      <c r="F474" s="832"/>
      <c r="G474" s="833"/>
      <c r="H474" s="834"/>
      <c r="I474" s="1020"/>
      <c r="J474" s="1020"/>
      <c r="K474" s="836"/>
      <c r="L474" s="837"/>
      <c r="M474" s="1003"/>
      <c r="N474" s="837"/>
      <c r="O474" s="943"/>
      <c r="P474" s="888" t="s">
        <v>2197</v>
      </c>
      <c r="Q474" s="889" t="s">
        <v>2431</v>
      </c>
      <c r="R474" s="890" t="n">
        <v>88560.9504</v>
      </c>
      <c r="S474" s="846" t="n">
        <f aca="false">R474/H473</f>
        <v>5328</v>
      </c>
      <c r="T474" s="943"/>
      <c r="U474" s="842"/>
    </row>
    <row r="475" customFormat="false" ht="14.25" hidden="false" customHeight="false" outlineLevel="0" collapsed="false">
      <c r="A475" s="847"/>
      <c r="B475" s="847"/>
      <c r="C475" s="847"/>
      <c r="D475" s="848"/>
      <c r="E475" s="848"/>
      <c r="F475" s="1479"/>
      <c r="G475" s="849"/>
      <c r="H475" s="850"/>
      <c r="I475" s="852"/>
      <c r="J475" s="852"/>
      <c r="K475" s="852"/>
      <c r="L475" s="1143"/>
      <c r="M475" s="1007"/>
      <c r="N475" s="1143"/>
      <c r="O475" s="1143"/>
      <c r="P475" s="856"/>
      <c r="Q475" s="857"/>
      <c r="R475" s="854"/>
      <c r="S475" s="854"/>
      <c r="T475" s="537"/>
      <c r="U475" s="537"/>
    </row>
    <row r="476" customFormat="false" ht="14.25" hidden="false" customHeight="false" outlineLevel="0" collapsed="false">
      <c r="A476" s="859" t="n">
        <v>216</v>
      </c>
      <c r="B476" s="859" t="s">
        <v>2191</v>
      </c>
      <c r="C476" s="859" t="n">
        <v>2022</v>
      </c>
      <c r="D476" s="860" t="s">
        <v>5</v>
      </c>
      <c r="E476" s="860" t="s">
        <v>2192</v>
      </c>
      <c r="F476" s="860" t="s">
        <v>1651</v>
      </c>
      <c r="G476" s="861"/>
      <c r="H476" s="1520" t="n">
        <v>25.71</v>
      </c>
      <c r="I476" s="864"/>
      <c r="J476" s="864"/>
      <c r="K476" s="864" t="n">
        <f aca="false">H476*I476/100</f>
        <v>0</v>
      </c>
      <c r="L476" s="1299" t="n">
        <v>12</v>
      </c>
      <c r="M476" s="983" t="n">
        <v>15</v>
      </c>
      <c r="N476" s="1299" t="n">
        <f aca="false">L476*M476</f>
        <v>180</v>
      </c>
      <c r="O476" s="1299" t="n">
        <f aca="false">H476*N476</f>
        <v>4627.8</v>
      </c>
      <c r="P476" s="868" t="s">
        <v>2193</v>
      </c>
      <c r="Q476" s="869" t="s">
        <v>2432</v>
      </c>
      <c r="R476" s="1521" t="n">
        <v>4627.5</v>
      </c>
      <c r="S476" s="866" t="n">
        <f aca="false">R476/H476</f>
        <v>179.988331388565</v>
      </c>
      <c r="T476" s="543" t="n">
        <f aca="false">O476-R476</f>
        <v>0.300000000000182</v>
      </c>
      <c r="U476" s="543" t="n">
        <f aca="false">N476-S476</f>
        <v>0.0116686114352547</v>
      </c>
    </row>
    <row r="477" customFormat="false" ht="14.25" hidden="false" customHeight="false" outlineLevel="0" collapsed="false">
      <c r="A477" s="859" t="n">
        <v>326</v>
      </c>
      <c r="B477" s="859" t="s">
        <v>2191</v>
      </c>
      <c r="C477" s="859" t="n">
        <v>2022</v>
      </c>
      <c r="D477" s="860" t="s">
        <v>5</v>
      </c>
      <c r="E477" s="860" t="s">
        <v>2192</v>
      </c>
      <c r="F477" s="860" t="s">
        <v>1652</v>
      </c>
      <c r="G477" s="861"/>
      <c r="H477" s="862" t="n">
        <v>37.5</v>
      </c>
      <c r="I477" s="864"/>
      <c r="J477" s="864"/>
      <c r="K477" s="864" t="n">
        <f aca="false">H477*I477/100</f>
        <v>0</v>
      </c>
      <c r="L477" s="1439" t="n">
        <v>1</v>
      </c>
      <c r="M477" s="983" t="n">
        <v>15</v>
      </c>
      <c r="N477" s="1299" t="n">
        <f aca="false">L477*M477</f>
        <v>15</v>
      </c>
      <c r="O477" s="1299" t="n">
        <f aca="false">H477*N477</f>
        <v>562.5</v>
      </c>
      <c r="P477" s="868" t="s">
        <v>2193</v>
      </c>
      <c r="Q477" s="869" t="s">
        <v>2432</v>
      </c>
      <c r="R477" s="866" t="n">
        <v>562.5</v>
      </c>
      <c r="S477" s="877" t="n">
        <f aca="false">R477/H477</f>
        <v>15</v>
      </c>
      <c r="T477" s="543" t="n">
        <f aca="false">O477-R477</f>
        <v>0</v>
      </c>
      <c r="U477" s="543" t="n">
        <f aca="false">N477-S477</f>
        <v>0</v>
      </c>
    </row>
    <row r="478" customFormat="false" ht="14.25" hidden="false" customHeight="false" outlineLevel="0" collapsed="false">
      <c r="A478" s="859" t="n">
        <v>347</v>
      </c>
      <c r="B478" s="859" t="s">
        <v>2191</v>
      </c>
      <c r="C478" s="859" t="n">
        <v>2022</v>
      </c>
      <c r="D478" s="860" t="s">
        <v>5</v>
      </c>
      <c r="E478" s="860" t="s">
        <v>2192</v>
      </c>
      <c r="F478" s="860" t="s">
        <v>2131</v>
      </c>
      <c r="G478" s="861"/>
      <c r="H478" s="862" t="n">
        <v>60</v>
      </c>
      <c r="I478" s="864"/>
      <c r="J478" s="864"/>
      <c r="K478" s="864" t="n">
        <f aca="false">H478*I478/100</f>
        <v>0</v>
      </c>
      <c r="L478" s="1439" t="n">
        <v>1</v>
      </c>
      <c r="M478" s="983" t="n">
        <v>25</v>
      </c>
      <c r="N478" s="1299" t="n">
        <f aca="false">L478*M478</f>
        <v>25</v>
      </c>
      <c r="O478" s="1299" t="n">
        <f aca="false">H478*N478</f>
        <v>1500</v>
      </c>
      <c r="P478" s="868" t="s">
        <v>2232</v>
      </c>
      <c r="Q478" s="869" t="s">
        <v>2254</v>
      </c>
      <c r="R478" s="866" t="n">
        <v>1500</v>
      </c>
      <c r="S478" s="877" t="n">
        <f aca="false">R478/H478</f>
        <v>25</v>
      </c>
      <c r="T478" s="543" t="n">
        <f aca="false">O478-R478</f>
        <v>0</v>
      </c>
      <c r="U478" s="543" t="n">
        <f aca="false">N478-S478</f>
        <v>0</v>
      </c>
    </row>
    <row r="479" customFormat="false" ht="14.25" hidden="false" customHeight="false" outlineLevel="0" collapsed="false">
      <c r="A479" s="859" t="n">
        <v>353</v>
      </c>
      <c r="B479" s="859" t="s">
        <v>2191</v>
      </c>
      <c r="C479" s="859" t="n">
        <v>2022</v>
      </c>
      <c r="D479" s="860" t="s">
        <v>5</v>
      </c>
      <c r="E479" s="860" t="s">
        <v>2192</v>
      </c>
      <c r="F479" s="860" t="s">
        <v>2133</v>
      </c>
      <c r="G479" s="861"/>
      <c r="H479" s="862" t="n">
        <v>90</v>
      </c>
      <c r="I479" s="864"/>
      <c r="J479" s="864"/>
      <c r="K479" s="864" t="n">
        <f aca="false">H479*I479/100</f>
        <v>0</v>
      </c>
      <c r="L479" s="1439" t="n">
        <v>4138</v>
      </c>
      <c r="M479" s="983" t="n">
        <v>1</v>
      </c>
      <c r="N479" s="1299" t="n">
        <f aca="false">L479*M479</f>
        <v>4138</v>
      </c>
      <c r="O479" s="1299" t="n">
        <f aca="false">H479*N479</f>
        <v>372420</v>
      </c>
      <c r="P479" s="868" t="s">
        <v>2204</v>
      </c>
      <c r="Q479" s="869" t="n">
        <v>16102024</v>
      </c>
      <c r="R479" s="866" t="n">
        <v>372420</v>
      </c>
      <c r="S479" s="877" t="n">
        <f aca="false">R479/H479</f>
        <v>4138</v>
      </c>
      <c r="T479" s="543" t="n">
        <f aca="false">O479-R479</f>
        <v>0</v>
      </c>
      <c r="U479" s="543" t="n">
        <f aca="false">N479-S479</f>
        <v>0</v>
      </c>
    </row>
    <row r="480" customFormat="false" ht="14.25" hidden="false" customHeight="false" outlineLevel="0" collapsed="false">
      <c r="A480" s="870" t="n">
        <v>452</v>
      </c>
      <c r="B480" s="870" t="s">
        <v>2191</v>
      </c>
      <c r="C480" s="870" t="n">
        <v>2022</v>
      </c>
      <c r="D480" s="871" t="s">
        <v>5</v>
      </c>
      <c r="E480" s="871" t="s">
        <v>2192</v>
      </c>
      <c r="F480" s="871" t="s">
        <v>1651</v>
      </c>
      <c r="G480" s="872"/>
      <c r="H480" s="873" t="n">
        <v>25.71</v>
      </c>
      <c r="I480" s="875"/>
      <c r="J480" s="875"/>
      <c r="K480" s="875" t="n">
        <f aca="false">H480*I480/100</f>
        <v>0</v>
      </c>
      <c r="L480" s="1437" t="n">
        <v>5</v>
      </c>
      <c r="M480" s="1000" t="n">
        <v>15</v>
      </c>
      <c r="N480" s="1301" t="n">
        <f aca="false">L480*M480</f>
        <v>75</v>
      </c>
      <c r="O480" s="1301" t="n">
        <f aca="false">H480*N480</f>
        <v>1928.25</v>
      </c>
      <c r="P480" s="879" t="s">
        <v>2193</v>
      </c>
      <c r="Q480" s="880" t="s">
        <v>2432</v>
      </c>
      <c r="R480" s="877" t="n">
        <v>1928.25</v>
      </c>
      <c r="S480" s="877" t="n">
        <f aca="false">R480/H480</f>
        <v>75</v>
      </c>
      <c r="T480" s="543" t="n">
        <f aca="false">O480-R480</f>
        <v>0</v>
      </c>
      <c r="U480" s="553" t="n">
        <f aca="false">N480-S480</f>
        <v>0</v>
      </c>
    </row>
    <row r="481" customFormat="false" ht="14.25" hidden="false" customHeight="false" outlineLevel="0" collapsed="false">
      <c r="A481" s="870" t="n">
        <v>454</v>
      </c>
      <c r="B481" s="870" t="s">
        <v>2191</v>
      </c>
      <c r="C481" s="870" t="n">
        <v>2022</v>
      </c>
      <c r="D481" s="871" t="s">
        <v>5</v>
      </c>
      <c r="E481" s="871" t="s">
        <v>2192</v>
      </c>
      <c r="F481" s="871" t="s">
        <v>1731</v>
      </c>
      <c r="G481" s="872"/>
      <c r="H481" s="873" t="n">
        <v>60</v>
      </c>
      <c r="I481" s="875"/>
      <c r="J481" s="875"/>
      <c r="K481" s="875" t="n">
        <f aca="false">H481*I481/100</f>
        <v>0</v>
      </c>
      <c r="L481" s="1437" t="n">
        <v>425</v>
      </c>
      <c r="M481" s="1000" t="n">
        <v>1</v>
      </c>
      <c r="N481" s="1301" t="n">
        <f aca="false">L481*M481</f>
        <v>425</v>
      </c>
      <c r="O481" s="1301" t="n">
        <f aca="false">H481*N481</f>
        <v>25500</v>
      </c>
      <c r="P481" s="879" t="s">
        <v>2204</v>
      </c>
      <c r="Q481" s="880" t="n">
        <v>16102024</v>
      </c>
      <c r="R481" s="877" t="n">
        <v>25500</v>
      </c>
      <c r="S481" s="877" t="n">
        <f aca="false">R481/H481</f>
        <v>425</v>
      </c>
      <c r="T481" s="553" t="n">
        <f aca="false">O481-R481</f>
        <v>0</v>
      </c>
      <c r="U481" s="553" t="n">
        <f aca="false">N481-S481</f>
        <v>0</v>
      </c>
    </row>
    <row r="482" customFormat="false" ht="14.25" hidden="false" customHeight="false" outlineLevel="0" collapsed="false">
      <c r="A482" s="829" t="n">
        <v>584</v>
      </c>
      <c r="B482" s="830" t="s">
        <v>2191</v>
      </c>
      <c r="C482" s="830" t="n">
        <v>2022</v>
      </c>
      <c r="D482" s="831" t="s">
        <v>5</v>
      </c>
      <c r="E482" s="831" t="s">
        <v>2192</v>
      </c>
      <c r="F482" s="832" t="s">
        <v>1651</v>
      </c>
      <c r="G482" s="833"/>
      <c r="H482" s="834" t="n">
        <v>25.71</v>
      </c>
      <c r="I482" s="1020"/>
      <c r="J482" s="1020"/>
      <c r="K482" s="836" t="n">
        <f aca="false">H482*I482/100</f>
        <v>0</v>
      </c>
      <c r="L482" s="837" t="n">
        <v>12</v>
      </c>
      <c r="M482" s="1003" t="n">
        <v>15</v>
      </c>
      <c r="N482" s="837" t="n">
        <f aca="false">L482*M482</f>
        <v>180</v>
      </c>
      <c r="O482" s="837" t="n">
        <f aca="false">H482*N482</f>
        <v>4627.8</v>
      </c>
      <c r="P482" s="838" t="s">
        <v>2193</v>
      </c>
      <c r="Q482" s="839" t="s">
        <v>2432</v>
      </c>
      <c r="R482" s="840" t="n">
        <v>3470.85</v>
      </c>
      <c r="S482" s="840" t="n">
        <f aca="false">R482/H482</f>
        <v>135</v>
      </c>
      <c r="T482" s="837" t="n">
        <f aca="false">O482-R482-R483</f>
        <v>0</v>
      </c>
      <c r="U482" s="842" t="n">
        <f aca="false">N482-S482-S483</f>
        <v>0</v>
      </c>
    </row>
    <row r="483" customFormat="false" ht="14.25" hidden="false" customHeight="false" outlineLevel="0" collapsed="false">
      <c r="A483" s="829"/>
      <c r="B483" s="830"/>
      <c r="C483" s="830"/>
      <c r="D483" s="843" t="s">
        <v>5</v>
      </c>
      <c r="E483" s="843" t="s">
        <v>2192</v>
      </c>
      <c r="F483" s="832"/>
      <c r="G483" s="833"/>
      <c r="H483" s="834"/>
      <c r="I483" s="1020"/>
      <c r="J483" s="1020"/>
      <c r="K483" s="836"/>
      <c r="L483" s="837"/>
      <c r="M483" s="1003"/>
      <c r="N483" s="837"/>
      <c r="O483" s="837"/>
      <c r="P483" s="844" t="s">
        <v>2195</v>
      </c>
      <c r="Q483" s="845" t="s">
        <v>1375</v>
      </c>
      <c r="R483" s="846" t="n">
        <v>1156.95</v>
      </c>
      <c r="S483" s="846" t="n">
        <f aca="false">R483/H482</f>
        <v>45</v>
      </c>
      <c r="T483" s="837"/>
      <c r="U483" s="842"/>
    </row>
    <row r="484" customFormat="false" ht="15" hidden="false" customHeight="true" outlineLevel="0" collapsed="false">
      <c r="A484" s="1081" t="n">
        <v>8</v>
      </c>
      <c r="B484" s="1072" t="s">
        <v>86</v>
      </c>
      <c r="C484" s="1072" t="n">
        <v>2023</v>
      </c>
      <c r="D484" s="848" t="s">
        <v>5</v>
      </c>
      <c r="E484" s="848" t="s">
        <v>2241</v>
      </c>
      <c r="F484" s="1072"/>
      <c r="G484" s="1062"/>
      <c r="H484" s="1522" t="n">
        <v>47.1</v>
      </c>
      <c r="I484" s="1078"/>
      <c r="J484" s="1078"/>
      <c r="K484" s="1064" t="n">
        <f aca="false">H484*I484/100</f>
        <v>0</v>
      </c>
      <c r="L484" s="1067" t="n">
        <v>928</v>
      </c>
      <c r="M484" s="1066" t="n">
        <v>1</v>
      </c>
      <c r="N484" s="1067" t="n">
        <f aca="false">L484*M484</f>
        <v>928</v>
      </c>
      <c r="O484" s="1067" t="n">
        <f aca="false">H484*N484</f>
        <v>43708.8</v>
      </c>
      <c r="P484" s="910" t="s">
        <v>2195</v>
      </c>
      <c r="Q484" s="911" t="s">
        <v>2240</v>
      </c>
      <c r="R484" s="1025" t="n">
        <v>11445.3</v>
      </c>
      <c r="S484" s="891" t="n">
        <f aca="false">R484/H484</f>
        <v>243</v>
      </c>
      <c r="T484" s="1069" t="n">
        <f aca="false">O484-R484-R486-R485</f>
        <v>0</v>
      </c>
      <c r="U484" s="1070" t="n">
        <f aca="false">N484-S484-S486-S485</f>
        <v>0</v>
      </c>
    </row>
    <row r="485" customFormat="false" ht="15" hidden="false" customHeight="true" outlineLevel="0" collapsed="false">
      <c r="A485" s="1081"/>
      <c r="B485" s="1072"/>
      <c r="C485" s="1072"/>
      <c r="D485" s="860" t="s">
        <v>5</v>
      </c>
      <c r="E485" s="860" t="s">
        <v>2241</v>
      </c>
      <c r="F485" s="1072"/>
      <c r="G485" s="1062"/>
      <c r="H485" s="1522"/>
      <c r="I485" s="1078"/>
      <c r="J485" s="1078"/>
      <c r="K485" s="1064"/>
      <c r="L485" s="1067"/>
      <c r="M485" s="1066"/>
      <c r="N485" s="1067"/>
      <c r="O485" s="1067"/>
      <c r="P485" s="868" t="s">
        <v>2204</v>
      </c>
      <c r="Q485" s="869" t="n">
        <v>14052024</v>
      </c>
      <c r="R485" s="1018" t="n">
        <v>12010.5</v>
      </c>
      <c r="S485" s="866" t="n">
        <f aca="false">R485/H484</f>
        <v>255</v>
      </c>
      <c r="T485" s="1069"/>
      <c r="U485" s="1070"/>
    </row>
    <row r="486" customFormat="false" ht="15" hidden="false" customHeight="true" outlineLevel="0" collapsed="false">
      <c r="A486" s="1081"/>
      <c r="B486" s="1072"/>
      <c r="C486" s="1072"/>
      <c r="D486" s="887" t="s">
        <v>5</v>
      </c>
      <c r="E486" s="887" t="s">
        <v>2241</v>
      </c>
      <c r="F486" s="1072"/>
      <c r="G486" s="1062"/>
      <c r="H486" s="1522"/>
      <c r="I486" s="1078"/>
      <c r="J486" s="1078"/>
      <c r="K486" s="1064"/>
      <c r="L486" s="1067"/>
      <c r="M486" s="1066"/>
      <c r="N486" s="1067"/>
      <c r="O486" s="1067"/>
      <c r="P486" s="888" t="s">
        <v>2200</v>
      </c>
      <c r="Q486" s="889" t="s">
        <v>2433</v>
      </c>
      <c r="R486" s="890" t="n">
        <v>20253</v>
      </c>
      <c r="S486" s="890" t="n">
        <f aca="false">R486/H484</f>
        <v>430</v>
      </c>
      <c r="T486" s="1069"/>
      <c r="U486" s="1070"/>
    </row>
    <row r="487" customFormat="false" ht="15" hidden="false" customHeight="true" outlineLevel="0" collapsed="false">
      <c r="A487" s="847" t="n">
        <v>19</v>
      </c>
      <c r="B487" s="847" t="s">
        <v>86</v>
      </c>
      <c r="C487" s="847" t="n">
        <v>2023</v>
      </c>
      <c r="D487" s="848" t="s">
        <v>5</v>
      </c>
      <c r="E487" s="848" t="s">
        <v>2242</v>
      </c>
      <c r="F487" s="847"/>
      <c r="G487" s="849"/>
      <c r="H487" s="1523" t="n">
        <v>46.5</v>
      </c>
      <c r="I487" s="1397"/>
      <c r="J487" s="1397"/>
      <c r="K487" s="852" t="n">
        <f aca="false">H487*I487/100</f>
        <v>0</v>
      </c>
      <c r="L487" s="537" t="n">
        <v>263</v>
      </c>
      <c r="M487" s="1007" t="n">
        <v>1</v>
      </c>
      <c r="N487" s="537" t="n">
        <f aca="false">L487*M487</f>
        <v>263</v>
      </c>
      <c r="O487" s="537" t="n">
        <f aca="false">H487*N487</f>
        <v>12229.5</v>
      </c>
      <c r="P487" s="856" t="s">
        <v>2200</v>
      </c>
      <c r="Q487" s="857" t="s">
        <v>2434</v>
      </c>
      <c r="R487" s="854" t="n">
        <v>12229.5</v>
      </c>
      <c r="S487" s="877" t="n">
        <f aca="false">R487/H487</f>
        <v>263</v>
      </c>
      <c r="T487" s="1009" t="n">
        <f aca="false">O487-R487</f>
        <v>0</v>
      </c>
      <c r="U487" s="537" t="n">
        <f aca="false">N487-S487</f>
        <v>0</v>
      </c>
    </row>
    <row r="488" customFormat="false" ht="15" hidden="false" customHeight="true" outlineLevel="0" collapsed="false">
      <c r="A488" s="903" t="n">
        <v>36</v>
      </c>
      <c r="B488" s="903" t="s">
        <v>2230</v>
      </c>
      <c r="C488" s="903" t="n">
        <v>2023</v>
      </c>
      <c r="D488" s="904" t="s">
        <v>5</v>
      </c>
      <c r="E488" s="904" t="s">
        <v>2242</v>
      </c>
      <c r="F488" s="903"/>
      <c r="G488" s="905"/>
      <c r="H488" s="1524" t="n">
        <v>47.1</v>
      </c>
      <c r="I488" s="1055"/>
      <c r="J488" s="1055"/>
      <c r="K488" s="939" t="n">
        <f aca="false">H488*I488/100</f>
        <v>0</v>
      </c>
      <c r="L488" s="942" t="n">
        <v>589</v>
      </c>
      <c r="M488" s="1023" t="n">
        <v>1</v>
      </c>
      <c r="N488" s="942" t="n">
        <f aca="false">L488*M488</f>
        <v>589</v>
      </c>
      <c r="O488" s="942" t="n">
        <f aca="false">H488*N488</f>
        <v>27741.9</v>
      </c>
      <c r="P488" s="910" t="s">
        <v>2200</v>
      </c>
      <c r="Q488" s="911" t="s">
        <v>2434</v>
      </c>
      <c r="R488" s="891" t="n">
        <v>27741.9</v>
      </c>
      <c r="S488" s="877" t="n">
        <f aca="false">R488/H488</f>
        <v>589</v>
      </c>
      <c r="T488" s="941" t="n">
        <f aca="false">O488-R488</f>
        <v>0</v>
      </c>
      <c r="U488" s="942" t="n">
        <f aca="false">N488-S488</f>
        <v>0</v>
      </c>
    </row>
    <row r="489" customFormat="false" ht="15" hidden="false" customHeight="true" outlineLevel="0" collapsed="false">
      <c r="A489" s="870" t="n">
        <v>64</v>
      </c>
      <c r="B489" s="870" t="s">
        <v>86</v>
      </c>
      <c r="C489" s="870" t="n">
        <v>2023</v>
      </c>
      <c r="D489" s="871" t="s">
        <v>5</v>
      </c>
      <c r="E489" s="871" t="s">
        <v>2242</v>
      </c>
      <c r="F489" s="870"/>
      <c r="G489" s="872"/>
      <c r="H489" s="1525" t="n">
        <v>0</v>
      </c>
      <c r="I489" s="1433"/>
      <c r="J489" s="1433"/>
      <c r="K489" s="875" t="n">
        <f aca="false">H489*I489/100</f>
        <v>0</v>
      </c>
      <c r="L489" s="553" t="n">
        <v>389</v>
      </c>
      <c r="M489" s="1000" t="n">
        <v>1</v>
      </c>
      <c r="N489" s="553" t="n">
        <f aca="false">L489*M489</f>
        <v>389</v>
      </c>
      <c r="O489" s="553" t="n">
        <f aca="false">H489*N489</f>
        <v>0</v>
      </c>
      <c r="P489" s="879" t="s">
        <v>2204</v>
      </c>
      <c r="Q489" s="880" t="n">
        <v>13052024</v>
      </c>
      <c r="R489" s="877" t="n">
        <v>0</v>
      </c>
      <c r="S489" s="877" t="n">
        <v>389</v>
      </c>
      <c r="T489" s="1014" t="n">
        <f aca="false">O489-R489</f>
        <v>0</v>
      </c>
      <c r="U489" s="553" t="n">
        <f aca="false">N489-S489</f>
        <v>0</v>
      </c>
    </row>
    <row r="490" customFormat="false" ht="15" hidden="false" customHeight="true" outlineLevel="0" collapsed="false">
      <c r="A490" s="829" t="n">
        <v>110</v>
      </c>
      <c r="B490" s="830" t="s">
        <v>86</v>
      </c>
      <c r="C490" s="830" t="n">
        <v>2023</v>
      </c>
      <c r="D490" s="831" t="s">
        <v>5</v>
      </c>
      <c r="E490" s="831" t="s">
        <v>2242</v>
      </c>
      <c r="F490" s="830"/>
      <c r="G490" s="833"/>
      <c r="H490" s="1526" t="n">
        <v>0</v>
      </c>
      <c r="I490" s="1020"/>
      <c r="J490" s="1020"/>
      <c r="K490" s="836" t="n">
        <f aca="false">H490*I490/100</f>
        <v>0</v>
      </c>
      <c r="L490" s="837" t="n">
        <v>902</v>
      </c>
      <c r="M490" s="1003" t="n">
        <v>1</v>
      </c>
      <c r="N490" s="837" t="n">
        <f aca="false">L490*M490</f>
        <v>902</v>
      </c>
      <c r="O490" s="837" t="n">
        <f aca="false">H490*N490</f>
        <v>0</v>
      </c>
      <c r="P490" s="838" t="s">
        <v>2204</v>
      </c>
      <c r="Q490" s="839" t="n">
        <v>13052024</v>
      </c>
      <c r="R490" s="840" t="n">
        <v>0</v>
      </c>
      <c r="S490" s="840" t="n">
        <v>289</v>
      </c>
      <c r="T490" s="1017" t="n">
        <f aca="false">O490-R490</f>
        <v>0</v>
      </c>
      <c r="U490" s="842" t="n">
        <f aca="false">N490-S490-S491</f>
        <v>0</v>
      </c>
    </row>
    <row r="491" customFormat="false" ht="15" hidden="false" customHeight="true" outlineLevel="0" collapsed="false">
      <c r="A491" s="829"/>
      <c r="B491" s="830"/>
      <c r="C491" s="830"/>
      <c r="D491" s="843" t="s">
        <v>5</v>
      </c>
      <c r="E491" s="843" t="s">
        <v>2242</v>
      </c>
      <c r="F491" s="830"/>
      <c r="G491" s="833"/>
      <c r="H491" s="1526"/>
      <c r="I491" s="1020"/>
      <c r="J491" s="1020"/>
      <c r="K491" s="836"/>
      <c r="L491" s="837"/>
      <c r="M491" s="1003"/>
      <c r="N491" s="837"/>
      <c r="O491" s="837"/>
      <c r="P491" s="844" t="s">
        <v>2204</v>
      </c>
      <c r="Q491" s="845" t="n">
        <v>14052024</v>
      </c>
      <c r="R491" s="846" t="n">
        <v>0</v>
      </c>
      <c r="S491" s="846" t="n">
        <v>613</v>
      </c>
      <c r="T491" s="1017"/>
      <c r="U491" s="842"/>
    </row>
    <row r="492" customFormat="false" ht="15" hidden="false" customHeight="true" outlineLevel="0" collapsed="false">
      <c r="A492" s="903" t="n">
        <v>117</v>
      </c>
      <c r="B492" s="903" t="s">
        <v>86</v>
      </c>
      <c r="C492" s="903" t="n">
        <v>2023</v>
      </c>
      <c r="D492" s="904" t="s">
        <v>5</v>
      </c>
      <c r="E492" s="904" t="s">
        <v>2203</v>
      </c>
      <c r="F492" s="903"/>
      <c r="G492" s="905"/>
      <c r="H492" s="1524" t="n">
        <v>0</v>
      </c>
      <c r="I492" s="1055"/>
      <c r="J492" s="1055"/>
      <c r="K492" s="939" t="n">
        <f aca="false">H492*I492/100</f>
        <v>0</v>
      </c>
      <c r="L492" s="942" t="n">
        <v>277</v>
      </c>
      <c r="M492" s="1023" t="n">
        <v>1</v>
      </c>
      <c r="N492" s="942" t="n">
        <f aca="false">L492*M492</f>
        <v>277</v>
      </c>
      <c r="O492" s="942" t="n">
        <f aca="false">H492*N492</f>
        <v>0</v>
      </c>
      <c r="P492" s="910" t="s">
        <v>2204</v>
      </c>
      <c r="Q492" s="911" t="n">
        <v>15052024</v>
      </c>
      <c r="R492" s="891" t="n">
        <v>0</v>
      </c>
      <c r="S492" s="891" t="n">
        <v>277</v>
      </c>
      <c r="T492" s="941" t="n">
        <f aca="false">O492-R492</f>
        <v>0</v>
      </c>
      <c r="U492" s="942" t="n">
        <f aca="false">N492-S492</f>
        <v>0</v>
      </c>
    </row>
    <row r="493" customFormat="false" ht="15" hidden="false" customHeight="true" outlineLevel="0" collapsed="false">
      <c r="A493" s="882" t="n">
        <v>117</v>
      </c>
      <c r="B493" s="883" t="s">
        <v>2191</v>
      </c>
      <c r="C493" s="883" t="n">
        <v>2023</v>
      </c>
      <c r="D493" s="831" t="s">
        <v>5</v>
      </c>
      <c r="E493" s="831" t="s">
        <v>2192</v>
      </c>
      <c r="F493" s="832" t="s">
        <v>2133</v>
      </c>
      <c r="G493" s="833"/>
      <c r="H493" s="1527" t="n">
        <v>90</v>
      </c>
      <c r="I493" s="1020"/>
      <c r="J493" s="1020"/>
      <c r="K493" s="836" t="n">
        <f aca="false">H493*I493/100</f>
        <v>0</v>
      </c>
      <c r="L493" s="837" t="n">
        <v>21</v>
      </c>
      <c r="M493" s="1003" t="n">
        <v>6</v>
      </c>
      <c r="N493" s="837" t="n">
        <f aca="false">L493*M493</f>
        <v>126</v>
      </c>
      <c r="O493" s="837" t="n">
        <f aca="false">H493*N493</f>
        <v>11340</v>
      </c>
      <c r="P493" s="838" t="s">
        <v>2193</v>
      </c>
      <c r="Q493" s="839" t="s">
        <v>2433</v>
      </c>
      <c r="R493" s="840" t="n">
        <v>5400</v>
      </c>
      <c r="S493" s="886" t="n">
        <f aca="false">R493/H493</f>
        <v>60</v>
      </c>
      <c r="T493" s="1017" t="n">
        <f aca="false">O493-R493-R495-R494</f>
        <v>0</v>
      </c>
      <c r="U493" s="842" t="n">
        <f aca="false">N493-S493-S495-S494</f>
        <v>0</v>
      </c>
    </row>
    <row r="494" customFormat="false" ht="15" hidden="false" customHeight="true" outlineLevel="0" collapsed="false">
      <c r="A494" s="882"/>
      <c r="B494" s="883"/>
      <c r="C494" s="883"/>
      <c r="D494" s="904" t="s">
        <v>5</v>
      </c>
      <c r="E494" s="904" t="s">
        <v>2192</v>
      </c>
      <c r="F494" s="832"/>
      <c r="G494" s="833"/>
      <c r="H494" s="1527"/>
      <c r="I494" s="1020"/>
      <c r="J494" s="1020"/>
      <c r="K494" s="836"/>
      <c r="L494" s="837"/>
      <c r="M494" s="1003"/>
      <c r="N494" s="837"/>
      <c r="O494" s="837"/>
      <c r="P494" s="910" t="s">
        <v>2193</v>
      </c>
      <c r="Q494" s="911" t="s">
        <v>2435</v>
      </c>
      <c r="R494" s="891" t="n">
        <v>1620</v>
      </c>
      <c r="S494" s="866" t="n">
        <f aca="false">R494/H493</f>
        <v>18</v>
      </c>
      <c r="T494" s="1017"/>
      <c r="U494" s="842"/>
    </row>
    <row r="495" customFormat="false" ht="15" hidden="false" customHeight="true" outlineLevel="0" collapsed="false">
      <c r="A495" s="882"/>
      <c r="B495" s="883"/>
      <c r="C495" s="883"/>
      <c r="D495" s="843" t="s">
        <v>5</v>
      </c>
      <c r="E495" s="843" t="s">
        <v>2192</v>
      </c>
      <c r="F495" s="832"/>
      <c r="G495" s="833"/>
      <c r="H495" s="1527"/>
      <c r="I495" s="1020"/>
      <c r="J495" s="1020"/>
      <c r="K495" s="836"/>
      <c r="L495" s="837"/>
      <c r="M495" s="1003"/>
      <c r="N495" s="837"/>
      <c r="O495" s="837"/>
      <c r="P495" s="844" t="s">
        <v>2193</v>
      </c>
      <c r="Q495" s="845" t="s">
        <v>90</v>
      </c>
      <c r="R495" s="846" t="n">
        <v>4320</v>
      </c>
      <c r="S495" s="846" t="n">
        <f aca="false">R495/H493</f>
        <v>48</v>
      </c>
      <c r="T495" s="1017"/>
      <c r="U495" s="842"/>
    </row>
    <row r="496" customFormat="false" ht="15" hidden="false" customHeight="true" outlineLevel="0" collapsed="false">
      <c r="A496" s="882" t="n">
        <v>124</v>
      </c>
      <c r="B496" s="1028" t="s">
        <v>86</v>
      </c>
      <c r="C496" s="1028" t="n">
        <v>2023</v>
      </c>
      <c r="D496" s="1328" t="s">
        <v>5</v>
      </c>
      <c r="E496" s="1328" t="s">
        <v>2241</v>
      </c>
      <c r="F496" s="1028"/>
      <c r="G496" s="1030"/>
      <c r="H496" s="1528" t="n">
        <v>7.9</v>
      </c>
      <c r="I496" s="1517"/>
      <c r="J496" s="1517"/>
      <c r="K496" s="1033" t="n">
        <f aca="false">H496*I496/100</f>
        <v>0</v>
      </c>
      <c r="L496" s="1341" t="n">
        <v>632</v>
      </c>
      <c r="M496" s="1035" t="n">
        <v>1</v>
      </c>
      <c r="N496" s="1036" t="n">
        <f aca="false">L496*M496</f>
        <v>632</v>
      </c>
      <c r="O496" s="1036" t="n">
        <f aca="false">H496*N496</f>
        <v>4992.8</v>
      </c>
      <c r="P496" s="884" t="s">
        <v>2204</v>
      </c>
      <c r="Q496" s="885" t="n">
        <v>15052024</v>
      </c>
      <c r="R496" s="886" t="n">
        <v>4992.8</v>
      </c>
      <c r="S496" s="886" t="n">
        <f aca="false">R496/H496</f>
        <v>632</v>
      </c>
      <c r="T496" s="1529" t="n">
        <f aca="false">O496-R496</f>
        <v>0</v>
      </c>
      <c r="U496" s="1037" t="n">
        <f aca="false">N496-S496</f>
        <v>0</v>
      </c>
    </row>
    <row r="497" customFormat="false" ht="15" hidden="false" customHeight="true" outlineLevel="0" collapsed="false">
      <c r="A497" s="882"/>
      <c r="B497" s="829" t="s">
        <v>86</v>
      </c>
      <c r="C497" s="830" t="n">
        <v>2023</v>
      </c>
      <c r="D497" s="831" t="s">
        <v>5</v>
      </c>
      <c r="E497" s="831" t="s">
        <v>2242</v>
      </c>
      <c r="F497" s="830"/>
      <c r="G497" s="1530"/>
      <c r="H497" s="1059" t="n">
        <v>61.2</v>
      </c>
      <c r="I497" s="1020"/>
      <c r="J497" s="1020"/>
      <c r="K497" s="836" t="n">
        <f aca="false">H497*I497/100</f>
        <v>0</v>
      </c>
      <c r="L497" s="1002" t="n">
        <v>161</v>
      </c>
      <c r="M497" s="1003" t="n">
        <v>1</v>
      </c>
      <c r="N497" s="837" t="n">
        <f aca="false">L497*M497</f>
        <v>161</v>
      </c>
      <c r="O497" s="837" t="n">
        <f aca="false">H497*N497</f>
        <v>9853.2</v>
      </c>
      <c r="P497" s="838" t="s">
        <v>2195</v>
      </c>
      <c r="Q497" s="1004" t="s">
        <v>2240</v>
      </c>
      <c r="R497" s="840" t="n">
        <v>-122.4</v>
      </c>
      <c r="S497" s="840" t="n">
        <f aca="false">R497/H497</f>
        <v>-2</v>
      </c>
      <c r="T497" s="1017" t="n">
        <f aca="false">O497-R497-R498</f>
        <v>0</v>
      </c>
      <c r="U497" s="842" t="n">
        <f aca="false">N497-S497-S498</f>
        <v>0</v>
      </c>
    </row>
    <row r="498" customFormat="false" ht="15" hidden="false" customHeight="true" outlineLevel="0" collapsed="false">
      <c r="A498" s="882"/>
      <c r="B498" s="829"/>
      <c r="C498" s="830"/>
      <c r="D498" s="843" t="s">
        <v>5</v>
      </c>
      <c r="E498" s="843" t="s">
        <v>2242</v>
      </c>
      <c r="F498" s="830"/>
      <c r="G498" s="1531"/>
      <c r="H498" s="1059"/>
      <c r="I498" s="1020"/>
      <c r="J498" s="1020"/>
      <c r="K498" s="836"/>
      <c r="L498" s="1002"/>
      <c r="M498" s="1003"/>
      <c r="N498" s="837"/>
      <c r="O498" s="837"/>
      <c r="P498" s="844" t="s">
        <v>2200</v>
      </c>
      <c r="Q498" s="1005" t="s">
        <v>2434</v>
      </c>
      <c r="R498" s="846" t="n">
        <v>9975.6</v>
      </c>
      <c r="S498" s="846" t="n">
        <f aca="false">R498/H497</f>
        <v>163</v>
      </c>
      <c r="T498" s="1017"/>
      <c r="U498" s="842"/>
    </row>
    <row r="499" customFormat="false" ht="15" hidden="false" customHeight="true" outlineLevel="0" collapsed="false">
      <c r="A499" s="903" t="n">
        <v>202</v>
      </c>
      <c r="B499" s="903" t="s">
        <v>86</v>
      </c>
      <c r="C499" s="903" t="n">
        <v>2023</v>
      </c>
      <c r="D499" s="904" t="s">
        <v>5</v>
      </c>
      <c r="E499" s="904" t="s">
        <v>2242</v>
      </c>
      <c r="F499" s="904"/>
      <c r="G499" s="905"/>
      <c r="H499" s="906" t="n">
        <v>11.1</v>
      </c>
      <c r="I499" s="1055"/>
      <c r="J499" s="1055"/>
      <c r="K499" s="939" t="n">
        <f aca="false">H499*I499/100</f>
        <v>0</v>
      </c>
      <c r="L499" s="1022" t="n">
        <v>539</v>
      </c>
      <c r="M499" s="1023" t="n">
        <v>1</v>
      </c>
      <c r="N499" s="1137" t="n">
        <f aca="false">L499*M499</f>
        <v>539</v>
      </c>
      <c r="O499" s="1137" t="n">
        <f aca="false">H499*N499</f>
        <v>5982.9</v>
      </c>
      <c r="P499" s="910" t="s">
        <v>2204</v>
      </c>
      <c r="Q499" s="911" t="n">
        <v>14052024</v>
      </c>
      <c r="R499" s="891" t="n">
        <v>5982.9</v>
      </c>
      <c r="S499" s="891" t="n">
        <f aca="false">R499/H499</f>
        <v>539</v>
      </c>
      <c r="T499" s="941" t="n">
        <f aca="false">O499-R499</f>
        <v>0</v>
      </c>
      <c r="U499" s="1026" t="n">
        <f aca="false">N499-S499</f>
        <v>0</v>
      </c>
    </row>
    <row r="500" customFormat="false" ht="15" hidden="false" customHeight="true" outlineLevel="0" collapsed="false">
      <c r="A500" s="829" t="n">
        <v>203</v>
      </c>
      <c r="B500" s="1173" t="s">
        <v>86</v>
      </c>
      <c r="C500" s="1173" t="n">
        <v>2023</v>
      </c>
      <c r="D500" s="831" t="s">
        <v>5</v>
      </c>
      <c r="E500" s="831" t="s">
        <v>2203</v>
      </c>
      <c r="F500" s="831"/>
      <c r="G500" s="1108"/>
      <c r="H500" s="1434" t="n">
        <v>4.5</v>
      </c>
      <c r="I500" s="1435"/>
      <c r="J500" s="1435"/>
      <c r="K500" s="1111" t="n">
        <f aca="false">H500*I500/100</f>
        <v>0</v>
      </c>
      <c r="L500" s="1112" t="n">
        <v>304</v>
      </c>
      <c r="M500" s="1113" t="n">
        <v>1</v>
      </c>
      <c r="N500" s="1408" t="n">
        <f aca="false">L500*M500</f>
        <v>304</v>
      </c>
      <c r="O500" s="1408" t="n">
        <f aca="false">H500*N500</f>
        <v>1368</v>
      </c>
      <c r="P500" s="838" t="s">
        <v>2204</v>
      </c>
      <c r="Q500" s="839" t="n">
        <v>26062024</v>
      </c>
      <c r="R500" s="840" t="n">
        <v>1368</v>
      </c>
      <c r="S500" s="840" t="n">
        <f aca="false">R500/H500</f>
        <v>304</v>
      </c>
      <c r="T500" s="1175" t="n">
        <f aca="false">O500-R500</f>
        <v>0</v>
      </c>
      <c r="U500" s="1176" t="n">
        <f aca="false">N500-S500</f>
        <v>0</v>
      </c>
    </row>
    <row r="501" customFormat="false" ht="15" hidden="false" customHeight="true" outlineLevel="0" collapsed="false">
      <c r="A501" s="829"/>
      <c r="B501" s="847" t="s">
        <v>86</v>
      </c>
      <c r="C501" s="847" t="n">
        <v>2023</v>
      </c>
      <c r="D501" s="848" t="s">
        <v>5</v>
      </c>
      <c r="E501" s="848" t="s">
        <v>2242</v>
      </c>
      <c r="F501" s="848"/>
      <c r="G501" s="849"/>
      <c r="H501" s="850" t="n">
        <v>1</v>
      </c>
      <c r="I501" s="1397"/>
      <c r="J501" s="1397"/>
      <c r="K501" s="852" t="n">
        <f aca="false">H501*I501/100</f>
        <v>0</v>
      </c>
      <c r="L501" s="1006" t="n">
        <v>230</v>
      </c>
      <c r="M501" s="1007" t="n">
        <v>1</v>
      </c>
      <c r="N501" s="1143" t="n">
        <f aca="false">L501*M501</f>
        <v>230</v>
      </c>
      <c r="O501" s="1438" t="n">
        <f aca="false">H501*N501</f>
        <v>230</v>
      </c>
      <c r="P501" s="856" t="s">
        <v>2204</v>
      </c>
      <c r="Q501" s="857" t="n">
        <v>14052024</v>
      </c>
      <c r="R501" s="854" t="n">
        <v>230</v>
      </c>
      <c r="S501" s="866" t="n">
        <f aca="false">R501/H501</f>
        <v>230</v>
      </c>
      <c r="T501" s="1009" t="n">
        <f aca="false">O501-R501</f>
        <v>0</v>
      </c>
      <c r="U501" s="892" t="n">
        <f aca="false">N501-S501</f>
        <v>0</v>
      </c>
    </row>
    <row r="502" customFormat="false" ht="15" hidden="false" customHeight="true" outlineLevel="0" collapsed="false">
      <c r="A502" s="829"/>
      <c r="B502" s="859" t="s">
        <v>86</v>
      </c>
      <c r="C502" s="859" t="n">
        <v>2023</v>
      </c>
      <c r="D502" s="860" t="s">
        <v>5</v>
      </c>
      <c r="E502" s="860" t="s">
        <v>2205</v>
      </c>
      <c r="F502" s="860"/>
      <c r="G502" s="861"/>
      <c r="H502" s="862" t="n">
        <v>0</v>
      </c>
      <c r="I502" s="1429"/>
      <c r="J502" s="1429"/>
      <c r="K502" s="864" t="n">
        <f aca="false">H502*I502/100</f>
        <v>0</v>
      </c>
      <c r="L502" s="982" t="n">
        <v>675</v>
      </c>
      <c r="M502" s="983" t="n">
        <v>1</v>
      </c>
      <c r="N502" s="1299" t="n">
        <f aca="false">L502*M502</f>
        <v>675</v>
      </c>
      <c r="O502" s="1299" t="n">
        <f aca="false">H502*N502</f>
        <v>0</v>
      </c>
      <c r="P502" s="868" t="s">
        <v>2204</v>
      </c>
      <c r="Q502" s="869" t="n">
        <v>15052024</v>
      </c>
      <c r="R502" s="866" t="n">
        <v>0</v>
      </c>
      <c r="S502" s="854" t="n">
        <v>675</v>
      </c>
      <c r="T502" s="1009" t="n">
        <f aca="false">O502-R502</f>
        <v>0</v>
      </c>
      <c r="U502" s="892" t="n">
        <f aca="false">N502-S502</f>
        <v>0</v>
      </c>
    </row>
    <row r="503" customFormat="false" ht="15" hidden="false" customHeight="true" outlineLevel="0" collapsed="false">
      <c r="A503" s="829"/>
      <c r="B503" s="893" t="s">
        <v>86</v>
      </c>
      <c r="C503" s="893" t="n">
        <v>2023</v>
      </c>
      <c r="D503" s="843" t="s">
        <v>5</v>
      </c>
      <c r="E503" s="843" t="s">
        <v>2241</v>
      </c>
      <c r="F503" s="843"/>
      <c r="G503" s="894"/>
      <c r="H503" s="895" t="n">
        <v>0</v>
      </c>
      <c r="I503" s="1532"/>
      <c r="J503" s="1532"/>
      <c r="K503" s="897" t="n">
        <f aca="false">H503*I503/100</f>
        <v>0</v>
      </c>
      <c r="L503" s="1105" t="n">
        <v>301</v>
      </c>
      <c r="M503" s="1106" t="n">
        <v>1</v>
      </c>
      <c r="N503" s="1393" t="n">
        <f aca="false">L503*M503</f>
        <v>301</v>
      </c>
      <c r="O503" s="1393" t="n">
        <f aca="false">H503*N503</f>
        <v>0</v>
      </c>
      <c r="P503" s="844" t="s">
        <v>2204</v>
      </c>
      <c r="Q503" s="845" t="n">
        <v>26062024</v>
      </c>
      <c r="R503" s="846" t="n">
        <v>0</v>
      </c>
      <c r="S503" s="846" t="n">
        <v>301</v>
      </c>
      <c r="T503" s="1395" t="n">
        <f aca="false">O503-R503</f>
        <v>0</v>
      </c>
      <c r="U503" s="902" t="n">
        <f aca="false">N503-S503</f>
        <v>0</v>
      </c>
    </row>
    <row r="504" customFormat="false" ht="15" hidden="false" customHeight="true" outlineLevel="0" collapsed="false">
      <c r="A504" s="1533" t="n">
        <v>228</v>
      </c>
      <c r="B504" s="882" t="s">
        <v>86</v>
      </c>
      <c r="C504" s="830" t="n">
        <v>2023</v>
      </c>
      <c r="D504" s="831" t="s">
        <v>5</v>
      </c>
      <c r="E504" s="831" t="s">
        <v>2192</v>
      </c>
      <c r="F504" s="832" t="s">
        <v>1650</v>
      </c>
      <c r="G504" s="833"/>
      <c r="H504" s="834" t="n">
        <v>90.1</v>
      </c>
      <c r="I504" s="1020" t="n">
        <v>81</v>
      </c>
      <c r="J504" s="1020" t="n">
        <v>50</v>
      </c>
      <c r="K504" s="836" t="n">
        <f aca="false">H504*I504/100</f>
        <v>72.981</v>
      </c>
      <c r="L504" s="1002" t="n">
        <v>5780</v>
      </c>
      <c r="M504" s="1003" t="n">
        <v>1</v>
      </c>
      <c r="N504" s="1075" t="n">
        <f aca="false">L504*M504</f>
        <v>5780</v>
      </c>
      <c r="O504" s="1075" t="n">
        <f aca="false">H504*N504</f>
        <v>520778</v>
      </c>
      <c r="P504" s="884" t="s">
        <v>2197</v>
      </c>
      <c r="Q504" s="1015" t="s">
        <v>2436</v>
      </c>
      <c r="R504" s="886" t="n">
        <v>2703</v>
      </c>
      <c r="S504" s="886" t="n">
        <f aca="false">R504/H504</f>
        <v>30</v>
      </c>
      <c r="T504" s="1120" t="n">
        <f aca="false">O504-R504-R509-R508-R505-R506-R507</f>
        <v>0</v>
      </c>
      <c r="U504" s="842" t="n">
        <f aca="false">N504-S504-S509-S508-S505-S506-S507</f>
        <v>0</v>
      </c>
    </row>
    <row r="505" customFormat="false" ht="15" hidden="false" customHeight="true" outlineLevel="0" collapsed="false">
      <c r="A505" s="1533"/>
      <c r="B505" s="882"/>
      <c r="C505" s="830"/>
      <c r="D505" s="860" t="s">
        <v>5</v>
      </c>
      <c r="E505" s="860" t="s">
        <v>2192</v>
      </c>
      <c r="F505" s="832"/>
      <c r="G505" s="833"/>
      <c r="H505" s="834"/>
      <c r="I505" s="1020"/>
      <c r="J505" s="1020"/>
      <c r="K505" s="836"/>
      <c r="L505" s="1002"/>
      <c r="M505" s="1003"/>
      <c r="N505" s="1075"/>
      <c r="O505" s="1075"/>
      <c r="P505" s="868" t="s">
        <v>2193</v>
      </c>
      <c r="Q505" s="1011" t="s">
        <v>2437</v>
      </c>
      <c r="R505" s="866" t="n">
        <v>280211</v>
      </c>
      <c r="S505" s="866" t="n">
        <f aca="false">R505/H504</f>
        <v>3110</v>
      </c>
      <c r="T505" s="1120"/>
      <c r="U505" s="842"/>
    </row>
    <row r="506" customFormat="false" ht="15" hidden="false" customHeight="true" outlineLevel="0" collapsed="false">
      <c r="A506" s="1533"/>
      <c r="B506" s="882"/>
      <c r="C506" s="830"/>
      <c r="D506" s="860" t="s">
        <v>5</v>
      </c>
      <c r="E506" s="860" t="s">
        <v>2192</v>
      </c>
      <c r="F506" s="832"/>
      <c r="G506" s="833"/>
      <c r="H506" s="834"/>
      <c r="I506" s="1020"/>
      <c r="J506" s="1020"/>
      <c r="K506" s="836"/>
      <c r="L506" s="1002"/>
      <c r="M506" s="1003"/>
      <c r="N506" s="1075"/>
      <c r="O506" s="1075"/>
      <c r="P506" s="868" t="s">
        <v>2193</v>
      </c>
      <c r="Q506" s="1011" t="s">
        <v>2433</v>
      </c>
      <c r="R506" s="866" t="n">
        <v>52258</v>
      </c>
      <c r="S506" s="866" t="n">
        <f aca="false">R506/H504</f>
        <v>580</v>
      </c>
      <c r="T506" s="1120"/>
      <c r="U506" s="842"/>
    </row>
    <row r="507" customFormat="false" ht="15" hidden="false" customHeight="true" outlineLevel="0" collapsed="false">
      <c r="A507" s="1533"/>
      <c r="B507" s="882"/>
      <c r="C507" s="830"/>
      <c r="D507" s="860" t="s">
        <v>5</v>
      </c>
      <c r="E507" s="860" t="s">
        <v>2192</v>
      </c>
      <c r="F507" s="832"/>
      <c r="G507" s="833"/>
      <c r="H507" s="834"/>
      <c r="I507" s="1020"/>
      <c r="J507" s="1020"/>
      <c r="K507" s="836"/>
      <c r="L507" s="1002"/>
      <c r="M507" s="1003"/>
      <c r="N507" s="1075"/>
      <c r="O507" s="1075"/>
      <c r="P507" s="868" t="s">
        <v>2193</v>
      </c>
      <c r="Q507" s="1011" t="s">
        <v>90</v>
      </c>
      <c r="R507" s="866" t="n">
        <v>83522.7</v>
      </c>
      <c r="S507" s="866" t="n">
        <f aca="false">R507/H504</f>
        <v>927</v>
      </c>
      <c r="T507" s="1120"/>
      <c r="U507" s="842"/>
    </row>
    <row r="508" customFormat="false" ht="15" hidden="false" customHeight="true" outlineLevel="0" collapsed="false">
      <c r="A508" s="1533"/>
      <c r="B508" s="882"/>
      <c r="C508" s="830"/>
      <c r="D508" s="860" t="s">
        <v>5</v>
      </c>
      <c r="E508" s="860" t="s">
        <v>2192</v>
      </c>
      <c r="F508" s="832"/>
      <c r="G508" s="833"/>
      <c r="H508" s="834"/>
      <c r="I508" s="1020"/>
      <c r="J508" s="1020"/>
      <c r="K508" s="836"/>
      <c r="L508" s="1002"/>
      <c r="M508" s="1003"/>
      <c r="N508" s="1075"/>
      <c r="O508" s="1075"/>
      <c r="P508" s="868" t="s">
        <v>2195</v>
      </c>
      <c r="Q508" s="1011" t="s">
        <v>2240</v>
      </c>
      <c r="R508" s="866" t="n">
        <v>-20723</v>
      </c>
      <c r="S508" s="866" t="n">
        <f aca="false">R508/H504</f>
        <v>-230</v>
      </c>
      <c r="T508" s="1120"/>
      <c r="U508" s="842"/>
    </row>
    <row r="509" customFormat="false" ht="15" hidden="false" customHeight="true" outlineLevel="0" collapsed="false">
      <c r="A509" s="1533"/>
      <c r="B509" s="882"/>
      <c r="C509" s="830"/>
      <c r="D509" s="843" t="s">
        <v>5</v>
      </c>
      <c r="E509" s="843" t="s">
        <v>2192</v>
      </c>
      <c r="F509" s="832"/>
      <c r="G509" s="833"/>
      <c r="H509" s="834"/>
      <c r="I509" s="1020"/>
      <c r="J509" s="1020"/>
      <c r="K509" s="836"/>
      <c r="L509" s="1002"/>
      <c r="M509" s="1003"/>
      <c r="N509" s="1075"/>
      <c r="O509" s="1075"/>
      <c r="P509" s="844" t="s">
        <v>2193</v>
      </c>
      <c r="Q509" s="1005" t="s">
        <v>2438</v>
      </c>
      <c r="R509" s="846" t="n">
        <v>122806.3</v>
      </c>
      <c r="S509" s="846" t="n">
        <f aca="false">R509/H504</f>
        <v>1363</v>
      </c>
      <c r="T509" s="1120"/>
      <c r="U509" s="842"/>
    </row>
    <row r="510" customFormat="false" ht="15" hidden="false" customHeight="true" outlineLevel="0" collapsed="false">
      <c r="A510" s="1533"/>
      <c r="B510" s="903" t="s">
        <v>86</v>
      </c>
      <c r="C510" s="903" t="n">
        <v>2023</v>
      </c>
      <c r="D510" s="904" t="s">
        <v>5</v>
      </c>
      <c r="E510" s="904" t="s">
        <v>2203</v>
      </c>
      <c r="F510" s="904"/>
      <c r="G510" s="905"/>
      <c r="H510" s="946" t="n">
        <v>0</v>
      </c>
      <c r="I510" s="1055"/>
      <c r="J510" s="1055"/>
      <c r="K510" s="939" t="n">
        <f aca="false">H510*I510/100</f>
        <v>0</v>
      </c>
      <c r="L510" s="1022" t="n">
        <v>70</v>
      </c>
      <c r="M510" s="1023" t="n">
        <v>1</v>
      </c>
      <c r="N510" s="1137" t="n">
        <f aca="false">L510*M510</f>
        <v>70</v>
      </c>
      <c r="O510" s="1137" t="n">
        <f aca="false">H510*N510</f>
        <v>0</v>
      </c>
      <c r="P510" s="910" t="s">
        <v>2204</v>
      </c>
      <c r="Q510" s="911" t="n">
        <v>23052024</v>
      </c>
      <c r="R510" s="891" t="n">
        <v>0</v>
      </c>
      <c r="S510" s="891" t="n">
        <v>70</v>
      </c>
      <c r="T510" s="1534" t="n">
        <f aca="false">O510-R510</f>
        <v>0</v>
      </c>
      <c r="U510" s="1037" t="n">
        <f aca="false">N510-S510</f>
        <v>0</v>
      </c>
    </row>
    <row r="511" customFormat="false" ht="15" hidden="false" customHeight="true" outlineLevel="0" collapsed="false">
      <c r="A511" s="881" t="n">
        <v>229</v>
      </c>
      <c r="B511" s="829" t="s">
        <v>86</v>
      </c>
      <c r="C511" s="830" t="n">
        <v>2023</v>
      </c>
      <c r="D511" s="1328" t="s">
        <v>5</v>
      </c>
      <c r="E511" s="1328" t="s">
        <v>2192</v>
      </c>
      <c r="F511" s="832" t="s">
        <v>1650</v>
      </c>
      <c r="G511" s="833"/>
      <c r="H511" s="834" t="n">
        <v>94.1</v>
      </c>
      <c r="I511" s="1020" t="n">
        <v>87</v>
      </c>
      <c r="J511" s="1020" t="n">
        <v>56</v>
      </c>
      <c r="K511" s="836" t="n">
        <f aca="false">H511*I511/100</f>
        <v>81.867</v>
      </c>
      <c r="L511" s="1002" t="n">
        <v>9000</v>
      </c>
      <c r="M511" s="1003" t="n">
        <v>1</v>
      </c>
      <c r="N511" s="837" t="n">
        <f aca="false">L511*M511</f>
        <v>9000</v>
      </c>
      <c r="O511" s="837" t="n">
        <f aca="false">H511*N511</f>
        <v>846900</v>
      </c>
      <c r="P511" s="884" t="s">
        <v>2193</v>
      </c>
      <c r="Q511" s="1015" t="s">
        <v>2439</v>
      </c>
      <c r="R511" s="886" t="n">
        <v>62106</v>
      </c>
      <c r="S511" s="886" t="n">
        <f aca="false">R511/H511</f>
        <v>660</v>
      </c>
      <c r="T511" s="841" t="n">
        <f aca="false">O511-R511-R514-R512-R513</f>
        <v>0</v>
      </c>
      <c r="U511" s="842" t="n">
        <f aca="false">N511-S511-S514-S512-S513</f>
        <v>0</v>
      </c>
    </row>
    <row r="512" customFormat="false" ht="15" hidden="false" customHeight="true" outlineLevel="0" collapsed="false">
      <c r="A512" s="881"/>
      <c r="B512" s="829"/>
      <c r="C512" s="830"/>
      <c r="D512" s="860" t="s">
        <v>5</v>
      </c>
      <c r="E512" s="860" t="s">
        <v>2192</v>
      </c>
      <c r="F512" s="832"/>
      <c r="G512" s="833"/>
      <c r="H512" s="834"/>
      <c r="I512" s="1020"/>
      <c r="J512" s="1020"/>
      <c r="K512" s="836"/>
      <c r="L512" s="1002"/>
      <c r="M512" s="1003"/>
      <c r="N512" s="837"/>
      <c r="O512" s="837"/>
      <c r="P512" s="868" t="s">
        <v>2193</v>
      </c>
      <c r="Q512" s="1011" t="s">
        <v>2414</v>
      </c>
      <c r="R512" s="866" t="n">
        <v>94100</v>
      </c>
      <c r="S512" s="866" t="n">
        <f aca="false">R512/H511</f>
        <v>1000</v>
      </c>
      <c r="T512" s="841"/>
      <c r="U512" s="842"/>
    </row>
    <row r="513" customFormat="false" ht="15" hidden="false" customHeight="true" outlineLevel="0" collapsed="false">
      <c r="A513" s="881"/>
      <c r="B513" s="829"/>
      <c r="C513" s="830"/>
      <c r="D513" s="871" t="s">
        <v>5</v>
      </c>
      <c r="E513" s="871" t="s">
        <v>2192</v>
      </c>
      <c r="F513" s="832"/>
      <c r="G513" s="833"/>
      <c r="H513" s="834"/>
      <c r="I513" s="1020"/>
      <c r="J513" s="1020"/>
      <c r="K513" s="836"/>
      <c r="L513" s="1002"/>
      <c r="M513" s="1003"/>
      <c r="N513" s="837"/>
      <c r="O513" s="837"/>
      <c r="P513" s="879" t="s">
        <v>2193</v>
      </c>
      <c r="Q513" s="1013" t="s">
        <v>2440</v>
      </c>
      <c r="R513" s="877" t="n">
        <v>630470</v>
      </c>
      <c r="S513" s="866" t="n">
        <f aca="false">R513/H511</f>
        <v>6700</v>
      </c>
      <c r="T513" s="841"/>
      <c r="U513" s="842"/>
    </row>
    <row r="514" customFormat="false" ht="15" hidden="false" customHeight="true" outlineLevel="0" collapsed="false">
      <c r="A514" s="881"/>
      <c r="B514" s="829"/>
      <c r="C514" s="830"/>
      <c r="D514" s="843" t="s">
        <v>5</v>
      </c>
      <c r="E514" s="843" t="s">
        <v>2192</v>
      </c>
      <c r="F514" s="832"/>
      <c r="G514" s="833"/>
      <c r="H514" s="834"/>
      <c r="I514" s="1020"/>
      <c r="J514" s="1020"/>
      <c r="K514" s="836"/>
      <c r="L514" s="1002"/>
      <c r="M514" s="1003"/>
      <c r="N514" s="837"/>
      <c r="O514" s="837"/>
      <c r="P514" s="844" t="s">
        <v>2193</v>
      </c>
      <c r="Q514" s="1005" t="s">
        <v>90</v>
      </c>
      <c r="R514" s="846" t="n">
        <v>60224</v>
      </c>
      <c r="S514" s="846" t="n">
        <f aca="false">R514/H511</f>
        <v>640</v>
      </c>
      <c r="T514" s="841"/>
      <c r="U514" s="842"/>
    </row>
    <row r="515" customFormat="false" ht="15" hidden="false" customHeight="true" outlineLevel="0" collapsed="false">
      <c r="A515" s="881"/>
      <c r="B515" s="847" t="s">
        <v>86</v>
      </c>
      <c r="C515" s="847" t="n">
        <v>2023</v>
      </c>
      <c r="D515" s="848" t="s">
        <v>5</v>
      </c>
      <c r="E515" s="848" t="s">
        <v>2205</v>
      </c>
      <c r="F515" s="848"/>
      <c r="G515" s="849"/>
      <c r="H515" s="850" t="n">
        <v>0</v>
      </c>
      <c r="I515" s="1397"/>
      <c r="J515" s="1397"/>
      <c r="K515" s="852" t="n">
        <f aca="false">H515*I515/100</f>
        <v>0</v>
      </c>
      <c r="L515" s="1006" t="n">
        <v>207</v>
      </c>
      <c r="M515" s="1007" t="n">
        <v>1</v>
      </c>
      <c r="N515" s="1143" t="n">
        <f aca="false">L515*M515</f>
        <v>207</v>
      </c>
      <c r="O515" s="1143" t="n">
        <f aca="false">H515*N515</f>
        <v>0</v>
      </c>
      <c r="P515" s="856" t="s">
        <v>2204</v>
      </c>
      <c r="Q515" s="857" t="n">
        <v>15052024</v>
      </c>
      <c r="R515" s="854" t="n">
        <v>0</v>
      </c>
      <c r="S515" s="854" t="n">
        <v>207</v>
      </c>
      <c r="T515" s="858" t="n">
        <f aca="false">O515-R515</f>
        <v>0</v>
      </c>
      <c r="U515" s="892" t="n">
        <f aca="false">N515-S515</f>
        <v>0</v>
      </c>
    </row>
    <row r="516" customFormat="false" ht="15" hidden="false" customHeight="true" outlineLevel="0" collapsed="false">
      <c r="A516" s="881"/>
      <c r="B516" s="893" t="s">
        <v>86</v>
      </c>
      <c r="C516" s="893" t="n">
        <v>2023</v>
      </c>
      <c r="D516" s="843" t="s">
        <v>5</v>
      </c>
      <c r="E516" s="843" t="s">
        <v>2203</v>
      </c>
      <c r="F516" s="843"/>
      <c r="G516" s="894"/>
      <c r="H516" s="895" t="n">
        <v>1.3</v>
      </c>
      <c r="I516" s="1532"/>
      <c r="J516" s="1532"/>
      <c r="K516" s="897" t="n">
        <f aca="false">H516*I516/100</f>
        <v>0</v>
      </c>
      <c r="L516" s="1105" t="n">
        <v>203</v>
      </c>
      <c r="M516" s="1106" t="n">
        <v>1</v>
      </c>
      <c r="N516" s="1393" t="n">
        <f aca="false">L516*M516</f>
        <v>203</v>
      </c>
      <c r="O516" s="1393" t="n">
        <f aca="false">H516*N516</f>
        <v>263.9</v>
      </c>
      <c r="P516" s="844" t="s">
        <v>2204</v>
      </c>
      <c r="Q516" s="845" t="n">
        <v>14052024</v>
      </c>
      <c r="R516" s="846" t="n">
        <v>263.9</v>
      </c>
      <c r="S516" s="846" t="n">
        <f aca="false">R516/H516</f>
        <v>203</v>
      </c>
      <c r="T516" s="1441" t="n">
        <f aca="false">O516-R516</f>
        <v>0</v>
      </c>
      <c r="U516" s="902" t="n">
        <f aca="false">N516-S516</f>
        <v>0</v>
      </c>
    </row>
    <row r="517" customFormat="false" ht="15" hidden="false" customHeight="true" outlineLevel="0" collapsed="false">
      <c r="A517" s="847" t="n">
        <v>267</v>
      </c>
      <c r="B517" s="847" t="s">
        <v>2191</v>
      </c>
      <c r="C517" s="847" t="n">
        <v>2023</v>
      </c>
      <c r="D517" s="848" t="s">
        <v>5</v>
      </c>
      <c r="E517" s="848" t="s">
        <v>2192</v>
      </c>
      <c r="F517" s="848" t="s">
        <v>2133</v>
      </c>
      <c r="G517" s="849"/>
      <c r="H517" s="850" t="n">
        <v>91.238</v>
      </c>
      <c r="I517" s="1397"/>
      <c r="J517" s="1397"/>
      <c r="K517" s="939" t="n">
        <f aca="false">H517*I517/100</f>
        <v>0</v>
      </c>
      <c r="L517" s="1006" t="n">
        <v>1</v>
      </c>
      <c r="M517" s="1007" t="n">
        <v>30</v>
      </c>
      <c r="N517" s="1137" t="n">
        <f aca="false">L517*M517</f>
        <v>30</v>
      </c>
      <c r="O517" s="1535" t="n">
        <f aca="false">H517*N517</f>
        <v>2737.14</v>
      </c>
      <c r="P517" s="856" t="s">
        <v>2232</v>
      </c>
      <c r="Q517" s="857" t="s">
        <v>2254</v>
      </c>
      <c r="R517" s="854" t="n">
        <v>2737.14</v>
      </c>
      <c r="S517" s="877" t="n">
        <f aca="false">R517/H517</f>
        <v>30</v>
      </c>
      <c r="T517" s="1058" t="n">
        <f aca="false">O517-R517</f>
        <v>0</v>
      </c>
      <c r="U517" s="1026" t="n">
        <f aca="false">N517-S517</f>
        <v>0</v>
      </c>
    </row>
    <row r="518" customFormat="false" ht="15" hidden="false" customHeight="true" outlineLevel="0" collapsed="false">
      <c r="A518" s="859" t="n">
        <v>291</v>
      </c>
      <c r="B518" s="859" t="s">
        <v>2191</v>
      </c>
      <c r="C518" s="859" t="n">
        <v>2023</v>
      </c>
      <c r="D518" s="860" t="s">
        <v>5</v>
      </c>
      <c r="E518" s="860" t="s">
        <v>2192</v>
      </c>
      <c r="F518" s="860" t="s">
        <v>1652</v>
      </c>
      <c r="G518" s="861"/>
      <c r="H518" s="862" t="n">
        <v>37.5</v>
      </c>
      <c r="I518" s="1429"/>
      <c r="J518" s="1429"/>
      <c r="K518" s="864" t="n">
        <f aca="false">H518*I518/100</f>
        <v>0</v>
      </c>
      <c r="L518" s="982" t="n">
        <v>3</v>
      </c>
      <c r="M518" s="983" t="n">
        <v>15</v>
      </c>
      <c r="N518" s="1299" t="n">
        <f aca="false">L518*M518</f>
        <v>45</v>
      </c>
      <c r="O518" s="1439" t="n">
        <f aca="false">H518*N518</f>
        <v>1687.5</v>
      </c>
      <c r="P518" s="868" t="s">
        <v>2193</v>
      </c>
      <c r="Q518" s="869" t="s">
        <v>2432</v>
      </c>
      <c r="R518" s="866" t="n">
        <v>1687.5</v>
      </c>
      <c r="S518" s="866" t="n">
        <f aca="false">R518/H518</f>
        <v>45</v>
      </c>
      <c r="T518" s="985" t="n">
        <f aca="false">O518-R518</f>
        <v>0</v>
      </c>
      <c r="U518" s="543" t="n">
        <f aca="false">N518-S518</f>
        <v>0</v>
      </c>
    </row>
    <row r="519" customFormat="false" ht="15" hidden="false" customHeight="true" outlineLevel="0" collapsed="false">
      <c r="A519" s="1442" t="n">
        <v>351</v>
      </c>
      <c r="B519" s="903" t="s">
        <v>2191</v>
      </c>
      <c r="C519" s="903" t="n">
        <v>2023</v>
      </c>
      <c r="D519" s="904" t="s">
        <v>5</v>
      </c>
      <c r="E519" s="904" t="s">
        <v>2192</v>
      </c>
      <c r="F519" s="904" t="s">
        <v>2131</v>
      </c>
      <c r="G519" s="905"/>
      <c r="H519" s="906" t="n">
        <v>66.0961</v>
      </c>
      <c r="I519" s="1055"/>
      <c r="J519" s="1055"/>
      <c r="K519" s="875" t="n">
        <f aca="false">H519*I519/100</f>
        <v>0</v>
      </c>
      <c r="L519" s="1022" t="n">
        <v>1</v>
      </c>
      <c r="M519" s="1023" t="n">
        <v>25</v>
      </c>
      <c r="N519" s="1301" t="n">
        <f aca="false">L519*M519</f>
        <v>25</v>
      </c>
      <c r="O519" s="1402" t="n">
        <f aca="false">H519*N519</f>
        <v>1652.4025</v>
      </c>
      <c r="P519" s="910" t="s">
        <v>2232</v>
      </c>
      <c r="Q519" s="911" t="s">
        <v>2254</v>
      </c>
      <c r="R519" s="891" t="n">
        <v>1652.4025</v>
      </c>
      <c r="S519" s="866" t="n">
        <f aca="false">R519/H519</f>
        <v>25</v>
      </c>
      <c r="T519" s="1404" t="n">
        <f aca="false">O519-R519</f>
        <v>0</v>
      </c>
      <c r="U519" s="553" t="n">
        <f aca="false">N519-S519</f>
        <v>0</v>
      </c>
    </row>
    <row r="520" customFormat="false" ht="15" hidden="false" customHeight="true" outlineLevel="0" collapsed="false">
      <c r="A520" s="829" t="n">
        <v>7</v>
      </c>
      <c r="B520" s="1365" t="s">
        <v>86</v>
      </c>
      <c r="C520" s="1173" t="n">
        <v>2024</v>
      </c>
      <c r="D520" s="831" t="s">
        <v>5</v>
      </c>
      <c r="E520" s="831" t="s">
        <v>2192</v>
      </c>
      <c r="F520" s="831" t="s">
        <v>2199</v>
      </c>
      <c r="G520" s="1108"/>
      <c r="H520" s="1109" t="n">
        <v>51.6</v>
      </c>
      <c r="I520" s="1435" t="n">
        <v>50</v>
      </c>
      <c r="J520" s="1435"/>
      <c r="K520" s="1111" t="n">
        <f aca="false">H520*I520/100</f>
        <v>25.8</v>
      </c>
      <c r="L520" s="1112" t="n">
        <v>262</v>
      </c>
      <c r="M520" s="1113" t="n">
        <v>1</v>
      </c>
      <c r="N520" s="1408" t="n">
        <f aca="false">L520*M520</f>
        <v>262</v>
      </c>
      <c r="O520" s="1536" t="n">
        <f aca="false">H520*N520</f>
        <v>13519.2</v>
      </c>
      <c r="P520" s="838" t="s">
        <v>2232</v>
      </c>
      <c r="Q520" s="1004" t="s">
        <v>103</v>
      </c>
      <c r="R520" s="840" t="n">
        <v>13519.2</v>
      </c>
      <c r="S520" s="840" t="n">
        <f aca="false">R520/H520</f>
        <v>262</v>
      </c>
      <c r="T520" s="1114" t="n">
        <f aca="false">O520-R520</f>
        <v>0</v>
      </c>
      <c r="U520" s="1176" t="n">
        <f aca="false">N520-S520</f>
        <v>0</v>
      </c>
    </row>
    <row r="521" customFormat="false" ht="15" hidden="false" customHeight="true" outlineLevel="0" collapsed="false">
      <c r="A521" s="829"/>
      <c r="B521" s="1357" t="s">
        <v>86</v>
      </c>
      <c r="C521" s="893" t="n">
        <v>2024</v>
      </c>
      <c r="D521" s="843" t="s">
        <v>5</v>
      </c>
      <c r="E521" s="843" t="s">
        <v>2203</v>
      </c>
      <c r="F521" s="843"/>
      <c r="G521" s="894"/>
      <c r="H521" s="1103" t="n">
        <v>0</v>
      </c>
      <c r="I521" s="1532"/>
      <c r="J521" s="1532"/>
      <c r="K521" s="897" t="n">
        <f aca="false">H521*I521/100</f>
        <v>0</v>
      </c>
      <c r="L521" s="1105" t="n">
        <v>102</v>
      </c>
      <c r="M521" s="1106" t="n">
        <v>1</v>
      </c>
      <c r="N521" s="1393" t="n">
        <f aca="false">L521*M521</f>
        <v>102</v>
      </c>
      <c r="O521" s="1393" t="n">
        <f aca="false">H521*N521</f>
        <v>0</v>
      </c>
      <c r="P521" s="844" t="s">
        <v>2204</v>
      </c>
      <c r="Q521" s="845" t="n">
        <v>14052024</v>
      </c>
      <c r="R521" s="846" t="n">
        <v>0</v>
      </c>
      <c r="S521" s="846" t="n">
        <v>102</v>
      </c>
      <c r="T521" s="589" t="n">
        <f aca="false">O521-R521</f>
        <v>0</v>
      </c>
      <c r="U521" s="902" t="n">
        <f aca="false">N521-S521</f>
        <v>0</v>
      </c>
    </row>
    <row r="522" customFormat="false" ht="15" hidden="false" customHeight="true" outlineLevel="0" collapsed="false">
      <c r="A522" s="881" t="n">
        <v>12</v>
      </c>
      <c r="B522" s="882" t="s">
        <v>86</v>
      </c>
      <c r="C522" s="883" t="n">
        <v>2024</v>
      </c>
      <c r="D522" s="831" t="s">
        <v>5</v>
      </c>
      <c r="E522" s="831" t="s">
        <v>2192</v>
      </c>
      <c r="F522" s="832" t="s">
        <v>2199</v>
      </c>
      <c r="G522" s="833"/>
      <c r="H522" s="834" t="n">
        <v>59.7</v>
      </c>
      <c r="I522" s="1020" t="n">
        <v>83</v>
      </c>
      <c r="J522" s="1020"/>
      <c r="K522" s="836" t="n">
        <f aca="false">H522*I522/100</f>
        <v>49.551</v>
      </c>
      <c r="L522" s="1002" t="n">
        <v>4081</v>
      </c>
      <c r="M522" s="1003" t="n">
        <v>1</v>
      </c>
      <c r="N522" s="837" t="n">
        <f aca="false">L522*M522</f>
        <v>4081</v>
      </c>
      <c r="O522" s="943" t="n">
        <f aca="false">H522*N522</f>
        <v>243635.7</v>
      </c>
      <c r="P522" s="838" t="s">
        <v>2232</v>
      </c>
      <c r="Q522" s="1004" t="s">
        <v>96</v>
      </c>
      <c r="R522" s="840" t="n">
        <v>2985</v>
      </c>
      <c r="S522" s="840" t="n">
        <f aca="false">R522/H522</f>
        <v>50</v>
      </c>
      <c r="T522" s="943" t="n">
        <f aca="false">O522-R522-R524-R523</f>
        <v>0</v>
      </c>
      <c r="U522" s="842" t="n">
        <f aca="false">N522-S522-S524-S523</f>
        <v>0</v>
      </c>
    </row>
    <row r="523" customFormat="false" ht="15" hidden="false" customHeight="true" outlineLevel="0" collapsed="false">
      <c r="A523" s="881"/>
      <c r="B523" s="882"/>
      <c r="C523" s="883"/>
      <c r="D523" s="848" t="s">
        <v>5</v>
      </c>
      <c r="E523" s="848" t="s">
        <v>2192</v>
      </c>
      <c r="F523" s="832"/>
      <c r="G523" s="833"/>
      <c r="H523" s="834"/>
      <c r="I523" s="1020"/>
      <c r="J523" s="1020"/>
      <c r="K523" s="836"/>
      <c r="L523" s="1002"/>
      <c r="M523" s="1003"/>
      <c r="N523" s="837"/>
      <c r="O523" s="943"/>
      <c r="P523" s="856" t="s">
        <v>2197</v>
      </c>
      <c r="Q523" s="1008" t="s">
        <v>2441</v>
      </c>
      <c r="R523" s="854" t="n">
        <v>119161.2</v>
      </c>
      <c r="S523" s="866" t="n">
        <f aca="false">R523/H522</f>
        <v>1996</v>
      </c>
      <c r="T523" s="943"/>
      <c r="U523" s="842"/>
    </row>
    <row r="524" customFormat="false" ht="15" hidden="false" customHeight="true" outlineLevel="0" collapsed="false">
      <c r="A524" s="881"/>
      <c r="B524" s="882"/>
      <c r="C524" s="883"/>
      <c r="D524" s="887" t="s">
        <v>5</v>
      </c>
      <c r="E524" s="887" t="s">
        <v>2192</v>
      </c>
      <c r="F524" s="832"/>
      <c r="G524" s="833"/>
      <c r="H524" s="834"/>
      <c r="I524" s="1020"/>
      <c r="J524" s="1020"/>
      <c r="K524" s="836"/>
      <c r="L524" s="1002"/>
      <c r="M524" s="1003"/>
      <c r="N524" s="837"/>
      <c r="O524" s="943"/>
      <c r="P524" s="888" t="s">
        <v>2232</v>
      </c>
      <c r="Q524" s="1364" t="s">
        <v>2442</v>
      </c>
      <c r="R524" s="890" t="n">
        <v>121489.5</v>
      </c>
      <c r="S524" s="846" t="n">
        <f aca="false">R524/H522</f>
        <v>2035</v>
      </c>
      <c r="T524" s="943"/>
      <c r="U524" s="842"/>
    </row>
    <row r="525" customFormat="false" ht="15" hidden="false" customHeight="true" outlineLevel="0" collapsed="false">
      <c r="A525" s="881"/>
      <c r="B525" s="1479" t="s">
        <v>86</v>
      </c>
      <c r="C525" s="847" t="n">
        <v>2024</v>
      </c>
      <c r="D525" s="848" t="s">
        <v>5</v>
      </c>
      <c r="E525" s="848" t="s">
        <v>2203</v>
      </c>
      <c r="F525" s="848"/>
      <c r="G525" s="849"/>
      <c r="H525" s="949" t="n">
        <v>0</v>
      </c>
      <c r="I525" s="1397"/>
      <c r="J525" s="1397"/>
      <c r="K525" s="852" t="n">
        <f aca="false">H525*I525/100</f>
        <v>0</v>
      </c>
      <c r="L525" s="1006" t="n">
        <v>1280</v>
      </c>
      <c r="M525" s="1007" t="n">
        <v>1</v>
      </c>
      <c r="N525" s="1143" t="n">
        <f aca="false">L525*M525</f>
        <v>1280</v>
      </c>
      <c r="O525" s="1386" t="n">
        <f aca="false">H525*N525</f>
        <v>0</v>
      </c>
      <c r="P525" s="856" t="s">
        <v>2204</v>
      </c>
      <c r="Q525" s="857" t="n">
        <v>23052024</v>
      </c>
      <c r="R525" s="854" t="n">
        <v>0</v>
      </c>
      <c r="S525" s="854" t="n">
        <v>1280</v>
      </c>
      <c r="T525" s="953" t="n">
        <f aca="false">O525-R525</f>
        <v>0</v>
      </c>
      <c r="U525" s="892" t="n">
        <f aca="false">N525-S525</f>
        <v>0</v>
      </c>
    </row>
    <row r="526" customFormat="false" ht="15" hidden="false" customHeight="true" outlineLevel="0" collapsed="false">
      <c r="A526" s="881"/>
      <c r="B526" s="1479" t="s">
        <v>86</v>
      </c>
      <c r="C526" s="847" t="n">
        <v>2024</v>
      </c>
      <c r="D526" s="848" t="s">
        <v>5</v>
      </c>
      <c r="E526" s="848" t="s">
        <v>2241</v>
      </c>
      <c r="F526" s="848"/>
      <c r="G526" s="849"/>
      <c r="H526" s="949" t="n">
        <v>18.7</v>
      </c>
      <c r="I526" s="1397"/>
      <c r="J526" s="1397"/>
      <c r="K526" s="864" t="n">
        <f aca="false">H526*I526/100</f>
        <v>0</v>
      </c>
      <c r="L526" s="982" t="n">
        <v>1234</v>
      </c>
      <c r="M526" s="983" t="n">
        <v>1</v>
      </c>
      <c r="N526" s="1299" t="n">
        <f aca="false">L526*M526</f>
        <v>1234</v>
      </c>
      <c r="O526" s="1430" t="n">
        <f aca="false">H526*N526</f>
        <v>23075.8</v>
      </c>
      <c r="P526" s="868" t="s">
        <v>2204</v>
      </c>
      <c r="Q526" s="869" t="n">
        <v>23052024</v>
      </c>
      <c r="R526" s="866" t="n">
        <v>23075.8</v>
      </c>
      <c r="S526" s="866" t="n">
        <f aca="false">R526/H526</f>
        <v>1234</v>
      </c>
      <c r="T526" s="1449" t="n">
        <f aca="false">O526-R526</f>
        <v>0</v>
      </c>
      <c r="U526" s="1135" t="n">
        <f aca="false">N526-S526</f>
        <v>0</v>
      </c>
    </row>
    <row r="527" customFormat="false" ht="15" hidden="false" customHeight="true" outlineLevel="0" collapsed="false">
      <c r="A527" s="881"/>
      <c r="B527" s="1501" t="s">
        <v>86</v>
      </c>
      <c r="C527" s="1072" t="n">
        <v>2024</v>
      </c>
      <c r="D527" s="887" t="s">
        <v>5</v>
      </c>
      <c r="E527" s="887" t="s">
        <v>2205</v>
      </c>
      <c r="F527" s="887"/>
      <c r="G527" s="1062"/>
      <c r="H527" s="1077" t="n">
        <v>7.3</v>
      </c>
      <c r="I527" s="1078"/>
      <c r="J527" s="1078"/>
      <c r="K527" s="897" t="n">
        <f aca="false">H527*I527/100</f>
        <v>0</v>
      </c>
      <c r="L527" s="1105" t="n">
        <v>605</v>
      </c>
      <c r="M527" s="1106" t="n">
        <v>1</v>
      </c>
      <c r="N527" s="1393" t="n">
        <f aca="false">L527*M527</f>
        <v>605</v>
      </c>
      <c r="O527" s="1411" t="n">
        <f aca="false">H527*N527</f>
        <v>4416.5</v>
      </c>
      <c r="P527" s="844" t="s">
        <v>2204</v>
      </c>
      <c r="Q527" s="845" t="n">
        <v>23052024</v>
      </c>
      <c r="R527" s="846" t="n">
        <v>4416.5</v>
      </c>
      <c r="S527" s="846" t="n">
        <f aca="false">R527/H527</f>
        <v>605</v>
      </c>
      <c r="T527" s="1183" t="n">
        <f aca="false">O527-R527</f>
        <v>0</v>
      </c>
      <c r="U527" s="902" t="n">
        <f aca="false">N527-S527</f>
        <v>0</v>
      </c>
    </row>
    <row r="528" customFormat="false" ht="15" hidden="false" customHeight="true" outlineLevel="0" collapsed="false">
      <c r="A528" s="829" t="n">
        <v>1</v>
      </c>
      <c r="B528" s="830" t="s">
        <v>2207</v>
      </c>
      <c r="C528" s="830" t="n">
        <v>2024</v>
      </c>
      <c r="D528" s="831" t="s">
        <v>5</v>
      </c>
      <c r="E528" s="831" t="s">
        <v>2192</v>
      </c>
      <c r="F528" s="832" t="s">
        <v>1651</v>
      </c>
      <c r="G528" s="833"/>
      <c r="H528" s="1059" t="n">
        <v>28.5939</v>
      </c>
      <c r="I528" s="1020"/>
      <c r="J528" s="1020"/>
      <c r="K528" s="836" t="n">
        <f aca="false">H528*I528/100</f>
        <v>0</v>
      </c>
      <c r="L528" s="1002" t="n">
        <v>2172</v>
      </c>
      <c r="M528" s="1003" t="n">
        <v>1</v>
      </c>
      <c r="N528" s="837" t="n">
        <f aca="false">L528*M528</f>
        <v>2172</v>
      </c>
      <c r="O528" s="943" t="n">
        <f aca="false">H528*N528</f>
        <v>62105.9508</v>
      </c>
      <c r="P528" s="838" t="s">
        <v>2197</v>
      </c>
      <c r="Q528" s="1004" t="s">
        <v>2214</v>
      </c>
      <c r="R528" s="1537" t="n">
        <v>1715.634</v>
      </c>
      <c r="S528" s="886" t="n">
        <f aca="false">R528/H528</f>
        <v>60</v>
      </c>
      <c r="T528" s="837" t="n">
        <f aca="false">O528-R528-R529-R531-R530</f>
        <v>4.54747350886464E-012</v>
      </c>
      <c r="U528" s="842" t="n">
        <f aca="false">N528-S528-S529-S531-S530</f>
        <v>0</v>
      </c>
    </row>
    <row r="529" customFormat="false" ht="15" hidden="false" customHeight="true" outlineLevel="0" collapsed="false">
      <c r="A529" s="829"/>
      <c r="B529" s="830"/>
      <c r="C529" s="830"/>
      <c r="D529" s="848" t="s">
        <v>5</v>
      </c>
      <c r="E529" s="848" t="s">
        <v>2192</v>
      </c>
      <c r="F529" s="832"/>
      <c r="G529" s="833"/>
      <c r="H529" s="1059"/>
      <c r="I529" s="1020"/>
      <c r="J529" s="1020"/>
      <c r="K529" s="836"/>
      <c r="L529" s="1002"/>
      <c r="M529" s="1003"/>
      <c r="N529" s="837"/>
      <c r="O529" s="943"/>
      <c r="P529" s="856" t="s">
        <v>2197</v>
      </c>
      <c r="Q529" s="1008" t="s">
        <v>2443</v>
      </c>
      <c r="R529" s="1088" t="n">
        <v>28593.9</v>
      </c>
      <c r="S529" s="866" t="n">
        <f aca="false">R529/H528</f>
        <v>1000</v>
      </c>
      <c r="T529" s="837"/>
      <c r="U529" s="842"/>
    </row>
    <row r="530" customFormat="false" ht="15" hidden="false" customHeight="true" outlineLevel="0" collapsed="false">
      <c r="A530" s="829"/>
      <c r="B530" s="830"/>
      <c r="C530" s="830"/>
      <c r="D530" s="848" t="s">
        <v>5</v>
      </c>
      <c r="E530" s="848" t="s">
        <v>2192</v>
      </c>
      <c r="F530" s="832"/>
      <c r="G530" s="833"/>
      <c r="H530" s="1059"/>
      <c r="I530" s="1020"/>
      <c r="J530" s="1020"/>
      <c r="K530" s="836"/>
      <c r="L530" s="1002"/>
      <c r="M530" s="1003"/>
      <c r="N530" s="837"/>
      <c r="O530" s="943"/>
      <c r="P530" s="856" t="s">
        <v>2261</v>
      </c>
      <c r="Q530" s="1008"/>
      <c r="R530" s="1144" t="n">
        <v>1200.9438</v>
      </c>
      <c r="S530" s="866" t="n">
        <f aca="false">R530/H528</f>
        <v>42</v>
      </c>
      <c r="T530" s="837"/>
      <c r="U530" s="842"/>
    </row>
    <row r="531" customFormat="false" ht="15" hidden="false" customHeight="true" outlineLevel="0" collapsed="false">
      <c r="A531" s="829"/>
      <c r="B531" s="830"/>
      <c r="C531" s="830"/>
      <c r="D531" s="887" t="s">
        <v>5</v>
      </c>
      <c r="E531" s="887" t="s">
        <v>2192</v>
      </c>
      <c r="F531" s="832"/>
      <c r="G531" s="833"/>
      <c r="H531" s="1059"/>
      <c r="I531" s="1020"/>
      <c r="J531" s="1020"/>
      <c r="K531" s="836"/>
      <c r="L531" s="1002"/>
      <c r="M531" s="1003"/>
      <c r="N531" s="837"/>
      <c r="O531" s="943"/>
      <c r="P531" s="888" t="s">
        <v>2197</v>
      </c>
      <c r="Q531" s="1364" t="s">
        <v>2444</v>
      </c>
      <c r="R531" s="1141" t="n">
        <v>30595.473</v>
      </c>
      <c r="S531" s="846" t="n">
        <f aca="false">R531/H528</f>
        <v>1070</v>
      </c>
      <c r="T531" s="837"/>
      <c r="U531" s="842"/>
    </row>
    <row r="532" customFormat="false" ht="15" hidden="false" customHeight="true" outlineLevel="0" collapsed="false">
      <c r="A532" s="903" t="n">
        <v>57</v>
      </c>
      <c r="B532" s="903" t="s">
        <v>2191</v>
      </c>
      <c r="C532" s="903" t="n">
        <v>2024</v>
      </c>
      <c r="D532" s="904" t="s">
        <v>5</v>
      </c>
      <c r="E532" s="904" t="s">
        <v>2192</v>
      </c>
      <c r="F532" s="904" t="s">
        <v>1651</v>
      </c>
      <c r="G532" s="905"/>
      <c r="H532" s="1406" t="n">
        <v>25.71</v>
      </c>
      <c r="I532" s="1055"/>
      <c r="J532" s="1055"/>
      <c r="K532" s="939" t="n">
        <f aca="false">H532*I532/100</f>
        <v>0</v>
      </c>
      <c r="L532" s="1022" t="n">
        <v>14</v>
      </c>
      <c r="M532" s="1023" t="n">
        <v>15</v>
      </c>
      <c r="N532" s="942" t="n">
        <f aca="false">L532*M532</f>
        <v>210</v>
      </c>
      <c r="O532" s="948" t="n">
        <f aca="false">H532*N532</f>
        <v>5399.1</v>
      </c>
      <c r="P532" s="910" t="s">
        <v>2193</v>
      </c>
      <c r="Q532" s="1057" t="s">
        <v>2445</v>
      </c>
      <c r="R532" s="1538" t="n">
        <v>5399.1</v>
      </c>
      <c r="S532" s="891" t="n">
        <f aca="false">R532/H532</f>
        <v>210</v>
      </c>
      <c r="T532" s="1122" t="n">
        <f aca="false">O532-R532</f>
        <v>0</v>
      </c>
      <c r="U532" s="942" t="n">
        <f aca="false">N532-S532</f>
        <v>0</v>
      </c>
    </row>
    <row r="533" customFormat="false" ht="15" hidden="false" customHeight="true" outlineLevel="0" collapsed="false">
      <c r="A533" s="882" t="n">
        <v>71</v>
      </c>
      <c r="B533" s="883" t="s">
        <v>2191</v>
      </c>
      <c r="C533" s="883" t="n">
        <v>2024</v>
      </c>
      <c r="D533" s="831" t="s">
        <v>5</v>
      </c>
      <c r="E533" s="831" t="s">
        <v>2192</v>
      </c>
      <c r="F533" s="832" t="s">
        <v>1651</v>
      </c>
      <c r="G533" s="833"/>
      <c r="H533" s="1059" t="n">
        <v>25.71</v>
      </c>
      <c r="I533" s="1020"/>
      <c r="J533" s="1020"/>
      <c r="K533" s="836" t="n">
        <f aca="false">H533*I533/100</f>
        <v>0</v>
      </c>
      <c r="L533" s="1002" t="n">
        <v>854</v>
      </c>
      <c r="M533" s="1003" t="n">
        <v>1</v>
      </c>
      <c r="N533" s="837" t="n">
        <f aca="false">L533*M533</f>
        <v>854</v>
      </c>
      <c r="O533" s="943" t="n">
        <f aca="false">H533*N533</f>
        <v>21956.34</v>
      </c>
      <c r="P533" s="838" t="s">
        <v>2197</v>
      </c>
      <c r="Q533" s="1004" t="s">
        <v>2377</v>
      </c>
      <c r="R533" s="1537" t="n">
        <v>3445.14</v>
      </c>
      <c r="S533" s="886" t="n">
        <f aca="false">R533/H533</f>
        <v>134</v>
      </c>
      <c r="T533" s="837" t="n">
        <f aca="false">O533-R533-R535-R534</f>
        <v>1.47792889038101E-012</v>
      </c>
      <c r="U533" s="842" t="n">
        <f aca="false">N533-S533-S535-S534</f>
        <v>0</v>
      </c>
    </row>
    <row r="534" customFormat="false" ht="15" hidden="false" customHeight="true" outlineLevel="0" collapsed="false">
      <c r="A534" s="882"/>
      <c r="B534" s="883"/>
      <c r="C534" s="883"/>
      <c r="D534" s="904" t="s">
        <v>5</v>
      </c>
      <c r="E534" s="904" t="s">
        <v>2192</v>
      </c>
      <c r="F534" s="832"/>
      <c r="G534" s="833"/>
      <c r="H534" s="1059"/>
      <c r="I534" s="1020"/>
      <c r="J534" s="1020"/>
      <c r="K534" s="836"/>
      <c r="L534" s="1002"/>
      <c r="M534" s="1003"/>
      <c r="N534" s="837"/>
      <c r="O534" s="943"/>
      <c r="P534" s="910" t="s">
        <v>2195</v>
      </c>
      <c r="Q534" s="1057" t="s">
        <v>1375</v>
      </c>
      <c r="R534" s="1538" t="n">
        <v>385.65</v>
      </c>
      <c r="S534" s="866" t="n">
        <f aca="false">R534/H533</f>
        <v>15</v>
      </c>
      <c r="T534" s="837"/>
      <c r="U534" s="842"/>
    </row>
    <row r="535" customFormat="false" ht="15" hidden="false" customHeight="true" outlineLevel="0" collapsed="false">
      <c r="A535" s="882"/>
      <c r="B535" s="883"/>
      <c r="C535" s="883"/>
      <c r="D535" s="843" t="s">
        <v>5</v>
      </c>
      <c r="E535" s="843" t="s">
        <v>2192</v>
      </c>
      <c r="F535" s="832"/>
      <c r="G535" s="833"/>
      <c r="H535" s="1059"/>
      <c r="I535" s="1020"/>
      <c r="J535" s="1020"/>
      <c r="K535" s="836"/>
      <c r="L535" s="1002"/>
      <c r="M535" s="1003"/>
      <c r="N535" s="837"/>
      <c r="O535" s="943"/>
      <c r="P535" s="844" t="s">
        <v>2193</v>
      </c>
      <c r="Q535" s="1005" t="s">
        <v>2432</v>
      </c>
      <c r="R535" s="1539" t="n">
        <v>18125.55</v>
      </c>
      <c r="S535" s="846" t="n">
        <f aca="false">R535/H533</f>
        <v>705</v>
      </c>
      <c r="T535" s="837"/>
      <c r="U535" s="842"/>
    </row>
    <row r="536" customFormat="false" ht="15" hidden="false" customHeight="true" outlineLevel="0" collapsed="false">
      <c r="A536" s="829" t="n">
        <v>72</v>
      </c>
      <c r="B536" s="830" t="s">
        <v>2191</v>
      </c>
      <c r="C536" s="830" t="n">
        <v>2024</v>
      </c>
      <c r="D536" s="831" t="s">
        <v>5</v>
      </c>
      <c r="E536" s="831" t="s">
        <v>2192</v>
      </c>
      <c r="F536" s="832" t="s">
        <v>1651</v>
      </c>
      <c r="G536" s="833"/>
      <c r="H536" s="1059" t="n">
        <v>25.71</v>
      </c>
      <c r="I536" s="1020"/>
      <c r="J536" s="1020"/>
      <c r="K536" s="1318" t="n">
        <f aca="false">H536*I536/100</f>
        <v>0</v>
      </c>
      <c r="L536" s="1002" t="n">
        <v>35</v>
      </c>
      <c r="M536" s="1003" t="n">
        <v>15</v>
      </c>
      <c r="N536" s="837" t="n">
        <f aca="false">L536*M536</f>
        <v>525</v>
      </c>
      <c r="O536" s="943" t="n">
        <f aca="false">H536*N536</f>
        <v>13497.75</v>
      </c>
      <c r="P536" s="884" t="s">
        <v>2446</v>
      </c>
      <c r="Q536" s="1540" t="n">
        <v>144</v>
      </c>
      <c r="R536" s="1541" t="n">
        <v>1156.95</v>
      </c>
      <c r="S536" s="886" t="n">
        <f aca="false">R536/H536</f>
        <v>45</v>
      </c>
      <c r="T536" s="837" t="n">
        <f aca="false">O536-R536-R540-R539-R537-R538</f>
        <v>-1.25055521493778E-012</v>
      </c>
      <c r="U536" s="842" t="n">
        <f aca="false">N536-S536-S540-S539-S537-S538</f>
        <v>0</v>
      </c>
    </row>
    <row r="537" customFormat="false" ht="15" hidden="false" customHeight="true" outlineLevel="0" collapsed="false">
      <c r="A537" s="829"/>
      <c r="B537" s="830"/>
      <c r="C537" s="830"/>
      <c r="D537" s="860" t="s">
        <v>5</v>
      </c>
      <c r="E537" s="860" t="s">
        <v>2192</v>
      </c>
      <c r="F537" s="832"/>
      <c r="G537" s="833"/>
      <c r="H537" s="1059"/>
      <c r="I537" s="1020"/>
      <c r="J537" s="1020"/>
      <c r="K537" s="1318"/>
      <c r="L537" s="1002"/>
      <c r="M537" s="1003"/>
      <c r="N537" s="837"/>
      <c r="O537" s="943"/>
      <c r="P537" s="868" t="s">
        <v>2193</v>
      </c>
      <c r="Q537" s="1012" t="s">
        <v>2432</v>
      </c>
      <c r="R537" s="1383" t="n">
        <v>3856.5</v>
      </c>
      <c r="S537" s="866" t="n">
        <f aca="false">R537/H536</f>
        <v>150</v>
      </c>
      <c r="T537" s="837"/>
      <c r="U537" s="842"/>
    </row>
    <row r="538" customFormat="false" ht="15" hidden="false" customHeight="true" outlineLevel="0" collapsed="false">
      <c r="A538" s="829"/>
      <c r="B538" s="830"/>
      <c r="C538" s="830"/>
      <c r="D538" s="860" t="s">
        <v>5</v>
      </c>
      <c r="E538" s="860" t="s">
        <v>2192</v>
      </c>
      <c r="F538" s="832"/>
      <c r="G538" s="833"/>
      <c r="H538" s="1059"/>
      <c r="I538" s="1020"/>
      <c r="J538" s="1020"/>
      <c r="K538" s="1318"/>
      <c r="L538" s="1002"/>
      <c r="M538" s="1003"/>
      <c r="N538" s="837"/>
      <c r="O538" s="943"/>
      <c r="P538" s="868" t="s">
        <v>2195</v>
      </c>
      <c r="Q538" s="1012" t="s">
        <v>1375</v>
      </c>
      <c r="R538" s="1383" t="n">
        <v>385.65</v>
      </c>
      <c r="S538" s="866" t="n">
        <f aca="false">R538/H536</f>
        <v>15</v>
      </c>
      <c r="T538" s="837"/>
      <c r="U538" s="842"/>
    </row>
    <row r="539" customFormat="false" ht="15" hidden="false" customHeight="true" outlineLevel="0" collapsed="false">
      <c r="A539" s="829"/>
      <c r="B539" s="830"/>
      <c r="C539" s="830"/>
      <c r="D539" s="860" t="s">
        <v>5</v>
      </c>
      <c r="E539" s="860" t="s">
        <v>2192</v>
      </c>
      <c r="F539" s="832"/>
      <c r="G539" s="833"/>
      <c r="H539" s="1059"/>
      <c r="I539" s="1020"/>
      <c r="J539" s="1020"/>
      <c r="K539" s="1318"/>
      <c r="L539" s="1002"/>
      <c r="M539" s="1003"/>
      <c r="N539" s="837"/>
      <c r="O539" s="943"/>
      <c r="P539" s="868" t="s">
        <v>2197</v>
      </c>
      <c r="Q539" s="1012" t="s">
        <v>2447</v>
      </c>
      <c r="R539" s="1383" t="n">
        <v>4627.8</v>
      </c>
      <c r="S539" s="866" t="n">
        <f aca="false">R539/H536</f>
        <v>180</v>
      </c>
      <c r="T539" s="837"/>
      <c r="U539" s="842"/>
    </row>
    <row r="540" customFormat="false" ht="15" hidden="false" customHeight="true" outlineLevel="0" collapsed="false">
      <c r="A540" s="829"/>
      <c r="B540" s="830"/>
      <c r="C540" s="830"/>
      <c r="D540" s="843" t="s">
        <v>5</v>
      </c>
      <c r="E540" s="843" t="s">
        <v>2192</v>
      </c>
      <c r="F540" s="832"/>
      <c r="G540" s="833"/>
      <c r="H540" s="1059"/>
      <c r="I540" s="1020"/>
      <c r="J540" s="1020"/>
      <c r="K540" s="1318"/>
      <c r="L540" s="1002"/>
      <c r="M540" s="1003"/>
      <c r="N540" s="837"/>
      <c r="O540" s="943"/>
      <c r="P540" s="844" t="s">
        <v>2193</v>
      </c>
      <c r="Q540" s="900" t="s">
        <v>2448</v>
      </c>
      <c r="R540" s="1539" t="n">
        <v>3470.85</v>
      </c>
      <c r="S540" s="846" t="n">
        <f aca="false">R540/H536</f>
        <v>135</v>
      </c>
      <c r="T540" s="837"/>
      <c r="U540" s="842"/>
    </row>
    <row r="541" customFormat="false" ht="15" hidden="false" customHeight="true" outlineLevel="0" collapsed="false">
      <c r="A541" s="870" t="n">
        <v>5</v>
      </c>
      <c r="B541" s="870" t="s">
        <v>2207</v>
      </c>
      <c r="C541" s="870" t="n">
        <v>2024</v>
      </c>
      <c r="D541" s="871" t="s">
        <v>5</v>
      </c>
      <c r="E541" s="871" t="s">
        <v>2192</v>
      </c>
      <c r="F541" s="871" t="s">
        <v>1651</v>
      </c>
      <c r="G541" s="872"/>
      <c r="H541" s="1542" t="n">
        <v>29.5207</v>
      </c>
      <c r="I541" s="1433"/>
      <c r="J541" s="1433"/>
      <c r="K541" s="875" t="n">
        <f aca="false">H541*I541/100</f>
        <v>0</v>
      </c>
      <c r="L541" s="999" t="n">
        <v>9492</v>
      </c>
      <c r="M541" s="1000" t="n">
        <v>1</v>
      </c>
      <c r="N541" s="553" t="n">
        <f aca="false">L541*M541</f>
        <v>9492</v>
      </c>
      <c r="O541" s="1403" t="n">
        <f aca="false">H541*N541</f>
        <v>280210.4844</v>
      </c>
      <c r="P541" s="879" t="s">
        <v>2193</v>
      </c>
      <c r="Q541" s="1013" t="s">
        <v>2449</v>
      </c>
      <c r="R541" s="1543" t="n">
        <v>280210.4844</v>
      </c>
      <c r="S541" s="877" t="n">
        <f aca="false">R541/H541</f>
        <v>9492</v>
      </c>
      <c r="T541" s="553" t="n">
        <f aca="false">O541-R541</f>
        <v>0</v>
      </c>
      <c r="U541" s="553" t="n">
        <f aca="false">N541-S541</f>
        <v>0</v>
      </c>
    </row>
    <row r="542" customFormat="false" ht="15" hidden="false" customHeight="true" outlineLevel="0" collapsed="false">
      <c r="A542" s="829" t="s">
        <v>2450</v>
      </c>
      <c r="B542" s="830" t="s">
        <v>2207</v>
      </c>
      <c r="C542" s="830" t="n">
        <v>2024</v>
      </c>
      <c r="D542" s="831" t="s">
        <v>5</v>
      </c>
      <c r="E542" s="831" t="s">
        <v>2192</v>
      </c>
      <c r="F542" s="832" t="s">
        <v>1651</v>
      </c>
      <c r="G542" s="833"/>
      <c r="H542" s="1059" t="n">
        <v>29.4107</v>
      </c>
      <c r="I542" s="1020"/>
      <c r="J542" s="1020"/>
      <c r="K542" s="836" t="n">
        <f aca="false">H542*I542/100</f>
        <v>0</v>
      </c>
      <c r="L542" s="1002" t="n">
        <v>9792</v>
      </c>
      <c r="M542" s="1003" t="n">
        <v>1</v>
      </c>
      <c r="N542" s="837" t="n">
        <f aca="false">L542*M542</f>
        <v>9792</v>
      </c>
      <c r="O542" s="943" t="n">
        <f aca="false">H542*N542</f>
        <v>287989.5744</v>
      </c>
      <c r="P542" s="838" t="s">
        <v>2197</v>
      </c>
      <c r="Q542" s="1004" t="s">
        <v>2451</v>
      </c>
      <c r="R542" s="1537" t="n">
        <v>238226.67</v>
      </c>
      <c r="S542" s="840" t="n">
        <f aca="false">R542/H542</f>
        <v>8100</v>
      </c>
      <c r="T542" s="943" t="n">
        <f aca="false">O542-R542-R543</f>
        <v>0</v>
      </c>
      <c r="U542" s="842" t="n">
        <f aca="false">N542-S542-S543</f>
        <v>0</v>
      </c>
    </row>
    <row r="543" customFormat="false" ht="15" hidden="false" customHeight="true" outlineLevel="0" collapsed="false">
      <c r="A543" s="829"/>
      <c r="B543" s="830"/>
      <c r="C543" s="830"/>
      <c r="D543" s="887" t="s">
        <v>5</v>
      </c>
      <c r="E543" s="887" t="s">
        <v>2192</v>
      </c>
      <c r="F543" s="832"/>
      <c r="G543" s="833"/>
      <c r="H543" s="1059"/>
      <c r="I543" s="1020"/>
      <c r="J543" s="1020"/>
      <c r="K543" s="836"/>
      <c r="L543" s="1002"/>
      <c r="M543" s="1003"/>
      <c r="N543" s="837"/>
      <c r="O543" s="943"/>
      <c r="P543" s="888" t="s">
        <v>2197</v>
      </c>
      <c r="Q543" s="1364" t="s">
        <v>2452</v>
      </c>
      <c r="R543" s="1141" t="n">
        <v>49762.9044</v>
      </c>
      <c r="S543" s="846" t="n">
        <f aca="false">R543/H542</f>
        <v>1692</v>
      </c>
      <c r="T543" s="943"/>
      <c r="U543" s="842"/>
    </row>
    <row r="544" customFormat="false" ht="15" hidden="false" customHeight="true" outlineLevel="0" collapsed="false">
      <c r="A544" s="882" t="n">
        <v>12</v>
      </c>
      <c r="B544" s="883" t="s">
        <v>2207</v>
      </c>
      <c r="C544" s="883" t="n">
        <v>2024</v>
      </c>
      <c r="D544" s="1328" t="s">
        <v>5</v>
      </c>
      <c r="E544" s="1328" t="s">
        <v>2192</v>
      </c>
      <c r="F544" s="832" t="s">
        <v>1651</v>
      </c>
      <c r="G544" s="833"/>
      <c r="H544" s="1059" t="n">
        <v>28.657</v>
      </c>
      <c r="I544" s="1020"/>
      <c r="J544" s="1020"/>
      <c r="K544" s="836" t="n">
        <f aca="false">H544*I544/100</f>
        <v>0</v>
      </c>
      <c r="L544" s="1002" t="n">
        <v>2012</v>
      </c>
      <c r="M544" s="1003" t="n">
        <v>1</v>
      </c>
      <c r="N544" s="837" t="n">
        <f aca="false">L544*M544</f>
        <v>2012</v>
      </c>
      <c r="O544" s="943" t="n">
        <f aca="false">H544*N544</f>
        <v>57657.884</v>
      </c>
      <c r="P544" s="884" t="s">
        <v>2197</v>
      </c>
      <c r="Q544" s="1015" t="s">
        <v>2453</v>
      </c>
      <c r="R544" s="1541" t="n">
        <v>42985.5</v>
      </c>
      <c r="S544" s="886" t="n">
        <f aca="false">R544/H544</f>
        <v>1500</v>
      </c>
      <c r="T544" s="1017" t="n">
        <f aca="false">O544-R544-R546-R545</f>
        <v>0</v>
      </c>
      <c r="U544" s="842" t="n">
        <f aca="false">N544-S544-S546-S545</f>
        <v>0</v>
      </c>
    </row>
    <row r="545" customFormat="false" ht="15" hidden="false" customHeight="true" outlineLevel="0" collapsed="false">
      <c r="A545" s="882"/>
      <c r="B545" s="883"/>
      <c r="C545" s="883"/>
      <c r="D545" s="860" t="s">
        <v>5</v>
      </c>
      <c r="E545" s="860" t="s">
        <v>2192</v>
      </c>
      <c r="F545" s="832"/>
      <c r="G545" s="833"/>
      <c r="H545" s="1059"/>
      <c r="I545" s="1020"/>
      <c r="J545" s="1020"/>
      <c r="K545" s="836"/>
      <c r="L545" s="1002"/>
      <c r="M545" s="1003"/>
      <c r="N545" s="837"/>
      <c r="O545" s="943"/>
      <c r="P545" s="868" t="s">
        <v>2197</v>
      </c>
      <c r="Q545" s="1011" t="s">
        <v>2454</v>
      </c>
      <c r="R545" s="1383" t="n">
        <v>6075.284</v>
      </c>
      <c r="S545" s="866" t="n">
        <f aca="false">R545/H544</f>
        <v>212</v>
      </c>
      <c r="T545" s="1017"/>
      <c r="U545" s="842"/>
    </row>
    <row r="546" customFormat="false" ht="15" hidden="false" customHeight="true" outlineLevel="0" collapsed="false">
      <c r="A546" s="882"/>
      <c r="B546" s="883"/>
      <c r="C546" s="883"/>
      <c r="D546" s="843" t="s">
        <v>5</v>
      </c>
      <c r="E546" s="843" t="s">
        <v>2192</v>
      </c>
      <c r="F546" s="832"/>
      <c r="G546" s="833"/>
      <c r="H546" s="1059"/>
      <c r="I546" s="1020"/>
      <c r="J546" s="1020"/>
      <c r="K546" s="836"/>
      <c r="L546" s="1002"/>
      <c r="M546" s="1003"/>
      <c r="N546" s="837"/>
      <c r="O546" s="943"/>
      <c r="P546" s="844" t="s">
        <v>2197</v>
      </c>
      <c r="Q546" s="1005" t="s">
        <v>2455</v>
      </c>
      <c r="R546" s="1539" t="n">
        <v>8597.1</v>
      </c>
      <c r="S546" s="846" t="n">
        <f aca="false">R546/H544</f>
        <v>300</v>
      </c>
      <c r="T546" s="1017"/>
      <c r="U546" s="842"/>
    </row>
    <row r="547" customFormat="false" ht="15" hidden="false" customHeight="true" outlineLevel="0" collapsed="false">
      <c r="A547" s="903" t="n">
        <v>18</v>
      </c>
      <c r="B547" s="903" t="s">
        <v>81</v>
      </c>
      <c r="C547" s="903" t="n">
        <v>2024</v>
      </c>
      <c r="D547" s="904" t="s">
        <v>5</v>
      </c>
      <c r="E547" s="904" t="s">
        <v>2192</v>
      </c>
      <c r="F547" s="904" t="s">
        <v>2199</v>
      </c>
      <c r="G547" s="905"/>
      <c r="H547" s="1406" t="n">
        <v>75.3</v>
      </c>
      <c r="I547" s="1055" t="n">
        <v>87</v>
      </c>
      <c r="J547" s="1055"/>
      <c r="K547" s="939" t="n">
        <f aca="false">H547*I547/100</f>
        <v>65.511</v>
      </c>
      <c r="L547" s="1022" t="n">
        <v>37228</v>
      </c>
      <c r="M547" s="1023" t="n">
        <v>1</v>
      </c>
      <c r="N547" s="942" t="n">
        <f aca="false">L547*M547</f>
        <v>37228</v>
      </c>
      <c r="O547" s="948" t="n">
        <f aca="false">H547*N547</f>
        <v>2803268.4</v>
      </c>
      <c r="P547" s="910" t="s">
        <v>2200</v>
      </c>
      <c r="Q547" s="1057" t="s">
        <v>2348</v>
      </c>
      <c r="R547" s="1538" t="n">
        <v>2803268.4</v>
      </c>
      <c r="S547" s="854" t="n">
        <f aca="false">R547/H547</f>
        <v>37228</v>
      </c>
      <c r="T547" s="1122" t="n">
        <f aca="false">O547-R547</f>
        <v>0</v>
      </c>
      <c r="U547" s="942" t="n">
        <f aca="false">N547-S547</f>
        <v>0</v>
      </c>
    </row>
    <row r="548" customFormat="false" ht="15" hidden="false" customHeight="true" outlineLevel="0" collapsed="false">
      <c r="A548" s="829" t="n">
        <v>14</v>
      </c>
      <c r="B548" s="830" t="s">
        <v>2207</v>
      </c>
      <c r="C548" s="830" t="n">
        <v>2024</v>
      </c>
      <c r="D548" s="831" t="s">
        <v>5</v>
      </c>
      <c r="E548" s="831" t="s">
        <v>2192</v>
      </c>
      <c r="F548" s="832" t="s">
        <v>1651</v>
      </c>
      <c r="G548" s="833"/>
      <c r="H548" s="1059" t="n">
        <v>28.1709</v>
      </c>
      <c r="I548" s="1020"/>
      <c r="J548" s="1020"/>
      <c r="K548" s="836" t="n">
        <f aca="false">H548*I548/100</f>
        <v>0</v>
      </c>
      <c r="L548" s="1002" t="n">
        <v>5256</v>
      </c>
      <c r="M548" s="1003" t="n">
        <v>1</v>
      </c>
      <c r="N548" s="837" t="n">
        <f aca="false">L548*M548</f>
        <v>5256</v>
      </c>
      <c r="O548" s="943" t="n">
        <f aca="false">H548*N548</f>
        <v>148066.2504</v>
      </c>
      <c r="P548" s="838" t="s">
        <v>2197</v>
      </c>
      <c r="Q548" s="1004" t="s">
        <v>2456</v>
      </c>
      <c r="R548" s="1537" t="n">
        <v>56341.8</v>
      </c>
      <c r="S548" s="840" t="n">
        <f aca="false">R548/H548</f>
        <v>2000</v>
      </c>
      <c r="T548" s="943" t="n">
        <f aca="false">O548-R548-R549</f>
        <v>0</v>
      </c>
      <c r="U548" s="842" t="n">
        <f aca="false">N548-S548-S549</f>
        <v>0</v>
      </c>
    </row>
    <row r="549" customFormat="false" ht="15" hidden="false" customHeight="true" outlineLevel="0" collapsed="false">
      <c r="A549" s="829"/>
      <c r="B549" s="830"/>
      <c r="C549" s="830"/>
      <c r="D549" s="887" t="s">
        <v>5</v>
      </c>
      <c r="E549" s="887" t="s">
        <v>2192</v>
      </c>
      <c r="F549" s="832"/>
      <c r="G549" s="833"/>
      <c r="H549" s="1059"/>
      <c r="I549" s="1020"/>
      <c r="J549" s="1020"/>
      <c r="K549" s="836"/>
      <c r="L549" s="1002"/>
      <c r="M549" s="1003"/>
      <c r="N549" s="837"/>
      <c r="O549" s="943"/>
      <c r="P549" s="888" t="s">
        <v>2197</v>
      </c>
      <c r="Q549" s="1364" t="s">
        <v>2457</v>
      </c>
      <c r="R549" s="1146" t="n">
        <v>91724.4504</v>
      </c>
      <c r="S549" s="846" t="n">
        <f aca="false">R549/H548</f>
        <v>3256</v>
      </c>
      <c r="T549" s="943"/>
      <c r="U549" s="842"/>
    </row>
    <row r="550" customFormat="false" ht="15" hidden="false" customHeight="true" outlineLevel="0" collapsed="false">
      <c r="A550" s="903" t="n">
        <v>19</v>
      </c>
      <c r="B550" s="903" t="s">
        <v>2207</v>
      </c>
      <c r="C550" s="903" t="n">
        <v>2024</v>
      </c>
      <c r="D550" s="904" t="s">
        <v>5</v>
      </c>
      <c r="E550" s="904" t="s">
        <v>2192</v>
      </c>
      <c r="F550" s="904" t="s">
        <v>1651</v>
      </c>
      <c r="G550" s="905"/>
      <c r="H550" s="1406" t="n">
        <v>30.3059</v>
      </c>
      <c r="I550" s="1055"/>
      <c r="J550" s="1055"/>
      <c r="K550" s="939" t="n">
        <f aca="false">H550*I550/100</f>
        <v>0</v>
      </c>
      <c r="L550" s="1022" t="n">
        <v>3105</v>
      </c>
      <c r="M550" s="1023" t="n">
        <v>1</v>
      </c>
      <c r="N550" s="1137" t="n">
        <f aca="false">L550*M550</f>
        <v>3105</v>
      </c>
      <c r="O550" s="1384" t="n">
        <f aca="false">H550*N550</f>
        <v>94099.8195</v>
      </c>
      <c r="P550" s="910" t="s">
        <v>2193</v>
      </c>
      <c r="Q550" s="1057" t="s">
        <v>2458</v>
      </c>
      <c r="R550" s="1138" t="n">
        <v>94099.8195</v>
      </c>
      <c r="S550" s="891" t="n">
        <f aca="false">R550/H550</f>
        <v>3105</v>
      </c>
      <c r="T550" s="942" t="n">
        <f aca="false">O550-R550</f>
        <v>0</v>
      </c>
      <c r="U550" s="942" t="n">
        <f aca="false">N550-S550</f>
        <v>0</v>
      </c>
    </row>
    <row r="551" customFormat="false" ht="15" hidden="false" customHeight="true" outlineLevel="0" collapsed="false">
      <c r="A551" s="882" t="s">
        <v>2459</v>
      </c>
      <c r="B551" s="883" t="s">
        <v>2207</v>
      </c>
      <c r="C551" s="883" t="n">
        <v>2024</v>
      </c>
      <c r="D551" s="831" t="s">
        <v>5</v>
      </c>
      <c r="E551" s="831" t="s">
        <v>2192</v>
      </c>
      <c r="F551" s="832" t="s">
        <v>1651</v>
      </c>
      <c r="G551" s="833"/>
      <c r="H551" s="1059" t="n">
        <v>30.2027</v>
      </c>
      <c r="I551" s="1020"/>
      <c r="J551" s="1020"/>
      <c r="K551" s="836" t="n">
        <f aca="false">H551*I551/100</f>
        <v>0</v>
      </c>
      <c r="L551" s="1002" t="n">
        <v>3180</v>
      </c>
      <c r="M551" s="1003" t="n">
        <v>1</v>
      </c>
      <c r="N551" s="837" t="n">
        <f aca="false">L551*M551</f>
        <v>3180</v>
      </c>
      <c r="O551" s="943" t="n">
        <f aca="false">H551*N551</f>
        <v>96044.586</v>
      </c>
      <c r="P551" s="838" t="s">
        <v>2197</v>
      </c>
      <c r="Q551" s="1004" t="s">
        <v>2460</v>
      </c>
      <c r="R551" s="1145" t="n">
        <v>37149.321</v>
      </c>
      <c r="S551" s="840" t="n">
        <f aca="false">R551/H551</f>
        <v>1230</v>
      </c>
      <c r="T551" s="1017" t="n">
        <f aca="false">O551-R551-R552-R553</f>
        <v>0</v>
      </c>
      <c r="U551" s="842" t="n">
        <f aca="false">N551-S551-S552-S553</f>
        <v>0</v>
      </c>
    </row>
    <row r="552" customFormat="false" ht="15" hidden="false" customHeight="true" outlineLevel="0" collapsed="false">
      <c r="A552" s="882"/>
      <c r="B552" s="883"/>
      <c r="C552" s="883"/>
      <c r="D552" s="848" t="s">
        <v>5</v>
      </c>
      <c r="E552" s="848" t="s">
        <v>2192</v>
      </c>
      <c r="F552" s="832"/>
      <c r="G552" s="833"/>
      <c r="H552" s="1059"/>
      <c r="I552" s="1020"/>
      <c r="J552" s="1020"/>
      <c r="K552" s="836"/>
      <c r="L552" s="1002"/>
      <c r="M552" s="1003"/>
      <c r="N552" s="837"/>
      <c r="O552" s="943"/>
      <c r="P552" s="856" t="s">
        <v>2197</v>
      </c>
      <c r="Q552" s="1008" t="s">
        <v>2461</v>
      </c>
      <c r="R552" s="1144" t="n">
        <v>42283.78</v>
      </c>
      <c r="S552" s="854" t="n">
        <f aca="false">R552/H551</f>
        <v>1400</v>
      </c>
      <c r="T552" s="1017"/>
      <c r="U552" s="842"/>
    </row>
    <row r="553" customFormat="false" ht="15" hidden="false" customHeight="true" outlineLevel="0" collapsed="false">
      <c r="A553" s="882"/>
      <c r="B553" s="883"/>
      <c r="C553" s="883"/>
      <c r="D553" s="887" t="s">
        <v>5</v>
      </c>
      <c r="E553" s="887" t="s">
        <v>2192</v>
      </c>
      <c r="F553" s="832"/>
      <c r="G553" s="833"/>
      <c r="H553" s="1059"/>
      <c r="I553" s="1020"/>
      <c r="J553" s="1020"/>
      <c r="K553" s="836"/>
      <c r="L553" s="1002"/>
      <c r="M553" s="1003"/>
      <c r="N553" s="837"/>
      <c r="O553" s="943"/>
      <c r="P553" s="888" t="s">
        <v>2197</v>
      </c>
      <c r="Q553" s="1364" t="s">
        <v>2454</v>
      </c>
      <c r="R553" s="1146" t="n">
        <v>16611.485</v>
      </c>
      <c r="S553" s="890" t="n">
        <f aca="false">R553/H551</f>
        <v>550</v>
      </c>
      <c r="T553" s="1017"/>
      <c r="U553" s="842"/>
    </row>
    <row r="554" customFormat="false" ht="15" hidden="false" customHeight="true" outlineLevel="0" collapsed="false">
      <c r="A554" s="829" t="n">
        <v>34</v>
      </c>
      <c r="B554" s="1173" t="s">
        <v>86</v>
      </c>
      <c r="C554" s="1173" t="n">
        <v>2024</v>
      </c>
      <c r="D554" s="831" t="s">
        <v>5</v>
      </c>
      <c r="E554" s="831" t="s">
        <v>2192</v>
      </c>
      <c r="F554" s="831" t="s">
        <v>1650</v>
      </c>
      <c r="G554" s="1108"/>
      <c r="H554" s="1407" t="n">
        <v>91</v>
      </c>
      <c r="I554" s="1435"/>
      <c r="J554" s="1435"/>
      <c r="K554" s="1111" t="n">
        <f aca="false">H554*I554/100</f>
        <v>0</v>
      </c>
      <c r="L554" s="1112" t="n">
        <v>30308</v>
      </c>
      <c r="M554" s="1113" t="n">
        <v>1</v>
      </c>
      <c r="N554" s="1114" t="n">
        <f aca="false">L554*M554</f>
        <v>30308</v>
      </c>
      <c r="O554" s="1181" t="n">
        <f aca="false">H554*N554</f>
        <v>2758028</v>
      </c>
      <c r="P554" s="838" t="s">
        <v>2193</v>
      </c>
      <c r="Q554" s="1004" t="s">
        <v>2435</v>
      </c>
      <c r="R554" s="1145" t="n">
        <v>819000</v>
      </c>
      <c r="S554" s="840" t="n">
        <f aca="false">R554/H554</f>
        <v>9000</v>
      </c>
      <c r="T554" s="1115" t="n">
        <f aca="false">O554-R554-R555-R556</f>
        <v>0</v>
      </c>
      <c r="U554" s="1176" t="n">
        <f aca="false">N554-S554-S555-S556</f>
        <v>0</v>
      </c>
    </row>
    <row r="555" customFormat="false" ht="15" hidden="false" customHeight="true" outlineLevel="0" collapsed="false">
      <c r="A555" s="829"/>
      <c r="B555" s="1173"/>
      <c r="C555" s="1173"/>
      <c r="D555" s="848" t="s">
        <v>5</v>
      </c>
      <c r="E555" s="848" t="s">
        <v>2192</v>
      </c>
      <c r="F555" s="831"/>
      <c r="G555" s="1108"/>
      <c r="H555" s="1407"/>
      <c r="I555" s="1435"/>
      <c r="J555" s="1435"/>
      <c r="K555" s="1111"/>
      <c r="L555" s="1112"/>
      <c r="M555" s="1113"/>
      <c r="N555" s="1114"/>
      <c r="O555" s="1181"/>
      <c r="P555" s="856" t="s">
        <v>2193</v>
      </c>
      <c r="Q555" s="1008" t="s">
        <v>2462</v>
      </c>
      <c r="R555" s="1144" t="n">
        <v>318500</v>
      </c>
      <c r="S555" s="866" t="n">
        <f aca="false">R555/H554</f>
        <v>3500</v>
      </c>
      <c r="T555" s="1115"/>
      <c r="U555" s="1176"/>
    </row>
    <row r="556" customFormat="false" ht="15" hidden="false" customHeight="true" outlineLevel="0" collapsed="false">
      <c r="A556" s="829"/>
      <c r="B556" s="1173"/>
      <c r="C556" s="1173"/>
      <c r="D556" s="848" t="s">
        <v>5</v>
      </c>
      <c r="E556" s="848" t="s">
        <v>2192</v>
      </c>
      <c r="F556" s="831"/>
      <c r="G556" s="1108"/>
      <c r="H556" s="1407"/>
      <c r="I556" s="1435"/>
      <c r="J556" s="1435"/>
      <c r="K556" s="1111"/>
      <c r="L556" s="1112"/>
      <c r="M556" s="1113"/>
      <c r="N556" s="1114"/>
      <c r="O556" s="1181"/>
      <c r="P556" s="856" t="s">
        <v>2193</v>
      </c>
      <c r="Q556" s="1008" t="s">
        <v>2391</v>
      </c>
      <c r="R556" s="1144" t="n">
        <v>1620528</v>
      </c>
      <c r="S556" s="866" t="n">
        <f aca="false">R556/H554</f>
        <v>17808</v>
      </c>
      <c r="T556" s="1115"/>
      <c r="U556" s="1176"/>
    </row>
    <row r="557" customFormat="false" ht="15" hidden="false" customHeight="true" outlineLevel="0" collapsed="false">
      <c r="A557" s="829"/>
      <c r="B557" s="903" t="s">
        <v>86</v>
      </c>
      <c r="C557" s="903" t="n">
        <v>2024</v>
      </c>
      <c r="D557" s="904" t="s">
        <v>5</v>
      </c>
      <c r="E557" s="904" t="s">
        <v>2242</v>
      </c>
      <c r="F557" s="904"/>
      <c r="G557" s="905"/>
      <c r="H557" s="1406" t="n">
        <v>46</v>
      </c>
      <c r="I557" s="1055"/>
      <c r="J557" s="1055"/>
      <c r="K557" s="939" t="n">
        <f aca="false">H557*I557/100</f>
        <v>0</v>
      </c>
      <c r="L557" s="1022" t="n">
        <v>214</v>
      </c>
      <c r="M557" s="1023" t="n">
        <v>1</v>
      </c>
      <c r="N557" s="1137" t="n">
        <f aca="false">L557*M557</f>
        <v>214</v>
      </c>
      <c r="O557" s="1384" t="n">
        <f aca="false">H557*N557</f>
        <v>9844</v>
      </c>
      <c r="P557" s="910" t="s">
        <v>2232</v>
      </c>
      <c r="Q557" s="1057" t="s">
        <v>103</v>
      </c>
      <c r="R557" s="1138" t="n">
        <v>9844</v>
      </c>
      <c r="S557" s="891" t="n">
        <f aca="false">R557/H557</f>
        <v>214</v>
      </c>
      <c r="T557" s="1404" t="n">
        <f aca="false">O557-R557</f>
        <v>0</v>
      </c>
      <c r="U557" s="1293" t="n">
        <f aca="false">N557-S557</f>
        <v>0</v>
      </c>
    </row>
    <row r="558" customFormat="false" ht="15" hidden="false" customHeight="true" outlineLevel="0" collapsed="false">
      <c r="A558" s="829"/>
      <c r="B558" s="829" t="s">
        <v>86</v>
      </c>
      <c r="C558" s="830" t="n">
        <v>2024</v>
      </c>
      <c r="D558" s="831" t="s">
        <v>5</v>
      </c>
      <c r="E558" s="831" t="s">
        <v>2203</v>
      </c>
      <c r="F558" s="830"/>
      <c r="G558" s="833"/>
      <c r="H558" s="1059" t="n">
        <v>10.9</v>
      </c>
      <c r="I558" s="1020"/>
      <c r="J558" s="1020"/>
      <c r="K558" s="836" t="n">
        <f aca="false">H558*I558/100</f>
        <v>0</v>
      </c>
      <c r="L558" s="1002" t="n">
        <v>2431</v>
      </c>
      <c r="M558" s="1003" t="n">
        <v>1</v>
      </c>
      <c r="N558" s="837" t="n">
        <f aca="false">L558*M558</f>
        <v>2431</v>
      </c>
      <c r="O558" s="943" t="n">
        <f aca="false">H558*N558</f>
        <v>26497.9</v>
      </c>
      <c r="P558" s="838" t="s">
        <v>2232</v>
      </c>
      <c r="Q558" s="1004" t="s">
        <v>103</v>
      </c>
      <c r="R558" s="1145" t="n">
        <v>23980</v>
      </c>
      <c r="S558" s="840" t="n">
        <f aca="false">R558/H558</f>
        <v>2200</v>
      </c>
      <c r="T558" s="841" t="n">
        <f aca="false">O558-R558-R559</f>
        <v>0</v>
      </c>
      <c r="U558" s="842" t="n">
        <f aca="false">N558-S558-S559</f>
        <v>0</v>
      </c>
    </row>
    <row r="559" customFormat="false" ht="15" hidden="false" customHeight="true" outlineLevel="0" collapsed="false">
      <c r="A559" s="829"/>
      <c r="B559" s="829"/>
      <c r="C559" s="830"/>
      <c r="D559" s="887" t="s">
        <v>5</v>
      </c>
      <c r="E559" s="887" t="s">
        <v>2203</v>
      </c>
      <c r="F559" s="830"/>
      <c r="G559" s="833"/>
      <c r="H559" s="1059"/>
      <c r="I559" s="1020"/>
      <c r="J559" s="1020"/>
      <c r="K559" s="836"/>
      <c r="L559" s="1002"/>
      <c r="M559" s="1003"/>
      <c r="N559" s="837"/>
      <c r="O559" s="943"/>
      <c r="P559" s="888" t="s">
        <v>2204</v>
      </c>
      <c r="Q559" s="1320" t="n">
        <v>31012025</v>
      </c>
      <c r="R559" s="1146" t="n">
        <v>2517.9</v>
      </c>
      <c r="S559" s="846" t="n">
        <f aca="false">R559/H558</f>
        <v>231</v>
      </c>
      <c r="T559" s="841"/>
      <c r="U559" s="842"/>
    </row>
    <row r="560" customFormat="false" ht="15" hidden="false" customHeight="true" outlineLevel="0" collapsed="false">
      <c r="A560" s="829"/>
      <c r="B560" s="847" t="s">
        <v>86</v>
      </c>
      <c r="C560" s="847" t="n">
        <v>2024</v>
      </c>
      <c r="D560" s="848" t="s">
        <v>5</v>
      </c>
      <c r="E560" s="848" t="s">
        <v>2241</v>
      </c>
      <c r="F560" s="848"/>
      <c r="G560" s="849"/>
      <c r="H560" s="1544" t="n">
        <v>0</v>
      </c>
      <c r="I560" s="1397"/>
      <c r="J560" s="1397"/>
      <c r="K560" s="852" t="n">
        <f aca="false">H560*I560/100</f>
        <v>0</v>
      </c>
      <c r="L560" s="1006" t="n">
        <v>2082</v>
      </c>
      <c r="M560" s="1007" t="n">
        <v>1</v>
      </c>
      <c r="N560" s="1143" t="n">
        <f aca="false">L560*M560</f>
        <v>2082</v>
      </c>
      <c r="O560" s="1386" t="n">
        <f aca="false">H560*N560</f>
        <v>0</v>
      </c>
      <c r="P560" s="856" t="s">
        <v>2204</v>
      </c>
      <c r="Q560" s="1436" t="s">
        <v>2206</v>
      </c>
      <c r="R560" s="1088" t="n">
        <v>0</v>
      </c>
      <c r="S560" s="854" t="n">
        <v>2082</v>
      </c>
      <c r="T560" s="858" t="n">
        <f aca="false">O560-R560</f>
        <v>0</v>
      </c>
      <c r="U560" s="892" t="n">
        <f aca="false">N560-S560</f>
        <v>0</v>
      </c>
    </row>
    <row r="561" customFormat="false" ht="15" hidden="false" customHeight="true" outlineLevel="0" collapsed="false">
      <c r="A561" s="829"/>
      <c r="B561" s="1072" t="s">
        <v>86</v>
      </c>
      <c r="C561" s="1072" t="n">
        <v>2024</v>
      </c>
      <c r="D561" s="887" t="s">
        <v>5</v>
      </c>
      <c r="E561" s="887" t="s">
        <v>2205</v>
      </c>
      <c r="F561" s="887"/>
      <c r="G561" s="1062"/>
      <c r="H561" s="1063" t="n">
        <v>1.9</v>
      </c>
      <c r="I561" s="1078"/>
      <c r="J561" s="1078"/>
      <c r="K561" s="1064" t="n">
        <f aca="false">H561*I561/100</f>
        <v>0</v>
      </c>
      <c r="L561" s="1065" t="n">
        <v>2039</v>
      </c>
      <c r="M561" s="1066" t="n">
        <v>1</v>
      </c>
      <c r="N561" s="1082" t="n">
        <f aca="false">L561*M561</f>
        <v>2039</v>
      </c>
      <c r="O561" s="1394" t="n">
        <f aca="false">H561*N561</f>
        <v>3874.1</v>
      </c>
      <c r="P561" s="888" t="s">
        <v>2204</v>
      </c>
      <c r="Q561" s="1320" t="s">
        <v>2206</v>
      </c>
      <c r="R561" s="1080" t="n">
        <v>3874.1</v>
      </c>
      <c r="S561" s="890" t="n">
        <f aca="false">R561/H561</f>
        <v>2039</v>
      </c>
      <c r="T561" s="1441" t="n">
        <f aca="false">O561-R561</f>
        <v>0</v>
      </c>
      <c r="U561" s="902" t="n">
        <f aca="false">N561-S561</f>
        <v>0</v>
      </c>
    </row>
    <row r="562" customFormat="false" ht="15" hidden="false" customHeight="true" outlineLevel="0" collapsed="false">
      <c r="A562" s="903" t="n">
        <v>31</v>
      </c>
      <c r="B562" s="903" t="s">
        <v>2207</v>
      </c>
      <c r="C562" s="903" t="n">
        <v>2024</v>
      </c>
      <c r="D562" s="904" t="s">
        <v>5</v>
      </c>
      <c r="E562" s="904" t="s">
        <v>2192</v>
      </c>
      <c r="F562" s="904" t="s">
        <v>1651</v>
      </c>
      <c r="G562" s="905"/>
      <c r="H562" s="1406" t="n">
        <v>27.3855</v>
      </c>
      <c r="I562" s="1055"/>
      <c r="J562" s="1055"/>
      <c r="K562" s="939" t="n">
        <f aca="false">H562*I562/100</f>
        <v>0</v>
      </c>
      <c r="L562" s="1022" t="n">
        <v>23022</v>
      </c>
      <c r="M562" s="1023" t="n">
        <v>1</v>
      </c>
      <c r="N562" s="1137" t="n">
        <f aca="false">L562*M562</f>
        <v>23022</v>
      </c>
      <c r="O562" s="1384" t="n">
        <f aca="false">H562*N562</f>
        <v>630468.981</v>
      </c>
      <c r="P562" s="910" t="s">
        <v>2193</v>
      </c>
      <c r="Q562" s="1057" t="s">
        <v>2445</v>
      </c>
      <c r="R562" s="1138" t="n">
        <v>630468.981</v>
      </c>
      <c r="S562" s="891" t="n">
        <f aca="false">R562/H562</f>
        <v>23022</v>
      </c>
      <c r="T562" s="1058" t="n">
        <f aca="false">O562-R562</f>
        <v>0</v>
      </c>
      <c r="U562" s="942" t="n">
        <f aca="false">N562-S562</f>
        <v>0</v>
      </c>
    </row>
    <row r="563" customFormat="false" ht="15" hidden="false" customHeight="true" outlineLevel="0" collapsed="false">
      <c r="A563" s="882" t="s">
        <v>2463</v>
      </c>
      <c r="B563" s="883" t="s">
        <v>2207</v>
      </c>
      <c r="C563" s="883" t="n">
        <v>2024</v>
      </c>
      <c r="D563" s="831" t="s">
        <v>5</v>
      </c>
      <c r="E563" s="831" t="s">
        <v>2192</v>
      </c>
      <c r="F563" s="832" t="s">
        <v>1651</v>
      </c>
      <c r="G563" s="833"/>
      <c r="H563" s="1059" t="n">
        <v>27.3412</v>
      </c>
      <c r="I563" s="1020"/>
      <c r="J563" s="1020"/>
      <c r="K563" s="836" t="n">
        <f aca="false">H563*I563/100</f>
        <v>0</v>
      </c>
      <c r="L563" s="1002" t="n">
        <v>23712</v>
      </c>
      <c r="M563" s="1003" t="n">
        <v>1</v>
      </c>
      <c r="N563" s="837" t="n">
        <f aca="false">L563*M563</f>
        <v>23712</v>
      </c>
      <c r="O563" s="943" t="n">
        <f aca="false">H563*N563</f>
        <v>648314.5344</v>
      </c>
      <c r="P563" s="838" t="s">
        <v>2197</v>
      </c>
      <c r="Q563" s="1004" t="s">
        <v>2464</v>
      </c>
      <c r="R563" s="1145" t="n">
        <v>273138.588</v>
      </c>
      <c r="S563" s="886" t="n">
        <f aca="false">R563/H563</f>
        <v>9990</v>
      </c>
      <c r="T563" s="943" t="n">
        <f aca="false">O563-R563-R565-R564</f>
        <v>0</v>
      </c>
      <c r="U563" s="842" t="n">
        <f aca="false">N563-S563-S565-S564</f>
        <v>0</v>
      </c>
    </row>
    <row r="564" customFormat="false" ht="15" hidden="false" customHeight="true" outlineLevel="0" collapsed="false">
      <c r="A564" s="882"/>
      <c r="B564" s="883"/>
      <c r="C564" s="883"/>
      <c r="D564" s="904" t="s">
        <v>5</v>
      </c>
      <c r="E564" s="904" t="s">
        <v>2192</v>
      </c>
      <c r="F564" s="832"/>
      <c r="G564" s="833"/>
      <c r="H564" s="1059"/>
      <c r="I564" s="1020"/>
      <c r="J564" s="1020"/>
      <c r="K564" s="836"/>
      <c r="L564" s="1002"/>
      <c r="M564" s="1003"/>
      <c r="N564" s="837"/>
      <c r="O564" s="943"/>
      <c r="P564" s="910" t="s">
        <v>2197</v>
      </c>
      <c r="Q564" s="1057" t="s">
        <v>2465</v>
      </c>
      <c r="R564" s="1138" t="n">
        <v>102037.3584</v>
      </c>
      <c r="S564" s="866" t="n">
        <f aca="false">R564/H563</f>
        <v>3732</v>
      </c>
      <c r="T564" s="943"/>
      <c r="U564" s="842"/>
    </row>
    <row r="565" customFormat="false" ht="15" hidden="false" customHeight="true" outlineLevel="0" collapsed="false">
      <c r="A565" s="882"/>
      <c r="B565" s="883"/>
      <c r="C565" s="883"/>
      <c r="D565" s="843" t="s">
        <v>5</v>
      </c>
      <c r="E565" s="843" t="s">
        <v>2192</v>
      </c>
      <c r="F565" s="832"/>
      <c r="G565" s="833"/>
      <c r="H565" s="1059"/>
      <c r="I565" s="1020"/>
      <c r="J565" s="1020"/>
      <c r="K565" s="836"/>
      <c r="L565" s="1002"/>
      <c r="M565" s="1003"/>
      <c r="N565" s="837"/>
      <c r="O565" s="943"/>
      <c r="P565" s="844" t="s">
        <v>2197</v>
      </c>
      <c r="Q565" s="1005" t="s">
        <v>2466</v>
      </c>
      <c r="R565" s="1136" t="n">
        <v>273138.588</v>
      </c>
      <c r="S565" s="890" t="n">
        <f aca="false">R565/H563</f>
        <v>9990</v>
      </c>
      <c r="T565" s="943"/>
      <c r="U565" s="842"/>
    </row>
    <row r="566" customFormat="false" ht="15" hidden="false" customHeight="true" outlineLevel="0" collapsed="false">
      <c r="A566" s="903" t="n">
        <v>32</v>
      </c>
      <c r="B566" s="903" t="s">
        <v>2207</v>
      </c>
      <c r="C566" s="903" t="n">
        <v>2024</v>
      </c>
      <c r="D566" s="904" t="s">
        <v>5</v>
      </c>
      <c r="E566" s="904" t="s">
        <v>2192</v>
      </c>
      <c r="F566" s="904" t="s">
        <v>1651</v>
      </c>
      <c r="G566" s="905"/>
      <c r="H566" s="1406" t="n">
        <v>29.5399</v>
      </c>
      <c r="I566" s="1055"/>
      <c r="J566" s="1055"/>
      <c r="K566" s="939" t="n">
        <f aca="false">H566*I566/100</f>
        <v>0</v>
      </c>
      <c r="L566" s="1022" t="n">
        <v>27780</v>
      </c>
      <c r="M566" s="1023" t="n">
        <v>1</v>
      </c>
      <c r="N566" s="942" t="n">
        <f aca="false">L566*M566</f>
        <v>27780</v>
      </c>
      <c r="O566" s="948" t="n">
        <f aca="false">H566*N566</f>
        <v>820618.422</v>
      </c>
      <c r="P566" s="910" t="s">
        <v>2193</v>
      </c>
      <c r="Q566" s="1057" t="s">
        <v>2467</v>
      </c>
      <c r="R566" s="1138" t="n">
        <v>820618.422</v>
      </c>
      <c r="S566" s="891" t="n">
        <f aca="false">R566/H566</f>
        <v>27780</v>
      </c>
      <c r="T566" s="942" t="n">
        <f aca="false">O566-R566</f>
        <v>0</v>
      </c>
      <c r="U566" s="942" t="n">
        <f aca="false">N566-S566</f>
        <v>0</v>
      </c>
    </row>
    <row r="567" customFormat="false" ht="15" hidden="false" customHeight="true" outlineLevel="0" collapsed="false">
      <c r="A567" s="882" t="s">
        <v>2468</v>
      </c>
      <c r="B567" s="830" t="s">
        <v>2207</v>
      </c>
      <c r="C567" s="830" t="n">
        <v>2024</v>
      </c>
      <c r="D567" s="831" t="s">
        <v>5</v>
      </c>
      <c r="E567" s="831" t="s">
        <v>2192</v>
      </c>
      <c r="F567" s="832" t="s">
        <v>1651</v>
      </c>
      <c r="G567" s="833"/>
      <c r="H567" s="1059" t="n">
        <v>29.5128</v>
      </c>
      <c r="I567" s="1020"/>
      <c r="J567" s="1020"/>
      <c r="K567" s="836" t="n">
        <f aca="false">H567*I567/100</f>
        <v>0</v>
      </c>
      <c r="L567" s="1002" t="n">
        <v>27990</v>
      </c>
      <c r="M567" s="1003" t="n">
        <v>1</v>
      </c>
      <c r="N567" s="837" t="n">
        <f aca="false">L567*M567</f>
        <v>27990</v>
      </c>
      <c r="O567" s="943" t="n">
        <f aca="false">H567*N567</f>
        <v>826063.272</v>
      </c>
      <c r="P567" s="838" t="s">
        <v>2197</v>
      </c>
      <c r="Q567" s="1004" t="s">
        <v>2469</v>
      </c>
      <c r="R567" s="1145" t="n">
        <v>27151.776</v>
      </c>
      <c r="S567" s="840" t="n">
        <f aca="false">R567/H567</f>
        <v>920</v>
      </c>
      <c r="T567" s="837" t="n">
        <f aca="false">O567-R567-R568-R571-R572-R569-R570</f>
        <v>6.54836185276508E-011</v>
      </c>
      <c r="U567" s="842" t="n">
        <f aca="false">N567-S567-S568-S571-S572-S569-S570</f>
        <v>0</v>
      </c>
    </row>
    <row r="568" customFormat="false" ht="15" hidden="false" customHeight="true" outlineLevel="0" collapsed="false">
      <c r="A568" s="882"/>
      <c r="B568" s="830"/>
      <c r="C568" s="830"/>
      <c r="D568" s="860" t="s">
        <v>5</v>
      </c>
      <c r="E568" s="860" t="s">
        <v>2192</v>
      </c>
      <c r="F568" s="832"/>
      <c r="G568" s="833"/>
      <c r="H568" s="1059"/>
      <c r="I568" s="1020"/>
      <c r="J568" s="1020"/>
      <c r="K568" s="836"/>
      <c r="L568" s="1002"/>
      <c r="M568" s="1003"/>
      <c r="N568" s="837"/>
      <c r="O568" s="943"/>
      <c r="P568" s="868" t="s">
        <v>2197</v>
      </c>
      <c r="Q568" s="1011" t="s">
        <v>2470</v>
      </c>
      <c r="R568" s="1147" t="n">
        <v>295128</v>
      </c>
      <c r="S568" s="1178" t="n">
        <f aca="false">R568/H567</f>
        <v>10000</v>
      </c>
      <c r="T568" s="837"/>
      <c r="U568" s="842"/>
    </row>
    <row r="569" customFormat="false" ht="15" hidden="false" customHeight="true" outlineLevel="0" collapsed="false">
      <c r="A569" s="882"/>
      <c r="B569" s="830"/>
      <c r="C569" s="830"/>
      <c r="D569" s="860" t="s">
        <v>5</v>
      </c>
      <c r="E569" s="860" t="s">
        <v>2192</v>
      </c>
      <c r="F569" s="832"/>
      <c r="G569" s="833"/>
      <c r="H569" s="1059"/>
      <c r="I569" s="1020"/>
      <c r="J569" s="1020"/>
      <c r="K569" s="836"/>
      <c r="L569" s="1002"/>
      <c r="M569" s="1003"/>
      <c r="N569" s="837"/>
      <c r="O569" s="943"/>
      <c r="P569" s="868" t="s">
        <v>2197</v>
      </c>
      <c r="Q569" s="1011" t="s">
        <v>2471</v>
      </c>
      <c r="R569" s="1147" t="n">
        <v>117756.072</v>
      </c>
      <c r="S569" s="1178" t="n">
        <f aca="false">R569/H567</f>
        <v>3990</v>
      </c>
      <c r="T569" s="837"/>
      <c r="U569" s="842"/>
    </row>
    <row r="570" customFormat="false" ht="15" hidden="false" customHeight="true" outlineLevel="0" collapsed="false">
      <c r="A570" s="882"/>
      <c r="B570" s="830"/>
      <c r="C570" s="830"/>
      <c r="D570" s="860" t="s">
        <v>5</v>
      </c>
      <c r="E570" s="860" t="s">
        <v>2192</v>
      </c>
      <c r="F570" s="832"/>
      <c r="G570" s="833"/>
      <c r="H570" s="1059"/>
      <c r="I570" s="1020"/>
      <c r="J570" s="1020"/>
      <c r="K570" s="836"/>
      <c r="L570" s="1002"/>
      <c r="M570" s="1003"/>
      <c r="N570" s="837"/>
      <c r="O570" s="943"/>
      <c r="P570" s="868" t="s">
        <v>2197</v>
      </c>
      <c r="Q570" s="1011" t="s">
        <v>2472</v>
      </c>
      <c r="R570" s="1147" t="n">
        <v>31873.824</v>
      </c>
      <c r="S570" s="1178" t="n">
        <f aca="false">R570/H567</f>
        <v>1080</v>
      </c>
      <c r="T570" s="837"/>
      <c r="U570" s="842"/>
    </row>
    <row r="571" customFormat="false" ht="15" hidden="false" customHeight="true" outlineLevel="0" collapsed="false">
      <c r="A571" s="882"/>
      <c r="B571" s="830"/>
      <c r="C571" s="830"/>
      <c r="D571" s="860" t="s">
        <v>5</v>
      </c>
      <c r="E571" s="860" t="s">
        <v>2192</v>
      </c>
      <c r="F571" s="832"/>
      <c r="G571" s="833"/>
      <c r="H571" s="1059"/>
      <c r="I571" s="1020"/>
      <c r="J571" s="1020"/>
      <c r="K571" s="836"/>
      <c r="L571" s="1002"/>
      <c r="M571" s="1003"/>
      <c r="N571" s="837"/>
      <c r="O571" s="943"/>
      <c r="P571" s="868" t="s">
        <v>2197</v>
      </c>
      <c r="Q571" s="1011" t="s">
        <v>2473</v>
      </c>
      <c r="R571" s="1147" t="n">
        <v>294832.872</v>
      </c>
      <c r="S571" s="1178" t="n">
        <f aca="false">R571/H567</f>
        <v>9990</v>
      </c>
      <c r="T571" s="837"/>
      <c r="U571" s="842"/>
    </row>
    <row r="572" customFormat="false" ht="15" hidden="false" customHeight="true" outlineLevel="0" collapsed="false">
      <c r="A572" s="882"/>
      <c r="B572" s="830"/>
      <c r="C572" s="830"/>
      <c r="D572" s="843" t="s">
        <v>5</v>
      </c>
      <c r="E572" s="843" t="s">
        <v>2192</v>
      </c>
      <c r="F572" s="832"/>
      <c r="G572" s="833"/>
      <c r="H572" s="1059"/>
      <c r="I572" s="1020"/>
      <c r="J572" s="1020"/>
      <c r="K572" s="836"/>
      <c r="L572" s="1002"/>
      <c r="M572" s="1003"/>
      <c r="N572" s="837"/>
      <c r="O572" s="943"/>
      <c r="P572" s="844" t="s">
        <v>2197</v>
      </c>
      <c r="Q572" s="1005" t="s">
        <v>2474</v>
      </c>
      <c r="R572" s="1136" t="n">
        <v>59320.728</v>
      </c>
      <c r="S572" s="1179" t="n">
        <f aca="false">R572/H567</f>
        <v>2010</v>
      </c>
      <c r="T572" s="837"/>
      <c r="U572" s="842"/>
    </row>
    <row r="573" customFormat="false" ht="15" hidden="false" customHeight="true" outlineLevel="0" collapsed="false">
      <c r="A573" s="847" t="n">
        <v>34</v>
      </c>
      <c r="B573" s="847" t="s">
        <v>81</v>
      </c>
      <c r="C573" s="847" t="n">
        <v>2024</v>
      </c>
      <c r="D573" s="848" t="s">
        <v>5</v>
      </c>
      <c r="E573" s="848" t="s">
        <v>2192</v>
      </c>
      <c r="F573" s="848" t="s">
        <v>2199</v>
      </c>
      <c r="G573" s="849"/>
      <c r="H573" s="949" t="n">
        <v>67.4</v>
      </c>
      <c r="I573" s="1397"/>
      <c r="J573" s="1397"/>
      <c r="K573" s="852" t="n">
        <f aca="false">H573*I573/100</f>
        <v>0</v>
      </c>
      <c r="L573" s="1006" t="n">
        <v>15153</v>
      </c>
      <c r="M573" s="1007" t="n">
        <v>1</v>
      </c>
      <c r="N573" s="1143" t="n">
        <f aca="false">L573*M573</f>
        <v>15153</v>
      </c>
      <c r="O573" s="1438" t="n">
        <f aca="false">H573*N573</f>
        <v>1021312.2</v>
      </c>
      <c r="P573" s="856" t="s">
        <v>2200</v>
      </c>
      <c r="Q573" s="1008" t="s">
        <v>104</v>
      </c>
      <c r="R573" s="1144" t="n">
        <v>1021312.2</v>
      </c>
      <c r="S573" s="866" t="n">
        <f aca="false">R573/H573</f>
        <v>15153</v>
      </c>
      <c r="T573" s="537" t="n">
        <f aca="false">O573-R573</f>
        <v>0</v>
      </c>
      <c r="U573" s="537" t="n">
        <f aca="false">N573-S573</f>
        <v>0</v>
      </c>
    </row>
    <row r="574" customFormat="false" ht="15" hidden="false" customHeight="true" outlineLevel="0" collapsed="false">
      <c r="A574" s="847" t="n">
        <v>36</v>
      </c>
      <c r="B574" s="847" t="s">
        <v>2207</v>
      </c>
      <c r="C574" s="847" t="n">
        <v>2024</v>
      </c>
      <c r="D574" s="848" t="s">
        <v>5</v>
      </c>
      <c r="E574" s="848" t="s">
        <v>2192</v>
      </c>
      <c r="F574" s="848" t="s">
        <v>1652</v>
      </c>
      <c r="G574" s="849"/>
      <c r="H574" s="949" t="n">
        <v>37.0521</v>
      </c>
      <c r="I574" s="1397"/>
      <c r="J574" s="1397"/>
      <c r="K574" s="852" t="n">
        <f aca="false">H574*I574/100</f>
        <v>0</v>
      </c>
      <c r="L574" s="1006" t="n">
        <v>8596</v>
      </c>
      <c r="M574" s="1007" t="n">
        <v>1</v>
      </c>
      <c r="N574" s="1143" t="n">
        <f aca="false">L574*M574</f>
        <v>8596</v>
      </c>
      <c r="O574" s="1386" t="n">
        <f aca="false">H574*N574</f>
        <v>318499.8516</v>
      </c>
      <c r="P574" s="856" t="s">
        <v>2197</v>
      </c>
      <c r="Q574" s="1008" t="s">
        <v>2475</v>
      </c>
      <c r="R574" s="1144" t="n">
        <v>318499.8516</v>
      </c>
      <c r="S574" s="866" t="n">
        <f aca="false">R574/H574</f>
        <v>8596</v>
      </c>
      <c r="T574" s="953" t="n">
        <f aca="false">O574-R574</f>
        <v>0</v>
      </c>
      <c r="U574" s="537" t="n">
        <f aca="false">N574-S574</f>
        <v>0</v>
      </c>
    </row>
    <row r="575" customFormat="false" ht="15" hidden="false" customHeight="true" outlineLevel="0" collapsed="false">
      <c r="A575" s="903" t="n">
        <v>38</v>
      </c>
      <c r="B575" s="903" t="s">
        <v>81</v>
      </c>
      <c r="C575" s="903" t="n">
        <v>2024</v>
      </c>
      <c r="D575" s="904" t="s">
        <v>5</v>
      </c>
      <c r="E575" s="904" t="s">
        <v>2192</v>
      </c>
      <c r="F575" s="904" t="s">
        <v>2199</v>
      </c>
      <c r="G575" s="905"/>
      <c r="H575" s="946" t="n">
        <v>80.5</v>
      </c>
      <c r="I575" s="1055"/>
      <c r="J575" s="1055"/>
      <c r="K575" s="939" t="n">
        <f aca="false">H575*I575/100</f>
        <v>0</v>
      </c>
      <c r="L575" s="1022" t="n">
        <v>4073</v>
      </c>
      <c r="M575" s="1023" t="n">
        <v>1</v>
      </c>
      <c r="N575" s="1137" t="n">
        <f aca="false">L575*M575</f>
        <v>4073</v>
      </c>
      <c r="O575" s="1384" t="n">
        <f aca="false">H575*N575</f>
        <v>327876.5</v>
      </c>
      <c r="P575" s="910" t="s">
        <v>2200</v>
      </c>
      <c r="Q575" s="1057" t="s">
        <v>2393</v>
      </c>
      <c r="R575" s="1138" t="n">
        <v>327876.5</v>
      </c>
      <c r="S575" s="866" t="n">
        <f aca="false">R575/H575</f>
        <v>4073</v>
      </c>
      <c r="T575" s="948" t="n">
        <f aca="false">O575-R575</f>
        <v>0</v>
      </c>
      <c r="U575" s="942" t="n">
        <f aca="false">N575-S575</f>
        <v>0</v>
      </c>
    </row>
    <row r="576" customFormat="false" ht="15" hidden="false" customHeight="true" outlineLevel="0" collapsed="false">
      <c r="A576" s="881" t="n">
        <v>40</v>
      </c>
      <c r="B576" s="829" t="s">
        <v>86</v>
      </c>
      <c r="C576" s="830" t="n">
        <v>2024</v>
      </c>
      <c r="D576" s="831" t="s">
        <v>5</v>
      </c>
      <c r="E576" s="831" t="s">
        <v>2192</v>
      </c>
      <c r="F576" s="832" t="s">
        <v>1650</v>
      </c>
      <c r="G576" s="833"/>
      <c r="H576" s="1059" t="n">
        <v>94.2</v>
      </c>
      <c r="I576" s="1020"/>
      <c r="J576" s="1020"/>
      <c r="K576" s="836" t="n">
        <f aca="false">H576*I576/100</f>
        <v>0</v>
      </c>
      <c r="L576" s="1002" t="n">
        <v>9551</v>
      </c>
      <c r="M576" s="1003" t="n">
        <v>1</v>
      </c>
      <c r="N576" s="837" t="n">
        <f aca="false">L576*M576</f>
        <v>9551</v>
      </c>
      <c r="O576" s="943" t="n">
        <f aca="false">H576*N576</f>
        <v>899704.2</v>
      </c>
      <c r="P576" s="838" t="s">
        <v>2193</v>
      </c>
      <c r="Q576" s="1004" t="s">
        <v>2391</v>
      </c>
      <c r="R576" s="1145" t="n">
        <v>146104.2</v>
      </c>
      <c r="S576" s="886" t="n">
        <f aca="false">R576/H576</f>
        <v>1551</v>
      </c>
      <c r="T576" s="943" t="n">
        <f aca="false">O576-R576-R579-R578-R577</f>
        <v>0</v>
      </c>
      <c r="U576" s="842" t="n">
        <f aca="false">N576-S576-S579-S578-S577</f>
        <v>0</v>
      </c>
    </row>
    <row r="577" customFormat="false" ht="15" hidden="false" customHeight="true" outlineLevel="0" collapsed="false">
      <c r="A577" s="881"/>
      <c r="B577" s="829"/>
      <c r="C577" s="830"/>
      <c r="D577" s="848" t="s">
        <v>5</v>
      </c>
      <c r="E577" s="848" t="s">
        <v>2192</v>
      </c>
      <c r="F577" s="832"/>
      <c r="G577" s="833"/>
      <c r="H577" s="1059"/>
      <c r="I577" s="1020"/>
      <c r="J577" s="1020"/>
      <c r="K577" s="836"/>
      <c r="L577" s="1002"/>
      <c r="M577" s="1003"/>
      <c r="N577" s="837"/>
      <c r="O577" s="943"/>
      <c r="P577" s="856" t="s">
        <v>2193</v>
      </c>
      <c r="Q577" s="1008" t="s">
        <v>2476</v>
      </c>
      <c r="R577" s="1144" t="n">
        <v>490216.8</v>
      </c>
      <c r="S577" s="866" t="n">
        <f aca="false">R577/H576</f>
        <v>5204</v>
      </c>
      <c r="T577" s="943"/>
      <c r="U577" s="842"/>
    </row>
    <row r="578" customFormat="false" ht="15" hidden="false" customHeight="true" outlineLevel="0" collapsed="false">
      <c r="A578" s="881"/>
      <c r="B578" s="829"/>
      <c r="C578" s="830"/>
      <c r="D578" s="848" t="s">
        <v>5</v>
      </c>
      <c r="E578" s="848" t="s">
        <v>2192</v>
      </c>
      <c r="F578" s="832"/>
      <c r="G578" s="833"/>
      <c r="H578" s="1059"/>
      <c r="I578" s="1020"/>
      <c r="J578" s="1020"/>
      <c r="K578" s="836"/>
      <c r="L578" s="1002"/>
      <c r="M578" s="1003"/>
      <c r="N578" s="837"/>
      <c r="O578" s="943"/>
      <c r="P578" s="856" t="s">
        <v>2197</v>
      </c>
      <c r="Q578" s="1008" t="s">
        <v>2477</v>
      </c>
      <c r="R578" s="1144" t="n">
        <v>48607.2</v>
      </c>
      <c r="S578" s="866" t="n">
        <f aca="false">R578/H576</f>
        <v>516</v>
      </c>
      <c r="T578" s="943"/>
      <c r="U578" s="842"/>
    </row>
    <row r="579" customFormat="false" ht="15" hidden="false" customHeight="true" outlineLevel="0" collapsed="false">
      <c r="A579" s="881"/>
      <c r="B579" s="829"/>
      <c r="C579" s="830"/>
      <c r="D579" s="887" t="s">
        <v>5</v>
      </c>
      <c r="E579" s="887" t="s">
        <v>2192</v>
      </c>
      <c r="F579" s="832"/>
      <c r="G579" s="833"/>
      <c r="H579" s="1059"/>
      <c r="I579" s="1020"/>
      <c r="J579" s="1020"/>
      <c r="K579" s="836"/>
      <c r="L579" s="1002"/>
      <c r="M579" s="1003"/>
      <c r="N579" s="837"/>
      <c r="O579" s="943"/>
      <c r="P579" s="888" t="s">
        <v>2193</v>
      </c>
      <c r="Q579" s="1364" t="s">
        <v>2396</v>
      </c>
      <c r="R579" s="1146" t="n">
        <v>214776</v>
      </c>
      <c r="S579" s="846" t="n">
        <f aca="false">R579/H576</f>
        <v>2280</v>
      </c>
      <c r="T579" s="943"/>
      <c r="U579" s="842"/>
    </row>
    <row r="580" customFormat="false" ht="15" hidden="false" customHeight="true" outlineLevel="0" collapsed="false">
      <c r="A580" s="881"/>
      <c r="B580" s="847" t="s">
        <v>86</v>
      </c>
      <c r="C580" s="847" t="n">
        <v>2024</v>
      </c>
      <c r="D580" s="848" t="s">
        <v>5</v>
      </c>
      <c r="E580" s="848" t="s">
        <v>2242</v>
      </c>
      <c r="F580" s="848"/>
      <c r="G580" s="849"/>
      <c r="H580" s="949" t="n">
        <v>43.1</v>
      </c>
      <c r="I580" s="1397"/>
      <c r="J580" s="1397"/>
      <c r="K580" s="852" t="n">
        <f aca="false">H580*I580/100</f>
        <v>0</v>
      </c>
      <c r="L580" s="1006" t="n">
        <v>334</v>
      </c>
      <c r="M580" s="1007" t="n">
        <v>1</v>
      </c>
      <c r="N580" s="1143" t="n">
        <f aca="false">L580*M580</f>
        <v>334</v>
      </c>
      <c r="O580" s="1386" t="n">
        <f aca="false">H580*N580</f>
        <v>14395.4</v>
      </c>
      <c r="P580" s="856" t="s">
        <v>2200</v>
      </c>
      <c r="Q580" s="1008" t="s">
        <v>2434</v>
      </c>
      <c r="R580" s="1144" t="n">
        <v>14395.4</v>
      </c>
      <c r="S580" s="854" t="n">
        <f aca="false">R580/H580</f>
        <v>334</v>
      </c>
      <c r="T580" s="953" t="n">
        <f aca="false">O580-R580</f>
        <v>0</v>
      </c>
      <c r="U580" s="892" t="n">
        <f aca="false">N580-S580</f>
        <v>0</v>
      </c>
    </row>
    <row r="581" customFormat="false" ht="15" hidden="false" customHeight="true" outlineLevel="0" collapsed="false">
      <c r="A581" s="881"/>
      <c r="B581" s="847" t="s">
        <v>86</v>
      </c>
      <c r="C581" s="847" t="n">
        <v>2024</v>
      </c>
      <c r="D581" s="848" t="s">
        <v>5</v>
      </c>
      <c r="E581" s="848" t="s">
        <v>2203</v>
      </c>
      <c r="F581" s="848"/>
      <c r="G581" s="849"/>
      <c r="H581" s="949" t="n">
        <v>2.6</v>
      </c>
      <c r="I581" s="1397"/>
      <c r="J581" s="1397"/>
      <c r="K581" s="852" t="n">
        <f aca="false">H581*I581/100</f>
        <v>0</v>
      </c>
      <c r="L581" s="1006" t="n">
        <v>1069</v>
      </c>
      <c r="M581" s="1007" t="n">
        <v>1</v>
      </c>
      <c r="N581" s="1143" t="n">
        <f aca="false">L581*M581</f>
        <v>1069</v>
      </c>
      <c r="O581" s="1386" t="n">
        <f aca="false">H581*N581</f>
        <v>2779.4</v>
      </c>
      <c r="P581" s="856" t="s">
        <v>2232</v>
      </c>
      <c r="Q581" s="1008" t="s">
        <v>100</v>
      </c>
      <c r="R581" s="1144" t="n">
        <v>2779.4</v>
      </c>
      <c r="S581" s="866" t="n">
        <f aca="false">R581/H581</f>
        <v>1069</v>
      </c>
      <c r="T581" s="953" t="n">
        <f aca="false">O581-R581</f>
        <v>0</v>
      </c>
      <c r="U581" s="892" t="n">
        <f aca="false">N581-S581</f>
        <v>0</v>
      </c>
    </row>
    <row r="582" customFormat="false" ht="15" hidden="false" customHeight="true" outlineLevel="0" collapsed="false">
      <c r="A582" s="881"/>
      <c r="B582" s="847" t="s">
        <v>86</v>
      </c>
      <c r="C582" s="847" t="n">
        <v>2024</v>
      </c>
      <c r="D582" s="848" t="s">
        <v>5</v>
      </c>
      <c r="E582" s="848" t="s">
        <v>2241</v>
      </c>
      <c r="F582" s="848"/>
      <c r="G582" s="849"/>
      <c r="H582" s="949" t="n">
        <v>1.7</v>
      </c>
      <c r="I582" s="1397"/>
      <c r="J582" s="1397"/>
      <c r="K582" s="852" t="n">
        <f aca="false">H582*I582/100</f>
        <v>0</v>
      </c>
      <c r="L582" s="1006" t="n">
        <v>1328</v>
      </c>
      <c r="M582" s="1007" t="n">
        <v>1</v>
      </c>
      <c r="N582" s="1143" t="n">
        <f aca="false">L582*M582</f>
        <v>1328</v>
      </c>
      <c r="O582" s="1386" t="n">
        <f aca="false">H582*N582</f>
        <v>2257.6</v>
      </c>
      <c r="P582" s="856" t="s">
        <v>2204</v>
      </c>
      <c r="Q582" s="1436" t="s">
        <v>2398</v>
      </c>
      <c r="R582" s="1144" t="n">
        <v>2257.6</v>
      </c>
      <c r="S582" s="866" t="n">
        <f aca="false">R582/H582</f>
        <v>1328</v>
      </c>
      <c r="T582" s="953" t="n">
        <f aca="false">O582-R582</f>
        <v>0</v>
      </c>
      <c r="U582" s="892" t="n">
        <f aca="false">N582-S582</f>
        <v>0</v>
      </c>
    </row>
    <row r="583" customFormat="false" ht="15" hidden="false" customHeight="true" outlineLevel="0" collapsed="false">
      <c r="A583" s="881"/>
      <c r="B583" s="1072" t="s">
        <v>86</v>
      </c>
      <c r="C583" s="1072" t="n">
        <v>2024</v>
      </c>
      <c r="D583" s="887" t="s">
        <v>5</v>
      </c>
      <c r="E583" s="887" t="s">
        <v>2205</v>
      </c>
      <c r="F583" s="887"/>
      <c r="G583" s="1062"/>
      <c r="H583" s="1077" t="n">
        <v>2.3</v>
      </c>
      <c r="I583" s="1078"/>
      <c r="J583" s="1078"/>
      <c r="K583" s="1064" t="n">
        <f aca="false">H583*I583/100</f>
        <v>0</v>
      </c>
      <c r="L583" s="1065" t="n">
        <v>2786</v>
      </c>
      <c r="M583" s="1066" t="n">
        <v>1</v>
      </c>
      <c r="N583" s="1082" t="n">
        <f aca="false">L583*M583</f>
        <v>2786</v>
      </c>
      <c r="O583" s="1394" t="n">
        <f aca="false">H583*N583</f>
        <v>6407.8</v>
      </c>
      <c r="P583" s="888" t="s">
        <v>2204</v>
      </c>
      <c r="Q583" s="1320" t="s">
        <v>2398</v>
      </c>
      <c r="R583" s="1146" t="n">
        <v>6407.8</v>
      </c>
      <c r="S583" s="846" t="n">
        <f aca="false">R583/H583</f>
        <v>2786</v>
      </c>
      <c r="T583" s="1452" t="n">
        <f aca="false">O583-R583</f>
        <v>0</v>
      </c>
      <c r="U583" s="1070" t="n">
        <f aca="false">N583-S583</f>
        <v>0</v>
      </c>
    </row>
    <row r="584" customFormat="false" ht="15" hidden="false" customHeight="true" outlineLevel="0" collapsed="false">
      <c r="A584" s="903" t="n">
        <v>37</v>
      </c>
      <c r="B584" s="903" t="s">
        <v>2207</v>
      </c>
      <c r="C584" s="903" t="n">
        <v>2024</v>
      </c>
      <c r="D584" s="904" t="s">
        <v>5</v>
      </c>
      <c r="E584" s="904" t="s">
        <v>2192</v>
      </c>
      <c r="F584" s="904" t="s">
        <v>1651</v>
      </c>
      <c r="G584" s="905"/>
      <c r="H584" s="946" t="n">
        <v>30.7507</v>
      </c>
      <c r="I584" s="1055"/>
      <c r="J584" s="1055"/>
      <c r="K584" s="939" t="n">
        <f aca="false">H584*I584/100</f>
        <v>0</v>
      </c>
      <c r="L584" s="1022" t="n">
        <v>57450</v>
      </c>
      <c r="M584" s="1023" t="n">
        <v>1</v>
      </c>
      <c r="N584" s="1137" t="n">
        <f aca="false">L584*M584</f>
        <v>57450</v>
      </c>
      <c r="O584" s="1384" t="n">
        <f aca="false">H584*N584</f>
        <v>1766627.715</v>
      </c>
      <c r="P584" s="910" t="s">
        <v>2193</v>
      </c>
      <c r="Q584" s="1057" t="s">
        <v>2448</v>
      </c>
      <c r="R584" s="1138" t="n">
        <v>1766627.715</v>
      </c>
      <c r="S584" s="891" t="n">
        <f aca="false">R584/H584</f>
        <v>57450</v>
      </c>
      <c r="T584" s="948" t="n">
        <f aca="false">O584-R584</f>
        <v>0</v>
      </c>
      <c r="U584" s="942" t="n">
        <f aca="false">N584-S584</f>
        <v>0</v>
      </c>
    </row>
    <row r="585" customFormat="false" ht="15" hidden="false" customHeight="true" outlineLevel="0" collapsed="false">
      <c r="A585" s="882" t="s">
        <v>2478</v>
      </c>
      <c r="B585" s="830" t="s">
        <v>2207</v>
      </c>
      <c r="C585" s="830" t="n">
        <v>2024</v>
      </c>
      <c r="D585" s="831" t="s">
        <v>5</v>
      </c>
      <c r="E585" s="831" t="s">
        <v>2192</v>
      </c>
      <c r="F585" s="832" t="s">
        <v>1651</v>
      </c>
      <c r="G585" s="833"/>
      <c r="H585" s="834" t="n">
        <v>30.6204</v>
      </c>
      <c r="I585" s="1020"/>
      <c r="J585" s="1020"/>
      <c r="K585" s="836" t="n">
        <f aca="false">H585*I585/100</f>
        <v>0</v>
      </c>
      <c r="L585" s="1002" t="n">
        <v>59040</v>
      </c>
      <c r="M585" s="1003" t="n">
        <v>1</v>
      </c>
      <c r="N585" s="837" t="n">
        <f aca="false">L585*M585</f>
        <v>59040</v>
      </c>
      <c r="O585" s="943" t="n">
        <f aca="false">H585*N585</f>
        <v>1807828.416</v>
      </c>
      <c r="P585" s="838" t="s">
        <v>2197</v>
      </c>
      <c r="Q585" s="1004" t="s">
        <v>2479</v>
      </c>
      <c r="R585" s="1145" t="n">
        <v>172699.056</v>
      </c>
      <c r="S585" s="840" t="n">
        <f aca="false">R585/H585</f>
        <v>5640</v>
      </c>
      <c r="T585" s="837" t="n">
        <f aca="false">O585-R585-R586-R587-R588-R589-R590-R591</f>
        <v>-2.3283064365387E-010</v>
      </c>
      <c r="U585" s="842" t="n">
        <f aca="false">N585-S585-S586-S587-S588-S589-S590-S591</f>
        <v>0</v>
      </c>
    </row>
    <row r="586" customFormat="false" ht="15" hidden="false" customHeight="true" outlineLevel="0" collapsed="false">
      <c r="A586" s="882"/>
      <c r="B586" s="830"/>
      <c r="C586" s="830"/>
      <c r="D586" s="860" t="s">
        <v>5</v>
      </c>
      <c r="E586" s="860" t="s">
        <v>2192</v>
      </c>
      <c r="F586" s="832"/>
      <c r="G586" s="833"/>
      <c r="H586" s="834"/>
      <c r="I586" s="1020"/>
      <c r="J586" s="1020"/>
      <c r="K586" s="836"/>
      <c r="L586" s="1002"/>
      <c r="M586" s="1003"/>
      <c r="N586" s="837"/>
      <c r="O586" s="943"/>
      <c r="P586" s="868" t="s">
        <v>2197</v>
      </c>
      <c r="Q586" s="1011" t="s">
        <v>2480</v>
      </c>
      <c r="R586" s="1147" t="n">
        <v>305897.796</v>
      </c>
      <c r="S586" s="866" t="n">
        <f aca="false">R586/H585</f>
        <v>9990</v>
      </c>
      <c r="T586" s="837"/>
      <c r="U586" s="842"/>
    </row>
    <row r="587" customFormat="false" ht="15" hidden="false" customHeight="true" outlineLevel="0" collapsed="false">
      <c r="A587" s="882"/>
      <c r="B587" s="830"/>
      <c r="C587" s="830"/>
      <c r="D587" s="860" t="s">
        <v>5</v>
      </c>
      <c r="E587" s="860" t="s">
        <v>2192</v>
      </c>
      <c r="F587" s="832"/>
      <c r="G587" s="833"/>
      <c r="H587" s="834"/>
      <c r="I587" s="1020"/>
      <c r="J587" s="1020"/>
      <c r="K587" s="836"/>
      <c r="L587" s="1002"/>
      <c r="M587" s="1003"/>
      <c r="N587" s="837"/>
      <c r="O587" s="943"/>
      <c r="P587" s="868" t="s">
        <v>2197</v>
      </c>
      <c r="Q587" s="1011" t="s">
        <v>2481</v>
      </c>
      <c r="R587" s="1147" t="n">
        <v>275583.6</v>
      </c>
      <c r="S587" s="866" t="n">
        <f aca="false">R587/H585</f>
        <v>9000</v>
      </c>
      <c r="T587" s="837"/>
      <c r="U587" s="842"/>
    </row>
    <row r="588" customFormat="false" ht="15" hidden="false" customHeight="true" outlineLevel="0" collapsed="false">
      <c r="A588" s="882"/>
      <c r="B588" s="830"/>
      <c r="C588" s="830"/>
      <c r="D588" s="860" t="s">
        <v>5</v>
      </c>
      <c r="E588" s="860" t="s">
        <v>2192</v>
      </c>
      <c r="F588" s="832"/>
      <c r="G588" s="833"/>
      <c r="H588" s="834"/>
      <c r="I588" s="1020"/>
      <c r="J588" s="1020"/>
      <c r="K588" s="836"/>
      <c r="L588" s="1002"/>
      <c r="M588" s="1003"/>
      <c r="N588" s="837"/>
      <c r="O588" s="943"/>
      <c r="P588" s="868" t="s">
        <v>2197</v>
      </c>
      <c r="Q588" s="1011" t="s">
        <v>2482</v>
      </c>
      <c r="R588" s="1147" t="n">
        <v>305897.796</v>
      </c>
      <c r="S588" s="866" t="n">
        <f aca="false">R588/H585</f>
        <v>9990</v>
      </c>
      <c r="T588" s="837"/>
      <c r="U588" s="842"/>
    </row>
    <row r="589" customFormat="false" ht="15" hidden="false" customHeight="true" outlineLevel="0" collapsed="false">
      <c r="A589" s="882"/>
      <c r="B589" s="830"/>
      <c r="C589" s="830"/>
      <c r="D589" s="860" t="s">
        <v>5</v>
      </c>
      <c r="E589" s="860" t="s">
        <v>2192</v>
      </c>
      <c r="F589" s="832"/>
      <c r="G589" s="833"/>
      <c r="H589" s="834"/>
      <c r="I589" s="1020"/>
      <c r="J589" s="1020"/>
      <c r="K589" s="836"/>
      <c r="L589" s="1002"/>
      <c r="M589" s="1003"/>
      <c r="N589" s="837"/>
      <c r="O589" s="943"/>
      <c r="P589" s="868" t="s">
        <v>2197</v>
      </c>
      <c r="Q589" s="1011" t="s">
        <v>2483</v>
      </c>
      <c r="R589" s="1147" t="n">
        <v>305897.796</v>
      </c>
      <c r="S589" s="866" t="n">
        <f aca="false">R589/H585</f>
        <v>9990</v>
      </c>
      <c r="T589" s="837"/>
      <c r="U589" s="842"/>
    </row>
    <row r="590" customFormat="false" ht="15" hidden="false" customHeight="true" outlineLevel="0" collapsed="false">
      <c r="A590" s="882"/>
      <c r="B590" s="830"/>
      <c r="C590" s="830"/>
      <c r="D590" s="860" t="s">
        <v>5</v>
      </c>
      <c r="E590" s="860" t="s">
        <v>2192</v>
      </c>
      <c r="F590" s="832"/>
      <c r="G590" s="833"/>
      <c r="H590" s="834"/>
      <c r="I590" s="1020"/>
      <c r="J590" s="1020"/>
      <c r="K590" s="836"/>
      <c r="L590" s="1002"/>
      <c r="M590" s="1003"/>
      <c r="N590" s="837"/>
      <c r="O590" s="943"/>
      <c r="P590" s="868" t="s">
        <v>2197</v>
      </c>
      <c r="Q590" s="1011" t="s">
        <v>2484</v>
      </c>
      <c r="R590" s="1147" t="n">
        <v>305897.796</v>
      </c>
      <c r="S590" s="866" t="n">
        <f aca="false">R590/H585</f>
        <v>9990</v>
      </c>
      <c r="T590" s="837"/>
      <c r="U590" s="842"/>
    </row>
    <row r="591" customFormat="false" ht="15" hidden="false" customHeight="true" outlineLevel="0" collapsed="false">
      <c r="A591" s="882"/>
      <c r="B591" s="830"/>
      <c r="C591" s="830"/>
      <c r="D591" s="843" t="s">
        <v>5</v>
      </c>
      <c r="E591" s="843" t="s">
        <v>2192</v>
      </c>
      <c r="F591" s="832"/>
      <c r="G591" s="833"/>
      <c r="H591" s="834"/>
      <c r="I591" s="1020"/>
      <c r="J591" s="1020"/>
      <c r="K591" s="836"/>
      <c r="L591" s="1002"/>
      <c r="M591" s="1003"/>
      <c r="N591" s="837"/>
      <c r="O591" s="943"/>
      <c r="P591" s="844" t="s">
        <v>2197</v>
      </c>
      <c r="Q591" s="1005" t="s">
        <v>2485</v>
      </c>
      <c r="R591" s="1136" t="n">
        <v>135954.576</v>
      </c>
      <c r="S591" s="846" t="n">
        <f aca="false">R591/H585</f>
        <v>4440</v>
      </c>
      <c r="T591" s="837"/>
      <c r="U591" s="842"/>
    </row>
    <row r="592" customFormat="false" ht="15" hidden="false" customHeight="true" outlineLevel="0" collapsed="false">
      <c r="A592" s="829" t="n">
        <v>44</v>
      </c>
      <c r="B592" s="830" t="s">
        <v>2207</v>
      </c>
      <c r="C592" s="830" t="n">
        <v>2024</v>
      </c>
      <c r="D592" s="831" t="s">
        <v>5</v>
      </c>
      <c r="E592" s="831" t="s">
        <v>2192</v>
      </c>
      <c r="F592" s="832" t="s">
        <v>1652</v>
      </c>
      <c r="G592" s="833"/>
      <c r="H592" s="834" t="n">
        <v>36.9538</v>
      </c>
      <c r="I592" s="1020"/>
      <c r="J592" s="1020"/>
      <c r="K592" s="836" t="n">
        <f aca="false">H592*I592/100</f>
        <v>0</v>
      </c>
      <c r="L592" s="1002" t="n">
        <v>5812</v>
      </c>
      <c r="M592" s="1003" t="n">
        <v>1</v>
      </c>
      <c r="N592" s="837" t="n">
        <f aca="false">L592*M592</f>
        <v>5812</v>
      </c>
      <c r="O592" s="943" t="n">
        <f aca="false">H592*N592</f>
        <v>214775.4856</v>
      </c>
      <c r="P592" s="838" t="s">
        <v>2197</v>
      </c>
      <c r="Q592" s="1004" t="s">
        <v>2486</v>
      </c>
      <c r="R592" s="1145" t="n">
        <v>195670.371</v>
      </c>
      <c r="S592" s="886" t="n">
        <f aca="false">R592/H592</f>
        <v>5295</v>
      </c>
      <c r="T592" s="943" t="n">
        <f aca="false">O592-R592-R593</f>
        <v>0</v>
      </c>
      <c r="U592" s="842" t="n">
        <f aca="false">N592-S592-S593</f>
        <v>0</v>
      </c>
    </row>
    <row r="593" customFormat="false" ht="15" hidden="false" customHeight="true" outlineLevel="0" collapsed="false">
      <c r="A593" s="829"/>
      <c r="B593" s="830"/>
      <c r="C593" s="830"/>
      <c r="D593" s="887" t="s">
        <v>5</v>
      </c>
      <c r="E593" s="887" t="s">
        <v>2192</v>
      </c>
      <c r="F593" s="832"/>
      <c r="G593" s="833"/>
      <c r="H593" s="834"/>
      <c r="I593" s="1020"/>
      <c r="J593" s="1020"/>
      <c r="K593" s="836"/>
      <c r="L593" s="1002"/>
      <c r="M593" s="1003"/>
      <c r="N593" s="837"/>
      <c r="O593" s="943"/>
      <c r="P593" s="888" t="s">
        <v>2197</v>
      </c>
      <c r="Q593" s="1364" t="s">
        <v>2447</v>
      </c>
      <c r="R593" s="1146" t="n">
        <v>19105.1146</v>
      </c>
      <c r="S593" s="846" t="n">
        <f aca="false">R593/H592</f>
        <v>517</v>
      </c>
      <c r="T593" s="943"/>
      <c r="U593" s="842"/>
    </row>
    <row r="594" customFormat="false" ht="15" hidden="false" customHeight="true" outlineLevel="0" collapsed="false">
      <c r="A594" s="903" t="n">
        <v>58</v>
      </c>
      <c r="B594" s="903" t="s">
        <v>2207</v>
      </c>
      <c r="C594" s="903" t="n">
        <v>2024</v>
      </c>
      <c r="D594" s="904" t="s">
        <v>5</v>
      </c>
      <c r="E594" s="904" t="s">
        <v>2192</v>
      </c>
      <c r="F594" s="904" t="s">
        <v>1651</v>
      </c>
      <c r="G594" s="905"/>
      <c r="H594" s="946" t="n">
        <v>26.8112</v>
      </c>
      <c r="I594" s="1055"/>
      <c r="J594" s="1055"/>
      <c r="K594" s="939" t="n">
        <f aca="false">H594*I594/100</f>
        <v>0</v>
      </c>
      <c r="L594" s="1022" t="n">
        <v>18284</v>
      </c>
      <c r="M594" s="1023" t="n">
        <v>1</v>
      </c>
      <c r="N594" s="942" t="n">
        <f aca="false">L594*M594</f>
        <v>18284</v>
      </c>
      <c r="O594" s="948" t="n">
        <f aca="false">H594*N594</f>
        <v>490215.9808</v>
      </c>
      <c r="P594" s="910" t="s">
        <v>2193</v>
      </c>
      <c r="Q594" s="1057" t="s">
        <v>2487</v>
      </c>
      <c r="R594" s="1138" t="n">
        <v>490215.9808</v>
      </c>
      <c r="S594" s="891" t="n">
        <f aca="false">R594/H594</f>
        <v>18284</v>
      </c>
      <c r="T594" s="948" t="n">
        <f aca="false">O594-R594</f>
        <v>0</v>
      </c>
      <c r="U594" s="942" t="n">
        <f aca="false">N594-S594</f>
        <v>0</v>
      </c>
    </row>
    <row r="595" customFormat="false" ht="15" hidden="false" customHeight="true" outlineLevel="0" collapsed="false">
      <c r="A595" s="829" t="s">
        <v>2488</v>
      </c>
      <c r="B595" s="830" t="s">
        <v>2207</v>
      </c>
      <c r="C595" s="830" t="n">
        <v>2024</v>
      </c>
      <c r="D595" s="831" t="s">
        <v>5</v>
      </c>
      <c r="E595" s="831" t="s">
        <v>2192</v>
      </c>
      <c r="F595" s="832" t="s">
        <v>1651</v>
      </c>
      <c r="G595" s="833"/>
      <c r="H595" s="834" t="n">
        <v>26.7859</v>
      </c>
      <c r="I595" s="1317"/>
      <c r="J595" s="1020"/>
      <c r="K595" s="836" t="n">
        <f aca="false">H595*I595/100</f>
        <v>0</v>
      </c>
      <c r="L595" s="1002" t="n">
        <v>18824</v>
      </c>
      <c r="M595" s="1003" t="n">
        <v>1</v>
      </c>
      <c r="N595" s="837" t="n">
        <f aca="false">L595*M595</f>
        <v>18824</v>
      </c>
      <c r="O595" s="943" t="n">
        <f aca="false">H595*N595</f>
        <v>504217.7816</v>
      </c>
      <c r="P595" s="838" t="s">
        <v>2197</v>
      </c>
      <c r="Q595" s="1004" t="s">
        <v>2489</v>
      </c>
      <c r="R595" s="1145" t="n">
        <v>267591.141</v>
      </c>
      <c r="S595" s="840" t="n">
        <f aca="false">R595/H595</f>
        <v>9990</v>
      </c>
      <c r="T595" s="943" t="n">
        <f aca="false">O595-R595-R596</f>
        <v>0</v>
      </c>
      <c r="U595" s="842" t="n">
        <f aca="false">N595-S595-S596</f>
        <v>0</v>
      </c>
    </row>
    <row r="596" customFormat="false" ht="15" hidden="false" customHeight="true" outlineLevel="0" collapsed="false">
      <c r="A596" s="829"/>
      <c r="B596" s="830"/>
      <c r="C596" s="830"/>
      <c r="D596" s="843" t="s">
        <v>5</v>
      </c>
      <c r="E596" s="843" t="s">
        <v>2192</v>
      </c>
      <c r="F596" s="832"/>
      <c r="G596" s="833"/>
      <c r="H596" s="834"/>
      <c r="I596" s="1319"/>
      <c r="J596" s="1020"/>
      <c r="K596" s="836"/>
      <c r="L596" s="1002"/>
      <c r="M596" s="1003"/>
      <c r="N596" s="837"/>
      <c r="O596" s="943"/>
      <c r="P596" s="844" t="s">
        <v>2197</v>
      </c>
      <c r="Q596" s="1005" t="s">
        <v>2490</v>
      </c>
      <c r="R596" s="1136" t="n">
        <v>236626.6406</v>
      </c>
      <c r="S596" s="846" t="n">
        <f aca="false">R596/H595</f>
        <v>8834</v>
      </c>
      <c r="T596" s="943"/>
      <c r="U596" s="842"/>
    </row>
    <row r="597" customFormat="false" ht="15" hidden="false" customHeight="true" outlineLevel="0" collapsed="false">
      <c r="A597" s="903" t="n">
        <v>55</v>
      </c>
      <c r="B597" s="903" t="s">
        <v>81</v>
      </c>
      <c r="C597" s="903" t="n">
        <v>2024</v>
      </c>
      <c r="D597" s="904" t="s">
        <v>5</v>
      </c>
      <c r="E597" s="904" t="s">
        <v>2192</v>
      </c>
      <c r="F597" s="904" t="s">
        <v>2199</v>
      </c>
      <c r="G597" s="905"/>
      <c r="H597" s="946" t="n">
        <v>83.4</v>
      </c>
      <c r="I597" s="1055"/>
      <c r="J597" s="1055"/>
      <c r="K597" s="939" t="n">
        <f aca="false">H597*I597/100</f>
        <v>0</v>
      </c>
      <c r="L597" s="1022" t="n">
        <v>38580</v>
      </c>
      <c r="M597" s="1023" t="n">
        <v>1</v>
      </c>
      <c r="N597" s="942" t="n">
        <f aca="false">L597*M597</f>
        <v>38580</v>
      </c>
      <c r="O597" s="948" t="n">
        <f aca="false">H597*N597</f>
        <v>3217572</v>
      </c>
      <c r="P597" s="910" t="s">
        <v>2200</v>
      </c>
      <c r="Q597" s="1057" t="s">
        <v>108</v>
      </c>
      <c r="R597" s="1138" t="n">
        <v>3217572</v>
      </c>
      <c r="S597" s="891" t="n">
        <f aca="false">R597/H597</f>
        <v>38580</v>
      </c>
      <c r="T597" s="948" t="n">
        <f aca="false">O597-R597</f>
        <v>0</v>
      </c>
      <c r="U597" s="942" t="n">
        <f aca="false">N597-S597</f>
        <v>0</v>
      </c>
    </row>
    <row r="598" customFormat="false" ht="15" hidden="false" customHeight="true" outlineLevel="0" collapsed="false">
      <c r="A598" s="882" t="n">
        <v>46</v>
      </c>
      <c r="B598" s="1173" t="s">
        <v>86</v>
      </c>
      <c r="C598" s="1173" t="n">
        <v>2024</v>
      </c>
      <c r="D598" s="831" t="s">
        <v>5</v>
      </c>
      <c r="E598" s="831" t="s">
        <v>2192</v>
      </c>
      <c r="F598" s="831" t="s">
        <v>1650</v>
      </c>
      <c r="G598" s="1108"/>
      <c r="H598" s="1109" t="n">
        <v>89.3</v>
      </c>
      <c r="I598" s="1435"/>
      <c r="J598" s="1435"/>
      <c r="K598" s="1111" t="n">
        <f aca="false">H598*I598/100</f>
        <v>0</v>
      </c>
      <c r="L598" s="1112" t="n">
        <v>3352</v>
      </c>
      <c r="M598" s="1113" t="n">
        <v>1</v>
      </c>
      <c r="N598" s="1114" t="n">
        <f aca="false">L598*M598</f>
        <v>3352</v>
      </c>
      <c r="O598" s="1181" t="n">
        <f aca="false">H598*N598</f>
        <v>299333.6</v>
      </c>
      <c r="P598" s="838" t="s">
        <v>2255</v>
      </c>
      <c r="Q598" s="1004" t="s">
        <v>2491</v>
      </c>
      <c r="R598" s="1145" t="n">
        <v>299333.6</v>
      </c>
      <c r="S598" s="840" t="n">
        <f aca="false">R598/H598</f>
        <v>3352</v>
      </c>
      <c r="T598" s="1181" t="n">
        <f aca="false">O598-R598</f>
        <v>0</v>
      </c>
      <c r="U598" s="1176" t="n">
        <f aca="false">N598-S598</f>
        <v>0</v>
      </c>
    </row>
    <row r="599" customFormat="false" ht="15" hidden="false" customHeight="true" outlineLevel="0" collapsed="false">
      <c r="A599" s="882"/>
      <c r="B599" s="847" t="s">
        <v>86</v>
      </c>
      <c r="C599" s="847" t="n">
        <v>2024</v>
      </c>
      <c r="D599" s="848" t="s">
        <v>5</v>
      </c>
      <c r="E599" s="848" t="s">
        <v>2203</v>
      </c>
      <c r="F599" s="848"/>
      <c r="G599" s="849"/>
      <c r="H599" s="949" t="n">
        <v>0</v>
      </c>
      <c r="I599" s="1397"/>
      <c r="J599" s="1397"/>
      <c r="K599" s="852" t="n">
        <f aca="false">H599*I599/100</f>
        <v>0</v>
      </c>
      <c r="L599" s="1006" t="n">
        <v>278</v>
      </c>
      <c r="M599" s="1007" t="n">
        <v>1</v>
      </c>
      <c r="N599" s="537" t="n">
        <f aca="false">L599*M599</f>
        <v>278</v>
      </c>
      <c r="O599" s="953" t="n">
        <f aca="false">H599*N599</f>
        <v>0</v>
      </c>
      <c r="P599" s="856" t="s">
        <v>2204</v>
      </c>
      <c r="Q599" s="1436" t="n">
        <v>31012025</v>
      </c>
      <c r="R599" s="1144"/>
      <c r="S599" s="877" t="n">
        <v>278</v>
      </c>
      <c r="T599" s="953" t="n">
        <f aca="false">O599-R599</f>
        <v>0</v>
      </c>
      <c r="U599" s="892" t="n">
        <f aca="false">N599-S599</f>
        <v>0</v>
      </c>
    </row>
    <row r="600" customFormat="false" ht="15" hidden="false" customHeight="true" outlineLevel="0" collapsed="false">
      <c r="A600" s="882"/>
      <c r="B600" s="1072" t="s">
        <v>86</v>
      </c>
      <c r="C600" s="1072" t="n">
        <v>2024</v>
      </c>
      <c r="D600" s="887" t="s">
        <v>5</v>
      </c>
      <c r="E600" s="887" t="s">
        <v>2205</v>
      </c>
      <c r="F600" s="887"/>
      <c r="G600" s="1062"/>
      <c r="H600" s="1077" t="n">
        <v>14</v>
      </c>
      <c r="I600" s="1078"/>
      <c r="J600" s="1078"/>
      <c r="K600" s="1064" t="n">
        <f aca="false">H600*I600/100</f>
        <v>0</v>
      </c>
      <c r="L600" s="1065" t="n">
        <v>109</v>
      </c>
      <c r="M600" s="1066" t="n">
        <v>1</v>
      </c>
      <c r="N600" s="1067" t="n">
        <f aca="false">L600*M600</f>
        <v>109</v>
      </c>
      <c r="O600" s="1452" t="n">
        <f aca="false">H600*N600</f>
        <v>1526</v>
      </c>
      <c r="P600" s="888" t="s">
        <v>2204</v>
      </c>
      <c r="Q600" s="1320" t="n">
        <v>22112024</v>
      </c>
      <c r="R600" s="1146" t="n">
        <v>1526</v>
      </c>
      <c r="S600" s="846" t="n">
        <f aca="false">R600/H600</f>
        <v>109</v>
      </c>
      <c r="T600" s="1452" t="n">
        <f aca="false">O600-R600</f>
        <v>0</v>
      </c>
      <c r="U600" s="1070" t="n">
        <f aca="false">N600-S600</f>
        <v>0</v>
      </c>
    </row>
    <row r="601" customFormat="false" ht="15" hidden="false" customHeight="true" outlineLevel="0" collapsed="false">
      <c r="A601" s="847" t="n">
        <v>56</v>
      </c>
      <c r="B601" s="847" t="s">
        <v>81</v>
      </c>
      <c r="C601" s="847" t="n">
        <v>2024</v>
      </c>
      <c r="D601" s="848" t="s">
        <v>5</v>
      </c>
      <c r="E601" s="848" t="s">
        <v>2192</v>
      </c>
      <c r="F601" s="848" t="s">
        <v>2199</v>
      </c>
      <c r="G601" s="849"/>
      <c r="H601" s="949" t="n">
        <v>85.5</v>
      </c>
      <c r="I601" s="1397"/>
      <c r="J601" s="1397"/>
      <c r="K601" s="852" t="n">
        <f aca="false">H601*I601/100</f>
        <v>0</v>
      </c>
      <c r="L601" s="1006" t="n">
        <v>13200</v>
      </c>
      <c r="M601" s="1007" t="n">
        <v>1</v>
      </c>
      <c r="N601" s="537" t="n">
        <f aca="false">L601*M601</f>
        <v>13200</v>
      </c>
      <c r="O601" s="953" t="n">
        <f aca="false">H601*N601</f>
        <v>1128600</v>
      </c>
      <c r="P601" s="856" t="s">
        <v>2200</v>
      </c>
      <c r="Q601" s="1008" t="s">
        <v>110</v>
      </c>
      <c r="R601" s="1144" t="n">
        <v>1128600</v>
      </c>
      <c r="S601" s="854" t="n">
        <f aca="false">R601/H601</f>
        <v>13200</v>
      </c>
      <c r="T601" s="953" t="n">
        <f aca="false">O601-R601</f>
        <v>0</v>
      </c>
      <c r="U601" s="537" t="n">
        <f aca="false">N601-S601</f>
        <v>0</v>
      </c>
    </row>
    <row r="602" customFormat="false" ht="15" hidden="false" customHeight="true" outlineLevel="0" collapsed="false">
      <c r="A602" s="870" t="n">
        <v>58</v>
      </c>
      <c r="B602" s="870" t="s">
        <v>81</v>
      </c>
      <c r="C602" s="870" t="n">
        <v>2024</v>
      </c>
      <c r="D602" s="871" t="s">
        <v>5</v>
      </c>
      <c r="E602" s="871" t="s">
        <v>2192</v>
      </c>
      <c r="F602" s="871" t="s">
        <v>2199</v>
      </c>
      <c r="G602" s="872"/>
      <c r="H602" s="1116" t="n">
        <v>85</v>
      </c>
      <c r="I602" s="1433"/>
      <c r="J602" s="1433"/>
      <c r="K602" s="875" t="n">
        <f aca="false">H602*I602/100</f>
        <v>0</v>
      </c>
      <c r="L602" s="999" t="n">
        <v>17600</v>
      </c>
      <c r="M602" s="1000" t="n">
        <v>1</v>
      </c>
      <c r="N602" s="553" t="n">
        <f aca="false">L602*M602</f>
        <v>17600</v>
      </c>
      <c r="O602" s="1403" t="n">
        <f aca="false">H602*N602</f>
        <v>1496000</v>
      </c>
      <c r="P602" s="879" t="s">
        <v>2200</v>
      </c>
      <c r="Q602" s="1013" t="s">
        <v>109</v>
      </c>
      <c r="R602" s="1151" t="n">
        <v>1496000</v>
      </c>
      <c r="S602" s="877" t="n">
        <f aca="false">R602/H602</f>
        <v>17600</v>
      </c>
      <c r="T602" s="1403" t="n">
        <f aca="false">O602-R602</f>
        <v>0</v>
      </c>
      <c r="U602" s="553" t="n">
        <f aca="false">N602-S602</f>
        <v>0</v>
      </c>
    </row>
    <row r="603" customFormat="false" ht="15" hidden="false" customHeight="true" outlineLevel="0" collapsed="false">
      <c r="A603" s="829" t="n">
        <v>52</v>
      </c>
      <c r="B603" s="1173" t="s">
        <v>86</v>
      </c>
      <c r="C603" s="1173" t="n">
        <v>2024</v>
      </c>
      <c r="D603" s="831" t="s">
        <v>5</v>
      </c>
      <c r="E603" s="831" t="s">
        <v>2192</v>
      </c>
      <c r="F603" s="1365" t="s">
        <v>1650</v>
      </c>
      <c r="G603" s="1108"/>
      <c r="H603" s="1109" t="n">
        <v>94.5</v>
      </c>
      <c r="I603" s="1435"/>
      <c r="J603" s="1435"/>
      <c r="K603" s="1111" t="n">
        <f aca="false">H603*I603/100</f>
        <v>0</v>
      </c>
      <c r="L603" s="1112" t="n">
        <v>32830</v>
      </c>
      <c r="M603" s="1113" t="n">
        <v>1</v>
      </c>
      <c r="N603" s="1114" t="n">
        <f aca="false">L603*M603</f>
        <v>32830</v>
      </c>
      <c r="O603" s="1181" t="n">
        <f aca="false">H603*N603</f>
        <v>3102435</v>
      </c>
      <c r="P603" s="838" t="s">
        <v>2193</v>
      </c>
      <c r="Q603" s="1004" t="s">
        <v>2492</v>
      </c>
      <c r="R603" s="1145" t="n">
        <v>1228500</v>
      </c>
      <c r="S603" s="886" t="n">
        <f aca="false">R603/H603</f>
        <v>13000</v>
      </c>
      <c r="T603" s="1181" t="n">
        <f aca="false">O603-R603-R607-R604-R606-R605</f>
        <v>0</v>
      </c>
      <c r="U603" s="1176" t="n">
        <f aca="false">N603-S603-S607-S604-S606-S605</f>
        <v>0</v>
      </c>
    </row>
    <row r="604" customFormat="false" ht="15" hidden="false" customHeight="true" outlineLevel="0" collapsed="false">
      <c r="A604" s="829"/>
      <c r="B604" s="1173"/>
      <c r="C604" s="1173"/>
      <c r="D604" s="848" t="s">
        <v>5</v>
      </c>
      <c r="E604" s="848" t="s">
        <v>2192</v>
      </c>
      <c r="F604" s="1365"/>
      <c r="G604" s="1108"/>
      <c r="H604" s="1109"/>
      <c r="I604" s="1435"/>
      <c r="J604" s="1435"/>
      <c r="K604" s="1111"/>
      <c r="L604" s="1112"/>
      <c r="M604" s="1113"/>
      <c r="N604" s="1114"/>
      <c r="O604" s="1181"/>
      <c r="P604" s="856" t="s">
        <v>2255</v>
      </c>
      <c r="Q604" s="1008" t="s">
        <v>2491</v>
      </c>
      <c r="R604" s="1144" t="n">
        <v>756000</v>
      </c>
      <c r="S604" s="866" t="n">
        <f aca="false">R604/H603</f>
        <v>8000</v>
      </c>
      <c r="T604" s="1181"/>
      <c r="U604" s="1176"/>
    </row>
    <row r="605" customFormat="false" ht="15" hidden="false" customHeight="true" outlineLevel="0" collapsed="false">
      <c r="A605" s="829"/>
      <c r="B605" s="1173"/>
      <c r="C605" s="1173"/>
      <c r="D605" s="848" t="s">
        <v>5</v>
      </c>
      <c r="E605" s="848" t="s">
        <v>2192</v>
      </c>
      <c r="F605" s="1365"/>
      <c r="G605" s="1108"/>
      <c r="H605" s="1109"/>
      <c r="I605" s="1435"/>
      <c r="J605" s="1435"/>
      <c r="K605" s="1111"/>
      <c r="L605" s="1112"/>
      <c r="M605" s="1113"/>
      <c r="N605" s="1114"/>
      <c r="O605" s="1181"/>
      <c r="P605" s="856" t="s">
        <v>2193</v>
      </c>
      <c r="Q605" s="1008" t="s">
        <v>2493</v>
      </c>
      <c r="R605" s="1144" t="n">
        <v>172935</v>
      </c>
      <c r="S605" s="866" t="n">
        <f aca="false">R605/H603</f>
        <v>1830</v>
      </c>
      <c r="T605" s="1181"/>
      <c r="U605" s="1176"/>
    </row>
    <row r="606" customFormat="false" ht="15" hidden="false" customHeight="true" outlineLevel="0" collapsed="false">
      <c r="A606" s="829"/>
      <c r="B606" s="1173"/>
      <c r="C606" s="1173"/>
      <c r="D606" s="848" t="s">
        <v>5</v>
      </c>
      <c r="E606" s="848" t="s">
        <v>2192</v>
      </c>
      <c r="F606" s="1365"/>
      <c r="G606" s="1108"/>
      <c r="H606" s="1109"/>
      <c r="I606" s="1435"/>
      <c r="J606" s="1435"/>
      <c r="K606" s="1111"/>
      <c r="L606" s="1112"/>
      <c r="M606" s="1113"/>
      <c r="N606" s="1114"/>
      <c r="O606" s="1181"/>
      <c r="P606" s="856" t="s">
        <v>2193</v>
      </c>
      <c r="Q606" s="1008" t="s">
        <v>2494</v>
      </c>
      <c r="R606" s="1144" t="n">
        <v>236250</v>
      </c>
      <c r="S606" s="866" t="n">
        <f aca="false">R606/H603</f>
        <v>2500</v>
      </c>
      <c r="T606" s="1181"/>
      <c r="U606" s="1176"/>
    </row>
    <row r="607" customFormat="false" ht="15" hidden="false" customHeight="true" outlineLevel="0" collapsed="false">
      <c r="A607" s="829"/>
      <c r="B607" s="1173"/>
      <c r="C607" s="1173"/>
      <c r="D607" s="860" t="s">
        <v>5</v>
      </c>
      <c r="E607" s="860" t="s">
        <v>2192</v>
      </c>
      <c r="F607" s="1365"/>
      <c r="G607" s="1108"/>
      <c r="H607" s="1109"/>
      <c r="I607" s="1435"/>
      <c r="J607" s="1435"/>
      <c r="K607" s="1111"/>
      <c r="L607" s="1112"/>
      <c r="M607" s="1113"/>
      <c r="N607" s="1114"/>
      <c r="O607" s="1181"/>
      <c r="P607" s="868" t="s">
        <v>2193</v>
      </c>
      <c r="Q607" s="1011" t="s">
        <v>2495</v>
      </c>
      <c r="R607" s="1147" t="n">
        <v>708750</v>
      </c>
      <c r="S607" s="866" t="n">
        <f aca="false">R607/H603</f>
        <v>7500</v>
      </c>
      <c r="T607" s="1181"/>
      <c r="U607" s="1176"/>
    </row>
    <row r="608" customFormat="false" ht="15" hidden="false" customHeight="true" outlineLevel="0" collapsed="false">
      <c r="A608" s="829"/>
      <c r="B608" s="859" t="s">
        <v>86</v>
      </c>
      <c r="C608" s="859" t="n">
        <v>2024</v>
      </c>
      <c r="D608" s="860" t="s">
        <v>5</v>
      </c>
      <c r="E608" s="860" t="s">
        <v>2242</v>
      </c>
      <c r="F608" s="860"/>
      <c r="G608" s="861"/>
      <c r="H608" s="980" t="n">
        <v>47</v>
      </c>
      <c r="I608" s="1429"/>
      <c r="J608" s="1429"/>
      <c r="K608" s="864" t="n">
        <f aca="false">H608*I608/100</f>
        <v>0</v>
      </c>
      <c r="L608" s="982" t="n">
        <v>404</v>
      </c>
      <c r="M608" s="983" t="n">
        <v>1</v>
      </c>
      <c r="N608" s="543" t="n">
        <f aca="false">L608*M608</f>
        <v>404</v>
      </c>
      <c r="O608" s="1449" t="n">
        <f aca="false">H608*N608</f>
        <v>18988</v>
      </c>
      <c r="P608" s="868" t="s">
        <v>2200</v>
      </c>
      <c r="Q608" s="1012" t="s">
        <v>2434</v>
      </c>
      <c r="R608" s="1147" t="n">
        <v>18988</v>
      </c>
      <c r="S608" s="891" t="n">
        <f aca="false">R608/H608</f>
        <v>404</v>
      </c>
      <c r="T608" s="1449" t="n">
        <f aca="false">O608-R608</f>
        <v>0</v>
      </c>
      <c r="U608" s="1135" t="n">
        <f aca="false">N608-S608</f>
        <v>0</v>
      </c>
    </row>
    <row r="609" customFormat="false" ht="15" hidden="false" customHeight="true" outlineLevel="0" collapsed="false">
      <c r="A609" s="829"/>
      <c r="B609" s="870" t="s">
        <v>86</v>
      </c>
      <c r="C609" s="870" t="n">
        <v>2024</v>
      </c>
      <c r="D609" s="871" t="s">
        <v>5</v>
      </c>
      <c r="E609" s="871" t="s">
        <v>2203</v>
      </c>
      <c r="F609" s="871"/>
      <c r="G609" s="872"/>
      <c r="H609" s="1116" t="n">
        <v>0</v>
      </c>
      <c r="I609" s="1433"/>
      <c r="J609" s="1433"/>
      <c r="K609" s="875" t="n">
        <f aca="false">H609*I609/100</f>
        <v>0</v>
      </c>
      <c r="L609" s="999" t="n">
        <v>2852</v>
      </c>
      <c r="M609" s="1000" t="n">
        <v>1</v>
      </c>
      <c r="N609" s="553" t="n">
        <f aca="false">L609*M609</f>
        <v>2852</v>
      </c>
      <c r="O609" s="1403" t="n">
        <f aca="false">H609*N609</f>
        <v>0</v>
      </c>
      <c r="P609" s="879" t="s">
        <v>2232</v>
      </c>
      <c r="Q609" s="1013" t="s">
        <v>96</v>
      </c>
      <c r="R609" s="1151" t="n">
        <v>0</v>
      </c>
      <c r="S609" s="877" t="n">
        <v>2852</v>
      </c>
      <c r="T609" s="1403" t="n">
        <f aca="false">O609-R609</f>
        <v>0</v>
      </c>
      <c r="U609" s="1293" t="n">
        <f aca="false">N609-S609</f>
        <v>0</v>
      </c>
    </row>
    <row r="610" customFormat="false" ht="15" hidden="false" customHeight="true" outlineLevel="0" collapsed="false">
      <c r="A610" s="829"/>
      <c r="B610" s="829" t="s">
        <v>86</v>
      </c>
      <c r="C610" s="830" t="n">
        <v>2024</v>
      </c>
      <c r="D610" s="1328" t="s">
        <v>5</v>
      </c>
      <c r="E610" s="1328" t="s">
        <v>2205</v>
      </c>
      <c r="F610" s="830"/>
      <c r="G610" s="833"/>
      <c r="H610" s="834" t="n">
        <v>2.1</v>
      </c>
      <c r="I610" s="1020"/>
      <c r="J610" s="1020"/>
      <c r="K610" s="836" t="n">
        <f aca="false">H610*I610/100</f>
        <v>0</v>
      </c>
      <c r="L610" s="1002" t="n">
        <v>2249</v>
      </c>
      <c r="M610" s="1003" t="n">
        <v>1</v>
      </c>
      <c r="N610" s="837" t="n">
        <f aca="false">L610*M610</f>
        <v>2249</v>
      </c>
      <c r="O610" s="943" t="n">
        <f aca="false">H610*N610</f>
        <v>4722.9</v>
      </c>
      <c r="P610" s="884" t="s">
        <v>2204</v>
      </c>
      <c r="Q610" s="1540" t="s">
        <v>2398</v>
      </c>
      <c r="R610" s="1545" t="n">
        <v>3450.3</v>
      </c>
      <c r="S610" s="886" t="n">
        <f aca="false">R610/H610</f>
        <v>1643</v>
      </c>
      <c r="T610" s="943" t="n">
        <f aca="false">O610-R610-R611</f>
        <v>0</v>
      </c>
      <c r="U610" s="842" t="n">
        <f aca="false">N610-S610-S611</f>
        <v>0</v>
      </c>
    </row>
    <row r="611" customFormat="false" ht="15" hidden="false" customHeight="true" outlineLevel="0" collapsed="false">
      <c r="A611" s="829"/>
      <c r="B611" s="829"/>
      <c r="C611" s="830"/>
      <c r="D611" s="843" t="s">
        <v>5</v>
      </c>
      <c r="E611" s="843" t="s">
        <v>2205</v>
      </c>
      <c r="F611" s="830"/>
      <c r="G611" s="833"/>
      <c r="H611" s="834"/>
      <c r="I611" s="1020"/>
      <c r="J611" s="1020"/>
      <c r="K611" s="836"/>
      <c r="L611" s="1002"/>
      <c r="M611" s="1003"/>
      <c r="N611" s="837"/>
      <c r="O611" s="943"/>
      <c r="P611" s="844" t="s">
        <v>2204</v>
      </c>
      <c r="Q611" s="900" t="s">
        <v>2496</v>
      </c>
      <c r="R611" s="1136" t="n">
        <v>1272.6</v>
      </c>
      <c r="S611" s="846" t="n">
        <f aca="false">R611/H610</f>
        <v>606</v>
      </c>
      <c r="T611" s="943"/>
      <c r="U611" s="842"/>
    </row>
    <row r="612" customFormat="false" ht="15" hidden="false" customHeight="true" outlineLevel="0" collapsed="false">
      <c r="A612" s="903" t="n">
        <v>68</v>
      </c>
      <c r="B612" s="903" t="s">
        <v>2207</v>
      </c>
      <c r="C612" s="903" t="n">
        <v>2024</v>
      </c>
      <c r="D612" s="904" t="s">
        <v>5</v>
      </c>
      <c r="E612" s="904" t="s">
        <v>2192</v>
      </c>
      <c r="F612" s="904" t="s">
        <v>1651</v>
      </c>
      <c r="G612" s="905"/>
      <c r="H612" s="946" t="n">
        <v>28.9235</v>
      </c>
      <c r="I612" s="1055"/>
      <c r="J612" s="1055"/>
      <c r="K612" s="939" t="n">
        <f aca="false">H612*I612/100</f>
        <v>0</v>
      </c>
      <c r="L612" s="1022" t="n">
        <v>42474</v>
      </c>
      <c r="M612" s="1023" t="n">
        <v>1</v>
      </c>
      <c r="N612" s="942" t="n">
        <f aca="false">L612*M612</f>
        <v>42474</v>
      </c>
      <c r="O612" s="948" t="n">
        <f aca="false">H612*N612</f>
        <v>1228496.739</v>
      </c>
      <c r="P612" s="910" t="s">
        <v>2193</v>
      </c>
      <c r="Q612" s="1057" t="s">
        <v>2432</v>
      </c>
      <c r="R612" s="1138" t="n">
        <v>1228496.739</v>
      </c>
      <c r="S612" s="891" t="n">
        <f aca="false">R612/H612</f>
        <v>42474</v>
      </c>
      <c r="T612" s="948" t="n">
        <f aca="false">O612-R612</f>
        <v>0</v>
      </c>
      <c r="U612" s="942" t="n">
        <f aca="false">N612-S612</f>
        <v>0</v>
      </c>
    </row>
    <row r="613" customFormat="false" ht="15" hidden="false" customHeight="true" outlineLevel="0" collapsed="false">
      <c r="A613" s="1027" t="s">
        <v>2497</v>
      </c>
      <c r="B613" s="1546" t="s">
        <v>2207</v>
      </c>
      <c r="C613" s="1546" t="n">
        <v>2024</v>
      </c>
      <c r="D613" s="831" t="s">
        <v>5</v>
      </c>
      <c r="E613" s="831" t="s">
        <v>2192</v>
      </c>
      <c r="F613" s="1328" t="s">
        <v>1651</v>
      </c>
      <c r="G613" s="1030"/>
      <c r="H613" s="1031" t="n">
        <v>28.8206</v>
      </c>
      <c r="I613" s="1517"/>
      <c r="J613" s="1517"/>
      <c r="K613" s="1033" t="n">
        <f aca="false">H613*I613/100</f>
        <v>0</v>
      </c>
      <c r="L613" s="1034" t="n">
        <v>45474</v>
      </c>
      <c r="M613" s="1035" t="n">
        <v>1</v>
      </c>
      <c r="N613" s="1036" t="n">
        <f aca="false">L613*M613</f>
        <v>45474</v>
      </c>
      <c r="O613" s="1547" t="n">
        <f aca="false">H613*N613</f>
        <v>1310587.9644</v>
      </c>
      <c r="P613" s="838" t="s">
        <v>2197</v>
      </c>
      <c r="Q613" s="1004" t="s">
        <v>2498</v>
      </c>
      <c r="R613" s="1145" t="n">
        <v>92225.92</v>
      </c>
      <c r="S613" s="840" t="n">
        <f aca="false">R613/H613</f>
        <v>3200</v>
      </c>
      <c r="T613" s="1547" t="n">
        <f aca="false">O613-R613-R614-R615-R616-R617-R618</f>
        <v>0</v>
      </c>
      <c r="U613" s="1037" t="n">
        <f aca="false">N613-S613-S614-S615-S616-S617-S618</f>
        <v>0</v>
      </c>
    </row>
    <row r="614" customFormat="false" ht="15" hidden="false" customHeight="true" outlineLevel="0" collapsed="false">
      <c r="A614" s="1027"/>
      <c r="B614" s="1546"/>
      <c r="C614" s="1546"/>
      <c r="D614" s="871" t="s">
        <v>5</v>
      </c>
      <c r="E614" s="871" t="s">
        <v>2192</v>
      </c>
      <c r="F614" s="1328"/>
      <c r="G614" s="1030"/>
      <c r="H614" s="1031"/>
      <c r="I614" s="1517"/>
      <c r="J614" s="1517"/>
      <c r="K614" s="1033"/>
      <c r="L614" s="1034"/>
      <c r="M614" s="1035"/>
      <c r="N614" s="1036"/>
      <c r="O614" s="1547"/>
      <c r="P614" s="879" t="s">
        <v>2197</v>
      </c>
      <c r="Q614" s="1013" t="s">
        <v>2499</v>
      </c>
      <c r="R614" s="1151" t="n">
        <v>287917.794</v>
      </c>
      <c r="S614" s="866" t="n">
        <f aca="false">R614/H613</f>
        <v>9990</v>
      </c>
      <c r="T614" s="1547"/>
      <c r="U614" s="1037"/>
    </row>
    <row r="615" customFormat="false" ht="15" hidden="false" customHeight="true" outlineLevel="0" collapsed="false">
      <c r="A615" s="1027"/>
      <c r="B615" s="1546"/>
      <c r="C615" s="1546"/>
      <c r="D615" s="871" t="s">
        <v>5</v>
      </c>
      <c r="E615" s="871" t="s">
        <v>2192</v>
      </c>
      <c r="F615" s="1328"/>
      <c r="G615" s="1030"/>
      <c r="H615" s="1031"/>
      <c r="I615" s="1517"/>
      <c r="J615" s="1517"/>
      <c r="K615" s="1033"/>
      <c r="L615" s="1034"/>
      <c r="M615" s="1035"/>
      <c r="N615" s="1036"/>
      <c r="O615" s="1547"/>
      <c r="P615" s="879" t="s">
        <v>2197</v>
      </c>
      <c r="Q615" s="1013" t="s">
        <v>2500</v>
      </c>
      <c r="R615" s="1151" t="n">
        <v>287917.794</v>
      </c>
      <c r="S615" s="866" t="n">
        <f aca="false">R615/H613</f>
        <v>9990</v>
      </c>
      <c r="T615" s="1547"/>
      <c r="U615" s="1037"/>
    </row>
    <row r="616" customFormat="false" ht="15" hidden="false" customHeight="true" outlineLevel="0" collapsed="false">
      <c r="A616" s="1027"/>
      <c r="B616" s="1546"/>
      <c r="C616" s="1546"/>
      <c r="D616" s="871" t="s">
        <v>5</v>
      </c>
      <c r="E616" s="871" t="s">
        <v>2192</v>
      </c>
      <c r="F616" s="1328"/>
      <c r="G616" s="1030"/>
      <c r="H616" s="1031"/>
      <c r="I616" s="1517"/>
      <c r="J616" s="1517"/>
      <c r="K616" s="1033"/>
      <c r="L616" s="1034"/>
      <c r="M616" s="1035"/>
      <c r="N616" s="1036"/>
      <c r="O616" s="1547"/>
      <c r="P616" s="879" t="s">
        <v>2197</v>
      </c>
      <c r="Q616" s="1013" t="s">
        <v>2501</v>
      </c>
      <c r="R616" s="1151" t="n">
        <v>287917.794</v>
      </c>
      <c r="S616" s="866" t="n">
        <f aca="false">R616/H613</f>
        <v>9990</v>
      </c>
      <c r="T616" s="1547"/>
      <c r="U616" s="1037"/>
    </row>
    <row r="617" customFormat="false" ht="15" hidden="false" customHeight="true" outlineLevel="0" collapsed="false">
      <c r="A617" s="1027"/>
      <c r="B617" s="1546"/>
      <c r="C617" s="1546"/>
      <c r="D617" s="871" t="s">
        <v>5</v>
      </c>
      <c r="E617" s="871" t="s">
        <v>2192</v>
      </c>
      <c r="F617" s="1328"/>
      <c r="G617" s="1030"/>
      <c r="H617" s="1031"/>
      <c r="I617" s="1517"/>
      <c r="J617" s="1517"/>
      <c r="K617" s="1033"/>
      <c r="L617" s="1034"/>
      <c r="M617" s="1035"/>
      <c r="N617" s="1036"/>
      <c r="O617" s="1547"/>
      <c r="P617" s="879" t="s">
        <v>2197</v>
      </c>
      <c r="Q617" s="1013" t="s">
        <v>2502</v>
      </c>
      <c r="R617" s="1151" t="n">
        <v>287917.794</v>
      </c>
      <c r="S617" s="866" t="n">
        <f aca="false">R617/H613</f>
        <v>9990</v>
      </c>
      <c r="T617" s="1547"/>
      <c r="U617" s="1037"/>
    </row>
    <row r="618" customFormat="false" ht="15" hidden="false" customHeight="true" outlineLevel="0" collapsed="false">
      <c r="A618" s="1027"/>
      <c r="B618" s="1546"/>
      <c r="C618" s="1546"/>
      <c r="D618" s="871" t="s">
        <v>5</v>
      </c>
      <c r="E618" s="871" t="s">
        <v>2192</v>
      </c>
      <c r="F618" s="1328"/>
      <c r="G618" s="1030"/>
      <c r="H618" s="1031"/>
      <c r="I618" s="1517"/>
      <c r="J618" s="1517"/>
      <c r="K618" s="1033"/>
      <c r="L618" s="1034"/>
      <c r="M618" s="1035"/>
      <c r="N618" s="1036"/>
      <c r="O618" s="1547"/>
      <c r="P618" s="879" t="s">
        <v>2197</v>
      </c>
      <c r="Q618" s="1013" t="s">
        <v>2503</v>
      </c>
      <c r="R618" s="1151" t="n">
        <v>66690.8684</v>
      </c>
      <c r="S618" s="877" t="n">
        <f aca="false">R618/H613</f>
        <v>2314</v>
      </c>
      <c r="T618" s="1547"/>
      <c r="U618" s="1037"/>
    </row>
    <row r="619" customFormat="false" ht="15" hidden="false" customHeight="true" outlineLevel="0" collapsed="false">
      <c r="A619" s="882" t="n">
        <v>69</v>
      </c>
      <c r="B619" s="883" t="s">
        <v>2207</v>
      </c>
      <c r="C619" s="883" t="n">
        <v>2024</v>
      </c>
      <c r="D619" s="831" t="s">
        <v>5</v>
      </c>
      <c r="E619" s="831" t="s">
        <v>2192</v>
      </c>
      <c r="F619" s="832" t="s">
        <v>1652</v>
      </c>
      <c r="G619" s="833"/>
      <c r="H619" s="834" t="n">
        <v>37.7416</v>
      </c>
      <c r="I619" s="1020"/>
      <c r="J619" s="1020"/>
      <c r="K619" s="836" t="n">
        <f aca="false">H619*I619/100</f>
        <v>0</v>
      </c>
      <c r="L619" s="1002" t="n">
        <v>18779</v>
      </c>
      <c r="M619" s="1003" t="n">
        <v>1</v>
      </c>
      <c r="N619" s="837" t="n">
        <f aca="false">L619*M619</f>
        <v>18779</v>
      </c>
      <c r="O619" s="943" t="n">
        <f aca="false">H619*N619</f>
        <v>708749.5064</v>
      </c>
      <c r="P619" s="838" t="s">
        <v>2197</v>
      </c>
      <c r="Q619" s="1004" t="s">
        <v>2504</v>
      </c>
      <c r="R619" s="1145" t="n">
        <v>377038.584</v>
      </c>
      <c r="S619" s="840" t="n">
        <f aca="false">R619/H619</f>
        <v>9990</v>
      </c>
      <c r="T619" s="943" t="n">
        <f aca="false">O619-R619-R620-R621</f>
        <v>0</v>
      </c>
      <c r="U619" s="842" t="n">
        <f aca="false">N619-S619-S620-S621</f>
        <v>0</v>
      </c>
    </row>
    <row r="620" customFormat="false" ht="15" hidden="false" customHeight="true" outlineLevel="0" collapsed="false">
      <c r="A620" s="882"/>
      <c r="B620" s="883"/>
      <c r="C620" s="883"/>
      <c r="D620" s="860" t="s">
        <v>5</v>
      </c>
      <c r="E620" s="860" t="s">
        <v>2192</v>
      </c>
      <c r="F620" s="832"/>
      <c r="G620" s="833"/>
      <c r="H620" s="834"/>
      <c r="I620" s="1020"/>
      <c r="J620" s="1020"/>
      <c r="K620" s="836"/>
      <c r="L620" s="1002"/>
      <c r="M620" s="1003"/>
      <c r="N620" s="837"/>
      <c r="O620" s="943"/>
      <c r="P620" s="868" t="s">
        <v>2197</v>
      </c>
      <c r="Q620" s="1011" t="s">
        <v>2505</v>
      </c>
      <c r="R620" s="1147" t="n">
        <v>189085.416</v>
      </c>
      <c r="S620" s="866" t="n">
        <f aca="false">R620/H619</f>
        <v>5010</v>
      </c>
      <c r="T620" s="943"/>
      <c r="U620" s="842"/>
    </row>
    <row r="621" customFormat="false" ht="15" hidden="false" customHeight="true" outlineLevel="0" collapsed="false">
      <c r="A621" s="882"/>
      <c r="B621" s="883"/>
      <c r="C621" s="883"/>
      <c r="D621" s="843" t="s">
        <v>5</v>
      </c>
      <c r="E621" s="843" t="s">
        <v>2192</v>
      </c>
      <c r="F621" s="832"/>
      <c r="G621" s="833"/>
      <c r="H621" s="834"/>
      <c r="I621" s="1020"/>
      <c r="J621" s="1020"/>
      <c r="K621" s="836"/>
      <c r="L621" s="1002"/>
      <c r="M621" s="1003"/>
      <c r="N621" s="837"/>
      <c r="O621" s="943"/>
      <c r="P621" s="844" t="s">
        <v>2197</v>
      </c>
      <c r="Q621" s="1005" t="s">
        <v>2506</v>
      </c>
      <c r="R621" s="1136" t="n">
        <v>142625.5064</v>
      </c>
      <c r="S621" s="846" t="n">
        <f aca="false">R621/H619</f>
        <v>3779</v>
      </c>
      <c r="T621" s="943"/>
      <c r="U621" s="842"/>
    </row>
    <row r="622" customFormat="false" ht="15" hidden="false" customHeight="true" outlineLevel="0" collapsed="false">
      <c r="A622" s="1087" t="n">
        <v>53</v>
      </c>
      <c r="B622" s="847" t="s">
        <v>86</v>
      </c>
      <c r="C622" s="847" t="n">
        <v>2024</v>
      </c>
      <c r="D622" s="848" t="s">
        <v>5</v>
      </c>
      <c r="E622" s="848" t="s">
        <v>2192</v>
      </c>
      <c r="F622" s="848" t="s">
        <v>1650</v>
      </c>
      <c r="G622" s="849"/>
      <c r="H622" s="949" t="n">
        <v>97.3</v>
      </c>
      <c r="I622" s="1397"/>
      <c r="J622" s="1397"/>
      <c r="K622" s="852" t="n">
        <f aca="false">H622*I622/100</f>
        <v>0</v>
      </c>
      <c r="L622" s="1006" t="n">
        <v>14622</v>
      </c>
      <c r="M622" s="1007" t="n">
        <v>1</v>
      </c>
      <c r="N622" s="537" t="n">
        <f aca="false">L622*M622</f>
        <v>14622</v>
      </c>
      <c r="O622" s="953" t="n">
        <f aca="false">H622*N622</f>
        <v>1422720.6</v>
      </c>
      <c r="P622" s="856" t="s">
        <v>2193</v>
      </c>
      <c r="Q622" s="1008" t="s">
        <v>2493</v>
      </c>
      <c r="R622" s="1144" t="n">
        <v>1422720.6</v>
      </c>
      <c r="S622" s="891" t="n">
        <f aca="false">R622/H622</f>
        <v>14622</v>
      </c>
      <c r="T622" s="953" t="n">
        <f aca="false">O622-R622</f>
        <v>0</v>
      </c>
      <c r="U622" s="892" t="n">
        <f aca="false">N622-S622</f>
        <v>0</v>
      </c>
    </row>
    <row r="623" customFormat="false" ht="15" hidden="false" customHeight="true" outlineLevel="0" collapsed="false">
      <c r="A623" s="1087"/>
      <c r="B623" s="859" t="s">
        <v>86</v>
      </c>
      <c r="C623" s="859" t="n">
        <v>2024</v>
      </c>
      <c r="D623" s="860" t="s">
        <v>5</v>
      </c>
      <c r="E623" s="860" t="s">
        <v>2242</v>
      </c>
      <c r="F623" s="860"/>
      <c r="G623" s="861"/>
      <c r="H623" s="980" t="n">
        <v>40.6</v>
      </c>
      <c r="I623" s="1429"/>
      <c r="J623" s="1429"/>
      <c r="K623" s="864" t="n">
        <f aca="false">H623*I623/100</f>
        <v>0</v>
      </c>
      <c r="L623" s="982" t="n">
        <v>92</v>
      </c>
      <c r="M623" s="983" t="n">
        <v>1</v>
      </c>
      <c r="N623" s="543" t="n">
        <f aca="false">L623*M623</f>
        <v>92</v>
      </c>
      <c r="O623" s="1449" t="n">
        <f aca="false">H623*N623</f>
        <v>3735.2</v>
      </c>
      <c r="P623" s="868" t="s">
        <v>2232</v>
      </c>
      <c r="Q623" s="1011" t="s">
        <v>100</v>
      </c>
      <c r="R623" s="1147" t="n">
        <v>3735.2</v>
      </c>
      <c r="S623" s="866" t="n">
        <f aca="false">R623/H623</f>
        <v>92</v>
      </c>
      <c r="T623" s="1449" t="n">
        <f aca="false">O623-R623</f>
        <v>0</v>
      </c>
      <c r="U623" s="1135" t="n">
        <f aca="false">N623-S623</f>
        <v>0</v>
      </c>
    </row>
    <row r="624" customFormat="false" ht="15" hidden="false" customHeight="true" outlineLevel="0" collapsed="false">
      <c r="A624" s="1087"/>
      <c r="B624" s="859" t="s">
        <v>86</v>
      </c>
      <c r="C624" s="859" t="n">
        <v>2024</v>
      </c>
      <c r="D624" s="860" t="s">
        <v>5</v>
      </c>
      <c r="E624" s="860" t="s">
        <v>2203</v>
      </c>
      <c r="F624" s="860"/>
      <c r="G624" s="861"/>
      <c r="H624" s="980" t="n">
        <v>1.6</v>
      </c>
      <c r="I624" s="1429"/>
      <c r="J624" s="1429"/>
      <c r="K624" s="864" t="n">
        <f aca="false">H624*I624/100</f>
        <v>0</v>
      </c>
      <c r="L624" s="982" t="n">
        <v>903</v>
      </c>
      <c r="M624" s="983" t="n">
        <v>1</v>
      </c>
      <c r="N624" s="543" t="n">
        <f aca="false">L624*M624</f>
        <v>903</v>
      </c>
      <c r="O624" s="1449" t="n">
        <f aca="false">H624*N624</f>
        <v>1444.8</v>
      </c>
      <c r="P624" s="868" t="s">
        <v>2204</v>
      </c>
      <c r="Q624" s="1012" t="n">
        <v>31012025</v>
      </c>
      <c r="R624" s="1147" t="n">
        <v>1444.8</v>
      </c>
      <c r="S624" s="866" t="n">
        <f aca="false">R624/H624</f>
        <v>903</v>
      </c>
      <c r="T624" s="1449" t="n">
        <f aca="false">O624-R624</f>
        <v>0</v>
      </c>
      <c r="U624" s="1135" t="n">
        <f aca="false">N624-S624</f>
        <v>0</v>
      </c>
    </row>
    <row r="625" customFormat="false" ht="15" hidden="false" customHeight="true" outlineLevel="0" collapsed="false">
      <c r="A625" s="1087"/>
      <c r="B625" s="859" t="s">
        <v>86</v>
      </c>
      <c r="C625" s="859" t="n">
        <v>2024</v>
      </c>
      <c r="D625" s="860" t="s">
        <v>5</v>
      </c>
      <c r="E625" s="860" t="s">
        <v>2241</v>
      </c>
      <c r="F625" s="860"/>
      <c r="G625" s="861"/>
      <c r="H625" s="980" t="n">
        <v>0</v>
      </c>
      <c r="I625" s="1429"/>
      <c r="J625" s="1429"/>
      <c r="K625" s="864" t="n">
        <f aca="false">H625*I625/100</f>
        <v>0</v>
      </c>
      <c r="L625" s="982" t="n">
        <v>215</v>
      </c>
      <c r="M625" s="983" t="n">
        <v>1</v>
      </c>
      <c r="N625" s="543" t="n">
        <f aca="false">L625*M625</f>
        <v>215</v>
      </c>
      <c r="O625" s="1449" t="n">
        <f aca="false">H625*N625</f>
        <v>0</v>
      </c>
      <c r="P625" s="868" t="s">
        <v>2204</v>
      </c>
      <c r="Q625" s="1012" t="s">
        <v>2398</v>
      </c>
      <c r="R625" s="1147" t="n">
        <v>0</v>
      </c>
      <c r="S625" s="866" t="n">
        <v>215</v>
      </c>
      <c r="T625" s="1449" t="n">
        <f aca="false">O625-R625</f>
        <v>0</v>
      </c>
      <c r="U625" s="1135" t="n">
        <f aca="false">N625-S625</f>
        <v>0</v>
      </c>
    </row>
    <row r="626" customFormat="false" ht="15" hidden="false" customHeight="true" outlineLevel="0" collapsed="false">
      <c r="A626" s="1087"/>
      <c r="B626" s="893" t="s">
        <v>86</v>
      </c>
      <c r="C626" s="893" t="n">
        <v>2024</v>
      </c>
      <c r="D626" s="843" t="s">
        <v>5</v>
      </c>
      <c r="E626" s="843" t="s">
        <v>2205</v>
      </c>
      <c r="F626" s="843"/>
      <c r="G626" s="894"/>
      <c r="H626" s="1103" t="n">
        <v>9.3</v>
      </c>
      <c r="I626" s="1532"/>
      <c r="J626" s="1532"/>
      <c r="K626" s="897" t="n">
        <f aca="false">H626*I626/100</f>
        <v>0</v>
      </c>
      <c r="L626" s="1105" t="n">
        <v>1027</v>
      </c>
      <c r="M626" s="1106" t="n">
        <v>1</v>
      </c>
      <c r="N626" s="589" t="n">
        <f aca="false">L626*M626</f>
        <v>1027</v>
      </c>
      <c r="O626" s="1183" t="n">
        <f aca="false">H626*N626</f>
        <v>9551.1</v>
      </c>
      <c r="P626" s="844" t="s">
        <v>2204</v>
      </c>
      <c r="Q626" s="900" t="n">
        <v>22112024</v>
      </c>
      <c r="R626" s="1136" t="n">
        <v>9551.1</v>
      </c>
      <c r="S626" s="866" t="n">
        <f aca="false">R626/H626</f>
        <v>1027</v>
      </c>
      <c r="T626" s="1183" t="n">
        <f aca="false">O626-R626</f>
        <v>0</v>
      </c>
      <c r="U626" s="902" t="n">
        <f aca="false">N626-S626</f>
        <v>0</v>
      </c>
    </row>
    <row r="627" customFormat="false" ht="15" hidden="false" customHeight="true" outlineLevel="0" collapsed="false">
      <c r="A627" s="1533" t="n">
        <v>54</v>
      </c>
      <c r="B627" s="829" t="s">
        <v>86</v>
      </c>
      <c r="C627" s="830" t="n">
        <v>2024</v>
      </c>
      <c r="D627" s="831" t="s">
        <v>5</v>
      </c>
      <c r="E627" s="831" t="s">
        <v>2192</v>
      </c>
      <c r="F627" s="832" t="s">
        <v>1650</v>
      </c>
      <c r="G627" s="833"/>
      <c r="H627" s="834" t="n">
        <v>96.5</v>
      </c>
      <c r="I627" s="1020"/>
      <c r="J627" s="1020"/>
      <c r="K627" s="836" t="n">
        <f aca="false">H627*I627/100</f>
        <v>0</v>
      </c>
      <c r="L627" s="1002" t="n">
        <v>11510</v>
      </c>
      <c r="M627" s="1003" t="n">
        <v>1</v>
      </c>
      <c r="N627" s="837" t="n">
        <f aca="false">L627*M627</f>
        <v>11510</v>
      </c>
      <c r="O627" s="943" t="n">
        <f aca="false">H627*N627</f>
        <v>1110715</v>
      </c>
      <c r="P627" s="884" t="s">
        <v>2193</v>
      </c>
      <c r="Q627" s="1015" t="s">
        <v>2493</v>
      </c>
      <c r="R627" s="1545" t="n">
        <v>115800</v>
      </c>
      <c r="S627" s="886" t="n">
        <f aca="false">R627/H627</f>
        <v>1200</v>
      </c>
      <c r="T627" s="943" t="n">
        <f aca="false">O627-R627-R630-R629-R628</f>
        <v>0</v>
      </c>
      <c r="U627" s="842" t="n">
        <f aca="false">N627-S627-S630-S629-S628</f>
        <v>0</v>
      </c>
    </row>
    <row r="628" customFormat="false" ht="15" hidden="false" customHeight="true" outlineLevel="0" collapsed="false">
      <c r="A628" s="1533"/>
      <c r="B628" s="829"/>
      <c r="C628" s="830"/>
      <c r="D628" s="848" t="s">
        <v>5</v>
      </c>
      <c r="E628" s="848" t="s">
        <v>2192</v>
      </c>
      <c r="F628" s="832"/>
      <c r="G628" s="833"/>
      <c r="H628" s="834"/>
      <c r="I628" s="1020"/>
      <c r="J628" s="1020"/>
      <c r="K628" s="836"/>
      <c r="L628" s="1002"/>
      <c r="M628" s="1003"/>
      <c r="N628" s="837"/>
      <c r="O628" s="943"/>
      <c r="P628" s="868" t="s">
        <v>2232</v>
      </c>
      <c r="Q628" s="1011" t="s">
        <v>100</v>
      </c>
      <c r="R628" s="1147" t="n">
        <v>425179</v>
      </c>
      <c r="S628" s="866" t="n">
        <f aca="false">R628/H627</f>
        <v>4406</v>
      </c>
      <c r="T628" s="943"/>
      <c r="U628" s="842"/>
    </row>
    <row r="629" customFormat="false" ht="15" hidden="false" customHeight="true" outlineLevel="0" collapsed="false">
      <c r="A629" s="1533"/>
      <c r="B629" s="829"/>
      <c r="C629" s="830"/>
      <c r="D629" s="860" t="s">
        <v>5</v>
      </c>
      <c r="E629" s="860" t="s">
        <v>2192</v>
      </c>
      <c r="F629" s="832"/>
      <c r="G629" s="833"/>
      <c r="H629" s="834"/>
      <c r="I629" s="1020"/>
      <c r="J629" s="1020"/>
      <c r="K629" s="836"/>
      <c r="L629" s="1002"/>
      <c r="M629" s="1003"/>
      <c r="N629" s="837"/>
      <c r="O629" s="943"/>
      <c r="P629" s="868" t="s">
        <v>2193</v>
      </c>
      <c r="Q629" s="1011" t="s">
        <v>2507</v>
      </c>
      <c r="R629" s="1147" t="n">
        <v>520521</v>
      </c>
      <c r="S629" s="866" t="n">
        <f aca="false">R629/H627</f>
        <v>5394</v>
      </c>
      <c r="T629" s="943"/>
      <c r="U629" s="842"/>
    </row>
    <row r="630" customFormat="false" ht="15" hidden="false" customHeight="true" outlineLevel="0" collapsed="false">
      <c r="A630" s="1533"/>
      <c r="B630" s="829"/>
      <c r="C630" s="830"/>
      <c r="D630" s="887" t="s">
        <v>5</v>
      </c>
      <c r="E630" s="887" t="s">
        <v>2192</v>
      </c>
      <c r="F630" s="832"/>
      <c r="G630" s="833"/>
      <c r="H630" s="834"/>
      <c r="I630" s="1020"/>
      <c r="J630" s="1020"/>
      <c r="K630" s="836"/>
      <c r="L630" s="1002"/>
      <c r="M630" s="1003"/>
      <c r="N630" s="837"/>
      <c r="O630" s="943"/>
      <c r="P630" s="888" t="s">
        <v>2197</v>
      </c>
      <c r="Q630" s="1364" t="s">
        <v>2508</v>
      </c>
      <c r="R630" s="1146" t="n">
        <v>49215</v>
      </c>
      <c r="S630" s="1142" t="n">
        <f aca="false">R630/H627</f>
        <v>510</v>
      </c>
      <c r="T630" s="943"/>
      <c r="U630" s="842"/>
    </row>
    <row r="631" customFormat="false" ht="15" hidden="false" customHeight="true" outlineLevel="0" collapsed="false">
      <c r="A631" s="1533"/>
      <c r="B631" s="847" t="s">
        <v>86</v>
      </c>
      <c r="C631" s="847" t="n">
        <v>2024</v>
      </c>
      <c r="D631" s="848" t="s">
        <v>5</v>
      </c>
      <c r="E631" s="848" t="s">
        <v>2242</v>
      </c>
      <c r="F631" s="848"/>
      <c r="G631" s="849"/>
      <c r="H631" s="949" t="n">
        <v>58.7</v>
      </c>
      <c r="I631" s="1397"/>
      <c r="J631" s="1397"/>
      <c r="K631" s="852" t="n">
        <f aca="false">H631*I631/100</f>
        <v>0</v>
      </c>
      <c r="L631" s="1006" t="n">
        <v>365</v>
      </c>
      <c r="M631" s="1007" t="n">
        <v>1</v>
      </c>
      <c r="N631" s="537" t="n">
        <f aca="false">L631*M631</f>
        <v>365</v>
      </c>
      <c r="O631" s="953" t="n">
        <f aca="false">H631*N631</f>
        <v>21425.5</v>
      </c>
      <c r="P631" s="856" t="s">
        <v>2232</v>
      </c>
      <c r="Q631" s="1008" t="s">
        <v>100</v>
      </c>
      <c r="R631" s="1144" t="n">
        <v>21425.5</v>
      </c>
      <c r="S631" s="891" t="n">
        <f aca="false">R631/H631</f>
        <v>365</v>
      </c>
      <c r="T631" s="953" t="n">
        <f aca="false">O631-R631</f>
        <v>0</v>
      </c>
      <c r="U631" s="892" t="n">
        <f aca="false">N631-S631</f>
        <v>0</v>
      </c>
    </row>
    <row r="632" customFormat="false" ht="15" hidden="false" customHeight="true" outlineLevel="0" collapsed="false">
      <c r="A632" s="1533"/>
      <c r="B632" s="859" t="s">
        <v>86</v>
      </c>
      <c r="C632" s="859" t="n">
        <v>2024</v>
      </c>
      <c r="D632" s="860" t="s">
        <v>5</v>
      </c>
      <c r="E632" s="860" t="s">
        <v>2203</v>
      </c>
      <c r="F632" s="860"/>
      <c r="G632" s="861"/>
      <c r="H632" s="980" t="n">
        <v>6.7</v>
      </c>
      <c r="I632" s="1429"/>
      <c r="J632" s="1429"/>
      <c r="K632" s="864" t="n">
        <f aca="false">H632*I632/100</f>
        <v>0</v>
      </c>
      <c r="L632" s="982" t="n">
        <v>580</v>
      </c>
      <c r="M632" s="983" t="n">
        <v>1</v>
      </c>
      <c r="N632" s="543" t="n">
        <f aca="false">L632*M632</f>
        <v>580</v>
      </c>
      <c r="O632" s="1449" t="n">
        <f aca="false">H632*N632</f>
        <v>3886</v>
      </c>
      <c r="P632" s="868" t="s">
        <v>2232</v>
      </c>
      <c r="Q632" s="1011" t="s">
        <v>100</v>
      </c>
      <c r="R632" s="1147" t="n">
        <v>3886</v>
      </c>
      <c r="S632" s="866" t="n">
        <f aca="false">R632/H632</f>
        <v>580</v>
      </c>
      <c r="T632" s="1449" t="n">
        <f aca="false">O632-R632</f>
        <v>0</v>
      </c>
      <c r="U632" s="1135" t="n">
        <f aca="false">N632-S632</f>
        <v>0</v>
      </c>
    </row>
    <row r="633" customFormat="false" ht="15" hidden="false" customHeight="true" outlineLevel="0" collapsed="false">
      <c r="A633" s="1533"/>
      <c r="B633" s="859" t="s">
        <v>86</v>
      </c>
      <c r="C633" s="859" t="n">
        <v>2024</v>
      </c>
      <c r="D633" s="860" t="s">
        <v>5</v>
      </c>
      <c r="E633" s="860" t="s">
        <v>2241</v>
      </c>
      <c r="F633" s="860"/>
      <c r="G633" s="861"/>
      <c r="H633" s="980" t="n">
        <v>19.5</v>
      </c>
      <c r="I633" s="1429"/>
      <c r="J633" s="1429"/>
      <c r="K633" s="864" t="n">
        <f aca="false">H633*I633/100</f>
        <v>0</v>
      </c>
      <c r="L633" s="982" t="n">
        <v>260</v>
      </c>
      <c r="M633" s="983" t="n">
        <v>1</v>
      </c>
      <c r="N633" s="543" t="n">
        <f aca="false">L633*M633</f>
        <v>260</v>
      </c>
      <c r="O633" s="1449" t="n">
        <f aca="false">H633*N633</f>
        <v>5070</v>
      </c>
      <c r="P633" s="868" t="s">
        <v>2200</v>
      </c>
      <c r="Q633" s="1011" t="s">
        <v>2434</v>
      </c>
      <c r="R633" s="1147" t="n">
        <v>5070</v>
      </c>
      <c r="S633" s="866" t="n">
        <f aca="false">R633/H633</f>
        <v>260</v>
      </c>
      <c r="T633" s="1449" t="n">
        <f aca="false">O633-R633</f>
        <v>0</v>
      </c>
      <c r="U633" s="1135" t="n">
        <f aca="false">N633-S633</f>
        <v>0</v>
      </c>
    </row>
    <row r="634" customFormat="false" ht="15" hidden="false" customHeight="true" outlineLevel="0" collapsed="false">
      <c r="A634" s="1533"/>
      <c r="B634" s="870" t="s">
        <v>86</v>
      </c>
      <c r="C634" s="870" t="n">
        <v>2024</v>
      </c>
      <c r="D634" s="871" t="s">
        <v>5</v>
      </c>
      <c r="E634" s="871" t="s">
        <v>2205</v>
      </c>
      <c r="F634" s="871"/>
      <c r="G634" s="872"/>
      <c r="H634" s="1116" t="n">
        <v>0</v>
      </c>
      <c r="I634" s="1433"/>
      <c r="J634" s="1433"/>
      <c r="K634" s="875" t="n">
        <f aca="false">H634*I634/100</f>
        <v>0</v>
      </c>
      <c r="L634" s="999" t="n">
        <v>858</v>
      </c>
      <c r="M634" s="1000" t="n">
        <v>1</v>
      </c>
      <c r="N634" s="553" t="n">
        <f aca="false">L634*M634</f>
        <v>858</v>
      </c>
      <c r="O634" s="1403" t="n">
        <f aca="false">H634*N634</f>
        <v>0</v>
      </c>
      <c r="P634" s="879" t="s">
        <v>2204</v>
      </c>
      <c r="Q634" s="1001" t="n">
        <v>22112024</v>
      </c>
      <c r="R634" s="1151" t="n">
        <v>0</v>
      </c>
      <c r="S634" s="877" t="n">
        <v>858</v>
      </c>
      <c r="T634" s="1403" t="n">
        <f aca="false">O634-R634</f>
        <v>0</v>
      </c>
      <c r="U634" s="1293" t="n">
        <f aca="false">N634-S634</f>
        <v>0</v>
      </c>
    </row>
    <row r="635" customFormat="false" ht="15" hidden="false" customHeight="true" outlineLevel="0" collapsed="false">
      <c r="A635" s="829" t="n">
        <v>8</v>
      </c>
      <c r="B635" s="830" t="s">
        <v>2278</v>
      </c>
      <c r="C635" s="830" t="n">
        <v>2024</v>
      </c>
      <c r="D635" s="831" t="s">
        <v>5</v>
      </c>
      <c r="E635" s="831" t="s">
        <v>2192</v>
      </c>
      <c r="F635" s="832" t="s">
        <v>1650</v>
      </c>
      <c r="G635" s="833"/>
      <c r="H635" s="1059" t="n">
        <v>94.2262</v>
      </c>
      <c r="I635" s="1020"/>
      <c r="J635" s="1317"/>
      <c r="K635" s="836" t="n">
        <f aca="false">H635*I635/100</f>
        <v>0</v>
      </c>
      <c r="L635" s="1002" t="n">
        <v>11200</v>
      </c>
      <c r="M635" s="1003" t="n">
        <v>1</v>
      </c>
      <c r="N635" s="837" t="n">
        <f aca="false">L635*M635</f>
        <v>11200</v>
      </c>
      <c r="O635" s="943" t="n">
        <f aca="false">H635*N635</f>
        <v>1055333.44</v>
      </c>
      <c r="P635" s="838" t="s">
        <v>2232</v>
      </c>
      <c r="Q635" s="1004" t="s">
        <v>96</v>
      </c>
      <c r="R635" s="1145" t="n">
        <v>28644.7648</v>
      </c>
      <c r="S635" s="840" t="n">
        <f aca="false">R635/H635</f>
        <v>304</v>
      </c>
      <c r="T635" s="943" t="n">
        <f aca="false">O635-R635-R636</f>
        <v>0</v>
      </c>
      <c r="U635" s="842" t="n">
        <f aca="false">N635-S635-S636</f>
        <v>0</v>
      </c>
    </row>
    <row r="636" customFormat="false" ht="15" hidden="false" customHeight="true" outlineLevel="0" collapsed="false">
      <c r="A636" s="829"/>
      <c r="B636" s="830"/>
      <c r="C636" s="830"/>
      <c r="D636" s="843" t="s">
        <v>5</v>
      </c>
      <c r="E636" s="843" t="s">
        <v>2192</v>
      </c>
      <c r="F636" s="832"/>
      <c r="G636" s="833"/>
      <c r="H636" s="1059"/>
      <c r="I636" s="1020"/>
      <c r="J636" s="1319"/>
      <c r="K636" s="836"/>
      <c r="L636" s="1002"/>
      <c r="M636" s="1003"/>
      <c r="N636" s="837"/>
      <c r="O636" s="943"/>
      <c r="P636" s="844" t="s">
        <v>2232</v>
      </c>
      <c r="Q636" s="1005" t="s">
        <v>2442</v>
      </c>
      <c r="R636" s="1136" t="n">
        <v>1026688.6752</v>
      </c>
      <c r="S636" s="846" t="n">
        <f aca="false">R636/H635</f>
        <v>10896</v>
      </c>
      <c r="T636" s="943"/>
      <c r="U636" s="842"/>
    </row>
    <row r="637" customFormat="false" ht="15" hidden="false" customHeight="true" outlineLevel="0" collapsed="false">
      <c r="A637" s="847" t="n">
        <v>76</v>
      </c>
      <c r="B637" s="847" t="s">
        <v>2207</v>
      </c>
      <c r="C637" s="847" t="n">
        <v>2024</v>
      </c>
      <c r="D637" s="848" t="s">
        <v>5</v>
      </c>
      <c r="E637" s="848" t="s">
        <v>2192</v>
      </c>
      <c r="F637" s="848" t="s">
        <v>1652</v>
      </c>
      <c r="G637" s="849"/>
      <c r="H637" s="949" t="n">
        <v>37.5655</v>
      </c>
      <c r="I637" s="1397"/>
      <c r="J637" s="1397"/>
      <c r="K637" s="852" t="n">
        <f aca="false">H637*I637/100</f>
        <v>0</v>
      </c>
      <c r="L637" s="1006" t="n">
        <v>6289</v>
      </c>
      <c r="M637" s="1007" t="n">
        <v>1</v>
      </c>
      <c r="N637" s="537" t="n">
        <f aca="false">L637*M637</f>
        <v>6289</v>
      </c>
      <c r="O637" s="953" t="n">
        <f aca="false">H637*N637</f>
        <v>236249.4295</v>
      </c>
      <c r="P637" s="856" t="s">
        <v>2197</v>
      </c>
      <c r="Q637" s="1008" t="s">
        <v>2509</v>
      </c>
      <c r="R637" s="1144" t="n">
        <v>236249.4295</v>
      </c>
      <c r="S637" s="854" t="n">
        <f aca="false">R637/H637</f>
        <v>6289</v>
      </c>
      <c r="T637" s="953" t="n">
        <f aca="false">O637-R637</f>
        <v>0</v>
      </c>
      <c r="U637" s="537" t="n">
        <f aca="false">N637-S637</f>
        <v>0</v>
      </c>
    </row>
    <row r="638" customFormat="false" ht="15" hidden="false" customHeight="true" outlineLevel="0" collapsed="false">
      <c r="A638" s="870" t="n">
        <v>20</v>
      </c>
      <c r="B638" s="870" t="s">
        <v>2230</v>
      </c>
      <c r="C638" s="870" t="n">
        <v>2024</v>
      </c>
      <c r="D638" s="871" t="s">
        <v>5</v>
      </c>
      <c r="E638" s="871" t="s">
        <v>2192</v>
      </c>
      <c r="F638" s="871" t="s">
        <v>2199</v>
      </c>
      <c r="G638" s="872"/>
      <c r="H638" s="1116" t="n">
        <v>63.2595</v>
      </c>
      <c r="I638" s="1433"/>
      <c r="J638" s="1433"/>
      <c r="K638" s="875" t="n">
        <f aca="false">H638*I638/100</f>
        <v>0</v>
      </c>
      <c r="L638" s="999" t="n">
        <v>500</v>
      </c>
      <c r="M638" s="1000" t="n">
        <v>1</v>
      </c>
      <c r="N638" s="553" t="n">
        <f aca="false">L638*M638</f>
        <v>500</v>
      </c>
      <c r="O638" s="1403" t="n">
        <f aca="false">H638*N638</f>
        <v>31629.75</v>
      </c>
      <c r="P638" s="879" t="s">
        <v>2197</v>
      </c>
      <c r="Q638" s="1013" t="s">
        <v>2510</v>
      </c>
      <c r="R638" s="1151" t="n">
        <v>31629.75</v>
      </c>
      <c r="S638" s="877" t="n">
        <f aca="false">R638/H638</f>
        <v>500</v>
      </c>
      <c r="T638" s="1403" t="n">
        <f aca="false">O638-R638</f>
        <v>0</v>
      </c>
      <c r="U638" s="553" t="n">
        <f aca="false">N638-S638</f>
        <v>0</v>
      </c>
    </row>
    <row r="639" customFormat="false" ht="15" hidden="false" customHeight="true" outlineLevel="0" collapsed="false">
      <c r="A639" s="1027" t="n">
        <v>77</v>
      </c>
      <c r="B639" s="1546" t="s">
        <v>2207</v>
      </c>
      <c r="C639" s="1546" t="n">
        <v>2024</v>
      </c>
      <c r="D639" s="831" t="s">
        <v>5</v>
      </c>
      <c r="E639" s="831" t="s">
        <v>2192</v>
      </c>
      <c r="F639" s="1328" t="s">
        <v>1651</v>
      </c>
      <c r="G639" s="1030"/>
      <c r="H639" s="1031" t="n">
        <v>30.4963</v>
      </c>
      <c r="I639" s="1517"/>
      <c r="J639" s="1517"/>
      <c r="K639" s="1033" t="n">
        <f aca="false">H639*I639/100</f>
        <v>0</v>
      </c>
      <c r="L639" s="1034" t="n">
        <v>56120</v>
      </c>
      <c r="M639" s="1035" t="n">
        <v>1</v>
      </c>
      <c r="N639" s="1036" t="n">
        <f aca="false">L639*M639</f>
        <v>56120</v>
      </c>
      <c r="O639" s="1547" t="n">
        <f aca="false">H639*N639</f>
        <v>1711452.356</v>
      </c>
      <c r="P639" s="838" t="s">
        <v>2197</v>
      </c>
      <c r="Q639" s="1004" t="s">
        <v>2511</v>
      </c>
      <c r="R639" s="1145" t="n">
        <v>304658.037</v>
      </c>
      <c r="S639" s="840" t="n">
        <f aca="false">R639/H639</f>
        <v>9990</v>
      </c>
      <c r="T639" s="1547" t="n">
        <f aca="false">O639-R639-R640-R642-R643-R644-R641</f>
        <v>0</v>
      </c>
      <c r="U639" s="1037" t="n">
        <f aca="false">N639-S639-S640-S642-S643-S644-S641</f>
        <v>0</v>
      </c>
    </row>
    <row r="640" customFormat="false" ht="15" hidden="false" customHeight="true" outlineLevel="0" collapsed="false">
      <c r="A640" s="1027"/>
      <c r="B640" s="1546"/>
      <c r="C640" s="1546"/>
      <c r="D640" s="860" t="s">
        <v>5</v>
      </c>
      <c r="E640" s="860" t="s">
        <v>2192</v>
      </c>
      <c r="F640" s="1328"/>
      <c r="G640" s="1030"/>
      <c r="H640" s="1031"/>
      <c r="I640" s="1517"/>
      <c r="J640" s="1517"/>
      <c r="K640" s="1033"/>
      <c r="L640" s="1034"/>
      <c r="M640" s="1035"/>
      <c r="N640" s="1036"/>
      <c r="O640" s="1547"/>
      <c r="P640" s="868" t="s">
        <v>2197</v>
      </c>
      <c r="Q640" s="1011" t="s">
        <v>2512</v>
      </c>
      <c r="R640" s="1147" t="n">
        <v>304658.037</v>
      </c>
      <c r="S640" s="1178" t="n">
        <f aca="false">R640/H639</f>
        <v>9990</v>
      </c>
      <c r="T640" s="1547"/>
      <c r="U640" s="1037"/>
    </row>
    <row r="641" customFormat="false" ht="15" hidden="false" customHeight="true" outlineLevel="0" collapsed="false">
      <c r="A641" s="1027"/>
      <c r="B641" s="1546"/>
      <c r="C641" s="1546"/>
      <c r="D641" s="860" t="s">
        <v>5</v>
      </c>
      <c r="E641" s="860" t="s">
        <v>2192</v>
      </c>
      <c r="F641" s="1328"/>
      <c r="G641" s="1030"/>
      <c r="H641" s="1031"/>
      <c r="I641" s="1517"/>
      <c r="J641" s="1517"/>
      <c r="K641" s="1033"/>
      <c r="L641" s="1034"/>
      <c r="M641" s="1035"/>
      <c r="N641" s="1036"/>
      <c r="O641" s="1547"/>
      <c r="P641" s="868" t="s">
        <v>2197</v>
      </c>
      <c r="Q641" s="1011" t="s">
        <v>2513</v>
      </c>
      <c r="R641" s="1147" t="n">
        <v>209204.618</v>
      </c>
      <c r="S641" s="1178" t="n">
        <f aca="false">R641/H639</f>
        <v>6860</v>
      </c>
      <c r="T641" s="1547"/>
      <c r="U641" s="1037"/>
    </row>
    <row r="642" customFormat="false" ht="15" hidden="false" customHeight="true" outlineLevel="0" collapsed="false">
      <c r="A642" s="1027"/>
      <c r="B642" s="1546"/>
      <c r="C642" s="1546"/>
      <c r="D642" s="860" t="s">
        <v>5</v>
      </c>
      <c r="E642" s="860" t="s">
        <v>2192</v>
      </c>
      <c r="F642" s="1328"/>
      <c r="G642" s="1030"/>
      <c r="H642" s="1031"/>
      <c r="I642" s="1517"/>
      <c r="J642" s="1517"/>
      <c r="K642" s="1033"/>
      <c r="L642" s="1034"/>
      <c r="M642" s="1035"/>
      <c r="N642" s="1036"/>
      <c r="O642" s="1547"/>
      <c r="P642" s="868" t="s">
        <v>2197</v>
      </c>
      <c r="Q642" s="1011" t="s">
        <v>2514</v>
      </c>
      <c r="R642" s="1147" t="n">
        <v>304658.037</v>
      </c>
      <c r="S642" s="866" t="n">
        <f aca="false">R642/H639</f>
        <v>9990</v>
      </c>
      <c r="T642" s="1547"/>
      <c r="U642" s="1037"/>
    </row>
    <row r="643" customFormat="false" ht="15" hidden="false" customHeight="true" outlineLevel="0" collapsed="false">
      <c r="A643" s="1027"/>
      <c r="B643" s="1546"/>
      <c r="C643" s="1546"/>
      <c r="D643" s="860" t="s">
        <v>5</v>
      </c>
      <c r="E643" s="860" t="s">
        <v>2192</v>
      </c>
      <c r="F643" s="1328"/>
      <c r="G643" s="1030"/>
      <c r="H643" s="1031"/>
      <c r="I643" s="1517"/>
      <c r="J643" s="1517"/>
      <c r="K643" s="1033"/>
      <c r="L643" s="1034"/>
      <c r="M643" s="1035"/>
      <c r="N643" s="1036"/>
      <c r="O643" s="1547"/>
      <c r="P643" s="868" t="s">
        <v>2197</v>
      </c>
      <c r="Q643" s="1011" t="s">
        <v>2515</v>
      </c>
      <c r="R643" s="1147" t="n">
        <v>304658.037</v>
      </c>
      <c r="S643" s="866" t="n">
        <f aca="false">R643/H639</f>
        <v>9990</v>
      </c>
      <c r="T643" s="1547"/>
      <c r="U643" s="1037"/>
    </row>
    <row r="644" customFormat="false" ht="15" hidden="false" customHeight="true" outlineLevel="0" collapsed="false">
      <c r="A644" s="1027"/>
      <c r="B644" s="1546"/>
      <c r="C644" s="1546"/>
      <c r="D644" s="871" t="s">
        <v>5</v>
      </c>
      <c r="E644" s="871" t="s">
        <v>2192</v>
      </c>
      <c r="F644" s="1328"/>
      <c r="G644" s="1030"/>
      <c r="H644" s="1031"/>
      <c r="I644" s="1517"/>
      <c r="J644" s="1517"/>
      <c r="K644" s="1033"/>
      <c r="L644" s="1034"/>
      <c r="M644" s="1035"/>
      <c r="N644" s="1036"/>
      <c r="O644" s="1547"/>
      <c r="P644" s="879" t="s">
        <v>2197</v>
      </c>
      <c r="Q644" s="1013" t="s">
        <v>2516</v>
      </c>
      <c r="R644" s="1151" t="n">
        <v>283615.59</v>
      </c>
      <c r="S644" s="877" t="n">
        <f aca="false">R644/H639</f>
        <v>9300</v>
      </c>
      <c r="T644" s="1547"/>
      <c r="U644" s="1037"/>
    </row>
    <row r="645" customFormat="false" ht="15" hidden="false" customHeight="true" outlineLevel="0" collapsed="false">
      <c r="A645" s="1027" t="s">
        <v>2517</v>
      </c>
      <c r="B645" s="1028" t="s">
        <v>2230</v>
      </c>
      <c r="C645" s="1028" t="n">
        <v>2024</v>
      </c>
      <c r="D645" s="831" t="s">
        <v>5</v>
      </c>
      <c r="E645" s="831" t="s">
        <v>2192</v>
      </c>
      <c r="F645" s="1328" t="s">
        <v>2199</v>
      </c>
      <c r="G645" s="1030"/>
      <c r="H645" s="1548" t="n">
        <v>65.2373</v>
      </c>
      <c r="I645" s="1317"/>
      <c r="J645" s="1317"/>
      <c r="K645" s="1033" t="n">
        <f aca="false">H645*I645/100</f>
        <v>0</v>
      </c>
      <c r="L645" s="1034" t="n">
        <v>17600</v>
      </c>
      <c r="M645" s="1549" t="n">
        <v>1</v>
      </c>
      <c r="N645" s="1036" t="n">
        <f aca="false">L645*M645</f>
        <v>17600</v>
      </c>
      <c r="O645" s="1547" t="n">
        <f aca="false">H645*N645</f>
        <v>1148176.48</v>
      </c>
      <c r="P645" s="838" t="s">
        <v>2197</v>
      </c>
      <c r="Q645" s="1004" t="s">
        <v>2518</v>
      </c>
      <c r="R645" s="1145" t="n">
        <v>652373</v>
      </c>
      <c r="S645" s="840" t="n">
        <f aca="false">R645/H645</f>
        <v>10000</v>
      </c>
      <c r="T645" s="1529" t="n">
        <f aca="false">O645-R645-R646</f>
        <v>0</v>
      </c>
      <c r="U645" s="1037" t="n">
        <f aca="false">N645-S645-S646</f>
        <v>0</v>
      </c>
    </row>
    <row r="646" customFormat="false" ht="15" hidden="false" customHeight="true" outlineLevel="0" collapsed="false">
      <c r="A646" s="1027"/>
      <c r="B646" s="1028"/>
      <c r="C646" s="1028"/>
      <c r="D646" s="871" t="s">
        <v>5</v>
      </c>
      <c r="E646" s="871" t="s">
        <v>2192</v>
      </c>
      <c r="F646" s="1328"/>
      <c r="G646" s="1030"/>
      <c r="H646" s="1548"/>
      <c r="I646" s="1372"/>
      <c r="J646" s="1372"/>
      <c r="K646" s="1033"/>
      <c r="L646" s="1034"/>
      <c r="M646" s="1549"/>
      <c r="N646" s="1036"/>
      <c r="O646" s="1547"/>
      <c r="P646" s="879" t="s">
        <v>2197</v>
      </c>
      <c r="Q646" s="1013" t="s">
        <v>2519</v>
      </c>
      <c r="R646" s="1151" t="n">
        <v>495803.48</v>
      </c>
      <c r="S646" s="877" t="n">
        <f aca="false">R646/H645</f>
        <v>7600</v>
      </c>
      <c r="T646" s="1529"/>
      <c r="U646" s="1037"/>
    </row>
    <row r="647" customFormat="false" ht="15" hidden="false" customHeight="true" outlineLevel="0" collapsed="false">
      <c r="A647" s="882" t="n">
        <v>89</v>
      </c>
      <c r="B647" s="883" t="s">
        <v>2207</v>
      </c>
      <c r="C647" s="883" t="n">
        <v>2024</v>
      </c>
      <c r="D647" s="831" t="s">
        <v>5</v>
      </c>
      <c r="E647" s="831" t="s">
        <v>2192</v>
      </c>
      <c r="F647" s="832" t="s">
        <v>1651</v>
      </c>
      <c r="G647" s="833"/>
      <c r="H647" s="834" t="n">
        <v>31.1875</v>
      </c>
      <c r="I647" s="1020"/>
      <c r="J647" s="1020"/>
      <c r="K647" s="836" t="n">
        <f aca="false">H647*I647/100</f>
        <v>0</v>
      </c>
      <c r="L647" s="1002" t="n">
        <v>16690</v>
      </c>
      <c r="M647" s="1003" t="n">
        <v>1</v>
      </c>
      <c r="N647" s="837" t="n">
        <f aca="false">L647*M647</f>
        <v>16690</v>
      </c>
      <c r="O647" s="943" t="n">
        <f aca="false">H647*N647</f>
        <v>520519.375</v>
      </c>
      <c r="P647" s="838" t="s">
        <v>2197</v>
      </c>
      <c r="Q647" s="1004" t="s">
        <v>2520</v>
      </c>
      <c r="R647" s="1145" t="n">
        <v>93562.5</v>
      </c>
      <c r="S647" s="840" t="n">
        <f aca="false">R647/H647</f>
        <v>3000</v>
      </c>
      <c r="T647" s="1017" t="n">
        <f aca="false">O647-R647-R648-R649</f>
        <v>0</v>
      </c>
      <c r="U647" s="842" t="n">
        <f aca="false">N647-S647-S648-S649</f>
        <v>0</v>
      </c>
    </row>
    <row r="648" customFormat="false" ht="15" hidden="false" customHeight="true" outlineLevel="0" collapsed="false">
      <c r="A648" s="882"/>
      <c r="B648" s="883"/>
      <c r="C648" s="883"/>
      <c r="D648" s="860" t="s">
        <v>5</v>
      </c>
      <c r="E648" s="860" t="s">
        <v>2192</v>
      </c>
      <c r="F648" s="832"/>
      <c r="G648" s="833"/>
      <c r="H648" s="834"/>
      <c r="I648" s="1020"/>
      <c r="J648" s="1020"/>
      <c r="K648" s="836"/>
      <c r="L648" s="1002"/>
      <c r="M648" s="1003"/>
      <c r="N648" s="837"/>
      <c r="O648" s="943"/>
      <c r="P648" s="868" t="s">
        <v>2197</v>
      </c>
      <c r="Q648" s="1011" t="s">
        <v>2521</v>
      </c>
      <c r="R648" s="1147" t="n">
        <v>118512.5</v>
      </c>
      <c r="S648" s="866" t="n">
        <f aca="false">R648/H647</f>
        <v>3800</v>
      </c>
      <c r="T648" s="1017"/>
      <c r="U648" s="842"/>
    </row>
    <row r="649" customFormat="false" ht="15" hidden="false" customHeight="true" outlineLevel="0" collapsed="false">
      <c r="A649" s="882"/>
      <c r="B649" s="883"/>
      <c r="C649" s="883"/>
      <c r="D649" s="843" t="s">
        <v>5</v>
      </c>
      <c r="E649" s="843" t="s">
        <v>2192</v>
      </c>
      <c r="F649" s="832"/>
      <c r="G649" s="833"/>
      <c r="H649" s="834"/>
      <c r="I649" s="1020"/>
      <c r="J649" s="1020"/>
      <c r="K649" s="836"/>
      <c r="L649" s="1002"/>
      <c r="M649" s="1003"/>
      <c r="N649" s="837"/>
      <c r="O649" s="943"/>
      <c r="P649" s="844" t="s">
        <v>2197</v>
      </c>
      <c r="Q649" s="1005" t="s">
        <v>2522</v>
      </c>
      <c r="R649" s="1136" t="n">
        <v>308444.375</v>
      </c>
      <c r="S649" s="846" t="n">
        <f aca="false">R649/H647</f>
        <v>9890</v>
      </c>
      <c r="T649" s="1017"/>
      <c r="U649" s="842"/>
    </row>
    <row r="650" customFormat="false" ht="15" hidden="false" customHeight="true" outlineLevel="0" collapsed="false">
      <c r="A650" s="829" t="n">
        <v>24</v>
      </c>
      <c r="B650" s="830" t="s">
        <v>2230</v>
      </c>
      <c r="C650" s="830" t="n">
        <v>2024</v>
      </c>
      <c r="D650" s="831" t="s">
        <v>5</v>
      </c>
      <c r="E650" s="831" t="s">
        <v>2192</v>
      </c>
      <c r="F650" s="832" t="s">
        <v>2199</v>
      </c>
      <c r="G650" s="833"/>
      <c r="H650" s="834" t="n">
        <v>62.3897</v>
      </c>
      <c r="I650" s="1020"/>
      <c r="J650" s="1020"/>
      <c r="K650" s="836" t="n">
        <f aca="false">H650*I650/100</f>
        <v>0</v>
      </c>
      <c r="L650" s="1002" t="n">
        <v>7325</v>
      </c>
      <c r="M650" s="1003" t="n">
        <v>1</v>
      </c>
      <c r="N650" s="837" t="n">
        <f aca="false">L650*M650</f>
        <v>7325</v>
      </c>
      <c r="O650" s="943" t="n">
        <f aca="false">H650*N650</f>
        <v>457004.5525</v>
      </c>
      <c r="P650" s="838" t="s">
        <v>2197</v>
      </c>
      <c r="Q650" s="1004" t="s">
        <v>2523</v>
      </c>
      <c r="R650" s="1145" t="n">
        <v>294791.3325</v>
      </c>
      <c r="S650" s="840" t="n">
        <f aca="false">R650/H650</f>
        <v>4725</v>
      </c>
      <c r="T650" s="1017" t="n">
        <f aca="false">O650-R650-R651</f>
        <v>0</v>
      </c>
      <c r="U650" s="842" t="n">
        <f aca="false">N650-S650-S651</f>
        <v>0</v>
      </c>
    </row>
    <row r="651" customFormat="false" ht="15" hidden="false" customHeight="true" outlineLevel="0" collapsed="false">
      <c r="A651" s="829"/>
      <c r="B651" s="830"/>
      <c r="C651" s="830"/>
      <c r="D651" s="887" t="s">
        <v>5</v>
      </c>
      <c r="E651" s="887" t="s">
        <v>2192</v>
      </c>
      <c r="F651" s="832"/>
      <c r="G651" s="833"/>
      <c r="H651" s="834"/>
      <c r="I651" s="1020"/>
      <c r="J651" s="1020"/>
      <c r="K651" s="836"/>
      <c r="L651" s="1002"/>
      <c r="M651" s="1003"/>
      <c r="N651" s="837"/>
      <c r="O651" s="943"/>
      <c r="P651" s="888" t="s">
        <v>2197</v>
      </c>
      <c r="Q651" s="1364" t="s">
        <v>2524</v>
      </c>
      <c r="R651" s="1146" t="n">
        <v>162213.22</v>
      </c>
      <c r="S651" s="846" t="n">
        <f aca="false">R651/H650</f>
        <v>2600</v>
      </c>
      <c r="T651" s="1017"/>
      <c r="U651" s="842"/>
    </row>
    <row r="652" customFormat="false" ht="15" hidden="false" customHeight="true" outlineLevel="0" collapsed="false">
      <c r="A652" s="847" t="n">
        <v>117</v>
      </c>
      <c r="B652" s="847" t="s">
        <v>81</v>
      </c>
      <c r="C652" s="847" t="n">
        <v>2024</v>
      </c>
      <c r="D652" s="848" t="s">
        <v>5</v>
      </c>
      <c r="E652" s="848" t="s">
        <v>2192</v>
      </c>
      <c r="F652" s="848" t="s">
        <v>2199</v>
      </c>
      <c r="G652" s="849"/>
      <c r="H652" s="949" t="n">
        <v>86.4</v>
      </c>
      <c r="I652" s="1397" t="n">
        <v>80</v>
      </c>
      <c r="J652" s="1397"/>
      <c r="K652" s="852" t="n">
        <f aca="false">H652*I652/100</f>
        <v>69.12</v>
      </c>
      <c r="L652" s="1006" t="n">
        <v>9740</v>
      </c>
      <c r="M652" s="1007" t="n">
        <v>1</v>
      </c>
      <c r="N652" s="1143" t="n">
        <f aca="false">L652*M652</f>
        <v>9740</v>
      </c>
      <c r="O652" s="1143" t="n">
        <f aca="false">H652*N652</f>
        <v>841536</v>
      </c>
      <c r="P652" s="856" t="s">
        <v>2200</v>
      </c>
      <c r="Q652" s="1008" t="s">
        <v>2525</v>
      </c>
      <c r="R652" s="1144" t="n">
        <v>841536</v>
      </c>
      <c r="S652" s="866" t="n">
        <f aca="false">R652/H652</f>
        <v>9740</v>
      </c>
      <c r="T652" s="537" t="n">
        <f aca="false">O652-R652</f>
        <v>0</v>
      </c>
      <c r="U652" s="537" t="n">
        <f aca="false">N652-S652</f>
        <v>0</v>
      </c>
    </row>
    <row r="653" customFormat="false" ht="15" hidden="false" customHeight="true" outlineLevel="0" collapsed="false">
      <c r="A653" s="859" t="n">
        <v>118</v>
      </c>
      <c r="B653" s="859" t="s">
        <v>81</v>
      </c>
      <c r="C653" s="859" t="n">
        <v>2024</v>
      </c>
      <c r="D653" s="860" t="s">
        <v>5</v>
      </c>
      <c r="E653" s="860" t="s">
        <v>2192</v>
      </c>
      <c r="F653" s="860" t="s">
        <v>2199</v>
      </c>
      <c r="G653" s="861"/>
      <c r="H653" s="980" t="n">
        <v>87.8</v>
      </c>
      <c r="I653" s="1429" t="n">
        <v>82</v>
      </c>
      <c r="J653" s="1429"/>
      <c r="K653" s="864" t="n">
        <f aca="false">H653*I653/100</f>
        <v>71.996</v>
      </c>
      <c r="L653" s="982" t="n">
        <v>9700</v>
      </c>
      <c r="M653" s="983" t="n">
        <v>1</v>
      </c>
      <c r="N653" s="1299" t="n">
        <f aca="false">L653*M653</f>
        <v>9700</v>
      </c>
      <c r="O653" s="1299" t="n">
        <f aca="false">H653*N653</f>
        <v>851660</v>
      </c>
      <c r="P653" s="868" t="s">
        <v>2200</v>
      </c>
      <c r="Q653" s="1011" t="s">
        <v>2526</v>
      </c>
      <c r="R653" s="1147" t="n">
        <v>851660</v>
      </c>
      <c r="S653" s="866" t="n">
        <f aca="false">R653/H653</f>
        <v>9700</v>
      </c>
      <c r="T653" s="543" t="n">
        <f aca="false">O653-R653</f>
        <v>0</v>
      </c>
      <c r="U653" s="543" t="n">
        <f aca="false">N653-S653</f>
        <v>0</v>
      </c>
    </row>
    <row r="654" customFormat="false" ht="15" hidden="false" customHeight="true" outlineLevel="0" collapsed="false">
      <c r="A654" s="859" t="n">
        <v>119</v>
      </c>
      <c r="B654" s="859" t="s">
        <v>81</v>
      </c>
      <c r="C654" s="859" t="n">
        <v>2024</v>
      </c>
      <c r="D654" s="860" t="s">
        <v>5</v>
      </c>
      <c r="E654" s="860" t="s">
        <v>2192</v>
      </c>
      <c r="F654" s="860" t="s">
        <v>2199</v>
      </c>
      <c r="G654" s="861"/>
      <c r="H654" s="980" t="n">
        <v>87.1</v>
      </c>
      <c r="I654" s="1429" t="n">
        <v>82</v>
      </c>
      <c r="J654" s="1429"/>
      <c r="K654" s="864" t="n">
        <f aca="false">H654*I654/100</f>
        <v>71.422</v>
      </c>
      <c r="L654" s="982" t="n">
        <v>9360</v>
      </c>
      <c r="M654" s="983" t="n">
        <v>1</v>
      </c>
      <c r="N654" s="1299" t="n">
        <f aca="false">L654*M654</f>
        <v>9360</v>
      </c>
      <c r="O654" s="1299" t="n">
        <f aca="false">H654*N654</f>
        <v>815256</v>
      </c>
      <c r="P654" s="868" t="s">
        <v>2200</v>
      </c>
      <c r="Q654" s="1011" t="s">
        <v>2527</v>
      </c>
      <c r="R654" s="1147" t="n">
        <v>815256</v>
      </c>
      <c r="S654" s="866" t="n">
        <f aca="false">R654/H654</f>
        <v>9360</v>
      </c>
      <c r="T654" s="543" t="n">
        <f aca="false">O654-R654</f>
        <v>0</v>
      </c>
      <c r="U654" s="543" t="n">
        <f aca="false">N654-S654</f>
        <v>0</v>
      </c>
    </row>
    <row r="655" customFormat="false" ht="15" hidden="false" customHeight="true" outlineLevel="0" collapsed="false">
      <c r="A655" s="859" t="n">
        <v>120</v>
      </c>
      <c r="B655" s="859" t="s">
        <v>81</v>
      </c>
      <c r="C655" s="859" t="n">
        <v>2024</v>
      </c>
      <c r="D655" s="860" t="s">
        <v>5</v>
      </c>
      <c r="E655" s="860" t="s">
        <v>2192</v>
      </c>
      <c r="F655" s="860" t="s">
        <v>2199</v>
      </c>
      <c r="G655" s="861"/>
      <c r="H655" s="980" t="n">
        <v>87.1</v>
      </c>
      <c r="I655" s="1429" t="n">
        <v>83</v>
      </c>
      <c r="J655" s="1429"/>
      <c r="K655" s="864" t="n">
        <f aca="false">H655*I655/100</f>
        <v>72.293</v>
      </c>
      <c r="L655" s="982" t="n">
        <v>4120</v>
      </c>
      <c r="M655" s="983" t="n">
        <v>1</v>
      </c>
      <c r="N655" s="1299" t="n">
        <f aca="false">L655*M655</f>
        <v>4120</v>
      </c>
      <c r="O655" s="1550" t="n">
        <f aca="false">H655*N655</f>
        <v>358852</v>
      </c>
      <c r="P655" s="868" t="s">
        <v>2200</v>
      </c>
      <c r="Q655" s="1011" t="s">
        <v>2528</v>
      </c>
      <c r="R655" s="1147" t="n">
        <v>358852</v>
      </c>
      <c r="S655" s="866" t="n">
        <f aca="false">R655/H655</f>
        <v>4120</v>
      </c>
      <c r="T655" s="543" t="n">
        <f aca="false">O655-R655</f>
        <v>0</v>
      </c>
      <c r="U655" s="543" t="n">
        <f aca="false">N655-S655</f>
        <v>0</v>
      </c>
    </row>
    <row r="656" customFormat="false" ht="15" hidden="false" customHeight="true" outlineLevel="0" collapsed="false">
      <c r="A656" s="903" t="n">
        <v>121</v>
      </c>
      <c r="B656" s="903" t="s">
        <v>81</v>
      </c>
      <c r="C656" s="903" t="n">
        <v>2024</v>
      </c>
      <c r="D656" s="904" t="s">
        <v>5</v>
      </c>
      <c r="E656" s="904" t="s">
        <v>2192</v>
      </c>
      <c r="F656" s="904" t="s">
        <v>2199</v>
      </c>
      <c r="G656" s="905"/>
      <c r="H656" s="946" t="n">
        <v>68.9</v>
      </c>
      <c r="I656" s="1055" t="n">
        <v>85</v>
      </c>
      <c r="J656" s="1055"/>
      <c r="K656" s="939" t="n">
        <f aca="false">H656*I656/100</f>
        <v>58.565</v>
      </c>
      <c r="L656" s="1022" t="n">
        <v>16250</v>
      </c>
      <c r="M656" s="1023" t="n">
        <v>1</v>
      </c>
      <c r="N656" s="1137" t="n">
        <f aca="false">L656*M656</f>
        <v>16250</v>
      </c>
      <c r="O656" s="1551" t="n">
        <f aca="false">H656*N656</f>
        <v>1119625</v>
      </c>
      <c r="P656" s="910" t="s">
        <v>2200</v>
      </c>
      <c r="Q656" s="1057" t="s">
        <v>2507</v>
      </c>
      <c r="R656" s="1138" t="n">
        <v>1119625</v>
      </c>
      <c r="S656" s="891" t="n">
        <f aca="false">R656/H656</f>
        <v>16250</v>
      </c>
      <c r="T656" s="942" t="n">
        <f aca="false">O656-R656</f>
        <v>0</v>
      </c>
      <c r="U656" s="942" t="n">
        <f aca="false">N656-S656</f>
        <v>0</v>
      </c>
    </row>
    <row r="657" customFormat="false" ht="15" hidden="false" customHeight="true" outlineLevel="0" collapsed="false">
      <c r="A657" s="829" t="n">
        <v>122</v>
      </c>
      <c r="B657" s="830" t="s">
        <v>81</v>
      </c>
      <c r="C657" s="830" t="n">
        <v>2024</v>
      </c>
      <c r="D657" s="831" t="s">
        <v>5</v>
      </c>
      <c r="E657" s="831" t="s">
        <v>2192</v>
      </c>
      <c r="F657" s="832" t="s">
        <v>2199</v>
      </c>
      <c r="G657" s="833"/>
      <c r="H657" s="834" t="n">
        <v>87.8</v>
      </c>
      <c r="I657" s="1020"/>
      <c r="J657" s="1020"/>
      <c r="K657" s="836" t="n">
        <f aca="false">H657*I657/100</f>
        <v>0</v>
      </c>
      <c r="L657" s="1002" t="n">
        <v>23610</v>
      </c>
      <c r="M657" s="1003" t="n">
        <v>1</v>
      </c>
      <c r="N657" s="837" t="n">
        <f aca="false">L657*M657</f>
        <v>23610</v>
      </c>
      <c r="O657" s="837" t="n">
        <f aca="false">H657*N657</f>
        <v>2072958</v>
      </c>
      <c r="P657" s="838" t="s">
        <v>2232</v>
      </c>
      <c r="Q657" s="1004" t="s">
        <v>103</v>
      </c>
      <c r="R657" s="1145" t="n">
        <v>526800</v>
      </c>
      <c r="S657" s="840" t="n">
        <f aca="false">R657/H657</f>
        <v>6000</v>
      </c>
      <c r="T657" s="1120" t="n">
        <f aca="false">O657-R657-R658</f>
        <v>0</v>
      </c>
      <c r="U657" s="842" t="n">
        <f aca="false">N657-S657-S658</f>
        <v>0</v>
      </c>
    </row>
    <row r="658" customFormat="false" ht="15" hidden="false" customHeight="true" outlineLevel="0" collapsed="false">
      <c r="A658" s="829"/>
      <c r="B658" s="830"/>
      <c r="C658" s="830"/>
      <c r="D658" s="843" t="s">
        <v>5</v>
      </c>
      <c r="E658" s="843" t="s">
        <v>2192</v>
      </c>
      <c r="F658" s="832"/>
      <c r="G658" s="833"/>
      <c r="H658" s="834"/>
      <c r="I658" s="1020"/>
      <c r="J658" s="1020"/>
      <c r="K658" s="836"/>
      <c r="L658" s="1002"/>
      <c r="M658" s="1003"/>
      <c r="N658" s="837"/>
      <c r="O658" s="837"/>
      <c r="P658" s="844" t="s">
        <v>2200</v>
      </c>
      <c r="Q658" s="1005" t="s">
        <v>2202</v>
      </c>
      <c r="R658" s="1136" t="n">
        <v>1546158</v>
      </c>
      <c r="S658" s="846" t="n">
        <f aca="false">R658/H657</f>
        <v>17610</v>
      </c>
      <c r="T658" s="1120"/>
      <c r="U658" s="842"/>
    </row>
    <row r="659" customFormat="false" ht="15" hidden="false" customHeight="true" outlineLevel="0" collapsed="false">
      <c r="A659" s="1081" t="n">
        <v>84</v>
      </c>
      <c r="B659" s="1087" t="s">
        <v>86</v>
      </c>
      <c r="C659" s="1061" t="n">
        <v>2024</v>
      </c>
      <c r="D659" s="848" t="s">
        <v>5</v>
      </c>
      <c r="E659" s="848" t="s">
        <v>2192</v>
      </c>
      <c r="F659" s="887" t="s">
        <v>1650</v>
      </c>
      <c r="G659" s="1062"/>
      <c r="H659" s="1077" t="n">
        <v>97.5</v>
      </c>
      <c r="I659" s="1078"/>
      <c r="J659" s="1078"/>
      <c r="K659" s="1064" t="n">
        <f aca="false">H659*I659/100</f>
        <v>0</v>
      </c>
      <c r="L659" s="1065" t="n">
        <v>9330</v>
      </c>
      <c r="M659" s="1066" t="n">
        <v>1</v>
      </c>
      <c r="N659" s="1067" t="n">
        <f aca="false">L659*M659</f>
        <v>9330</v>
      </c>
      <c r="O659" s="1067" t="n">
        <f aca="false">H659*N659</f>
        <v>909675</v>
      </c>
      <c r="P659" s="856" t="s">
        <v>2193</v>
      </c>
      <c r="Q659" s="1008" t="s">
        <v>2529</v>
      </c>
      <c r="R659" s="1144" t="n">
        <v>427050</v>
      </c>
      <c r="S659" s="854" t="n">
        <f aca="false">R659/H659</f>
        <v>4380</v>
      </c>
      <c r="T659" s="1067" t="n">
        <f aca="false">O659-R659-R663-R662-R660-R661</f>
        <v>0</v>
      </c>
      <c r="U659" s="1070" t="n">
        <f aca="false">N659-S659-S663-S662-S660-S661</f>
        <v>0</v>
      </c>
    </row>
    <row r="660" customFormat="false" ht="15" hidden="false" customHeight="true" outlineLevel="0" collapsed="false">
      <c r="A660" s="1081"/>
      <c r="B660" s="1087"/>
      <c r="C660" s="1061"/>
      <c r="D660" s="860" t="s">
        <v>5</v>
      </c>
      <c r="E660" s="860" t="s">
        <v>2192</v>
      </c>
      <c r="F660" s="887"/>
      <c r="G660" s="1062"/>
      <c r="H660" s="1077"/>
      <c r="I660" s="1078"/>
      <c r="J660" s="1078"/>
      <c r="K660" s="1064"/>
      <c r="L660" s="1065"/>
      <c r="M660" s="1066"/>
      <c r="N660" s="1067"/>
      <c r="O660" s="1067"/>
      <c r="P660" s="868" t="s">
        <v>2197</v>
      </c>
      <c r="Q660" s="1011" t="s">
        <v>2530</v>
      </c>
      <c r="R660" s="1147" t="n">
        <v>60450</v>
      </c>
      <c r="S660" s="866" t="n">
        <f aca="false">R660/H659</f>
        <v>620</v>
      </c>
      <c r="T660" s="1067"/>
      <c r="U660" s="1070"/>
    </row>
    <row r="661" customFormat="false" ht="15" hidden="false" customHeight="true" outlineLevel="0" collapsed="false">
      <c r="A661" s="1081"/>
      <c r="B661" s="1087"/>
      <c r="C661" s="1061"/>
      <c r="D661" s="860" t="s">
        <v>5</v>
      </c>
      <c r="E661" s="860" t="s">
        <v>2192</v>
      </c>
      <c r="F661" s="887"/>
      <c r="G661" s="1062"/>
      <c r="H661" s="1077"/>
      <c r="I661" s="1078"/>
      <c r="J661" s="1078"/>
      <c r="K661" s="1064"/>
      <c r="L661" s="1065"/>
      <c r="M661" s="1066"/>
      <c r="N661" s="1067"/>
      <c r="O661" s="1067"/>
      <c r="P661" s="868" t="s">
        <v>2197</v>
      </c>
      <c r="Q661" s="1011" t="s">
        <v>2531</v>
      </c>
      <c r="R661" s="1147" t="n">
        <v>20475</v>
      </c>
      <c r="S661" s="866" t="n">
        <f aca="false">R661/H659</f>
        <v>210</v>
      </c>
      <c r="T661" s="1067"/>
      <c r="U661" s="1070"/>
    </row>
    <row r="662" customFormat="false" ht="15" hidden="false" customHeight="true" outlineLevel="0" collapsed="false">
      <c r="A662" s="1081"/>
      <c r="B662" s="1087"/>
      <c r="C662" s="1061"/>
      <c r="D662" s="860" t="s">
        <v>5</v>
      </c>
      <c r="E662" s="860" t="s">
        <v>2192</v>
      </c>
      <c r="F662" s="887"/>
      <c r="G662" s="1062"/>
      <c r="H662" s="1077"/>
      <c r="I662" s="1078"/>
      <c r="J662" s="1078"/>
      <c r="K662" s="1064"/>
      <c r="L662" s="1065"/>
      <c r="M662" s="1066"/>
      <c r="N662" s="1067"/>
      <c r="O662" s="1067"/>
      <c r="P662" s="868" t="s">
        <v>2197</v>
      </c>
      <c r="Q662" s="1011" t="s">
        <v>2532</v>
      </c>
      <c r="R662" s="1147" t="n">
        <v>312000</v>
      </c>
      <c r="S662" s="866" t="n">
        <f aca="false">R662/H659</f>
        <v>3200</v>
      </c>
      <c r="T662" s="1067"/>
      <c r="U662" s="1070"/>
    </row>
    <row r="663" customFormat="false" ht="15" hidden="false" customHeight="true" outlineLevel="0" collapsed="false">
      <c r="A663" s="1081"/>
      <c r="B663" s="1087"/>
      <c r="C663" s="1061"/>
      <c r="D663" s="843" t="s">
        <v>5</v>
      </c>
      <c r="E663" s="843" t="s">
        <v>2192</v>
      </c>
      <c r="F663" s="887"/>
      <c r="G663" s="1062"/>
      <c r="H663" s="1077"/>
      <c r="I663" s="1078"/>
      <c r="J663" s="1078"/>
      <c r="K663" s="1064"/>
      <c r="L663" s="1065"/>
      <c r="M663" s="1066"/>
      <c r="N663" s="1067"/>
      <c r="O663" s="1067"/>
      <c r="P663" s="844" t="s">
        <v>2197</v>
      </c>
      <c r="Q663" s="1005" t="s">
        <v>2533</v>
      </c>
      <c r="R663" s="1136" t="n">
        <v>89700</v>
      </c>
      <c r="S663" s="846" t="n">
        <f aca="false">R663/H659</f>
        <v>920</v>
      </c>
      <c r="T663" s="1067"/>
      <c r="U663" s="1070"/>
    </row>
    <row r="664" customFormat="false" ht="15" hidden="false" customHeight="true" outlineLevel="0" collapsed="false">
      <c r="A664" s="1081"/>
      <c r="B664" s="1072" t="s">
        <v>86</v>
      </c>
      <c r="C664" s="1072" t="n">
        <v>2024</v>
      </c>
      <c r="D664" s="887" t="s">
        <v>5</v>
      </c>
      <c r="E664" s="887" t="s">
        <v>2203</v>
      </c>
      <c r="F664" s="887"/>
      <c r="G664" s="1062"/>
      <c r="H664" s="1077" t="n">
        <v>7.5</v>
      </c>
      <c r="I664" s="1078"/>
      <c r="J664" s="1078"/>
      <c r="K664" s="1064" t="n">
        <f aca="false">H664*I664/100</f>
        <v>0</v>
      </c>
      <c r="L664" s="1065" t="n">
        <v>688</v>
      </c>
      <c r="M664" s="1066" t="n">
        <v>1</v>
      </c>
      <c r="N664" s="1082" t="n">
        <f aca="false">L664*M664</f>
        <v>688</v>
      </c>
      <c r="O664" s="1082" t="n">
        <f aca="false">H664*N664</f>
        <v>5160</v>
      </c>
      <c r="P664" s="888" t="s">
        <v>2204</v>
      </c>
      <c r="Q664" s="1320" t="n">
        <v>31012025</v>
      </c>
      <c r="R664" s="1146" t="n">
        <v>5160</v>
      </c>
      <c r="S664" s="866" t="n">
        <f aca="false">R664/H664</f>
        <v>688</v>
      </c>
      <c r="T664" s="1067" t="n">
        <f aca="false">O664-R664</f>
        <v>0</v>
      </c>
      <c r="U664" s="1070" t="n">
        <f aca="false">N664-S664</f>
        <v>0</v>
      </c>
    </row>
    <row r="665" customFormat="false" ht="15" hidden="false" customHeight="true" outlineLevel="0" collapsed="false">
      <c r="A665" s="881" t="n">
        <v>85</v>
      </c>
      <c r="B665" s="882" t="s">
        <v>86</v>
      </c>
      <c r="C665" s="883" t="n">
        <v>2024</v>
      </c>
      <c r="D665" s="1365" t="s">
        <v>5</v>
      </c>
      <c r="E665" s="1365" t="s">
        <v>2192</v>
      </c>
      <c r="F665" s="832" t="s">
        <v>1650</v>
      </c>
      <c r="G665" s="833"/>
      <c r="H665" s="834" t="n">
        <v>95.1</v>
      </c>
      <c r="I665" s="1020"/>
      <c r="J665" s="1020"/>
      <c r="K665" s="836" t="n">
        <f aca="false">H665*I665/100</f>
        <v>0</v>
      </c>
      <c r="L665" s="1002" t="n">
        <v>9650</v>
      </c>
      <c r="M665" s="1003" t="n">
        <v>1</v>
      </c>
      <c r="N665" s="837" t="n">
        <f aca="false">L665*M665</f>
        <v>9650</v>
      </c>
      <c r="O665" s="837" t="n">
        <f aca="false">H665*N665</f>
        <v>917715</v>
      </c>
      <c r="P665" s="838" t="s">
        <v>2193</v>
      </c>
      <c r="Q665" s="1004" t="s">
        <v>2529</v>
      </c>
      <c r="R665" s="1145" t="n">
        <v>76080</v>
      </c>
      <c r="S665" s="886" t="n">
        <f aca="false">R665/H665</f>
        <v>800</v>
      </c>
      <c r="T665" s="1120" t="n">
        <f aca="false">O665-R665-R667-R666</f>
        <v>0</v>
      </c>
      <c r="U665" s="842" t="n">
        <f aca="false">N665-S665-S667-S666</f>
        <v>0</v>
      </c>
    </row>
    <row r="666" customFormat="false" ht="15" hidden="false" customHeight="true" outlineLevel="0" collapsed="false">
      <c r="A666" s="881"/>
      <c r="B666" s="882"/>
      <c r="C666" s="883"/>
      <c r="D666" s="1351" t="s">
        <v>5</v>
      </c>
      <c r="E666" s="1351" t="s">
        <v>2192</v>
      </c>
      <c r="F666" s="832"/>
      <c r="G666" s="833"/>
      <c r="H666" s="834"/>
      <c r="I666" s="1020"/>
      <c r="J666" s="1020"/>
      <c r="K666" s="836"/>
      <c r="L666" s="1002"/>
      <c r="M666" s="1003"/>
      <c r="N666" s="837"/>
      <c r="O666" s="837"/>
      <c r="P666" s="910" t="s">
        <v>2197</v>
      </c>
      <c r="Q666" s="1057" t="s">
        <v>2534</v>
      </c>
      <c r="R666" s="1138" t="n">
        <v>762702</v>
      </c>
      <c r="S666" s="866" t="n">
        <f aca="false">R666/H665</f>
        <v>8020</v>
      </c>
      <c r="T666" s="1120"/>
      <c r="U666" s="842"/>
    </row>
    <row r="667" customFormat="false" ht="15" hidden="false" customHeight="true" outlineLevel="0" collapsed="false">
      <c r="A667" s="881"/>
      <c r="B667" s="882"/>
      <c r="C667" s="883"/>
      <c r="D667" s="1357" t="s">
        <v>5</v>
      </c>
      <c r="E667" s="1357" t="s">
        <v>2192</v>
      </c>
      <c r="F667" s="832"/>
      <c r="G667" s="833"/>
      <c r="H667" s="834"/>
      <c r="I667" s="1020"/>
      <c r="J667" s="1020"/>
      <c r="K667" s="836"/>
      <c r="L667" s="1002"/>
      <c r="M667" s="1003"/>
      <c r="N667" s="837"/>
      <c r="O667" s="837"/>
      <c r="P667" s="844" t="s">
        <v>2193</v>
      </c>
      <c r="Q667" s="1005" t="s">
        <v>2535</v>
      </c>
      <c r="R667" s="1136" t="n">
        <v>78933</v>
      </c>
      <c r="S667" s="846" t="n">
        <f aca="false">R667/H665</f>
        <v>830</v>
      </c>
      <c r="T667" s="1120"/>
      <c r="U667" s="842"/>
    </row>
    <row r="668" customFormat="false" ht="15" hidden="false" customHeight="true" outlineLevel="0" collapsed="false">
      <c r="A668" s="881"/>
      <c r="B668" s="1072" t="s">
        <v>86</v>
      </c>
      <c r="C668" s="1072" t="n">
        <v>2024</v>
      </c>
      <c r="D668" s="887" t="s">
        <v>5</v>
      </c>
      <c r="E668" s="887" t="s">
        <v>2203</v>
      </c>
      <c r="F668" s="887"/>
      <c r="G668" s="1062"/>
      <c r="H668" s="1077" t="n">
        <v>19.7</v>
      </c>
      <c r="I668" s="1078"/>
      <c r="J668" s="1078"/>
      <c r="K668" s="1064" t="n">
        <f aca="false">H668*I668/100</f>
        <v>0</v>
      </c>
      <c r="L668" s="1065" t="n">
        <v>397</v>
      </c>
      <c r="M668" s="1066" t="n">
        <v>1</v>
      </c>
      <c r="N668" s="1082" t="n">
        <f aca="false">L668*M668</f>
        <v>397</v>
      </c>
      <c r="O668" s="1082" t="n">
        <f aca="false">H668*N668</f>
        <v>7820.9</v>
      </c>
      <c r="P668" s="888" t="s">
        <v>2200</v>
      </c>
      <c r="Q668" s="1364" t="s">
        <v>2434</v>
      </c>
      <c r="R668" s="1146" t="n">
        <v>7820.9</v>
      </c>
      <c r="S668" s="866" t="n">
        <f aca="false">R668/H668</f>
        <v>397</v>
      </c>
      <c r="T668" s="1067" t="n">
        <f aca="false">O668-R668</f>
        <v>0</v>
      </c>
      <c r="U668" s="1070" t="n">
        <f aca="false">N668-S668</f>
        <v>0</v>
      </c>
    </row>
    <row r="669" customFormat="false" ht="15" hidden="false" customHeight="true" outlineLevel="0" collapsed="false">
      <c r="A669" s="1533" t="n">
        <v>86</v>
      </c>
      <c r="B669" s="829" t="s">
        <v>86</v>
      </c>
      <c r="C669" s="830" t="n">
        <v>2024</v>
      </c>
      <c r="D669" s="831" t="s">
        <v>5</v>
      </c>
      <c r="E669" s="831" t="s">
        <v>2192</v>
      </c>
      <c r="F669" s="832" t="s">
        <v>1650</v>
      </c>
      <c r="G669" s="833"/>
      <c r="H669" s="834" t="n">
        <v>96.3</v>
      </c>
      <c r="I669" s="1020"/>
      <c r="J669" s="1020"/>
      <c r="K669" s="836" t="n">
        <f aca="false">H669*I669/100</f>
        <v>0</v>
      </c>
      <c r="L669" s="1002" t="n">
        <v>7250</v>
      </c>
      <c r="M669" s="1003" t="n">
        <v>1</v>
      </c>
      <c r="N669" s="837" t="n">
        <f aca="false">L669*M669</f>
        <v>7250</v>
      </c>
      <c r="O669" s="837" t="n">
        <f aca="false">H669*N669</f>
        <v>698175</v>
      </c>
      <c r="P669" s="838" t="s">
        <v>2193</v>
      </c>
      <c r="Q669" s="1004" t="s">
        <v>122</v>
      </c>
      <c r="R669" s="1145" t="n">
        <v>216675</v>
      </c>
      <c r="S669" s="886" t="n">
        <f aca="false">R669/H669</f>
        <v>2250</v>
      </c>
      <c r="T669" s="837" t="n">
        <f aca="false">O669-R669-R670</f>
        <v>0</v>
      </c>
      <c r="U669" s="842" t="n">
        <f aca="false">N669-S669-S670</f>
        <v>0</v>
      </c>
    </row>
    <row r="670" customFormat="false" ht="15" hidden="false" customHeight="true" outlineLevel="0" collapsed="false">
      <c r="A670" s="1533"/>
      <c r="B670" s="829"/>
      <c r="C670" s="830"/>
      <c r="D670" s="843" t="s">
        <v>5</v>
      </c>
      <c r="E670" s="843" t="s">
        <v>2192</v>
      </c>
      <c r="F670" s="832"/>
      <c r="G670" s="833"/>
      <c r="H670" s="834"/>
      <c r="I670" s="1020"/>
      <c r="J670" s="1020"/>
      <c r="K670" s="836"/>
      <c r="L670" s="1002"/>
      <c r="M670" s="1003"/>
      <c r="N670" s="837"/>
      <c r="O670" s="837"/>
      <c r="P670" s="844" t="s">
        <v>2193</v>
      </c>
      <c r="Q670" s="1005" t="s">
        <v>2535</v>
      </c>
      <c r="R670" s="1136" t="n">
        <v>481500</v>
      </c>
      <c r="S670" s="846" t="n">
        <f aca="false">R670/H669</f>
        <v>5000</v>
      </c>
      <c r="T670" s="837"/>
      <c r="U670" s="842"/>
    </row>
    <row r="671" customFormat="false" ht="15" hidden="false" customHeight="true" outlineLevel="0" collapsed="false">
      <c r="A671" s="1533"/>
      <c r="B671" s="903" t="s">
        <v>86</v>
      </c>
      <c r="C671" s="903" t="n">
        <v>2024</v>
      </c>
      <c r="D671" s="904" t="s">
        <v>5</v>
      </c>
      <c r="E671" s="904" t="s">
        <v>2203</v>
      </c>
      <c r="F671" s="904"/>
      <c r="G671" s="905"/>
      <c r="H671" s="946" t="n">
        <v>11.5</v>
      </c>
      <c r="I671" s="1055"/>
      <c r="J671" s="1055"/>
      <c r="K671" s="939" t="n">
        <f aca="false">H671*I671/100</f>
        <v>0</v>
      </c>
      <c r="L671" s="1022" t="n">
        <v>792</v>
      </c>
      <c r="M671" s="1023" t="n">
        <v>1</v>
      </c>
      <c r="N671" s="1137" t="n">
        <f aca="false">L671*M671</f>
        <v>792</v>
      </c>
      <c r="O671" s="1137" t="n">
        <f aca="false">H671*N671</f>
        <v>9108</v>
      </c>
      <c r="P671" s="910" t="s">
        <v>2204</v>
      </c>
      <c r="Q671" s="1024" t="n">
        <v>31012025</v>
      </c>
      <c r="R671" s="1138" t="n">
        <v>9108</v>
      </c>
      <c r="S671" s="854" t="n">
        <f aca="false">R671/H671</f>
        <v>792</v>
      </c>
      <c r="T671" s="942" t="n">
        <f aca="false">O671-R671</f>
        <v>0</v>
      </c>
      <c r="U671" s="1026" t="n">
        <f aca="false">N671-S671</f>
        <v>0</v>
      </c>
    </row>
    <row r="672" customFormat="false" ht="15" hidden="false" customHeight="true" outlineLevel="0" collapsed="false">
      <c r="A672" s="829" t="n">
        <v>39</v>
      </c>
      <c r="B672" s="830" t="s">
        <v>2230</v>
      </c>
      <c r="C672" s="830" t="n">
        <v>2024</v>
      </c>
      <c r="D672" s="831" t="s">
        <v>5</v>
      </c>
      <c r="E672" s="831" t="s">
        <v>2192</v>
      </c>
      <c r="F672" s="832" t="s">
        <v>2199</v>
      </c>
      <c r="G672" s="833"/>
      <c r="H672" s="834" t="n">
        <v>60.2775</v>
      </c>
      <c r="I672" s="1020"/>
      <c r="J672" s="1020"/>
      <c r="K672" s="836" t="n">
        <f aca="false">H672*I672/100</f>
        <v>0</v>
      </c>
      <c r="L672" s="1002" t="n">
        <v>9525</v>
      </c>
      <c r="M672" s="1003" t="n">
        <v>1</v>
      </c>
      <c r="N672" s="837" t="n">
        <f aca="false">L672*M672</f>
        <v>9525</v>
      </c>
      <c r="O672" s="943" t="n">
        <f aca="false">H672*N672</f>
        <v>574143.1875</v>
      </c>
      <c r="P672" s="838" t="s">
        <v>2197</v>
      </c>
      <c r="Q672" s="1004" t="s">
        <v>2536</v>
      </c>
      <c r="R672" s="1145" t="n">
        <v>224533.6875</v>
      </c>
      <c r="S672" s="840" t="n">
        <f aca="false">R672/H672</f>
        <v>3725</v>
      </c>
      <c r="T672" s="943" t="n">
        <f aca="false">O672-R672-R673</f>
        <v>0</v>
      </c>
      <c r="U672" s="842" t="n">
        <f aca="false">N672-S672-S673</f>
        <v>0</v>
      </c>
    </row>
    <row r="673" customFormat="false" ht="15" hidden="false" customHeight="true" outlineLevel="0" collapsed="false">
      <c r="A673" s="829"/>
      <c r="B673" s="830"/>
      <c r="C673" s="830"/>
      <c r="D673" s="843" t="s">
        <v>5</v>
      </c>
      <c r="E673" s="843" t="s">
        <v>2192</v>
      </c>
      <c r="F673" s="832"/>
      <c r="G673" s="833"/>
      <c r="H673" s="834"/>
      <c r="I673" s="1020"/>
      <c r="J673" s="1020"/>
      <c r="K673" s="836"/>
      <c r="L673" s="1002"/>
      <c r="M673" s="1003"/>
      <c r="N673" s="837"/>
      <c r="O673" s="943"/>
      <c r="P673" s="844" t="s">
        <v>2197</v>
      </c>
      <c r="Q673" s="1005" t="s">
        <v>2537</v>
      </c>
      <c r="R673" s="1136" t="n">
        <v>349609.5</v>
      </c>
      <c r="S673" s="846" t="n">
        <f aca="false">R673/H672</f>
        <v>5800</v>
      </c>
      <c r="T673" s="943"/>
      <c r="U673" s="842"/>
    </row>
    <row r="674" customFormat="false" ht="15" hidden="false" customHeight="true" outlineLevel="0" collapsed="false">
      <c r="A674" s="882" t="n">
        <v>126</v>
      </c>
      <c r="B674" s="883" t="s">
        <v>2207</v>
      </c>
      <c r="C674" s="883" t="n">
        <v>2024</v>
      </c>
      <c r="D674" s="831" t="s">
        <v>5</v>
      </c>
      <c r="E674" s="831" t="s">
        <v>2192</v>
      </c>
      <c r="F674" s="832" t="s">
        <v>1651</v>
      </c>
      <c r="G674" s="833"/>
      <c r="H674" s="834" t="n">
        <v>30.1546</v>
      </c>
      <c r="I674" s="1020"/>
      <c r="J674" s="1020"/>
      <c r="K674" s="836" t="n">
        <f aca="false">H674*I674/100</f>
        <v>0</v>
      </c>
      <c r="L674" s="1002" t="n">
        <v>16685</v>
      </c>
      <c r="M674" s="1003" t="n">
        <v>1</v>
      </c>
      <c r="N674" s="837" t="n">
        <f aca="false">L674*M674</f>
        <v>16685</v>
      </c>
      <c r="O674" s="943" t="n">
        <f aca="false">H674*N674</f>
        <v>503129.501</v>
      </c>
      <c r="P674" s="838" t="s">
        <v>2197</v>
      </c>
      <c r="Q674" s="1004" t="s">
        <v>2538</v>
      </c>
      <c r="R674" s="1145" t="n">
        <v>60610.746</v>
      </c>
      <c r="S674" s="840" t="n">
        <f aca="false">R674/H674</f>
        <v>2010</v>
      </c>
      <c r="T674" s="943" t="n">
        <f aca="false">O674-R674-R675-R676</f>
        <v>0</v>
      </c>
      <c r="U674" s="842" t="n">
        <f aca="false">N674-S674-S675-S676</f>
        <v>0</v>
      </c>
    </row>
    <row r="675" customFormat="false" ht="15" hidden="false" customHeight="true" outlineLevel="0" collapsed="false">
      <c r="A675" s="882"/>
      <c r="B675" s="883"/>
      <c r="C675" s="883"/>
      <c r="D675" s="848" t="s">
        <v>5</v>
      </c>
      <c r="E675" s="848" t="s">
        <v>2192</v>
      </c>
      <c r="F675" s="832"/>
      <c r="G675" s="833"/>
      <c r="H675" s="834"/>
      <c r="I675" s="1020"/>
      <c r="J675" s="1020"/>
      <c r="K675" s="836"/>
      <c r="L675" s="1002"/>
      <c r="M675" s="1003"/>
      <c r="N675" s="837"/>
      <c r="O675" s="943"/>
      <c r="P675" s="856" t="s">
        <v>2197</v>
      </c>
      <c r="Q675" s="1008" t="s">
        <v>2539</v>
      </c>
      <c r="R675" s="1144" t="n">
        <v>301244.454</v>
      </c>
      <c r="S675" s="866" t="n">
        <f aca="false">R675/H674</f>
        <v>9990</v>
      </c>
      <c r="T675" s="943"/>
      <c r="U675" s="842"/>
    </row>
    <row r="676" customFormat="false" ht="15" hidden="false" customHeight="true" outlineLevel="0" collapsed="false">
      <c r="A676" s="882"/>
      <c r="B676" s="883"/>
      <c r="C676" s="883"/>
      <c r="D676" s="887" t="s">
        <v>5</v>
      </c>
      <c r="E676" s="887" t="s">
        <v>2192</v>
      </c>
      <c r="F676" s="832"/>
      <c r="G676" s="833"/>
      <c r="H676" s="834"/>
      <c r="I676" s="1020"/>
      <c r="J676" s="1020"/>
      <c r="K676" s="836"/>
      <c r="L676" s="1002"/>
      <c r="M676" s="1003"/>
      <c r="N676" s="837"/>
      <c r="O676" s="943"/>
      <c r="P676" s="888" t="s">
        <v>2197</v>
      </c>
      <c r="Q676" s="1364" t="s">
        <v>2540</v>
      </c>
      <c r="R676" s="1146" t="n">
        <v>141274.301</v>
      </c>
      <c r="S676" s="846" t="n">
        <f aca="false">R676/H674</f>
        <v>4685</v>
      </c>
      <c r="T676" s="943"/>
      <c r="U676" s="842"/>
    </row>
    <row r="677" customFormat="false" ht="15" hidden="false" customHeight="true" outlineLevel="0" collapsed="false">
      <c r="A677" s="903" t="n">
        <v>127</v>
      </c>
      <c r="B677" s="903" t="s">
        <v>2207</v>
      </c>
      <c r="C677" s="903" t="n">
        <v>2024</v>
      </c>
      <c r="D677" s="904" t="s">
        <v>5</v>
      </c>
      <c r="E677" s="904" t="s">
        <v>2192</v>
      </c>
      <c r="F677" s="904" t="s">
        <v>1652</v>
      </c>
      <c r="G677" s="905"/>
      <c r="H677" s="946" t="n">
        <v>39.4887</v>
      </c>
      <c r="I677" s="1055"/>
      <c r="J677" s="1055"/>
      <c r="K677" s="939" t="n">
        <f aca="false">H677*I677/100</f>
        <v>0</v>
      </c>
      <c r="L677" s="1022" t="n">
        <v>5487</v>
      </c>
      <c r="M677" s="1023" t="n">
        <v>1</v>
      </c>
      <c r="N677" s="1137" t="n">
        <f aca="false">L677*M677</f>
        <v>5487</v>
      </c>
      <c r="O677" s="1384" t="n">
        <f aca="false">H677*N677</f>
        <v>216674.4969</v>
      </c>
      <c r="P677" s="910" t="s">
        <v>2197</v>
      </c>
      <c r="Q677" s="1057" t="s">
        <v>2541</v>
      </c>
      <c r="R677" s="1138" t="n">
        <v>216674.4969</v>
      </c>
      <c r="S677" s="886" t="n">
        <f aca="false">R677/H677</f>
        <v>5487</v>
      </c>
      <c r="T677" s="948" t="n">
        <f aca="false">O677-R677</f>
        <v>0</v>
      </c>
      <c r="U677" s="942" t="n">
        <f aca="false">N677-S677</f>
        <v>0</v>
      </c>
    </row>
    <row r="678" customFormat="false" ht="15" hidden="false" customHeight="true" outlineLevel="0" collapsed="false">
      <c r="A678" s="1027" t="n">
        <v>128</v>
      </c>
      <c r="B678" s="1028" t="s">
        <v>2207</v>
      </c>
      <c r="C678" s="1028" t="n">
        <v>2024</v>
      </c>
      <c r="D678" s="831" t="s">
        <v>5</v>
      </c>
      <c r="E678" s="831" t="s">
        <v>2192</v>
      </c>
      <c r="F678" s="1328" t="s">
        <v>1651</v>
      </c>
      <c r="G678" s="1030"/>
      <c r="H678" s="1031" t="n">
        <v>30.4583</v>
      </c>
      <c r="I678" s="1517"/>
      <c r="J678" s="1517"/>
      <c r="K678" s="1317" t="n">
        <f aca="false">H678*I678/100</f>
        <v>0</v>
      </c>
      <c r="L678" s="1034" t="n">
        <v>18400</v>
      </c>
      <c r="M678" s="1035" t="n">
        <v>1</v>
      </c>
      <c r="N678" s="1036" t="n">
        <f aca="false">L678*M678</f>
        <v>18400</v>
      </c>
      <c r="O678" s="1547" t="n">
        <f aca="false">H678*N678</f>
        <v>560432.72</v>
      </c>
      <c r="P678" s="838" t="s">
        <v>2197</v>
      </c>
      <c r="Q678" s="1004" t="s">
        <v>2542</v>
      </c>
      <c r="R678" s="1145" t="n">
        <v>304278.417</v>
      </c>
      <c r="S678" s="840" t="n">
        <f aca="false">R678/H678</f>
        <v>9990</v>
      </c>
      <c r="T678" s="1547" t="n">
        <f aca="false">O678-R678-R679</f>
        <v>0</v>
      </c>
      <c r="U678" s="1037" t="n">
        <f aca="false">N678-S678-S679</f>
        <v>0</v>
      </c>
    </row>
    <row r="679" customFormat="false" ht="15" hidden="false" customHeight="true" outlineLevel="0" collapsed="false">
      <c r="A679" s="1027"/>
      <c r="B679" s="1028"/>
      <c r="C679" s="1028"/>
      <c r="D679" s="871" t="s">
        <v>5</v>
      </c>
      <c r="E679" s="871" t="s">
        <v>2192</v>
      </c>
      <c r="F679" s="1328"/>
      <c r="G679" s="1030"/>
      <c r="H679" s="1031"/>
      <c r="I679" s="1517"/>
      <c r="J679" s="1517"/>
      <c r="K679" s="1317"/>
      <c r="L679" s="1034"/>
      <c r="M679" s="1035"/>
      <c r="N679" s="1036"/>
      <c r="O679" s="1547"/>
      <c r="P679" s="879" t="s">
        <v>2197</v>
      </c>
      <c r="Q679" s="1013" t="s">
        <v>2543</v>
      </c>
      <c r="R679" s="1151" t="n">
        <v>256154.303</v>
      </c>
      <c r="S679" s="877" t="n">
        <f aca="false">R679/H678</f>
        <v>8410</v>
      </c>
      <c r="T679" s="1547"/>
      <c r="U679" s="1037"/>
    </row>
    <row r="680" customFormat="false" ht="15" hidden="false" customHeight="true" outlineLevel="0" collapsed="false">
      <c r="A680" s="1465" t="n">
        <v>87</v>
      </c>
      <c r="B680" s="1173" t="s">
        <v>86</v>
      </c>
      <c r="C680" s="1173" t="n">
        <v>2024</v>
      </c>
      <c r="D680" s="831" t="s">
        <v>5</v>
      </c>
      <c r="E680" s="831" t="s">
        <v>2192</v>
      </c>
      <c r="F680" s="831" t="s">
        <v>1650</v>
      </c>
      <c r="G680" s="1108"/>
      <c r="H680" s="1552" t="n">
        <v>95.4</v>
      </c>
      <c r="I680" s="1435"/>
      <c r="J680" s="1435"/>
      <c r="K680" s="1111" t="n">
        <f aca="false">H680*I680/100</f>
        <v>0</v>
      </c>
      <c r="L680" s="1112" t="n">
        <v>2681</v>
      </c>
      <c r="M680" s="1113" t="n">
        <v>1</v>
      </c>
      <c r="N680" s="1408" t="n">
        <f aca="false">L680*M680</f>
        <v>2681</v>
      </c>
      <c r="O680" s="1553" t="n">
        <f aca="false">H680*N680</f>
        <v>255767.4</v>
      </c>
      <c r="P680" s="838" t="s">
        <v>2193</v>
      </c>
      <c r="Q680" s="1004" t="s">
        <v>2544</v>
      </c>
      <c r="R680" s="1145" t="n">
        <v>255767.4</v>
      </c>
      <c r="S680" s="840" t="n">
        <f aca="false">R680/H680</f>
        <v>2681</v>
      </c>
      <c r="T680" s="1115" t="n">
        <f aca="false">O680-R680</f>
        <v>0</v>
      </c>
      <c r="U680" s="1176" t="n">
        <f aca="false">N680-S680</f>
        <v>0</v>
      </c>
    </row>
    <row r="681" customFormat="false" ht="15" hidden="false" customHeight="true" outlineLevel="0" collapsed="false">
      <c r="A681" s="1465"/>
      <c r="B681" s="859" t="s">
        <v>86</v>
      </c>
      <c r="C681" s="859" t="n">
        <v>2024</v>
      </c>
      <c r="D681" s="860" t="s">
        <v>5</v>
      </c>
      <c r="E681" s="860" t="s">
        <v>2203</v>
      </c>
      <c r="F681" s="860"/>
      <c r="G681" s="861"/>
      <c r="H681" s="980" t="n">
        <v>0</v>
      </c>
      <c r="I681" s="1429"/>
      <c r="J681" s="1429"/>
      <c r="K681" s="864" t="n">
        <f aca="false">H681*I681/100</f>
        <v>0</v>
      </c>
      <c r="L681" s="982" t="n">
        <v>527</v>
      </c>
      <c r="M681" s="983" t="n">
        <v>1</v>
      </c>
      <c r="N681" s="1299" t="n">
        <f aca="false">L681*M681</f>
        <v>527</v>
      </c>
      <c r="O681" s="1299" t="n">
        <f aca="false">H681*N681</f>
        <v>0</v>
      </c>
      <c r="P681" s="868" t="s">
        <v>2200</v>
      </c>
      <c r="Q681" s="1011" t="s">
        <v>2434</v>
      </c>
      <c r="R681" s="1147" t="n">
        <v>0</v>
      </c>
      <c r="S681" s="866" t="n">
        <v>527</v>
      </c>
      <c r="T681" s="985" t="n">
        <f aca="false">O681-R681</f>
        <v>0</v>
      </c>
      <c r="U681" s="1135" t="n">
        <f aca="false">N681-S681</f>
        <v>0</v>
      </c>
    </row>
    <row r="682" customFormat="false" ht="15" hidden="false" customHeight="true" outlineLevel="0" collapsed="false">
      <c r="A682" s="1465"/>
      <c r="B682" s="859" t="s">
        <v>86</v>
      </c>
      <c r="C682" s="859" t="n">
        <v>2024</v>
      </c>
      <c r="D682" s="860" t="s">
        <v>5</v>
      </c>
      <c r="E682" s="860" t="s">
        <v>2241</v>
      </c>
      <c r="F682" s="860"/>
      <c r="G682" s="861"/>
      <c r="H682" s="980" t="n">
        <v>0</v>
      </c>
      <c r="I682" s="1429"/>
      <c r="J682" s="1429"/>
      <c r="K682" s="864" t="n">
        <f aca="false">H682*I682/100</f>
        <v>0</v>
      </c>
      <c r="L682" s="982" t="n">
        <v>149</v>
      </c>
      <c r="M682" s="983" t="n">
        <v>1</v>
      </c>
      <c r="N682" s="1299" t="n">
        <f aca="false">L682*M682</f>
        <v>149</v>
      </c>
      <c r="O682" s="1299" t="n">
        <f aca="false">H682*N682</f>
        <v>0</v>
      </c>
      <c r="P682" s="868" t="s">
        <v>2204</v>
      </c>
      <c r="Q682" s="1012" t="n">
        <v>31012025</v>
      </c>
      <c r="R682" s="1147"/>
      <c r="S682" s="866" t="n">
        <v>149</v>
      </c>
      <c r="T682" s="985" t="n">
        <f aca="false">O682-R682</f>
        <v>0</v>
      </c>
      <c r="U682" s="1135" t="n">
        <f aca="false">N682-S682</f>
        <v>0</v>
      </c>
    </row>
    <row r="683" customFormat="false" ht="15" hidden="false" customHeight="true" outlineLevel="0" collapsed="false">
      <c r="A683" s="1465"/>
      <c r="B683" s="870" t="s">
        <v>86</v>
      </c>
      <c r="C683" s="870" t="n">
        <v>2024</v>
      </c>
      <c r="D683" s="871" t="s">
        <v>5</v>
      </c>
      <c r="E683" s="871" t="s">
        <v>2205</v>
      </c>
      <c r="F683" s="871"/>
      <c r="G683" s="872"/>
      <c r="H683" s="1116" t="n">
        <v>15.6</v>
      </c>
      <c r="I683" s="1433"/>
      <c r="J683" s="1433"/>
      <c r="K683" s="875" t="n">
        <f aca="false">H683*I683/100</f>
        <v>0</v>
      </c>
      <c r="L683" s="999" t="n">
        <v>731</v>
      </c>
      <c r="M683" s="1000" t="n">
        <v>1</v>
      </c>
      <c r="N683" s="1301" t="n">
        <f aca="false">L683*M683</f>
        <v>731</v>
      </c>
      <c r="O683" s="1349" t="n">
        <f aca="false">H683*N683</f>
        <v>11403.6</v>
      </c>
      <c r="P683" s="879" t="s">
        <v>2200</v>
      </c>
      <c r="Q683" s="1013" t="s">
        <v>2434</v>
      </c>
      <c r="R683" s="1151" t="n">
        <v>11403.6</v>
      </c>
      <c r="S683" s="866" t="n">
        <f aca="false">R683/H683</f>
        <v>731</v>
      </c>
      <c r="T683" s="1404" t="n">
        <f aca="false">O683-R683</f>
        <v>0</v>
      </c>
      <c r="U683" s="1293" t="n">
        <f aca="false">N683-S683</f>
        <v>0</v>
      </c>
    </row>
    <row r="684" customFormat="false" ht="15" hidden="false" customHeight="true" outlineLevel="0" collapsed="false">
      <c r="A684" s="870" t="n">
        <v>129</v>
      </c>
      <c r="B684" s="870" t="s">
        <v>2207</v>
      </c>
      <c r="C684" s="870" t="n">
        <v>2024</v>
      </c>
      <c r="D684" s="871" t="s">
        <v>5</v>
      </c>
      <c r="E684" s="871" t="s">
        <v>2192</v>
      </c>
      <c r="F684" s="871" t="s">
        <v>1651</v>
      </c>
      <c r="G684" s="872"/>
      <c r="H684" s="1116" t="n">
        <v>28.9558</v>
      </c>
      <c r="I684" s="1433"/>
      <c r="J684" s="1433"/>
      <c r="K684" s="875" t="n">
        <f aca="false">H684*I684/100</f>
        <v>0</v>
      </c>
      <c r="L684" s="999" t="n">
        <v>8833</v>
      </c>
      <c r="M684" s="1000" t="n">
        <v>1</v>
      </c>
      <c r="N684" s="1301" t="n">
        <f aca="false">L684*M684</f>
        <v>8833</v>
      </c>
      <c r="O684" s="1402" t="n">
        <f aca="false">H684*N684</f>
        <v>255766.5814</v>
      </c>
      <c r="P684" s="879" t="s">
        <v>2197</v>
      </c>
      <c r="Q684" s="1013" t="s">
        <v>2545</v>
      </c>
      <c r="R684" s="1151" t="n">
        <v>255766.5814</v>
      </c>
      <c r="S684" s="866" t="n">
        <f aca="false">R684/H684</f>
        <v>8833</v>
      </c>
      <c r="T684" s="1403" t="n">
        <f aca="false">O684-R684</f>
        <v>0</v>
      </c>
      <c r="U684" s="1293" t="n">
        <f aca="false">N684-S684</f>
        <v>0</v>
      </c>
    </row>
    <row r="685" customFormat="false" ht="15" hidden="false" customHeight="true" outlineLevel="0" collapsed="false">
      <c r="A685" s="1027" t="n">
        <v>88</v>
      </c>
      <c r="B685" s="1173" t="s">
        <v>86</v>
      </c>
      <c r="C685" s="1173" t="n">
        <v>2024</v>
      </c>
      <c r="D685" s="831" t="s">
        <v>5</v>
      </c>
      <c r="E685" s="831" t="s">
        <v>2192</v>
      </c>
      <c r="F685" s="831" t="s">
        <v>1650</v>
      </c>
      <c r="G685" s="1108"/>
      <c r="H685" s="1109" t="n">
        <v>95.1</v>
      </c>
      <c r="I685" s="1435"/>
      <c r="J685" s="1435"/>
      <c r="K685" s="1111" t="n">
        <f aca="false">H685*I685/100</f>
        <v>0</v>
      </c>
      <c r="L685" s="1112" t="n">
        <v>16069</v>
      </c>
      <c r="M685" s="1113" t="n">
        <v>1</v>
      </c>
      <c r="N685" s="1408" t="n">
        <f aca="false">L685*M685</f>
        <v>16069</v>
      </c>
      <c r="O685" s="1518" t="n">
        <f aca="false">H685*N685</f>
        <v>1528161.9</v>
      </c>
      <c r="P685" s="838" t="s">
        <v>2193</v>
      </c>
      <c r="Q685" s="1004" t="s">
        <v>2546</v>
      </c>
      <c r="R685" s="1145" t="n">
        <v>1528161.9</v>
      </c>
      <c r="S685" s="886" t="n">
        <f aca="false">R685/H685</f>
        <v>16069</v>
      </c>
      <c r="T685" s="1547" t="n">
        <f aca="false">O685-R685</f>
        <v>0</v>
      </c>
      <c r="U685" s="1037" t="n">
        <f aca="false">N685-S685</f>
        <v>0</v>
      </c>
    </row>
    <row r="686" customFormat="false" ht="15" hidden="false" customHeight="true" outlineLevel="0" collapsed="false">
      <c r="A686" s="1027"/>
      <c r="B686" s="859" t="s">
        <v>86</v>
      </c>
      <c r="C686" s="859" t="n">
        <v>2024</v>
      </c>
      <c r="D686" s="860" t="s">
        <v>5</v>
      </c>
      <c r="E686" s="860" t="s">
        <v>2203</v>
      </c>
      <c r="F686" s="860"/>
      <c r="G686" s="861"/>
      <c r="H686" s="980" t="n">
        <v>4.8</v>
      </c>
      <c r="I686" s="1429"/>
      <c r="J686" s="1429"/>
      <c r="K686" s="864" t="n">
        <f aca="false">H686*I686/100</f>
        <v>0</v>
      </c>
      <c r="L686" s="982" t="n">
        <v>1224</v>
      </c>
      <c r="M686" s="983" t="n">
        <v>1</v>
      </c>
      <c r="N686" s="1299" t="n">
        <f aca="false">L686*M686</f>
        <v>1224</v>
      </c>
      <c r="O686" s="1402" t="n">
        <f aca="false">H686*N686</f>
        <v>5875.2</v>
      </c>
      <c r="P686" s="868" t="s">
        <v>2200</v>
      </c>
      <c r="Q686" s="1011" t="s">
        <v>2434</v>
      </c>
      <c r="R686" s="1147" t="n">
        <v>5875.2</v>
      </c>
      <c r="S686" s="866" t="n">
        <f aca="false">R686/H686</f>
        <v>1224</v>
      </c>
      <c r="T686" s="1403" t="n">
        <f aca="false">O686-R686</f>
        <v>0</v>
      </c>
      <c r="U686" s="1293" t="n">
        <f aca="false">N686-S686</f>
        <v>0</v>
      </c>
    </row>
    <row r="687" customFormat="false" ht="15" hidden="false" customHeight="true" outlineLevel="0" collapsed="false">
      <c r="A687" s="1027"/>
      <c r="B687" s="870" t="s">
        <v>86</v>
      </c>
      <c r="C687" s="870" t="n">
        <v>2024</v>
      </c>
      <c r="D687" s="871" t="s">
        <v>5</v>
      </c>
      <c r="E687" s="871" t="s">
        <v>2205</v>
      </c>
      <c r="F687" s="871"/>
      <c r="G687" s="872"/>
      <c r="H687" s="1116" t="n">
        <v>5.7</v>
      </c>
      <c r="I687" s="1433"/>
      <c r="J687" s="1433"/>
      <c r="K687" s="875" t="n">
        <f aca="false">H687*I687/100</f>
        <v>0</v>
      </c>
      <c r="L687" s="999" t="n">
        <v>243</v>
      </c>
      <c r="M687" s="1000" t="n">
        <v>1</v>
      </c>
      <c r="N687" s="1301" t="n">
        <f aca="false">L687*M687</f>
        <v>243</v>
      </c>
      <c r="O687" s="1402" t="n">
        <f aca="false">H687*N687</f>
        <v>1385.1</v>
      </c>
      <c r="P687" s="879" t="s">
        <v>2204</v>
      </c>
      <c r="Q687" s="1001" t="n">
        <v>31012025</v>
      </c>
      <c r="R687" s="1151" t="n">
        <v>1385.1</v>
      </c>
      <c r="S687" s="854" t="n">
        <f aca="false">R687/H687</f>
        <v>243</v>
      </c>
      <c r="T687" s="1403" t="n">
        <f aca="false">O687-R687</f>
        <v>0</v>
      </c>
      <c r="U687" s="1293" t="n">
        <f aca="false">N687-S687</f>
        <v>0</v>
      </c>
    </row>
    <row r="688" customFormat="false" ht="15" hidden="false" customHeight="true" outlineLevel="0" collapsed="false">
      <c r="A688" s="1027" t="n">
        <v>131</v>
      </c>
      <c r="B688" s="1546" t="s">
        <v>2207</v>
      </c>
      <c r="C688" s="1546" t="n">
        <v>2024</v>
      </c>
      <c r="D688" s="831" t="s">
        <v>5</v>
      </c>
      <c r="E688" s="831" t="s">
        <v>2192</v>
      </c>
      <c r="F688" s="1328" t="s">
        <v>1651</v>
      </c>
      <c r="G688" s="1030"/>
      <c r="H688" s="1031" t="n">
        <v>31.7157</v>
      </c>
      <c r="I688" s="1517"/>
      <c r="J688" s="1517"/>
      <c r="K688" s="1033" t="n">
        <f aca="false">H688*I688/100</f>
        <v>0</v>
      </c>
      <c r="L688" s="1034" t="n">
        <v>48183</v>
      </c>
      <c r="M688" s="1035" t="n">
        <v>1</v>
      </c>
      <c r="N688" s="1036" t="n">
        <f aca="false">L688*M688</f>
        <v>48183</v>
      </c>
      <c r="O688" s="1547" t="n">
        <f aca="false">H688*N688</f>
        <v>1528157.5731</v>
      </c>
      <c r="P688" s="838" t="s">
        <v>2197</v>
      </c>
      <c r="Q688" s="1004" t="s">
        <v>2547</v>
      </c>
      <c r="R688" s="1145" t="n">
        <v>317157</v>
      </c>
      <c r="S688" s="886" t="n">
        <f aca="false">R688/H688</f>
        <v>10000</v>
      </c>
      <c r="T688" s="1547" t="n">
        <f aca="false">O688-R688-R692-R693-R689-R690-R691</f>
        <v>0</v>
      </c>
      <c r="U688" s="1037" t="n">
        <f aca="false">N688-S688-S692-S693-S689-S690-S691</f>
        <v>0</v>
      </c>
    </row>
    <row r="689" customFormat="false" ht="15" hidden="false" customHeight="true" outlineLevel="0" collapsed="false">
      <c r="A689" s="1027"/>
      <c r="B689" s="1546"/>
      <c r="C689" s="1546"/>
      <c r="D689" s="848" t="s">
        <v>5</v>
      </c>
      <c r="E689" s="848" t="s">
        <v>2192</v>
      </c>
      <c r="F689" s="1328"/>
      <c r="G689" s="1030"/>
      <c r="H689" s="1031"/>
      <c r="I689" s="1517"/>
      <c r="J689" s="1517"/>
      <c r="K689" s="1033"/>
      <c r="L689" s="1034"/>
      <c r="M689" s="1035"/>
      <c r="N689" s="1036"/>
      <c r="O689" s="1547"/>
      <c r="P689" s="856" t="s">
        <v>2197</v>
      </c>
      <c r="Q689" s="1008" t="s">
        <v>2548</v>
      </c>
      <c r="R689" s="1144" t="n">
        <v>316839.843</v>
      </c>
      <c r="S689" s="866" t="n">
        <f aca="false">R689/H688</f>
        <v>9990</v>
      </c>
      <c r="T689" s="1547"/>
      <c r="U689" s="1037"/>
    </row>
    <row r="690" customFormat="false" ht="15" hidden="false" customHeight="true" outlineLevel="0" collapsed="false">
      <c r="A690" s="1027"/>
      <c r="B690" s="1546"/>
      <c r="C690" s="1546"/>
      <c r="D690" s="848" t="s">
        <v>5</v>
      </c>
      <c r="E690" s="848" t="s">
        <v>2192</v>
      </c>
      <c r="F690" s="1328"/>
      <c r="G690" s="1030"/>
      <c r="H690" s="1031"/>
      <c r="I690" s="1517"/>
      <c r="J690" s="1517"/>
      <c r="K690" s="1033"/>
      <c r="L690" s="1034"/>
      <c r="M690" s="1035"/>
      <c r="N690" s="1036"/>
      <c r="O690" s="1547"/>
      <c r="P690" s="856" t="s">
        <v>2197</v>
      </c>
      <c r="Q690" s="1008" t="s">
        <v>2549</v>
      </c>
      <c r="R690" s="1144" t="n">
        <v>316839.843</v>
      </c>
      <c r="S690" s="866" t="n">
        <f aca="false">R690/H688</f>
        <v>9990</v>
      </c>
      <c r="T690" s="1547"/>
      <c r="U690" s="1037"/>
    </row>
    <row r="691" customFormat="false" ht="15" hidden="false" customHeight="true" outlineLevel="0" collapsed="false">
      <c r="A691" s="1027"/>
      <c r="B691" s="1546"/>
      <c r="C691" s="1546"/>
      <c r="D691" s="848" t="s">
        <v>5</v>
      </c>
      <c r="E691" s="848" t="s">
        <v>2192</v>
      </c>
      <c r="F691" s="1328"/>
      <c r="G691" s="1030"/>
      <c r="H691" s="1031"/>
      <c r="I691" s="1517"/>
      <c r="J691" s="1517"/>
      <c r="K691" s="1033"/>
      <c r="L691" s="1034"/>
      <c r="M691" s="1035"/>
      <c r="N691" s="1036"/>
      <c r="O691" s="1547"/>
      <c r="P691" s="856" t="s">
        <v>2197</v>
      </c>
      <c r="Q691" s="1008" t="s">
        <v>2550</v>
      </c>
      <c r="R691" s="1144" t="n">
        <v>97779.5031</v>
      </c>
      <c r="S691" s="866" t="n">
        <f aca="false">R691/H688</f>
        <v>3083</v>
      </c>
      <c r="T691" s="1547"/>
      <c r="U691" s="1037"/>
    </row>
    <row r="692" customFormat="false" ht="15" hidden="false" customHeight="true" outlineLevel="0" collapsed="false">
      <c r="A692" s="1027"/>
      <c r="B692" s="1546"/>
      <c r="C692" s="1546"/>
      <c r="D692" s="848" t="s">
        <v>5</v>
      </c>
      <c r="E692" s="848" t="s">
        <v>2192</v>
      </c>
      <c r="F692" s="1328"/>
      <c r="G692" s="1030"/>
      <c r="H692" s="1031"/>
      <c r="I692" s="1517"/>
      <c r="J692" s="1517"/>
      <c r="K692" s="1033"/>
      <c r="L692" s="1034"/>
      <c r="M692" s="1035"/>
      <c r="N692" s="1036"/>
      <c r="O692" s="1547"/>
      <c r="P692" s="856" t="s">
        <v>2197</v>
      </c>
      <c r="Q692" s="1008" t="s">
        <v>2551</v>
      </c>
      <c r="R692" s="1144" t="n">
        <v>317157</v>
      </c>
      <c r="S692" s="866" t="n">
        <f aca="false">R692/H688</f>
        <v>10000</v>
      </c>
      <c r="T692" s="1547"/>
      <c r="U692" s="1037"/>
    </row>
    <row r="693" customFormat="false" ht="15" hidden="false" customHeight="true" outlineLevel="0" collapsed="false">
      <c r="A693" s="1027"/>
      <c r="B693" s="1546"/>
      <c r="C693" s="1546"/>
      <c r="D693" s="904" t="s">
        <v>5</v>
      </c>
      <c r="E693" s="904" t="s">
        <v>2192</v>
      </c>
      <c r="F693" s="1328"/>
      <c r="G693" s="1030"/>
      <c r="H693" s="1031"/>
      <c r="I693" s="1517"/>
      <c r="J693" s="1517"/>
      <c r="K693" s="1033"/>
      <c r="L693" s="1034"/>
      <c r="M693" s="1035"/>
      <c r="N693" s="1036"/>
      <c r="O693" s="1547"/>
      <c r="P693" s="910" t="s">
        <v>2197</v>
      </c>
      <c r="Q693" s="1057" t="s">
        <v>2552</v>
      </c>
      <c r="R693" s="1138" t="n">
        <v>162384.384</v>
      </c>
      <c r="S693" s="877" t="n">
        <f aca="false">R693/H688</f>
        <v>5120</v>
      </c>
      <c r="T693" s="1547"/>
      <c r="U693" s="1037"/>
    </row>
    <row r="694" customFormat="false" ht="15" hidden="false" customHeight="true" outlineLevel="0" collapsed="false">
      <c r="A694" s="829" t="n">
        <v>89</v>
      </c>
      <c r="B694" s="1173" t="s">
        <v>86</v>
      </c>
      <c r="C694" s="1173" t="n">
        <v>2024</v>
      </c>
      <c r="D694" s="831" t="s">
        <v>5</v>
      </c>
      <c r="E694" s="831" t="s">
        <v>2192</v>
      </c>
      <c r="F694" s="831" t="s">
        <v>1650</v>
      </c>
      <c r="G694" s="1108"/>
      <c r="H694" s="1109" t="n">
        <v>89.4</v>
      </c>
      <c r="I694" s="1435"/>
      <c r="J694" s="1435"/>
      <c r="K694" s="1111" t="n">
        <f aca="false">H694*I694/100</f>
        <v>0</v>
      </c>
      <c r="L694" s="1112" t="n">
        <v>10870</v>
      </c>
      <c r="M694" s="1113" t="n">
        <v>1</v>
      </c>
      <c r="N694" s="1408" t="n">
        <f aca="false">L694*M694</f>
        <v>10870</v>
      </c>
      <c r="O694" s="1536" t="n">
        <f aca="false">H694*N694</f>
        <v>971778</v>
      </c>
      <c r="P694" s="838" t="s">
        <v>2193</v>
      </c>
      <c r="Q694" s="1004" t="s">
        <v>2553</v>
      </c>
      <c r="R694" s="1145" t="n">
        <v>971778</v>
      </c>
      <c r="S694" s="886" t="n">
        <f aca="false">R694/H694</f>
        <v>10870</v>
      </c>
      <c r="T694" s="1114" t="n">
        <f aca="false">O694-R694</f>
        <v>0</v>
      </c>
      <c r="U694" s="1176" t="n">
        <f aca="false">N694-S694</f>
        <v>0</v>
      </c>
    </row>
    <row r="695" customFormat="false" ht="15" hidden="false" customHeight="true" outlineLevel="0" collapsed="false">
      <c r="A695" s="829"/>
      <c r="B695" s="859" t="s">
        <v>86</v>
      </c>
      <c r="C695" s="859" t="n">
        <v>2024</v>
      </c>
      <c r="D695" s="860" t="s">
        <v>5</v>
      </c>
      <c r="E695" s="860" t="s">
        <v>2242</v>
      </c>
      <c r="F695" s="860"/>
      <c r="G695" s="861"/>
      <c r="H695" s="980" t="n">
        <v>33.3</v>
      </c>
      <c r="I695" s="1429"/>
      <c r="J695" s="1429"/>
      <c r="K695" s="864" t="n">
        <f aca="false">H695*I695/100</f>
        <v>0</v>
      </c>
      <c r="L695" s="982" t="n">
        <v>580</v>
      </c>
      <c r="M695" s="983" t="n">
        <v>1</v>
      </c>
      <c r="N695" s="1299" t="n">
        <f aca="false">L695*M695</f>
        <v>580</v>
      </c>
      <c r="O695" s="1510" t="n">
        <f aca="false">H695*N695</f>
        <v>19314</v>
      </c>
      <c r="P695" s="868" t="s">
        <v>2232</v>
      </c>
      <c r="Q695" s="1011" t="s">
        <v>109</v>
      </c>
      <c r="R695" s="1147" t="n">
        <v>19314</v>
      </c>
      <c r="S695" s="866" t="n">
        <f aca="false">R695/H695</f>
        <v>580</v>
      </c>
      <c r="T695" s="543" t="n">
        <f aca="false">O695-R695</f>
        <v>0</v>
      </c>
      <c r="U695" s="1135" t="n">
        <f aca="false">N695-S695</f>
        <v>0</v>
      </c>
    </row>
    <row r="696" customFormat="false" ht="15" hidden="false" customHeight="true" outlineLevel="0" collapsed="false">
      <c r="A696" s="829"/>
      <c r="B696" s="859" t="s">
        <v>86</v>
      </c>
      <c r="C696" s="859" t="n">
        <v>2024</v>
      </c>
      <c r="D696" s="860" t="s">
        <v>5</v>
      </c>
      <c r="E696" s="860" t="s">
        <v>2203</v>
      </c>
      <c r="F696" s="860"/>
      <c r="G696" s="861"/>
      <c r="H696" s="980" t="n">
        <v>0</v>
      </c>
      <c r="I696" s="1429"/>
      <c r="J696" s="1429"/>
      <c r="K696" s="864" t="n">
        <f aca="false">H696*I696/100</f>
        <v>0</v>
      </c>
      <c r="L696" s="982" t="n">
        <v>2001</v>
      </c>
      <c r="M696" s="983" t="n">
        <v>1</v>
      </c>
      <c r="N696" s="1299" t="n">
        <f aca="false">L696*M696</f>
        <v>2001</v>
      </c>
      <c r="O696" s="1510" t="n">
        <f aca="false">H696*N696</f>
        <v>0</v>
      </c>
      <c r="P696" s="868" t="s">
        <v>2204</v>
      </c>
      <c r="Q696" s="1012" t="n">
        <v>31012025</v>
      </c>
      <c r="R696" s="1147"/>
      <c r="S696" s="866" t="n">
        <v>2001</v>
      </c>
      <c r="T696" s="543" t="n">
        <f aca="false">O696-R696</f>
        <v>0</v>
      </c>
      <c r="U696" s="1135" t="n">
        <f aca="false">N696-S696</f>
        <v>0</v>
      </c>
    </row>
    <row r="697" customFormat="false" ht="15" hidden="false" customHeight="true" outlineLevel="0" collapsed="false">
      <c r="A697" s="829"/>
      <c r="B697" s="859" t="s">
        <v>86</v>
      </c>
      <c r="C697" s="859" t="n">
        <v>2024</v>
      </c>
      <c r="D697" s="860" t="s">
        <v>5</v>
      </c>
      <c r="E697" s="860" t="s">
        <v>2241</v>
      </c>
      <c r="F697" s="860"/>
      <c r="G697" s="861"/>
      <c r="H697" s="980" t="n">
        <v>29.9</v>
      </c>
      <c r="I697" s="1429"/>
      <c r="J697" s="1429"/>
      <c r="K697" s="864" t="n">
        <f aca="false">H697*I697/100</f>
        <v>0</v>
      </c>
      <c r="L697" s="982" t="n">
        <v>2032</v>
      </c>
      <c r="M697" s="983" t="n">
        <v>1</v>
      </c>
      <c r="N697" s="1299" t="n">
        <f aca="false">L697*M697</f>
        <v>2032</v>
      </c>
      <c r="O697" s="1510" t="n">
        <f aca="false">H697*N697</f>
        <v>60756.8</v>
      </c>
      <c r="P697" s="868" t="s">
        <v>2200</v>
      </c>
      <c r="Q697" s="1011" t="s">
        <v>2434</v>
      </c>
      <c r="R697" s="1147" t="n">
        <v>60756.8</v>
      </c>
      <c r="S697" s="866" t="n">
        <f aca="false">R697/H697</f>
        <v>2032</v>
      </c>
      <c r="T697" s="543" t="n">
        <f aca="false">O697-R697</f>
        <v>0</v>
      </c>
      <c r="U697" s="1135" t="n">
        <f aca="false">N697-S697</f>
        <v>0</v>
      </c>
    </row>
    <row r="698" customFormat="false" ht="15" hidden="false" customHeight="true" outlineLevel="0" collapsed="false">
      <c r="A698" s="829"/>
      <c r="B698" s="893" t="s">
        <v>86</v>
      </c>
      <c r="C698" s="893" t="n">
        <v>2024</v>
      </c>
      <c r="D698" s="843" t="s">
        <v>5</v>
      </c>
      <c r="E698" s="843" t="s">
        <v>2205</v>
      </c>
      <c r="F698" s="843"/>
      <c r="G698" s="894"/>
      <c r="H698" s="1103" t="n">
        <v>16.4</v>
      </c>
      <c r="I698" s="1532"/>
      <c r="J698" s="1532"/>
      <c r="K698" s="897" t="n">
        <f aca="false">H698*I698/100</f>
        <v>0</v>
      </c>
      <c r="L698" s="1105" t="n">
        <v>1065</v>
      </c>
      <c r="M698" s="1106" t="n">
        <v>1</v>
      </c>
      <c r="N698" s="1393" t="n">
        <f aca="false">L698*M698</f>
        <v>1065</v>
      </c>
      <c r="O698" s="1554" t="n">
        <f aca="false">H698*N698</f>
        <v>17466</v>
      </c>
      <c r="P698" s="844" t="s">
        <v>2200</v>
      </c>
      <c r="Q698" s="1005" t="s">
        <v>2434</v>
      </c>
      <c r="R698" s="1136" t="n">
        <v>17466</v>
      </c>
      <c r="S698" s="866" t="n">
        <f aca="false">R698/H698</f>
        <v>1065</v>
      </c>
      <c r="T698" s="589" t="n">
        <f aca="false">O698-R698</f>
        <v>0</v>
      </c>
      <c r="U698" s="902" t="n">
        <f aca="false">N698-S698</f>
        <v>0</v>
      </c>
    </row>
    <row r="699" customFormat="false" ht="15" hidden="false" customHeight="true" outlineLevel="0" collapsed="false">
      <c r="A699" s="829" t="n">
        <v>132</v>
      </c>
      <c r="B699" s="830" t="s">
        <v>2207</v>
      </c>
      <c r="C699" s="830" t="n">
        <v>2024</v>
      </c>
      <c r="D699" s="831" t="s">
        <v>5</v>
      </c>
      <c r="E699" s="831" t="s">
        <v>2192</v>
      </c>
      <c r="F699" s="832" t="s">
        <v>1651</v>
      </c>
      <c r="G699" s="833"/>
      <c r="H699" s="834" t="n">
        <v>30.3055</v>
      </c>
      <c r="I699" s="1020"/>
      <c r="J699" s="1020"/>
      <c r="K699" s="836" t="n">
        <f aca="false">H699*I699/100</f>
        <v>0</v>
      </c>
      <c r="L699" s="1002" t="n">
        <v>32066</v>
      </c>
      <c r="M699" s="1003" t="n">
        <v>1</v>
      </c>
      <c r="N699" s="837" t="n">
        <f aca="false">L699*M699</f>
        <v>32066</v>
      </c>
      <c r="O699" s="943" t="n">
        <f aca="false">H699*N699</f>
        <v>971776.163</v>
      </c>
      <c r="P699" s="838" t="s">
        <v>2197</v>
      </c>
      <c r="Q699" s="1004" t="s">
        <v>2554</v>
      </c>
      <c r="R699" s="1145" t="n">
        <v>302751.945</v>
      </c>
      <c r="S699" s="840" t="n">
        <f aca="false">R699/H699</f>
        <v>9990</v>
      </c>
      <c r="T699" s="1017" t="n">
        <f aca="false">O699-R699-R700-R701-R702</f>
        <v>0</v>
      </c>
      <c r="U699" s="842" t="n">
        <f aca="false">N699-S699-S700-S701-S702</f>
        <v>0</v>
      </c>
    </row>
    <row r="700" customFormat="false" ht="15" hidden="false" customHeight="true" outlineLevel="0" collapsed="false">
      <c r="A700" s="829"/>
      <c r="B700" s="830"/>
      <c r="C700" s="830"/>
      <c r="D700" s="848" t="s">
        <v>5</v>
      </c>
      <c r="E700" s="848" t="s">
        <v>2192</v>
      </c>
      <c r="F700" s="832"/>
      <c r="G700" s="833"/>
      <c r="H700" s="834"/>
      <c r="I700" s="1020"/>
      <c r="J700" s="1020"/>
      <c r="K700" s="836"/>
      <c r="L700" s="1002"/>
      <c r="M700" s="1003"/>
      <c r="N700" s="837"/>
      <c r="O700" s="943"/>
      <c r="P700" s="856" t="s">
        <v>2197</v>
      </c>
      <c r="Q700" s="1008" t="s">
        <v>2555</v>
      </c>
      <c r="R700" s="1144" t="n">
        <v>190924.65</v>
      </c>
      <c r="S700" s="866" t="n">
        <f aca="false">R700/H699</f>
        <v>6300</v>
      </c>
      <c r="T700" s="1017"/>
      <c r="U700" s="842"/>
    </row>
    <row r="701" customFormat="false" ht="15" hidden="false" customHeight="true" outlineLevel="0" collapsed="false">
      <c r="A701" s="829"/>
      <c r="B701" s="830"/>
      <c r="C701" s="830"/>
      <c r="D701" s="848" t="s">
        <v>5</v>
      </c>
      <c r="E701" s="848" t="s">
        <v>2192</v>
      </c>
      <c r="F701" s="832"/>
      <c r="G701" s="833"/>
      <c r="H701" s="834"/>
      <c r="I701" s="1020"/>
      <c r="J701" s="1020"/>
      <c r="K701" s="836"/>
      <c r="L701" s="1002"/>
      <c r="M701" s="1003"/>
      <c r="N701" s="837"/>
      <c r="O701" s="943"/>
      <c r="P701" s="856" t="s">
        <v>2197</v>
      </c>
      <c r="Q701" s="1008" t="s">
        <v>2556</v>
      </c>
      <c r="R701" s="1144" t="n">
        <v>302751.945</v>
      </c>
      <c r="S701" s="866" t="n">
        <f aca="false">R701/H699</f>
        <v>9990</v>
      </c>
      <c r="T701" s="1017"/>
      <c r="U701" s="842"/>
    </row>
    <row r="702" customFormat="false" ht="15" hidden="false" customHeight="true" outlineLevel="0" collapsed="false">
      <c r="A702" s="829"/>
      <c r="B702" s="830"/>
      <c r="C702" s="830"/>
      <c r="D702" s="887" t="s">
        <v>5</v>
      </c>
      <c r="E702" s="887" t="s">
        <v>2192</v>
      </c>
      <c r="F702" s="832"/>
      <c r="G702" s="833"/>
      <c r="H702" s="834"/>
      <c r="I702" s="1020"/>
      <c r="J702" s="1020"/>
      <c r="K702" s="836"/>
      <c r="L702" s="1002"/>
      <c r="M702" s="1003"/>
      <c r="N702" s="837"/>
      <c r="O702" s="943"/>
      <c r="P702" s="888" t="s">
        <v>2197</v>
      </c>
      <c r="Q702" s="1364" t="s">
        <v>2557</v>
      </c>
      <c r="R702" s="1146" t="n">
        <v>175347.623</v>
      </c>
      <c r="S702" s="846" t="n">
        <f aca="false">R702/H699</f>
        <v>5786</v>
      </c>
      <c r="T702" s="1017"/>
      <c r="U702" s="842"/>
    </row>
    <row r="703" customFormat="false" ht="15" hidden="false" customHeight="true" outlineLevel="0" collapsed="false">
      <c r="A703" s="847" t="n">
        <v>131</v>
      </c>
      <c r="B703" s="847" t="s">
        <v>81</v>
      </c>
      <c r="C703" s="847" t="n">
        <v>2024</v>
      </c>
      <c r="D703" s="848" t="s">
        <v>5</v>
      </c>
      <c r="E703" s="848" t="s">
        <v>2192</v>
      </c>
      <c r="F703" s="848" t="s">
        <v>2199</v>
      </c>
      <c r="G703" s="849"/>
      <c r="H703" s="949" t="n">
        <v>83.7</v>
      </c>
      <c r="I703" s="1397"/>
      <c r="J703" s="1397"/>
      <c r="K703" s="852" t="n">
        <f aca="false">H703*I703/100</f>
        <v>0</v>
      </c>
      <c r="L703" s="1006" t="n">
        <v>20600</v>
      </c>
      <c r="M703" s="1007" t="n">
        <v>1</v>
      </c>
      <c r="N703" s="537" t="n">
        <f aca="false">L703*M703</f>
        <v>20600</v>
      </c>
      <c r="O703" s="953" t="n">
        <f aca="false">H703*N703</f>
        <v>1724220</v>
      </c>
      <c r="P703" s="856" t="s">
        <v>2200</v>
      </c>
      <c r="Q703" s="1008" t="s">
        <v>2347</v>
      </c>
      <c r="R703" s="1144" t="n">
        <v>1724220</v>
      </c>
      <c r="S703" s="866" t="n">
        <f aca="false">R703/H703</f>
        <v>20600</v>
      </c>
      <c r="T703" s="537" t="n">
        <f aca="false">O703-R703</f>
        <v>0</v>
      </c>
      <c r="U703" s="537" t="n">
        <f aca="false">N703-S703</f>
        <v>0</v>
      </c>
    </row>
    <row r="704" customFormat="false" ht="15" hidden="false" customHeight="true" outlineLevel="0" collapsed="false">
      <c r="A704" s="903" t="n">
        <v>132</v>
      </c>
      <c r="B704" s="903" t="s">
        <v>81</v>
      </c>
      <c r="C704" s="903" t="n">
        <v>2024</v>
      </c>
      <c r="D704" s="904" t="s">
        <v>5</v>
      </c>
      <c r="E704" s="904" t="s">
        <v>2192</v>
      </c>
      <c r="F704" s="904" t="s">
        <v>2199</v>
      </c>
      <c r="G704" s="905"/>
      <c r="H704" s="946" t="n">
        <v>87.8</v>
      </c>
      <c r="I704" s="1055"/>
      <c r="J704" s="1055"/>
      <c r="K704" s="939" t="n">
        <f aca="false">H704*I704/100</f>
        <v>0</v>
      </c>
      <c r="L704" s="1022" t="n">
        <v>37680</v>
      </c>
      <c r="M704" s="1023" t="n">
        <v>1</v>
      </c>
      <c r="N704" s="942" t="n">
        <f aca="false">L704*M704</f>
        <v>37680</v>
      </c>
      <c r="O704" s="948" t="n">
        <f aca="false">H704*N704</f>
        <v>3308304</v>
      </c>
      <c r="P704" s="910" t="s">
        <v>2200</v>
      </c>
      <c r="Q704" s="1057" t="s">
        <v>2558</v>
      </c>
      <c r="R704" s="1138" t="n">
        <v>3308304</v>
      </c>
      <c r="S704" s="877" t="n">
        <f aca="false">R704/H704</f>
        <v>37680</v>
      </c>
      <c r="T704" s="942" t="n">
        <f aca="false">O704-R704</f>
        <v>0</v>
      </c>
      <c r="U704" s="942" t="n">
        <f aca="false">N704-S704</f>
        <v>0</v>
      </c>
    </row>
    <row r="705" customFormat="false" ht="15" hidden="false" customHeight="true" outlineLevel="0" collapsed="false">
      <c r="A705" s="881" t="n">
        <v>102</v>
      </c>
      <c r="B705" s="829" t="s">
        <v>86</v>
      </c>
      <c r="C705" s="830" t="n">
        <v>2024</v>
      </c>
      <c r="D705" s="831" t="s">
        <v>5</v>
      </c>
      <c r="E705" s="831" t="s">
        <v>2192</v>
      </c>
      <c r="F705" s="832" t="s">
        <v>1650</v>
      </c>
      <c r="G705" s="833"/>
      <c r="H705" s="834" t="n">
        <v>96</v>
      </c>
      <c r="I705" s="1020"/>
      <c r="J705" s="1020"/>
      <c r="K705" s="836" t="n">
        <f aca="false">H705*I705/100</f>
        <v>0</v>
      </c>
      <c r="L705" s="1002" t="n">
        <v>16598</v>
      </c>
      <c r="M705" s="1003" t="n">
        <v>1</v>
      </c>
      <c r="N705" s="837" t="n">
        <f aca="false">L705*M705</f>
        <v>16598</v>
      </c>
      <c r="O705" s="943" t="n">
        <f aca="false">H705*N705</f>
        <v>1593408</v>
      </c>
      <c r="P705" s="884" t="s">
        <v>2193</v>
      </c>
      <c r="Q705" s="1015" t="s">
        <v>2559</v>
      </c>
      <c r="R705" s="1545" t="n">
        <v>561600</v>
      </c>
      <c r="S705" s="886" t="n">
        <f aca="false">R705/H705</f>
        <v>5850</v>
      </c>
      <c r="T705" s="841" t="n">
        <f aca="false">O705-R705-R709-R708-R706-R707</f>
        <v>0</v>
      </c>
      <c r="U705" s="842" t="n">
        <f aca="false">N705-S705-S709-S708-S706-S707</f>
        <v>0</v>
      </c>
    </row>
    <row r="706" customFormat="false" ht="15" hidden="false" customHeight="true" outlineLevel="0" collapsed="false">
      <c r="A706" s="881"/>
      <c r="B706" s="829"/>
      <c r="C706" s="830"/>
      <c r="D706" s="860" t="s">
        <v>5</v>
      </c>
      <c r="E706" s="860" t="s">
        <v>2192</v>
      </c>
      <c r="F706" s="832"/>
      <c r="G706" s="833"/>
      <c r="H706" s="834"/>
      <c r="I706" s="1020"/>
      <c r="J706" s="1020"/>
      <c r="K706" s="836"/>
      <c r="L706" s="1002"/>
      <c r="M706" s="1003"/>
      <c r="N706" s="837"/>
      <c r="O706" s="943"/>
      <c r="P706" s="868" t="s">
        <v>2193</v>
      </c>
      <c r="Q706" s="1011" t="s">
        <v>2560</v>
      </c>
      <c r="R706" s="1147" t="n">
        <v>518304</v>
      </c>
      <c r="S706" s="866" t="n">
        <f aca="false">R706/H705</f>
        <v>5399</v>
      </c>
      <c r="T706" s="841"/>
      <c r="U706" s="842"/>
    </row>
    <row r="707" customFormat="false" ht="15" hidden="false" customHeight="true" outlineLevel="0" collapsed="false">
      <c r="A707" s="881"/>
      <c r="B707" s="829"/>
      <c r="C707" s="830"/>
      <c r="D707" s="860" t="s">
        <v>5</v>
      </c>
      <c r="E707" s="860" t="s">
        <v>2192</v>
      </c>
      <c r="F707" s="832"/>
      <c r="G707" s="833"/>
      <c r="H707" s="834"/>
      <c r="I707" s="1020"/>
      <c r="J707" s="1020"/>
      <c r="K707" s="836"/>
      <c r="L707" s="1002"/>
      <c r="M707" s="1003"/>
      <c r="N707" s="837"/>
      <c r="O707" s="943"/>
      <c r="P707" s="868" t="s">
        <v>2232</v>
      </c>
      <c r="Q707" s="1011" t="s">
        <v>109</v>
      </c>
      <c r="R707" s="1147" t="n">
        <v>462720</v>
      </c>
      <c r="S707" s="866" t="n">
        <f aca="false">R707/H705</f>
        <v>4820</v>
      </c>
      <c r="T707" s="841"/>
      <c r="U707" s="842"/>
    </row>
    <row r="708" customFormat="false" ht="15" hidden="false" customHeight="true" outlineLevel="0" collapsed="false">
      <c r="A708" s="881"/>
      <c r="B708" s="829"/>
      <c r="C708" s="830"/>
      <c r="D708" s="860" t="s">
        <v>5</v>
      </c>
      <c r="E708" s="860" t="s">
        <v>2192</v>
      </c>
      <c r="F708" s="832"/>
      <c r="G708" s="833"/>
      <c r="H708" s="834"/>
      <c r="I708" s="1020"/>
      <c r="J708" s="1020"/>
      <c r="K708" s="836"/>
      <c r="L708" s="1002"/>
      <c r="M708" s="1003"/>
      <c r="N708" s="837"/>
      <c r="O708" s="943"/>
      <c r="P708" s="868" t="s">
        <v>2197</v>
      </c>
      <c r="Q708" s="1011" t="s">
        <v>2561</v>
      </c>
      <c r="R708" s="1147" t="n">
        <v>17280</v>
      </c>
      <c r="S708" s="866" t="n">
        <f aca="false">R708/H705</f>
        <v>180</v>
      </c>
      <c r="T708" s="841"/>
      <c r="U708" s="842"/>
    </row>
    <row r="709" customFormat="false" ht="15" hidden="false" customHeight="true" outlineLevel="0" collapsed="false">
      <c r="A709" s="881"/>
      <c r="B709" s="829"/>
      <c r="C709" s="830"/>
      <c r="D709" s="843" t="s">
        <v>5</v>
      </c>
      <c r="E709" s="843" t="s">
        <v>2192</v>
      </c>
      <c r="F709" s="832"/>
      <c r="G709" s="833"/>
      <c r="H709" s="834"/>
      <c r="I709" s="1020"/>
      <c r="J709" s="1020"/>
      <c r="K709" s="836"/>
      <c r="L709" s="1002"/>
      <c r="M709" s="1003"/>
      <c r="N709" s="837"/>
      <c r="O709" s="943"/>
      <c r="P709" s="844" t="s">
        <v>2193</v>
      </c>
      <c r="Q709" s="1005" t="s">
        <v>2562</v>
      </c>
      <c r="R709" s="1136" t="n">
        <v>33504</v>
      </c>
      <c r="S709" s="846" t="n">
        <f aca="false">R709/H705</f>
        <v>349</v>
      </c>
      <c r="T709" s="841"/>
      <c r="U709" s="842"/>
    </row>
    <row r="710" customFormat="false" ht="15" hidden="false" customHeight="true" outlineLevel="0" collapsed="false">
      <c r="A710" s="881"/>
      <c r="B710" s="829" t="s">
        <v>86</v>
      </c>
      <c r="C710" s="830" t="n">
        <v>2024</v>
      </c>
      <c r="D710" s="831" t="s">
        <v>5</v>
      </c>
      <c r="E710" s="831" t="s">
        <v>2203</v>
      </c>
      <c r="F710" s="830"/>
      <c r="G710" s="833"/>
      <c r="H710" s="834" t="n">
        <v>44.4</v>
      </c>
      <c r="I710" s="1020"/>
      <c r="J710" s="1020"/>
      <c r="K710" s="836" t="n">
        <f aca="false">H710*I710/100</f>
        <v>0</v>
      </c>
      <c r="L710" s="1002" t="n">
        <v>4030</v>
      </c>
      <c r="M710" s="1003" t="n">
        <v>1</v>
      </c>
      <c r="N710" s="837" t="n">
        <f aca="false">L710*M710</f>
        <v>4030</v>
      </c>
      <c r="O710" s="943" t="n">
        <f aca="false">H710*N710</f>
        <v>178932</v>
      </c>
      <c r="P710" s="838" t="s">
        <v>2232</v>
      </c>
      <c r="Q710" s="1004" t="s">
        <v>109</v>
      </c>
      <c r="R710" s="1145" t="n">
        <v>168720</v>
      </c>
      <c r="S710" s="886" t="n">
        <f aca="false">R710/H710</f>
        <v>3800</v>
      </c>
      <c r="T710" s="841" t="n">
        <f aca="false">O710-R710-R711</f>
        <v>0</v>
      </c>
      <c r="U710" s="842" t="n">
        <f aca="false">N710-S710-S711</f>
        <v>0</v>
      </c>
    </row>
    <row r="711" customFormat="false" ht="15" hidden="false" customHeight="true" outlineLevel="0" collapsed="false">
      <c r="A711" s="881"/>
      <c r="B711" s="829"/>
      <c r="C711" s="830"/>
      <c r="D711" s="887" t="s">
        <v>5</v>
      </c>
      <c r="E711" s="887" t="s">
        <v>2203</v>
      </c>
      <c r="F711" s="830"/>
      <c r="G711" s="833"/>
      <c r="H711" s="834"/>
      <c r="I711" s="1020"/>
      <c r="J711" s="1020"/>
      <c r="K711" s="836"/>
      <c r="L711" s="1002"/>
      <c r="M711" s="1003"/>
      <c r="N711" s="837"/>
      <c r="O711" s="943"/>
      <c r="P711" s="888" t="s">
        <v>2200</v>
      </c>
      <c r="Q711" s="1364" t="s">
        <v>2434</v>
      </c>
      <c r="R711" s="1146" t="n">
        <v>10212</v>
      </c>
      <c r="S711" s="846" t="n">
        <f aca="false">R711/H710</f>
        <v>230</v>
      </c>
      <c r="T711" s="841"/>
      <c r="U711" s="842"/>
    </row>
    <row r="712" customFormat="false" ht="15" hidden="false" customHeight="true" outlineLevel="0" collapsed="false">
      <c r="A712" s="881"/>
      <c r="B712" s="847" t="s">
        <v>86</v>
      </c>
      <c r="C712" s="847" t="n">
        <v>2024</v>
      </c>
      <c r="D712" s="848" t="s">
        <v>5</v>
      </c>
      <c r="E712" s="848" t="s">
        <v>2241</v>
      </c>
      <c r="F712" s="848"/>
      <c r="G712" s="849"/>
      <c r="H712" s="949" t="n">
        <v>26.8</v>
      </c>
      <c r="I712" s="1397"/>
      <c r="J712" s="1397"/>
      <c r="K712" s="852" t="n">
        <f aca="false">H712*I712/100</f>
        <v>0</v>
      </c>
      <c r="L712" s="1006" t="n">
        <v>119</v>
      </c>
      <c r="M712" s="1007" t="n">
        <v>1</v>
      </c>
      <c r="N712" s="537" t="n">
        <f aca="false">L712*M712</f>
        <v>119</v>
      </c>
      <c r="O712" s="953" t="n">
        <f aca="false">H712*N712</f>
        <v>3189.2</v>
      </c>
      <c r="P712" s="856" t="s">
        <v>2200</v>
      </c>
      <c r="Q712" s="1008" t="s">
        <v>2434</v>
      </c>
      <c r="R712" s="1144" t="n">
        <v>3189.2</v>
      </c>
      <c r="S712" s="854" t="n">
        <f aca="false">R712/H712</f>
        <v>119</v>
      </c>
      <c r="T712" s="858" t="n">
        <f aca="false">O712-R712</f>
        <v>0</v>
      </c>
      <c r="U712" s="892" t="n">
        <f aca="false">N712-S712</f>
        <v>0</v>
      </c>
    </row>
    <row r="713" customFormat="false" ht="15" hidden="false" customHeight="true" outlineLevel="0" collapsed="false">
      <c r="A713" s="881"/>
      <c r="B713" s="893" t="s">
        <v>86</v>
      </c>
      <c r="C713" s="893" t="n">
        <v>2024</v>
      </c>
      <c r="D713" s="843" t="s">
        <v>5</v>
      </c>
      <c r="E713" s="843" t="s">
        <v>2205</v>
      </c>
      <c r="F713" s="843"/>
      <c r="G713" s="894"/>
      <c r="H713" s="1103" t="n">
        <v>0</v>
      </c>
      <c r="I713" s="1532"/>
      <c r="J713" s="1532"/>
      <c r="K713" s="1064" t="n">
        <f aca="false">H713*I713/100</f>
        <v>0</v>
      </c>
      <c r="L713" s="1105" t="n">
        <v>155</v>
      </c>
      <c r="M713" s="1106" t="n">
        <v>1</v>
      </c>
      <c r="N713" s="1067" t="n">
        <f aca="false">L713*M713</f>
        <v>155</v>
      </c>
      <c r="O713" s="1452" t="n">
        <f aca="false">H713*N713</f>
        <v>0</v>
      </c>
      <c r="P713" s="844" t="s">
        <v>2204</v>
      </c>
      <c r="Q713" s="900" t="n">
        <v>31012025</v>
      </c>
      <c r="R713" s="1136"/>
      <c r="S713" s="846" t="n">
        <v>155</v>
      </c>
      <c r="T713" s="1069" t="n">
        <f aca="false">O713-R713</f>
        <v>0</v>
      </c>
      <c r="U713" s="1070" t="n">
        <f aca="false">N713-S713</f>
        <v>0</v>
      </c>
    </row>
    <row r="714" customFormat="false" ht="15" hidden="false" customHeight="true" outlineLevel="0" collapsed="false">
      <c r="A714" s="881" t="n">
        <v>103</v>
      </c>
      <c r="B714" s="882" t="s">
        <v>86</v>
      </c>
      <c r="C714" s="883" t="n">
        <v>2024</v>
      </c>
      <c r="D714" s="831" t="s">
        <v>5</v>
      </c>
      <c r="E714" s="831" t="s">
        <v>2192</v>
      </c>
      <c r="F714" s="832" t="s">
        <v>1650</v>
      </c>
      <c r="G714" s="833"/>
      <c r="H714" s="834" t="n">
        <v>92.5</v>
      </c>
      <c r="I714" s="1020"/>
      <c r="J714" s="1020"/>
      <c r="K714" s="836" t="n">
        <f aca="false">H714*I714/100</f>
        <v>0</v>
      </c>
      <c r="L714" s="1002" t="n">
        <v>33410</v>
      </c>
      <c r="M714" s="1003" t="n">
        <v>1</v>
      </c>
      <c r="N714" s="837" t="n">
        <f aca="false">L714*M714</f>
        <v>33410</v>
      </c>
      <c r="O714" s="943" t="n">
        <f aca="false">H714*N714</f>
        <v>3090425</v>
      </c>
      <c r="P714" s="838" t="s">
        <v>2197</v>
      </c>
      <c r="Q714" s="1004" t="s">
        <v>2563</v>
      </c>
      <c r="R714" s="1145" t="n">
        <v>27750</v>
      </c>
      <c r="S714" s="886" t="n">
        <f aca="false">R714/H714</f>
        <v>300</v>
      </c>
      <c r="T714" s="837" t="n">
        <f aca="false">O714-R714-R716-R715</f>
        <v>0</v>
      </c>
      <c r="U714" s="842" t="n">
        <f aca="false">N714-S714-S716-S715</f>
        <v>0</v>
      </c>
    </row>
    <row r="715" customFormat="false" ht="15" hidden="false" customHeight="true" outlineLevel="0" collapsed="false">
      <c r="A715" s="881"/>
      <c r="B715" s="882"/>
      <c r="C715" s="883"/>
      <c r="D715" s="860" t="s">
        <v>5</v>
      </c>
      <c r="E715" s="860" t="s">
        <v>2192</v>
      </c>
      <c r="F715" s="832"/>
      <c r="G715" s="833"/>
      <c r="H715" s="834"/>
      <c r="I715" s="1020"/>
      <c r="J715" s="1020"/>
      <c r="K715" s="836"/>
      <c r="L715" s="1002"/>
      <c r="M715" s="1003"/>
      <c r="N715" s="837"/>
      <c r="O715" s="943"/>
      <c r="P715" s="868" t="s">
        <v>2193</v>
      </c>
      <c r="Q715" s="1011" t="s">
        <v>2564</v>
      </c>
      <c r="R715" s="1147" t="n">
        <v>1905500</v>
      </c>
      <c r="S715" s="866" t="n">
        <f aca="false">R715/H714</f>
        <v>20600</v>
      </c>
      <c r="T715" s="837"/>
      <c r="U715" s="842"/>
    </row>
    <row r="716" customFormat="false" ht="15" hidden="false" customHeight="true" outlineLevel="0" collapsed="false">
      <c r="A716" s="881"/>
      <c r="B716" s="882"/>
      <c r="C716" s="883"/>
      <c r="D716" s="887" t="s">
        <v>5</v>
      </c>
      <c r="E716" s="887" t="s">
        <v>2192</v>
      </c>
      <c r="F716" s="832"/>
      <c r="G716" s="833"/>
      <c r="H716" s="834"/>
      <c r="I716" s="1020"/>
      <c r="J716" s="1020"/>
      <c r="K716" s="836"/>
      <c r="L716" s="1002"/>
      <c r="M716" s="1003"/>
      <c r="N716" s="837"/>
      <c r="O716" s="943"/>
      <c r="P716" s="888" t="s">
        <v>2193</v>
      </c>
      <c r="Q716" s="1364" t="s">
        <v>2559</v>
      </c>
      <c r="R716" s="1146" t="n">
        <v>1157175</v>
      </c>
      <c r="S716" s="890" t="n">
        <f aca="false">R716/H714</f>
        <v>12510</v>
      </c>
      <c r="T716" s="837"/>
      <c r="U716" s="842"/>
    </row>
    <row r="717" customFormat="false" ht="15" hidden="false" customHeight="true" outlineLevel="0" collapsed="false">
      <c r="A717" s="881"/>
      <c r="B717" s="847" t="s">
        <v>86</v>
      </c>
      <c r="C717" s="847" t="n">
        <v>2024</v>
      </c>
      <c r="D717" s="848" t="s">
        <v>5</v>
      </c>
      <c r="E717" s="848" t="s">
        <v>2242</v>
      </c>
      <c r="F717" s="848"/>
      <c r="G717" s="849"/>
      <c r="H717" s="949" t="n">
        <v>11.1</v>
      </c>
      <c r="I717" s="1397"/>
      <c r="J717" s="1397"/>
      <c r="K717" s="852" t="n">
        <f aca="false">H717*I717/100</f>
        <v>0</v>
      </c>
      <c r="L717" s="1006" t="n">
        <v>1123</v>
      </c>
      <c r="M717" s="1007" t="n">
        <v>1</v>
      </c>
      <c r="N717" s="537" t="n">
        <f aca="false">L717*M717</f>
        <v>1123</v>
      </c>
      <c r="O717" s="953" t="n">
        <f aca="false">H717*N717</f>
        <v>12465.3</v>
      </c>
      <c r="P717" s="856" t="s">
        <v>2232</v>
      </c>
      <c r="Q717" s="1008" t="s">
        <v>109</v>
      </c>
      <c r="R717" s="1144" t="n">
        <v>12465.3</v>
      </c>
      <c r="S717" s="891" t="n">
        <f aca="false">R717/H717</f>
        <v>1123</v>
      </c>
      <c r="T717" s="858" t="n">
        <f aca="false">O717-R717</f>
        <v>0</v>
      </c>
      <c r="U717" s="892" t="n">
        <f aca="false">N717-S717</f>
        <v>0</v>
      </c>
    </row>
    <row r="718" customFormat="false" ht="15" hidden="false" customHeight="true" outlineLevel="0" collapsed="false">
      <c r="A718" s="881"/>
      <c r="B718" s="859" t="s">
        <v>86</v>
      </c>
      <c r="C718" s="859" t="n">
        <v>2024</v>
      </c>
      <c r="D718" s="860" t="s">
        <v>5</v>
      </c>
      <c r="E718" s="860" t="s">
        <v>2203</v>
      </c>
      <c r="F718" s="860"/>
      <c r="G718" s="861"/>
      <c r="H718" s="980" t="n">
        <v>9.2</v>
      </c>
      <c r="I718" s="1429"/>
      <c r="J718" s="1429"/>
      <c r="K718" s="852" t="n">
        <f aca="false">H718*I718/100</f>
        <v>0</v>
      </c>
      <c r="L718" s="982" t="n">
        <v>1994</v>
      </c>
      <c r="M718" s="983" t="n">
        <v>1</v>
      </c>
      <c r="N718" s="537" t="n">
        <f aca="false">L718*M718</f>
        <v>1994</v>
      </c>
      <c r="O718" s="953" t="n">
        <f aca="false">H718*N718</f>
        <v>18344.8</v>
      </c>
      <c r="P718" s="868" t="s">
        <v>2204</v>
      </c>
      <c r="Q718" s="1012" t="n">
        <v>31012025</v>
      </c>
      <c r="R718" s="1147" t="n">
        <v>18344.8</v>
      </c>
      <c r="S718" s="866" t="n">
        <f aca="false">R718/H718</f>
        <v>1994</v>
      </c>
      <c r="T718" s="858" t="n">
        <f aca="false">O718-R718</f>
        <v>0</v>
      </c>
      <c r="U718" s="892" t="n">
        <f aca="false">N718-S718</f>
        <v>0</v>
      </c>
    </row>
    <row r="719" customFormat="false" ht="15" hidden="false" customHeight="true" outlineLevel="0" collapsed="false">
      <c r="A719" s="881"/>
      <c r="B719" s="893" t="s">
        <v>86</v>
      </c>
      <c r="C719" s="893" t="n">
        <v>2024</v>
      </c>
      <c r="D719" s="843" t="s">
        <v>5</v>
      </c>
      <c r="E719" s="843" t="s">
        <v>2205</v>
      </c>
      <c r="F719" s="843"/>
      <c r="G719" s="894"/>
      <c r="H719" s="1103" t="n">
        <v>11.2</v>
      </c>
      <c r="I719" s="1532"/>
      <c r="J719" s="1532"/>
      <c r="K719" s="1064" t="n">
        <f aca="false">H719*I719/100</f>
        <v>0</v>
      </c>
      <c r="L719" s="1105" t="n">
        <v>672</v>
      </c>
      <c r="M719" s="1106" t="n">
        <v>1</v>
      </c>
      <c r="N719" s="1067" t="n">
        <f aca="false">L719*M719</f>
        <v>672</v>
      </c>
      <c r="O719" s="1452" t="n">
        <f aca="false">H719*N719</f>
        <v>7526.4</v>
      </c>
      <c r="P719" s="844" t="s">
        <v>2204</v>
      </c>
      <c r="Q719" s="900" t="n">
        <v>31012025</v>
      </c>
      <c r="R719" s="1136" t="n">
        <v>7526.4</v>
      </c>
      <c r="S719" s="846" t="n">
        <f aca="false">R719/H719</f>
        <v>672</v>
      </c>
      <c r="T719" s="1069" t="n">
        <f aca="false">O719-R719</f>
        <v>0</v>
      </c>
      <c r="U719" s="1070" t="n">
        <f aca="false">N719-S719</f>
        <v>0</v>
      </c>
    </row>
    <row r="720" customFormat="false" ht="15" hidden="false" customHeight="true" outlineLevel="0" collapsed="false">
      <c r="A720" s="1087" t="n">
        <v>138</v>
      </c>
      <c r="B720" s="1072" t="s">
        <v>2207</v>
      </c>
      <c r="C720" s="1072" t="n">
        <v>2024</v>
      </c>
      <c r="D720" s="848" t="s">
        <v>5</v>
      </c>
      <c r="E720" s="848" t="s">
        <v>2192</v>
      </c>
      <c r="F720" s="887" t="s">
        <v>1651</v>
      </c>
      <c r="G720" s="1062"/>
      <c r="H720" s="1077" t="n">
        <v>28.1595</v>
      </c>
      <c r="I720" s="1078"/>
      <c r="J720" s="1078"/>
      <c r="K720" s="1064" t="n">
        <f aca="false">H720*I720/100</f>
        <v>0</v>
      </c>
      <c r="L720" s="1555" t="n">
        <v>61037</v>
      </c>
      <c r="M720" s="1066" t="n">
        <v>1</v>
      </c>
      <c r="N720" s="1067" t="n">
        <f aca="false">L720*M720</f>
        <v>61037</v>
      </c>
      <c r="O720" s="1452" t="n">
        <f aca="false">H720*N720</f>
        <v>1718771.4015</v>
      </c>
      <c r="P720" s="856" t="s">
        <v>2197</v>
      </c>
      <c r="Q720" s="1008" t="s">
        <v>2565</v>
      </c>
      <c r="R720" s="1144" t="n">
        <v>110666.835</v>
      </c>
      <c r="S720" s="891" t="n">
        <f aca="false">R720/H720</f>
        <v>3930</v>
      </c>
      <c r="T720" s="1067" t="n">
        <f aca="false">O720-R720-R721-R722-R723-R724-R726-R725-R727</f>
        <v>1.16415321826935E-010</v>
      </c>
      <c r="U720" s="1070" t="n">
        <f aca="false">N720-S720-S721-S722-S723-S724-S725-S726-S727</f>
        <v>0</v>
      </c>
    </row>
    <row r="721" customFormat="false" ht="15" hidden="false" customHeight="true" outlineLevel="0" collapsed="false">
      <c r="A721" s="1087"/>
      <c r="B721" s="1072"/>
      <c r="C721" s="1072"/>
      <c r="D721" s="848" t="s">
        <v>5</v>
      </c>
      <c r="E721" s="848" t="s">
        <v>2192</v>
      </c>
      <c r="F721" s="887"/>
      <c r="G721" s="1062"/>
      <c r="H721" s="1077"/>
      <c r="I721" s="1078"/>
      <c r="J721" s="1078"/>
      <c r="K721" s="1064"/>
      <c r="L721" s="1555"/>
      <c r="M721" s="1066"/>
      <c r="N721" s="1067"/>
      <c r="O721" s="1452"/>
      <c r="P721" s="856" t="s">
        <v>2197</v>
      </c>
      <c r="Q721" s="1008" t="s">
        <v>2566</v>
      </c>
      <c r="R721" s="1144" t="n">
        <v>281313.405</v>
      </c>
      <c r="S721" s="866" t="n">
        <f aca="false">R721/H720</f>
        <v>9990</v>
      </c>
      <c r="T721" s="1067"/>
      <c r="U721" s="1070"/>
    </row>
    <row r="722" customFormat="false" ht="15" hidden="false" customHeight="true" outlineLevel="0" collapsed="false">
      <c r="A722" s="1087"/>
      <c r="B722" s="1072"/>
      <c r="C722" s="1072"/>
      <c r="D722" s="848" t="s">
        <v>5</v>
      </c>
      <c r="E722" s="848" t="s">
        <v>2192</v>
      </c>
      <c r="F722" s="887"/>
      <c r="G722" s="1062"/>
      <c r="H722" s="1077"/>
      <c r="I722" s="1078"/>
      <c r="J722" s="1078"/>
      <c r="K722" s="1064"/>
      <c r="L722" s="1555"/>
      <c r="M722" s="1066"/>
      <c r="N722" s="1067"/>
      <c r="O722" s="1452"/>
      <c r="P722" s="856" t="s">
        <v>2197</v>
      </c>
      <c r="Q722" s="1008" t="s">
        <v>2567</v>
      </c>
      <c r="R722" s="1144" t="n">
        <v>154595.655</v>
      </c>
      <c r="S722" s="866" t="n">
        <f aca="false">R722/H720</f>
        <v>5490</v>
      </c>
      <c r="T722" s="1067"/>
      <c r="U722" s="1070"/>
    </row>
    <row r="723" customFormat="false" ht="15" hidden="false" customHeight="true" outlineLevel="0" collapsed="false">
      <c r="A723" s="1087"/>
      <c r="B723" s="1072"/>
      <c r="C723" s="1072"/>
      <c r="D723" s="848" t="s">
        <v>5</v>
      </c>
      <c r="E723" s="848" t="s">
        <v>2192</v>
      </c>
      <c r="F723" s="887"/>
      <c r="G723" s="1062"/>
      <c r="H723" s="1077"/>
      <c r="I723" s="1078"/>
      <c r="J723" s="1078"/>
      <c r="K723" s="1064"/>
      <c r="L723" s="1555"/>
      <c r="M723" s="1066"/>
      <c r="N723" s="1067"/>
      <c r="O723" s="1452"/>
      <c r="P723" s="856" t="s">
        <v>2197</v>
      </c>
      <c r="Q723" s="1008" t="s">
        <v>2568</v>
      </c>
      <c r="R723" s="1144" t="n">
        <v>281595</v>
      </c>
      <c r="S723" s="866" t="n">
        <f aca="false">R723/H720</f>
        <v>10000</v>
      </c>
      <c r="T723" s="1067"/>
      <c r="U723" s="1070"/>
    </row>
    <row r="724" customFormat="false" ht="15" hidden="false" customHeight="true" outlineLevel="0" collapsed="false">
      <c r="A724" s="1087"/>
      <c r="B724" s="1072"/>
      <c r="C724" s="1072"/>
      <c r="D724" s="848" t="s">
        <v>5</v>
      </c>
      <c r="E724" s="848" t="s">
        <v>2192</v>
      </c>
      <c r="F724" s="887"/>
      <c r="G724" s="1062"/>
      <c r="H724" s="1077"/>
      <c r="I724" s="1078"/>
      <c r="J724" s="1078"/>
      <c r="K724" s="1064"/>
      <c r="L724" s="1555"/>
      <c r="M724" s="1066"/>
      <c r="N724" s="1067"/>
      <c r="O724" s="1452"/>
      <c r="P724" s="856" t="s">
        <v>2197</v>
      </c>
      <c r="Q724" s="1008" t="s">
        <v>2569</v>
      </c>
      <c r="R724" s="1144" t="n">
        <v>281595</v>
      </c>
      <c r="S724" s="866" t="n">
        <f aca="false">R724/H720</f>
        <v>10000</v>
      </c>
      <c r="T724" s="1067"/>
      <c r="U724" s="1070"/>
    </row>
    <row r="725" customFormat="false" ht="15" hidden="false" customHeight="true" outlineLevel="0" collapsed="false">
      <c r="A725" s="1087"/>
      <c r="B725" s="1072"/>
      <c r="C725" s="1072"/>
      <c r="D725" s="848" t="s">
        <v>5</v>
      </c>
      <c r="E725" s="848" t="s">
        <v>2192</v>
      </c>
      <c r="F725" s="887"/>
      <c r="G725" s="1062"/>
      <c r="H725" s="1077"/>
      <c r="I725" s="1078"/>
      <c r="J725" s="1078"/>
      <c r="K725" s="1064"/>
      <c r="L725" s="1555"/>
      <c r="M725" s="1066"/>
      <c r="N725" s="1067"/>
      <c r="O725" s="1452"/>
      <c r="P725" s="856" t="s">
        <v>2197</v>
      </c>
      <c r="Q725" s="1008" t="s">
        <v>2570</v>
      </c>
      <c r="R725" s="1144" t="n">
        <v>281313.405</v>
      </c>
      <c r="S725" s="866" t="n">
        <f aca="false">R725/H720</f>
        <v>9990</v>
      </c>
      <c r="T725" s="1067"/>
      <c r="U725" s="1070"/>
    </row>
    <row r="726" customFormat="false" ht="15" hidden="false" customHeight="true" outlineLevel="0" collapsed="false">
      <c r="A726" s="1087"/>
      <c r="B726" s="1072"/>
      <c r="C726" s="1072"/>
      <c r="D726" s="848" t="s">
        <v>5</v>
      </c>
      <c r="E726" s="848" t="s">
        <v>2192</v>
      </c>
      <c r="F726" s="887"/>
      <c r="G726" s="1062"/>
      <c r="H726" s="1077"/>
      <c r="I726" s="1078"/>
      <c r="J726" s="1078"/>
      <c r="K726" s="1064"/>
      <c r="L726" s="1555"/>
      <c r="M726" s="1066"/>
      <c r="N726" s="1067"/>
      <c r="O726" s="1452"/>
      <c r="P726" s="856" t="s">
        <v>2197</v>
      </c>
      <c r="Q726" s="1008" t="s">
        <v>2571</v>
      </c>
      <c r="R726" s="1144" t="n">
        <v>265262.49</v>
      </c>
      <c r="S726" s="866" t="n">
        <f aca="false">R726/H720</f>
        <v>9420</v>
      </c>
      <c r="T726" s="1067"/>
      <c r="U726" s="1070"/>
    </row>
    <row r="727" customFormat="false" ht="15" hidden="false" customHeight="true" outlineLevel="0" collapsed="false">
      <c r="A727" s="1087"/>
      <c r="B727" s="1072"/>
      <c r="C727" s="1072"/>
      <c r="D727" s="887" t="s">
        <v>5</v>
      </c>
      <c r="E727" s="887" t="s">
        <v>2192</v>
      </c>
      <c r="F727" s="887"/>
      <c r="G727" s="1062"/>
      <c r="H727" s="1077"/>
      <c r="I727" s="1078"/>
      <c r="J727" s="1078"/>
      <c r="K727" s="1064"/>
      <c r="L727" s="1555"/>
      <c r="M727" s="1066"/>
      <c r="N727" s="1067"/>
      <c r="O727" s="1452"/>
      <c r="P727" s="888" t="s">
        <v>2197</v>
      </c>
      <c r="Q727" s="1364" t="s">
        <v>2572</v>
      </c>
      <c r="R727" s="1146" t="n">
        <v>62429.6115</v>
      </c>
      <c r="S727" s="846" t="n">
        <f aca="false">R727/H720</f>
        <v>2217</v>
      </c>
      <c r="T727" s="1067"/>
      <c r="U727" s="1070"/>
    </row>
    <row r="728" customFormat="false" ht="15" hidden="false" customHeight="true" outlineLevel="0" collapsed="false">
      <c r="A728" s="882" t="n">
        <v>139</v>
      </c>
      <c r="B728" s="830" t="s">
        <v>2207</v>
      </c>
      <c r="C728" s="830" t="n">
        <v>2024</v>
      </c>
      <c r="D728" s="831" t="s">
        <v>5</v>
      </c>
      <c r="E728" s="831" t="s">
        <v>2192</v>
      </c>
      <c r="F728" s="832" t="s">
        <v>1651</v>
      </c>
      <c r="G728" s="833"/>
      <c r="H728" s="834" t="n">
        <v>28.8909</v>
      </c>
      <c r="I728" s="1020"/>
      <c r="J728" s="1020"/>
      <c r="K728" s="836" t="n">
        <f aca="false">H728*I728/100</f>
        <v>0</v>
      </c>
      <c r="L728" s="1002" t="n">
        <v>65955</v>
      </c>
      <c r="M728" s="1003" t="n">
        <v>1</v>
      </c>
      <c r="N728" s="837" t="n">
        <f aca="false">L728*M728</f>
        <v>65955</v>
      </c>
      <c r="O728" s="943" t="n">
        <f aca="false">H728*N728</f>
        <v>1905499.3095</v>
      </c>
      <c r="P728" s="838" t="s">
        <v>2197</v>
      </c>
      <c r="Q728" s="1004" t="s">
        <v>2573</v>
      </c>
      <c r="R728" s="1145" t="n">
        <v>288620.091</v>
      </c>
      <c r="S728" s="886" t="n">
        <f aca="false">R728/H728</f>
        <v>9990</v>
      </c>
      <c r="T728" s="943" t="n">
        <f aca="false">O728-R728-R729-R730-R731-R732-R733-R734</f>
        <v>0</v>
      </c>
      <c r="U728" s="842" t="n">
        <f aca="false">N728-S728-S729-S730-S731-S732-S733-S734</f>
        <v>0</v>
      </c>
    </row>
    <row r="729" customFormat="false" ht="15" hidden="false" customHeight="true" outlineLevel="0" collapsed="false">
      <c r="A729" s="882"/>
      <c r="B729" s="830"/>
      <c r="C729" s="830"/>
      <c r="D729" s="848" t="s">
        <v>5</v>
      </c>
      <c r="E729" s="848" t="s">
        <v>2192</v>
      </c>
      <c r="F729" s="832"/>
      <c r="G729" s="833"/>
      <c r="H729" s="834"/>
      <c r="I729" s="1020"/>
      <c r="J729" s="1020"/>
      <c r="K729" s="836"/>
      <c r="L729" s="1002"/>
      <c r="M729" s="1003"/>
      <c r="N729" s="837"/>
      <c r="O729" s="943"/>
      <c r="P729" s="856" t="s">
        <v>2197</v>
      </c>
      <c r="Q729" s="1008" t="s">
        <v>2574</v>
      </c>
      <c r="R729" s="1144" t="n">
        <v>288909</v>
      </c>
      <c r="S729" s="866" t="n">
        <f aca="false">R729/H728</f>
        <v>10000</v>
      </c>
      <c r="T729" s="943"/>
      <c r="U729" s="842"/>
    </row>
    <row r="730" customFormat="false" ht="15" hidden="false" customHeight="true" outlineLevel="0" collapsed="false">
      <c r="A730" s="882"/>
      <c r="B730" s="830"/>
      <c r="C730" s="830"/>
      <c r="D730" s="848" t="s">
        <v>5</v>
      </c>
      <c r="E730" s="848" t="s">
        <v>2192</v>
      </c>
      <c r="F730" s="832"/>
      <c r="G730" s="833"/>
      <c r="H730" s="834"/>
      <c r="I730" s="1020"/>
      <c r="J730" s="1020"/>
      <c r="K730" s="836"/>
      <c r="L730" s="1002"/>
      <c r="M730" s="1003"/>
      <c r="N730" s="837"/>
      <c r="O730" s="943"/>
      <c r="P730" s="856" t="s">
        <v>2197</v>
      </c>
      <c r="Q730" s="1008" t="s">
        <v>2575</v>
      </c>
      <c r="R730" s="1144" t="n">
        <v>288909</v>
      </c>
      <c r="S730" s="866" t="n">
        <f aca="false">R730/H728</f>
        <v>10000</v>
      </c>
      <c r="T730" s="943"/>
      <c r="U730" s="842"/>
    </row>
    <row r="731" customFormat="false" ht="15" hidden="false" customHeight="true" outlineLevel="0" collapsed="false">
      <c r="A731" s="882"/>
      <c r="B731" s="830"/>
      <c r="C731" s="830"/>
      <c r="D731" s="848" t="s">
        <v>5</v>
      </c>
      <c r="E731" s="848" t="s">
        <v>2192</v>
      </c>
      <c r="F731" s="832"/>
      <c r="G731" s="833"/>
      <c r="H731" s="834"/>
      <c r="I731" s="1020"/>
      <c r="J731" s="1020"/>
      <c r="K731" s="836"/>
      <c r="L731" s="1002"/>
      <c r="M731" s="1003"/>
      <c r="N731" s="837"/>
      <c r="O731" s="943"/>
      <c r="P731" s="856" t="s">
        <v>2197</v>
      </c>
      <c r="Q731" s="1008" t="s">
        <v>2576</v>
      </c>
      <c r="R731" s="1144" t="n">
        <v>288620.091</v>
      </c>
      <c r="S731" s="866" t="n">
        <f aca="false">R731/H728</f>
        <v>9990</v>
      </c>
      <c r="T731" s="943"/>
      <c r="U731" s="842"/>
    </row>
    <row r="732" customFormat="false" ht="15" hidden="false" customHeight="true" outlineLevel="0" collapsed="false">
      <c r="A732" s="882"/>
      <c r="B732" s="830"/>
      <c r="C732" s="830"/>
      <c r="D732" s="848" t="s">
        <v>5</v>
      </c>
      <c r="E732" s="848" t="s">
        <v>2192</v>
      </c>
      <c r="F732" s="832"/>
      <c r="G732" s="833"/>
      <c r="H732" s="834"/>
      <c r="I732" s="1020"/>
      <c r="J732" s="1020"/>
      <c r="K732" s="836"/>
      <c r="L732" s="1002"/>
      <c r="M732" s="1003"/>
      <c r="N732" s="837"/>
      <c r="O732" s="943"/>
      <c r="P732" s="856" t="s">
        <v>2197</v>
      </c>
      <c r="Q732" s="1008" t="s">
        <v>2577</v>
      </c>
      <c r="R732" s="1144" t="n">
        <v>173200.9455</v>
      </c>
      <c r="S732" s="866" t="n">
        <f aca="false">R732/H728</f>
        <v>5995</v>
      </c>
      <c r="T732" s="943"/>
      <c r="U732" s="842"/>
    </row>
    <row r="733" customFormat="false" ht="15" hidden="false" customHeight="true" outlineLevel="0" collapsed="false">
      <c r="A733" s="882"/>
      <c r="B733" s="830"/>
      <c r="C733" s="830"/>
      <c r="D733" s="848" t="s">
        <v>5</v>
      </c>
      <c r="E733" s="848" t="s">
        <v>2192</v>
      </c>
      <c r="F733" s="832"/>
      <c r="G733" s="833"/>
      <c r="H733" s="834"/>
      <c r="I733" s="1020"/>
      <c r="J733" s="1020"/>
      <c r="K733" s="836"/>
      <c r="L733" s="1002"/>
      <c r="M733" s="1003"/>
      <c r="N733" s="837"/>
      <c r="O733" s="943"/>
      <c r="P733" s="856" t="s">
        <v>2197</v>
      </c>
      <c r="Q733" s="1008" t="s">
        <v>2578</v>
      </c>
      <c r="R733" s="1144" t="n">
        <v>288620.091</v>
      </c>
      <c r="S733" s="866" t="n">
        <f aca="false">R733/H728</f>
        <v>9990</v>
      </c>
      <c r="T733" s="943"/>
      <c r="U733" s="842"/>
    </row>
    <row r="734" customFormat="false" ht="15" hidden="false" customHeight="true" outlineLevel="0" collapsed="false">
      <c r="A734" s="882"/>
      <c r="B734" s="830"/>
      <c r="C734" s="830"/>
      <c r="D734" s="887" t="s">
        <v>5</v>
      </c>
      <c r="E734" s="887" t="s">
        <v>2192</v>
      </c>
      <c r="F734" s="832"/>
      <c r="G734" s="833"/>
      <c r="H734" s="834"/>
      <c r="I734" s="1020"/>
      <c r="J734" s="1020"/>
      <c r="K734" s="836"/>
      <c r="L734" s="1002"/>
      <c r="M734" s="1003"/>
      <c r="N734" s="837"/>
      <c r="O734" s="943"/>
      <c r="P734" s="888" t="s">
        <v>2197</v>
      </c>
      <c r="Q734" s="1364" t="s">
        <v>2579</v>
      </c>
      <c r="R734" s="1146" t="n">
        <v>288620.091</v>
      </c>
      <c r="S734" s="890" t="n">
        <f aca="false">R734/H728</f>
        <v>9990</v>
      </c>
      <c r="T734" s="943"/>
      <c r="U734" s="842"/>
    </row>
    <row r="735" customFormat="false" ht="15" hidden="false" customHeight="true" outlineLevel="0" collapsed="false">
      <c r="A735" s="903" t="n">
        <v>143</v>
      </c>
      <c r="B735" s="903" t="s">
        <v>2207</v>
      </c>
      <c r="C735" s="903" t="n">
        <v>2024</v>
      </c>
      <c r="D735" s="904" t="s">
        <v>5</v>
      </c>
      <c r="E735" s="904" t="s">
        <v>2192</v>
      </c>
      <c r="F735" s="904" t="s">
        <v>1652</v>
      </c>
      <c r="G735" s="905"/>
      <c r="H735" s="946" t="n">
        <v>41.88</v>
      </c>
      <c r="I735" s="1055"/>
      <c r="J735" s="1055"/>
      <c r="K735" s="939" t="n">
        <f aca="false">H735*I735/100</f>
        <v>0</v>
      </c>
      <c r="L735" s="1022" t="n">
        <v>800</v>
      </c>
      <c r="M735" s="1023" t="n">
        <v>1</v>
      </c>
      <c r="N735" s="942" t="n">
        <f aca="false">L735*M735</f>
        <v>800</v>
      </c>
      <c r="O735" s="948" t="n">
        <f aca="false">H735*N735</f>
        <v>33504</v>
      </c>
      <c r="P735" s="910" t="s">
        <v>2197</v>
      </c>
      <c r="Q735" s="1057" t="s">
        <v>2580</v>
      </c>
      <c r="R735" s="1138" t="n">
        <v>33504</v>
      </c>
      <c r="S735" s="886" t="n">
        <f aca="false">R735/H735</f>
        <v>800</v>
      </c>
      <c r="T735" s="948" t="n">
        <f aca="false">O735-R735</f>
        <v>0</v>
      </c>
      <c r="U735" s="942" t="n">
        <f aca="false">N735-S735</f>
        <v>0</v>
      </c>
    </row>
    <row r="736" customFormat="false" ht="15" hidden="false" customHeight="true" outlineLevel="0" collapsed="false">
      <c r="A736" s="829" t="n">
        <v>144</v>
      </c>
      <c r="B736" s="830" t="s">
        <v>2207</v>
      </c>
      <c r="C736" s="830" t="n">
        <v>2024</v>
      </c>
      <c r="D736" s="831" t="s">
        <v>5</v>
      </c>
      <c r="E736" s="831" t="s">
        <v>2192</v>
      </c>
      <c r="F736" s="832" t="s">
        <v>1651</v>
      </c>
      <c r="G736" s="833"/>
      <c r="H736" s="834" t="n">
        <v>29.3257</v>
      </c>
      <c r="I736" s="1020"/>
      <c r="J736" s="1020"/>
      <c r="K736" s="836" t="n">
        <f aca="false">H736*I736/100</f>
        <v>0</v>
      </c>
      <c r="L736" s="1002" t="n">
        <v>17674</v>
      </c>
      <c r="M736" s="1003" t="n">
        <v>1</v>
      </c>
      <c r="N736" s="837" t="n">
        <f aca="false">L736*M736</f>
        <v>17674</v>
      </c>
      <c r="O736" s="943" t="n">
        <f aca="false">H736*N736</f>
        <v>518302.4218</v>
      </c>
      <c r="P736" s="838" t="s">
        <v>2197</v>
      </c>
      <c r="Q736" s="1004" t="s">
        <v>2581</v>
      </c>
      <c r="R736" s="1145" t="n">
        <v>292963.743</v>
      </c>
      <c r="S736" s="840" t="n">
        <f aca="false">R736/H736</f>
        <v>9990</v>
      </c>
      <c r="T736" s="943" t="n">
        <f aca="false">O736-R736-R737</f>
        <v>0</v>
      </c>
      <c r="U736" s="842" t="n">
        <f aca="false">N736-S736-S737</f>
        <v>0</v>
      </c>
    </row>
    <row r="737" customFormat="false" ht="15" hidden="false" customHeight="true" outlineLevel="0" collapsed="false">
      <c r="A737" s="829"/>
      <c r="B737" s="830"/>
      <c r="C737" s="830"/>
      <c r="D737" s="843" t="s">
        <v>5</v>
      </c>
      <c r="E737" s="843" t="s">
        <v>2192</v>
      </c>
      <c r="F737" s="832"/>
      <c r="G737" s="833"/>
      <c r="H737" s="834"/>
      <c r="I737" s="1020"/>
      <c r="J737" s="1020"/>
      <c r="K737" s="836"/>
      <c r="L737" s="1002"/>
      <c r="M737" s="1003"/>
      <c r="N737" s="837"/>
      <c r="O737" s="943"/>
      <c r="P737" s="844" t="s">
        <v>2197</v>
      </c>
      <c r="Q737" s="1005" t="s">
        <v>2582</v>
      </c>
      <c r="R737" s="1136" t="n">
        <v>225338.6788</v>
      </c>
      <c r="S737" s="846" t="n">
        <f aca="false">R737/H736</f>
        <v>7684</v>
      </c>
      <c r="T737" s="943"/>
      <c r="U737" s="842"/>
    </row>
    <row r="738" customFormat="false" ht="15" hidden="false" customHeight="true" outlineLevel="0" collapsed="false">
      <c r="A738" s="829" t="n">
        <v>53</v>
      </c>
      <c r="B738" s="830" t="s">
        <v>2230</v>
      </c>
      <c r="C738" s="830" t="n">
        <v>2024</v>
      </c>
      <c r="D738" s="831" t="s">
        <v>5</v>
      </c>
      <c r="E738" s="831" t="s">
        <v>2192</v>
      </c>
      <c r="F738" s="832" t="s">
        <v>2199</v>
      </c>
      <c r="G738" s="833"/>
      <c r="H738" s="834" t="n">
        <v>61.5516</v>
      </c>
      <c r="I738" s="1020"/>
      <c r="J738" s="1020"/>
      <c r="K738" s="836" t="n">
        <f aca="false">H738*I738/100</f>
        <v>0</v>
      </c>
      <c r="L738" s="1002" t="n">
        <v>10775</v>
      </c>
      <c r="M738" s="1003" t="n">
        <v>1</v>
      </c>
      <c r="N738" s="837" t="n">
        <f aca="false">L738*M738</f>
        <v>10775</v>
      </c>
      <c r="O738" s="943" t="n">
        <f aca="false">H738*N738</f>
        <v>663218.49</v>
      </c>
      <c r="P738" s="838" t="s">
        <v>2197</v>
      </c>
      <c r="Q738" s="1004" t="s">
        <v>2583</v>
      </c>
      <c r="R738" s="1545" t="n">
        <v>613977.21</v>
      </c>
      <c r="S738" s="886" t="n">
        <f aca="false">R738/H738</f>
        <v>9975</v>
      </c>
      <c r="T738" s="1120" t="n">
        <f aca="false">O738-R738-R739</f>
        <v>0</v>
      </c>
      <c r="U738" s="842" t="n">
        <f aca="false">N738-S738-S739</f>
        <v>0</v>
      </c>
    </row>
    <row r="739" customFormat="false" ht="15" hidden="false" customHeight="true" outlineLevel="0" collapsed="false">
      <c r="A739" s="829"/>
      <c r="B739" s="830"/>
      <c r="C739" s="830"/>
      <c r="D739" s="887" t="s">
        <v>5</v>
      </c>
      <c r="E739" s="887" t="s">
        <v>2192</v>
      </c>
      <c r="F739" s="832"/>
      <c r="G739" s="833"/>
      <c r="H739" s="834"/>
      <c r="I739" s="1020"/>
      <c r="J739" s="1020"/>
      <c r="K739" s="836"/>
      <c r="L739" s="1002"/>
      <c r="M739" s="1003"/>
      <c r="N739" s="837"/>
      <c r="O739" s="943"/>
      <c r="P739" s="888" t="s">
        <v>2197</v>
      </c>
      <c r="Q739" s="1364" t="s">
        <v>2584</v>
      </c>
      <c r="R739" s="1136" t="n">
        <v>49241.28</v>
      </c>
      <c r="S739" s="846" t="n">
        <f aca="false">R739/H738</f>
        <v>800</v>
      </c>
      <c r="T739" s="1120"/>
      <c r="U739" s="842"/>
    </row>
    <row r="740" customFormat="false" ht="15" hidden="false" customHeight="true" outlineLevel="0" collapsed="false">
      <c r="A740" s="847" t="n">
        <v>164</v>
      </c>
      <c r="B740" s="847" t="s">
        <v>81</v>
      </c>
      <c r="C740" s="847" t="n">
        <v>2024</v>
      </c>
      <c r="D740" s="848" t="s">
        <v>5</v>
      </c>
      <c r="E740" s="848" t="s">
        <v>2192</v>
      </c>
      <c r="F740" s="848" t="s">
        <v>2199</v>
      </c>
      <c r="G740" s="849"/>
      <c r="H740" s="949" t="n">
        <v>82.8</v>
      </c>
      <c r="I740" s="1397"/>
      <c r="J740" s="1397"/>
      <c r="K740" s="852" t="n">
        <f aca="false">H740*I740/100</f>
        <v>0</v>
      </c>
      <c r="L740" s="1006" t="n">
        <v>19680</v>
      </c>
      <c r="M740" s="1007" t="n">
        <v>1</v>
      </c>
      <c r="N740" s="1143" t="n">
        <f aca="false">L740*M740</f>
        <v>19680</v>
      </c>
      <c r="O740" s="1143" t="n">
        <f aca="false">H740*N740</f>
        <v>1629504</v>
      </c>
      <c r="P740" s="856" t="s">
        <v>2200</v>
      </c>
      <c r="Q740" s="1008" t="s">
        <v>2544</v>
      </c>
      <c r="R740" s="1144" t="n">
        <v>1629504</v>
      </c>
      <c r="S740" s="866" t="n">
        <f aca="false">R740/H740</f>
        <v>19680</v>
      </c>
      <c r="T740" s="537" t="n">
        <f aca="false">O740-R740</f>
        <v>0</v>
      </c>
      <c r="U740" s="537" t="n">
        <f aca="false">N740-S740</f>
        <v>0</v>
      </c>
    </row>
    <row r="741" customFormat="false" ht="15" hidden="false" customHeight="true" outlineLevel="0" collapsed="false">
      <c r="A741" s="847" t="n">
        <v>168</v>
      </c>
      <c r="B741" s="847" t="s">
        <v>81</v>
      </c>
      <c r="C741" s="847" t="n">
        <v>2024</v>
      </c>
      <c r="D741" s="848" t="s">
        <v>5</v>
      </c>
      <c r="E741" s="848" t="s">
        <v>2192</v>
      </c>
      <c r="F741" s="848" t="s">
        <v>2199</v>
      </c>
      <c r="G741" s="849"/>
      <c r="H741" s="949" t="n">
        <v>90.72</v>
      </c>
      <c r="I741" s="1397"/>
      <c r="J741" s="1397"/>
      <c r="K741" s="852" t="n">
        <f aca="false">H741*I741/100</f>
        <v>0</v>
      </c>
      <c r="L741" s="1006" t="n">
        <v>23740</v>
      </c>
      <c r="M741" s="1007" t="n">
        <v>1</v>
      </c>
      <c r="N741" s="1143" t="n">
        <f aca="false">L741*M741</f>
        <v>23740</v>
      </c>
      <c r="O741" s="1143" t="n">
        <f aca="false">H741*N741</f>
        <v>2153692.8</v>
      </c>
      <c r="P741" s="856"/>
      <c r="Q741" s="1008" t="s">
        <v>995</v>
      </c>
      <c r="R741" s="854" t="n">
        <v>2153693</v>
      </c>
      <c r="S741" s="866" t="n">
        <f aca="false">R741/H741</f>
        <v>23740.0022045855</v>
      </c>
      <c r="T741" s="537" t="n">
        <f aca="false">O741-R741</f>
        <v>-0.200000000186265</v>
      </c>
      <c r="U741" s="537" t="n">
        <f aca="false">N741-S741</f>
        <v>-0.00220458553667413</v>
      </c>
    </row>
    <row r="742" customFormat="false" ht="15" hidden="false" customHeight="true" outlineLevel="0" collapsed="false">
      <c r="A742" s="903" t="n">
        <v>170</v>
      </c>
      <c r="B742" s="903" t="s">
        <v>81</v>
      </c>
      <c r="C742" s="903" t="n">
        <v>2024</v>
      </c>
      <c r="D742" s="904" t="s">
        <v>5</v>
      </c>
      <c r="E742" s="904" t="s">
        <v>2192</v>
      </c>
      <c r="F742" s="904" t="s">
        <v>2199</v>
      </c>
      <c r="G742" s="905"/>
      <c r="H742" s="946" t="n">
        <v>84</v>
      </c>
      <c r="I742" s="1055"/>
      <c r="J742" s="1055"/>
      <c r="K742" s="939" t="n">
        <f aca="false">H742*I742/100</f>
        <v>0</v>
      </c>
      <c r="L742" s="1022" t="n">
        <v>14740</v>
      </c>
      <c r="M742" s="1023" t="n">
        <v>1</v>
      </c>
      <c r="N742" s="1137" t="n">
        <f aca="false">L742*M742</f>
        <v>14740</v>
      </c>
      <c r="O742" s="1137" t="n">
        <f aca="false">H742*N742</f>
        <v>1238160</v>
      </c>
      <c r="P742" s="910" t="s">
        <v>2200</v>
      </c>
      <c r="Q742" s="1057" t="s">
        <v>2546</v>
      </c>
      <c r="R742" s="1138" t="n">
        <v>1238160</v>
      </c>
      <c r="S742" s="877" t="n">
        <f aca="false">R742/H742</f>
        <v>14740</v>
      </c>
      <c r="T742" s="942" t="n">
        <f aca="false">O742-R742</f>
        <v>0</v>
      </c>
      <c r="U742" s="942" t="n">
        <f aca="false">N742-S742</f>
        <v>0</v>
      </c>
    </row>
    <row r="743" customFormat="false" ht="15" hidden="false" customHeight="true" outlineLevel="0" collapsed="false">
      <c r="A743" s="881" t="n">
        <v>129</v>
      </c>
      <c r="B743" s="829" t="s">
        <v>86</v>
      </c>
      <c r="C743" s="830" t="n">
        <v>2024</v>
      </c>
      <c r="D743" s="831" t="s">
        <v>5</v>
      </c>
      <c r="E743" s="831" t="s">
        <v>2192</v>
      </c>
      <c r="F743" s="832" t="s">
        <v>1650</v>
      </c>
      <c r="G743" s="833"/>
      <c r="H743" s="834" t="n">
        <v>91.5</v>
      </c>
      <c r="I743" s="1020"/>
      <c r="J743" s="1020"/>
      <c r="K743" s="836" t="n">
        <f aca="false">H743*I743/100</f>
        <v>0</v>
      </c>
      <c r="L743" s="1002" t="n">
        <v>16310</v>
      </c>
      <c r="M743" s="1003" t="n">
        <v>1</v>
      </c>
      <c r="N743" s="837" t="n">
        <f aca="false">L743*M743</f>
        <v>16310</v>
      </c>
      <c r="O743" s="837" t="n">
        <f aca="false">H743*N743</f>
        <v>1492365</v>
      </c>
      <c r="P743" s="838" t="s">
        <v>2193</v>
      </c>
      <c r="Q743" s="1004" t="s">
        <v>2344</v>
      </c>
      <c r="R743" s="1145" t="n">
        <v>412665</v>
      </c>
      <c r="S743" s="840" t="n">
        <f aca="false">R743/H743</f>
        <v>4510</v>
      </c>
      <c r="T743" s="1120" t="n">
        <f aca="false">O743-R743-R744</f>
        <v>0</v>
      </c>
      <c r="U743" s="842" t="n">
        <f aca="false">N743-S743-S744</f>
        <v>0</v>
      </c>
    </row>
    <row r="744" customFormat="false" ht="15" hidden="false" customHeight="true" outlineLevel="0" collapsed="false">
      <c r="A744" s="881"/>
      <c r="B744" s="829"/>
      <c r="C744" s="830"/>
      <c r="D744" s="887" t="s">
        <v>5</v>
      </c>
      <c r="E744" s="887" t="s">
        <v>2192</v>
      </c>
      <c r="F744" s="832"/>
      <c r="G744" s="833"/>
      <c r="H744" s="834"/>
      <c r="I744" s="1020"/>
      <c r="J744" s="1020"/>
      <c r="K744" s="836"/>
      <c r="L744" s="1002"/>
      <c r="M744" s="1003"/>
      <c r="N744" s="837"/>
      <c r="O744" s="837"/>
      <c r="P744" s="888" t="s">
        <v>2232</v>
      </c>
      <c r="Q744" s="1364" t="s">
        <v>2254</v>
      </c>
      <c r="R744" s="1146" t="n">
        <v>1079700</v>
      </c>
      <c r="S744" s="846" t="n">
        <f aca="false">R744/H743</f>
        <v>11800</v>
      </c>
      <c r="T744" s="1120"/>
      <c r="U744" s="842"/>
    </row>
    <row r="745" customFormat="false" ht="15" hidden="false" customHeight="true" outlineLevel="0" collapsed="false">
      <c r="A745" s="881"/>
      <c r="B745" s="847" t="s">
        <v>86</v>
      </c>
      <c r="C745" s="847" t="n">
        <v>2024</v>
      </c>
      <c r="D745" s="848" t="s">
        <v>5</v>
      </c>
      <c r="E745" s="848" t="s">
        <v>2242</v>
      </c>
      <c r="F745" s="848"/>
      <c r="G745" s="849"/>
      <c r="H745" s="949" t="n">
        <v>67.3</v>
      </c>
      <c r="I745" s="1397"/>
      <c r="J745" s="1397"/>
      <c r="K745" s="852" t="n">
        <f aca="false">H745*I745/100</f>
        <v>0</v>
      </c>
      <c r="L745" s="1006" t="n">
        <v>668</v>
      </c>
      <c r="M745" s="1007" t="n">
        <v>1</v>
      </c>
      <c r="N745" s="1143" t="n">
        <f aca="false">L745*M745</f>
        <v>668</v>
      </c>
      <c r="O745" s="1143" t="n">
        <f aca="false">H745*N745</f>
        <v>44956.4</v>
      </c>
      <c r="P745" s="856" t="s">
        <v>2200</v>
      </c>
      <c r="Q745" s="1008" t="s">
        <v>2434</v>
      </c>
      <c r="R745" s="1144" t="n">
        <v>44956.4</v>
      </c>
      <c r="S745" s="886" t="n">
        <f aca="false">R745/H745</f>
        <v>668</v>
      </c>
      <c r="T745" s="537" t="n">
        <f aca="false">O745-R745</f>
        <v>0</v>
      </c>
      <c r="U745" s="537" t="n">
        <f aca="false">N745-S745</f>
        <v>0</v>
      </c>
    </row>
    <row r="746" customFormat="false" ht="15" hidden="false" customHeight="true" outlineLevel="0" collapsed="false">
      <c r="A746" s="881"/>
      <c r="B746" s="859" t="s">
        <v>86</v>
      </c>
      <c r="C746" s="859" t="n">
        <v>2024</v>
      </c>
      <c r="D746" s="860" t="s">
        <v>5</v>
      </c>
      <c r="E746" s="860" t="s">
        <v>2203</v>
      </c>
      <c r="F746" s="860"/>
      <c r="G746" s="861"/>
      <c r="H746" s="980" t="n">
        <v>13.6</v>
      </c>
      <c r="I746" s="1429"/>
      <c r="J746" s="1429"/>
      <c r="K746" s="852" t="n">
        <f aca="false">H746*I746/100</f>
        <v>0</v>
      </c>
      <c r="L746" s="982" t="n">
        <v>2005</v>
      </c>
      <c r="M746" s="983" t="n">
        <v>1</v>
      </c>
      <c r="N746" s="1143" t="n">
        <f aca="false">L746*M746</f>
        <v>2005</v>
      </c>
      <c r="O746" s="1143" t="n">
        <f aca="false">H746*N746</f>
        <v>27268</v>
      </c>
      <c r="P746" s="868" t="s">
        <v>2204</v>
      </c>
      <c r="Q746" s="1012" t="n">
        <v>28022025</v>
      </c>
      <c r="R746" s="1147" t="n">
        <v>27268</v>
      </c>
      <c r="S746" s="866" t="n">
        <f aca="false">R746/H746</f>
        <v>2005</v>
      </c>
      <c r="T746" s="537" t="n">
        <f aca="false">O746-R746</f>
        <v>0</v>
      </c>
      <c r="U746" s="892" t="n">
        <f aca="false">N746-S746</f>
        <v>0</v>
      </c>
    </row>
    <row r="747" customFormat="false" ht="15" hidden="false" customHeight="true" outlineLevel="0" collapsed="false">
      <c r="A747" s="881"/>
      <c r="B747" s="859" t="s">
        <v>86</v>
      </c>
      <c r="C747" s="859" t="n">
        <v>2024</v>
      </c>
      <c r="D747" s="860" t="s">
        <v>5</v>
      </c>
      <c r="E747" s="860" t="s">
        <v>2241</v>
      </c>
      <c r="F747" s="860"/>
      <c r="G747" s="861"/>
      <c r="H747" s="980" t="n">
        <v>54</v>
      </c>
      <c r="I747" s="1429"/>
      <c r="J747" s="1429"/>
      <c r="K747" s="852" t="n">
        <f aca="false">H747*I747/100</f>
        <v>0</v>
      </c>
      <c r="L747" s="982" t="n">
        <v>452</v>
      </c>
      <c r="M747" s="983" t="n">
        <v>1</v>
      </c>
      <c r="N747" s="1143" t="n">
        <f aca="false">L747*M747</f>
        <v>452</v>
      </c>
      <c r="O747" s="1143" t="n">
        <f aca="false">H747*N747</f>
        <v>24408</v>
      </c>
      <c r="P747" s="868" t="s">
        <v>2200</v>
      </c>
      <c r="Q747" s="1011" t="s">
        <v>2434</v>
      </c>
      <c r="R747" s="1147" t="n">
        <v>24408</v>
      </c>
      <c r="S747" s="866" t="n">
        <f aca="false">R747/H747</f>
        <v>452</v>
      </c>
      <c r="T747" s="537" t="n">
        <f aca="false">O747-R747</f>
        <v>0</v>
      </c>
      <c r="U747" s="892" t="n">
        <f aca="false">N747-S747</f>
        <v>0</v>
      </c>
    </row>
    <row r="748" customFormat="false" ht="15" hidden="false" customHeight="true" outlineLevel="0" collapsed="false">
      <c r="A748" s="881"/>
      <c r="B748" s="893" t="s">
        <v>86</v>
      </c>
      <c r="C748" s="893" t="n">
        <v>2024</v>
      </c>
      <c r="D748" s="843" t="s">
        <v>5</v>
      </c>
      <c r="E748" s="843" t="s">
        <v>2205</v>
      </c>
      <c r="F748" s="843"/>
      <c r="G748" s="894"/>
      <c r="H748" s="1103" t="n">
        <v>14.1</v>
      </c>
      <c r="I748" s="1532"/>
      <c r="J748" s="1532"/>
      <c r="K748" s="1064" t="n">
        <f aca="false">H748*I748/100</f>
        <v>0</v>
      </c>
      <c r="L748" s="1105" t="n">
        <v>334</v>
      </c>
      <c r="M748" s="1106" t="n">
        <v>1</v>
      </c>
      <c r="N748" s="1082" t="n">
        <f aca="false">L748*M748</f>
        <v>334</v>
      </c>
      <c r="O748" s="1509" t="n">
        <f aca="false">H748*N748</f>
        <v>4709.4</v>
      </c>
      <c r="P748" s="844" t="s">
        <v>2200</v>
      </c>
      <c r="Q748" s="1005" t="s">
        <v>2434</v>
      </c>
      <c r="R748" s="1136" t="n">
        <v>4709.4</v>
      </c>
      <c r="S748" s="846" t="n">
        <f aca="false">R748/H748</f>
        <v>334</v>
      </c>
      <c r="T748" s="1067" t="n">
        <f aca="false">O748-R748</f>
        <v>0</v>
      </c>
      <c r="U748" s="1070" t="n">
        <f aca="false">N748-S748</f>
        <v>0</v>
      </c>
    </row>
    <row r="749" customFormat="false" ht="15" hidden="false" customHeight="true" outlineLevel="0" collapsed="false">
      <c r="A749" s="881" t="n">
        <v>131</v>
      </c>
      <c r="B749" s="829" t="s">
        <v>86</v>
      </c>
      <c r="C749" s="830" t="n">
        <v>2024</v>
      </c>
      <c r="D749" s="831" t="s">
        <v>5</v>
      </c>
      <c r="E749" s="831" t="s">
        <v>2192</v>
      </c>
      <c r="F749" s="832" t="s">
        <v>1650</v>
      </c>
      <c r="G749" s="833"/>
      <c r="H749" s="834" t="n">
        <v>94.3</v>
      </c>
      <c r="I749" s="1020"/>
      <c r="J749" s="1020"/>
      <c r="K749" s="836" t="n">
        <f aca="false">H749*I749/100</f>
        <v>0</v>
      </c>
      <c r="L749" s="1002" t="n">
        <v>12676</v>
      </c>
      <c r="M749" s="1003" t="n">
        <v>1</v>
      </c>
      <c r="N749" s="837" t="n">
        <f aca="false">L749*M749</f>
        <v>12676</v>
      </c>
      <c r="O749" s="837" t="n">
        <f aca="false">H749*N749</f>
        <v>1195346.8</v>
      </c>
      <c r="P749" s="838" t="s">
        <v>2193</v>
      </c>
      <c r="Q749" s="1004" t="s">
        <v>2585</v>
      </c>
      <c r="R749" s="1145" t="n">
        <v>452640</v>
      </c>
      <c r="S749" s="886" t="n">
        <f aca="false">R749/H749</f>
        <v>4800</v>
      </c>
      <c r="T749" s="1120" t="n">
        <f aca="false">O749-R749-R752-R750-R751</f>
        <v>0</v>
      </c>
      <c r="U749" s="842" t="n">
        <f aca="false">N749-S749-S752-S750-S751</f>
        <v>0</v>
      </c>
    </row>
    <row r="750" customFormat="false" ht="15" hidden="false" customHeight="true" outlineLevel="0" collapsed="false">
      <c r="A750" s="881"/>
      <c r="B750" s="829"/>
      <c r="C750" s="830"/>
      <c r="D750" s="848" t="s">
        <v>5</v>
      </c>
      <c r="E750" s="848" t="s">
        <v>2192</v>
      </c>
      <c r="F750" s="832"/>
      <c r="G750" s="833"/>
      <c r="H750" s="834"/>
      <c r="I750" s="1020"/>
      <c r="J750" s="1020"/>
      <c r="K750" s="836"/>
      <c r="L750" s="1002"/>
      <c r="M750" s="1003"/>
      <c r="N750" s="837"/>
      <c r="O750" s="837"/>
      <c r="P750" s="856" t="s">
        <v>2232</v>
      </c>
      <c r="Q750" s="1008" t="s">
        <v>2389</v>
      </c>
      <c r="R750" s="1144" t="n">
        <v>40171.8</v>
      </c>
      <c r="S750" s="866" t="n">
        <f aca="false">R750/H749</f>
        <v>426</v>
      </c>
      <c r="T750" s="1120"/>
      <c r="U750" s="842"/>
    </row>
    <row r="751" customFormat="false" ht="15" hidden="false" customHeight="true" outlineLevel="0" collapsed="false">
      <c r="A751" s="881"/>
      <c r="B751" s="829"/>
      <c r="C751" s="830"/>
      <c r="D751" s="848" t="s">
        <v>5</v>
      </c>
      <c r="E751" s="848" t="s">
        <v>2192</v>
      </c>
      <c r="F751" s="832"/>
      <c r="G751" s="833"/>
      <c r="H751" s="834"/>
      <c r="I751" s="1020"/>
      <c r="J751" s="1020"/>
      <c r="K751" s="836"/>
      <c r="L751" s="1002"/>
      <c r="M751" s="1003"/>
      <c r="N751" s="837"/>
      <c r="O751" s="837"/>
      <c r="P751" s="856" t="s">
        <v>2193</v>
      </c>
      <c r="Q751" s="1008" t="s">
        <v>2343</v>
      </c>
      <c r="R751" s="1144" t="n">
        <v>334765</v>
      </c>
      <c r="S751" s="866" t="n">
        <f aca="false">R751/H749</f>
        <v>3550</v>
      </c>
      <c r="T751" s="1120"/>
      <c r="U751" s="842"/>
    </row>
    <row r="752" customFormat="false" ht="15" hidden="false" customHeight="true" outlineLevel="0" collapsed="false">
      <c r="A752" s="881"/>
      <c r="B752" s="829"/>
      <c r="C752" s="830"/>
      <c r="D752" s="887" t="s">
        <v>5</v>
      </c>
      <c r="E752" s="887" t="s">
        <v>2192</v>
      </c>
      <c r="F752" s="832"/>
      <c r="G752" s="833"/>
      <c r="H752" s="834"/>
      <c r="I752" s="1020"/>
      <c r="J752" s="1020"/>
      <c r="K752" s="836"/>
      <c r="L752" s="1002"/>
      <c r="M752" s="1003"/>
      <c r="N752" s="837"/>
      <c r="O752" s="837"/>
      <c r="P752" s="888" t="s">
        <v>2197</v>
      </c>
      <c r="Q752" s="1364" t="s">
        <v>2586</v>
      </c>
      <c r="R752" s="1146" t="n">
        <v>367770</v>
      </c>
      <c r="S752" s="846" t="n">
        <f aca="false">R752/H749</f>
        <v>3900</v>
      </c>
      <c r="T752" s="1120"/>
      <c r="U752" s="842"/>
    </row>
    <row r="753" customFormat="false" ht="15" hidden="false" customHeight="true" outlineLevel="0" collapsed="false">
      <c r="A753" s="881"/>
      <c r="B753" s="847" t="s">
        <v>86</v>
      </c>
      <c r="C753" s="847" t="n">
        <v>2024</v>
      </c>
      <c r="D753" s="848" t="s">
        <v>5</v>
      </c>
      <c r="E753" s="848" t="s">
        <v>2242</v>
      </c>
      <c r="F753" s="848"/>
      <c r="G753" s="849"/>
      <c r="H753" s="949" t="n">
        <v>26.4</v>
      </c>
      <c r="I753" s="1397"/>
      <c r="J753" s="1397"/>
      <c r="K753" s="852" t="n">
        <f aca="false">H753*I753/100</f>
        <v>0</v>
      </c>
      <c r="L753" s="1006" t="n">
        <v>250</v>
      </c>
      <c r="M753" s="1007" t="n">
        <v>1</v>
      </c>
      <c r="N753" s="537" t="n">
        <f aca="false">L753*M753</f>
        <v>250</v>
      </c>
      <c r="O753" s="537" t="n">
        <f aca="false">H753*N753</f>
        <v>6600</v>
      </c>
      <c r="P753" s="856" t="s">
        <v>2200</v>
      </c>
      <c r="Q753" s="1008" t="s">
        <v>2434</v>
      </c>
      <c r="R753" s="1144" t="n">
        <v>6600</v>
      </c>
      <c r="S753" s="886" t="n">
        <f aca="false">R753/H753</f>
        <v>250</v>
      </c>
      <c r="T753" s="537" t="n">
        <f aca="false">O753-R753</f>
        <v>0</v>
      </c>
      <c r="U753" s="892" t="n">
        <f aca="false">N753-S753</f>
        <v>0</v>
      </c>
    </row>
    <row r="754" customFormat="false" ht="15" hidden="false" customHeight="true" outlineLevel="0" collapsed="false">
      <c r="A754" s="881"/>
      <c r="B754" s="859" t="s">
        <v>86</v>
      </c>
      <c r="C754" s="859" t="n">
        <v>2024</v>
      </c>
      <c r="D754" s="860" t="s">
        <v>5</v>
      </c>
      <c r="E754" s="860" t="s">
        <v>2203</v>
      </c>
      <c r="F754" s="860"/>
      <c r="G754" s="861"/>
      <c r="H754" s="980" t="n">
        <v>21.7</v>
      </c>
      <c r="I754" s="1429"/>
      <c r="J754" s="1429"/>
      <c r="K754" s="864" t="n">
        <f aca="false">H754*I754/100</f>
        <v>0</v>
      </c>
      <c r="L754" s="982" t="n">
        <v>1761</v>
      </c>
      <c r="M754" s="983" t="n">
        <v>1</v>
      </c>
      <c r="N754" s="543" t="n">
        <f aca="false">L754*M754</f>
        <v>1761</v>
      </c>
      <c r="O754" s="543" t="n">
        <f aca="false">H754*N754</f>
        <v>38213.7</v>
      </c>
      <c r="P754" s="868" t="s">
        <v>2200</v>
      </c>
      <c r="Q754" s="1011" t="s">
        <v>2434</v>
      </c>
      <c r="R754" s="1147" t="n">
        <v>38213.7</v>
      </c>
      <c r="S754" s="866" t="n">
        <f aca="false">R754/H754</f>
        <v>1761</v>
      </c>
      <c r="T754" s="543" t="n">
        <f aca="false">O754-R754</f>
        <v>0</v>
      </c>
      <c r="U754" s="1135" t="n">
        <f aca="false">N754-S754</f>
        <v>0</v>
      </c>
    </row>
    <row r="755" customFormat="false" ht="15" hidden="false" customHeight="true" outlineLevel="0" collapsed="false">
      <c r="A755" s="881"/>
      <c r="B755" s="893" t="s">
        <v>86</v>
      </c>
      <c r="C755" s="893" t="n">
        <v>2024</v>
      </c>
      <c r="D755" s="843" t="s">
        <v>5</v>
      </c>
      <c r="E755" s="843" t="s">
        <v>2205</v>
      </c>
      <c r="F755" s="843"/>
      <c r="G755" s="894"/>
      <c r="H755" s="1103" t="n">
        <v>5.6</v>
      </c>
      <c r="I755" s="1532"/>
      <c r="J755" s="1532"/>
      <c r="K755" s="897" t="n">
        <f aca="false">H755*I755/100</f>
        <v>0</v>
      </c>
      <c r="L755" s="1105" t="n">
        <v>345</v>
      </c>
      <c r="M755" s="1106" t="n">
        <v>1</v>
      </c>
      <c r="N755" s="589" t="n">
        <f aca="false">L755*M755</f>
        <v>345</v>
      </c>
      <c r="O755" s="589" t="n">
        <f aca="false">H755*N755</f>
        <v>1932</v>
      </c>
      <c r="P755" s="844" t="s">
        <v>2204</v>
      </c>
      <c r="Q755" s="900" t="n">
        <v>28022025</v>
      </c>
      <c r="R755" s="1136" t="n">
        <v>1932</v>
      </c>
      <c r="S755" s="846" t="n">
        <f aca="false">R755/H755</f>
        <v>345</v>
      </c>
      <c r="T755" s="589" t="n">
        <f aca="false">O755-R755</f>
        <v>0</v>
      </c>
      <c r="U755" s="902" t="n">
        <f aca="false">N755-S755</f>
        <v>0</v>
      </c>
    </row>
    <row r="756" customFormat="false" ht="15" hidden="false" customHeight="true" outlineLevel="0" collapsed="false">
      <c r="A756" s="903" t="n">
        <v>177</v>
      </c>
      <c r="B756" s="903" t="s">
        <v>81</v>
      </c>
      <c r="C756" s="903" t="n">
        <v>2024</v>
      </c>
      <c r="D756" s="904" t="s">
        <v>5</v>
      </c>
      <c r="E756" s="904" t="s">
        <v>2192</v>
      </c>
      <c r="F756" s="904" t="s">
        <v>2199</v>
      </c>
      <c r="G756" s="905"/>
      <c r="H756" s="946" t="n">
        <v>86.6</v>
      </c>
      <c r="I756" s="1055"/>
      <c r="J756" s="1055"/>
      <c r="K756" s="939" t="n">
        <f aca="false">H756*I756/100</f>
        <v>0</v>
      </c>
      <c r="L756" s="1022" t="n">
        <v>22900</v>
      </c>
      <c r="M756" s="1023" t="n">
        <v>1</v>
      </c>
      <c r="N756" s="1137" t="n">
        <f aca="false">L756*M756</f>
        <v>22900</v>
      </c>
      <c r="O756" s="1137" t="n">
        <f aca="false">H756*N756</f>
        <v>1983140</v>
      </c>
      <c r="P756" s="910" t="s">
        <v>2200</v>
      </c>
      <c r="Q756" s="1057" t="s">
        <v>2559</v>
      </c>
      <c r="R756" s="1138" t="n">
        <v>1983140</v>
      </c>
      <c r="S756" s="891" t="n">
        <f aca="false">R756/H756</f>
        <v>22900</v>
      </c>
      <c r="T756" s="1122" t="n">
        <f aca="false">O756-R756</f>
        <v>0</v>
      </c>
      <c r="U756" s="942" t="n">
        <f aca="false">N756-S756</f>
        <v>0</v>
      </c>
    </row>
    <row r="757" customFormat="false" ht="15" hidden="false" customHeight="true" outlineLevel="0" collapsed="false">
      <c r="A757" s="1027" t="n">
        <v>196</v>
      </c>
      <c r="B757" s="1028" t="s">
        <v>2207</v>
      </c>
      <c r="C757" s="1028" t="n">
        <v>2024</v>
      </c>
      <c r="D757" s="831" t="s">
        <v>5</v>
      </c>
      <c r="E757" s="831" t="s">
        <v>2192</v>
      </c>
      <c r="F757" s="1328" t="s">
        <v>1651</v>
      </c>
      <c r="G757" s="1030"/>
      <c r="H757" s="1031" t="n">
        <v>27.489</v>
      </c>
      <c r="I757" s="1517"/>
      <c r="J757" s="1517"/>
      <c r="K757" s="1033" t="n">
        <f aca="false">H757*I757/100</f>
        <v>0</v>
      </c>
      <c r="L757" s="1034" t="n">
        <v>15012</v>
      </c>
      <c r="M757" s="1035" t="n">
        <v>1</v>
      </c>
      <c r="N757" s="1036" t="n">
        <f aca="false">L757*M757</f>
        <v>15012</v>
      </c>
      <c r="O757" s="1036" t="n">
        <f aca="false">H757*N757</f>
        <v>412664.868</v>
      </c>
      <c r="P757" s="838" t="s">
        <v>2197</v>
      </c>
      <c r="Q757" s="1004" t="s">
        <v>2587</v>
      </c>
      <c r="R757" s="1145" t="n">
        <v>274615.11</v>
      </c>
      <c r="S757" s="886" t="n">
        <f aca="false">R757/H757</f>
        <v>9990</v>
      </c>
      <c r="T757" s="1036" t="n">
        <f aca="false">O757-R757-R759-R758</f>
        <v>0.00300000002243905</v>
      </c>
      <c r="U757" s="1037" t="n">
        <f aca="false">N757-S757-S759-S758</f>
        <v>0.000109134562876534</v>
      </c>
    </row>
    <row r="758" customFormat="false" ht="15" hidden="false" customHeight="true" outlineLevel="0" collapsed="false">
      <c r="A758" s="1027"/>
      <c r="B758" s="1028"/>
      <c r="C758" s="1028"/>
      <c r="D758" s="904" t="s">
        <v>5</v>
      </c>
      <c r="E758" s="904" t="s">
        <v>2192</v>
      </c>
      <c r="F758" s="1328"/>
      <c r="G758" s="1030"/>
      <c r="H758" s="1031"/>
      <c r="I758" s="1517"/>
      <c r="J758" s="1517"/>
      <c r="K758" s="1033"/>
      <c r="L758" s="1034"/>
      <c r="M758" s="1035"/>
      <c r="N758" s="1036"/>
      <c r="O758" s="1036"/>
      <c r="P758" s="910" t="s">
        <v>2197</v>
      </c>
      <c r="Q758" s="1057" t="s">
        <v>2588</v>
      </c>
      <c r="R758" s="1138" t="n">
        <v>27956.31</v>
      </c>
      <c r="S758" s="866" t="n">
        <f aca="false">R758/H757</f>
        <v>1016.99989086544</v>
      </c>
      <c r="T758" s="1036"/>
      <c r="U758" s="1037"/>
    </row>
    <row r="759" customFormat="false" ht="15" hidden="false" customHeight="true" outlineLevel="0" collapsed="false">
      <c r="A759" s="1027"/>
      <c r="B759" s="1028"/>
      <c r="C759" s="1028"/>
      <c r="D759" s="871" t="s">
        <v>5</v>
      </c>
      <c r="E759" s="871" t="s">
        <v>2192</v>
      </c>
      <c r="F759" s="1328"/>
      <c r="G759" s="1030"/>
      <c r="H759" s="1031"/>
      <c r="I759" s="1517"/>
      <c r="J759" s="1517"/>
      <c r="K759" s="1033"/>
      <c r="L759" s="1034"/>
      <c r="M759" s="1035"/>
      <c r="N759" s="1036"/>
      <c r="O759" s="1036"/>
      <c r="P759" s="879" t="s">
        <v>2197</v>
      </c>
      <c r="Q759" s="1013" t="s">
        <v>2589</v>
      </c>
      <c r="R759" s="1151" t="n">
        <v>110093.445</v>
      </c>
      <c r="S759" s="877" t="n">
        <f aca="false">R759/H757</f>
        <v>4005</v>
      </c>
      <c r="T759" s="1036"/>
      <c r="U759" s="1037"/>
    </row>
    <row r="760" customFormat="false" ht="15" hidden="false" customHeight="true" outlineLevel="0" collapsed="false">
      <c r="A760" s="881" t="n">
        <v>138</v>
      </c>
      <c r="B760" s="829" t="s">
        <v>86</v>
      </c>
      <c r="C760" s="830" t="n">
        <v>2024</v>
      </c>
      <c r="D760" s="831" t="s">
        <v>5</v>
      </c>
      <c r="E760" s="831" t="s">
        <v>2192</v>
      </c>
      <c r="F760" s="832" t="s">
        <v>1650</v>
      </c>
      <c r="G760" s="833"/>
      <c r="H760" s="834" t="n">
        <v>95.3</v>
      </c>
      <c r="I760" s="1020"/>
      <c r="J760" s="1020"/>
      <c r="K760" s="836" t="n">
        <f aca="false">H760*I760/100</f>
        <v>0</v>
      </c>
      <c r="L760" s="1002" t="n">
        <v>19800</v>
      </c>
      <c r="M760" s="1003" t="n">
        <v>1</v>
      </c>
      <c r="N760" s="837" t="n">
        <f aca="false">L760*M760</f>
        <v>19800</v>
      </c>
      <c r="O760" s="837" t="n">
        <f aca="false">H760*N760</f>
        <v>1886940</v>
      </c>
      <c r="P760" s="884" t="s">
        <v>2232</v>
      </c>
      <c r="Q760" s="1015" t="s">
        <v>2389</v>
      </c>
      <c r="R760" s="1545" t="n">
        <v>667100</v>
      </c>
      <c r="S760" s="886" t="n">
        <f aca="false">R760/H760</f>
        <v>7000</v>
      </c>
      <c r="T760" s="1120" t="n">
        <f aca="false">O760-R760-R763-R761-R762</f>
        <v>0</v>
      </c>
      <c r="U760" s="842" t="n">
        <f aca="false">N760-S760-S763-S761-S762</f>
        <v>0</v>
      </c>
    </row>
    <row r="761" customFormat="false" ht="15" hidden="false" customHeight="true" outlineLevel="0" collapsed="false">
      <c r="A761" s="881"/>
      <c r="B761" s="829"/>
      <c r="C761" s="830"/>
      <c r="D761" s="860" t="s">
        <v>5</v>
      </c>
      <c r="E761" s="860" t="s">
        <v>2192</v>
      </c>
      <c r="F761" s="832"/>
      <c r="G761" s="833"/>
      <c r="H761" s="834"/>
      <c r="I761" s="1020"/>
      <c r="J761" s="1020"/>
      <c r="K761" s="836"/>
      <c r="L761" s="1002"/>
      <c r="M761" s="1003"/>
      <c r="N761" s="837"/>
      <c r="O761" s="837"/>
      <c r="P761" s="868" t="s">
        <v>2193</v>
      </c>
      <c r="Q761" s="1011" t="s">
        <v>2590</v>
      </c>
      <c r="R761" s="1147" t="n">
        <v>352610</v>
      </c>
      <c r="S761" s="866" t="n">
        <f aca="false">R761/H760</f>
        <v>3700</v>
      </c>
      <c r="T761" s="1120"/>
      <c r="U761" s="842"/>
    </row>
    <row r="762" customFormat="false" ht="15" hidden="false" customHeight="true" outlineLevel="0" collapsed="false">
      <c r="A762" s="881"/>
      <c r="B762" s="829"/>
      <c r="C762" s="830"/>
      <c r="D762" s="860" t="s">
        <v>5</v>
      </c>
      <c r="E762" s="860" t="s">
        <v>2192</v>
      </c>
      <c r="F762" s="832"/>
      <c r="G762" s="833"/>
      <c r="H762" s="834"/>
      <c r="I762" s="1020"/>
      <c r="J762" s="1020"/>
      <c r="K762" s="836"/>
      <c r="L762" s="1002"/>
      <c r="M762" s="1003"/>
      <c r="N762" s="837"/>
      <c r="O762" s="837"/>
      <c r="P762" s="868" t="s">
        <v>2193</v>
      </c>
      <c r="Q762" s="1011" t="s">
        <v>2591</v>
      </c>
      <c r="R762" s="1147" t="n">
        <v>409790</v>
      </c>
      <c r="S762" s="866" t="n">
        <f aca="false">R762/H760</f>
        <v>4300</v>
      </c>
      <c r="T762" s="1120"/>
      <c r="U762" s="842"/>
    </row>
    <row r="763" customFormat="false" ht="15" hidden="false" customHeight="true" outlineLevel="0" collapsed="false">
      <c r="A763" s="881"/>
      <c r="B763" s="829"/>
      <c r="C763" s="830"/>
      <c r="D763" s="887" t="s">
        <v>5</v>
      </c>
      <c r="E763" s="887" t="s">
        <v>2192</v>
      </c>
      <c r="F763" s="832"/>
      <c r="G763" s="833"/>
      <c r="H763" s="834"/>
      <c r="I763" s="1020"/>
      <c r="J763" s="1020"/>
      <c r="K763" s="836"/>
      <c r="L763" s="1002"/>
      <c r="M763" s="1003"/>
      <c r="N763" s="837"/>
      <c r="O763" s="837"/>
      <c r="P763" s="888" t="s">
        <v>2193</v>
      </c>
      <c r="Q763" s="1364" t="s">
        <v>2456</v>
      </c>
      <c r="R763" s="1146" t="n">
        <v>457440</v>
      </c>
      <c r="S763" s="890" t="n">
        <f aca="false">R763/H760</f>
        <v>4800</v>
      </c>
      <c r="T763" s="1120"/>
      <c r="U763" s="842"/>
    </row>
    <row r="764" customFormat="false" ht="15" hidden="false" customHeight="true" outlineLevel="0" collapsed="false">
      <c r="A764" s="881"/>
      <c r="B764" s="847" t="s">
        <v>86</v>
      </c>
      <c r="C764" s="847" t="n">
        <v>2024</v>
      </c>
      <c r="D764" s="848" t="s">
        <v>5</v>
      </c>
      <c r="E764" s="848" t="s">
        <v>2242</v>
      </c>
      <c r="F764" s="848"/>
      <c r="G764" s="849"/>
      <c r="H764" s="949" t="n">
        <v>36.8</v>
      </c>
      <c r="I764" s="1397"/>
      <c r="J764" s="1397"/>
      <c r="K764" s="852" t="n">
        <f aca="false">H764*I764/100</f>
        <v>0</v>
      </c>
      <c r="L764" s="1006" t="n">
        <v>973</v>
      </c>
      <c r="M764" s="1007" t="n">
        <v>1</v>
      </c>
      <c r="N764" s="1143" t="n">
        <f aca="false">L764*M764</f>
        <v>973</v>
      </c>
      <c r="O764" s="1143" t="n">
        <f aca="false">H764*N764</f>
        <v>35806.4</v>
      </c>
      <c r="P764" s="856" t="s">
        <v>2204</v>
      </c>
      <c r="Q764" s="1436" t="n">
        <v>28022025</v>
      </c>
      <c r="R764" s="1144" t="n">
        <v>35806.4</v>
      </c>
      <c r="S764" s="886" t="n">
        <f aca="false">R764/H764</f>
        <v>973</v>
      </c>
      <c r="T764" s="1347" t="n">
        <f aca="false">O764-R764</f>
        <v>0</v>
      </c>
      <c r="U764" s="892" t="n">
        <f aca="false">N764-S764</f>
        <v>0</v>
      </c>
    </row>
    <row r="765" customFormat="false" ht="15" hidden="false" customHeight="true" outlineLevel="0" collapsed="false">
      <c r="A765" s="881"/>
      <c r="B765" s="859" t="s">
        <v>86</v>
      </c>
      <c r="C765" s="859" t="n">
        <v>2024</v>
      </c>
      <c r="D765" s="860" t="s">
        <v>5</v>
      </c>
      <c r="E765" s="860" t="s">
        <v>2203</v>
      </c>
      <c r="F765" s="860"/>
      <c r="G765" s="861"/>
      <c r="H765" s="980" t="n">
        <v>21.2</v>
      </c>
      <c r="I765" s="1429"/>
      <c r="J765" s="1429"/>
      <c r="K765" s="864" t="n">
        <f aca="false">H765*I765/100</f>
        <v>0</v>
      </c>
      <c r="L765" s="982" t="n">
        <v>1486</v>
      </c>
      <c r="M765" s="983" t="n">
        <v>1</v>
      </c>
      <c r="N765" s="1299" t="n">
        <f aca="false">L765*M765</f>
        <v>1486</v>
      </c>
      <c r="O765" s="1299" t="n">
        <f aca="false">H765*N765</f>
        <v>31503.2</v>
      </c>
      <c r="P765" s="868" t="s">
        <v>2200</v>
      </c>
      <c r="Q765" s="1011" t="s">
        <v>2434</v>
      </c>
      <c r="R765" s="1147" t="n">
        <v>31503.2</v>
      </c>
      <c r="S765" s="866" t="n">
        <f aca="false">R765/H765</f>
        <v>1486</v>
      </c>
      <c r="T765" s="1556" t="n">
        <f aca="false">O765-R765</f>
        <v>0</v>
      </c>
      <c r="U765" s="1135" t="n">
        <f aca="false">N765-S765</f>
        <v>0</v>
      </c>
    </row>
    <row r="766" customFormat="false" ht="15" hidden="false" customHeight="true" outlineLevel="0" collapsed="false">
      <c r="A766" s="881"/>
      <c r="B766" s="859" t="s">
        <v>86</v>
      </c>
      <c r="C766" s="859" t="n">
        <v>2024</v>
      </c>
      <c r="D766" s="860" t="s">
        <v>5</v>
      </c>
      <c r="E766" s="860" t="s">
        <v>2241</v>
      </c>
      <c r="F766" s="860"/>
      <c r="G766" s="861"/>
      <c r="H766" s="980" t="n">
        <v>11.3</v>
      </c>
      <c r="I766" s="1429"/>
      <c r="J766" s="1429"/>
      <c r="K766" s="864" t="n">
        <f aca="false">H766*I766/100</f>
        <v>0</v>
      </c>
      <c r="L766" s="982" t="n">
        <v>315</v>
      </c>
      <c r="M766" s="983" t="n">
        <v>1</v>
      </c>
      <c r="N766" s="1299" t="n">
        <f aca="false">L766*M766</f>
        <v>315</v>
      </c>
      <c r="O766" s="1299" t="n">
        <f aca="false">H766*N766</f>
        <v>3559.5</v>
      </c>
      <c r="P766" s="868" t="s">
        <v>2204</v>
      </c>
      <c r="Q766" s="1012" t="n">
        <v>28022025</v>
      </c>
      <c r="R766" s="1147" t="n">
        <v>3559.5</v>
      </c>
      <c r="S766" s="866" t="n">
        <f aca="false">R766/H766</f>
        <v>315</v>
      </c>
      <c r="T766" s="1556" t="n">
        <f aca="false">O766-R766</f>
        <v>0</v>
      </c>
      <c r="U766" s="1135" t="n">
        <f aca="false">N766-S766</f>
        <v>0</v>
      </c>
    </row>
    <row r="767" customFormat="false" ht="15" hidden="false" customHeight="true" outlineLevel="0" collapsed="false">
      <c r="A767" s="881"/>
      <c r="B767" s="893" t="s">
        <v>86</v>
      </c>
      <c r="C767" s="893" t="n">
        <v>2024</v>
      </c>
      <c r="D767" s="843" t="s">
        <v>5</v>
      </c>
      <c r="E767" s="843" t="s">
        <v>2205</v>
      </c>
      <c r="F767" s="843"/>
      <c r="G767" s="894"/>
      <c r="H767" s="1103" t="n">
        <v>0</v>
      </c>
      <c r="I767" s="1532"/>
      <c r="J767" s="1532"/>
      <c r="K767" s="897" t="n">
        <f aca="false">H767*I767/100</f>
        <v>0</v>
      </c>
      <c r="L767" s="1105" t="n">
        <v>163</v>
      </c>
      <c r="M767" s="1106" t="n">
        <v>1</v>
      </c>
      <c r="N767" s="1393" t="n">
        <f aca="false">L767*M767</f>
        <v>163</v>
      </c>
      <c r="O767" s="1393" t="n">
        <f aca="false">H767*N767</f>
        <v>0</v>
      </c>
      <c r="P767" s="844" t="s">
        <v>2204</v>
      </c>
      <c r="Q767" s="900" t="n">
        <v>28022025</v>
      </c>
      <c r="R767" s="1136" t="n">
        <v>0</v>
      </c>
      <c r="S767" s="846" t="n">
        <v>163</v>
      </c>
      <c r="T767" s="1184" t="n">
        <f aca="false">O767-R767</f>
        <v>0</v>
      </c>
      <c r="U767" s="902" t="n">
        <f aca="false">N767-S767</f>
        <v>0</v>
      </c>
    </row>
    <row r="768" customFormat="false" ht="15" hidden="false" customHeight="true" outlineLevel="0" collapsed="false">
      <c r="A768" s="1087" t="n">
        <v>66</v>
      </c>
      <c r="B768" s="1061" t="s">
        <v>2230</v>
      </c>
      <c r="C768" s="1061" t="n">
        <v>2024</v>
      </c>
      <c r="D768" s="848" t="s">
        <v>5</v>
      </c>
      <c r="E768" s="848" t="s">
        <v>2192</v>
      </c>
      <c r="F768" s="887" t="s">
        <v>2199</v>
      </c>
      <c r="G768" s="1062"/>
      <c r="H768" s="1077" t="n">
        <v>65.1573</v>
      </c>
      <c r="I768" s="1078"/>
      <c r="J768" s="1078"/>
      <c r="K768" s="1064" t="n">
        <f aca="false">H768*I768/100</f>
        <v>0</v>
      </c>
      <c r="L768" s="1065" t="n">
        <v>18500</v>
      </c>
      <c r="M768" s="1066" t="n">
        <v>1</v>
      </c>
      <c r="N768" s="1067" t="n">
        <f aca="false">L768*M768</f>
        <v>18500</v>
      </c>
      <c r="O768" s="1067" t="n">
        <f aca="false">H768*N768</f>
        <v>1205410.05</v>
      </c>
      <c r="P768" s="856" t="s">
        <v>2197</v>
      </c>
      <c r="Q768" s="1008" t="s">
        <v>2592</v>
      </c>
      <c r="R768" s="1088" t="n">
        <v>651573</v>
      </c>
      <c r="S768" s="854" t="n">
        <f aca="false">R768/H768</f>
        <v>10000</v>
      </c>
      <c r="T768" s="1172" t="n">
        <f aca="false">O768-R768-R769</f>
        <v>0</v>
      </c>
      <c r="U768" s="1070" t="n">
        <f aca="false">N768-S768-S769</f>
        <v>0</v>
      </c>
    </row>
    <row r="769" customFormat="false" ht="15" hidden="false" customHeight="true" outlineLevel="0" collapsed="false">
      <c r="A769" s="1087"/>
      <c r="B769" s="1061"/>
      <c r="C769" s="1061"/>
      <c r="D769" s="887" t="s">
        <v>5</v>
      </c>
      <c r="E769" s="887" t="s">
        <v>2192</v>
      </c>
      <c r="F769" s="887"/>
      <c r="G769" s="1062"/>
      <c r="H769" s="1077"/>
      <c r="I769" s="1078"/>
      <c r="J769" s="1078"/>
      <c r="K769" s="1064"/>
      <c r="L769" s="1065"/>
      <c r="M769" s="1066"/>
      <c r="N769" s="1067"/>
      <c r="O769" s="1067"/>
      <c r="P769" s="888" t="s">
        <v>2197</v>
      </c>
      <c r="Q769" s="1364" t="s">
        <v>2593</v>
      </c>
      <c r="R769" s="1146" t="n">
        <v>553837.05</v>
      </c>
      <c r="S769" s="846" t="n">
        <f aca="false">R769/H768</f>
        <v>8500</v>
      </c>
      <c r="T769" s="1172"/>
      <c r="U769" s="1070"/>
    </row>
    <row r="770" customFormat="false" ht="15" hidden="false" customHeight="true" outlineLevel="0" collapsed="false">
      <c r="A770" s="882" t="n">
        <v>198</v>
      </c>
      <c r="B770" s="883" t="s">
        <v>2207</v>
      </c>
      <c r="C770" s="883" t="n">
        <v>2024</v>
      </c>
      <c r="D770" s="831" t="s">
        <v>5</v>
      </c>
      <c r="E770" s="831" t="s">
        <v>2192</v>
      </c>
      <c r="F770" s="832" t="s">
        <v>1651</v>
      </c>
      <c r="G770" s="833"/>
      <c r="H770" s="834" t="n">
        <v>27.2477</v>
      </c>
      <c r="I770" s="1020"/>
      <c r="J770" s="1020"/>
      <c r="K770" s="836" t="n">
        <f aca="false">H770*I770/100</f>
        <v>0</v>
      </c>
      <c r="L770" s="1002" t="n">
        <v>16612</v>
      </c>
      <c r="M770" s="1003" t="n">
        <v>1</v>
      </c>
      <c r="N770" s="837" t="n">
        <f aca="false">L770*M770</f>
        <v>16612</v>
      </c>
      <c r="O770" s="943" t="n">
        <f aca="false">H770*N770</f>
        <v>452638.7924</v>
      </c>
      <c r="P770" s="884" t="s">
        <v>2197</v>
      </c>
      <c r="Q770" s="1015" t="s">
        <v>2594</v>
      </c>
      <c r="R770" s="1545" t="n">
        <v>272204.523</v>
      </c>
      <c r="S770" s="886" t="n">
        <f aca="false">R770/H770</f>
        <v>9990</v>
      </c>
      <c r="T770" s="943" t="n">
        <f aca="false">O770-R770-R772-R771</f>
        <v>0</v>
      </c>
      <c r="U770" s="842" t="n">
        <f aca="false">N770-S770-S772-S771</f>
        <v>0</v>
      </c>
    </row>
    <row r="771" customFormat="false" ht="15" hidden="false" customHeight="true" outlineLevel="0" collapsed="false">
      <c r="A771" s="882"/>
      <c r="B771" s="883"/>
      <c r="C771" s="883"/>
      <c r="D771" s="860" t="s">
        <v>5</v>
      </c>
      <c r="E771" s="860" t="s">
        <v>2192</v>
      </c>
      <c r="F771" s="832"/>
      <c r="G771" s="833"/>
      <c r="H771" s="834"/>
      <c r="I771" s="1020"/>
      <c r="J771" s="1020"/>
      <c r="K771" s="836"/>
      <c r="L771" s="1002"/>
      <c r="M771" s="1003"/>
      <c r="N771" s="837"/>
      <c r="O771" s="943"/>
      <c r="P771" s="868" t="s">
        <v>2197</v>
      </c>
      <c r="Q771" s="1011" t="s">
        <v>2588</v>
      </c>
      <c r="R771" s="1147" t="n">
        <v>152232.8999</v>
      </c>
      <c r="S771" s="866" t="n">
        <f aca="false">R771/H770</f>
        <v>5587</v>
      </c>
      <c r="T771" s="943"/>
      <c r="U771" s="842"/>
    </row>
    <row r="772" customFormat="false" ht="15" hidden="false" customHeight="true" outlineLevel="0" collapsed="false">
      <c r="A772" s="882"/>
      <c r="B772" s="883"/>
      <c r="C772" s="883"/>
      <c r="D772" s="887" t="s">
        <v>5</v>
      </c>
      <c r="E772" s="887" t="s">
        <v>2192</v>
      </c>
      <c r="F772" s="832"/>
      <c r="G772" s="833"/>
      <c r="H772" s="834"/>
      <c r="I772" s="1020"/>
      <c r="J772" s="1020"/>
      <c r="K772" s="836"/>
      <c r="L772" s="1002"/>
      <c r="M772" s="1003"/>
      <c r="N772" s="837"/>
      <c r="O772" s="943"/>
      <c r="P772" s="888" t="s">
        <v>2197</v>
      </c>
      <c r="Q772" s="1364" t="s">
        <v>2595</v>
      </c>
      <c r="R772" s="1146" t="n">
        <v>28201.3695</v>
      </c>
      <c r="S772" s="890" t="n">
        <f aca="false">R772/H770</f>
        <v>1035</v>
      </c>
      <c r="T772" s="943"/>
      <c r="U772" s="842"/>
    </row>
    <row r="773" customFormat="false" ht="15" hidden="false" customHeight="true" outlineLevel="0" collapsed="false">
      <c r="A773" s="1027" t="n">
        <v>202</v>
      </c>
      <c r="B773" s="1028" t="s">
        <v>2207</v>
      </c>
      <c r="C773" s="1028" t="n">
        <v>2024</v>
      </c>
      <c r="D773" s="831" t="s">
        <v>5</v>
      </c>
      <c r="E773" s="831" t="s">
        <v>2192</v>
      </c>
      <c r="F773" s="1328" t="s">
        <v>1651</v>
      </c>
      <c r="G773" s="1030"/>
      <c r="H773" s="1557" t="n">
        <v>24.4478</v>
      </c>
      <c r="I773" s="1517"/>
      <c r="J773" s="1517"/>
      <c r="K773" s="1033" t="n">
        <f aca="false">H773*I773/100</f>
        <v>0</v>
      </c>
      <c r="L773" s="1034" t="n">
        <v>13693</v>
      </c>
      <c r="M773" s="1035" t="n">
        <v>1</v>
      </c>
      <c r="N773" s="1036" t="n">
        <f aca="false">L773*M773</f>
        <v>13693</v>
      </c>
      <c r="O773" s="1547" t="n">
        <f aca="false">H773*N773</f>
        <v>334763.7254</v>
      </c>
      <c r="P773" s="838" t="s">
        <v>2197</v>
      </c>
      <c r="Q773" s="1004" t="s">
        <v>2596</v>
      </c>
      <c r="R773" s="1145" t="n">
        <v>72463.2792</v>
      </c>
      <c r="S773" s="840" t="n">
        <f aca="false">R773/H773</f>
        <v>2964</v>
      </c>
      <c r="T773" s="1547" t="n">
        <f aca="false">O773-R773-R775-R774</f>
        <v>0</v>
      </c>
      <c r="U773" s="1037" t="n">
        <f aca="false">N773-S773-S775-S774</f>
        <v>0</v>
      </c>
    </row>
    <row r="774" customFormat="false" ht="15" hidden="false" customHeight="true" outlineLevel="0" collapsed="false">
      <c r="A774" s="1027"/>
      <c r="B774" s="1028"/>
      <c r="C774" s="1028"/>
      <c r="D774" s="848" t="s">
        <v>5</v>
      </c>
      <c r="E774" s="848" t="s">
        <v>2192</v>
      </c>
      <c r="F774" s="1328"/>
      <c r="G774" s="1030"/>
      <c r="H774" s="1557"/>
      <c r="I774" s="1517"/>
      <c r="J774" s="1517"/>
      <c r="K774" s="1033"/>
      <c r="L774" s="1034"/>
      <c r="M774" s="1035"/>
      <c r="N774" s="1036"/>
      <c r="O774" s="1547"/>
      <c r="P774" s="856" t="s">
        <v>2197</v>
      </c>
      <c r="Q774" s="1008" t="s">
        <v>2597</v>
      </c>
      <c r="R774" s="1144" t="n">
        <v>71607.6062</v>
      </c>
      <c r="S774" s="854" t="n">
        <f aca="false">R774/H773</f>
        <v>2929</v>
      </c>
      <c r="T774" s="1547"/>
      <c r="U774" s="1037"/>
    </row>
    <row r="775" customFormat="false" ht="15" hidden="false" customHeight="true" outlineLevel="0" collapsed="false">
      <c r="A775" s="1027"/>
      <c r="B775" s="1028"/>
      <c r="C775" s="1028"/>
      <c r="D775" s="904" t="s">
        <v>5</v>
      </c>
      <c r="E775" s="904" t="s">
        <v>2192</v>
      </c>
      <c r="F775" s="1328"/>
      <c r="G775" s="1030"/>
      <c r="H775" s="1557"/>
      <c r="I775" s="1517"/>
      <c r="J775" s="1517"/>
      <c r="K775" s="1033"/>
      <c r="L775" s="1034"/>
      <c r="M775" s="1035"/>
      <c r="N775" s="1036"/>
      <c r="O775" s="1547"/>
      <c r="P775" s="910" t="s">
        <v>2197</v>
      </c>
      <c r="Q775" s="1057" t="s">
        <v>2598</v>
      </c>
      <c r="R775" s="1138" t="n">
        <v>190692.84</v>
      </c>
      <c r="S775" s="891" t="n">
        <f aca="false">R775/H773</f>
        <v>7800</v>
      </c>
      <c r="T775" s="1547"/>
      <c r="U775" s="1037"/>
    </row>
    <row r="776" customFormat="false" ht="15" hidden="false" customHeight="true" outlineLevel="0" collapsed="false">
      <c r="A776" s="1027" t="n">
        <v>203</v>
      </c>
      <c r="B776" s="1028" t="s">
        <v>2207</v>
      </c>
      <c r="C776" s="1028" t="n">
        <v>2024</v>
      </c>
      <c r="D776" s="831" t="s">
        <v>5</v>
      </c>
      <c r="E776" s="831" t="s">
        <v>2192</v>
      </c>
      <c r="F776" s="1328" t="s">
        <v>1651</v>
      </c>
      <c r="G776" s="1030"/>
      <c r="H776" s="1557" t="n">
        <v>30.3503</v>
      </c>
      <c r="I776" s="1517"/>
      <c r="J776" s="1517"/>
      <c r="K776" s="1033" t="n">
        <f aca="false">H776*I776/100</f>
        <v>0</v>
      </c>
      <c r="L776" s="1034" t="n">
        <v>15072</v>
      </c>
      <c r="M776" s="1035" t="n">
        <v>1</v>
      </c>
      <c r="N776" s="1036" t="n">
        <f aca="false">L776*M776</f>
        <v>15072</v>
      </c>
      <c r="O776" s="1547" t="n">
        <f aca="false">H776*N776</f>
        <v>457439.7216</v>
      </c>
      <c r="P776" s="838" t="s">
        <v>2197</v>
      </c>
      <c r="Q776" s="1004" t="s">
        <v>2599</v>
      </c>
      <c r="R776" s="1145" t="n">
        <v>182557.0545</v>
      </c>
      <c r="S776" s="886" t="n">
        <f aca="false">R776/H776</f>
        <v>6015</v>
      </c>
      <c r="T776" s="1036" t="n">
        <f aca="false">O776-R776-R778-R777</f>
        <v>-3.27418092638254E-011</v>
      </c>
      <c r="U776" s="1037" t="n">
        <f aca="false">N776-S776-S778-S777</f>
        <v>0</v>
      </c>
    </row>
    <row r="777" customFormat="false" ht="15" hidden="false" customHeight="true" outlineLevel="0" collapsed="false">
      <c r="A777" s="1027"/>
      <c r="B777" s="1028"/>
      <c r="C777" s="1028"/>
      <c r="D777" s="904" t="s">
        <v>5</v>
      </c>
      <c r="E777" s="904" t="s">
        <v>2192</v>
      </c>
      <c r="F777" s="1328"/>
      <c r="G777" s="1030"/>
      <c r="H777" s="1557"/>
      <c r="I777" s="1517"/>
      <c r="J777" s="1517"/>
      <c r="K777" s="1033"/>
      <c r="L777" s="1034"/>
      <c r="M777" s="1035"/>
      <c r="N777" s="1036"/>
      <c r="O777" s="1547"/>
      <c r="P777" s="910" t="s">
        <v>2197</v>
      </c>
      <c r="Q777" s="1057" t="s">
        <v>2600</v>
      </c>
      <c r="R777" s="1138" t="n">
        <v>24947.9466</v>
      </c>
      <c r="S777" s="866" t="n">
        <f aca="false">R777/H776</f>
        <v>822</v>
      </c>
      <c r="T777" s="1036"/>
      <c r="U777" s="1037"/>
    </row>
    <row r="778" customFormat="false" ht="15" hidden="false" customHeight="true" outlineLevel="0" collapsed="false">
      <c r="A778" s="1027"/>
      <c r="B778" s="1028"/>
      <c r="C778" s="1028"/>
      <c r="D778" s="871" t="s">
        <v>5</v>
      </c>
      <c r="E778" s="871" t="s">
        <v>2192</v>
      </c>
      <c r="F778" s="1328"/>
      <c r="G778" s="1030"/>
      <c r="H778" s="1557"/>
      <c r="I778" s="1517"/>
      <c r="J778" s="1517"/>
      <c r="K778" s="1033"/>
      <c r="L778" s="1034"/>
      <c r="M778" s="1035"/>
      <c r="N778" s="1036"/>
      <c r="O778" s="1547"/>
      <c r="P778" s="879" t="s">
        <v>2197</v>
      </c>
      <c r="Q778" s="1013" t="s">
        <v>2601</v>
      </c>
      <c r="R778" s="1151" t="n">
        <v>249934.7205</v>
      </c>
      <c r="S778" s="877" t="n">
        <f aca="false">R778/H776</f>
        <v>8235</v>
      </c>
      <c r="T778" s="1036"/>
      <c r="U778" s="1037"/>
    </row>
    <row r="779" customFormat="false" ht="15" hidden="false" customHeight="true" outlineLevel="0" collapsed="false">
      <c r="A779" s="829" t="n">
        <v>206</v>
      </c>
      <c r="B779" s="830" t="s">
        <v>2207</v>
      </c>
      <c r="C779" s="830" t="n">
        <v>2024</v>
      </c>
      <c r="D779" s="831" t="s">
        <v>5</v>
      </c>
      <c r="E779" s="831" t="s">
        <v>2192</v>
      </c>
      <c r="F779" s="832" t="s">
        <v>1651</v>
      </c>
      <c r="G779" s="833"/>
      <c r="H779" s="1059" t="n">
        <v>27.6361</v>
      </c>
      <c r="I779" s="1020"/>
      <c r="J779" s="1020"/>
      <c r="K779" s="836" t="n">
        <f aca="false">H779*I779/100</f>
        <v>0</v>
      </c>
      <c r="L779" s="1002" t="n">
        <v>12759</v>
      </c>
      <c r="M779" s="1003" t="n">
        <v>1</v>
      </c>
      <c r="N779" s="837" t="n">
        <f aca="false">L779*M779</f>
        <v>12759</v>
      </c>
      <c r="O779" s="943" t="n">
        <f aca="false">H779*N779</f>
        <v>352608.9999</v>
      </c>
      <c r="P779" s="838" t="s">
        <v>2197</v>
      </c>
      <c r="Q779" s="1004" t="s">
        <v>2602</v>
      </c>
      <c r="R779" s="1145" t="n">
        <v>77519.2605</v>
      </c>
      <c r="S779" s="840" t="n">
        <f aca="false">R779/H779</f>
        <v>2805</v>
      </c>
      <c r="T779" s="943" t="n">
        <f aca="false">O779-R779-R780</f>
        <v>0</v>
      </c>
      <c r="U779" s="842" t="n">
        <f aca="false">N779-S779-S780</f>
        <v>0</v>
      </c>
    </row>
    <row r="780" customFormat="false" ht="15" hidden="false" customHeight="true" outlineLevel="0" collapsed="false">
      <c r="A780" s="829"/>
      <c r="B780" s="830"/>
      <c r="C780" s="830"/>
      <c r="D780" s="843" t="s">
        <v>5</v>
      </c>
      <c r="E780" s="843" t="s">
        <v>2192</v>
      </c>
      <c r="F780" s="832"/>
      <c r="G780" s="833"/>
      <c r="H780" s="1059"/>
      <c r="I780" s="1020"/>
      <c r="J780" s="1020"/>
      <c r="K780" s="836"/>
      <c r="L780" s="1002"/>
      <c r="M780" s="1003"/>
      <c r="N780" s="837"/>
      <c r="O780" s="943"/>
      <c r="P780" s="844" t="s">
        <v>2197</v>
      </c>
      <c r="Q780" s="1005" t="s">
        <v>2603</v>
      </c>
      <c r="R780" s="1136" t="n">
        <v>275089.7394</v>
      </c>
      <c r="S780" s="846" t="n">
        <f aca="false">R780/H779</f>
        <v>9954</v>
      </c>
      <c r="T780" s="943"/>
      <c r="U780" s="842"/>
    </row>
    <row r="781" customFormat="false" ht="15" hidden="false" customHeight="true" outlineLevel="0" collapsed="false">
      <c r="A781" s="829" t="n">
        <v>207</v>
      </c>
      <c r="B781" s="830" t="s">
        <v>2207</v>
      </c>
      <c r="C781" s="830" t="n">
        <v>2024</v>
      </c>
      <c r="D781" s="831" t="s">
        <v>5</v>
      </c>
      <c r="E781" s="831" t="s">
        <v>2192</v>
      </c>
      <c r="F781" s="832" t="s">
        <v>1651</v>
      </c>
      <c r="G781" s="833"/>
      <c r="H781" s="1059" t="n">
        <v>27.3193</v>
      </c>
      <c r="I781" s="1020"/>
      <c r="J781" s="1020"/>
      <c r="K781" s="836" t="n">
        <f aca="false">H781*I781/100</f>
        <v>0</v>
      </c>
      <c r="L781" s="1002" t="n">
        <v>15000</v>
      </c>
      <c r="M781" s="1003" t="n">
        <v>1</v>
      </c>
      <c r="N781" s="837" t="n">
        <f aca="false">L781*M781</f>
        <v>15000</v>
      </c>
      <c r="O781" s="943" t="n">
        <f aca="false">H781*N781</f>
        <v>409789.5</v>
      </c>
      <c r="P781" s="838" t="s">
        <v>2197</v>
      </c>
      <c r="Q781" s="1004" t="s">
        <v>2604</v>
      </c>
      <c r="R781" s="1145" t="n">
        <v>272919.807</v>
      </c>
      <c r="S781" s="840" t="n">
        <f aca="false">R781/H781</f>
        <v>9990</v>
      </c>
      <c r="T781" s="943" t="n">
        <f aca="false">O781-R781-R782</f>
        <v>0</v>
      </c>
      <c r="U781" s="842" t="n">
        <f aca="false">N781-S781-S782</f>
        <v>0</v>
      </c>
    </row>
    <row r="782" customFormat="false" ht="15" hidden="false" customHeight="true" outlineLevel="0" collapsed="false">
      <c r="A782" s="829"/>
      <c r="B782" s="830"/>
      <c r="C782" s="830"/>
      <c r="D782" s="843" t="s">
        <v>5</v>
      </c>
      <c r="E782" s="843" t="s">
        <v>2192</v>
      </c>
      <c r="F782" s="832"/>
      <c r="G782" s="833"/>
      <c r="H782" s="1059"/>
      <c r="I782" s="1020"/>
      <c r="J782" s="1020"/>
      <c r="K782" s="836"/>
      <c r="L782" s="1002"/>
      <c r="M782" s="1003"/>
      <c r="N782" s="837"/>
      <c r="O782" s="943"/>
      <c r="P782" s="844" t="s">
        <v>2197</v>
      </c>
      <c r="Q782" s="1005" t="s">
        <v>2605</v>
      </c>
      <c r="R782" s="1136" t="n">
        <v>136869.693</v>
      </c>
      <c r="S782" s="846" t="n">
        <f aca="false">R782/H781</f>
        <v>5010</v>
      </c>
      <c r="T782" s="943"/>
      <c r="U782" s="842"/>
    </row>
    <row r="783" customFormat="false" ht="15" hidden="false" customHeight="true" outlineLevel="0" collapsed="false">
      <c r="A783" s="829" t="n">
        <v>153</v>
      </c>
      <c r="B783" s="1453" t="s">
        <v>86</v>
      </c>
      <c r="C783" s="1453" t="n">
        <v>2024</v>
      </c>
      <c r="D783" s="915" t="s">
        <v>5</v>
      </c>
      <c r="E783" s="915" t="s">
        <v>2192</v>
      </c>
      <c r="F783" s="915" t="s">
        <v>2199</v>
      </c>
      <c r="G783" s="1454"/>
      <c r="H783" s="1558" t="n">
        <v>39.6</v>
      </c>
      <c r="I783" s="1559" t="n">
        <v>57</v>
      </c>
      <c r="J783" s="1559"/>
      <c r="K783" s="1457" t="n">
        <f aca="false">H783*I783/100</f>
        <v>22.572</v>
      </c>
      <c r="L783" s="1458" t="n">
        <v>5136</v>
      </c>
      <c r="M783" s="1459" t="n">
        <v>1</v>
      </c>
      <c r="N783" s="1460" t="n">
        <f aca="false">L783*M783</f>
        <v>5136</v>
      </c>
      <c r="O783" s="1560" t="n">
        <f aca="false">H783*N783</f>
        <v>203385.6</v>
      </c>
      <c r="P783" s="1193"/>
      <c r="Q783" s="1462"/>
      <c r="R783" s="1195"/>
      <c r="S783" s="1196"/>
      <c r="T783" s="1561" t="n">
        <f aca="false">O783-R783</f>
        <v>203385.6</v>
      </c>
      <c r="U783" s="1464" t="n">
        <f aca="false">N783-S783</f>
        <v>5136</v>
      </c>
    </row>
    <row r="784" customFormat="false" ht="15" hidden="false" customHeight="true" outlineLevel="0" collapsed="false">
      <c r="A784" s="829"/>
      <c r="B784" s="1155" t="s">
        <v>86</v>
      </c>
      <c r="C784" s="1155" t="n">
        <v>2024</v>
      </c>
      <c r="D784" s="1156" t="s">
        <v>5</v>
      </c>
      <c r="E784" s="1156" t="s">
        <v>2203</v>
      </c>
      <c r="F784" s="1156"/>
      <c r="G784" s="1157"/>
      <c r="H784" s="1562" t="n">
        <v>7.2</v>
      </c>
      <c r="I784" s="1513"/>
      <c r="J784" s="1513"/>
      <c r="K784" s="1160" t="n">
        <f aca="false">H784*I784/100</f>
        <v>0</v>
      </c>
      <c r="L784" s="1161" t="n">
        <v>2127</v>
      </c>
      <c r="M784" s="1162" t="n">
        <v>1</v>
      </c>
      <c r="N784" s="1321" t="n">
        <f aca="false">L784*M784</f>
        <v>2127</v>
      </c>
      <c r="O784" s="1321" t="n">
        <f aca="false">H784*N784</f>
        <v>15314.4</v>
      </c>
      <c r="P784" s="1165"/>
      <c r="Q784" s="1343"/>
      <c r="R784" s="1167"/>
      <c r="S784" s="1168"/>
      <c r="T784" s="1163" t="n">
        <f aca="false">O784-R784</f>
        <v>15314.4</v>
      </c>
      <c r="U784" s="1170" t="n">
        <f aca="false">N784-S784</f>
        <v>2127</v>
      </c>
    </row>
    <row r="785" customFormat="false" ht="15" hidden="false" customHeight="true" outlineLevel="0" collapsed="false">
      <c r="A785" s="829"/>
      <c r="B785" s="1155" t="s">
        <v>86</v>
      </c>
      <c r="C785" s="1155" t="n">
        <v>2024</v>
      </c>
      <c r="D785" s="1156" t="s">
        <v>5</v>
      </c>
      <c r="E785" s="1156" t="s">
        <v>2241</v>
      </c>
      <c r="F785" s="1156"/>
      <c r="G785" s="1157"/>
      <c r="H785" s="1562" t="n">
        <v>3.6</v>
      </c>
      <c r="I785" s="1513"/>
      <c r="J785" s="1513"/>
      <c r="K785" s="1160" t="n">
        <f aca="false">H785*I785/100</f>
        <v>0</v>
      </c>
      <c r="L785" s="1161" t="n">
        <v>1429</v>
      </c>
      <c r="M785" s="1162" t="n">
        <v>1</v>
      </c>
      <c r="N785" s="1321" t="n">
        <f aca="false">L785*M785</f>
        <v>1429</v>
      </c>
      <c r="O785" s="1321" t="n">
        <f aca="false">H785*N785</f>
        <v>5144.4</v>
      </c>
      <c r="P785" s="1165"/>
      <c r="Q785" s="1343"/>
      <c r="R785" s="1167"/>
      <c r="S785" s="1168"/>
      <c r="T785" s="1163" t="n">
        <f aca="false">O785-R785</f>
        <v>5144.4</v>
      </c>
      <c r="U785" s="1170" t="n">
        <f aca="false">N785-S785</f>
        <v>1429</v>
      </c>
    </row>
    <row r="786" customFormat="false" ht="15" hidden="false" customHeight="true" outlineLevel="0" collapsed="false">
      <c r="A786" s="829"/>
      <c r="B786" s="1481" t="s">
        <v>86</v>
      </c>
      <c r="C786" s="1481" t="n">
        <v>2024</v>
      </c>
      <c r="D786" s="1482" t="s">
        <v>5</v>
      </c>
      <c r="E786" s="1482" t="s">
        <v>2205</v>
      </c>
      <c r="F786" s="1482"/>
      <c r="G786" s="1484"/>
      <c r="H786" s="1563" t="n">
        <v>0</v>
      </c>
      <c r="I786" s="1515"/>
      <c r="J786" s="1515"/>
      <c r="K786" s="1486" t="n">
        <f aca="false">H786*I786/100</f>
        <v>0</v>
      </c>
      <c r="L786" s="1564" t="n">
        <v>4504</v>
      </c>
      <c r="M786" s="1488" t="n">
        <v>1</v>
      </c>
      <c r="N786" s="1487" t="n">
        <f aca="false">L786*M786</f>
        <v>4504</v>
      </c>
      <c r="O786" s="1487" t="n">
        <f aca="false">H786*N786</f>
        <v>0</v>
      </c>
      <c r="P786" s="1489"/>
      <c r="Q786" s="1565"/>
      <c r="R786" s="1566"/>
      <c r="S786" s="1491"/>
      <c r="T786" s="1492" t="n">
        <f aca="false">O786-R786</f>
        <v>0</v>
      </c>
      <c r="U786" s="1493" t="n">
        <f aca="false">N786-S786</f>
        <v>4504</v>
      </c>
    </row>
    <row r="787" customFormat="false" ht="15" hidden="false" customHeight="true" outlineLevel="0" collapsed="false">
      <c r="A787" s="954" t="n">
        <v>258</v>
      </c>
      <c r="B787" s="954" t="s">
        <v>2191</v>
      </c>
      <c r="C787" s="954" t="n">
        <v>2024</v>
      </c>
      <c r="D787" s="955" t="s">
        <v>5</v>
      </c>
      <c r="E787" s="955" t="s">
        <v>2192</v>
      </c>
      <c r="F787" s="955" t="s">
        <v>1651</v>
      </c>
      <c r="G787" s="956"/>
      <c r="H787" s="1412" t="n">
        <v>27.3412</v>
      </c>
      <c r="I787" s="1567"/>
      <c r="J787" s="1567"/>
      <c r="K787" s="959" t="n">
        <f aca="false">H787*I787/100</f>
        <v>0</v>
      </c>
      <c r="L787" s="1200" t="n">
        <v>113</v>
      </c>
      <c r="M787" s="1201" t="n">
        <v>15</v>
      </c>
      <c r="N787" s="960" t="n">
        <f aca="false">L787*M787</f>
        <v>1695</v>
      </c>
      <c r="O787" s="967" t="n">
        <f aca="false">H787*N787</f>
        <v>46343.334</v>
      </c>
      <c r="P787" s="963"/>
      <c r="Q787" s="1568"/>
      <c r="R787" s="1569"/>
      <c r="S787" s="1205"/>
      <c r="T787" s="960" t="n">
        <f aca="false">O787-R787</f>
        <v>46343.334</v>
      </c>
      <c r="U787" s="960" t="n">
        <f aca="false">N787-S787</f>
        <v>1695</v>
      </c>
    </row>
    <row r="788" customFormat="false" ht="15" hidden="false" customHeight="true" outlineLevel="0" collapsed="false">
      <c r="A788" s="1414" t="n">
        <v>612</v>
      </c>
      <c r="B788" s="1414" t="s">
        <v>2191</v>
      </c>
      <c r="C788" s="1414" t="n">
        <v>2024</v>
      </c>
      <c r="D788" s="1415" t="s">
        <v>5</v>
      </c>
      <c r="E788" s="1415" t="s">
        <v>2192</v>
      </c>
      <c r="F788" s="1415" t="s">
        <v>2199</v>
      </c>
      <c r="G788" s="1416"/>
      <c r="H788" s="1417" t="n">
        <v>60.2775</v>
      </c>
      <c r="I788" s="1570"/>
      <c r="J788" s="1570"/>
      <c r="K788" s="959" t="n">
        <f aca="false">H788*I788/100</f>
        <v>0</v>
      </c>
      <c r="L788" s="1420" t="n">
        <v>88</v>
      </c>
      <c r="M788" s="1421" t="n">
        <v>25</v>
      </c>
      <c r="N788" s="960" t="n">
        <f aca="false">L788*M788</f>
        <v>2200</v>
      </c>
      <c r="O788" s="967" t="n">
        <f aca="false">H788*N788</f>
        <v>132610.5</v>
      </c>
      <c r="P788" s="1423"/>
      <c r="Q788" s="1474"/>
      <c r="R788" s="1571"/>
      <c r="S788" s="1426"/>
      <c r="T788" s="1206" t="n">
        <f aca="false">O788-R788</f>
        <v>132610.5</v>
      </c>
      <c r="U788" s="960" t="n">
        <f aca="false">N788-S788</f>
        <v>2200</v>
      </c>
    </row>
    <row r="789" customFormat="false" ht="15" hidden="false" customHeight="true" outlineLevel="0" collapsed="false">
      <c r="A789" s="1414" t="n">
        <v>613</v>
      </c>
      <c r="B789" s="1414" t="s">
        <v>2191</v>
      </c>
      <c r="C789" s="1414" t="n">
        <v>2024</v>
      </c>
      <c r="D789" s="1415" t="s">
        <v>5</v>
      </c>
      <c r="E789" s="1415" t="s">
        <v>2192</v>
      </c>
      <c r="F789" s="1415" t="s">
        <v>1651</v>
      </c>
      <c r="G789" s="1416"/>
      <c r="H789" s="1417" t="n">
        <v>30.4583</v>
      </c>
      <c r="I789" s="1570"/>
      <c r="J789" s="1570"/>
      <c r="K789" s="959" t="n">
        <f aca="false">H789*I789/100</f>
        <v>0</v>
      </c>
      <c r="L789" s="1420" t="n">
        <v>5</v>
      </c>
      <c r="M789" s="1421" t="n">
        <v>15</v>
      </c>
      <c r="N789" s="960" t="n">
        <f aca="false">L789*M789</f>
        <v>75</v>
      </c>
      <c r="O789" s="967" t="n">
        <f aca="false">H789*N789</f>
        <v>2284.3725</v>
      </c>
      <c r="P789" s="1423"/>
      <c r="Q789" s="1474"/>
      <c r="R789" s="1571"/>
      <c r="S789" s="1426"/>
      <c r="T789" s="967" t="n">
        <f aca="false">O789-R789</f>
        <v>2284.3725</v>
      </c>
      <c r="U789" s="960" t="n">
        <f aca="false">N789-S789</f>
        <v>75</v>
      </c>
    </row>
    <row r="790" customFormat="false" ht="15" hidden="false" customHeight="true" outlineLevel="0" collapsed="false">
      <c r="A790" s="1572" t="n">
        <v>618</v>
      </c>
      <c r="B790" s="1572" t="s">
        <v>2191</v>
      </c>
      <c r="C790" s="1572" t="n">
        <v>2024</v>
      </c>
      <c r="D790" s="1573" t="s">
        <v>5</v>
      </c>
      <c r="E790" s="1573" t="s">
        <v>2192</v>
      </c>
      <c r="F790" s="1573" t="s">
        <v>1651</v>
      </c>
      <c r="G790" s="1574"/>
      <c r="H790" s="1575" t="n">
        <v>31.7157</v>
      </c>
      <c r="I790" s="1576"/>
      <c r="J790" s="1576"/>
      <c r="K790" s="959" t="n">
        <f aca="false">H790*I790/100</f>
        <v>0</v>
      </c>
      <c r="L790" s="1577" t="n">
        <v>125</v>
      </c>
      <c r="M790" s="1578" t="n">
        <v>10</v>
      </c>
      <c r="N790" s="960" t="n">
        <f aca="false">L790*M790</f>
        <v>1250</v>
      </c>
      <c r="O790" s="967" t="n">
        <f aca="false">H790*N790</f>
        <v>39644.625</v>
      </c>
      <c r="P790" s="1579"/>
      <c r="Q790" s="1580"/>
      <c r="R790" s="1581"/>
      <c r="S790" s="966"/>
      <c r="T790" s="967" t="n">
        <f aca="false">O790-R790</f>
        <v>39644.625</v>
      </c>
      <c r="U790" s="960" t="n">
        <f aca="false">N790-S790</f>
        <v>1250</v>
      </c>
    </row>
    <row r="791" customFormat="false" ht="15" hidden="false" customHeight="true" outlineLevel="0" collapsed="false">
      <c r="A791" s="1414" t="n">
        <v>619</v>
      </c>
      <c r="B791" s="1414" t="s">
        <v>2191</v>
      </c>
      <c r="C791" s="1414" t="n">
        <v>2024</v>
      </c>
      <c r="D791" s="1415" t="s">
        <v>5</v>
      </c>
      <c r="E791" s="1415" t="s">
        <v>2192</v>
      </c>
      <c r="F791" s="1415" t="s">
        <v>1651</v>
      </c>
      <c r="G791" s="1416"/>
      <c r="H791" s="1417" t="n">
        <v>31.7157</v>
      </c>
      <c r="I791" s="1570"/>
      <c r="J791" s="1570"/>
      <c r="K791" s="1419" t="n">
        <f aca="false">H791*I791/100</f>
        <v>0</v>
      </c>
      <c r="L791" s="1420" t="n">
        <v>41</v>
      </c>
      <c r="M791" s="1421" t="n">
        <v>10</v>
      </c>
      <c r="N791" s="552" t="n">
        <f aca="false">L791*M791</f>
        <v>410</v>
      </c>
      <c r="O791" s="1422" t="n">
        <f aca="false">H791*N791</f>
        <v>13003.437</v>
      </c>
      <c r="P791" s="1423"/>
      <c r="Q791" s="1474"/>
      <c r="R791" s="1571"/>
      <c r="S791" s="1426"/>
      <c r="T791" s="1422" t="n">
        <f aca="false">O791-R791</f>
        <v>13003.437</v>
      </c>
      <c r="U791" s="552" t="n">
        <f aca="false">N791-S791</f>
        <v>410</v>
      </c>
    </row>
    <row r="792" customFormat="false" ht="15" hidden="false" customHeight="true" outlineLevel="0" collapsed="false">
      <c r="A792" s="1414" t="n">
        <v>660</v>
      </c>
      <c r="B792" s="1414" t="s">
        <v>2191</v>
      </c>
      <c r="C792" s="1414" t="n">
        <v>2024</v>
      </c>
      <c r="D792" s="1415" t="s">
        <v>5</v>
      </c>
      <c r="E792" s="1415" t="s">
        <v>2192</v>
      </c>
      <c r="F792" s="1415" t="s">
        <v>1651</v>
      </c>
      <c r="G792" s="1416"/>
      <c r="H792" s="1417" t="n">
        <v>28.1595</v>
      </c>
      <c r="I792" s="1570"/>
      <c r="J792" s="1570"/>
      <c r="K792" s="1419" t="n">
        <f aca="false">H792*I792/100</f>
        <v>0</v>
      </c>
      <c r="L792" s="1420" t="n">
        <v>1</v>
      </c>
      <c r="M792" s="1421" t="n">
        <v>10</v>
      </c>
      <c r="N792" s="552" t="n">
        <f aca="false">L792*M792</f>
        <v>10</v>
      </c>
      <c r="O792" s="1422" t="n">
        <f aca="false">H792*N792</f>
        <v>281.595</v>
      </c>
      <c r="P792" s="1423"/>
      <c r="Q792" s="1474"/>
      <c r="R792" s="1571"/>
      <c r="S792" s="1426"/>
      <c r="T792" s="1422" t="n">
        <f aca="false">O792-R792</f>
        <v>281.595</v>
      </c>
      <c r="U792" s="552" t="n">
        <f aca="false">N792-S792</f>
        <v>10</v>
      </c>
    </row>
    <row r="793" customFormat="false" ht="15" hidden="false" customHeight="true" outlineLevel="0" collapsed="false">
      <c r="A793" s="1572" t="n">
        <v>672</v>
      </c>
      <c r="B793" s="1572" t="s">
        <v>2191</v>
      </c>
      <c r="C793" s="1572" t="n">
        <v>2024</v>
      </c>
      <c r="D793" s="1573" t="s">
        <v>5</v>
      </c>
      <c r="E793" s="1573" t="s">
        <v>2192</v>
      </c>
      <c r="F793" s="1573" t="s">
        <v>1651</v>
      </c>
      <c r="G793" s="1574"/>
      <c r="H793" s="1575" t="n">
        <v>28.8909</v>
      </c>
      <c r="I793" s="1576"/>
      <c r="J793" s="1576"/>
      <c r="K793" s="1582" t="n">
        <f aca="false">H793*I793/100</f>
        <v>0</v>
      </c>
      <c r="L793" s="1577" t="n">
        <v>60</v>
      </c>
      <c r="M793" s="1578" t="n">
        <v>15</v>
      </c>
      <c r="N793" s="1583" t="n">
        <f aca="false">L793*M793</f>
        <v>900</v>
      </c>
      <c r="O793" s="1584" t="n">
        <f aca="false">H793*N793</f>
        <v>26001.81</v>
      </c>
      <c r="P793" s="1579"/>
      <c r="Q793" s="1580"/>
      <c r="R793" s="1581"/>
      <c r="S793" s="966"/>
      <c r="T793" s="1584" t="n">
        <f aca="false">O793-R793</f>
        <v>26001.81</v>
      </c>
      <c r="U793" s="1583" t="n">
        <f aca="false">N793-S793</f>
        <v>900</v>
      </c>
    </row>
    <row r="794" customFormat="false" ht="15" hidden="false" customHeight="true" outlineLevel="0" collapsed="false">
      <c r="A794" s="1572" t="n">
        <v>673</v>
      </c>
      <c r="B794" s="1572" t="s">
        <v>2191</v>
      </c>
      <c r="C794" s="1572" t="n">
        <v>2024</v>
      </c>
      <c r="D794" s="1573" t="s">
        <v>5</v>
      </c>
      <c r="E794" s="1573" t="s">
        <v>2192</v>
      </c>
      <c r="F794" s="1573" t="s">
        <v>1651</v>
      </c>
      <c r="G794" s="1574"/>
      <c r="H794" s="1575" t="n">
        <v>28.8909</v>
      </c>
      <c r="I794" s="1576"/>
      <c r="J794" s="1576"/>
      <c r="K794" s="1582" t="n">
        <f aca="false">H794*I794/100</f>
        <v>0</v>
      </c>
      <c r="L794" s="1577" t="n">
        <v>60</v>
      </c>
      <c r="M794" s="1578" t="n">
        <v>15</v>
      </c>
      <c r="N794" s="1583" t="n">
        <f aca="false">L794*M794</f>
        <v>900</v>
      </c>
      <c r="O794" s="1584" t="n">
        <f aca="false">H794*N794</f>
        <v>26001.81</v>
      </c>
      <c r="P794" s="1579"/>
      <c r="Q794" s="1580"/>
      <c r="R794" s="1581"/>
      <c r="S794" s="966"/>
      <c r="T794" s="1584" t="n">
        <f aca="false">O794-R794</f>
        <v>26001.81</v>
      </c>
      <c r="U794" s="1583" t="n">
        <f aca="false">N794-S794</f>
        <v>900</v>
      </c>
    </row>
    <row r="795" customFormat="false" ht="15" hidden="false" customHeight="true" outlineLevel="0" collapsed="false">
      <c r="A795" s="1414" t="n">
        <v>682</v>
      </c>
      <c r="B795" s="1414" t="s">
        <v>2191</v>
      </c>
      <c r="C795" s="1414" t="n">
        <v>2024</v>
      </c>
      <c r="D795" s="1415" t="s">
        <v>5</v>
      </c>
      <c r="E795" s="1415" t="s">
        <v>2192</v>
      </c>
      <c r="F795" s="1415" t="s">
        <v>1651</v>
      </c>
      <c r="G795" s="1416"/>
      <c r="H795" s="1417" t="n">
        <v>28.5104</v>
      </c>
      <c r="I795" s="1570"/>
      <c r="J795" s="1570"/>
      <c r="K795" s="1419" t="n">
        <f aca="false">H795*I795/100</f>
        <v>0</v>
      </c>
      <c r="L795" s="1420" t="n">
        <v>69</v>
      </c>
      <c r="M795" s="1421" t="n">
        <v>15</v>
      </c>
      <c r="N795" s="552" t="n">
        <f aca="false">L795*M795</f>
        <v>1035</v>
      </c>
      <c r="O795" s="1422" t="n">
        <f aca="false">H795*N795</f>
        <v>29508.264</v>
      </c>
      <c r="P795" s="1423"/>
      <c r="Q795" s="1474"/>
      <c r="R795" s="1571"/>
      <c r="S795" s="1426"/>
      <c r="T795" s="1422" t="n">
        <f aca="false">O795-R795</f>
        <v>29508.264</v>
      </c>
      <c r="U795" s="552" t="n">
        <f aca="false">N795-S795</f>
        <v>1035</v>
      </c>
    </row>
    <row r="796" customFormat="false" ht="15" hidden="false" customHeight="true" outlineLevel="0" collapsed="false">
      <c r="A796" s="859"/>
      <c r="B796" s="859"/>
      <c r="C796" s="859"/>
      <c r="D796" s="860"/>
      <c r="E796" s="860"/>
      <c r="F796" s="860"/>
      <c r="G796" s="861"/>
      <c r="H796" s="1585"/>
      <c r="I796" s="1429"/>
      <c r="J796" s="1429"/>
      <c r="K796" s="864"/>
      <c r="L796" s="982"/>
      <c r="M796" s="983"/>
      <c r="N796" s="543"/>
      <c r="O796" s="1449"/>
      <c r="P796" s="868"/>
      <c r="Q796" s="1011"/>
      <c r="R796" s="1383"/>
      <c r="S796" s="866"/>
      <c r="T796" s="543"/>
      <c r="U796" s="543"/>
    </row>
    <row r="797" customFormat="false" ht="15" hidden="false" customHeight="true" outlineLevel="0" collapsed="false">
      <c r="A797" s="859" t="n">
        <v>279</v>
      </c>
      <c r="B797" s="859" t="s">
        <v>2191</v>
      </c>
      <c r="C797" s="859" t="n">
        <v>2022</v>
      </c>
      <c r="D797" s="860" t="s">
        <v>15</v>
      </c>
      <c r="E797" s="860" t="s">
        <v>2192</v>
      </c>
      <c r="F797" s="860" t="s">
        <v>2130</v>
      </c>
      <c r="G797" s="861"/>
      <c r="H797" s="1585" t="n">
        <v>40</v>
      </c>
      <c r="I797" s="1429"/>
      <c r="J797" s="1429"/>
      <c r="K797" s="864" t="n">
        <f aca="false">H797*I797/100</f>
        <v>0</v>
      </c>
      <c r="L797" s="982" t="n">
        <v>11</v>
      </c>
      <c r="M797" s="983" t="n">
        <v>25</v>
      </c>
      <c r="N797" s="1299" t="n">
        <f aca="false">L797*M797</f>
        <v>275</v>
      </c>
      <c r="O797" s="1299" t="n">
        <f aca="false">H797*N797</f>
        <v>11000</v>
      </c>
      <c r="P797" s="868" t="s">
        <v>2232</v>
      </c>
      <c r="Q797" s="1011" t="s">
        <v>116</v>
      </c>
      <c r="R797" s="1383" t="n">
        <v>11000</v>
      </c>
      <c r="S797" s="866" t="n">
        <f aca="false">R797/H797</f>
        <v>275</v>
      </c>
      <c r="T797" s="543" t="n">
        <f aca="false">O797-R797</f>
        <v>0</v>
      </c>
      <c r="U797" s="543" t="n">
        <f aca="false">N797-S797</f>
        <v>0</v>
      </c>
    </row>
    <row r="798" customFormat="false" ht="15" hidden="false" customHeight="true" outlineLevel="0" collapsed="false">
      <c r="A798" s="859" t="n">
        <v>320</v>
      </c>
      <c r="B798" s="859" t="s">
        <v>2191</v>
      </c>
      <c r="C798" s="859" t="n">
        <v>2022</v>
      </c>
      <c r="D798" s="860" t="s">
        <v>15</v>
      </c>
      <c r="E798" s="860" t="s">
        <v>2192</v>
      </c>
      <c r="F798" s="860" t="s">
        <v>2130</v>
      </c>
      <c r="G798" s="861"/>
      <c r="H798" s="1585" t="n">
        <v>40</v>
      </c>
      <c r="I798" s="1429"/>
      <c r="J798" s="1429"/>
      <c r="K798" s="864" t="n">
        <f aca="false">H798*I798/100</f>
        <v>0</v>
      </c>
      <c r="L798" s="982" t="n">
        <v>5</v>
      </c>
      <c r="M798" s="983" t="n">
        <v>25</v>
      </c>
      <c r="N798" s="1299" t="n">
        <f aca="false">L798*M798</f>
        <v>125</v>
      </c>
      <c r="O798" s="1299" t="n">
        <f aca="false">H798*N798</f>
        <v>5000</v>
      </c>
      <c r="P798" s="868" t="s">
        <v>2232</v>
      </c>
      <c r="Q798" s="1011" t="s">
        <v>116</v>
      </c>
      <c r="R798" s="1383" t="n">
        <v>5000</v>
      </c>
      <c r="S798" s="866" t="n">
        <f aca="false">R798/H798</f>
        <v>125</v>
      </c>
      <c r="T798" s="543" t="n">
        <f aca="false">O798-R798</f>
        <v>0</v>
      </c>
      <c r="U798" s="543" t="n">
        <f aca="false">N798-S798</f>
        <v>0</v>
      </c>
    </row>
    <row r="799" customFormat="false" ht="15" hidden="false" customHeight="true" outlineLevel="0" collapsed="false">
      <c r="A799" s="859" t="n">
        <v>366</v>
      </c>
      <c r="B799" s="859" t="s">
        <v>2191</v>
      </c>
      <c r="C799" s="859" t="n">
        <v>2022</v>
      </c>
      <c r="D799" s="860" t="s">
        <v>15</v>
      </c>
      <c r="E799" s="860" t="s">
        <v>2192</v>
      </c>
      <c r="F799" s="860" t="s">
        <v>2131</v>
      </c>
      <c r="G799" s="861"/>
      <c r="H799" s="1520" t="n">
        <v>60</v>
      </c>
      <c r="I799" s="864"/>
      <c r="J799" s="864"/>
      <c r="K799" s="864" t="n">
        <f aca="false">H799*I799/100</f>
        <v>0</v>
      </c>
      <c r="L799" s="1299" t="n">
        <v>348</v>
      </c>
      <c r="M799" s="983" t="n">
        <v>1</v>
      </c>
      <c r="N799" s="1299" t="n">
        <f aca="false">L799*M799</f>
        <v>348</v>
      </c>
      <c r="O799" s="1299" t="n">
        <f aca="false">H799*N799</f>
        <v>20880</v>
      </c>
      <c r="P799" s="868" t="s">
        <v>2204</v>
      </c>
      <c r="Q799" s="869" t="n">
        <v>16102024</v>
      </c>
      <c r="R799" s="1521" t="n">
        <v>20880</v>
      </c>
      <c r="S799" s="866" t="n">
        <f aca="false">R799/H799</f>
        <v>348</v>
      </c>
      <c r="T799" s="543" t="n">
        <f aca="false">O799-R799</f>
        <v>0</v>
      </c>
      <c r="U799" s="543" t="n">
        <f aca="false">N799-S799</f>
        <v>0</v>
      </c>
    </row>
    <row r="800" customFormat="false" ht="15" hidden="false" customHeight="true" outlineLevel="0" collapsed="false">
      <c r="A800" s="870" t="n">
        <v>385</v>
      </c>
      <c r="B800" s="870" t="s">
        <v>2191</v>
      </c>
      <c r="C800" s="870" t="n">
        <v>2022</v>
      </c>
      <c r="D800" s="871" t="s">
        <v>15</v>
      </c>
      <c r="E800" s="871" t="s">
        <v>2192</v>
      </c>
      <c r="F800" s="871" t="s">
        <v>1651</v>
      </c>
      <c r="G800" s="872"/>
      <c r="H800" s="1586" t="n">
        <v>22.5</v>
      </c>
      <c r="I800" s="875"/>
      <c r="J800" s="875"/>
      <c r="K800" s="875" t="n">
        <f aca="false">H800*I800/100</f>
        <v>0</v>
      </c>
      <c r="L800" s="1301" t="n">
        <v>8</v>
      </c>
      <c r="M800" s="1000" t="n">
        <v>15</v>
      </c>
      <c r="N800" s="1301" t="n">
        <f aca="false">L800*M800</f>
        <v>120</v>
      </c>
      <c r="O800" s="1301" t="n">
        <f aca="false">H800*N800</f>
        <v>2700</v>
      </c>
      <c r="P800" s="879" t="s">
        <v>2197</v>
      </c>
      <c r="Q800" s="880" t="s">
        <v>2606</v>
      </c>
      <c r="R800" s="1587" t="n">
        <v>2700</v>
      </c>
      <c r="S800" s="866" t="n">
        <f aca="false">R800/H800</f>
        <v>120</v>
      </c>
      <c r="T800" s="553" t="n">
        <f aca="false">O800-R800</f>
        <v>0</v>
      </c>
      <c r="U800" s="553" t="n">
        <f aca="false">N800-S800</f>
        <v>0</v>
      </c>
    </row>
    <row r="801" customFormat="false" ht="15" hidden="false" customHeight="true" outlineLevel="0" collapsed="false">
      <c r="A801" s="870" t="n">
        <v>386</v>
      </c>
      <c r="B801" s="870" t="s">
        <v>2191</v>
      </c>
      <c r="C801" s="870" t="n">
        <v>2022</v>
      </c>
      <c r="D801" s="871" t="s">
        <v>15</v>
      </c>
      <c r="E801" s="871" t="s">
        <v>2192</v>
      </c>
      <c r="F801" s="871" t="s">
        <v>1651</v>
      </c>
      <c r="G801" s="872"/>
      <c r="H801" s="1586" t="n">
        <v>22.5</v>
      </c>
      <c r="I801" s="875"/>
      <c r="J801" s="875"/>
      <c r="K801" s="875" t="n">
        <f aca="false">H801*I801/100</f>
        <v>0</v>
      </c>
      <c r="L801" s="1301" t="n">
        <v>1</v>
      </c>
      <c r="M801" s="1000" t="n">
        <v>15</v>
      </c>
      <c r="N801" s="1301" t="n">
        <f aca="false">L801*M801</f>
        <v>15</v>
      </c>
      <c r="O801" s="1437" t="n">
        <f aca="false">H801*N801</f>
        <v>337.5</v>
      </c>
      <c r="P801" s="879" t="s">
        <v>2193</v>
      </c>
      <c r="Q801" s="880" t="s">
        <v>2607</v>
      </c>
      <c r="R801" s="1588" t="n">
        <v>337.5</v>
      </c>
      <c r="S801" s="866" t="n">
        <f aca="false">R801/H801</f>
        <v>15</v>
      </c>
      <c r="T801" s="553" t="n">
        <f aca="false">O801-R801</f>
        <v>0</v>
      </c>
      <c r="U801" s="553" t="n">
        <f aca="false">N801-S801</f>
        <v>0</v>
      </c>
    </row>
    <row r="802" customFormat="false" ht="15" hidden="false" customHeight="true" outlineLevel="0" collapsed="false">
      <c r="A802" s="870" t="n">
        <v>513</v>
      </c>
      <c r="B802" s="870" t="s">
        <v>2191</v>
      </c>
      <c r="C802" s="870" t="n">
        <v>2022</v>
      </c>
      <c r="D802" s="871" t="s">
        <v>15</v>
      </c>
      <c r="E802" s="871" t="s">
        <v>2192</v>
      </c>
      <c r="F802" s="871" t="s">
        <v>1652</v>
      </c>
      <c r="G802" s="872"/>
      <c r="H802" s="1586" t="n">
        <v>37.5</v>
      </c>
      <c r="I802" s="875"/>
      <c r="J802" s="875"/>
      <c r="K802" s="875" t="n">
        <f aca="false">H802*I802/100</f>
        <v>0</v>
      </c>
      <c r="L802" s="1301" t="n">
        <v>19</v>
      </c>
      <c r="M802" s="1000" t="n">
        <v>15</v>
      </c>
      <c r="N802" s="1301" t="n">
        <f aca="false">L802*M802</f>
        <v>285</v>
      </c>
      <c r="O802" s="1301" t="n">
        <f aca="false">H802*N802</f>
        <v>10687.5</v>
      </c>
      <c r="P802" s="879" t="s">
        <v>2193</v>
      </c>
      <c r="Q802" s="880" t="s">
        <v>2608</v>
      </c>
      <c r="R802" s="1587" t="n">
        <v>10687.5</v>
      </c>
      <c r="S802" s="866" t="n">
        <f aca="false">R802/H802</f>
        <v>285</v>
      </c>
      <c r="T802" s="553" t="n">
        <f aca="false">O802-R802</f>
        <v>0</v>
      </c>
      <c r="U802" s="553" t="n">
        <f aca="false">N802-S802</f>
        <v>0</v>
      </c>
    </row>
    <row r="803" customFormat="false" ht="15" hidden="false" customHeight="true" outlineLevel="0" collapsed="false">
      <c r="A803" s="870" t="n">
        <v>519</v>
      </c>
      <c r="B803" s="870" t="s">
        <v>2191</v>
      </c>
      <c r="C803" s="870" t="n">
        <v>2022</v>
      </c>
      <c r="D803" s="871" t="s">
        <v>15</v>
      </c>
      <c r="E803" s="871" t="s">
        <v>2192</v>
      </c>
      <c r="F803" s="871" t="s">
        <v>1651</v>
      </c>
      <c r="G803" s="872"/>
      <c r="H803" s="1586" t="n">
        <v>22.5</v>
      </c>
      <c r="I803" s="875"/>
      <c r="J803" s="875"/>
      <c r="K803" s="875" t="n">
        <f aca="false">H803*I803/100</f>
        <v>0</v>
      </c>
      <c r="L803" s="1301" t="n">
        <v>1</v>
      </c>
      <c r="M803" s="1000" t="n">
        <v>15</v>
      </c>
      <c r="N803" s="1301" t="n">
        <f aca="false">L803*M803</f>
        <v>15</v>
      </c>
      <c r="O803" s="1349" t="n">
        <f aca="false">H803*N803</f>
        <v>337.5</v>
      </c>
      <c r="P803" s="879" t="s">
        <v>2197</v>
      </c>
      <c r="Q803" s="880" t="s">
        <v>2606</v>
      </c>
      <c r="R803" s="1587" t="n">
        <v>337.5</v>
      </c>
      <c r="S803" s="877" t="n">
        <f aca="false">R803/H803</f>
        <v>15</v>
      </c>
      <c r="T803" s="553" t="n">
        <f aca="false">O803-R803</f>
        <v>0</v>
      </c>
      <c r="U803" s="553" t="n">
        <f aca="false">N803-S803</f>
        <v>0</v>
      </c>
    </row>
    <row r="804" customFormat="false" ht="15" hidden="false" customHeight="true" outlineLevel="0" collapsed="false">
      <c r="A804" s="829" t="n">
        <v>3</v>
      </c>
      <c r="B804" s="1028" t="s">
        <v>86</v>
      </c>
      <c r="C804" s="1028" t="n">
        <v>2023</v>
      </c>
      <c r="D804" s="831" t="s">
        <v>15</v>
      </c>
      <c r="E804" s="831" t="s">
        <v>2242</v>
      </c>
      <c r="F804" s="1028"/>
      <c r="G804" s="1030"/>
      <c r="H804" s="1031" t="n">
        <v>57.5</v>
      </c>
      <c r="I804" s="1032"/>
      <c r="J804" s="1032"/>
      <c r="K804" s="1033" t="n">
        <f aca="false">H804*I804/100</f>
        <v>0</v>
      </c>
      <c r="L804" s="1036" t="n">
        <v>1822</v>
      </c>
      <c r="M804" s="1035" t="n">
        <v>1</v>
      </c>
      <c r="N804" s="1036" t="n">
        <f aca="false">L804*M804</f>
        <v>1822</v>
      </c>
      <c r="O804" s="1036" t="n">
        <f aca="false">H804*N804</f>
        <v>104765</v>
      </c>
      <c r="P804" s="838" t="s">
        <v>2195</v>
      </c>
      <c r="Q804" s="1004" t="s">
        <v>2240</v>
      </c>
      <c r="R804" s="840" t="n">
        <v>79005</v>
      </c>
      <c r="S804" s="840" t="n">
        <f aca="false">R804/H804</f>
        <v>1374</v>
      </c>
      <c r="T804" s="1036" t="n">
        <f aca="false">O804-R804-R805</f>
        <v>0</v>
      </c>
      <c r="U804" s="1037" t="n">
        <f aca="false">N804-S804-S805</f>
        <v>0</v>
      </c>
    </row>
    <row r="805" customFormat="false" ht="15" hidden="false" customHeight="true" outlineLevel="0" collapsed="false">
      <c r="A805" s="829"/>
      <c r="B805" s="1028"/>
      <c r="C805" s="1028"/>
      <c r="D805" s="871" t="s">
        <v>15</v>
      </c>
      <c r="E805" s="871" t="s">
        <v>2242</v>
      </c>
      <c r="F805" s="1028"/>
      <c r="G805" s="1030"/>
      <c r="H805" s="1031"/>
      <c r="I805" s="1032"/>
      <c r="J805" s="1032"/>
      <c r="K805" s="1033"/>
      <c r="L805" s="1036"/>
      <c r="M805" s="1035"/>
      <c r="N805" s="1036"/>
      <c r="O805" s="1036"/>
      <c r="P805" s="879" t="s">
        <v>2200</v>
      </c>
      <c r="Q805" s="1013" t="s">
        <v>2336</v>
      </c>
      <c r="R805" s="877" t="n">
        <v>25760</v>
      </c>
      <c r="S805" s="877" t="n">
        <f aca="false">R805/H804</f>
        <v>448</v>
      </c>
      <c r="T805" s="1036"/>
      <c r="U805" s="1037"/>
    </row>
    <row r="806" customFormat="false" ht="15" hidden="false" customHeight="true" outlineLevel="0" collapsed="false">
      <c r="A806" s="881" t="n">
        <v>22</v>
      </c>
      <c r="B806" s="829" t="s">
        <v>86</v>
      </c>
      <c r="C806" s="830" t="n">
        <v>2023</v>
      </c>
      <c r="D806" s="831" t="s">
        <v>15</v>
      </c>
      <c r="E806" s="831" t="s">
        <v>2192</v>
      </c>
      <c r="F806" s="832" t="s">
        <v>1650</v>
      </c>
      <c r="G806" s="833"/>
      <c r="H806" s="834" t="n">
        <v>83.7</v>
      </c>
      <c r="I806" s="1020" t="n">
        <v>80</v>
      </c>
      <c r="J806" s="1020"/>
      <c r="K806" s="836" t="n">
        <f aca="false">H806*I806/100</f>
        <v>66.96</v>
      </c>
      <c r="L806" s="837" t="n">
        <v>1017</v>
      </c>
      <c r="M806" s="1003" t="n">
        <v>1</v>
      </c>
      <c r="N806" s="837" t="n">
        <f aca="false">L806*M806</f>
        <v>1017</v>
      </c>
      <c r="O806" s="837" t="n">
        <f aca="false">H806*N806</f>
        <v>85122.9</v>
      </c>
      <c r="P806" s="838" t="s">
        <v>2195</v>
      </c>
      <c r="Q806" s="1004" t="s">
        <v>2240</v>
      </c>
      <c r="R806" s="840" t="n">
        <v>69638.4</v>
      </c>
      <c r="S806" s="840" t="n">
        <f aca="false">R806/H806</f>
        <v>832</v>
      </c>
      <c r="T806" s="837" t="n">
        <f aca="false">O806-R806-R807</f>
        <v>1.45519152283669E-011</v>
      </c>
      <c r="U806" s="842" t="n">
        <f aca="false">N806-S806-S807</f>
        <v>0</v>
      </c>
    </row>
    <row r="807" customFormat="false" ht="15" hidden="false" customHeight="true" outlineLevel="0" collapsed="false">
      <c r="A807" s="881"/>
      <c r="B807" s="829"/>
      <c r="C807" s="830"/>
      <c r="D807" s="843" t="s">
        <v>15</v>
      </c>
      <c r="E807" s="843" t="s">
        <v>2192</v>
      </c>
      <c r="F807" s="832"/>
      <c r="G807" s="833"/>
      <c r="H807" s="834"/>
      <c r="I807" s="1020"/>
      <c r="J807" s="1020"/>
      <c r="K807" s="836"/>
      <c r="L807" s="837"/>
      <c r="M807" s="1003"/>
      <c r="N807" s="837"/>
      <c r="O807" s="837"/>
      <c r="P807" s="844" t="s">
        <v>2232</v>
      </c>
      <c r="Q807" s="1005" t="s">
        <v>106</v>
      </c>
      <c r="R807" s="846" t="n">
        <v>15484.5</v>
      </c>
      <c r="S807" s="846" t="n">
        <f aca="false">R807/H806</f>
        <v>185</v>
      </c>
      <c r="T807" s="837"/>
      <c r="U807" s="842"/>
    </row>
    <row r="808" customFormat="false" ht="15" hidden="false" customHeight="true" outlineLevel="0" collapsed="false">
      <c r="A808" s="881"/>
      <c r="B808" s="1229" t="s">
        <v>86</v>
      </c>
      <c r="C808" s="1229" t="n">
        <v>2023</v>
      </c>
      <c r="D808" s="1230" t="s">
        <v>15</v>
      </c>
      <c r="E808" s="1230" t="s">
        <v>2203</v>
      </c>
      <c r="F808" s="1230"/>
      <c r="G808" s="1231"/>
      <c r="H808" s="1330" t="n">
        <v>57</v>
      </c>
      <c r="I808" s="1331"/>
      <c r="J808" s="1331"/>
      <c r="K808" s="1332" t="n">
        <f aca="false">H808*I808/100</f>
        <v>0</v>
      </c>
      <c r="L808" s="1333" t="n">
        <v>62</v>
      </c>
      <c r="M808" s="1235" t="n">
        <v>1</v>
      </c>
      <c r="N808" s="1333" t="n">
        <f aca="false">L808*M808</f>
        <v>62</v>
      </c>
      <c r="O808" s="1333" t="n">
        <f aca="false">H808*N808</f>
        <v>3534</v>
      </c>
      <c r="P808" s="1236"/>
      <c r="Q808" s="1334"/>
      <c r="R808" s="1177"/>
      <c r="S808" s="1177"/>
      <c r="T808" s="1335" t="n">
        <f aca="false">O808-R808</f>
        <v>3534</v>
      </c>
      <c r="U808" s="1336" t="n">
        <f aca="false">N808-S808</f>
        <v>62</v>
      </c>
    </row>
    <row r="809" customFormat="false" ht="15" hidden="false" customHeight="true" outlineLevel="0" collapsed="false">
      <c r="A809" s="881"/>
      <c r="B809" s="829" t="s">
        <v>86</v>
      </c>
      <c r="C809" s="830" t="n">
        <v>2023</v>
      </c>
      <c r="D809" s="831" t="s">
        <v>15</v>
      </c>
      <c r="E809" s="831" t="s">
        <v>2241</v>
      </c>
      <c r="F809" s="830"/>
      <c r="G809" s="833"/>
      <c r="H809" s="834" t="n">
        <v>65.5</v>
      </c>
      <c r="I809" s="835"/>
      <c r="J809" s="835"/>
      <c r="K809" s="836" t="n">
        <f aca="false">H809*I809/100</f>
        <v>0</v>
      </c>
      <c r="L809" s="837" t="n">
        <v>163</v>
      </c>
      <c r="M809" s="1003" t="n">
        <v>1</v>
      </c>
      <c r="N809" s="837" t="n">
        <f aca="false">L809*M809</f>
        <v>163</v>
      </c>
      <c r="O809" s="837" t="n">
        <f aca="false">H809*N809</f>
        <v>10676.5</v>
      </c>
      <c r="P809" s="838" t="s">
        <v>2195</v>
      </c>
      <c r="Q809" s="1004" t="s">
        <v>2240</v>
      </c>
      <c r="R809" s="840" t="n">
        <v>65.5</v>
      </c>
      <c r="S809" s="840" t="n">
        <f aca="false">R809/H809</f>
        <v>1</v>
      </c>
      <c r="T809" s="837" t="n">
        <f aca="false">O809-R809-R810</f>
        <v>0</v>
      </c>
      <c r="U809" s="842" t="n">
        <f aca="false">N809-S809-S810</f>
        <v>0</v>
      </c>
    </row>
    <row r="810" customFormat="false" ht="15" hidden="false" customHeight="true" outlineLevel="0" collapsed="false">
      <c r="A810" s="881"/>
      <c r="B810" s="829"/>
      <c r="C810" s="830"/>
      <c r="D810" s="843" t="s">
        <v>15</v>
      </c>
      <c r="E810" s="843" t="s">
        <v>2241</v>
      </c>
      <c r="F810" s="830"/>
      <c r="G810" s="833"/>
      <c r="H810" s="834"/>
      <c r="I810" s="835"/>
      <c r="J810" s="835"/>
      <c r="K810" s="836"/>
      <c r="L810" s="837"/>
      <c r="M810" s="1003"/>
      <c r="N810" s="837"/>
      <c r="O810" s="837"/>
      <c r="P810" s="844" t="s">
        <v>2200</v>
      </c>
      <c r="Q810" s="1005" t="s">
        <v>2336</v>
      </c>
      <c r="R810" s="846" t="n">
        <v>10611</v>
      </c>
      <c r="S810" s="846" t="n">
        <f aca="false">R810/H809</f>
        <v>162</v>
      </c>
      <c r="T810" s="837"/>
      <c r="U810" s="842"/>
    </row>
    <row r="811" customFormat="false" ht="15" hidden="false" customHeight="true" outlineLevel="0" collapsed="false">
      <c r="A811" s="1589" t="n">
        <v>88</v>
      </c>
      <c r="B811" s="1590" t="s">
        <v>86</v>
      </c>
      <c r="C811" s="1590" t="n">
        <v>2023</v>
      </c>
      <c r="D811" s="1591" t="s">
        <v>15</v>
      </c>
      <c r="E811" s="1591" t="s">
        <v>2242</v>
      </c>
      <c r="F811" s="1590"/>
      <c r="G811" s="1030"/>
      <c r="H811" s="1592" t="n">
        <v>14.5</v>
      </c>
      <c r="I811" s="1593"/>
      <c r="J811" s="1593"/>
      <c r="K811" s="1594" t="n">
        <f aca="false">H811*I811/100</f>
        <v>0</v>
      </c>
      <c r="L811" s="1595" t="n">
        <v>490</v>
      </c>
      <c r="M811" s="1596" t="n">
        <v>1</v>
      </c>
      <c r="N811" s="1595" t="n">
        <f aca="false">L811*M811</f>
        <v>490</v>
      </c>
      <c r="O811" s="1595" t="n">
        <f aca="false">H811*N811</f>
        <v>7105</v>
      </c>
      <c r="P811" s="1597" t="s">
        <v>2195</v>
      </c>
      <c r="Q811" s="1598" t="s">
        <v>2240</v>
      </c>
      <c r="R811" s="1599" t="n">
        <v>-72.5</v>
      </c>
      <c r="S811" s="1599" t="n">
        <f aca="false">R811/H811</f>
        <v>-5</v>
      </c>
      <c r="T811" s="1595" t="n">
        <f aca="false">O811-R811-R812</f>
        <v>0</v>
      </c>
      <c r="U811" s="1600" t="n">
        <f aca="false">N811-S811-S812</f>
        <v>0</v>
      </c>
    </row>
    <row r="812" customFormat="false" ht="15" hidden="false" customHeight="true" outlineLevel="0" collapsed="false">
      <c r="A812" s="1589"/>
      <c r="B812" s="1590"/>
      <c r="C812" s="1590"/>
      <c r="D812" s="1601" t="s">
        <v>15</v>
      </c>
      <c r="E812" s="1601" t="s">
        <v>2242</v>
      </c>
      <c r="F812" s="1590"/>
      <c r="G812" s="1030"/>
      <c r="H812" s="1592"/>
      <c r="I812" s="1593"/>
      <c r="J812" s="1593"/>
      <c r="K812" s="1594"/>
      <c r="L812" s="1595"/>
      <c r="M812" s="1596"/>
      <c r="N812" s="1595"/>
      <c r="O812" s="1595"/>
      <c r="P812" s="1602" t="s">
        <v>2232</v>
      </c>
      <c r="Q812" s="1603" t="s">
        <v>106</v>
      </c>
      <c r="R812" s="1604" t="n">
        <v>7177.5</v>
      </c>
      <c r="S812" s="1604" t="n">
        <f aca="false">R812/H811</f>
        <v>495</v>
      </c>
      <c r="T812" s="1595"/>
      <c r="U812" s="1600"/>
    </row>
    <row r="813" customFormat="false" ht="15" hidden="false" customHeight="true" outlineLevel="0" collapsed="false">
      <c r="A813" s="829" t="n">
        <v>128</v>
      </c>
      <c r="B813" s="830" t="s">
        <v>86</v>
      </c>
      <c r="C813" s="830" t="n">
        <v>2023</v>
      </c>
      <c r="D813" s="831" t="s">
        <v>15</v>
      </c>
      <c r="E813" s="831" t="s">
        <v>2242</v>
      </c>
      <c r="F813" s="830"/>
      <c r="G813" s="833"/>
      <c r="H813" s="834" t="n">
        <v>55.1</v>
      </c>
      <c r="I813" s="835"/>
      <c r="J813" s="835"/>
      <c r="K813" s="836" t="n">
        <f aca="false">H813*I813/100</f>
        <v>0</v>
      </c>
      <c r="L813" s="837" t="n">
        <v>634</v>
      </c>
      <c r="M813" s="1003" t="n">
        <v>1</v>
      </c>
      <c r="N813" s="837" t="n">
        <f aca="false">L813*M813</f>
        <v>634</v>
      </c>
      <c r="O813" s="837" t="n">
        <f aca="false">H813*N813</f>
        <v>34933.4</v>
      </c>
      <c r="P813" s="838"/>
      <c r="Q813" s="1004" t="s">
        <v>2609</v>
      </c>
      <c r="R813" s="840" t="n">
        <v>2755</v>
      </c>
      <c r="S813" s="840" t="n">
        <f aca="false">R813/H813</f>
        <v>50</v>
      </c>
      <c r="T813" s="837" t="n">
        <f aca="false">O813-R813-R814</f>
        <v>0</v>
      </c>
      <c r="U813" s="842" t="n">
        <f aca="false">N813-S813-S814</f>
        <v>0</v>
      </c>
    </row>
    <row r="814" customFormat="false" ht="15" hidden="false" customHeight="true" outlineLevel="0" collapsed="false">
      <c r="A814" s="829"/>
      <c r="B814" s="830"/>
      <c r="C814" s="830"/>
      <c r="D814" s="843" t="s">
        <v>15</v>
      </c>
      <c r="E814" s="843" t="s">
        <v>2242</v>
      </c>
      <c r="F814" s="830"/>
      <c r="G814" s="833"/>
      <c r="H814" s="834"/>
      <c r="I814" s="835"/>
      <c r="J814" s="835"/>
      <c r="K814" s="836"/>
      <c r="L814" s="837"/>
      <c r="M814" s="1003"/>
      <c r="N814" s="837"/>
      <c r="O814" s="837"/>
      <c r="P814" s="844" t="s">
        <v>2232</v>
      </c>
      <c r="Q814" s="1005" t="s">
        <v>106</v>
      </c>
      <c r="R814" s="846" t="n">
        <v>32178.4</v>
      </c>
      <c r="S814" s="846" t="n">
        <f aca="false">R814/H813</f>
        <v>584</v>
      </c>
      <c r="T814" s="837"/>
      <c r="U814" s="842"/>
    </row>
    <row r="815" customFormat="false" ht="15" hidden="false" customHeight="true" outlineLevel="0" collapsed="false">
      <c r="A815" s="1081" t="n">
        <v>135</v>
      </c>
      <c r="B815" s="1087" t="s">
        <v>86</v>
      </c>
      <c r="C815" s="1061" t="n">
        <v>2023</v>
      </c>
      <c r="D815" s="848" t="s">
        <v>15</v>
      </c>
      <c r="E815" s="848" t="s">
        <v>2242</v>
      </c>
      <c r="F815" s="1061"/>
      <c r="G815" s="1062"/>
      <c r="H815" s="1077" t="n">
        <v>44.8</v>
      </c>
      <c r="I815" s="1086"/>
      <c r="J815" s="1086"/>
      <c r="K815" s="1064" t="n">
        <f aca="false">H815*I815/100</f>
        <v>0</v>
      </c>
      <c r="L815" s="1067" t="n">
        <v>932</v>
      </c>
      <c r="M815" s="1066" t="n">
        <v>1</v>
      </c>
      <c r="N815" s="1067" t="n">
        <f aca="false">L815*M815</f>
        <v>932</v>
      </c>
      <c r="O815" s="1067" t="n">
        <f aca="false">H815*N815</f>
        <v>41753.6</v>
      </c>
      <c r="P815" s="910" t="s">
        <v>2195</v>
      </c>
      <c r="Q815" s="1057" t="s">
        <v>2240</v>
      </c>
      <c r="R815" s="891" t="n">
        <v>-761.6</v>
      </c>
      <c r="S815" s="891" t="n">
        <f aca="false">R815/H815</f>
        <v>-17</v>
      </c>
      <c r="T815" s="1067" t="n">
        <f aca="false">O815-R815-R819-R818-R816-R817</f>
        <v>0</v>
      </c>
      <c r="U815" s="1070" t="n">
        <f aca="false">N815-S815-S819-S818-S816-S817</f>
        <v>0</v>
      </c>
    </row>
    <row r="816" customFormat="false" ht="15" hidden="false" customHeight="true" outlineLevel="0" collapsed="false">
      <c r="A816" s="1081"/>
      <c r="B816" s="1087"/>
      <c r="C816" s="1061"/>
      <c r="D816" s="860" t="s">
        <v>15</v>
      </c>
      <c r="E816" s="860" t="s">
        <v>2242</v>
      </c>
      <c r="F816" s="1061"/>
      <c r="G816" s="1062"/>
      <c r="H816" s="1077"/>
      <c r="I816" s="1086"/>
      <c r="J816" s="1086"/>
      <c r="K816" s="1064"/>
      <c r="L816" s="1067"/>
      <c r="M816" s="1066"/>
      <c r="N816" s="1067"/>
      <c r="O816" s="1067"/>
      <c r="P816" s="868" t="s">
        <v>2232</v>
      </c>
      <c r="Q816" s="1011" t="s">
        <v>2250</v>
      </c>
      <c r="R816" s="866" t="n">
        <v>8960</v>
      </c>
      <c r="S816" s="866" t="n">
        <f aca="false">R816/H815</f>
        <v>200</v>
      </c>
      <c r="T816" s="1067"/>
      <c r="U816" s="1070"/>
    </row>
    <row r="817" customFormat="false" ht="15" hidden="false" customHeight="true" outlineLevel="0" collapsed="false">
      <c r="A817" s="1081"/>
      <c r="B817" s="1087"/>
      <c r="C817" s="1061"/>
      <c r="D817" s="860" t="s">
        <v>15</v>
      </c>
      <c r="E817" s="860" t="s">
        <v>2242</v>
      </c>
      <c r="F817" s="1061"/>
      <c r="G817" s="1062"/>
      <c r="H817" s="1077"/>
      <c r="I817" s="1086"/>
      <c r="J817" s="1086"/>
      <c r="K817" s="1064"/>
      <c r="L817" s="1067"/>
      <c r="M817" s="1066"/>
      <c r="N817" s="1067"/>
      <c r="O817" s="1067"/>
      <c r="P817" s="868" t="s">
        <v>2232</v>
      </c>
      <c r="Q817" s="1011" t="s">
        <v>106</v>
      </c>
      <c r="R817" s="866" t="n">
        <v>14963.2</v>
      </c>
      <c r="S817" s="866" t="n">
        <f aca="false">R817/H815</f>
        <v>334</v>
      </c>
      <c r="T817" s="1067"/>
      <c r="U817" s="1070"/>
    </row>
    <row r="818" customFormat="false" ht="15" hidden="false" customHeight="true" outlineLevel="0" collapsed="false">
      <c r="A818" s="1081"/>
      <c r="B818" s="1087"/>
      <c r="C818" s="1061"/>
      <c r="D818" s="860" t="s">
        <v>15</v>
      </c>
      <c r="E818" s="860" t="s">
        <v>2242</v>
      </c>
      <c r="F818" s="1061"/>
      <c r="G818" s="1062"/>
      <c r="H818" s="1077"/>
      <c r="I818" s="1086"/>
      <c r="J818" s="1086"/>
      <c r="K818" s="1064"/>
      <c r="L818" s="1067"/>
      <c r="M818" s="1066"/>
      <c r="N818" s="1067"/>
      <c r="O818" s="1067"/>
      <c r="P818" s="868" t="s">
        <v>2232</v>
      </c>
      <c r="Q818" s="1011" t="s">
        <v>94</v>
      </c>
      <c r="R818" s="866" t="n">
        <v>17472</v>
      </c>
      <c r="S818" s="866" t="n">
        <f aca="false">R818/H815</f>
        <v>390</v>
      </c>
      <c r="T818" s="1067"/>
      <c r="U818" s="1070"/>
    </row>
    <row r="819" customFormat="false" ht="15" hidden="false" customHeight="true" outlineLevel="0" collapsed="false">
      <c r="A819" s="1081"/>
      <c r="B819" s="1087"/>
      <c r="C819" s="1061"/>
      <c r="D819" s="843" t="s">
        <v>15</v>
      </c>
      <c r="E819" s="843" t="s">
        <v>2242</v>
      </c>
      <c r="F819" s="1061"/>
      <c r="G819" s="1062"/>
      <c r="H819" s="1077"/>
      <c r="I819" s="1086"/>
      <c r="J819" s="1086"/>
      <c r="K819" s="1064"/>
      <c r="L819" s="1067"/>
      <c r="M819" s="1066"/>
      <c r="N819" s="1067"/>
      <c r="O819" s="1067"/>
      <c r="P819" s="844"/>
      <c r="Q819" s="1005" t="s">
        <v>2609</v>
      </c>
      <c r="R819" s="846" t="n">
        <v>1120</v>
      </c>
      <c r="S819" s="846" t="n">
        <f aca="false">R819/H815</f>
        <v>25</v>
      </c>
      <c r="T819" s="1067"/>
      <c r="U819" s="1070"/>
    </row>
    <row r="820" customFormat="false" ht="15" hidden="false" customHeight="true" outlineLevel="0" collapsed="false">
      <c r="A820" s="1081"/>
      <c r="B820" s="1072" t="s">
        <v>86</v>
      </c>
      <c r="C820" s="1072" t="n">
        <v>2023</v>
      </c>
      <c r="D820" s="887" t="s">
        <v>15</v>
      </c>
      <c r="E820" s="887" t="s">
        <v>2241</v>
      </c>
      <c r="F820" s="887"/>
      <c r="G820" s="1062"/>
      <c r="H820" s="1291" t="n">
        <v>14.8</v>
      </c>
      <c r="I820" s="1292"/>
      <c r="J820" s="1292"/>
      <c r="K820" s="1064" t="n">
        <f aca="false">H820*I820/100</f>
        <v>0</v>
      </c>
      <c r="L820" s="1082" t="n">
        <v>735</v>
      </c>
      <c r="M820" s="1066" t="n">
        <v>1</v>
      </c>
      <c r="N820" s="1082" t="n">
        <f aca="false">L820*M820</f>
        <v>735</v>
      </c>
      <c r="O820" s="1082" t="n">
        <f aca="false">H820*N820</f>
        <v>10878</v>
      </c>
      <c r="P820" s="888" t="s">
        <v>2204</v>
      </c>
      <c r="Q820" s="1320" t="s">
        <v>2308</v>
      </c>
      <c r="R820" s="1080" t="n">
        <v>10878</v>
      </c>
      <c r="S820" s="890" t="n">
        <f aca="false">R820/H820</f>
        <v>735</v>
      </c>
      <c r="T820" s="1067" t="n">
        <f aca="false">O820-R820</f>
        <v>0</v>
      </c>
      <c r="U820" s="1070" t="n">
        <f aca="false">N820-S820</f>
        <v>0</v>
      </c>
    </row>
    <row r="821" customFormat="false" ht="15" hidden="false" customHeight="true" outlineLevel="0" collapsed="false">
      <c r="A821" s="1605" t="n">
        <v>145</v>
      </c>
      <c r="B821" s="829" t="s">
        <v>86</v>
      </c>
      <c r="C821" s="830" t="n">
        <v>2023</v>
      </c>
      <c r="D821" s="831" t="s">
        <v>15</v>
      </c>
      <c r="E821" s="831" t="s">
        <v>2242</v>
      </c>
      <c r="F821" s="830"/>
      <c r="G821" s="833"/>
      <c r="H821" s="834" t="n">
        <v>52.6</v>
      </c>
      <c r="I821" s="835"/>
      <c r="J821" s="835"/>
      <c r="K821" s="836" t="n">
        <f aca="false">H821*I821/100</f>
        <v>0</v>
      </c>
      <c r="L821" s="837" t="n">
        <v>579</v>
      </c>
      <c r="M821" s="1003" t="n">
        <v>1</v>
      </c>
      <c r="N821" s="837" t="n">
        <f aca="false">L821*M821</f>
        <v>579</v>
      </c>
      <c r="O821" s="837" t="n">
        <f aca="false">H821*N821</f>
        <v>30455.4</v>
      </c>
      <c r="P821" s="838" t="s">
        <v>2195</v>
      </c>
      <c r="Q821" s="1004" t="s">
        <v>2240</v>
      </c>
      <c r="R821" s="840" t="n">
        <v>-105.2</v>
      </c>
      <c r="S821" s="886" t="n">
        <f aca="false">R821/H821</f>
        <v>-2</v>
      </c>
      <c r="T821" s="837" t="n">
        <f aca="false">O821-R821-R822</f>
        <v>0</v>
      </c>
      <c r="U821" s="842" t="n">
        <f aca="false">N821-S821-S822</f>
        <v>0</v>
      </c>
    </row>
    <row r="822" customFormat="false" ht="15" hidden="false" customHeight="true" outlineLevel="0" collapsed="false">
      <c r="A822" s="1605"/>
      <c r="B822" s="829"/>
      <c r="C822" s="830"/>
      <c r="D822" s="887" t="s">
        <v>15</v>
      </c>
      <c r="E822" s="887" t="s">
        <v>2242</v>
      </c>
      <c r="F822" s="830"/>
      <c r="G822" s="833"/>
      <c r="H822" s="834"/>
      <c r="I822" s="835"/>
      <c r="J822" s="835"/>
      <c r="K822" s="836"/>
      <c r="L822" s="837"/>
      <c r="M822" s="1003"/>
      <c r="N822" s="837"/>
      <c r="O822" s="837"/>
      <c r="P822" s="888" t="s">
        <v>2232</v>
      </c>
      <c r="Q822" s="1364" t="s">
        <v>106</v>
      </c>
      <c r="R822" s="890" t="n">
        <v>30560.6</v>
      </c>
      <c r="S822" s="846" t="n">
        <f aca="false">R822/H821</f>
        <v>581</v>
      </c>
      <c r="T822" s="837"/>
      <c r="U822" s="842"/>
    </row>
    <row r="823" customFormat="false" ht="15" hidden="false" customHeight="true" outlineLevel="0" collapsed="false">
      <c r="A823" s="1605"/>
      <c r="B823" s="847" t="s">
        <v>86</v>
      </c>
      <c r="C823" s="847" t="n">
        <v>2023</v>
      </c>
      <c r="D823" s="848" t="s">
        <v>15</v>
      </c>
      <c r="E823" s="848" t="s">
        <v>2203</v>
      </c>
      <c r="F823" s="848"/>
      <c r="G823" s="849"/>
      <c r="H823" s="850" t="n">
        <v>34.3</v>
      </c>
      <c r="I823" s="851"/>
      <c r="J823" s="851"/>
      <c r="K823" s="852" t="n">
        <f aca="false">H823*I823/100</f>
        <v>0</v>
      </c>
      <c r="L823" s="1143" t="n">
        <v>291</v>
      </c>
      <c r="M823" s="1007" t="n">
        <v>1</v>
      </c>
      <c r="N823" s="1143" t="n">
        <f aca="false">L823*M823</f>
        <v>291</v>
      </c>
      <c r="O823" s="1606" t="n">
        <f aca="false">H823*N823</f>
        <v>9981.3</v>
      </c>
      <c r="P823" s="856" t="s">
        <v>2232</v>
      </c>
      <c r="Q823" s="1008" t="s">
        <v>2610</v>
      </c>
      <c r="R823" s="854" t="n">
        <v>9981.3</v>
      </c>
      <c r="S823" s="891" t="n">
        <f aca="false">R823/H823</f>
        <v>291</v>
      </c>
      <c r="T823" s="537" t="n">
        <f aca="false">O823-R823</f>
        <v>0</v>
      </c>
      <c r="U823" s="892" t="n">
        <f aca="false">N823-S823</f>
        <v>0</v>
      </c>
    </row>
    <row r="824" customFormat="false" ht="15" hidden="false" customHeight="true" outlineLevel="0" collapsed="false">
      <c r="A824" s="881" t="n">
        <v>146</v>
      </c>
      <c r="B824" s="882" t="s">
        <v>86</v>
      </c>
      <c r="C824" s="883" t="n">
        <v>2023</v>
      </c>
      <c r="D824" s="831" t="s">
        <v>15</v>
      </c>
      <c r="E824" s="831" t="s">
        <v>2192</v>
      </c>
      <c r="F824" s="832" t="s">
        <v>1650</v>
      </c>
      <c r="G824" s="833"/>
      <c r="H824" s="834" t="n">
        <v>93</v>
      </c>
      <c r="I824" s="1020" t="n">
        <v>91</v>
      </c>
      <c r="J824" s="1020" t="n">
        <v>78</v>
      </c>
      <c r="K824" s="836" t="n">
        <f aca="false">H824*I824/100</f>
        <v>84.63</v>
      </c>
      <c r="L824" s="837" t="n">
        <v>4006</v>
      </c>
      <c r="M824" s="1003" t="n">
        <v>1</v>
      </c>
      <c r="N824" s="837" t="n">
        <f aca="false">L824*M824</f>
        <v>4006</v>
      </c>
      <c r="O824" s="837" t="n">
        <f aca="false">H824*N824</f>
        <v>372558</v>
      </c>
      <c r="P824" s="884" t="s">
        <v>2255</v>
      </c>
      <c r="Q824" s="1015" t="s">
        <v>2611</v>
      </c>
      <c r="R824" s="886" t="n">
        <v>279000</v>
      </c>
      <c r="S824" s="886" t="n">
        <f aca="false">R824/H824</f>
        <v>3000</v>
      </c>
      <c r="T824" s="837" t="n">
        <f aca="false">O824-R824-R826-R825</f>
        <v>0</v>
      </c>
      <c r="U824" s="842" t="n">
        <f aca="false">N824-S824-S826-S825</f>
        <v>0</v>
      </c>
    </row>
    <row r="825" customFormat="false" ht="15" hidden="false" customHeight="true" outlineLevel="0" collapsed="false">
      <c r="A825" s="881"/>
      <c r="B825" s="882"/>
      <c r="C825" s="883"/>
      <c r="D825" s="860" t="s">
        <v>15</v>
      </c>
      <c r="E825" s="860" t="s">
        <v>2192</v>
      </c>
      <c r="F825" s="832"/>
      <c r="G825" s="833"/>
      <c r="H825" s="834"/>
      <c r="I825" s="1020"/>
      <c r="J825" s="1020"/>
      <c r="K825" s="836"/>
      <c r="L825" s="837"/>
      <c r="M825" s="1003"/>
      <c r="N825" s="837"/>
      <c r="O825" s="837"/>
      <c r="P825" s="868" t="s">
        <v>2193</v>
      </c>
      <c r="Q825" s="1011" t="s">
        <v>2607</v>
      </c>
      <c r="R825" s="866" t="n">
        <v>84165</v>
      </c>
      <c r="S825" s="866" t="n">
        <f aca="false">R825/H824</f>
        <v>905</v>
      </c>
      <c r="T825" s="837"/>
      <c r="U825" s="842"/>
    </row>
    <row r="826" customFormat="false" ht="15" hidden="false" customHeight="true" outlineLevel="0" collapsed="false">
      <c r="A826" s="881"/>
      <c r="B826" s="882"/>
      <c r="C826" s="883"/>
      <c r="D826" s="887" t="s">
        <v>15</v>
      </c>
      <c r="E826" s="887" t="s">
        <v>2192</v>
      </c>
      <c r="F826" s="832"/>
      <c r="G826" s="833"/>
      <c r="H826" s="834"/>
      <c r="I826" s="1020"/>
      <c r="J826" s="1020"/>
      <c r="K826" s="836"/>
      <c r="L826" s="837"/>
      <c r="M826" s="1003"/>
      <c r="N826" s="837"/>
      <c r="O826" s="837"/>
      <c r="P826" s="888" t="s">
        <v>2195</v>
      </c>
      <c r="Q826" s="1364" t="s">
        <v>2240</v>
      </c>
      <c r="R826" s="890" t="n">
        <v>9393</v>
      </c>
      <c r="S826" s="890" t="n">
        <f aca="false">R826/H824</f>
        <v>101</v>
      </c>
      <c r="T826" s="837"/>
      <c r="U826" s="842"/>
    </row>
    <row r="827" customFormat="false" ht="15" hidden="false" customHeight="true" outlineLevel="0" collapsed="false">
      <c r="A827" s="881"/>
      <c r="B827" s="847" t="s">
        <v>86</v>
      </c>
      <c r="C827" s="847" t="n">
        <v>2023</v>
      </c>
      <c r="D827" s="848" t="s">
        <v>15</v>
      </c>
      <c r="E827" s="848" t="s">
        <v>2203</v>
      </c>
      <c r="F827" s="848"/>
      <c r="G827" s="849"/>
      <c r="H827" s="949" t="n">
        <v>28.7</v>
      </c>
      <c r="I827" s="1397"/>
      <c r="J827" s="1397"/>
      <c r="K827" s="852" t="n">
        <f aca="false">H827*I827/100</f>
        <v>0</v>
      </c>
      <c r="L827" s="537" t="n">
        <v>92</v>
      </c>
      <c r="M827" s="1007" t="n">
        <v>1</v>
      </c>
      <c r="N827" s="537" t="n">
        <f aca="false">L827*M827</f>
        <v>92</v>
      </c>
      <c r="O827" s="858" t="n">
        <f aca="false">H827*N827</f>
        <v>2640.4</v>
      </c>
      <c r="P827" s="856" t="s">
        <v>2232</v>
      </c>
      <c r="Q827" s="1008" t="s">
        <v>2610</v>
      </c>
      <c r="R827" s="854" t="n">
        <v>2640.4</v>
      </c>
      <c r="S827" s="877" t="n">
        <f aca="false">R827/H827</f>
        <v>92</v>
      </c>
      <c r="T827" s="858" t="n">
        <f aca="false">O827-R827</f>
        <v>0</v>
      </c>
      <c r="U827" s="892" t="n">
        <f aca="false">N827-S827</f>
        <v>0</v>
      </c>
    </row>
    <row r="828" customFormat="false" ht="15" hidden="false" customHeight="true" outlineLevel="0" collapsed="false">
      <c r="A828" s="881"/>
      <c r="B828" s="903" t="s">
        <v>86</v>
      </c>
      <c r="C828" s="903" t="n">
        <v>2023</v>
      </c>
      <c r="D828" s="904" t="s">
        <v>15</v>
      </c>
      <c r="E828" s="904" t="s">
        <v>2241</v>
      </c>
      <c r="F828" s="904"/>
      <c r="G828" s="905"/>
      <c r="H828" s="946" t="n">
        <v>1.2</v>
      </c>
      <c r="I828" s="1055"/>
      <c r="J828" s="1055"/>
      <c r="K828" s="939" t="n">
        <f aca="false">H828*I828/100</f>
        <v>0</v>
      </c>
      <c r="L828" s="942" t="n">
        <v>339</v>
      </c>
      <c r="M828" s="1023" t="n">
        <v>1</v>
      </c>
      <c r="N828" s="942" t="n">
        <f aca="false">L828*M828</f>
        <v>339</v>
      </c>
      <c r="O828" s="1058" t="n">
        <f aca="false">H828*N828</f>
        <v>406.8</v>
      </c>
      <c r="P828" s="910" t="s">
        <v>2204</v>
      </c>
      <c r="Q828" s="911" t="n">
        <v>15052024</v>
      </c>
      <c r="R828" s="891" t="n">
        <v>406.8</v>
      </c>
      <c r="S828" s="877" t="n">
        <f aca="false">R828/H828</f>
        <v>339</v>
      </c>
      <c r="T828" s="1058" t="n">
        <f aca="false">O828-R828</f>
        <v>0</v>
      </c>
      <c r="U828" s="1026" t="n">
        <f aca="false">N828-S828</f>
        <v>0</v>
      </c>
    </row>
    <row r="829" customFormat="false" ht="15" hidden="false" customHeight="true" outlineLevel="0" collapsed="false">
      <c r="A829" s="881"/>
      <c r="B829" s="893" t="s">
        <v>86</v>
      </c>
      <c r="C829" s="893" t="n">
        <v>2023</v>
      </c>
      <c r="D829" s="843" t="s">
        <v>15</v>
      </c>
      <c r="E829" s="843" t="s">
        <v>2242</v>
      </c>
      <c r="F829" s="843"/>
      <c r="G829" s="894"/>
      <c r="H829" s="895" t="n">
        <v>57.4</v>
      </c>
      <c r="I829" s="896"/>
      <c r="J829" s="896"/>
      <c r="K829" s="897" t="n">
        <f aca="false">H829*I829/100</f>
        <v>0</v>
      </c>
      <c r="L829" s="1393" t="n">
        <v>405</v>
      </c>
      <c r="M829" s="1106" t="n">
        <v>1</v>
      </c>
      <c r="N829" s="1393" t="n">
        <f aca="false">L829*M829</f>
        <v>405</v>
      </c>
      <c r="O829" s="1393" t="n">
        <f aca="false">H829*N829</f>
        <v>23247</v>
      </c>
      <c r="P829" s="844" t="s">
        <v>2232</v>
      </c>
      <c r="Q829" s="1005" t="s">
        <v>106</v>
      </c>
      <c r="R829" s="846" t="n">
        <v>23247</v>
      </c>
      <c r="S829" s="846" t="n">
        <f aca="false">R829/H829</f>
        <v>405</v>
      </c>
      <c r="T829" s="589" t="n">
        <f aca="false">O829-R829</f>
        <v>0</v>
      </c>
      <c r="U829" s="902" t="n">
        <f aca="false">N829-S829</f>
        <v>0</v>
      </c>
    </row>
    <row r="830" customFormat="false" ht="15" hidden="false" customHeight="true" outlineLevel="0" collapsed="false">
      <c r="A830" s="903" t="n">
        <v>163</v>
      </c>
      <c r="B830" s="903" t="s">
        <v>2191</v>
      </c>
      <c r="C830" s="903" t="n">
        <v>2023</v>
      </c>
      <c r="D830" s="904" t="s">
        <v>15</v>
      </c>
      <c r="E830" s="904" t="s">
        <v>2192</v>
      </c>
      <c r="F830" s="904" t="s">
        <v>1651</v>
      </c>
      <c r="G830" s="905"/>
      <c r="H830" s="906" t="n">
        <v>22.5</v>
      </c>
      <c r="I830" s="907"/>
      <c r="J830" s="907"/>
      <c r="K830" s="939" t="n">
        <f aca="false">H830*I830/100</f>
        <v>0</v>
      </c>
      <c r="L830" s="1137" t="n">
        <v>14</v>
      </c>
      <c r="M830" s="1023" t="n">
        <v>15</v>
      </c>
      <c r="N830" s="1137" t="n">
        <f aca="false">L830*M830</f>
        <v>210</v>
      </c>
      <c r="O830" s="1137" t="n">
        <f aca="false">H830*N830</f>
        <v>4725</v>
      </c>
      <c r="P830" s="910" t="s">
        <v>2193</v>
      </c>
      <c r="Q830" s="1057" t="s">
        <v>2607</v>
      </c>
      <c r="R830" s="891" t="n">
        <v>4725</v>
      </c>
      <c r="S830" s="891" t="n">
        <f aca="false">R830/H830</f>
        <v>210</v>
      </c>
      <c r="T830" s="942" t="n">
        <f aca="false">O830-R830</f>
        <v>0</v>
      </c>
      <c r="U830" s="942" t="n">
        <f aca="false">N830-S830</f>
        <v>0</v>
      </c>
    </row>
    <row r="831" customFormat="false" ht="15" hidden="false" customHeight="true" outlineLevel="0" collapsed="false">
      <c r="A831" s="881" t="n">
        <v>169</v>
      </c>
      <c r="B831" s="829" t="s">
        <v>86</v>
      </c>
      <c r="C831" s="830" t="n">
        <v>2023</v>
      </c>
      <c r="D831" s="1607" t="s">
        <v>15</v>
      </c>
      <c r="E831" s="1607" t="s">
        <v>2192</v>
      </c>
      <c r="F831" s="832" t="s">
        <v>1650</v>
      </c>
      <c r="G831" s="833"/>
      <c r="H831" s="834" t="n">
        <v>92.9</v>
      </c>
      <c r="I831" s="1020" t="n">
        <v>90</v>
      </c>
      <c r="J831" s="1020" t="n">
        <v>82</v>
      </c>
      <c r="K831" s="836" t="n">
        <f aca="false">H831*I831/100</f>
        <v>83.61</v>
      </c>
      <c r="L831" s="1075" t="n">
        <v>8904</v>
      </c>
      <c r="M831" s="1003" t="n">
        <v>1</v>
      </c>
      <c r="N831" s="1075" t="n">
        <f aca="false">L831*M831</f>
        <v>8904</v>
      </c>
      <c r="O831" s="1075" t="n">
        <f aca="false">H831*N831</f>
        <v>827181.6</v>
      </c>
      <c r="P831" s="884" t="s">
        <v>2193</v>
      </c>
      <c r="Q831" s="1015" t="s">
        <v>2612</v>
      </c>
      <c r="R831" s="886" t="n">
        <v>435701</v>
      </c>
      <c r="S831" s="886" t="n">
        <f aca="false">R831/H831</f>
        <v>4690</v>
      </c>
      <c r="T831" s="1017" t="n">
        <f aca="false">O831-R831-R834-R833-R832</f>
        <v>0</v>
      </c>
      <c r="U831" s="842" t="n">
        <f aca="false">N831-S831-S834-S833-S832</f>
        <v>0</v>
      </c>
    </row>
    <row r="832" customFormat="false" ht="15" hidden="false" customHeight="true" outlineLevel="0" collapsed="false">
      <c r="A832" s="881"/>
      <c r="B832" s="829"/>
      <c r="C832" s="830"/>
      <c r="D832" s="1480" t="s">
        <v>15</v>
      </c>
      <c r="E832" s="1480" t="s">
        <v>2192</v>
      </c>
      <c r="F832" s="832"/>
      <c r="G832" s="833"/>
      <c r="H832" s="834"/>
      <c r="I832" s="1020"/>
      <c r="J832" s="1020"/>
      <c r="K832" s="836"/>
      <c r="L832" s="1075"/>
      <c r="M832" s="1003"/>
      <c r="N832" s="1075"/>
      <c r="O832" s="1075"/>
      <c r="P832" s="868" t="s">
        <v>2193</v>
      </c>
      <c r="Q832" s="1011" t="s">
        <v>2613</v>
      </c>
      <c r="R832" s="866" t="n">
        <v>229741.7</v>
      </c>
      <c r="S832" s="866" t="n">
        <f aca="false">R832/H831</f>
        <v>2473</v>
      </c>
      <c r="T832" s="1017"/>
      <c r="U832" s="842"/>
    </row>
    <row r="833" customFormat="false" ht="15" hidden="false" customHeight="true" outlineLevel="0" collapsed="false">
      <c r="A833" s="881"/>
      <c r="B833" s="829"/>
      <c r="C833" s="830"/>
      <c r="D833" s="1480" t="s">
        <v>15</v>
      </c>
      <c r="E833" s="1480" t="s">
        <v>2192</v>
      </c>
      <c r="F833" s="832"/>
      <c r="G833" s="833"/>
      <c r="H833" s="834"/>
      <c r="I833" s="1020"/>
      <c r="J833" s="1020"/>
      <c r="K833" s="836"/>
      <c r="L833" s="1075"/>
      <c r="M833" s="1003"/>
      <c r="N833" s="1075"/>
      <c r="O833" s="1075"/>
      <c r="P833" s="868" t="s">
        <v>2195</v>
      </c>
      <c r="Q833" s="1011" t="s">
        <v>2240</v>
      </c>
      <c r="R833" s="866" t="n">
        <v>8453.9</v>
      </c>
      <c r="S833" s="866" t="n">
        <f aca="false">R833/H831</f>
        <v>91</v>
      </c>
      <c r="T833" s="1017"/>
      <c r="U833" s="842"/>
    </row>
    <row r="834" customFormat="false" ht="15" hidden="false" customHeight="true" outlineLevel="0" collapsed="false">
      <c r="A834" s="881"/>
      <c r="B834" s="829"/>
      <c r="C834" s="830"/>
      <c r="D834" s="1501" t="s">
        <v>15</v>
      </c>
      <c r="E834" s="1501" t="s">
        <v>2192</v>
      </c>
      <c r="F834" s="832"/>
      <c r="G834" s="833"/>
      <c r="H834" s="834"/>
      <c r="I834" s="1020"/>
      <c r="J834" s="1020"/>
      <c r="K834" s="836"/>
      <c r="L834" s="1075"/>
      <c r="M834" s="1003"/>
      <c r="N834" s="1075"/>
      <c r="O834" s="1075"/>
      <c r="P834" s="888" t="s">
        <v>2193</v>
      </c>
      <c r="Q834" s="1364" t="s">
        <v>2614</v>
      </c>
      <c r="R834" s="890" t="n">
        <v>153285</v>
      </c>
      <c r="S834" s="890" t="n">
        <f aca="false">R834/H831</f>
        <v>1650</v>
      </c>
      <c r="T834" s="1017"/>
      <c r="U834" s="842"/>
    </row>
    <row r="835" customFormat="false" ht="15" hidden="false" customHeight="true" outlineLevel="0" collapsed="false">
      <c r="A835" s="881"/>
      <c r="B835" s="847" t="s">
        <v>86</v>
      </c>
      <c r="C835" s="847" t="n">
        <v>2023</v>
      </c>
      <c r="D835" s="848" t="s">
        <v>15</v>
      </c>
      <c r="E835" s="848" t="s">
        <v>2242</v>
      </c>
      <c r="F835" s="848"/>
      <c r="G835" s="849"/>
      <c r="H835" s="850" t="n">
        <v>49.3</v>
      </c>
      <c r="I835" s="851"/>
      <c r="J835" s="851"/>
      <c r="K835" s="852" t="n">
        <f aca="false">H835*I835/100</f>
        <v>0</v>
      </c>
      <c r="L835" s="1143" t="n">
        <v>352</v>
      </c>
      <c r="M835" s="1007" t="n">
        <v>1</v>
      </c>
      <c r="N835" s="1143" t="n">
        <f aca="false">L835*M835</f>
        <v>352</v>
      </c>
      <c r="O835" s="1143" t="n">
        <f aca="false">H835*N835</f>
        <v>17353.6</v>
      </c>
      <c r="P835" s="856" t="s">
        <v>2232</v>
      </c>
      <c r="Q835" s="1008" t="s">
        <v>106</v>
      </c>
      <c r="R835" s="854" t="n">
        <v>17353.6</v>
      </c>
      <c r="S835" s="846" t="n">
        <f aca="false">R835/H835</f>
        <v>352</v>
      </c>
      <c r="T835" s="537" t="n">
        <f aca="false">O835-R835</f>
        <v>0</v>
      </c>
      <c r="U835" s="892" t="n">
        <f aca="false">N835-S835</f>
        <v>0</v>
      </c>
    </row>
    <row r="836" customFormat="false" ht="15" hidden="false" customHeight="true" outlineLevel="0" collapsed="false">
      <c r="A836" s="881"/>
      <c r="B836" s="1072" t="s">
        <v>86</v>
      </c>
      <c r="C836" s="1072" t="n">
        <v>2023</v>
      </c>
      <c r="D836" s="887" t="s">
        <v>15</v>
      </c>
      <c r="E836" s="887" t="s">
        <v>2203</v>
      </c>
      <c r="F836" s="887"/>
      <c r="G836" s="1062"/>
      <c r="H836" s="1291" t="n">
        <v>30.1</v>
      </c>
      <c r="I836" s="1292"/>
      <c r="J836" s="1292"/>
      <c r="K836" s="1064" t="n">
        <f aca="false">H836*I836/100</f>
        <v>0</v>
      </c>
      <c r="L836" s="1082" t="n">
        <v>246</v>
      </c>
      <c r="M836" s="1066" t="n">
        <v>1</v>
      </c>
      <c r="N836" s="1082" t="n">
        <f aca="false">L836*M836</f>
        <v>246</v>
      </c>
      <c r="O836" s="1082" t="n">
        <f aca="false">H836*N836</f>
        <v>7404.6</v>
      </c>
      <c r="P836" s="888" t="s">
        <v>2232</v>
      </c>
      <c r="Q836" s="1364" t="s">
        <v>2251</v>
      </c>
      <c r="R836" s="890" t="n">
        <v>7404.6</v>
      </c>
      <c r="S836" s="846" t="n">
        <f aca="false">R836/H836</f>
        <v>246</v>
      </c>
      <c r="T836" s="1067" t="n">
        <f aca="false">O836-R836</f>
        <v>0</v>
      </c>
      <c r="U836" s="1070" t="n">
        <f aca="false">N836-S836</f>
        <v>0</v>
      </c>
    </row>
    <row r="837" customFormat="false" ht="15" hidden="false" customHeight="true" outlineLevel="0" collapsed="false">
      <c r="A837" s="1608" t="n">
        <v>143</v>
      </c>
      <c r="B837" s="1609" t="s">
        <v>86</v>
      </c>
      <c r="C837" s="1610" t="n">
        <v>2023</v>
      </c>
      <c r="D837" s="848" t="s">
        <v>15</v>
      </c>
      <c r="E837" s="848" t="s">
        <v>2192</v>
      </c>
      <c r="F837" s="904" t="s">
        <v>1650</v>
      </c>
      <c r="G837" s="905"/>
      <c r="H837" s="946" t="n">
        <v>90.1</v>
      </c>
      <c r="I837" s="947"/>
      <c r="J837" s="947"/>
      <c r="K837" s="939" t="n">
        <f aca="false">H837*I837/100</f>
        <v>0</v>
      </c>
      <c r="L837" s="1137" t="n">
        <v>9267</v>
      </c>
      <c r="M837" s="1023" t="n">
        <v>1</v>
      </c>
      <c r="N837" s="1137" t="n">
        <f aca="false">L837*M837</f>
        <v>9267</v>
      </c>
      <c r="O837" s="1137" t="n">
        <f aca="false">H837*N837</f>
        <v>834956.7</v>
      </c>
      <c r="P837" s="910" t="s">
        <v>2193</v>
      </c>
      <c r="Q837" s="1057" t="s">
        <v>2615</v>
      </c>
      <c r="R837" s="891" t="n">
        <v>90100</v>
      </c>
      <c r="S837" s="891" t="n">
        <f aca="false">R837/H837</f>
        <v>1000</v>
      </c>
      <c r="T837" s="942" t="n">
        <f aca="false">O837-R837-R841-R840-R838-R839</f>
        <v>0</v>
      </c>
      <c r="U837" s="1026" t="n">
        <f aca="false">N837-S837-S841-S840-S838-S839</f>
        <v>0</v>
      </c>
    </row>
    <row r="838" customFormat="false" ht="15" hidden="false" customHeight="true" outlineLevel="0" collapsed="false">
      <c r="A838" s="1608"/>
      <c r="B838" s="1609"/>
      <c r="C838" s="1610"/>
      <c r="D838" s="848" t="s">
        <v>15</v>
      </c>
      <c r="E838" s="848" t="s">
        <v>2192</v>
      </c>
      <c r="F838" s="904"/>
      <c r="G838" s="905"/>
      <c r="H838" s="946"/>
      <c r="I838" s="947"/>
      <c r="J838" s="947"/>
      <c r="K838" s="939"/>
      <c r="L838" s="1137"/>
      <c r="M838" s="1023"/>
      <c r="N838" s="1137"/>
      <c r="O838" s="1137"/>
      <c r="P838" s="868" t="s">
        <v>2195</v>
      </c>
      <c r="Q838" s="1011" t="s">
        <v>2240</v>
      </c>
      <c r="R838" s="866" t="n">
        <v>13244.7</v>
      </c>
      <c r="S838" s="866" t="n">
        <f aca="false">R838/H837</f>
        <v>147</v>
      </c>
      <c r="T838" s="942"/>
      <c r="U838" s="1026"/>
    </row>
    <row r="839" customFormat="false" ht="15" hidden="false" customHeight="true" outlineLevel="0" collapsed="false">
      <c r="A839" s="1608"/>
      <c r="B839" s="1609"/>
      <c r="C839" s="1610"/>
      <c r="D839" s="848" t="s">
        <v>15</v>
      </c>
      <c r="E839" s="848" t="s">
        <v>2192</v>
      </c>
      <c r="F839" s="904"/>
      <c r="G839" s="905"/>
      <c r="H839" s="946"/>
      <c r="I839" s="947"/>
      <c r="J839" s="947"/>
      <c r="K839" s="939"/>
      <c r="L839" s="1137"/>
      <c r="M839" s="1023"/>
      <c r="N839" s="1137"/>
      <c r="O839" s="1137"/>
      <c r="P839" s="868" t="s">
        <v>2193</v>
      </c>
      <c r="Q839" s="1011" t="s">
        <v>2607</v>
      </c>
      <c r="R839" s="866" t="n">
        <v>181101</v>
      </c>
      <c r="S839" s="866" t="n">
        <f aca="false">R839/H837</f>
        <v>2010</v>
      </c>
      <c r="T839" s="942"/>
      <c r="U839" s="1026"/>
    </row>
    <row r="840" customFormat="false" ht="15" hidden="false" customHeight="true" outlineLevel="0" collapsed="false">
      <c r="A840" s="1608"/>
      <c r="B840" s="1609"/>
      <c r="C840" s="1610"/>
      <c r="D840" s="860" t="s">
        <v>15</v>
      </c>
      <c r="E840" s="860" t="s">
        <v>2192</v>
      </c>
      <c r="F840" s="904"/>
      <c r="G840" s="905"/>
      <c r="H840" s="946"/>
      <c r="I840" s="947"/>
      <c r="J840" s="947"/>
      <c r="K840" s="939"/>
      <c r="L840" s="1137"/>
      <c r="M840" s="1023"/>
      <c r="N840" s="1137"/>
      <c r="O840" s="1137"/>
      <c r="P840" s="868" t="s">
        <v>2232</v>
      </c>
      <c r="Q840" s="1011" t="s">
        <v>2616</v>
      </c>
      <c r="R840" s="866" t="n">
        <v>202725</v>
      </c>
      <c r="S840" s="866" t="n">
        <f aca="false">R840/H837</f>
        <v>2250</v>
      </c>
      <c r="T840" s="942"/>
      <c r="U840" s="1026"/>
    </row>
    <row r="841" customFormat="false" ht="15" hidden="false" customHeight="true" outlineLevel="0" collapsed="false">
      <c r="A841" s="1608"/>
      <c r="B841" s="1609"/>
      <c r="C841" s="1610"/>
      <c r="D841" s="904" t="s">
        <v>15</v>
      </c>
      <c r="E841" s="904" t="s">
        <v>2192</v>
      </c>
      <c r="F841" s="904"/>
      <c r="G841" s="905"/>
      <c r="H841" s="946"/>
      <c r="I841" s="947"/>
      <c r="J841" s="947"/>
      <c r="K841" s="939"/>
      <c r="L841" s="1137"/>
      <c r="M841" s="1023"/>
      <c r="N841" s="1137"/>
      <c r="O841" s="1137"/>
      <c r="P841" s="910" t="s">
        <v>2193</v>
      </c>
      <c r="Q841" s="1057" t="s">
        <v>2617</v>
      </c>
      <c r="R841" s="891" t="n">
        <v>347786</v>
      </c>
      <c r="S841" s="891" t="n">
        <f aca="false">R841/H837</f>
        <v>3860</v>
      </c>
      <c r="T841" s="942"/>
      <c r="U841" s="1026"/>
    </row>
    <row r="842" customFormat="false" ht="15" hidden="false" customHeight="true" outlineLevel="0" collapsed="false">
      <c r="A842" s="1608"/>
      <c r="B842" s="829" t="s">
        <v>86</v>
      </c>
      <c r="C842" s="830" t="n">
        <v>2023</v>
      </c>
      <c r="D842" s="831" t="s">
        <v>15</v>
      </c>
      <c r="E842" s="831" t="s">
        <v>2242</v>
      </c>
      <c r="F842" s="830"/>
      <c r="G842" s="833"/>
      <c r="H842" s="834" t="n">
        <v>37</v>
      </c>
      <c r="I842" s="835"/>
      <c r="J842" s="835"/>
      <c r="K842" s="836" t="n">
        <f aca="false">H842*I842/100</f>
        <v>0</v>
      </c>
      <c r="L842" s="837" t="n">
        <v>1137</v>
      </c>
      <c r="M842" s="1003" t="n">
        <v>1</v>
      </c>
      <c r="N842" s="837" t="n">
        <f aca="false">L842*M842</f>
        <v>1137</v>
      </c>
      <c r="O842" s="837" t="n">
        <f aca="false">H842*N842</f>
        <v>42069</v>
      </c>
      <c r="P842" s="838" t="s">
        <v>2195</v>
      </c>
      <c r="Q842" s="1004" t="s">
        <v>2240</v>
      </c>
      <c r="R842" s="840" t="n">
        <v>11359</v>
      </c>
      <c r="S842" s="840" t="n">
        <f aca="false">R842/H842</f>
        <v>307</v>
      </c>
      <c r="T842" s="837" t="n">
        <f aca="false">O842-R842-R843</f>
        <v>0</v>
      </c>
      <c r="U842" s="842" t="n">
        <f aca="false">N842-S842-S843</f>
        <v>0</v>
      </c>
    </row>
    <row r="843" customFormat="false" ht="15" hidden="false" customHeight="true" outlineLevel="0" collapsed="false">
      <c r="A843" s="1608"/>
      <c r="B843" s="829"/>
      <c r="C843" s="830"/>
      <c r="D843" s="843" t="s">
        <v>15</v>
      </c>
      <c r="E843" s="843" t="s">
        <v>2242</v>
      </c>
      <c r="F843" s="830"/>
      <c r="G843" s="833"/>
      <c r="H843" s="834"/>
      <c r="I843" s="835"/>
      <c r="J843" s="835"/>
      <c r="K843" s="836"/>
      <c r="L843" s="837"/>
      <c r="M843" s="1003"/>
      <c r="N843" s="837"/>
      <c r="O843" s="837"/>
      <c r="P843" s="844" t="s">
        <v>2200</v>
      </c>
      <c r="Q843" s="1005" t="s">
        <v>2336</v>
      </c>
      <c r="R843" s="846" t="n">
        <v>30710</v>
      </c>
      <c r="S843" s="846" t="n">
        <f aca="false">R843/H842</f>
        <v>830</v>
      </c>
      <c r="T843" s="837"/>
      <c r="U843" s="842"/>
    </row>
    <row r="844" customFormat="false" ht="15" hidden="false" customHeight="true" outlineLevel="0" collapsed="false">
      <c r="A844" s="1608"/>
      <c r="B844" s="903" t="s">
        <v>86</v>
      </c>
      <c r="C844" s="903" t="n">
        <v>2023</v>
      </c>
      <c r="D844" s="904" t="s">
        <v>15</v>
      </c>
      <c r="E844" s="904" t="s">
        <v>2241</v>
      </c>
      <c r="F844" s="904"/>
      <c r="G844" s="905"/>
      <c r="H844" s="906" t="n">
        <v>2.7</v>
      </c>
      <c r="I844" s="907"/>
      <c r="J844" s="907"/>
      <c r="K844" s="939" t="n">
        <f aca="false">H844*I844/100</f>
        <v>0</v>
      </c>
      <c r="L844" s="1137" t="n">
        <v>1718</v>
      </c>
      <c r="M844" s="1023" t="n">
        <v>1</v>
      </c>
      <c r="N844" s="1137" t="n">
        <f aca="false">L844*M844</f>
        <v>1718</v>
      </c>
      <c r="O844" s="1443" t="n">
        <f aca="false">H844*N844</f>
        <v>4638.6</v>
      </c>
      <c r="P844" s="910" t="s">
        <v>2204</v>
      </c>
      <c r="Q844" s="911" t="n">
        <v>14052024</v>
      </c>
      <c r="R844" s="891" t="n">
        <v>4638.6</v>
      </c>
      <c r="S844" s="891" t="n">
        <f aca="false">R844/H844</f>
        <v>1718</v>
      </c>
      <c r="T844" s="942" t="n">
        <f aca="false">O844-R844</f>
        <v>0</v>
      </c>
      <c r="U844" s="942" t="n">
        <f aca="false">N844-S844</f>
        <v>0</v>
      </c>
    </row>
    <row r="845" customFormat="false" ht="15" hidden="false" customHeight="true" outlineLevel="0" collapsed="false">
      <c r="A845" s="829" t="n">
        <v>218</v>
      </c>
      <c r="B845" s="830" t="s">
        <v>2191</v>
      </c>
      <c r="C845" s="830" t="n">
        <v>2023</v>
      </c>
      <c r="D845" s="831" t="s">
        <v>15</v>
      </c>
      <c r="E845" s="831" t="s">
        <v>2192</v>
      </c>
      <c r="F845" s="832" t="s">
        <v>1651</v>
      </c>
      <c r="G845" s="833"/>
      <c r="H845" s="1059" t="n">
        <v>25.7</v>
      </c>
      <c r="I845" s="835"/>
      <c r="J845" s="835"/>
      <c r="K845" s="836" t="n">
        <f aca="false">H845*I845/100</f>
        <v>0</v>
      </c>
      <c r="L845" s="837" t="n">
        <v>48</v>
      </c>
      <c r="M845" s="830" t="n">
        <v>15</v>
      </c>
      <c r="N845" s="837" t="n">
        <f aca="false">L845*M845</f>
        <v>720</v>
      </c>
      <c r="O845" s="837" t="n">
        <f aca="false">H845*N845</f>
        <v>18504</v>
      </c>
      <c r="P845" s="838" t="s">
        <v>2197</v>
      </c>
      <c r="Q845" s="1004" t="s">
        <v>2606</v>
      </c>
      <c r="R845" s="840" t="n">
        <v>3855</v>
      </c>
      <c r="S845" s="840" t="n">
        <f aca="false">R845/H845</f>
        <v>150</v>
      </c>
      <c r="T845" s="837" t="n">
        <f aca="false">O845-R845-R846</f>
        <v>0</v>
      </c>
      <c r="U845" s="842" t="n">
        <f aca="false">N845-S845-S846</f>
        <v>0</v>
      </c>
    </row>
    <row r="846" customFormat="false" ht="15" hidden="false" customHeight="true" outlineLevel="0" collapsed="false">
      <c r="A846" s="829"/>
      <c r="B846" s="830"/>
      <c r="C846" s="830"/>
      <c r="D846" s="843" t="s">
        <v>15</v>
      </c>
      <c r="E846" s="843" t="s">
        <v>2192</v>
      </c>
      <c r="F846" s="832"/>
      <c r="G846" s="833"/>
      <c r="H846" s="1059"/>
      <c r="I846" s="835"/>
      <c r="J846" s="835"/>
      <c r="K846" s="836"/>
      <c r="L846" s="837"/>
      <c r="M846" s="830"/>
      <c r="N846" s="837"/>
      <c r="O846" s="837"/>
      <c r="P846" s="844" t="s">
        <v>2193</v>
      </c>
      <c r="Q846" s="1005" t="s">
        <v>2608</v>
      </c>
      <c r="R846" s="846" t="n">
        <v>14649</v>
      </c>
      <c r="S846" s="890" t="n">
        <f aca="false">R846/H845</f>
        <v>570</v>
      </c>
      <c r="T846" s="837"/>
      <c r="U846" s="842"/>
    </row>
    <row r="847" customFormat="false" ht="15" hidden="false" customHeight="true" outlineLevel="0" collapsed="false">
      <c r="A847" s="847" t="n">
        <v>56</v>
      </c>
      <c r="B847" s="847" t="s">
        <v>2230</v>
      </c>
      <c r="C847" s="847" t="n">
        <v>2023</v>
      </c>
      <c r="D847" s="848" t="s">
        <v>15</v>
      </c>
      <c r="E847" s="848" t="s">
        <v>2192</v>
      </c>
      <c r="F847" s="848" t="s">
        <v>2199</v>
      </c>
      <c r="G847" s="849"/>
      <c r="H847" s="850" t="n">
        <v>50.402</v>
      </c>
      <c r="I847" s="1397"/>
      <c r="J847" s="1397"/>
      <c r="K847" s="852" t="n">
        <f aca="false">H847*I847/100</f>
        <v>0</v>
      </c>
      <c r="L847" s="1143" t="n">
        <v>6325</v>
      </c>
      <c r="M847" s="1007" t="n">
        <v>1</v>
      </c>
      <c r="N847" s="1143" t="n">
        <f aca="false">L847*M847</f>
        <v>6325</v>
      </c>
      <c r="O847" s="1606" t="n">
        <f aca="false">H847*N847</f>
        <v>318792.65</v>
      </c>
      <c r="P847" s="856" t="s">
        <v>2232</v>
      </c>
      <c r="Q847" s="1008" t="s">
        <v>2610</v>
      </c>
      <c r="R847" s="854" t="n">
        <v>318792.65</v>
      </c>
      <c r="S847" s="854" t="n">
        <f aca="false">R847/H847</f>
        <v>6325</v>
      </c>
      <c r="T847" s="1347" t="n">
        <f aca="false">O847-R847</f>
        <v>0</v>
      </c>
      <c r="U847" s="537" t="n">
        <f aca="false">N847-S847</f>
        <v>0</v>
      </c>
    </row>
    <row r="848" customFormat="false" ht="15" hidden="false" customHeight="true" outlineLevel="0" collapsed="false">
      <c r="A848" s="859" t="n">
        <v>347</v>
      </c>
      <c r="B848" s="859" t="s">
        <v>2191</v>
      </c>
      <c r="C848" s="859" t="n">
        <v>2023</v>
      </c>
      <c r="D848" s="860" t="s">
        <v>15</v>
      </c>
      <c r="E848" s="860" t="s">
        <v>2192</v>
      </c>
      <c r="F848" s="860" t="s">
        <v>1651</v>
      </c>
      <c r="G848" s="861"/>
      <c r="H848" s="862" t="n">
        <v>22.5</v>
      </c>
      <c r="I848" s="1429"/>
      <c r="J848" s="1429"/>
      <c r="K848" s="864" t="n">
        <f aca="false">H848*I848/100</f>
        <v>0</v>
      </c>
      <c r="L848" s="1299" t="n">
        <v>5</v>
      </c>
      <c r="M848" s="983" t="n">
        <v>15</v>
      </c>
      <c r="N848" s="1299" t="n">
        <f aca="false">L848*M848</f>
        <v>75</v>
      </c>
      <c r="O848" s="1348" t="n">
        <f aca="false">H848*N848</f>
        <v>1687.5</v>
      </c>
      <c r="P848" s="868" t="s">
        <v>2193</v>
      </c>
      <c r="Q848" s="1011" t="s">
        <v>2608</v>
      </c>
      <c r="R848" s="866" t="n">
        <v>1687.5</v>
      </c>
      <c r="S848" s="854" t="n">
        <f aca="false">R848/H848</f>
        <v>75</v>
      </c>
      <c r="T848" s="1556" t="n">
        <f aca="false">O848-R848</f>
        <v>0</v>
      </c>
      <c r="U848" s="543" t="n">
        <f aca="false">N848-S848</f>
        <v>0</v>
      </c>
    </row>
    <row r="849" customFormat="false" ht="15" hidden="false" customHeight="true" outlineLevel="0" collapsed="false">
      <c r="A849" s="870" t="n">
        <v>348</v>
      </c>
      <c r="B849" s="870" t="s">
        <v>2191</v>
      </c>
      <c r="C849" s="870" t="n">
        <v>2023</v>
      </c>
      <c r="D849" s="871" t="s">
        <v>15</v>
      </c>
      <c r="E849" s="871" t="s">
        <v>2192</v>
      </c>
      <c r="F849" s="871" t="s">
        <v>1651</v>
      </c>
      <c r="G849" s="872"/>
      <c r="H849" s="873" t="n">
        <v>22.5</v>
      </c>
      <c r="I849" s="1433"/>
      <c r="J849" s="1433"/>
      <c r="K849" s="875" t="n">
        <f aca="false">H849*I849/100</f>
        <v>0</v>
      </c>
      <c r="L849" s="1301" t="n">
        <v>3</v>
      </c>
      <c r="M849" s="1000" t="n">
        <v>15</v>
      </c>
      <c r="N849" s="1301" t="n">
        <f aca="false">L849*M849</f>
        <v>45</v>
      </c>
      <c r="O849" s="1349" t="n">
        <f aca="false">H849*N849</f>
        <v>1012.5</v>
      </c>
      <c r="P849" s="879" t="s">
        <v>2193</v>
      </c>
      <c r="Q849" s="1013" t="s">
        <v>2608</v>
      </c>
      <c r="R849" s="877" t="n">
        <v>1012.5</v>
      </c>
      <c r="S849" s="877" t="n">
        <f aca="false">R849/H849</f>
        <v>45</v>
      </c>
      <c r="T849" s="1496" t="n">
        <f aca="false">O849-R849</f>
        <v>0</v>
      </c>
      <c r="U849" s="553" t="n">
        <f aca="false">N849-S849</f>
        <v>0</v>
      </c>
    </row>
    <row r="850" customFormat="false" ht="15" hidden="false" customHeight="true" outlineLevel="0" collapsed="false">
      <c r="A850" s="829" t="n">
        <v>414</v>
      </c>
      <c r="B850" s="830" t="s">
        <v>2191</v>
      </c>
      <c r="C850" s="830" t="n">
        <v>2023</v>
      </c>
      <c r="D850" s="831" t="s">
        <v>15</v>
      </c>
      <c r="E850" s="831" t="s">
        <v>2192</v>
      </c>
      <c r="F850" s="832" t="s">
        <v>1651</v>
      </c>
      <c r="G850" s="833"/>
      <c r="H850" s="834" t="n">
        <v>22.5</v>
      </c>
      <c r="I850" s="835"/>
      <c r="J850" s="835"/>
      <c r="K850" s="836" t="n">
        <f aca="false">H850*I850/100</f>
        <v>0</v>
      </c>
      <c r="L850" s="837" t="n">
        <v>25</v>
      </c>
      <c r="M850" s="1003" t="n">
        <v>15</v>
      </c>
      <c r="N850" s="837" t="n">
        <f aca="false">L850*M850</f>
        <v>375</v>
      </c>
      <c r="O850" s="1120" t="n">
        <f aca="false">H850*N850</f>
        <v>8437.5</v>
      </c>
      <c r="P850" s="838" t="s">
        <v>2193</v>
      </c>
      <c r="Q850" s="1004" t="s">
        <v>2607</v>
      </c>
      <c r="R850" s="840" t="n">
        <v>2700</v>
      </c>
      <c r="S850" s="840" t="n">
        <f aca="false">R850/H850</f>
        <v>120</v>
      </c>
      <c r="T850" s="1120" t="n">
        <f aca="false">O850-R850-R851</f>
        <v>0</v>
      </c>
      <c r="U850" s="842" t="n">
        <f aca="false">N850-S850-S851</f>
        <v>0</v>
      </c>
    </row>
    <row r="851" customFormat="false" ht="15" hidden="false" customHeight="true" outlineLevel="0" collapsed="false">
      <c r="A851" s="829"/>
      <c r="B851" s="830"/>
      <c r="C851" s="830"/>
      <c r="D851" s="887" t="s">
        <v>15</v>
      </c>
      <c r="E851" s="887" t="s">
        <v>2192</v>
      </c>
      <c r="F851" s="832"/>
      <c r="G851" s="833"/>
      <c r="H851" s="834"/>
      <c r="I851" s="835"/>
      <c r="J851" s="835"/>
      <c r="K851" s="836"/>
      <c r="L851" s="837"/>
      <c r="M851" s="1003"/>
      <c r="N851" s="837"/>
      <c r="O851" s="1120"/>
      <c r="P851" s="888" t="s">
        <v>2193</v>
      </c>
      <c r="Q851" s="1364" t="s">
        <v>2618</v>
      </c>
      <c r="R851" s="890" t="n">
        <v>5737.5</v>
      </c>
      <c r="S851" s="890" t="n">
        <f aca="false">R851/H850</f>
        <v>255</v>
      </c>
      <c r="T851" s="1120"/>
      <c r="U851" s="842"/>
    </row>
    <row r="852" customFormat="false" ht="15" hidden="false" customHeight="true" outlineLevel="0" collapsed="false">
      <c r="A852" s="847" t="n">
        <v>497</v>
      </c>
      <c r="B852" s="847" t="s">
        <v>2191</v>
      </c>
      <c r="C852" s="847" t="n">
        <v>2023</v>
      </c>
      <c r="D852" s="848" t="s">
        <v>15</v>
      </c>
      <c r="E852" s="848" t="s">
        <v>2192</v>
      </c>
      <c r="F852" s="848" t="s">
        <v>2619</v>
      </c>
      <c r="G852" s="849"/>
      <c r="H852" s="850" t="n">
        <v>91</v>
      </c>
      <c r="I852" s="851"/>
      <c r="J852" s="851"/>
      <c r="K852" s="852" t="n">
        <f aca="false">H852*I852/100</f>
        <v>0</v>
      </c>
      <c r="L852" s="1143" t="n">
        <v>5</v>
      </c>
      <c r="M852" s="1007" t="n">
        <v>25</v>
      </c>
      <c r="N852" s="1143" t="n">
        <f aca="false">L852*M852</f>
        <v>125</v>
      </c>
      <c r="O852" s="1606" t="n">
        <f aca="false">H852*N852</f>
        <v>11375</v>
      </c>
      <c r="P852" s="856" t="s">
        <v>2195</v>
      </c>
      <c r="Q852" s="1008" t="s">
        <v>1375</v>
      </c>
      <c r="R852" s="854" t="n">
        <v>11375</v>
      </c>
      <c r="S852" s="840" t="n">
        <f aca="false">R852/H852</f>
        <v>125</v>
      </c>
      <c r="T852" s="1347" t="n">
        <f aca="false">O852-R852</f>
        <v>0</v>
      </c>
      <c r="U852" s="537" t="n">
        <f aca="false">N852-S852</f>
        <v>0</v>
      </c>
    </row>
    <row r="853" customFormat="false" ht="15" hidden="false" customHeight="true" outlineLevel="0" collapsed="false">
      <c r="A853" s="1155" t="n">
        <v>220923</v>
      </c>
      <c r="B853" s="1155" t="s">
        <v>86</v>
      </c>
      <c r="C853" s="1155" t="n">
        <v>2023</v>
      </c>
      <c r="D853" s="1156" t="s">
        <v>15</v>
      </c>
      <c r="E853" s="1156" t="s">
        <v>2203</v>
      </c>
      <c r="F853" s="1156"/>
      <c r="G853" s="1157"/>
      <c r="H853" s="1274" t="n">
        <v>0</v>
      </c>
      <c r="I853" s="1275"/>
      <c r="J853" s="1275"/>
      <c r="K853" s="1212" t="n">
        <f aca="false">H853*I853/100</f>
        <v>0</v>
      </c>
      <c r="L853" s="1321" t="n">
        <v>703</v>
      </c>
      <c r="M853" s="1162" t="n">
        <v>1</v>
      </c>
      <c r="N853" s="1398" t="n">
        <f aca="false">L853*M853</f>
        <v>703</v>
      </c>
      <c r="O853" s="1611" t="n">
        <f aca="false">H853*N853</f>
        <v>0</v>
      </c>
      <c r="P853" s="1165"/>
      <c r="Q853" s="1343"/>
      <c r="R853" s="1168"/>
      <c r="S853" s="1269"/>
      <c r="T853" s="1219" t="n">
        <f aca="false">O853-R853</f>
        <v>0</v>
      </c>
      <c r="U853" s="1219" t="n">
        <f aca="false">N853-S853</f>
        <v>703</v>
      </c>
    </row>
    <row r="854" customFormat="false" ht="15" hidden="false" customHeight="true" outlineLevel="0" collapsed="false">
      <c r="A854" s="903" t="n">
        <v>67</v>
      </c>
      <c r="B854" s="903" t="s">
        <v>2191</v>
      </c>
      <c r="C854" s="903" t="n">
        <v>2024</v>
      </c>
      <c r="D854" s="904" t="s">
        <v>15</v>
      </c>
      <c r="E854" s="904" t="s">
        <v>2192</v>
      </c>
      <c r="F854" s="904" t="s">
        <v>1651</v>
      </c>
      <c r="G854" s="905"/>
      <c r="H854" s="906" t="n">
        <v>22.5</v>
      </c>
      <c r="I854" s="907"/>
      <c r="J854" s="907"/>
      <c r="K854" s="875" t="n">
        <f aca="false">H854*I854/100</f>
        <v>0</v>
      </c>
      <c r="L854" s="1137" t="n">
        <v>1</v>
      </c>
      <c r="M854" s="1023" t="n">
        <v>15</v>
      </c>
      <c r="N854" s="1301" t="n">
        <f aca="false">L854*M854</f>
        <v>15</v>
      </c>
      <c r="O854" s="1349" t="n">
        <f aca="false">H854*N854</f>
        <v>337.5</v>
      </c>
      <c r="P854" s="910" t="s">
        <v>2195</v>
      </c>
      <c r="Q854" s="1057" t="s">
        <v>2620</v>
      </c>
      <c r="R854" s="891" t="n">
        <v>337.5</v>
      </c>
      <c r="S854" s="877" t="n">
        <f aca="false">R854/H854</f>
        <v>15</v>
      </c>
      <c r="T854" s="1404" t="n">
        <f aca="false">O854-R854</f>
        <v>0</v>
      </c>
      <c r="U854" s="553" t="n">
        <f aca="false">N854-S854</f>
        <v>0</v>
      </c>
    </row>
    <row r="855" customFormat="false" ht="15" hidden="false" customHeight="true" outlineLevel="0" collapsed="false">
      <c r="A855" s="882" t="n">
        <v>18</v>
      </c>
      <c r="B855" s="1173" t="s">
        <v>86</v>
      </c>
      <c r="C855" s="1173" t="n">
        <v>2024</v>
      </c>
      <c r="D855" s="831" t="s">
        <v>15</v>
      </c>
      <c r="E855" s="831" t="s">
        <v>2192</v>
      </c>
      <c r="F855" s="831" t="s">
        <v>2199</v>
      </c>
      <c r="G855" s="1108"/>
      <c r="H855" s="1434" t="n">
        <v>84.6</v>
      </c>
      <c r="I855" s="1612"/>
      <c r="J855" s="1612"/>
      <c r="K855" s="1111" t="n">
        <f aca="false">H855*I855/100</f>
        <v>0</v>
      </c>
      <c r="L855" s="1408" t="n">
        <v>602</v>
      </c>
      <c r="M855" s="1113" t="n">
        <v>1</v>
      </c>
      <c r="N855" s="1408" t="n">
        <f aca="false">L855*M855</f>
        <v>602</v>
      </c>
      <c r="O855" s="1553" t="n">
        <f aca="false">H855*N855</f>
        <v>50929.2</v>
      </c>
      <c r="P855" s="838" t="s">
        <v>2232</v>
      </c>
      <c r="Q855" s="1004" t="s">
        <v>106</v>
      </c>
      <c r="R855" s="840" t="n">
        <v>50929.2</v>
      </c>
      <c r="S855" s="886" t="n">
        <f aca="false">R855/H855</f>
        <v>602</v>
      </c>
      <c r="T855" s="1371" t="n">
        <f aca="false">O855-R855</f>
        <v>0</v>
      </c>
      <c r="U855" s="1176" t="n">
        <f aca="false">N855-S855</f>
        <v>0</v>
      </c>
    </row>
    <row r="856" customFormat="false" ht="15" hidden="false" customHeight="true" outlineLevel="0" collapsed="false">
      <c r="A856" s="882"/>
      <c r="B856" s="847" t="s">
        <v>86</v>
      </c>
      <c r="C856" s="847" t="n">
        <v>2024</v>
      </c>
      <c r="D856" s="848" t="s">
        <v>15</v>
      </c>
      <c r="E856" s="848" t="s">
        <v>2203</v>
      </c>
      <c r="F856" s="848"/>
      <c r="G856" s="849"/>
      <c r="H856" s="850" t="n">
        <v>1.3</v>
      </c>
      <c r="I856" s="851"/>
      <c r="J856" s="851"/>
      <c r="K856" s="852" t="n">
        <f aca="false">H856*I856/100</f>
        <v>0</v>
      </c>
      <c r="L856" s="1143" t="n">
        <v>343</v>
      </c>
      <c r="M856" s="1007" t="n">
        <v>1</v>
      </c>
      <c r="N856" s="1143" t="n">
        <f aca="false">L856*M856</f>
        <v>343</v>
      </c>
      <c r="O856" s="1606" t="n">
        <f aca="false">H856*N856</f>
        <v>445.9</v>
      </c>
      <c r="P856" s="856" t="s">
        <v>2204</v>
      </c>
      <c r="Q856" s="869" t="n">
        <v>26062024</v>
      </c>
      <c r="R856" s="854" t="n">
        <v>445.9</v>
      </c>
      <c r="S856" s="866" t="n">
        <f aca="false">R856/H856</f>
        <v>343</v>
      </c>
      <c r="T856" s="1556" t="n">
        <f aca="false">O856-R856</f>
        <v>0</v>
      </c>
      <c r="U856" s="892" t="n">
        <f aca="false">N856-S856</f>
        <v>0</v>
      </c>
    </row>
    <row r="857" customFormat="false" ht="15" hidden="false" customHeight="true" outlineLevel="0" collapsed="false">
      <c r="A857" s="882"/>
      <c r="B857" s="1072" t="s">
        <v>86</v>
      </c>
      <c r="C857" s="1072" t="n">
        <v>2024</v>
      </c>
      <c r="D857" s="887" t="s">
        <v>15</v>
      </c>
      <c r="E857" s="887" t="s">
        <v>2205</v>
      </c>
      <c r="F857" s="887"/>
      <c r="G857" s="1062"/>
      <c r="H857" s="1291" t="n">
        <v>0</v>
      </c>
      <c r="I857" s="1292"/>
      <c r="J857" s="1292"/>
      <c r="K857" s="1064" t="n">
        <f aca="false">H857*I857/100</f>
        <v>0</v>
      </c>
      <c r="L857" s="1082" t="n">
        <v>516</v>
      </c>
      <c r="M857" s="1066" t="n">
        <v>1</v>
      </c>
      <c r="N857" s="1082" t="n">
        <f aca="false">L857*M857</f>
        <v>516</v>
      </c>
      <c r="O857" s="1613" t="n">
        <f aca="false">H857*N857</f>
        <v>0</v>
      </c>
      <c r="P857" s="888" t="s">
        <v>2204</v>
      </c>
      <c r="Q857" s="845" t="n">
        <v>26062024</v>
      </c>
      <c r="R857" s="890" t="n">
        <v>0</v>
      </c>
      <c r="S857" s="846" t="n">
        <v>516</v>
      </c>
      <c r="T857" s="1184" t="n">
        <f aca="false">O857-R857</f>
        <v>0</v>
      </c>
      <c r="U857" s="1070" t="n">
        <f aca="false">N857-S857</f>
        <v>0</v>
      </c>
    </row>
    <row r="858" customFormat="false" ht="15" hidden="false" customHeight="true" outlineLevel="0" collapsed="false">
      <c r="A858" s="903" t="n">
        <v>7</v>
      </c>
      <c r="B858" s="903" t="s">
        <v>2207</v>
      </c>
      <c r="C858" s="903" t="n">
        <v>2024</v>
      </c>
      <c r="D858" s="904" t="s">
        <v>15</v>
      </c>
      <c r="E858" s="904" t="s">
        <v>2192</v>
      </c>
      <c r="F858" s="904" t="s">
        <v>1651</v>
      </c>
      <c r="G858" s="905"/>
      <c r="H858" s="906" t="n">
        <v>27.3357</v>
      </c>
      <c r="I858" s="907"/>
      <c r="J858" s="907"/>
      <c r="K858" s="939" t="n">
        <f aca="false">H858*I858/100</f>
        <v>0</v>
      </c>
      <c r="L858" s="1137" t="n">
        <v>9704</v>
      </c>
      <c r="M858" s="1023" t="n">
        <v>1</v>
      </c>
      <c r="N858" s="1137" t="n">
        <f aca="false">L858*M858</f>
        <v>9704</v>
      </c>
      <c r="O858" s="1384" t="n">
        <f aca="false">H858*N858</f>
        <v>265265.6328</v>
      </c>
      <c r="P858" s="910" t="s">
        <v>2193</v>
      </c>
      <c r="Q858" s="1057" t="s">
        <v>2621</v>
      </c>
      <c r="R858" s="1138" t="n">
        <v>265265.6328</v>
      </c>
      <c r="S858" s="891" t="n">
        <f aca="false">R858/H858</f>
        <v>9704</v>
      </c>
      <c r="T858" s="948" t="n">
        <f aca="false">O858-R858</f>
        <v>0</v>
      </c>
      <c r="U858" s="942" t="n">
        <f aca="false">N858-S858</f>
        <v>0</v>
      </c>
    </row>
    <row r="859" customFormat="false" ht="15" hidden="false" customHeight="true" outlineLevel="0" collapsed="false">
      <c r="A859" s="829" t="s">
        <v>2622</v>
      </c>
      <c r="B859" s="830" t="s">
        <v>2207</v>
      </c>
      <c r="C859" s="830" t="n">
        <v>2024</v>
      </c>
      <c r="D859" s="831" t="s">
        <v>15</v>
      </c>
      <c r="E859" s="831" t="s">
        <v>2192</v>
      </c>
      <c r="F859" s="832" t="s">
        <v>1651</v>
      </c>
      <c r="G859" s="833"/>
      <c r="H859" s="834" t="n">
        <v>27.1697</v>
      </c>
      <c r="I859" s="835"/>
      <c r="J859" s="835"/>
      <c r="K859" s="836" t="n">
        <f aca="false">H859*I859/100</f>
        <v>0</v>
      </c>
      <c r="L859" s="837" t="n">
        <v>10049</v>
      </c>
      <c r="M859" s="1003" t="n">
        <v>1</v>
      </c>
      <c r="N859" s="837" t="n">
        <f aca="false">L859*M859</f>
        <v>10049</v>
      </c>
      <c r="O859" s="943" t="n">
        <f aca="false">H859*N859</f>
        <v>273028.3153</v>
      </c>
      <c r="P859" s="838" t="s">
        <v>2197</v>
      </c>
      <c r="Q859" s="1004" t="s">
        <v>2623</v>
      </c>
      <c r="R859" s="1537" t="n">
        <v>232300.935</v>
      </c>
      <c r="S859" s="840" t="n">
        <f aca="false">R859/H859</f>
        <v>8550</v>
      </c>
      <c r="T859" s="943" t="n">
        <f aca="false">O859-R859-R860</f>
        <v>0</v>
      </c>
      <c r="U859" s="842" t="n">
        <f aca="false">N859-S859-S860</f>
        <v>0</v>
      </c>
    </row>
    <row r="860" customFormat="false" ht="15" hidden="false" customHeight="true" outlineLevel="0" collapsed="false">
      <c r="A860" s="829"/>
      <c r="B860" s="830"/>
      <c r="C860" s="830"/>
      <c r="D860" s="843" t="s">
        <v>15</v>
      </c>
      <c r="E860" s="843" t="s">
        <v>2192</v>
      </c>
      <c r="F860" s="832"/>
      <c r="G860" s="833"/>
      <c r="H860" s="834"/>
      <c r="I860" s="835"/>
      <c r="J860" s="835"/>
      <c r="K860" s="836"/>
      <c r="L860" s="837"/>
      <c r="M860" s="1003"/>
      <c r="N860" s="837"/>
      <c r="O860" s="943"/>
      <c r="P860" s="844" t="s">
        <v>2197</v>
      </c>
      <c r="Q860" s="1005" t="s">
        <v>2624</v>
      </c>
      <c r="R860" s="1539" t="n">
        <v>40727.3803</v>
      </c>
      <c r="S860" s="846" t="n">
        <f aca="false">R860/H859</f>
        <v>1499</v>
      </c>
      <c r="T860" s="943"/>
      <c r="U860" s="842"/>
    </row>
    <row r="861" customFormat="false" ht="15" hidden="false" customHeight="true" outlineLevel="0" collapsed="false">
      <c r="A861" s="847" t="n">
        <v>23</v>
      </c>
      <c r="B861" s="847" t="s">
        <v>81</v>
      </c>
      <c r="C861" s="847" t="n">
        <v>2024</v>
      </c>
      <c r="D861" s="848" t="s">
        <v>15</v>
      </c>
      <c r="E861" s="848" t="s">
        <v>2192</v>
      </c>
      <c r="F861" s="848" t="s">
        <v>2199</v>
      </c>
      <c r="G861" s="849"/>
      <c r="H861" s="949" t="n">
        <v>69.8</v>
      </c>
      <c r="I861" s="950"/>
      <c r="J861" s="950"/>
      <c r="K861" s="852" t="n">
        <f aca="false">H861*I861/100</f>
        <v>0</v>
      </c>
      <c r="L861" s="537" t="n">
        <v>6318</v>
      </c>
      <c r="M861" s="1007" t="n">
        <v>1</v>
      </c>
      <c r="N861" s="537" t="n">
        <f aca="false">L861*M861</f>
        <v>6318</v>
      </c>
      <c r="O861" s="1606" t="n">
        <f aca="false">H861*N861</f>
        <v>440996.4</v>
      </c>
      <c r="P861" s="856" t="s">
        <v>2200</v>
      </c>
      <c r="Q861" s="1008" t="s">
        <v>105</v>
      </c>
      <c r="R861" s="1512" t="n">
        <v>440996.4</v>
      </c>
      <c r="S861" s="854" t="n">
        <f aca="false">R861/H861</f>
        <v>6318</v>
      </c>
      <c r="T861" s="858" t="n">
        <f aca="false">O861-R861</f>
        <v>0</v>
      </c>
      <c r="U861" s="537" t="n">
        <f aca="false">N861-S861</f>
        <v>0</v>
      </c>
    </row>
    <row r="862" customFormat="false" ht="15" hidden="false" customHeight="true" outlineLevel="0" collapsed="false">
      <c r="A862" s="847" t="n">
        <v>26</v>
      </c>
      <c r="B862" s="847" t="s">
        <v>81</v>
      </c>
      <c r="C862" s="847" t="n">
        <v>2024</v>
      </c>
      <c r="D862" s="848" t="s">
        <v>15</v>
      </c>
      <c r="E862" s="848" t="s">
        <v>2192</v>
      </c>
      <c r="F862" s="848" t="s">
        <v>2199</v>
      </c>
      <c r="G862" s="849"/>
      <c r="H862" s="949" t="n">
        <v>62.3</v>
      </c>
      <c r="I862" s="950"/>
      <c r="J862" s="950"/>
      <c r="K862" s="852" t="n">
        <f aca="false">H862*I862/100</f>
        <v>0</v>
      </c>
      <c r="L862" s="537" t="n">
        <v>18406</v>
      </c>
      <c r="M862" s="1007" t="n">
        <v>1</v>
      </c>
      <c r="N862" s="537" t="n">
        <f aca="false">L862*M862</f>
        <v>18406</v>
      </c>
      <c r="O862" s="1508" t="n">
        <f aca="false">H862*N862</f>
        <v>1146693.8</v>
      </c>
      <c r="P862" s="856" t="s">
        <v>2200</v>
      </c>
      <c r="Q862" s="1008" t="s">
        <v>107</v>
      </c>
      <c r="R862" s="1512" t="n">
        <v>1146693.8</v>
      </c>
      <c r="S862" s="854" t="n">
        <f aca="false">R862/H862</f>
        <v>18406</v>
      </c>
      <c r="T862" s="858" t="n">
        <f aca="false">O862-R862</f>
        <v>0</v>
      </c>
      <c r="U862" s="537" t="n">
        <f aca="false">N862-S862</f>
        <v>0</v>
      </c>
    </row>
    <row r="863" customFormat="false" ht="15" hidden="false" customHeight="true" outlineLevel="0" collapsed="false">
      <c r="A863" s="847" t="n">
        <v>27</v>
      </c>
      <c r="B863" s="847" t="s">
        <v>81</v>
      </c>
      <c r="C863" s="847" t="n">
        <v>2024</v>
      </c>
      <c r="D863" s="848" t="s">
        <v>15</v>
      </c>
      <c r="E863" s="848" t="s">
        <v>2192</v>
      </c>
      <c r="F863" s="848" t="s">
        <v>2199</v>
      </c>
      <c r="G863" s="849"/>
      <c r="H863" s="949" t="n">
        <v>55.1</v>
      </c>
      <c r="I863" s="950" t="n">
        <v>89</v>
      </c>
      <c r="J863" s="950"/>
      <c r="K863" s="852" t="n">
        <f aca="false">H863*I863/100</f>
        <v>49.039</v>
      </c>
      <c r="L863" s="537" t="n">
        <v>19030</v>
      </c>
      <c r="M863" s="1007" t="n">
        <v>1</v>
      </c>
      <c r="N863" s="537" t="n">
        <f aca="false">L863*M863</f>
        <v>19030</v>
      </c>
      <c r="O863" s="1438" t="n">
        <f aca="false">H863*N863</f>
        <v>1048553</v>
      </c>
      <c r="P863" s="856" t="s">
        <v>2200</v>
      </c>
      <c r="Q863" s="1008" t="s">
        <v>2492</v>
      </c>
      <c r="R863" s="1512" t="n">
        <v>1048553</v>
      </c>
      <c r="S863" s="854" t="n">
        <f aca="false">R863/H863</f>
        <v>19030</v>
      </c>
      <c r="T863" s="858" t="n">
        <f aca="false">O863-R863</f>
        <v>0</v>
      </c>
      <c r="U863" s="537" t="n">
        <f aca="false">N863-S863</f>
        <v>0</v>
      </c>
    </row>
    <row r="864" customFormat="false" ht="15" hidden="false" customHeight="true" outlineLevel="0" collapsed="false">
      <c r="A864" s="903" t="n">
        <v>45</v>
      </c>
      <c r="B864" s="903" t="s">
        <v>81</v>
      </c>
      <c r="C864" s="903" t="n">
        <v>2024</v>
      </c>
      <c r="D864" s="904" t="s">
        <v>15</v>
      </c>
      <c r="E864" s="904" t="s">
        <v>2192</v>
      </c>
      <c r="F864" s="904" t="s">
        <v>2199</v>
      </c>
      <c r="G864" s="905"/>
      <c r="H864" s="946" t="n">
        <v>80</v>
      </c>
      <c r="I864" s="947"/>
      <c r="J864" s="947"/>
      <c r="K864" s="939" t="n">
        <f aca="false">H864*I864/100</f>
        <v>0</v>
      </c>
      <c r="L864" s="942" t="n">
        <v>13020</v>
      </c>
      <c r="M864" s="1023" t="n">
        <v>1</v>
      </c>
      <c r="N864" s="942" t="n">
        <f aca="false">L864*M864</f>
        <v>13020</v>
      </c>
      <c r="O864" s="1137" t="n">
        <f aca="false">H864*N864</f>
        <v>1041600</v>
      </c>
      <c r="P864" s="910" t="s">
        <v>2200</v>
      </c>
      <c r="Q864" s="1057" t="s">
        <v>2394</v>
      </c>
      <c r="R864" s="1538" t="n">
        <v>1041600</v>
      </c>
      <c r="S864" s="854" t="n">
        <f aca="false">R864/H864</f>
        <v>13020</v>
      </c>
      <c r="T864" s="1058" t="n">
        <f aca="false">O864-R864</f>
        <v>0</v>
      </c>
      <c r="U864" s="942" t="n">
        <f aca="false">N864-S864</f>
        <v>0</v>
      </c>
    </row>
    <row r="865" customFormat="false" ht="15" hidden="false" customHeight="true" outlineLevel="0" collapsed="false">
      <c r="A865" s="1465" t="n">
        <v>41</v>
      </c>
      <c r="B865" s="1173" t="s">
        <v>86</v>
      </c>
      <c r="C865" s="1173" t="n">
        <v>2024</v>
      </c>
      <c r="D865" s="831" t="s">
        <v>15</v>
      </c>
      <c r="E865" s="831" t="s">
        <v>2192</v>
      </c>
      <c r="F865" s="831" t="s">
        <v>1650</v>
      </c>
      <c r="G865" s="1108"/>
      <c r="H865" s="1174" t="n">
        <v>89.6</v>
      </c>
      <c r="I865" s="1110"/>
      <c r="J865" s="1110"/>
      <c r="K865" s="1111" t="n">
        <f aca="false">H865*I865/100</f>
        <v>0</v>
      </c>
      <c r="L865" s="1114" t="n">
        <v>4077</v>
      </c>
      <c r="M865" s="1113" t="n">
        <v>1</v>
      </c>
      <c r="N865" s="1114" t="n">
        <f aca="false">L865*M865</f>
        <v>4077</v>
      </c>
      <c r="O865" s="1115" t="n">
        <f aca="false">H865*N865</f>
        <v>365299.2</v>
      </c>
      <c r="P865" s="838" t="s">
        <v>2193</v>
      </c>
      <c r="Q865" s="1004" t="s">
        <v>2613</v>
      </c>
      <c r="R865" s="1537" t="n">
        <v>114419.2</v>
      </c>
      <c r="S865" s="886" t="n">
        <f aca="false">R865/H865</f>
        <v>1277</v>
      </c>
      <c r="T865" s="1115" t="n">
        <f aca="false">O865-R865-R868-R866-R867</f>
        <v>0</v>
      </c>
      <c r="U865" s="1176" t="n">
        <f aca="false">N865-S865-S868-S866-S867</f>
        <v>0</v>
      </c>
    </row>
    <row r="866" customFormat="false" ht="15" hidden="false" customHeight="true" outlineLevel="0" collapsed="false">
      <c r="A866" s="1465"/>
      <c r="B866" s="1173"/>
      <c r="C866" s="1173"/>
      <c r="D866" s="848" t="s">
        <v>15</v>
      </c>
      <c r="E866" s="848" t="s">
        <v>2192</v>
      </c>
      <c r="F866" s="831"/>
      <c r="G866" s="1108"/>
      <c r="H866" s="1174"/>
      <c r="I866" s="1110"/>
      <c r="J866" s="1110"/>
      <c r="K866" s="1111"/>
      <c r="L866" s="1114"/>
      <c r="M866" s="1113"/>
      <c r="N866" s="1114"/>
      <c r="O866" s="1115"/>
      <c r="P866" s="856" t="s">
        <v>2232</v>
      </c>
      <c r="Q866" s="1008" t="s">
        <v>2413</v>
      </c>
      <c r="R866" s="1512" t="n">
        <v>27776</v>
      </c>
      <c r="S866" s="866" t="n">
        <f aca="false">R866/H865</f>
        <v>310</v>
      </c>
      <c r="T866" s="1115"/>
      <c r="U866" s="1176"/>
    </row>
    <row r="867" customFormat="false" ht="15" hidden="false" customHeight="true" outlineLevel="0" collapsed="false">
      <c r="A867" s="1465"/>
      <c r="B867" s="1173"/>
      <c r="C867" s="1173"/>
      <c r="D867" s="848" t="s">
        <v>15</v>
      </c>
      <c r="E867" s="848" t="s">
        <v>2192</v>
      </c>
      <c r="F867" s="831"/>
      <c r="G867" s="1108"/>
      <c r="H867" s="1174"/>
      <c r="I867" s="1110"/>
      <c r="J867" s="1110"/>
      <c r="K867" s="1111"/>
      <c r="L867" s="1114"/>
      <c r="M867" s="1113"/>
      <c r="N867" s="1114"/>
      <c r="O867" s="1115"/>
      <c r="P867" s="856" t="s">
        <v>2255</v>
      </c>
      <c r="Q867" s="1008" t="s">
        <v>2433</v>
      </c>
      <c r="R867" s="1512" t="n">
        <v>56179.2</v>
      </c>
      <c r="S867" s="866" t="n">
        <f aca="false">R867/H865</f>
        <v>627</v>
      </c>
      <c r="T867" s="1115"/>
      <c r="U867" s="1176"/>
    </row>
    <row r="868" customFormat="false" ht="15" hidden="false" customHeight="true" outlineLevel="0" collapsed="false">
      <c r="A868" s="1465"/>
      <c r="B868" s="1173"/>
      <c r="C868" s="1173"/>
      <c r="D868" s="848" t="s">
        <v>15</v>
      </c>
      <c r="E868" s="848" t="s">
        <v>2192</v>
      </c>
      <c r="F868" s="831"/>
      <c r="G868" s="1108"/>
      <c r="H868" s="1174"/>
      <c r="I868" s="1110"/>
      <c r="J868" s="1110"/>
      <c r="K868" s="1111"/>
      <c r="L868" s="1114"/>
      <c r="M868" s="1113"/>
      <c r="N868" s="1114"/>
      <c r="O868" s="1115"/>
      <c r="P868" s="856" t="s">
        <v>2255</v>
      </c>
      <c r="Q868" s="1008" t="s">
        <v>2239</v>
      </c>
      <c r="R868" s="1512" t="n">
        <v>166924.8</v>
      </c>
      <c r="S868" s="866" t="n">
        <f aca="false">R868/H865</f>
        <v>1863</v>
      </c>
      <c r="T868" s="1115"/>
      <c r="U868" s="1176"/>
    </row>
    <row r="869" customFormat="false" ht="15" hidden="false" customHeight="true" outlineLevel="0" collapsed="false">
      <c r="A869" s="1465"/>
      <c r="B869" s="1155" t="s">
        <v>86</v>
      </c>
      <c r="C869" s="1155" t="n">
        <v>2024</v>
      </c>
      <c r="D869" s="1156" t="s">
        <v>15</v>
      </c>
      <c r="E869" s="1156" t="s">
        <v>2203</v>
      </c>
      <c r="F869" s="1156"/>
      <c r="G869" s="1157"/>
      <c r="H869" s="1389" t="n">
        <v>56.8</v>
      </c>
      <c r="I869" s="1159"/>
      <c r="J869" s="1159"/>
      <c r="K869" s="1160" t="n">
        <f aca="false">H869*I869/100</f>
        <v>0</v>
      </c>
      <c r="L869" s="1163" t="n">
        <v>432</v>
      </c>
      <c r="M869" s="1162" t="n">
        <v>1</v>
      </c>
      <c r="N869" s="1163" t="n">
        <f aca="false">L869*M869</f>
        <v>432</v>
      </c>
      <c r="O869" s="1321" t="n">
        <f aca="false">H869*N869</f>
        <v>24537.6</v>
      </c>
      <c r="P869" s="1165"/>
      <c r="Q869" s="1343"/>
      <c r="R869" s="1614"/>
      <c r="S869" s="1218"/>
      <c r="T869" s="1169" t="n">
        <f aca="false">O869-R869</f>
        <v>24537.6</v>
      </c>
      <c r="U869" s="1170" t="n">
        <f aca="false">N869-S869</f>
        <v>432</v>
      </c>
    </row>
    <row r="870" customFormat="false" ht="15" hidden="false" customHeight="true" outlineLevel="0" collapsed="false">
      <c r="A870" s="1465"/>
      <c r="B870" s="1155" t="s">
        <v>86</v>
      </c>
      <c r="C870" s="1155" t="n">
        <v>2024</v>
      </c>
      <c r="D870" s="1156" t="s">
        <v>15</v>
      </c>
      <c r="E870" s="1156" t="s">
        <v>2205</v>
      </c>
      <c r="F870" s="1156"/>
      <c r="G870" s="1157"/>
      <c r="H870" s="1389" t="n">
        <v>39.4</v>
      </c>
      <c r="I870" s="1159"/>
      <c r="J870" s="1159"/>
      <c r="K870" s="1160" t="n">
        <f aca="false">H870*I870/100</f>
        <v>0</v>
      </c>
      <c r="L870" s="1163" t="n">
        <v>684</v>
      </c>
      <c r="M870" s="1162" t="n">
        <v>1</v>
      </c>
      <c r="N870" s="1163" t="n">
        <f aca="false">L870*M870</f>
        <v>684</v>
      </c>
      <c r="O870" s="1321" t="n">
        <f aca="false">H870*N870</f>
        <v>26949.6</v>
      </c>
      <c r="P870" s="1165"/>
      <c r="Q870" s="1343"/>
      <c r="R870" s="1614"/>
      <c r="S870" s="1168"/>
      <c r="T870" s="1169" t="n">
        <f aca="false">O870-R870</f>
        <v>26949.6</v>
      </c>
      <c r="U870" s="1170" t="n">
        <f aca="false">N870-S870</f>
        <v>684</v>
      </c>
    </row>
    <row r="871" customFormat="false" ht="15" hidden="false" customHeight="true" outlineLevel="0" collapsed="false">
      <c r="A871" s="1465"/>
      <c r="B871" s="903" t="s">
        <v>86</v>
      </c>
      <c r="C871" s="903" t="n">
        <v>2024</v>
      </c>
      <c r="D871" s="904" t="s">
        <v>15</v>
      </c>
      <c r="E871" s="904" t="s">
        <v>2241</v>
      </c>
      <c r="F871" s="904"/>
      <c r="G871" s="905"/>
      <c r="H871" s="946" t="n">
        <v>15.5</v>
      </c>
      <c r="I871" s="947"/>
      <c r="J871" s="947"/>
      <c r="K871" s="939" t="n">
        <f aca="false">H871*I871/100</f>
        <v>0</v>
      </c>
      <c r="L871" s="942" t="n">
        <v>953</v>
      </c>
      <c r="M871" s="1023" t="n">
        <v>1</v>
      </c>
      <c r="N871" s="942" t="n">
        <f aca="false">L871*M871</f>
        <v>953</v>
      </c>
      <c r="O871" s="1551" t="n">
        <f aca="false">H871*N871</f>
        <v>14771.5</v>
      </c>
      <c r="P871" s="910" t="s">
        <v>2204</v>
      </c>
      <c r="Q871" s="1024" t="s">
        <v>2398</v>
      </c>
      <c r="R871" s="1538" t="n">
        <v>14771.5</v>
      </c>
      <c r="S871" s="854" t="n">
        <f aca="false">R871/H871</f>
        <v>953</v>
      </c>
      <c r="T871" s="1058" t="n">
        <f aca="false">O871-R871</f>
        <v>0</v>
      </c>
      <c r="U871" s="1026" t="n">
        <f aca="false">N871-S871</f>
        <v>0</v>
      </c>
    </row>
    <row r="872" customFormat="false" ht="15" hidden="false" customHeight="true" outlineLevel="0" collapsed="false">
      <c r="A872" s="870" t="n">
        <v>51</v>
      </c>
      <c r="B872" s="870" t="s">
        <v>2207</v>
      </c>
      <c r="C872" s="870" t="n">
        <v>2024</v>
      </c>
      <c r="D872" s="871" t="s">
        <v>15</v>
      </c>
      <c r="E872" s="871" t="s">
        <v>2192</v>
      </c>
      <c r="F872" s="871" t="s">
        <v>1651</v>
      </c>
      <c r="G872" s="872"/>
      <c r="H872" s="1116" t="n">
        <v>25.0572</v>
      </c>
      <c r="I872" s="1117"/>
      <c r="J872" s="1117"/>
      <c r="K872" s="875" t="n">
        <f aca="false">H872*I872/100</f>
        <v>0</v>
      </c>
      <c r="L872" s="553" t="n">
        <v>13735</v>
      </c>
      <c r="M872" s="1000" t="n">
        <v>1</v>
      </c>
      <c r="N872" s="553" t="n">
        <f aca="false">L872*M872</f>
        <v>13735</v>
      </c>
      <c r="O872" s="1511" t="n">
        <f aca="false">H872*N872</f>
        <v>344160.642</v>
      </c>
      <c r="P872" s="879" t="s">
        <v>2193</v>
      </c>
      <c r="Q872" s="1013" t="s">
        <v>2618</v>
      </c>
      <c r="R872" s="1543" t="n">
        <v>344160.642</v>
      </c>
      <c r="S872" s="877" t="n">
        <f aca="false">R872/H872</f>
        <v>13735</v>
      </c>
      <c r="T872" s="1014" t="n">
        <f aca="false">O872-R872</f>
        <v>0</v>
      </c>
      <c r="U872" s="553" t="n">
        <f aca="false">N872-S872</f>
        <v>0</v>
      </c>
    </row>
    <row r="873" customFormat="false" ht="15" hidden="false" customHeight="true" outlineLevel="0" collapsed="false">
      <c r="A873" s="1027" t="s">
        <v>2625</v>
      </c>
      <c r="B873" s="1028" t="s">
        <v>2207</v>
      </c>
      <c r="C873" s="1028" t="n">
        <v>2024</v>
      </c>
      <c r="D873" s="831" t="s">
        <v>15</v>
      </c>
      <c r="E873" s="831" t="s">
        <v>2192</v>
      </c>
      <c r="F873" s="1328" t="s">
        <v>1651</v>
      </c>
      <c r="G873" s="1030"/>
      <c r="H873" s="1031" t="n">
        <v>25.0106</v>
      </c>
      <c r="I873" s="1032"/>
      <c r="J873" s="1032"/>
      <c r="K873" s="1033" t="n">
        <f aca="false">H873*I873/100</f>
        <v>0</v>
      </c>
      <c r="L873" s="1036" t="n">
        <v>13990</v>
      </c>
      <c r="M873" s="1035" t="n">
        <v>1</v>
      </c>
      <c r="N873" s="1036" t="n">
        <f aca="false">L873*M873</f>
        <v>13990</v>
      </c>
      <c r="O873" s="1529" t="n">
        <f aca="false">H873*N873</f>
        <v>349898.294</v>
      </c>
      <c r="P873" s="838" t="s">
        <v>2197</v>
      </c>
      <c r="Q873" s="1004" t="s">
        <v>2626</v>
      </c>
      <c r="R873" s="1537" t="n">
        <v>249855.894</v>
      </c>
      <c r="S873" s="840" t="n">
        <f aca="false">R873/H873</f>
        <v>9990</v>
      </c>
      <c r="T873" s="1529" t="n">
        <f aca="false">O873-R873-R874</f>
        <v>0</v>
      </c>
      <c r="U873" s="1037" t="n">
        <f aca="false">N873-S873-S874</f>
        <v>0</v>
      </c>
    </row>
    <row r="874" customFormat="false" ht="15" hidden="false" customHeight="true" outlineLevel="0" collapsed="false">
      <c r="A874" s="1027"/>
      <c r="B874" s="1028"/>
      <c r="C874" s="1028"/>
      <c r="D874" s="871" t="s">
        <v>15</v>
      </c>
      <c r="E874" s="871" t="s">
        <v>2192</v>
      </c>
      <c r="F874" s="1328"/>
      <c r="G874" s="1030"/>
      <c r="H874" s="1031"/>
      <c r="I874" s="1032"/>
      <c r="J874" s="1032"/>
      <c r="K874" s="1033"/>
      <c r="L874" s="1036"/>
      <c r="M874" s="1035"/>
      <c r="N874" s="1036"/>
      <c r="O874" s="1529"/>
      <c r="P874" s="879" t="s">
        <v>2197</v>
      </c>
      <c r="Q874" s="1013" t="s">
        <v>2606</v>
      </c>
      <c r="R874" s="1543" t="n">
        <v>100042.4</v>
      </c>
      <c r="S874" s="877" t="n">
        <f aca="false">R874/H873</f>
        <v>4000</v>
      </c>
      <c r="T874" s="1529"/>
      <c r="U874" s="1037"/>
    </row>
    <row r="875" customFormat="false" ht="15" hidden="false" customHeight="true" outlineLevel="0" collapsed="false">
      <c r="A875" s="881" t="n">
        <v>43</v>
      </c>
      <c r="B875" s="829" t="s">
        <v>86</v>
      </c>
      <c r="C875" s="830" t="n">
        <v>2024</v>
      </c>
      <c r="D875" s="831" t="s">
        <v>15</v>
      </c>
      <c r="E875" s="831" t="s">
        <v>2192</v>
      </c>
      <c r="F875" s="832" t="s">
        <v>1650</v>
      </c>
      <c r="G875" s="833"/>
      <c r="H875" s="834" t="n">
        <v>88.8</v>
      </c>
      <c r="I875" s="835"/>
      <c r="J875" s="835"/>
      <c r="K875" s="836" t="n">
        <f aca="false">H875*I875/100</f>
        <v>0</v>
      </c>
      <c r="L875" s="837" t="n">
        <v>9794</v>
      </c>
      <c r="M875" s="1003" t="n">
        <v>1</v>
      </c>
      <c r="N875" s="837" t="n">
        <f aca="false">L875*M875</f>
        <v>9794</v>
      </c>
      <c r="O875" s="1017" t="n">
        <f aca="false">H875*N875</f>
        <v>869707.2</v>
      </c>
      <c r="P875" s="884" t="s">
        <v>2193</v>
      </c>
      <c r="Q875" s="1015" t="s">
        <v>2526</v>
      </c>
      <c r="R875" s="1541" t="n">
        <v>222266.4</v>
      </c>
      <c r="S875" s="886" t="n">
        <f aca="false">R875/H875</f>
        <v>2503</v>
      </c>
      <c r="T875" s="841" t="n">
        <f aca="false">O875-R875-R878-R877-R876</f>
        <v>0</v>
      </c>
      <c r="U875" s="842" t="n">
        <f aca="false">N875-S875-S878-S877-S876</f>
        <v>0</v>
      </c>
    </row>
    <row r="876" customFormat="false" ht="15" hidden="false" customHeight="true" outlineLevel="0" collapsed="false">
      <c r="A876" s="881"/>
      <c r="B876" s="829"/>
      <c r="C876" s="830"/>
      <c r="D876" s="848" t="s">
        <v>15</v>
      </c>
      <c r="E876" s="848" t="s">
        <v>2192</v>
      </c>
      <c r="F876" s="832"/>
      <c r="G876" s="833"/>
      <c r="H876" s="834"/>
      <c r="I876" s="835"/>
      <c r="J876" s="835"/>
      <c r="K876" s="836"/>
      <c r="L876" s="837"/>
      <c r="M876" s="1003"/>
      <c r="N876" s="837"/>
      <c r="O876" s="1017"/>
      <c r="P876" s="868" t="s">
        <v>2197</v>
      </c>
      <c r="Q876" s="1011" t="s">
        <v>2627</v>
      </c>
      <c r="R876" s="1383" t="n">
        <v>167743.2</v>
      </c>
      <c r="S876" s="866" t="n">
        <f aca="false">R876/H875</f>
        <v>1889</v>
      </c>
      <c r="T876" s="841"/>
      <c r="U876" s="842"/>
    </row>
    <row r="877" customFormat="false" ht="15" hidden="false" customHeight="true" outlineLevel="0" collapsed="false">
      <c r="A877" s="881"/>
      <c r="B877" s="829"/>
      <c r="C877" s="830"/>
      <c r="D877" s="860" t="s">
        <v>15</v>
      </c>
      <c r="E877" s="860" t="s">
        <v>2192</v>
      </c>
      <c r="F877" s="832"/>
      <c r="G877" s="833"/>
      <c r="H877" s="834"/>
      <c r="I877" s="835"/>
      <c r="J877" s="835"/>
      <c r="K877" s="836"/>
      <c r="L877" s="837"/>
      <c r="M877" s="1003"/>
      <c r="N877" s="837"/>
      <c r="O877" s="1017"/>
      <c r="P877" s="868" t="s">
        <v>2193</v>
      </c>
      <c r="Q877" s="1011" t="s">
        <v>2527</v>
      </c>
      <c r="R877" s="1383" t="n">
        <v>395160</v>
      </c>
      <c r="S877" s="866" t="n">
        <f aca="false">R877/H875</f>
        <v>4450</v>
      </c>
      <c r="T877" s="841"/>
      <c r="U877" s="842"/>
    </row>
    <row r="878" customFormat="false" ht="15" hidden="false" customHeight="true" outlineLevel="0" collapsed="false">
      <c r="A878" s="881"/>
      <c r="B878" s="829"/>
      <c r="C878" s="830"/>
      <c r="D878" s="843" t="s">
        <v>15</v>
      </c>
      <c r="E878" s="843" t="s">
        <v>2192</v>
      </c>
      <c r="F878" s="832"/>
      <c r="G878" s="833"/>
      <c r="H878" s="834"/>
      <c r="I878" s="835"/>
      <c r="J878" s="835"/>
      <c r="K878" s="836"/>
      <c r="L878" s="837"/>
      <c r="M878" s="1003"/>
      <c r="N878" s="837"/>
      <c r="O878" s="1017"/>
      <c r="P878" s="844" t="s">
        <v>2255</v>
      </c>
      <c r="Q878" s="1005" t="s">
        <v>2433</v>
      </c>
      <c r="R878" s="1539" t="n">
        <v>84537.6</v>
      </c>
      <c r="S878" s="846" t="n">
        <f aca="false">R878/H875</f>
        <v>952</v>
      </c>
      <c r="T878" s="841"/>
      <c r="U878" s="842"/>
    </row>
    <row r="879" customFormat="false" ht="15" hidden="false" customHeight="true" outlineLevel="0" collapsed="false">
      <c r="A879" s="881"/>
      <c r="B879" s="1351" t="s">
        <v>86</v>
      </c>
      <c r="C879" s="903" t="n">
        <v>2024</v>
      </c>
      <c r="D879" s="904" t="s">
        <v>15</v>
      </c>
      <c r="E879" s="904" t="s">
        <v>2242</v>
      </c>
      <c r="F879" s="904"/>
      <c r="G879" s="905"/>
      <c r="H879" s="946" t="n">
        <v>69.5</v>
      </c>
      <c r="I879" s="947"/>
      <c r="J879" s="947"/>
      <c r="K879" s="939" t="n">
        <f aca="false">H879*I879/100</f>
        <v>0</v>
      </c>
      <c r="L879" s="942" t="n">
        <v>319</v>
      </c>
      <c r="M879" s="1023" t="n">
        <v>1</v>
      </c>
      <c r="N879" s="942" t="n">
        <f aca="false">L879*M879</f>
        <v>319</v>
      </c>
      <c r="O879" s="941" t="n">
        <f aca="false">H879*N879</f>
        <v>22170.5</v>
      </c>
      <c r="P879" s="910" t="s">
        <v>2232</v>
      </c>
      <c r="Q879" s="1057" t="s">
        <v>106</v>
      </c>
      <c r="R879" s="1538" t="n">
        <v>22170.5</v>
      </c>
      <c r="S879" s="854" t="n">
        <f aca="false">R879/H879</f>
        <v>319</v>
      </c>
      <c r="T879" s="1058" t="n">
        <f aca="false">O879-R879</f>
        <v>0</v>
      </c>
      <c r="U879" s="1026" t="n">
        <f aca="false">N879-S879</f>
        <v>0</v>
      </c>
    </row>
    <row r="880" customFormat="false" ht="15" hidden="false" customHeight="true" outlineLevel="0" collapsed="false">
      <c r="A880" s="881"/>
      <c r="B880" s="882" t="s">
        <v>86</v>
      </c>
      <c r="C880" s="883" t="n">
        <v>2024</v>
      </c>
      <c r="D880" s="831" t="s">
        <v>15</v>
      </c>
      <c r="E880" s="831" t="s">
        <v>2203</v>
      </c>
      <c r="F880" s="883"/>
      <c r="G880" s="833"/>
      <c r="H880" s="834" t="n">
        <v>18.3</v>
      </c>
      <c r="I880" s="835"/>
      <c r="J880" s="835"/>
      <c r="K880" s="836" t="n">
        <f aca="false">H880*I880/100</f>
        <v>0</v>
      </c>
      <c r="L880" s="837" t="n">
        <v>2136</v>
      </c>
      <c r="M880" s="1003" t="n">
        <v>1</v>
      </c>
      <c r="N880" s="837" t="n">
        <f aca="false">L880*M880</f>
        <v>2136</v>
      </c>
      <c r="O880" s="1017" t="n">
        <f aca="false">H880*N880</f>
        <v>39088.8</v>
      </c>
      <c r="P880" s="838" t="s">
        <v>2232</v>
      </c>
      <c r="Q880" s="1004" t="s">
        <v>94</v>
      </c>
      <c r="R880" s="1537" t="n">
        <v>7869</v>
      </c>
      <c r="S880" s="886" t="n">
        <f aca="false">R880/H880</f>
        <v>430</v>
      </c>
      <c r="T880" s="841" t="n">
        <f aca="false">O880-R880-R882-R881</f>
        <v>0</v>
      </c>
      <c r="U880" s="842" t="n">
        <f aca="false">N880-S880-S882-S881</f>
        <v>0</v>
      </c>
    </row>
    <row r="881" customFormat="false" ht="15" hidden="false" customHeight="true" outlineLevel="0" collapsed="false">
      <c r="A881" s="881"/>
      <c r="B881" s="882"/>
      <c r="C881" s="883"/>
      <c r="D881" s="904" t="s">
        <v>15</v>
      </c>
      <c r="E881" s="904" t="s">
        <v>2203</v>
      </c>
      <c r="F881" s="883"/>
      <c r="G881" s="833"/>
      <c r="H881" s="834"/>
      <c r="I881" s="835"/>
      <c r="J881" s="835"/>
      <c r="K881" s="836"/>
      <c r="L881" s="837"/>
      <c r="M881" s="1003"/>
      <c r="N881" s="837"/>
      <c r="O881" s="1017"/>
      <c r="P881" s="910" t="s">
        <v>2232</v>
      </c>
      <c r="Q881" s="1057" t="s">
        <v>2251</v>
      </c>
      <c r="R881" s="1538" t="n">
        <v>27559.8</v>
      </c>
      <c r="S881" s="866" t="n">
        <f aca="false">R881/H880</f>
        <v>1506</v>
      </c>
      <c r="T881" s="841"/>
      <c r="U881" s="842"/>
    </row>
    <row r="882" customFormat="false" ht="15" hidden="false" customHeight="true" outlineLevel="0" collapsed="false">
      <c r="A882" s="881"/>
      <c r="B882" s="882"/>
      <c r="C882" s="883"/>
      <c r="D882" s="843" t="s">
        <v>15</v>
      </c>
      <c r="E882" s="843" t="s">
        <v>2203</v>
      </c>
      <c r="F882" s="883"/>
      <c r="G882" s="833"/>
      <c r="H882" s="834"/>
      <c r="I882" s="835"/>
      <c r="J882" s="835"/>
      <c r="K882" s="836"/>
      <c r="L882" s="837"/>
      <c r="M882" s="1003"/>
      <c r="N882" s="837"/>
      <c r="O882" s="1017"/>
      <c r="P882" s="844" t="s">
        <v>2232</v>
      </c>
      <c r="Q882" s="1005" t="s">
        <v>2250</v>
      </c>
      <c r="R882" s="1539" t="n">
        <v>3660</v>
      </c>
      <c r="S882" s="846" t="n">
        <f aca="false">R882/H880</f>
        <v>200</v>
      </c>
      <c r="T882" s="841"/>
      <c r="U882" s="842"/>
    </row>
    <row r="883" customFormat="false" ht="15" hidden="false" customHeight="true" outlineLevel="0" collapsed="false">
      <c r="A883" s="881"/>
      <c r="B883" s="1479" t="s">
        <v>86</v>
      </c>
      <c r="C883" s="847" t="n">
        <v>2024</v>
      </c>
      <c r="D883" s="848" t="s">
        <v>15</v>
      </c>
      <c r="E883" s="848" t="s">
        <v>2241</v>
      </c>
      <c r="F883" s="848"/>
      <c r="G883" s="849"/>
      <c r="H883" s="949" t="n">
        <v>10.4</v>
      </c>
      <c r="I883" s="950"/>
      <c r="J883" s="950"/>
      <c r="K883" s="852" t="n">
        <f aca="false">H883*I883/100</f>
        <v>0</v>
      </c>
      <c r="L883" s="537" t="n">
        <v>1146</v>
      </c>
      <c r="M883" s="1007" t="n">
        <v>1</v>
      </c>
      <c r="N883" s="537" t="n">
        <f aca="false">L883*M883</f>
        <v>1146</v>
      </c>
      <c r="O883" s="1009" t="n">
        <f aca="false">H883*N883</f>
        <v>11918.4</v>
      </c>
      <c r="P883" s="856" t="s">
        <v>2204</v>
      </c>
      <c r="Q883" s="1436" t="s">
        <v>2398</v>
      </c>
      <c r="R883" s="1512" t="n">
        <v>11918.4</v>
      </c>
      <c r="S883" s="854" t="n">
        <f aca="false">R883/H883</f>
        <v>1146</v>
      </c>
      <c r="T883" s="858" t="n">
        <f aca="false">O883-R883</f>
        <v>0</v>
      </c>
      <c r="U883" s="892" t="n">
        <f aca="false">N883-S883</f>
        <v>0</v>
      </c>
    </row>
    <row r="884" customFormat="false" ht="15" hidden="false" customHeight="true" outlineLevel="0" collapsed="false">
      <c r="A884" s="881"/>
      <c r="B884" s="1357" t="s">
        <v>86</v>
      </c>
      <c r="C884" s="893" t="n">
        <v>2024</v>
      </c>
      <c r="D884" s="843" t="s">
        <v>15</v>
      </c>
      <c r="E884" s="843" t="s">
        <v>2205</v>
      </c>
      <c r="F884" s="843"/>
      <c r="G884" s="894"/>
      <c r="H884" s="1103" t="n">
        <v>12.8</v>
      </c>
      <c r="I884" s="1104"/>
      <c r="J884" s="1104"/>
      <c r="K884" s="897" t="n">
        <f aca="false">H884*I884/100</f>
        <v>0</v>
      </c>
      <c r="L884" s="589" t="n">
        <v>4707</v>
      </c>
      <c r="M884" s="1106" t="n">
        <v>1</v>
      </c>
      <c r="N884" s="589" t="n">
        <f aca="false">L884*M884</f>
        <v>4707</v>
      </c>
      <c r="O884" s="1395" t="n">
        <f aca="false">H884*N884</f>
        <v>60249.6</v>
      </c>
      <c r="P884" s="844" t="s">
        <v>2204</v>
      </c>
      <c r="Q884" s="900" t="s">
        <v>2398</v>
      </c>
      <c r="R884" s="1539" t="n">
        <v>60249.6</v>
      </c>
      <c r="S884" s="854" t="n">
        <f aca="false">R884/H884</f>
        <v>4707</v>
      </c>
      <c r="T884" s="1441" t="n">
        <f aca="false">O884-R884</f>
        <v>0</v>
      </c>
      <c r="U884" s="902" t="n">
        <f aca="false">N884-S884</f>
        <v>0</v>
      </c>
    </row>
    <row r="885" customFormat="false" ht="15" hidden="false" customHeight="true" outlineLevel="0" collapsed="false">
      <c r="A885" s="881" t="n">
        <v>47</v>
      </c>
      <c r="B885" s="829" t="s">
        <v>86</v>
      </c>
      <c r="C885" s="830" t="n">
        <v>2024</v>
      </c>
      <c r="D885" s="831" t="s">
        <v>15</v>
      </c>
      <c r="E885" s="831" t="s">
        <v>2192</v>
      </c>
      <c r="F885" s="832" t="s">
        <v>1650</v>
      </c>
      <c r="G885" s="833"/>
      <c r="H885" s="834" t="n">
        <v>93.7</v>
      </c>
      <c r="I885" s="835"/>
      <c r="J885" s="835"/>
      <c r="K885" s="836" t="n">
        <f aca="false">H885*I885/100</f>
        <v>0</v>
      </c>
      <c r="L885" s="837" t="n">
        <v>9854</v>
      </c>
      <c r="M885" s="1003" t="n">
        <v>1</v>
      </c>
      <c r="N885" s="837" t="n">
        <f aca="false">L885*M885</f>
        <v>9854</v>
      </c>
      <c r="O885" s="1017" t="n">
        <f aca="false">H885*N885</f>
        <v>923319.8</v>
      </c>
      <c r="P885" s="838" t="s">
        <v>2193</v>
      </c>
      <c r="Q885" s="1004" t="s">
        <v>2404</v>
      </c>
      <c r="R885" s="1537" t="n">
        <v>333572</v>
      </c>
      <c r="S885" s="886" t="n">
        <f aca="false">R885/H885</f>
        <v>3560</v>
      </c>
      <c r="T885" s="841" t="n">
        <f aca="false">O885-R885-R886</f>
        <v>0</v>
      </c>
      <c r="U885" s="842" t="n">
        <f aca="false">N885-S885-S886</f>
        <v>0</v>
      </c>
    </row>
    <row r="886" customFormat="false" ht="15" hidden="false" customHeight="true" outlineLevel="0" collapsed="false">
      <c r="A886" s="881"/>
      <c r="B886" s="829"/>
      <c r="C886" s="830"/>
      <c r="D886" s="887" t="s">
        <v>15</v>
      </c>
      <c r="E886" s="887" t="s">
        <v>2192</v>
      </c>
      <c r="F886" s="832"/>
      <c r="G886" s="833"/>
      <c r="H886" s="834"/>
      <c r="I886" s="835"/>
      <c r="J886" s="835"/>
      <c r="K886" s="836"/>
      <c r="L886" s="837"/>
      <c r="M886" s="1003"/>
      <c r="N886" s="837"/>
      <c r="O886" s="1017"/>
      <c r="P886" s="888" t="s">
        <v>2193</v>
      </c>
      <c r="Q886" s="1364" t="s">
        <v>2377</v>
      </c>
      <c r="R886" s="1141" t="n">
        <v>589747.8</v>
      </c>
      <c r="S886" s="846" t="n">
        <f aca="false">R886/H885</f>
        <v>6294</v>
      </c>
      <c r="T886" s="841"/>
      <c r="U886" s="842"/>
    </row>
    <row r="887" customFormat="false" ht="15" hidden="false" customHeight="true" outlineLevel="0" collapsed="false">
      <c r="A887" s="881"/>
      <c r="B887" s="1479" t="s">
        <v>86</v>
      </c>
      <c r="C887" s="847" t="n">
        <v>2024</v>
      </c>
      <c r="D887" s="848" t="s">
        <v>15</v>
      </c>
      <c r="E887" s="848" t="s">
        <v>2242</v>
      </c>
      <c r="F887" s="848"/>
      <c r="G887" s="849"/>
      <c r="H887" s="949" t="n">
        <v>49.1</v>
      </c>
      <c r="I887" s="950"/>
      <c r="J887" s="950"/>
      <c r="K887" s="852" t="n">
        <f aca="false">H887*I887/100</f>
        <v>0</v>
      </c>
      <c r="L887" s="537" t="n">
        <v>290</v>
      </c>
      <c r="M887" s="1007" t="n">
        <v>1</v>
      </c>
      <c r="N887" s="537" t="n">
        <f aca="false">L887*M887</f>
        <v>290</v>
      </c>
      <c r="O887" s="1009" t="n">
        <f aca="false">H887*N887</f>
        <v>14239</v>
      </c>
      <c r="P887" s="856" t="s">
        <v>2232</v>
      </c>
      <c r="Q887" s="1008" t="s">
        <v>106</v>
      </c>
      <c r="R887" s="1512" t="n">
        <v>14239</v>
      </c>
      <c r="S887" s="854" t="n">
        <f aca="false">R887/H887</f>
        <v>290</v>
      </c>
      <c r="T887" s="858" t="n">
        <f aca="false">O887-R887</f>
        <v>0</v>
      </c>
      <c r="U887" s="892" t="n">
        <f aca="false">N887-S887</f>
        <v>0</v>
      </c>
    </row>
    <row r="888" customFormat="false" ht="15" hidden="false" customHeight="true" outlineLevel="0" collapsed="false">
      <c r="A888" s="881"/>
      <c r="B888" s="1480" t="s">
        <v>86</v>
      </c>
      <c r="C888" s="859" t="n">
        <v>2024</v>
      </c>
      <c r="D888" s="860" t="s">
        <v>15</v>
      </c>
      <c r="E888" s="860" t="s">
        <v>2203</v>
      </c>
      <c r="F888" s="860"/>
      <c r="G888" s="861"/>
      <c r="H888" s="980" t="n">
        <v>29.5</v>
      </c>
      <c r="I888" s="981"/>
      <c r="J888" s="981"/>
      <c r="K888" s="864" t="n">
        <f aca="false">H888*I888/100</f>
        <v>0</v>
      </c>
      <c r="L888" s="543" t="n">
        <v>265</v>
      </c>
      <c r="M888" s="983" t="n">
        <v>1</v>
      </c>
      <c r="N888" s="543" t="n">
        <f aca="false">L888*M888</f>
        <v>265</v>
      </c>
      <c r="O888" s="968" t="n">
        <f aca="false">H888*N888</f>
        <v>7817.5</v>
      </c>
      <c r="P888" s="868" t="s">
        <v>2232</v>
      </c>
      <c r="Q888" s="1011" t="s">
        <v>2413</v>
      </c>
      <c r="R888" s="1383" t="n">
        <v>7817.5</v>
      </c>
      <c r="S888" s="877" t="n">
        <f aca="false">R888/H888</f>
        <v>265</v>
      </c>
      <c r="T888" s="985" t="n">
        <f aca="false">O888-R888</f>
        <v>0</v>
      </c>
      <c r="U888" s="1135" t="n">
        <f aca="false">N888-S888</f>
        <v>0</v>
      </c>
    </row>
    <row r="889" customFormat="false" ht="15" hidden="false" customHeight="true" outlineLevel="0" collapsed="false">
      <c r="A889" s="881"/>
      <c r="B889" s="1480" t="s">
        <v>86</v>
      </c>
      <c r="C889" s="859" t="n">
        <v>2024</v>
      </c>
      <c r="D889" s="860" t="s">
        <v>15</v>
      </c>
      <c r="E889" s="860" t="s">
        <v>2241</v>
      </c>
      <c r="F889" s="860"/>
      <c r="G889" s="861"/>
      <c r="H889" s="980" t="n">
        <v>4.9</v>
      </c>
      <c r="I889" s="981"/>
      <c r="J889" s="981"/>
      <c r="K889" s="864" t="n">
        <f aca="false">H889*I889/100</f>
        <v>0</v>
      </c>
      <c r="L889" s="543" t="n">
        <v>485</v>
      </c>
      <c r="M889" s="983" t="n">
        <v>1</v>
      </c>
      <c r="N889" s="543" t="n">
        <f aca="false">L889*M889</f>
        <v>485</v>
      </c>
      <c r="O889" s="968" t="n">
        <f aca="false">H889*N889</f>
        <v>2376.5</v>
      </c>
      <c r="P889" s="868" t="s">
        <v>2204</v>
      </c>
      <c r="Q889" s="1012" t="n">
        <v>22112024</v>
      </c>
      <c r="R889" s="1383" t="n">
        <v>2376.5</v>
      </c>
      <c r="S889" s="866" t="n">
        <f aca="false">R889/H889</f>
        <v>485</v>
      </c>
      <c r="T889" s="985" t="n">
        <f aca="false">O889-R889</f>
        <v>0</v>
      </c>
      <c r="U889" s="1135" t="n">
        <f aca="false">N889-S889</f>
        <v>0</v>
      </c>
    </row>
    <row r="890" customFormat="false" ht="15" hidden="false" customHeight="true" outlineLevel="0" collapsed="false">
      <c r="A890" s="881"/>
      <c r="B890" s="1357" t="s">
        <v>86</v>
      </c>
      <c r="C890" s="893" t="n">
        <v>2024</v>
      </c>
      <c r="D890" s="843" t="s">
        <v>15</v>
      </c>
      <c r="E890" s="843" t="s">
        <v>2205</v>
      </c>
      <c r="F890" s="843"/>
      <c r="G890" s="894"/>
      <c r="H890" s="1103" t="n">
        <v>0.4</v>
      </c>
      <c r="I890" s="1104"/>
      <c r="J890" s="1104"/>
      <c r="K890" s="897" t="n">
        <f aca="false">H890*I890/100</f>
        <v>0</v>
      </c>
      <c r="L890" s="589" t="n">
        <v>1348</v>
      </c>
      <c r="M890" s="1106" t="n">
        <v>1</v>
      </c>
      <c r="N890" s="589" t="n">
        <f aca="false">L890*M890</f>
        <v>1348</v>
      </c>
      <c r="O890" s="1395" t="n">
        <f aca="false">H890*N890</f>
        <v>539.2</v>
      </c>
      <c r="P890" s="844" t="s">
        <v>2204</v>
      </c>
      <c r="Q890" s="900" t="s">
        <v>2398</v>
      </c>
      <c r="R890" s="1539" t="n">
        <v>539.2</v>
      </c>
      <c r="S890" s="890" t="n">
        <f aca="false">R890/H890</f>
        <v>1348</v>
      </c>
      <c r="T890" s="1441" t="n">
        <f aca="false">O890-R890</f>
        <v>0</v>
      </c>
      <c r="U890" s="902" t="n">
        <f aca="false">N890-S890</f>
        <v>0</v>
      </c>
    </row>
    <row r="891" customFormat="false" ht="15" hidden="false" customHeight="true" outlineLevel="0" collapsed="false">
      <c r="A891" s="903" t="n">
        <v>9</v>
      </c>
      <c r="B891" s="1351" t="s">
        <v>2230</v>
      </c>
      <c r="C891" s="903" t="n">
        <v>2024</v>
      </c>
      <c r="D891" s="904" t="s">
        <v>15</v>
      </c>
      <c r="E891" s="904" t="s">
        <v>2192</v>
      </c>
      <c r="F891" s="904" t="s">
        <v>2199</v>
      </c>
      <c r="G891" s="905"/>
      <c r="H891" s="946" t="n">
        <v>43.751</v>
      </c>
      <c r="I891" s="947"/>
      <c r="J891" s="947"/>
      <c r="K891" s="939" t="n">
        <f aca="false">H891*I891/100</f>
        <v>0</v>
      </c>
      <c r="L891" s="942" t="n">
        <v>7575</v>
      </c>
      <c r="M891" s="1023" t="n">
        <v>1</v>
      </c>
      <c r="N891" s="942" t="n">
        <f aca="false">L891*M891</f>
        <v>7575</v>
      </c>
      <c r="O891" s="941" t="n">
        <f aca="false">H891*N891</f>
        <v>331413.825</v>
      </c>
      <c r="P891" s="910" t="s">
        <v>2197</v>
      </c>
      <c r="Q891" s="1057" t="s">
        <v>2628</v>
      </c>
      <c r="R891" s="1538" t="n">
        <v>331413.825</v>
      </c>
      <c r="S891" s="891" t="n">
        <f aca="false">R891/H891</f>
        <v>7575</v>
      </c>
      <c r="T891" s="1058" t="n">
        <f aca="false">O891-R891</f>
        <v>0</v>
      </c>
      <c r="U891" s="942" t="n">
        <f aca="false">N891-S891</f>
        <v>0</v>
      </c>
    </row>
    <row r="892" customFormat="false" ht="15" hidden="false" customHeight="true" outlineLevel="0" collapsed="false">
      <c r="A892" s="829" t="n">
        <v>6</v>
      </c>
      <c r="B892" s="830" t="s">
        <v>2278</v>
      </c>
      <c r="C892" s="830" t="n">
        <v>2024</v>
      </c>
      <c r="D892" s="831" t="s">
        <v>15</v>
      </c>
      <c r="E892" s="831" t="s">
        <v>2192</v>
      </c>
      <c r="F892" s="832" t="s">
        <v>1650</v>
      </c>
      <c r="G892" s="833"/>
      <c r="H892" s="834" t="n">
        <v>90.0349</v>
      </c>
      <c r="I892" s="835"/>
      <c r="J892" s="835"/>
      <c r="K892" s="836" t="n">
        <f aca="false">H892*I892/100</f>
        <v>0</v>
      </c>
      <c r="L892" s="837" t="n">
        <v>1854</v>
      </c>
      <c r="M892" s="1003" t="n">
        <v>1</v>
      </c>
      <c r="N892" s="837" t="n">
        <f aca="false">L892*M892</f>
        <v>1854</v>
      </c>
      <c r="O892" s="943" t="n">
        <f aca="false">H892*N892</f>
        <v>166924.7046</v>
      </c>
      <c r="P892" s="838" t="s">
        <v>2232</v>
      </c>
      <c r="Q892" s="1004" t="s">
        <v>94</v>
      </c>
      <c r="R892" s="1537" t="n">
        <v>79230.712</v>
      </c>
      <c r="S892" s="840" t="n">
        <f aca="false">R892/H892</f>
        <v>880</v>
      </c>
      <c r="T892" s="943" t="n">
        <f aca="false">O892-R892-R893</f>
        <v>0</v>
      </c>
      <c r="U892" s="842" t="n">
        <f aca="false">N892-S892-S893</f>
        <v>0</v>
      </c>
    </row>
    <row r="893" customFormat="false" ht="15" hidden="false" customHeight="true" outlineLevel="0" collapsed="false">
      <c r="A893" s="829"/>
      <c r="B893" s="830"/>
      <c r="C893" s="830"/>
      <c r="D893" s="887" t="s">
        <v>15</v>
      </c>
      <c r="E893" s="887" t="s">
        <v>2192</v>
      </c>
      <c r="F893" s="832"/>
      <c r="G893" s="833"/>
      <c r="H893" s="834"/>
      <c r="I893" s="835"/>
      <c r="J893" s="835"/>
      <c r="K893" s="836"/>
      <c r="L893" s="837"/>
      <c r="M893" s="1003"/>
      <c r="N893" s="837"/>
      <c r="O893" s="943"/>
      <c r="P893" s="888" t="s">
        <v>2232</v>
      </c>
      <c r="Q893" s="1364" t="s">
        <v>2250</v>
      </c>
      <c r="R893" s="1141" t="n">
        <v>87693.9926</v>
      </c>
      <c r="S893" s="846" t="n">
        <f aca="false">R893/H892</f>
        <v>974</v>
      </c>
      <c r="T893" s="943"/>
      <c r="U893" s="842"/>
    </row>
    <row r="894" customFormat="false" ht="15" hidden="false" customHeight="true" outlineLevel="0" collapsed="false">
      <c r="A894" s="847" t="n">
        <v>13</v>
      </c>
      <c r="B894" s="847" t="s">
        <v>2230</v>
      </c>
      <c r="C894" s="847" t="n">
        <v>2024</v>
      </c>
      <c r="D894" s="848" t="s">
        <v>15</v>
      </c>
      <c r="E894" s="848" t="s">
        <v>2192</v>
      </c>
      <c r="F894" s="848" t="s">
        <v>2199</v>
      </c>
      <c r="G894" s="849"/>
      <c r="H894" s="949" t="n">
        <v>45.927</v>
      </c>
      <c r="I894" s="950"/>
      <c r="J894" s="950"/>
      <c r="K894" s="852" t="n">
        <f aca="false">H894*I894/100</f>
        <v>0</v>
      </c>
      <c r="L894" s="537" t="n">
        <v>775</v>
      </c>
      <c r="M894" s="1007" t="n">
        <v>1</v>
      </c>
      <c r="N894" s="537" t="n">
        <f aca="false">L894*M894</f>
        <v>775</v>
      </c>
      <c r="O894" s="953" t="n">
        <f aca="false">H894*N894</f>
        <v>35593.425</v>
      </c>
      <c r="P894" s="856" t="s">
        <v>2197</v>
      </c>
      <c r="Q894" s="1008" t="s">
        <v>2629</v>
      </c>
      <c r="R894" s="1512" t="n">
        <v>35593.425</v>
      </c>
      <c r="S894" s="891" t="n">
        <f aca="false">R894/H894</f>
        <v>775</v>
      </c>
      <c r="T894" s="953" t="n">
        <f aca="false">O894-R894</f>
        <v>0</v>
      </c>
      <c r="U894" s="537" t="n">
        <f aca="false">N894-S894</f>
        <v>0</v>
      </c>
    </row>
    <row r="895" customFormat="false" ht="15" hidden="false" customHeight="true" outlineLevel="0" collapsed="false">
      <c r="A895" s="847" t="n">
        <v>70</v>
      </c>
      <c r="B895" s="847" t="s">
        <v>2207</v>
      </c>
      <c r="C895" s="847" t="n">
        <v>2024</v>
      </c>
      <c r="D895" s="848" t="s">
        <v>15</v>
      </c>
      <c r="E895" s="848" t="s">
        <v>2192</v>
      </c>
      <c r="F895" s="848" t="s">
        <v>1652</v>
      </c>
      <c r="G895" s="849"/>
      <c r="H895" s="949" t="n">
        <v>41.1918</v>
      </c>
      <c r="I895" s="950"/>
      <c r="J895" s="950"/>
      <c r="K895" s="852" t="n">
        <f aca="false">H895*I895/100</f>
        <v>0</v>
      </c>
      <c r="L895" s="537" t="n">
        <v>8098</v>
      </c>
      <c r="M895" s="1007" t="n">
        <v>1</v>
      </c>
      <c r="N895" s="537" t="n">
        <f aca="false">L895*M895</f>
        <v>8098</v>
      </c>
      <c r="O895" s="953" t="n">
        <f aca="false">H895*N895</f>
        <v>333571.1964</v>
      </c>
      <c r="P895" s="856" t="s">
        <v>2197</v>
      </c>
      <c r="Q895" s="1008" t="s">
        <v>2630</v>
      </c>
      <c r="R895" s="1512" t="n">
        <v>333571.1964</v>
      </c>
      <c r="S895" s="877" t="n">
        <f aca="false">R895/H895</f>
        <v>8098</v>
      </c>
      <c r="T895" s="953" t="n">
        <f aca="false">O895-R895</f>
        <v>0</v>
      </c>
      <c r="U895" s="537" t="n">
        <f aca="false">N895-S895</f>
        <v>0</v>
      </c>
    </row>
    <row r="896" customFormat="false" ht="15" hidden="false" customHeight="true" outlineLevel="0" collapsed="false">
      <c r="A896" s="903" t="n">
        <v>71</v>
      </c>
      <c r="B896" s="903" t="s">
        <v>2207</v>
      </c>
      <c r="C896" s="903" t="n">
        <v>2024</v>
      </c>
      <c r="D896" s="904" t="s">
        <v>15</v>
      </c>
      <c r="E896" s="904" t="s">
        <v>2192</v>
      </c>
      <c r="F896" s="904" t="s">
        <v>1651</v>
      </c>
      <c r="G896" s="905"/>
      <c r="H896" s="946" t="n">
        <v>25.8276</v>
      </c>
      <c r="I896" s="947"/>
      <c r="J896" s="947"/>
      <c r="K896" s="939" t="n">
        <f aca="false">H896*I896/100</f>
        <v>0</v>
      </c>
      <c r="L896" s="942" t="n">
        <v>22834</v>
      </c>
      <c r="M896" s="1023" t="n">
        <v>1</v>
      </c>
      <c r="N896" s="942" t="n">
        <f aca="false">L896*M896</f>
        <v>22834</v>
      </c>
      <c r="O896" s="948" t="n">
        <f aca="false">H896*N896</f>
        <v>589747.4184</v>
      </c>
      <c r="P896" s="910" t="s">
        <v>2193</v>
      </c>
      <c r="Q896" s="1057" t="s">
        <v>2608</v>
      </c>
      <c r="R896" s="1538" t="n">
        <v>589747.4184</v>
      </c>
      <c r="S896" s="877" t="n">
        <f aca="false">R896/H896</f>
        <v>22834</v>
      </c>
      <c r="T896" s="948" t="n">
        <f aca="false">O896-R896</f>
        <v>0</v>
      </c>
      <c r="U896" s="942" t="n">
        <f aca="false">N896-S896</f>
        <v>0</v>
      </c>
    </row>
    <row r="897" customFormat="false" ht="15" hidden="false" customHeight="true" outlineLevel="0" collapsed="false">
      <c r="A897" s="829" t="s">
        <v>2631</v>
      </c>
      <c r="B897" s="830" t="s">
        <v>2207</v>
      </c>
      <c r="C897" s="830" t="n">
        <v>2024</v>
      </c>
      <c r="D897" s="831" t="s">
        <v>15</v>
      </c>
      <c r="E897" s="831" t="s">
        <v>2192</v>
      </c>
      <c r="F897" s="832" t="s">
        <v>1651</v>
      </c>
      <c r="G897" s="833"/>
      <c r="H897" s="834" t="n">
        <v>27.0554</v>
      </c>
      <c r="I897" s="835"/>
      <c r="J897" s="835"/>
      <c r="K897" s="836" t="n">
        <f aca="false">H897*I897/100</f>
        <v>0</v>
      </c>
      <c r="L897" s="837" t="n">
        <v>22834</v>
      </c>
      <c r="M897" s="1003" t="n">
        <v>1</v>
      </c>
      <c r="N897" s="837" t="n">
        <f aca="false">L897*M897</f>
        <v>22834</v>
      </c>
      <c r="O897" s="943" t="n">
        <f aca="false">H897*N897</f>
        <v>617783.0036</v>
      </c>
      <c r="P897" s="838" t="s">
        <v>2197</v>
      </c>
      <c r="Q897" s="1004" t="s">
        <v>2632</v>
      </c>
      <c r="R897" s="1537" t="n">
        <v>2705.54</v>
      </c>
      <c r="S897" s="840" t="n">
        <f aca="false">R897/H897</f>
        <v>100</v>
      </c>
      <c r="T897" s="943" t="n">
        <f aca="false">O897-R897-R898-R899-R900</f>
        <v>0</v>
      </c>
      <c r="U897" s="842" t="n">
        <f aca="false">N897-S897-S898-S899-S900</f>
        <v>0</v>
      </c>
    </row>
    <row r="898" customFormat="false" ht="15" hidden="false" customHeight="true" outlineLevel="0" collapsed="false">
      <c r="A898" s="829"/>
      <c r="B898" s="830"/>
      <c r="C898" s="830"/>
      <c r="D898" s="860" t="s">
        <v>15</v>
      </c>
      <c r="E898" s="860" t="s">
        <v>2192</v>
      </c>
      <c r="F898" s="832"/>
      <c r="G898" s="833"/>
      <c r="H898" s="834"/>
      <c r="I898" s="835"/>
      <c r="J898" s="835"/>
      <c r="K898" s="836"/>
      <c r="L898" s="837"/>
      <c r="M898" s="1003"/>
      <c r="N898" s="837"/>
      <c r="O898" s="943"/>
      <c r="P898" s="868" t="s">
        <v>2197</v>
      </c>
      <c r="Q898" s="1011" t="s">
        <v>2633</v>
      </c>
      <c r="R898" s="1383" t="n">
        <v>270283.446</v>
      </c>
      <c r="S898" s="866" t="n">
        <f aca="false">R898/H897</f>
        <v>9990</v>
      </c>
      <c r="T898" s="943"/>
      <c r="U898" s="842"/>
    </row>
    <row r="899" customFormat="false" ht="15" hidden="false" customHeight="true" outlineLevel="0" collapsed="false">
      <c r="A899" s="829"/>
      <c r="B899" s="830"/>
      <c r="C899" s="830"/>
      <c r="D899" s="860" t="s">
        <v>15</v>
      </c>
      <c r="E899" s="860" t="s">
        <v>2192</v>
      </c>
      <c r="F899" s="832"/>
      <c r="G899" s="833"/>
      <c r="H899" s="834"/>
      <c r="I899" s="835"/>
      <c r="J899" s="835"/>
      <c r="K899" s="836"/>
      <c r="L899" s="837"/>
      <c r="M899" s="1003"/>
      <c r="N899" s="837"/>
      <c r="O899" s="943"/>
      <c r="P899" s="868" t="s">
        <v>2197</v>
      </c>
      <c r="Q899" s="1011" t="s">
        <v>2634</v>
      </c>
      <c r="R899" s="1383" t="n">
        <v>270283.446</v>
      </c>
      <c r="S899" s="866" t="n">
        <f aca="false">R899/H897</f>
        <v>9990</v>
      </c>
      <c r="T899" s="943"/>
      <c r="U899" s="842"/>
    </row>
    <row r="900" customFormat="false" ht="15" hidden="false" customHeight="true" outlineLevel="0" collapsed="false">
      <c r="A900" s="829"/>
      <c r="B900" s="830"/>
      <c r="C900" s="830"/>
      <c r="D900" s="843" t="s">
        <v>15</v>
      </c>
      <c r="E900" s="843" t="s">
        <v>2192</v>
      </c>
      <c r="F900" s="832"/>
      <c r="G900" s="833"/>
      <c r="H900" s="834"/>
      <c r="I900" s="835"/>
      <c r="J900" s="835"/>
      <c r="K900" s="836"/>
      <c r="L900" s="837"/>
      <c r="M900" s="1003"/>
      <c r="N900" s="837"/>
      <c r="O900" s="943"/>
      <c r="P900" s="844" t="s">
        <v>2197</v>
      </c>
      <c r="Q900" s="1005" t="s">
        <v>2635</v>
      </c>
      <c r="R900" s="1539" t="n">
        <v>74510.5716</v>
      </c>
      <c r="S900" s="846" t="n">
        <f aca="false">R900/H897</f>
        <v>2754</v>
      </c>
      <c r="T900" s="943"/>
      <c r="U900" s="842"/>
    </row>
    <row r="901" customFormat="false" ht="15" hidden="false" customHeight="true" outlineLevel="0" collapsed="false">
      <c r="A901" s="1087" t="n">
        <v>16</v>
      </c>
      <c r="B901" s="1061" t="s">
        <v>2230</v>
      </c>
      <c r="C901" s="1061" t="n">
        <v>2024</v>
      </c>
      <c r="D901" s="848" t="s">
        <v>15</v>
      </c>
      <c r="E901" s="848" t="s">
        <v>2192</v>
      </c>
      <c r="F901" s="887" t="s">
        <v>2199</v>
      </c>
      <c r="G901" s="1062"/>
      <c r="H901" s="1077" t="n">
        <v>42.2511</v>
      </c>
      <c r="I901" s="1086"/>
      <c r="J901" s="1086"/>
      <c r="K901" s="1064" t="n">
        <f aca="false">H901*I901/100</f>
        <v>0</v>
      </c>
      <c r="L901" s="1067" t="n">
        <v>2475</v>
      </c>
      <c r="M901" s="1066" t="n">
        <v>1</v>
      </c>
      <c r="N901" s="1067" t="n">
        <f aca="false">L901*M901</f>
        <v>2475</v>
      </c>
      <c r="O901" s="1452" t="n">
        <f aca="false">H901*N901</f>
        <v>104571.4725</v>
      </c>
      <c r="P901" s="856" t="s">
        <v>2197</v>
      </c>
      <c r="Q901" s="1008" t="s">
        <v>2636</v>
      </c>
      <c r="R901" s="1512" t="n">
        <v>60207.8175</v>
      </c>
      <c r="S901" s="891" t="n">
        <f aca="false">R901/H901</f>
        <v>1425</v>
      </c>
      <c r="T901" s="1452" t="n">
        <f aca="false">O901-R901-R902</f>
        <v>0</v>
      </c>
      <c r="U901" s="1070" t="n">
        <f aca="false">N901-S901-S902</f>
        <v>0</v>
      </c>
    </row>
    <row r="902" customFormat="false" ht="15" hidden="false" customHeight="true" outlineLevel="0" collapsed="false">
      <c r="A902" s="1087"/>
      <c r="B902" s="1061"/>
      <c r="C902" s="1061"/>
      <c r="D902" s="887" t="s">
        <v>15</v>
      </c>
      <c r="E902" s="887" t="s">
        <v>2192</v>
      </c>
      <c r="F902" s="887"/>
      <c r="G902" s="1062"/>
      <c r="H902" s="1077"/>
      <c r="I902" s="1086"/>
      <c r="J902" s="1086"/>
      <c r="K902" s="1064"/>
      <c r="L902" s="1067"/>
      <c r="M902" s="1066"/>
      <c r="N902" s="1067"/>
      <c r="O902" s="1452"/>
      <c r="P902" s="888" t="s">
        <v>2197</v>
      </c>
      <c r="Q902" s="1364" t="s">
        <v>2637</v>
      </c>
      <c r="R902" s="1141" t="n">
        <v>44363.655</v>
      </c>
      <c r="S902" s="846" t="n">
        <f aca="false">R902/H901</f>
        <v>1050</v>
      </c>
      <c r="T902" s="1452"/>
      <c r="U902" s="1070"/>
    </row>
    <row r="903" customFormat="false" ht="15" hidden="false" customHeight="true" outlineLevel="0" collapsed="false">
      <c r="A903" s="847" t="n">
        <v>17</v>
      </c>
      <c r="B903" s="847" t="s">
        <v>2230</v>
      </c>
      <c r="C903" s="847" t="n">
        <v>2024</v>
      </c>
      <c r="D903" s="848" t="s">
        <v>15</v>
      </c>
      <c r="E903" s="848" t="s">
        <v>2192</v>
      </c>
      <c r="F903" s="848" t="s">
        <v>2199</v>
      </c>
      <c r="G903" s="849"/>
      <c r="H903" s="949" t="n">
        <v>63.6914</v>
      </c>
      <c r="I903" s="950"/>
      <c r="J903" s="950"/>
      <c r="K903" s="852" t="n">
        <f aca="false">H903*I903/100</f>
        <v>0</v>
      </c>
      <c r="L903" s="537" t="n">
        <v>1575</v>
      </c>
      <c r="M903" s="1007" t="n">
        <v>1</v>
      </c>
      <c r="N903" s="537" t="n">
        <f aca="false">L903*M903</f>
        <v>1575</v>
      </c>
      <c r="O903" s="953" t="n">
        <f aca="false">H903*N903</f>
        <v>100313.955</v>
      </c>
      <c r="P903" s="856" t="s">
        <v>2197</v>
      </c>
      <c r="Q903" s="1008" t="s">
        <v>2638</v>
      </c>
      <c r="R903" s="1512" t="n">
        <v>100313.955</v>
      </c>
      <c r="S903" s="877" t="n">
        <f aca="false">R903/H903</f>
        <v>1575</v>
      </c>
      <c r="T903" s="953" t="n">
        <f aca="false">O903-R903</f>
        <v>0</v>
      </c>
      <c r="U903" s="537" t="n">
        <f aca="false">N903-S903</f>
        <v>0</v>
      </c>
    </row>
    <row r="904" customFormat="false" ht="15" hidden="false" customHeight="true" outlineLevel="0" collapsed="false">
      <c r="A904" s="847" t="n">
        <v>85</v>
      </c>
      <c r="B904" s="847" t="s">
        <v>2207</v>
      </c>
      <c r="C904" s="847" t="n">
        <v>2024</v>
      </c>
      <c r="D904" s="848" t="s">
        <v>15</v>
      </c>
      <c r="E904" s="848" t="s">
        <v>2192</v>
      </c>
      <c r="F904" s="848" t="s">
        <v>1652</v>
      </c>
      <c r="G904" s="849"/>
      <c r="H904" s="949" t="n">
        <v>42.4739</v>
      </c>
      <c r="I904" s="950"/>
      <c r="J904" s="950"/>
      <c r="K904" s="852" t="n">
        <f aca="false">H904*I904/100</f>
        <v>0</v>
      </c>
      <c r="L904" s="537" t="n">
        <v>5233</v>
      </c>
      <c r="M904" s="1007" t="n">
        <v>1</v>
      </c>
      <c r="N904" s="537" t="n">
        <f aca="false">L904*M904</f>
        <v>5233</v>
      </c>
      <c r="O904" s="953" t="n">
        <f aca="false">H904*N904</f>
        <v>222265.9187</v>
      </c>
      <c r="P904" s="856" t="s">
        <v>2197</v>
      </c>
      <c r="Q904" s="1008" t="s">
        <v>2639</v>
      </c>
      <c r="R904" s="1512" t="n">
        <v>222265.9187</v>
      </c>
      <c r="S904" s="877" t="n">
        <f aca="false">R904/H904</f>
        <v>5233</v>
      </c>
      <c r="T904" s="953" t="n">
        <f aca="false">O904-R904</f>
        <v>0</v>
      </c>
      <c r="U904" s="537" t="n">
        <f aca="false">N904-S904</f>
        <v>0</v>
      </c>
    </row>
    <row r="905" customFormat="false" ht="15" hidden="false" customHeight="true" outlineLevel="0" collapsed="false">
      <c r="A905" s="903" t="n">
        <v>12</v>
      </c>
      <c r="B905" s="903" t="s">
        <v>2278</v>
      </c>
      <c r="C905" s="903" t="n">
        <v>2024</v>
      </c>
      <c r="D905" s="904" t="s">
        <v>15</v>
      </c>
      <c r="E905" s="904" t="s">
        <v>2192</v>
      </c>
      <c r="F905" s="904" t="s">
        <v>1650</v>
      </c>
      <c r="G905" s="905"/>
      <c r="H905" s="946" t="n">
        <v>93.3754</v>
      </c>
      <c r="I905" s="947"/>
      <c r="J905" s="947"/>
      <c r="K905" s="939" t="n">
        <f aca="false">H905*I905/100</f>
        <v>0</v>
      </c>
      <c r="L905" s="942" t="n">
        <v>1507</v>
      </c>
      <c r="M905" s="1023" t="n">
        <v>1</v>
      </c>
      <c r="N905" s="942" t="n">
        <f aca="false">L905*M905</f>
        <v>1507</v>
      </c>
      <c r="O905" s="948" t="n">
        <f aca="false">H905*N905</f>
        <v>140716.7278</v>
      </c>
      <c r="P905" s="910" t="s">
        <v>2232</v>
      </c>
      <c r="Q905" s="1057" t="s">
        <v>2251</v>
      </c>
      <c r="R905" s="1538" t="n">
        <v>140716.7278</v>
      </c>
      <c r="S905" s="877" t="n">
        <f aca="false">R905/H905</f>
        <v>1507</v>
      </c>
      <c r="T905" s="948" t="n">
        <f aca="false">O905-R905</f>
        <v>0</v>
      </c>
      <c r="U905" s="942" t="n">
        <f aca="false">N905-S905</f>
        <v>0</v>
      </c>
    </row>
    <row r="906" customFormat="false" ht="15" hidden="false" customHeight="true" outlineLevel="0" collapsed="false">
      <c r="A906" s="882" t="n">
        <v>86</v>
      </c>
      <c r="B906" s="883" t="s">
        <v>2207</v>
      </c>
      <c r="C906" s="883" t="n">
        <v>2024</v>
      </c>
      <c r="D906" s="831" t="s">
        <v>15</v>
      </c>
      <c r="E906" s="831" t="s">
        <v>2192</v>
      </c>
      <c r="F906" s="832" t="s">
        <v>1651</v>
      </c>
      <c r="G906" s="833"/>
      <c r="H906" s="834" t="n">
        <v>26.6855</v>
      </c>
      <c r="I906" s="835"/>
      <c r="J906" s="835"/>
      <c r="K906" s="836" t="n">
        <f aca="false">H906*I906/100</f>
        <v>0</v>
      </c>
      <c r="L906" s="837" t="n">
        <v>14808</v>
      </c>
      <c r="M906" s="1003" t="n">
        <v>1</v>
      </c>
      <c r="N906" s="837" t="n">
        <f aca="false">L906*M906</f>
        <v>14808</v>
      </c>
      <c r="O906" s="943" t="n">
        <f aca="false">H906*N906</f>
        <v>395158.884</v>
      </c>
      <c r="P906" s="838" t="s">
        <v>2197</v>
      </c>
      <c r="Q906" s="1004" t="s">
        <v>2640</v>
      </c>
      <c r="R906" s="1537" t="n">
        <v>26685.5</v>
      </c>
      <c r="S906" s="886" t="n">
        <f aca="false">R906/H906</f>
        <v>1000</v>
      </c>
      <c r="T906" s="943" t="n">
        <f aca="false">O906-R906-R907-R908</f>
        <v>0</v>
      </c>
      <c r="U906" s="842" t="n">
        <f aca="false">N906-S906-S907-S908</f>
        <v>0</v>
      </c>
    </row>
    <row r="907" customFormat="false" ht="15" hidden="false" customHeight="true" outlineLevel="0" collapsed="false">
      <c r="A907" s="882"/>
      <c r="B907" s="883"/>
      <c r="C907" s="883"/>
      <c r="D907" s="848" t="s">
        <v>15</v>
      </c>
      <c r="E907" s="848" t="s">
        <v>2192</v>
      </c>
      <c r="F907" s="832"/>
      <c r="G907" s="833"/>
      <c r="H907" s="834"/>
      <c r="I907" s="835"/>
      <c r="J907" s="835"/>
      <c r="K907" s="836"/>
      <c r="L907" s="837"/>
      <c r="M907" s="1003"/>
      <c r="N907" s="837"/>
      <c r="O907" s="943"/>
      <c r="P907" s="856" t="s">
        <v>2197</v>
      </c>
      <c r="Q907" s="1008" t="s">
        <v>2641</v>
      </c>
      <c r="R907" s="1512" t="n">
        <v>266588.145</v>
      </c>
      <c r="S907" s="877" t="n">
        <f aca="false">R907/H906</f>
        <v>9990</v>
      </c>
      <c r="T907" s="943"/>
      <c r="U907" s="842"/>
    </row>
    <row r="908" customFormat="false" ht="15" hidden="false" customHeight="true" outlineLevel="0" collapsed="false">
      <c r="A908" s="882"/>
      <c r="B908" s="883"/>
      <c r="C908" s="883"/>
      <c r="D908" s="887" t="s">
        <v>15</v>
      </c>
      <c r="E908" s="887" t="s">
        <v>2192</v>
      </c>
      <c r="F908" s="832"/>
      <c r="G908" s="833"/>
      <c r="H908" s="834"/>
      <c r="I908" s="835"/>
      <c r="J908" s="835"/>
      <c r="K908" s="836"/>
      <c r="L908" s="837"/>
      <c r="M908" s="1003"/>
      <c r="N908" s="837"/>
      <c r="O908" s="943"/>
      <c r="P908" s="888" t="s">
        <v>2197</v>
      </c>
      <c r="Q908" s="1364" t="s">
        <v>2642</v>
      </c>
      <c r="R908" s="1141" t="n">
        <v>101885.239</v>
      </c>
      <c r="S908" s="846" t="n">
        <f aca="false">R908/H906</f>
        <v>3818</v>
      </c>
      <c r="T908" s="943"/>
      <c r="U908" s="842"/>
    </row>
    <row r="909" customFormat="false" ht="15" hidden="false" customHeight="true" outlineLevel="0" collapsed="false">
      <c r="A909" s="881" t="n">
        <v>68</v>
      </c>
      <c r="B909" s="829" t="s">
        <v>86</v>
      </c>
      <c r="C909" s="830" t="n">
        <v>2024</v>
      </c>
      <c r="D909" s="831" t="s">
        <v>15</v>
      </c>
      <c r="E909" s="831" t="s">
        <v>2192</v>
      </c>
      <c r="F909" s="832" t="s">
        <v>1650</v>
      </c>
      <c r="G909" s="833"/>
      <c r="H909" s="834" t="n">
        <v>87.5</v>
      </c>
      <c r="I909" s="835"/>
      <c r="J909" s="835"/>
      <c r="K909" s="836" t="n">
        <f aca="false">H909*I909/100</f>
        <v>0</v>
      </c>
      <c r="L909" s="837" t="n">
        <v>9221</v>
      </c>
      <c r="M909" s="1003" t="n">
        <v>1</v>
      </c>
      <c r="N909" s="837" t="n">
        <f aca="false">L909*M909</f>
        <v>9221</v>
      </c>
      <c r="O909" s="1120" t="n">
        <f aca="false">H909*N909</f>
        <v>806837.5</v>
      </c>
      <c r="P909" s="838" t="s">
        <v>2193</v>
      </c>
      <c r="Q909" s="1004" t="s">
        <v>2643</v>
      </c>
      <c r="R909" s="1537" t="n">
        <v>509337.5</v>
      </c>
      <c r="S909" s="886" t="n">
        <f aca="false">R909/H909</f>
        <v>5821</v>
      </c>
      <c r="T909" s="1017" t="n">
        <f aca="false">O909-R909-R910</f>
        <v>0</v>
      </c>
      <c r="U909" s="842" t="n">
        <f aca="false">N909-S909-S910</f>
        <v>0</v>
      </c>
    </row>
    <row r="910" customFormat="false" ht="15" hidden="false" customHeight="true" outlineLevel="0" collapsed="false">
      <c r="A910" s="881"/>
      <c r="B910" s="829"/>
      <c r="C910" s="830"/>
      <c r="D910" s="887" t="s">
        <v>15</v>
      </c>
      <c r="E910" s="887" t="s">
        <v>2192</v>
      </c>
      <c r="F910" s="832"/>
      <c r="G910" s="833"/>
      <c r="H910" s="834"/>
      <c r="I910" s="835"/>
      <c r="J910" s="835"/>
      <c r="K910" s="836"/>
      <c r="L910" s="837"/>
      <c r="M910" s="1003"/>
      <c r="N910" s="837"/>
      <c r="O910" s="1120"/>
      <c r="P910" s="888" t="s">
        <v>2197</v>
      </c>
      <c r="Q910" s="1364" t="s">
        <v>2644</v>
      </c>
      <c r="R910" s="1141" t="n">
        <v>297500</v>
      </c>
      <c r="S910" s="846" t="n">
        <f aca="false">R910/H909</f>
        <v>3400</v>
      </c>
      <c r="T910" s="1017"/>
      <c r="U910" s="842"/>
    </row>
    <row r="911" customFormat="false" ht="15" hidden="false" customHeight="true" outlineLevel="0" collapsed="false">
      <c r="A911" s="881"/>
      <c r="B911" s="847" t="s">
        <v>86</v>
      </c>
      <c r="C911" s="847" t="n">
        <v>2024</v>
      </c>
      <c r="D911" s="848" t="s">
        <v>15</v>
      </c>
      <c r="E911" s="848" t="s">
        <v>2242</v>
      </c>
      <c r="F911" s="848"/>
      <c r="G911" s="849"/>
      <c r="H911" s="949" t="n">
        <v>61.1</v>
      </c>
      <c r="I911" s="950"/>
      <c r="J911" s="950"/>
      <c r="K911" s="852" t="n">
        <f aca="false">H911*I911/100</f>
        <v>0</v>
      </c>
      <c r="L911" s="537" t="n">
        <v>1416</v>
      </c>
      <c r="M911" s="1007" t="n">
        <v>1</v>
      </c>
      <c r="N911" s="1143" t="n">
        <f aca="false">L911*M911</f>
        <v>1416</v>
      </c>
      <c r="O911" s="1606" t="n">
        <f aca="false">H911*N911</f>
        <v>86517.6</v>
      </c>
      <c r="P911" s="856" t="s">
        <v>2232</v>
      </c>
      <c r="Q911" s="1008" t="s">
        <v>106</v>
      </c>
      <c r="R911" s="1512" t="n">
        <v>86517.6</v>
      </c>
      <c r="S911" s="891" t="n">
        <f aca="false">R911/H911</f>
        <v>1416</v>
      </c>
      <c r="T911" s="537" t="n">
        <f aca="false">O911-R911</f>
        <v>0</v>
      </c>
      <c r="U911" s="892" t="n">
        <f aca="false">N911-S911</f>
        <v>0</v>
      </c>
    </row>
    <row r="912" customFormat="false" ht="15" hidden="false" customHeight="true" outlineLevel="0" collapsed="false">
      <c r="A912" s="881"/>
      <c r="B912" s="1207" t="s">
        <v>86</v>
      </c>
      <c r="C912" s="1207" t="n">
        <v>2024</v>
      </c>
      <c r="D912" s="1208" t="s">
        <v>15</v>
      </c>
      <c r="E912" s="1208" t="s">
        <v>2203</v>
      </c>
      <c r="F912" s="1208"/>
      <c r="G912" s="1209"/>
      <c r="H912" s="1210" t="n">
        <v>31.9</v>
      </c>
      <c r="I912" s="1211"/>
      <c r="J912" s="1211"/>
      <c r="K912" s="1212" t="n">
        <f aca="false">H912*I912/100</f>
        <v>0</v>
      </c>
      <c r="L912" s="1219" t="n">
        <v>3386</v>
      </c>
      <c r="M912" s="1214" t="n">
        <v>1</v>
      </c>
      <c r="N912" s="1398" t="n">
        <f aca="false">L912*M912</f>
        <v>3386</v>
      </c>
      <c r="O912" s="1611" t="n">
        <f aca="false">H912*N912</f>
        <v>108013.4</v>
      </c>
      <c r="P912" s="1216"/>
      <c r="Q912" s="1399"/>
      <c r="R912" s="1615"/>
      <c r="S912" s="1269"/>
      <c r="T912" s="1163" t="n">
        <f aca="false">O912-R912</f>
        <v>108013.4</v>
      </c>
      <c r="U912" s="1170" t="n">
        <f aca="false">N912-S912</f>
        <v>3386</v>
      </c>
    </row>
    <row r="913" customFormat="false" ht="15" hidden="false" customHeight="true" outlineLevel="0" collapsed="false">
      <c r="A913" s="881"/>
      <c r="B913" s="859" t="s">
        <v>86</v>
      </c>
      <c r="C913" s="859" t="n">
        <v>2024</v>
      </c>
      <c r="D913" s="860" t="s">
        <v>15</v>
      </c>
      <c r="E913" s="860" t="s">
        <v>2241</v>
      </c>
      <c r="F913" s="860"/>
      <c r="G913" s="861"/>
      <c r="H913" s="980" t="n">
        <v>1.4</v>
      </c>
      <c r="I913" s="981"/>
      <c r="J913" s="981"/>
      <c r="K913" s="864" t="n">
        <f aca="false">H913*I913/100</f>
        <v>0</v>
      </c>
      <c r="L913" s="543" t="n">
        <v>2976</v>
      </c>
      <c r="M913" s="983" t="n">
        <v>1</v>
      </c>
      <c r="N913" s="1299" t="n">
        <f aca="false">L913*M913</f>
        <v>2976</v>
      </c>
      <c r="O913" s="1348" t="n">
        <f aca="false">H913*N913</f>
        <v>4166.4</v>
      </c>
      <c r="P913" s="868" t="s">
        <v>2204</v>
      </c>
      <c r="Q913" s="1012" t="n">
        <v>22112024</v>
      </c>
      <c r="R913" s="1383" t="n">
        <v>4166.4</v>
      </c>
      <c r="S913" s="866" t="n">
        <f aca="false">R913/H913</f>
        <v>2976</v>
      </c>
      <c r="T913" s="537" t="n">
        <f aca="false">O913-R913</f>
        <v>0</v>
      </c>
      <c r="U913" s="892" t="n">
        <f aca="false">N913-S913</f>
        <v>0</v>
      </c>
    </row>
    <row r="914" customFormat="false" ht="15" hidden="false" customHeight="true" outlineLevel="0" collapsed="false">
      <c r="A914" s="881"/>
      <c r="B914" s="893" t="s">
        <v>86</v>
      </c>
      <c r="C914" s="893" t="n">
        <v>2024</v>
      </c>
      <c r="D914" s="843" t="s">
        <v>15</v>
      </c>
      <c r="E914" s="843" t="s">
        <v>2205</v>
      </c>
      <c r="F914" s="843"/>
      <c r="G914" s="894"/>
      <c r="H914" s="1103" t="n">
        <v>0</v>
      </c>
      <c r="I914" s="1104"/>
      <c r="J914" s="1104"/>
      <c r="K914" s="897" t="n">
        <f aca="false">H914*I914/100</f>
        <v>0</v>
      </c>
      <c r="L914" s="589" t="n">
        <v>1772</v>
      </c>
      <c r="M914" s="1106" t="n">
        <v>1</v>
      </c>
      <c r="N914" s="1393" t="n">
        <f aca="false">L914*M914</f>
        <v>1772</v>
      </c>
      <c r="O914" s="1500" t="n">
        <f aca="false">H914*N914</f>
        <v>0</v>
      </c>
      <c r="P914" s="844" t="s">
        <v>2204</v>
      </c>
      <c r="Q914" s="900" t="n">
        <v>22112024</v>
      </c>
      <c r="R914" s="1539" t="n">
        <v>0</v>
      </c>
      <c r="S914" s="846" t="n">
        <v>1772</v>
      </c>
      <c r="T914" s="1067" t="n">
        <f aca="false">O914-R914</f>
        <v>0</v>
      </c>
      <c r="U914" s="1070" t="n">
        <f aca="false">N914-S914</f>
        <v>0</v>
      </c>
    </row>
    <row r="915" customFormat="false" ht="15" hidden="false" customHeight="true" outlineLevel="0" collapsed="false">
      <c r="A915" s="882" t="n">
        <v>106</v>
      </c>
      <c r="B915" s="883" t="s">
        <v>2207</v>
      </c>
      <c r="C915" s="883" t="n">
        <v>2024</v>
      </c>
      <c r="D915" s="831" t="s">
        <v>15</v>
      </c>
      <c r="E915" s="831" t="s">
        <v>2192</v>
      </c>
      <c r="F915" s="832" t="s">
        <v>1651</v>
      </c>
      <c r="G915" s="833"/>
      <c r="H915" s="834" t="n">
        <v>26.5279</v>
      </c>
      <c r="I915" s="835"/>
      <c r="J915" s="835"/>
      <c r="K915" s="836" t="n">
        <f aca="false">H915*I915/100</f>
        <v>0</v>
      </c>
      <c r="L915" s="837" t="n">
        <v>19200</v>
      </c>
      <c r="M915" s="1003" t="n">
        <v>1</v>
      </c>
      <c r="N915" s="837" t="n">
        <f aca="false">L915*M915</f>
        <v>19200</v>
      </c>
      <c r="O915" s="1120" t="n">
        <f aca="false">H915*N915</f>
        <v>509335.68</v>
      </c>
      <c r="P915" s="838" t="s">
        <v>2197</v>
      </c>
      <c r="Q915" s="1004" t="s">
        <v>2645</v>
      </c>
      <c r="R915" s="1537" t="n">
        <v>79583.7</v>
      </c>
      <c r="S915" s="886" t="n">
        <f aca="false">R915/H915</f>
        <v>3000</v>
      </c>
      <c r="T915" s="943" t="n">
        <f aca="false">O915-R915-R916-R917</f>
        <v>0</v>
      </c>
      <c r="U915" s="842" t="n">
        <f aca="false">N915-S915-S916-S917</f>
        <v>0</v>
      </c>
    </row>
    <row r="916" customFormat="false" ht="15" hidden="false" customHeight="true" outlineLevel="0" collapsed="false">
      <c r="A916" s="882"/>
      <c r="B916" s="883"/>
      <c r="C916" s="883"/>
      <c r="D916" s="848" t="s">
        <v>15</v>
      </c>
      <c r="E916" s="848" t="s">
        <v>2192</v>
      </c>
      <c r="F916" s="832"/>
      <c r="G916" s="833"/>
      <c r="H916" s="834"/>
      <c r="I916" s="835"/>
      <c r="J916" s="835"/>
      <c r="K916" s="836"/>
      <c r="L916" s="837"/>
      <c r="M916" s="1003"/>
      <c r="N916" s="837"/>
      <c r="O916" s="1120"/>
      <c r="P916" s="856" t="s">
        <v>2197</v>
      </c>
      <c r="Q916" s="1008" t="s">
        <v>2646</v>
      </c>
      <c r="R916" s="1512" t="n">
        <v>265013.721</v>
      </c>
      <c r="S916" s="877" t="n">
        <f aca="false">R916/H915</f>
        <v>9990</v>
      </c>
      <c r="T916" s="943"/>
      <c r="U916" s="842"/>
    </row>
    <row r="917" customFormat="false" ht="15" hidden="false" customHeight="true" outlineLevel="0" collapsed="false">
      <c r="A917" s="882"/>
      <c r="B917" s="883"/>
      <c r="C917" s="883"/>
      <c r="D917" s="887" t="s">
        <v>15</v>
      </c>
      <c r="E917" s="887" t="s">
        <v>2192</v>
      </c>
      <c r="F917" s="832"/>
      <c r="G917" s="833"/>
      <c r="H917" s="834"/>
      <c r="I917" s="835"/>
      <c r="J917" s="835"/>
      <c r="K917" s="836"/>
      <c r="L917" s="837"/>
      <c r="M917" s="1003"/>
      <c r="N917" s="837"/>
      <c r="O917" s="1120"/>
      <c r="P917" s="888" t="s">
        <v>2197</v>
      </c>
      <c r="Q917" s="1364" t="s">
        <v>2647</v>
      </c>
      <c r="R917" s="1141" t="n">
        <v>164738.259</v>
      </c>
      <c r="S917" s="846" t="n">
        <f aca="false">R917/H915</f>
        <v>6210</v>
      </c>
      <c r="T917" s="943"/>
      <c r="U917" s="842"/>
    </row>
    <row r="918" customFormat="false" ht="15" hidden="false" customHeight="true" outlineLevel="0" collapsed="false">
      <c r="A918" s="847" t="n">
        <v>27</v>
      </c>
      <c r="B918" s="847" t="s">
        <v>2230</v>
      </c>
      <c r="C918" s="847" t="n">
        <v>2024</v>
      </c>
      <c r="D918" s="848" t="s">
        <v>15</v>
      </c>
      <c r="E918" s="848" t="s">
        <v>2192</v>
      </c>
      <c r="F918" s="848" t="s">
        <v>2199</v>
      </c>
      <c r="G918" s="849"/>
      <c r="H918" s="949" t="n">
        <v>48.1318</v>
      </c>
      <c r="I918" s="950"/>
      <c r="J918" s="950"/>
      <c r="K918" s="852" t="n">
        <f aca="false">H918*I918/100</f>
        <v>0</v>
      </c>
      <c r="L918" s="537" t="n">
        <v>3650</v>
      </c>
      <c r="M918" s="1007" t="n">
        <v>1</v>
      </c>
      <c r="N918" s="1143" t="n">
        <f aca="false">L918*M918</f>
        <v>3650</v>
      </c>
      <c r="O918" s="1606" t="n">
        <f aca="false">H918*N918</f>
        <v>175681.07</v>
      </c>
      <c r="P918" s="856" t="s">
        <v>2197</v>
      </c>
      <c r="Q918" s="1008" t="s">
        <v>2648</v>
      </c>
      <c r="R918" s="1512" t="n">
        <v>175681.07</v>
      </c>
      <c r="S918" s="891" t="n">
        <f aca="false">R918/H918</f>
        <v>3650</v>
      </c>
      <c r="T918" s="537" t="n">
        <f aca="false">O918-R918</f>
        <v>0</v>
      </c>
      <c r="U918" s="537" t="n">
        <f aca="false">N918-S918</f>
        <v>0</v>
      </c>
    </row>
    <row r="919" customFormat="false" ht="15" hidden="false" customHeight="true" outlineLevel="0" collapsed="false">
      <c r="A919" s="903" t="n">
        <v>129</v>
      </c>
      <c r="B919" s="903" t="s">
        <v>81</v>
      </c>
      <c r="C919" s="903" t="n">
        <v>2024</v>
      </c>
      <c r="D919" s="904" t="s">
        <v>15</v>
      </c>
      <c r="E919" s="904" t="s">
        <v>2192</v>
      </c>
      <c r="F919" s="904" t="s">
        <v>2199</v>
      </c>
      <c r="G919" s="905"/>
      <c r="H919" s="946" t="n">
        <v>57</v>
      </c>
      <c r="I919" s="947"/>
      <c r="J919" s="947"/>
      <c r="K919" s="939" t="n">
        <f aca="false">H919*I919/100</f>
        <v>0</v>
      </c>
      <c r="L919" s="942" t="n">
        <v>16740</v>
      </c>
      <c r="M919" s="1023" t="n">
        <v>1</v>
      </c>
      <c r="N919" s="1137" t="n">
        <f aca="false">L919*M919</f>
        <v>16740</v>
      </c>
      <c r="O919" s="1551" t="n">
        <f aca="false">H919*N919</f>
        <v>954180</v>
      </c>
      <c r="P919" s="910" t="s">
        <v>2200</v>
      </c>
      <c r="Q919" s="1057" t="s">
        <v>2649</v>
      </c>
      <c r="R919" s="1538" t="n">
        <v>954180</v>
      </c>
      <c r="S919" s="877" t="n">
        <f aca="false">R919/H919</f>
        <v>16740</v>
      </c>
      <c r="T919" s="942" t="n">
        <f aca="false">O919-R919</f>
        <v>0</v>
      </c>
      <c r="U919" s="942" t="n">
        <f aca="false">N919-S919</f>
        <v>0</v>
      </c>
    </row>
    <row r="920" customFormat="false" ht="15" hidden="false" customHeight="true" outlineLevel="0" collapsed="false">
      <c r="A920" s="882" t="n">
        <v>101</v>
      </c>
      <c r="B920" s="1173" t="s">
        <v>86</v>
      </c>
      <c r="C920" s="1173" t="n">
        <v>2024</v>
      </c>
      <c r="D920" s="831" t="s">
        <v>15</v>
      </c>
      <c r="E920" s="831" t="s">
        <v>2192</v>
      </c>
      <c r="F920" s="831" t="s">
        <v>1650</v>
      </c>
      <c r="G920" s="1108"/>
      <c r="H920" s="1109" t="n">
        <v>88.6</v>
      </c>
      <c r="I920" s="1110"/>
      <c r="J920" s="1110"/>
      <c r="K920" s="1111" t="n">
        <f aca="false">H920*I920/100</f>
        <v>0</v>
      </c>
      <c r="L920" s="1114" t="n">
        <v>7490</v>
      </c>
      <c r="M920" s="1113" t="n">
        <v>1</v>
      </c>
      <c r="N920" s="1114" t="n">
        <f aca="false">L920*M920</f>
        <v>7490</v>
      </c>
      <c r="O920" s="1371" t="n">
        <f aca="false">H920*N920</f>
        <v>663614</v>
      </c>
      <c r="P920" s="838" t="s">
        <v>2197</v>
      </c>
      <c r="Q920" s="1004" t="s">
        <v>2650</v>
      </c>
      <c r="R920" s="1537" t="n">
        <v>13290</v>
      </c>
      <c r="S920" s="886" t="n">
        <f aca="false">R920/H920</f>
        <v>150</v>
      </c>
      <c r="T920" s="1371" t="n">
        <f aca="false">O920-R920-R922-R921</f>
        <v>0</v>
      </c>
      <c r="U920" s="1176" t="n">
        <f aca="false">N920-S920-S922-S921</f>
        <v>0</v>
      </c>
    </row>
    <row r="921" customFormat="false" ht="15" hidden="false" customHeight="true" outlineLevel="0" collapsed="false">
      <c r="A921" s="882"/>
      <c r="B921" s="1173"/>
      <c r="C921" s="1173"/>
      <c r="D921" s="848" t="s">
        <v>15</v>
      </c>
      <c r="E921" s="848" t="s">
        <v>2192</v>
      </c>
      <c r="F921" s="831"/>
      <c r="G921" s="1108"/>
      <c r="H921" s="1109"/>
      <c r="I921" s="1110"/>
      <c r="J921" s="1110"/>
      <c r="K921" s="1111"/>
      <c r="L921" s="1114"/>
      <c r="M921" s="1113"/>
      <c r="N921" s="1114"/>
      <c r="O921" s="1371"/>
      <c r="P921" s="856" t="s">
        <v>2193</v>
      </c>
      <c r="Q921" s="1008" t="s">
        <v>2651</v>
      </c>
      <c r="R921" s="1512" t="n">
        <v>597164</v>
      </c>
      <c r="S921" s="866" t="n">
        <f aca="false">R921/H920</f>
        <v>6740</v>
      </c>
      <c r="T921" s="1371"/>
      <c r="U921" s="1176"/>
    </row>
    <row r="922" customFormat="false" ht="15" hidden="false" customHeight="true" outlineLevel="0" collapsed="false">
      <c r="A922" s="882"/>
      <c r="B922" s="1173"/>
      <c r="C922" s="1173"/>
      <c r="D922" s="848" t="s">
        <v>15</v>
      </c>
      <c r="E922" s="848" t="s">
        <v>2192</v>
      </c>
      <c r="F922" s="831"/>
      <c r="G922" s="1108"/>
      <c r="H922" s="1109"/>
      <c r="I922" s="1110"/>
      <c r="J922" s="1110"/>
      <c r="K922" s="1111"/>
      <c r="L922" s="1114"/>
      <c r="M922" s="1113"/>
      <c r="N922" s="1114"/>
      <c r="O922" s="1371"/>
      <c r="P922" s="856" t="s">
        <v>2232</v>
      </c>
      <c r="Q922" s="1008" t="s">
        <v>106</v>
      </c>
      <c r="R922" s="1512" t="n">
        <v>53160</v>
      </c>
      <c r="S922" s="866" t="n">
        <f aca="false">R922/H920</f>
        <v>600</v>
      </c>
      <c r="T922" s="1371"/>
      <c r="U922" s="1176"/>
    </row>
    <row r="923" customFormat="false" ht="15" hidden="false" customHeight="true" outlineLevel="0" collapsed="false">
      <c r="A923" s="882"/>
      <c r="B923" s="1155" t="s">
        <v>86</v>
      </c>
      <c r="C923" s="1155" t="n">
        <v>2024</v>
      </c>
      <c r="D923" s="1156" t="s">
        <v>15</v>
      </c>
      <c r="E923" s="1156" t="s">
        <v>2242</v>
      </c>
      <c r="F923" s="1156"/>
      <c r="G923" s="1157"/>
      <c r="H923" s="1389" t="n">
        <v>65.5</v>
      </c>
      <c r="I923" s="1159"/>
      <c r="J923" s="1159"/>
      <c r="K923" s="1160" t="n">
        <f aca="false">H923*I923/100</f>
        <v>0</v>
      </c>
      <c r="L923" s="1163" t="n">
        <v>466</v>
      </c>
      <c r="M923" s="1162" t="n">
        <v>1</v>
      </c>
      <c r="N923" s="1321" t="n">
        <f aca="false">L923*M923</f>
        <v>466</v>
      </c>
      <c r="O923" s="1616" t="n">
        <f aca="false">H923*N923</f>
        <v>30523</v>
      </c>
      <c r="P923" s="1165"/>
      <c r="Q923" s="1343"/>
      <c r="R923" s="1614"/>
      <c r="S923" s="1218"/>
      <c r="T923" s="1617" t="n">
        <f aca="false">O923-R923</f>
        <v>30523</v>
      </c>
      <c r="U923" s="1170" t="n">
        <f aca="false">N923-S923</f>
        <v>466</v>
      </c>
    </row>
    <row r="924" customFormat="false" ht="15" hidden="false" customHeight="true" outlineLevel="0" collapsed="false">
      <c r="A924" s="882"/>
      <c r="B924" s="1155" t="s">
        <v>86</v>
      </c>
      <c r="C924" s="1155" t="n">
        <v>2024</v>
      </c>
      <c r="D924" s="1156" t="s">
        <v>15</v>
      </c>
      <c r="E924" s="1156" t="s">
        <v>2203</v>
      </c>
      <c r="F924" s="1156"/>
      <c r="G924" s="1157"/>
      <c r="H924" s="1389" t="n">
        <v>51.6</v>
      </c>
      <c r="I924" s="1159"/>
      <c r="J924" s="1159"/>
      <c r="K924" s="1160" t="n">
        <f aca="false">H924*I924/100</f>
        <v>0</v>
      </c>
      <c r="L924" s="1163" t="n">
        <v>2176</v>
      </c>
      <c r="M924" s="1162" t="n">
        <v>1</v>
      </c>
      <c r="N924" s="1321" t="n">
        <f aca="false">L924*M924</f>
        <v>2176</v>
      </c>
      <c r="O924" s="1616" t="n">
        <f aca="false">H924*N924</f>
        <v>112281.6</v>
      </c>
      <c r="P924" s="1165"/>
      <c r="Q924" s="1343"/>
      <c r="R924" s="1614"/>
      <c r="S924" s="1218"/>
      <c r="T924" s="1617" t="n">
        <f aca="false">O924-R924</f>
        <v>112281.6</v>
      </c>
      <c r="U924" s="1170" t="n">
        <f aca="false">N924-S924</f>
        <v>2176</v>
      </c>
    </row>
    <row r="925" customFormat="false" ht="15" hidden="false" customHeight="true" outlineLevel="0" collapsed="false">
      <c r="A925" s="882"/>
      <c r="B925" s="1155" t="s">
        <v>86</v>
      </c>
      <c r="C925" s="1155" t="n">
        <v>2024</v>
      </c>
      <c r="D925" s="1156" t="s">
        <v>15</v>
      </c>
      <c r="E925" s="1156" t="s">
        <v>2241</v>
      </c>
      <c r="F925" s="1156"/>
      <c r="G925" s="1157"/>
      <c r="H925" s="1389" t="n">
        <v>19</v>
      </c>
      <c r="I925" s="1159"/>
      <c r="J925" s="1159"/>
      <c r="K925" s="1160" t="n">
        <f aca="false">H925*I925/100</f>
        <v>0</v>
      </c>
      <c r="L925" s="1163" t="n">
        <v>2277</v>
      </c>
      <c r="M925" s="1162" t="n">
        <v>1</v>
      </c>
      <c r="N925" s="1321" t="n">
        <f aca="false">L925*M925</f>
        <v>2277</v>
      </c>
      <c r="O925" s="1616" t="n">
        <f aca="false">H925*N925</f>
        <v>43263</v>
      </c>
      <c r="P925" s="1165"/>
      <c r="Q925" s="1343"/>
      <c r="R925" s="1614"/>
      <c r="S925" s="1218"/>
      <c r="T925" s="1617" t="n">
        <f aca="false">O925-R925</f>
        <v>43263</v>
      </c>
      <c r="U925" s="1170" t="n">
        <f aca="false">N925-S925</f>
        <v>2277</v>
      </c>
    </row>
    <row r="926" customFormat="false" ht="15" hidden="false" customHeight="true" outlineLevel="0" collapsed="false">
      <c r="A926" s="882"/>
      <c r="B926" s="1481" t="s">
        <v>86</v>
      </c>
      <c r="C926" s="1481" t="n">
        <v>2024</v>
      </c>
      <c r="D926" s="1482" t="s">
        <v>15</v>
      </c>
      <c r="E926" s="1482" t="s">
        <v>2205</v>
      </c>
      <c r="F926" s="1482"/>
      <c r="G926" s="1484"/>
      <c r="H926" s="1514" t="n">
        <v>30.2</v>
      </c>
      <c r="I926" s="1618"/>
      <c r="J926" s="1618"/>
      <c r="K926" s="1244" t="n">
        <f aca="false">H926*I926/100</f>
        <v>0</v>
      </c>
      <c r="L926" s="1492" t="n">
        <v>3835</v>
      </c>
      <c r="M926" s="1488" t="n">
        <v>1</v>
      </c>
      <c r="N926" s="1487" t="n">
        <f aca="false">L926*M926</f>
        <v>3835</v>
      </c>
      <c r="O926" s="1619" t="n">
        <f aca="false">H926*N926</f>
        <v>115817</v>
      </c>
      <c r="P926" s="1489"/>
      <c r="Q926" s="1565"/>
      <c r="R926" s="1620"/>
      <c r="S926" s="1250"/>
      <c r="T926" s="1621" t="n">
        <f aca="false">O926-R926</f>
        <v>115817</v>
      </c>
      <c r="U926" s="1493" t="n">
        <f aca="false">N926-S926</f>
        <v>3835</v>
      </c>
    </row>
    <row r="927" customFormat="false" ht="15" hidden="false" customHeight="true" outlineLevel="0" collapsed="false">
      <c r="A927" s="847" t="n">
        <v>135</v>
      </c>
      <c r="B927" s="847" t="s">
        <v>81</v>
      </c>
      <c r="C927" s="847" t="n">
        <v>2024</v>
      </c>
      <c r="D927" s="848" t="s">
        <v>15</v>
      </c>
      <c r="E927" s="848" t="s">
        <v>2192</v>
      </c>
      <c r="F927" s="848" t="s">
        <v>2199</v>
      </c>
      <c r="G927" s="849"/>
      <c r="H927" s="949" t="n">
        <v>64.2</v>
      </c>
      <c r="I927" s="950"/>
      <c r="J927" s="950"/>
      <c r="K927" s="852" t="n">
        <f aca="false">H927*I927/100</f>
        <v>0</v>
      </c>
      <c r="L927" s="537" t="n">
        <v>14220</v>
      </c>
      <c r="M927" s="1007" t="n">
        <v>1</v>
      </c>
      <c r="N927" s="1143" t="n">
        <f aca="false">L927*M927</f>
        <v>14220</v>
      </c>
      <c r="O927" s="1606" t="n">
        <f aca="false">H927*N927</f>
        <v>912924</v>
      </c>
      <c r="P927" s="856" t="s">
        <v>2200</v>
      </c>
      <c r="Q927" s="1008" t="s">
        <v>2293</v>
      </c>
      <c r="R927" s="1512" t="n">
        <v>912924</v>
      </c>
      <c r="S927" s="891" t="n">
        <f aca="false">R927/H927</f>
        <v>14220</v>
      </c>
      <c r="T927" s="1347" t="n">
        <f aca="false">O927-R927</f>
        <v>0</v>
      </c>
      <c r="U927" s="537" t="n">
        <f aca="false">N927-S927</f>
        <v>0</v>
      </c>
    </row>
    <row r="928" customFormat="false" ht="15" hidden="false" customHeight="true" outlineLevel="0" collapsed="false">
      <c r="A928" s="870" t="n">
        <v>42</v>
      </c>
      <c r="B928" s="870" t="s">
        <v>2230</v>
      </c>
      <c r="C928" s="870" t="n">
        <v>2024</v>
      </c>
      <c r="D928" s="871" t="s">
        <v>15</v>
      </c>
      <c r="E928" s="871" t="s">
        <v>2192</v>
      </c>
      <c r="F928" s="871" t="s">
        <v>2199</v>
      </c>
      <c r="G928" s="872"/>
      <c r="H928" s="1116" t="n">
        <v>52.3816</v>
      </c>
      <c r="I928" s="1117"/>
      <c r="J928" s="1117"/>
      <c r="K928" s="875" t="n">
        <f aca="false">H928*I928/100</f>
        <v>0</v>
      </c>
      <c r="L928" s="553" t="n">
        <v>7025</v>
      </c>
      <c r="M928" s="1000" t="n">
        <v>1</v>
      </c>
      <c r="N928" s="1301" t="n">
        <f aca="false">L928*M928</f>
        <v>7025</v>
      </c>
      <c r="O928" s="1402" t="n">
        <f aca="false">H928*N928</f>
        <v>367980.74</v>
      </c>
      <c r="P928" s="879" t="s">
        <v>2197</v>
      </c>
      <c r="Q928" s="1013" t="s">
        <v>2652</v>
      </c>
      <c r="R928" s="1543" t="n">
        <v>367980.74</v>
      </c>
      <c r="S928" s="877" t="n">
        <f aca="false">R928/H928</f>
        <v>7025</v>
      </c>
      <c r="T928" s="1014" t="n">
        <f aca="false">O928-R928</f>
        <v>0</v>
      </c>
      <c r="U928" s="553" t="n">
        <f aca="false">N928-S928</f>
        <v>0</v>
      </c>
    </row>
    <row r="929" customFormat="false" ht="15" hidden="false" customHeight="true" outlineLevel="0" collapsed="false">
      <c r="A929" s="829" t="n">
        <v>141</v>
      </c>
      <c r="B929" s="830" t="s">
        <v>2207</v>
      </c>
      <c r="C929" s="830" t="n">
        <v>2024</v>
      </c>
      <c r="D929" s="831" t="s">
        <v>15</v>
      </c>
      <c r="E929" s="831" t="s">
        <v>2192</v>
      </c>
      <c r="F929" s="832" t="s">
        <v>1651</v>
      </c>
      <c r="G929" s="833"/>
      <c r="H929" s="834" t="n">
        <v>32.7626</v>
      </c>
      <c r="I929" s="835"/>
      <c r="J929" s="835"/>
      <c r="K929" s="836" t="n">
        <f aca="false">H929*I929/100</f>
        <v>0</v>
      </c>
      <c r="L929" s="837" t="n">
        <v>18227</v>
      </c>
      <c r="M929" s="1003" t="n">
        <v>1</v>
      </c>
      <c r="N929" s="837" t="n">
        <f aca="false">L929*M929</f>
        <v>18227</v>
      </c>
      <c r="O929" s="943" t="n">
        <f aca="false">H929*N929</f>
        <v>597163.9102</v>
      </c>
      <c r="P929" s="838" t="s">
        <v>2197</v>
      </c>
      <c r="Q929" s="1004" t="s">
        <v>2653</v>
      </c>
      <c r="R929" s="1537" t="n">
        <v>157260.48</v>
      </c>
      <c r="S929" s="886" t="n">
        <f aca="false">R929/H929</f>
        <v>4800</v>
      </c>
      <c r="T929" s="837" t="n">
        <f aca="false">O929-R929-R931-R932-R930</f>
        <v>0.000199999922187999</v>
      </c>
      <c r="U929" s="842" t="n">
        <f aca="false">N929-S929-S931-S932-S930</f>
        <v>6.10452116234228E-006</v>
      </c>
    </row>
    <row r="930" customFormat="false" ht="15" hidden="false" customHeight="true" outlineLevel="0" collapsed="false">
      <c r="A930" s="829"/>
      <c r="B930" s="830"/>
      <c r="C930" s="830"/>
      <c r="D930" s="848" t="s">
        <v>15</v>
      </c>
      <c r="E930" s="848" t="s">
        <v>2192</v>
      </c>
      <c r="F930" s="832"/>
      <c r="G930" s="833"/>
      <c r="H930" s="834"/>
      <c r="I930" s="835"/>
      <c r="J930" s="835"/>
      <c r="K930" s="836"/>
      <c r="L930" s="837"/>
      <c r="M930" s="1003"/>
      <c r="N930" s="837"/>
      <c r="O930" s="943"/>
      <c r="P930" s="856" t="s">
        <v>2197</v>
      </c>
      <c r="Q930" s="1008" t="s">
        <v>2654</v>
      </c>
      <c r="R930" s="1512" t="n">
        <v>226946.53</v>
      </c>
      <c r="S930" s="866" t="n">
        <f aca="false">R930/H929</f>
        <v>6926.99999389548</v>
      </c>
      <c r="T930" s="837"/>
      <c r="U930" s="842"/>
    </row>
    <row r="931" customFormat="false" ht="15" hidden="false" customHeight="true" outlineLevel="0" collapsed="false">
      <c r="A931" s="829"/>
      <c r="B931" s="830"/>
      <c r="C931" s="830"/>
      <c r="D931" s="860" t="s">
        <v>15</v>
      </c>
      <c r="E931" s="860" t="s">
        <v>2192</v>
      </c>
      <c r="F931" s="832"/>
      <c r="G931" s="833"/>
      <c r="H931" s="834"/>
      <c r="I931" s="835"/>
      <c r="J931" s="835"/>
      <c r="K931" s="836"/>
      <c r="L931" s="837"/>
      <c r="M931" s="1003"/>
      <c r="N931" s="837"/>
      <c r="O931" s="943"/>
      <c r="P931" s="868" t="s">
        <v>2197</v>
      </c>
      <c r="Q931" s="1011" t="s">
        <v>2655</v>
      </c>
      <c r="R931" s="1383" t="n">
        <v>26210.08</v>
      </c>
      <c r="S931" s="866" t="n">
        <f aca="false">R931/H929</f>
        <v>800</v>
      </c>
      <c r="T931" s="837"/>
      <c r="U931" s="842"/>
    </row>
    <row r="932" customFormat="false" ht="15" hidden="false" customHeight="true" outlineLevel="0" collapsed="false">
      <c r="A932" s="829"/>
      <c r="B932" s="830"/>
      <c r="C932" s="830"/>
      <c r="D932" s="843" t="s">
        <v>15</v>
      </c>
      <c r="E932" s="843" t="s">
        <v>2192</v>
      </c>
      <c r="F932" s="832"/>
      <c r="G932" s="833"/>
      <c r="H932" s="834"/>
      <c r="I932" s="835"/>
      <c r="J932" s="835"/>
      <c r="K932" s="836"/>
      <c r="L932" s="837"/>
      <c r="M932" s="1003"/>
      <c r="N932" s="837"/>
      <c r="O932" s="943"/>
      <c r="P932" s="844" t="s">
        <v>2197</v>
      </c>
      <c r="Q932" s="1005" t="s">
        <v>2656</v>
      </c>
      <c r="R932" s="1539" t="n">
        <v>186746.82</v>
      </c>
      <c r="S932" s="1142" t="n">
        <f aca="false">R932/H929</f>
        <v>5700</v>
      </c>
      <c r="T932" s="837"/>
      <c r="U932" s="842"/>
    </row>
    <row r="933" customFormat="false" ht="15" hidden="false" customHeight="true" outlineLevel="0" collapsed="false">
      <c r="A933" s="881" t="n">
        <v>113</v>
      </c>
      <c r="B933" s="882" t="s">
        <v>86</v>
      </c>
      <c r="C933" s="883" t="n">
        <v>2024</v>
      </c>
      <c r="D933" s="831" t="s">
        <v>15</v>
      </c>
      <c r="E933" s="831" t="s">
        <v>2192</v>
      </c>
      <c r="F933" s="832" t="s">
        <v>1650</v>
      </c>
      <c r="G933" s="833"/>
      <c r="H933" s="834" t="n">
        <v>85.2</v>
      </c>
      <c r="I933" s="835"/>
      <c r="J933" s="835"/>
      <c r="K933" s="836" t="n">
        <f aca="false">H933*I933/100</f>
        <v>0</v>
      </c>
      <c r="L933" s="837" t="n">
        <v>8786</v>
      </c>
      <c r="M933" s="1003" t="n">
        <v>1</v>
      </c>
      <c r="N933" s="837" t="n">
        <f aca="false">L933*M933</f>
        <v>8786</v>
      </c>
      <c r="O933" s="1120" t="n">
        <f aca="false">H933*N933</f>
        <v>748567.2</v>
      </c>
      <c r="P933" s="884" t="s">
        <v>2193</v>
      </c>
      <c r="Q933" s="1015" t="s">
        <v>2657</v>
      </c>
      <c r="R933" s="1541" t="n">
        <v>234300</v>
      </c>
      <c r="S933" s="886" t="n">
        <f aca="false">R933/H933</f>
        <v>2750</v>
      </c>
      <c r="T933" s="841" t="n">
        <f aca="false">O933-R933-R935-R934</f>
        <v>0</v>
      </c>
      <c r="U933" s="842" t="n">
        <f aca="false">N933-S933-S935-S934</f>
        <v>0</v>
      </c>
    </row>
    <row r="934" customFormat="false" ht="15" hidden="false" customHeight="true" outlineLevel="0" collapsed="false">
      <c r="A934" s="881"/>
      <c r="B934" s="882"/>
      <c r="C934" s="883"/>
      <c r="D934" s="860" t="s">
        <v>15</v>
      </c>
      <c r="E934" s="860" t="s">
        <v>2192</v>
      </c>
      <c r="F934" s="832"/>
      <c r="G934" s="833"/>
      <c r="H934" s="834"/>
      <c r="I934" s="835"/>
      <c r="J934" s="835"/>
      <c r="K934" s="836"/>
      <c r="L934" s="837"/>
      <c r="M934" s="1003"/>
      <c r="N934" s="837"/>
      <c r="O934" s="1120"/>
      <c r="P934" s="868" t="s">
        <v>2193</v>
      </c>
      <c r="Q934" s="1011" t="s">
        <v>2264</v>
      </c>
      <c r="R934" s="1383" t="n">
        <v>258667.2</v>
      </c>
      <c r="S934" s="866" t="n">
        <f aca="false">R934/H933</f>
        <v>3036</v>
      </c>
      <c r="T934" s="841"/>
      <c r="U934" s="842"/>
    </row>
    <row r="935" customFormat="false" ht="15" hidden="false" customHeight="true" outlineLevel="0" collapsed="false">
      <c r="A935" s="881"/>
      <c r="B935" s="882"/>
      <c r="C935" s="883"/>
      <c r="D935" s="887" t="s">
        <v>15</v>
      </c>
      <c r="E935" s="887" t="s">
        <v>2192</v>
      </c>
      <c r="F935" s="832"/>
      <c r="G935" s="833"/>
      <c r="H935" s="834"/>
      <c r="I935" s="835"/>
      <c r="J935" s="835"/>
      <c r="K935" s="836"/>
      <c r="L935" s="837"/>
      <c r="M935" s="1003"/>
      <c r="N935" s="837"/>
      <c r="O935" s="1120"/>
      <c r="P935" s="888" t="s">
        <v>2193</v>
      </c>
      <c r="Q935" s="1364" t="s">
        <v>2658</v>
      </c>
      <c r="R935" s="1141" t="n">
        <v>255600</v>
      </c>
      <c r="S935" s="890" t="n">
        <f aca="false">R935/H933</f>
        <v>3000</v>
      </c>
      <c r="T935" s="841"/>
      <c r="U935" s="842"/>
    </row>
    <row r="936" customFormat="false" ht="15" hidden="false" customHeight="true" outlineLevel="0" collapsed="false">
      <c r="A936" s="881"/>
      <c r="B936" s="1155" t="s">
        <v>86</v>
      </c>
      <c r="C936" s="1155" t="n">
        <v>2024</v>
      </c>
      <c r="D936" s="1156" t="s">
        <v>15</v>
      </c>
      <c r="E936" s="1156" t="s">
        <v>2203</v>
      </c>
      <c r="F936" s="1156"/>
      <c r="G936" s="1157"/>
      <c r="H936" s="1389" t="n">
        <v>46.2</v>
      </c>
      <c r="I936" s="1159"/>
      <c r="J936" s="1159"/>
      <c r="K936" s="1160" t="n">
        <f aca="false">H936*I936/100</f>
        <v>0</v>
      </c>
      <c r="L936" s="1163" t="n">
        <v>2386</v>
      </c>
      <c r="M936" s="1162" t="n">
        <v>1</v>
      </c>
      <c r="N936" s="1321" t="n">
        <f aca="false">L936*M936</f>
        <v>2386</v>
      </c>
      <c r="O936" s="1391" t="n">
        <f aca="false">H936*N936</f>
        <v>110233.2</v>
      </c>
      <c r="P936" s="1165"/>
      <c r="Q936" s="1343"/>
      <c r="R936" s="1614"/>
      <c r="S936" s="1168"/>
      <c r="T936" s="1163" t="n">
        <f aca="false">O936-R936</f>
        <v>110233.2</v>
      </c>
      <c r="U936" s="1170" t="n">
        <f aca="false">N936-S936</f>
        <v>2386</v>
      </c>
    </row>
    <row r="937" customFormat="false" ht="15" hidden="false" customHeight="true" outlineLevel="0" collapsed="false">
      <c r="A937" s="881"/>
      <c r="B937" s="1207" t="s">
        <v>86</v>
      </c>
      <c r="C937" s="1207" t="n">
        <v>2024</v>
      </c>
      <c r="D937" s="1208" t="s">
        <v>15</v>
      </c>
      <c r="E937" s="1208" t="s">
        <v>2241</v>
      </c>
      <c r="F937" s="1208"/>
      <c r="G937" s="1209"/>
      <c r="H937" s="1210" t="n">
        <v>38.1</v>
      </c>
      <c r="I937" s="1211"/>
      <c r="J937" s="1211"/>
      <c r="K937" s="1160" t="n">
        <f aca="false">H937*I937/100</f>
        <v>0</v>
      </c>
      <c r="L937" s="1219" t="n">
        <v>1470</v>
      </c>
      <c r="M937" s="1214" t="n">
        <v>1</v>
      </c>
      <c r="N937" s="1321" t="n">
        <f aca="false">L937*M937</f>
        <v>1470</v>
      </c>
      <c r="O937" s="1391" t="n">
        <f aca="false">H937*N937</f>
        <v>56007</v>
      </c>
      <c r="P937" s="1216"/>
      <c r="Q937" s="1399"/>
      <c r="R937" s="1615"/>
      <c r="S937" s="1218"/>
      <c r="T937" s="1163" t="n">
        <f aca="false">O937-R937</f>
        <v>56007</v>
      </c>
      <c r="U937" s="1170" t="n">
        <f aca="false">N937-S937</f>
        <v>1470</v>
      </c>
    </row>
    <row r="938" customFormat="false" ht="15" hidden="false" customHeight="true" outlineLevel="0" collapsed="false">
      <c r="A938" s="881"/>
      <c r="B938" s="1239" t="s">
        <v>86</v>
      </c>
      <c r="C938" s="1239" t="n">
        <v>2024</v>
      </c>
      <c r="D938" s="1240" t="s">
        <v>15</v>
      </c>
      <c r="E938" s="1240" t="s">
        <v>2205</v>
      </c>
      <c r="F938" s="1240"/>
      <c r="G938" s="1241"/>
      <c r="H938" s="1242" t="n">
        <v>0</v>
      </c>
      <c r="I938" s="1243"/>
      <c r="J938" s="1243"/>
      <c r="K938" s="1486" t="n">
        <f aca="false">H938*I938/100</f>
        <v>0</v>
      </c>
      <c r="L938" s="1251" t="n">
        <v>465</v>
      </c>
      <c r="M938" s="1246" t="n">
        <v>1</v>
      </c>
      <c r="N938" s="1487" t="n">
        <f aca="false">L938*M938</f>
        <v>465</v>
      </c>
      <c r="O938" s="1519" t="n">
        <f aca="false">H938*N938</f>
        <v>0</v>
      </c>
      <c r="P938" s="1248"/>
      <c r="Q938" s="1622"/>
      <c r="R938" s="1623"/>
      <c r="S938" s="1250"/>
      <c r="T938" s="1492" t="n">
        <f aca="false">O938-R938</f>
        <v>0</v>
      </c>
      <c r="U938" s="1493" t="n">
        <f aca="false">N938-S938</f>
        <v>465</v>
      </c>
    </row>
    <row r="939" customFormat="false" ht="15" hidden="false" customHeight="true" outlineLevel="0" collapsed="false">
      <c r="A939" s="1087" t="n">
        <v>158</v>
      </c>
      <c r="B939" s="1061" t="s">
        <v>2207</v>
      </c>
      <c r="C939" s="1061" t="n">
        <v>2024</v>
      </c>
      <c r="D939" s="848" t="s">
        <v>15</v>
      </c>
      <c r="E939" s="848" t="s">
        <v>2192</v>
      </c>
      <c r="F939" s="887" t="s">
        <v>1651</v>
      </c>
      <c r="G939" s="1062"/>
      <c r="H939" s="1077" t="n">
        <v>21.527</v>
      </c>
      <c r="I939" s="1086"/>
      <c r="J939" s="1086"/>
      <c r="K939" s="1064" t="n">
        <f aca="false">H939*I939/100</f>
        <v>0</v>
      </c>
      <c r="L939" s="1067" t="n">
        <v>10884</v>
      </c>
      <c r="M939" s="1066" t="n">
        <v>1</v>
      </c>
      <c r="N939" s="1067" t="n">
        <f aca="false">L939*M939</f>
        <v>10884</v>
      </c>
      <c r="O939" s="1172" t="n">
        <f aca="false">H939*N939</f>
        <v>234299.868</v>
      </c>
      <c r="P939" s="856" t="s">
        <v>2197</v>
      </c>
      <c r="Q939" s="1008" t="s">
        <v>2659</v>
      </c>
      <c r="R939" s="1512" t="n">
        <v>163389.93</v>
      </c>
      <c r="S939" s="891" t="n">
        <f aca="false">R939/H939</f>
        <v>7590</v>
      </c>
      <c r="T939" s="1172" t="n">
        <f aca="false">O939-R939-R940</f>
        <v>0</v>
      </c>
      <c r="U939" s="1070" t="n">
        <f aca="false">N939-S939-S940</f>
        <v>0</v>
      </c>
    </row>
    <row r="940" customFormat="false" ht="15" hidden="false" customHeight="true" outlineLevel="0" collapsed="false">
      <c r="A940" s="1087"/>
      <c r="B940" s="1061"/>
      <c r="C940" s="1061"/>
      <c r="D940" s="887" t="s">
        <v>15</v>
      </c>
      <c r="E940" s="887" t="s">
        <v>2192</v>
      </c>
      <c r="F940" s="887"/>
      <c r="G940" s="1062"/>
      <c r="H940" s="1077"/>
      <c r="I940" s="1086"/>
      <c r="J940" s="1086"/>
      <c r="K940" s="1064"/>
      <c r="L940" s="1067"/>
      <c r="M940" s="1066"/>
      <c r="N940" s="1067"/>
      <c r="O940" s="1172"/>
      <c r="P940" s="888" t="s">
        <v>2197</v>
      </c>
      <c r="Q940" s="1364" t="s">
        <v>2660</v>
      </c>
      <c r="R940" s="1141" t="n">
        <v>70909.938</v>
      </c>
      <c r="S940" s="846" t="n">
        <f aca="false">R940/H939</f>
        <v>3294</v>
      </c>
      <c r="T940" s="1172"/>
      <c r="U940" s="1070"/>
    </row>
    <row r="941" customFormat="false" ht="15" hidden="false" customHeight="true" outlineLevel="0" collapsed="false">
      <c r="A941" s="829" t="n">
        <v>159</v>
      </c>
      <c r="B941" s="830" t="s">
        <v>2207</v>
      </c>
      <c r="C941" s="830" t="n">
        <v>2024</v>
      </c>
      <c r="D941" s="831" t="s">
        <v>15</v>
      </c>
      <c r="E941" s="831" t="s">
        <v>2192</v>
      </c>
      <c r="F941" s="832" t="s">
        <v>1651</v>
      </c>
      <c r="G941" s="833"/>
      <c r="H941" s="834" t="n">
        <v>31.1631</v>
      </c>
      <c r="I941" s="835"/>
      <c r="J941" s="835"/>
      <c r="K941" s="836" t="n">
        <f aca="false">H941*I941/100</f>
        <v>0</v>
      </c>
      <c r="L941" s="837" t="n">
        <v>8202</v>
      </c>
      <c r="M941" s="1003" t="n">
        <v>1</v>
      </c>
      <c r="N941" s="837" t="n">
        <f aca="false">L941*M941</f>
        <v>8202</v>
      </c>
      <c r="O941" s="943" t="n">
        <f aca="false">H941*N941</f>
        <v>255599.7462</v>
      </c>
      <c r="P941" s="838" t="s">
        <v>2197</v>
      </c>
      <c r="Q941" s="1004" t="s">
        <v>2660</v>
      </c>
      <c r="R941" s="1537" t="n">
        <v>44874.864</v>
      </c>
      <c r="S941" s="886" t="n">
        <f aca="false">R941/H941</f>
        <v>1440</v>
      </c>
      <c r="T941" s="943" t="n">
        <f aca="false">O941-R941-R942</f>
        <v>0</v>
      </c>
      <c r="U941" s="842" t="n">
        <f aca="false">N941-S941-S942</f>
        <v>0</v>
      </c>
    </row>
    <row r="942" customFormat="false" ht="15" hidden="false" customHeight="true" outlineLevel="0" collapsed="false">
      <c r="A942" s="829"/>
      <c r="B942" s="830"/>
      <c r="C942" s="830"/>
      <c r="D942" s="887" t="s">
        <v>15</v>
      </c>
      <c r="E942" s="887" t="s">
        <v>2192</v>
      </c>
      <c r="F942" s="832"/>
      <c r="G942" s="833"/>
      <c r="H942" s="834"/>
      <c r="I942" s="835"/>
      <c r="J942" s="835"/>
      <c r="K942" s="836"/>
      <c r="L942" s="837"/>
      <c r="M942" s="1003"/>
      <c r="N942" s="837"/>
      <c r="O942" s="943"/>
      <c r="P942" s="888" t="s">
        <v>2197</v>
      </c>
      <c r="Q942" s="1364" t="s">
        <v>2661</v>
      </c>
      <c r="R942" s="1141" t="n">
        <v>210724.8822</v>
      </c>
      <c r="S942" s="846" t="n">
        <f aca="false">R942/H941</f>
        <v>6762</v>
      </c>
      <c r="T942" s="943"/>
      <c r="U942" s="842"/>
    </row>
    <row r="943" customFormat="false" ht="15" hidden="false" customHeight="true" outlineLevel="0" collapsed="false">
      <c r="A943" s="903" t="n">
        <v>187</v>
      </c>
      <c r="B943" s="903" t="s">
        <v>2207</v>
      </c>
      <c r="C943" s="903" t="n">
        <v>2024</v>
      </c>
      <c r="D943" s="904" t="s">
        <v>15</v>
      </c>
      <c r="E943" s="904" t="s">
        <v>2192</v>
      </c>
      <c r="F943" s="904" t="s">
        <v>1651</v>
      </c>
      <c r="G943" s="905"/>
      <c r="H943" s="946" t="n">
        <v>34.3059</v>
      </c>
      <c r="I943" s="947"/>
      <c r="J943" s="947"/>
      <c r="K943" s="939" t="n">
        <f aca="false">H943*I943/100</f>
        <v>0</v>
      </c>
      <c r="L943" s="942" t="n">
        <v>7540</v>
      </c>
      <c r="M943" s="1023" t="n">
        <v>1</v>
      </c>
      <c r="N943" s="1137" t="n">
        <f aca="false">L943*M943</f>
        <v>7540</v>
      </c>
      <c r="O943" s="1384" t="n">
        <f aca="false">H943*N943</f>
        <v>258666.486</v>
      </c>
      <c r="P943" s="910" t="s">
        <v>2197</v>
      </c>
      <c r="Q943" s="1057" t="s">
        <v>2404</v>
      </c>
      <c r="R943" s="1538" t="n">
        <v>258666.486</v>
      </c>
      <c r="S943" s="886" t="n">
        <f aca="false">R943/H943</f>
        <v>7540</v>
      </c>
      <c r="T943" s="942" t="n">
        <f aca="false">O943-R943</f>
        <v>0</v>
      </c>
      <c r="U943" s="942" t="n">
        <f aca="false">N943-S943</f>
        <v>0</v>
      </c>
    </row>
    <row r="944" customFormat="false" ht="15" hidden="false" customHeight="true" outlineLevel="0" collapsed="false">
      <c r="A944" s="829" t="n">
        <v>179</v>
      </c>
      <c r="B944" s="830" t="s">
        <v>81</v>
      </c>
      <c r="C944" s="830" t="n">
        <v>2024</v>
      </c>
      <c r="D944" s="831" t="s">
        <v>15</v>
      </c>
      <c r="E944" s="831" t="s">
        <v>2192</v>
      </c>
      <c r="F944" s="832" t="s">
        <v>1650</v>
      </c>
      <c r="G944" s="833"/>
      <c r="H944" s="834" t="n">
        <v>91.3</v>
      </c>
      <c r="I944" s="835"/>
      <c r="J944" s="835"/>
      <c r="K944" s="836" t="n">
        <f aca="false">H944*I944/100</f>
        <v>0</v>
      </c>
      <c r="L944" s="837" t="n">
        <v>4460</v>
      </c>
      <c r="M944" s="1003" t="n">
        <v>1</v>
      </c>
      <c r="N944" s="837" t="n">
        <f aca="false">L944*M944</f>
        <v>4460</v>
      </c>
      <c r="O944" s="943" t="n">
        <f aca="false">H944*N944</f>
        <v>407198</v>
      </c>
      <c r="P944" s="838" t="s">
        <v>2193</v>
      </c>
      <c r="Q944" s="1004" t="s">
        <v>2662</v>
      </c>
      <c r="R944" s="1537" t="n">
        <v>341462</v>
      </c>
      <c r="S944" s="840" t="n">
        <f aca="false">R944/H944</f>
        <v>3740</v>
      </c>
      <c r="T944" s="837" t="n">
        <f aca="false">O944-R944-R945</f>
        <v>0</v>
      </c>
      <c r="U944" s="842" t="n">
        <f aca="false">N944-S944-S945</f>
        <v>0</v>
      </c>
    </row>
    <row r="945" customFormat="false" ht="15" hidden="false" customHeight="true" outlineLevel="0" collapsed="false">
      <c r="A945" s="829"/>
      <c r="B945" s="830"/>
      <c r="C945" s="830"/>
      <c r="D945" s="887" t="s">
        <v>15</v>
      </c>
      <c r="E945" s="887" t="s">
        <v>2192</v>
      </c>
      <c r="F945" s="832"/>
      <c r="G945" s="833"/>
      <c r="H945" s="834"/>
      <c r="I945" s="835"/>
      <c r="J945" s="835"/>
      <c r="K945" s="836"/>
      <c r="L945" s="837"/>
      <c r="M945" s="1003"/>
      <c r="N945" s="837"/>
      <c r="O945" s="943"/>
      <c r="P945" s="888" t="s">
        <v>2193</v>
      </c>
      <c r="Q945" s="1364" t="s">
        <v>2265</v>
      </c>
      <c r="R945" s="1141" t="n">
        <v>65736</v>
      </c>
      <c r="S945" s="846" t="n">
        <f aca="false">R945/H944</f>
        <v>720</v>
      </c>
      <c r="T945" s="837"/>
      <c r="U945" s="842"/>
    </row>
    <row r="946" customFormat="false" ht="15" hidden="false" customHeight="true" outlineLevel="0" collapsed="false">
      <c r="A946" s="829" t="n">
        <v>215</v>
      </c>
      <c r="B946" s="830" t="s">
        <v>2207</v>
      </c>
      <c r="C946" s="830" t="n">
        <v>2024</v>
      </c>
      <c r="D946" s="831" t="s">
        <v>15</v>
      </c>
      <c r="E946" s="831" t="s">
        <v>2192</v>
      </c>
      <c r="F946" s="832" t="s">
        <v>1651</v>
      </c>
      <c r="G946" s="833"/>
      <c r="H946" s="1152" t="n">
        <v>28.3276</v>
      </c>
      <c r="I946" s="1624"/>
      <c r="J946" s="835"/>
      <c r="K946" s="836" t="n">
        <f aca="false">H946*I946/100</f>
        <v>0</v>
      </c>
      <c r="L946" s="837" t="n">
        <v>12054</v>
      </c>
      <c r="M946" s="1003" t="n">
        <v>1</v>
      </c>
      <c r="N946" s="837" t="n">
        <f aca="false">L946*M946</f>
        <v>12054</v>
      </c>
      <c r="O946" s="943" t="n">
        <f aca="false">H946*N946</f>
        <v>341460.8904</v>
      </c>
      <c r="P946" s="838" t="s">
        <v>2197</v>
      </c>
      <c r="Q946" s="1004" t="s">
        <v>2663</v>
      </c>
      <c r="R946" s="1537" t="n">
        <v>282992.724</v>
      </c>
      <c r="S946" s="886" t="n">
        <f aca="false">R946/H946</f>
        <v>9990</v>
      </c>
      <c r="T946" s="943" t="n">
        <f aca="false">O946-R946-R947</f>
        <v>0</v>
      </c>
      <c r="U946" s="842" t="n">
        <f aca="false">N946-S946-S947</f>
        <v>0</v>
      </c>
    </row>
    <row r="947" customFormat="false" ht="15" hidden="false" customHeight="true" outlineLevel="0" collapsed="false">
      <c r="A947" s="829"/>
      <c r="B947" s="830"/>
      <c r="C947" s="830"/>
      <c r="D947" s="887" t="s">
        <v>15</v>
      </c>
      <c r="E947" s="887" t="s">
        <v>2192</v>
      </c>
      <c r="F947" s="832"/>
      <c r="G947" s="833"/>
      <c r="H947" s="1152"/>
      <c r="I947" s="1625"/>
      <c r="J947" s="835"/>
      <c r="K947" s="836"/>
      <c r="L947" s="837"/>
      <c r="M947" s="1003"/>
      <c r="N947" s="837"/>
      <c r="O947" s="943"/>
      <c r="P947" s="888" t="s">
        <v>2197</v>
      </c>
      <c r="Q947" s="1364" t="s">
        <v>2664</v>
      </c>
      <c r="R947" s="1141" t="n">
        <v>58468.1664</v>
      </c>
      <c r="S947" s="846" t="n">
        <f aca="false">R947/H946</f>
        <v>2064</v>
      </c>
      <c r="T947" s="943"/>
      <c r="U947" s="842"/>
    </row>
    <row r="948" customFormat="false" ht="15" hidden="false" customHeight="true" outlineLevel="0" collapsed="false">
      <c r="A948" s="847" t="n">
        <v>216</v>
      </c>
      <c r="B948" s="847" t="s">
        <v>2207</v>
      </c>
      <c r="C948" s="847" t="n">
        <v>2024</v>
      </c>
      <c r="D948" s="848" t="s">
        <v>15</v>
      </c>
      <c r="E948" s="848" t="s">
        <v>2192</v>
      </c>
      <c r="F948" s="848" t="s">
        <v>1651</v>
      </c>
      <c r="G948" s="849"/>
      <c r="H948" s="949" t="n">
        <v>23.612</v>
      </c>
      <c r="I948" s="950"/>
      <c r="J948" s="950"/>
      <c r="K948" s="852" t="n">
        <f aca="false">H948*I948/100</f>
        <v>0</v>
      </c>
      <c r="L948" s="537" t="n">
        <v>2784</v>
      </c>
      <c r="M948" s="1007" t="n">
        <v>1</v>
      </c>
      <c r="N948" s="1143" t="n">
        <f aca="false">L948*M948</f>
        <v>2784</v>
      </c>
      <c r="O948" s="1386" t="n">
        <f aca="false">H948*N948</f>
        <v>65735.808</v>
      </c>
      <c r="P948" s="856" t="s">
        <v>2197</v>
      </c>
      <c r="Q948" s="1008" t="s">
        <v>2665</v>
      </c>
      <c r="R948" s="1512" t="n">
        <v>65735.808</v>
      </c>
      <c r="S948" s="886" t="n">
        <f aca="false">R948/H948</f>
        <v>2784</v>
      </c>
      <c r="T948" s="953" t="n">
        <f aca="false">O948-R948</f>
        <v>0</v>
      </c>
      <c r="U948" s="537" t="n">
        <f aca="false">N948-S948</f>
        <v>0</v>
      </c>
    </row>
    <row r="949" customFormat="false" ht="15" hidden="false" customHeight="true" outlineLevel="0" collapsed="false">
      <c r="A949" s="954" t="n">
        <v>1</v>
      </c>
      <c r="B949" s="954" t="s">
        <v>2191</v>
      </c>
      <c r="C949" s="954" t="n">
        <v>2025</v>
      </c>
      <c r="D949" s="955" t="s">
        <v>15</v>
      </c>
      <c r="E949" s="955" t="s">
        <v>2192</v>
      </c>
      <c r="F949" s="955" t="s">
        <v>1652</v>
      </c>
      <c r="G949" s="956"/>
      <c r="H949" s="957" t="n">
        <v>37.788</v>
      </c>
      <c r="I949" s="958"/>
      <c r="J949" s="958"/>
      <c r="K949" s="959" t="n">
        <f aca="false">H949*I949/100</f>
        <v>0</v>
      </c>
      <c r="L949" s="960" t="n">
        <v>796</v>
      </c>
      <c r="M949" s="1201" t="n">
        <v>1</v>
      </c>
      <c r="N949" s="1626" t="n">
        <f aca="false">L949*M949</f>
        <v>796</v>
      </c>
      <c r="O949" s="1627" t="n">
        <f aca="false">H949*N949</f>
        <v>30079.248</v>
      </c>
      <c r="P949" s="963"/>
      <c r="Q949" s="1413"/>
      <c r="R949" s="1569"/>
      <c r="S949" s="1426"/>
      <c r="T949" s="967" t="n">
        <f aca="false">O949-R949</f>
        <v>30079.248</v>
      </c>
      <c r="U949" s="960" t="n">
        <f aca="false">N949-S949</f>
        <v>796</v>
      </c>
    </row>
    <row r="950" customFormat="false" ht="15" hidden="false" customHeight="true" outlineLevel="0" collapsed="false">
      <c r="A950" s="954" t="n">
        <v>67</v>
      </c>
      <c r="B950" s="954" t="s">
        <v>2191</v>
      </c>
      <c r="C950" s="954" t="n">
        <v>2024</v>
      </c>
      <c r="D950" s="955" t="s">
        <v>15</v>
      </c>
      <c r="E950" s="955" t="s">
        <v>2192</v>
      </c>
      <c r="F950" s="955" t="s">
        <v>1651</v>
      </c>
      <c r="G950" s="956"/>
      <c r="H950" s="957" t="n">
        <v>22.5</v>
      </c>
      <c r="I950" s="958"/>
      <c r="J950" s="958"/>
      <c r="K950" s="959" t="n">
        <f aca="false">H950*I950/100</f>
        <v>0</v>
      </c>
      <c r="L950" s="960" t="n">
        <v>27</v>
      </c>
      <c r="M950" s="1201" t="n">
        <v>15</v>
      </c>
      <c r="N950" s="960" t="n">
        <f aca="false">L950*M950</f>
        <v>405</v>
      </c>
      <c r="O950" s="967" t="n">
        <f aca="false">H950*N950</f>
        <v>9112.5</v>
      </c>
      <c r="P950" s="963"/>
      <c r="Q950" s="1413"/>
      <c r="R950" s="1569"/>
      <c r="S950" s="966"/>
      <c r="T950" s="967" t="n">
        <f aca="false">O950-R950</f>
        <v>9112.5</v>
      </c>
      <c r="U950" s="960" t="n">
        <f aca="false">N950-S950</f>
        <v>405</v>
      </c>
    </row>
    <row r="951" customFormat="false" ht="15" hidden="false" customHeight="true" outlineLevel="0" collapsed="false">
      <c r="A951" s="1480"/>
      <c r="B951" s="1480"/>
      <c r="C951" s="1480"/>
      <c r="D951" s="860"/>
      <c r="E951" s="860"/>
      <c r="F951" s="860"/>
      <c r="G951" s="861"/>
      <c r="H951" s="862"/>
      <c r="I951" s="863"/>
      <c r="J951" s="863"/>
      <c r="K951" s="864"/>
      <c r="L951" s="1299"/>
      <c r="M951" s="983"/>
      <c r="N951" s="1143"/>
      <c r="O951" s="1386"/>
      <c r="P951" s="868"/>
      <c r="Q951" s="1011"/>
      <c r="R951" s="866"/>
      <c r="S951" s="866"/>
      <c r="T951" s="543"/>
      <c r="U951" s="543"/>
    </row>
    <row r="952" customFormat="false" ht="15" hidden="false" customHeight="true" outlineLevel="0" collapsed="false">
      <c r="A952" s="859" t="n">
        <v>329</v>
      </c>
      <c r="B952" s="859" t="s">
        <v>2191</v>
      </c>
      <c r="C952" s="859" t="n">
        <v>2022</v>
      </c>
      <c r="D952" s="860" t="s">
        <v>9</v>
      </c>
      <c r="E952" s="860" t="s">
        <v>2192</v>
      </c>
      <c r="F952" s="860" t="s">
        <v>1652</v>
      </c>
      <c r="G952" s="861"/>
      <c r="H952" s="862" t="n">
        <v>36</v>
      </c>
      <c r="I952" s="863"/>
      <c r="J952" s="863"/>
      <c r="K952" s="864" t="n">
        <f aca="false">H952*I952/100</f>
        <v>0</v>
      </c>
      <c r="L952" s="1299" t="n">
        <v>5</v>
      </c>
      <c r="M952" s="983" t="n">
        <v>15</v>
      </c>
      <c r="N952" s="1299" t="n">
        <f aca="false">L952*M952</f>
        <v>75</v>
      </c>
      <c r="O952" s="1299" t="n">
        <f aca="false">H952*N952</f>
        <v>2700</v>
      </c>
      <c r="P952" s="868" t="s">
        <v>2195</v>
      </c>
      <c r="Q952" s="1011" t="s">
        <v>1375</v>
      </c>
      <c r="R952" s="866" t="n">
        <v>2700</v>
      </c>
      <c r="S952" s="877" t="n">
        <f aca="false">R952/H952</f>
        <v>75</v>
      </c>
      <c r="T952" s="543" t="n">
        <f aca="false">O952-R952</f>
        <v>0</v>
      </c>
      <c r="U952" s="543" t="n">
        <f aca="false">N952-S952</f>
        <v>0</v>
      </c>
    </row>
    <row r="953" customFormat="false" ht="15" hidden="false" customHeight="true" outlineLevel="0" collapsed="false">
      <c r="A953" s="847"/>
      <c r="B953" s="847"/>
      <c r="C953" s="847"/>
      <c r="D953" s="848"/>
      <c r="E953" s="848"/>
      <c r="F953" s="848"/>
      <c r="G953" s="849"/>
      <c r="H953" s="850"/>
      <c r="I953" s="851"/>
      <c r="J953" s="851"/>
      <c r="K953" s="864"/>
      <c r="L953" s="1143"/>
      <c r="M953" s="1007"/>
      <c r="N953" s="1143"/>
      <c r="O953" s="1606"/>
      <c r="P953" s="856"/>
      <c r="Q953" s="1008"/>
      <c r="R953" s="854"/>
      <c r="S953" s="866"/>
      <c r="T953" s="537"/>
      <c r="U953" s="537"/>
    </row>
    <row r="954" customFormat="false" ht="15" hidden="false" customHeight="true" outlineLevel="0" collapsed="false">
      <c r="A954" s="847" t="n">
        <v>42</v>
      </c>
      <c r="B954" s="847" t="s">
        <v>86</v>
      </c>
      <c r="C954" s="847" t="n">
        <v>2023</v>
      </c>
      <c r="D954" s="848" t="s">
        <v>21</v>
      </c>
      <c r="E954" s="848" t="s">
        <v>2203</v>
      </c>
      <c r="F954" s="848"/>
      <c r="G954" s="849"/>
      <c r="H954" s="850" t="n">
        <v>1</v>
      </c>
      <c r="I954" s="851"/>
      <c r="J954" s="851"/>
      <c r="K954" s="864" t="n">
        <f aca="false">H954*I954/100</f>
        <v>0</v>
      </c>
      <c r="L954" s="1143" t="n">
        <v>406</v>
      </c>
      <c r="M954" s="1007" t="n">
        <v>1</v>
      </c>
      <c r="N954" s="1143" t="n">
        <f aca="false">L954*M954</f>
        <v>406</v>
      </c>
      <c r="O954" s="1606" t="n">
        <f aca="false">H954*N954</f>
        <v>406</v>
      </c>
      <c r="P954" s="856" t="s">
        <v>2204</v>
      </c>
      <c r="Q954" s="1436" t="n">
        <v>25092024</v>
      </c>
      <c r="R954" s="854" t="n">
        <v>406</v>
      </c>
      <c r="S954" s="877" t="n">
        <f aca="false">R954/H954</f>
        <v>406</v>
      </c>
      <c r="T954" s="537" t="n">
        <f aca="false">O954-R954</f>
        <v>0</v>
      </c>
      <c r="U954" s="537" t="n">
        <f aca="false">N954-S954</f>
        <v>0</v>
      </c>
    </row>
    <row r="955" customFormat="false" ht="15" hidden="false" customHeight="true" outlineLevel="0" collapsed="false">
      <c r="A955" s="847" t="n">
        <v>85</v>
      </c>
      <c r="B955" s="847" t="s">
        <v>2191</v>
      </c>
      <c r="C955" s="847" t="n">
        <v>2023</v>
      </c>
      <c r="D955" s="848" t="s">
        <v>21</v>
      </c>
      <c r="E955" s="848" t="s">
        <v>2192</v>
      </c>
      <c r="F955" s="848"/>
      <c r="G955" s="849"/>
      <c r="H955" s="850" t="n">
        <v>1</v>
      </c>
      <c r="I955" s="851"/>
      <c r="J955" s="851"/>
      <c r="K955" s="864" t="n">
        <f aca="false">H955*I955/100</f>
        <v>0</v>
      </c>
      <c r="L955" s="1143" t="n">
        <v>6</v>
      </c>
      <c r="M955" s="1007" t="n">
        <v>10</v>
      </c>
      <c r="N955" s="1143" t="n">
        <f aca="false">L955*M955</f>
        <v>60</v>
      </c>
      <c r="O955" s="1606" t="n">
        <f aca="false">H955*N955</f>
        <v>60</v>
      </c>
      <c r="P955" s="856" t="s">
        <v>2197</v>
      </c>
      <c r="Q955" s="1008" t="s">
        <v>2666</v>
      </c>
      <c r="R955" s="854" t="n">
        <v>60</v>
      </c>
      <c r="S955" s="877" t="n">
        <f aca="false">R955/H955</f>
        <v>60</v>
      </c>
      <c r="T955" s="537" t="n">
        <f aca="false">O955-R955</f>
        <v>0</v>
      </c>
      <c r="U955" s="537" t="n">
        <f aca="false">N955-S955</f>
        <v>0</v>
      </c>
    </row>
    <row r="956" customFormat="false" ht="15" hidden="false" customHeight="true" outlineLevel="0" collapsed="false">
      <c r="A956" s="847" t="n">
        <v>399</v>
      </c>
      <c r="B956" s="847" t="s">
        <v>2191</v>
      </c>
      <c r="C956" s="847" t="n">
        <v>2023</v>
      </c>
      <c r="D956" s="848" t="s">
        <v>21</v>
      </c>
      <c r="E956" s="848" t="s">
        <v>2192</v>
      </c>
      <c r="F956" s="848"/>
      <c r="G956" s="849"/>
      <c r="H956" s="850" t="n">
        <v>1</v>
      </c>
      <c r="I956" s="851"/>
      <c r="J956" s="851"/>
      <c r="K956" s="864" t="n">
        <f aca="false">H956*I956/100</f>
        <v>0</v>
      </c>
      <c r="L956" s="1143" t="n">
        <v>5</v>
      </c>
      <c r="M956" s="1007" t="n">
        <v>10</v>
      </c>
      <c r="N956" s="1143" t="n">
        <f aca="false">L956*M956</f>
        <v>50</v>
      </c>
      <c r="O956" s="1143" t="n">
        <f aca="false">H956*N956</f>
        <v>50</v>
      </c>
      <c r="P956" s="856" t="s">
        <v>2204</v>
      </c>
      <c r="Q956" s="1436" t="n">
        <v>25092024</v>
      </c>
      <c r="R956" s="854" t="n">
        <v>50</v>
      </c>
      <c r="S956" s="866" t="n">
        <v>50</v>
      </c>
      <c r="T956" s="537" t="n">
        <f aca="false">O956-R956</f>
        <v>0</v>
      </c>
      <c r="U956" s="537" t="n">
        <f aca="false">N956-S956</f>
        <v>0</v>
      </c>
    </row>
    <row r="957" customFormat="false" ht="15" hidden="false" customHeight="true" outlineLevel="0" collapsed="false">
      <c r="A957" s="903" t="n">
        <v>586</v>
      </c>
      <c r="B957" s="903" t="s">
        <v>2191</v>
      </c>
      <c r="C957" s="903" t="n">
        <v>2023</v>
      </c>
      <c r="D957" s="904" t="s">
        <v>21</v>
      </c>
      <c r="E957" s="904" t="s">
        <v>2192</v>
      </c>
      <c r="F957" s="904"/>
      <c r="G957" s="905"/>
      <c r="H957" s="906" t="n">
        <v>1</v>
      </c>
      <c r="I957" s="907"/>
      <c r="J957" s="907"/>
      <c r="K957" s="875" t="n">
        <f aca="false">H957*I957/100</f>
        <v>0</v>
      </c>
      <c r="L957" s="1137" t="n">
        <v>200</v>
      </c>
      <c r="M957" s="1023" t="n">
        <v>10</v>
      </c>
      <c r="N957" s="1137" t="n">
        <f aca="false">L957*M957</f>
        <v>2000</v>
      </c>
      <c r="O957" s="1137" t="n">
        <f aca="false">H957*N957</f>
        <v>2000</v>
      </c>
      <c r="P957" s="910" t="s">
        <v>2204</v>
      </c>
      <c r="Q957" s="1436" t="n">
        <v>25092024</v>
      </c>
      <c r="R957" s="891" t="n">
        <v>2000</v>
      </c>
      <c r="S957" s="877" t="n">
        <v>2000</v>
      </c>
      <c r="T957" s="942" t="n">
        <f aca="false">O957-R957</f>
        <v>0</v>
      </c>
      <c r="U957" s="942" t="n">
        <f aca="false">N957-S957</f>
        <v>0</v>
      </c>
    </row>
    <row r="958" customFormat="false" ht="15" hidden="false" customHeight="true" outlineLevel="0" collapsed="false">
      <c r="A958" s="829" t="n">
        <v>35</v>
      </c>
      <c r="B958" s="830" t="s">
        <v>81</v>
      </c>
      <c r="C958" s="830" t="n">
        <v>2024</v>
      </c>
      <c r="D958" s="831" t="s">
        <v>21</v>
      </c>
      <c r="E958" s="831" t="s">
        <v>2192</v>
      </c>
      <c r="F958" s="832" t="s">
        <v>1650</v>
      </c>
      <c r="G958" s="833"/>
      <c r="H958" s="834" t="n">
        <v>1</v>
      </c>
      <c r="I958" s="1624"/>
      <c r="J958" s="835"/>
      <c r="K958" s="836" t="n">
        <f aca="false">H958*I958/100</f>
        <v>0</v>
      </c>
      <c r="L958" s="837" t="n">
        <v>6000</v>
      </c>
      <c r="M958" s="1003" t="n">
        <v>1</v>
      </c>
      <c r="N958" s="837" t="n">
        <f aca="false">L958*M958</f>
        <v>6000</v>
      </c>
      <c r="O958" s="837" t="n">
        <f aca="false">H958*N958</f>
        <v>6000</v>
      </c>
      <c r="P958" s="838" t="s">
        <v>2197</v>
      </c>
      <c r="Q958" s="1004" t="s">
        <v>2667</v>
      </c>
      <c r="R958" s="840" t="n">
        <v>5940</v>
      </c>
      <c r="S958" s="886" t="n">
        <f aca="false">R958/H958</f>
        <v>5940</v>
      </c>
      <c r="T958" s="837" t="n">
        <f aca="false">O958-R958-R959</f>
        <v>0</v>
      </c>
      <c r="U958" s="842" t="n">
        <f aca="false">N958-S958-S959</f>
        <v>0</v>
      </c>
    </row>
    <row r="959" customFormat="false" ht="15" hidden="false" customHeight="true" outlineLevel="0" collapsed="false">
      <c r="A959" s="829"/>
      <c r="B959" s="830"/>
      <c r="C959" s="830"/>
      <c r="D959" s="887" t="s">
        <v>21</v>
      </c>
      <c r="E959" s="887" t="s">
        <v>2192</v>
      </c>
      <c r="F959" s="832"/>
      <c r="G959" s="833"/>
      <c r="H959" s="834"/>
      <c r="I959" s="1625"/>
      <c r="J959" s="835"/>
      <c r="K959" s="836"/>
      <c r="L959" s="837"/>
      <c r="M959" s="1003"/>
      <c r="N959" s="837"/>
      <c r="O959" s="837"/>
      <c r="P959" s="888" t="s">
        <v>2197</v>
      </c>
      <c r="Q959" s="1364" t="s">
        <v>2668</v>
      </c>
      <c r="R959" s="890" t="n">
        <v>60</v>
      </c>
      <c r="S959" s="846" t="n">
        <f aca="false">R959/H958</f>
        <v>60</v>
      </c>
      <c r="T959" s="837"/>
      <c r="U959" s="842"/>
    </row>
    <row r="960" customFormat="false" ht="15" hidden="false" customHeight="true" outlineLevel="0" collapsed="false">
      <c r="A960" s="847" t="n">
        <v>44</v>
      </c>
      <c r="B960" s="847" t="s">
        <v>81</v>
      </c>
      <c r="C960" s="847" t="n">
        <v>2024</v>
      </c>
      <c r="D960" s="848" t="s">
        <v>21</v>
      </c>
      <c r="E960" s="848" t="s">
        <v>2192</v>
      </c>
      <c r="F960" s="848" t="s">
        <v>1650</v>
      </c>
      <c r="G960" s="849"/>
      <c r="H960" s="850" t="n">
        <v>1</v>
      </c>
      <c r="I960" s="851"/>
      <c r="J960" s="851"/>
      <c r="K960" s="852" t="n">
        <f aca="false">H960*I960/100</f>
        <v>0</v>
      </c>
      <c r="L960" s="1143" t="n">
        <v>7000</v>
      </c>
      <c r="M960" s="1007" t="n">
        <v>1</v>
      </c>
      <c r="N960" s="1143" t="n">
        <f aca="false">L960*M960</f>
        <v>7000</v>
      </c>
      <c r="O960" s="1143" t="n">
        <f aca="false">H960*N960</f>
        <v>7000</v>
      </c>
      <c r="P960" s="856" t="s">
        <v>2197</v>
      </c>
      <c r="Q960" s="1008" t="s">
        <v>2668</v>
      </c>
      <c r="R960" s="854" t="n">
        <v>7000</v>
      </c>
      <c r="S960" s="891" t="n">
        <v>7000</v>
      </c>
      <c r="T960" s="537" t="n">
        <f aca="false">O960-R960</f>
        <v>0</v>
      </c>
      <c r="U960" s="537" t="n">
        <f aca="false">N960-S960</f>
        <v>0</v>
      </c>
    </row>
    <row r="961" customFormat="false" ht="15" hidden="false" customHeight="true" outlineLevel="0" collapsed="false">
      <c r="A961" s="847" t="n">
        <v>68</v>
      </c>
      <c r="B961" s="847" t="s">
        <v>81</v>
      </c>
      <c r="C961" s="847" t="n">
        <v>2024</v>
      </c>
      <c r="D961" s="848" t="s">
        <v>21</v>
      </c>
      <c r="E961" s="848" t="s">
        <v>2192</v>
      </c>
      <c r="F961" s="848" t="s">
        <v>1650</v>
      </c>
      <c r="G961" s="849"/>
      <c r="H961" s="850" t="n">
        <v>1</v>
      </c>
      <c r="I961" s="851"/>
      <c r="J961" s="851"/>
      <c r="K961" s="852" t="n">
        <f aca="false">H961*I961/100</f>
        <v>0</v>
      </c>
      <c r="L961" s="1143" t="n">
        <v>1000</v>
      </c>
      <c r="M961" s="1007" t="n">
        <v>1</v>
      </c>
      <c r="N961" s="1143" t="n">
        <f aca="false">L961*M961</f>
        <v>1000</v>
      </c>
      <c r="O961" s="1143" t="n">
        <f aca="false">H961*N961</f>
        <v>1000</v>
      </c>
      <c r="P961" s="856" t="s">
        <v>2197</v>
      </c>
      <c r="Q961" s="1008" t="s">
        <v>2669</v>
      </c>
      <c r="R961" s="854" t="n">
        <v>1000</v>
      </c>
      <c r="S961" s="866" t="n">
        <v>1000</v>
      </c>
      <c r="T961" s="537" t="n">
        <f aca="false">O961-R961</f>
        <v>0</v>
      </c>
      <c r="U961" s="537" t="n">
        <f aca="false">N961-S961</f>
        <v>0</v>
      </c>
    </row>
    <row r="962" customFormat="false" ht="15" hidden="false" customHeight="true" outlineLevel="0" collapsed="false">
      <c r="A962" s="903" t="n">
        <v>81</v>
      </c>
      <c r="B962" s="903" t="s">
        <v>81</v>
      </c>
      <c r="C962" s="903" t="n">
        <v>2024</v>
      </c>
      <c r="D962" s="904" t="s">
        <v>21</v>
      </c>
      <c r="E962" s="904" t="s">
        <v>2192</v>
      </c>
      <c r="F962" s="904" t="s">
        <v>1650</v>
      </c>
      <c r="G962" s="905"/>
      <c r="H962" s="906" t="n">
        <v>1</v>
      </c>
      <c r="I962" s="907"/>
      <c r="J962" s="907"/>
      <c r="K962" s="939" t="n">
        <f aca="false">H962*I962/100</f>
        <v>0</v>
      </c>
      <c r="L962" s="1137" t="n">
        <v>6250</v>
      </c>
      <c r="M962" s="1023" t="n">
        <v>1</v>
      </c>
      <c r="N962" s="1137" t="n">
        <f aca="false">L962*M962</f>
        <v>6250</v>
      </c>
      <c r="O962" s="1137" t="n">
        <f aca="false">H962*N962</f>
        <v>6250</v>
      </c>
      <c r="P962" s="910" t="s">
        <v>2197</v>
      </c>
      <c r="Q962" s="1057" t="s">
        <v>2670</v>
      </c>
      <c r="R962" s="891" t="n">
        <v>6250</v>
      </c>
      <c r="S962" s="877" t="n">
        <v>6250</v>
      </c>
      <c r="T962" s="942" t="n">
        <f aca="false">O962-R962</f>
        <v>0</v>
      </c>
      <c r="U962" s="942" t="n">
        <f aca="false">N962-S962</f>
        <v>0</v>
      </c>
    </row>
    <row r="963" customFormat="false" ht="15" hidden="false" customHeight="true" outlineLevel="0" collapsed="false">
      <c r="A963" s="829" t="n">
        <v>82</v>
      </c>
      <c r="B963" s="830" t="s">
        <v>81</v>
      </c>
      <c r="C963" s="830" t="n">
        <v>2024</v>
      </c>
      <c r="D963" s="831" t="s">
        <v>21</v>
      </c>
      <c r="E963" s="831" t="s">
        <v>2192</v>
      </c>
      <c r="F963" s="832" t="s">
        <v>1650</v>
      </c>
      <c r="G963" s="833"/>
      <c r="H963" s="834" t="n">
        <v>1</v>
      </c>
      <c r="I963" s="835"/>
      <c r="J963" s="835"/>
      <c r="K963" s="836" t="n">
        <f aca="false">H963*I963/100</f>
        <v>0</v>
      </c>
      <c r="L963" s="837" t="n">
        <v>5750</v>
      </c>
      <c r="M963" s="1003" t="n">
        <v>1</v>
      </c>
      <c r="N963" s="837" t="n">
        <f aca="false">L963*M963</f>
        <v>5750</v>
      </c>
      <c r="O963" s="837" t="n">
        <f aca="false">H963*N963</f>
        <v>5750</v>
      </c>
      <c r="P963" s="838" t="s">
        <v>2197</v>
      </c>
      <c r="Q963" s="1004" t="s">
        <v>2670</v>
      </c>
      <c r="R963" s="840" t="n">
        <v>3750</v>
      </c>
      <c r="S963" s="840" t="n">
        <v>3750</v>
      </c>
      <c r="T963" s="837" t="n">
        <f aca="false">O963-R963-R964</f>
        <v>0</v>
      </c>
      <c r="U963" s="842" t="n">
        <f aca="false">N963-S963-S964</f>
        <v>0</v>
      </c>
    </row>
    <row r="964" customFormat="false" ht="15" hidden="false" customHeight="true" outlineLevel="0" collapsed="false">
      <c r="A964" s="829"/>
      <c r="B964" s="830"/>
      <c r="C964" s="830"/>
      <c r="D964" s="887" t="s">
        <v>21</v>
      </c>
      <c r="E964" s="887" t="s">
        <v>2192</v>
      </c>
      <c r="F964" s="832"/>
      <c r="G964" s="833"/>
      <c r="H964" s="834"/>
      <c r="I964" s="835"/>
      <c r="J964" s="835"/>
      <c r="K964" s="836"/>
      <c r="L964" s="837"/>
      <c r="M964" s="1003"/>
      <c r="N964" s="837"/>
      <c r="O964" s="837"/>
      <c r="P964" s="888" t="s">
        <v>2197</v>
      </c>
      <c r="Q964" s="1364" t="s">
        <v>2671</v>
      </c>
      <c r="R964" s="890" t="n">
        <v>2000</v>
      </c>
      <c r="S964" s="846" t="n">
        <v>2000</v>
      </c>
      <c r="T964" s="837"/>
      <c r="U964" s="842"/>
    </row>
    <row r="965" customFormat="false" ht="15" hidden="false" customHeight="true" outlineLevel="0" collapsed="false">
      <c r="A965" s="847" t="n">
        <v>83</v>
      </c>
      <c r="B965" s="847" t="s">
        <v>81</v>
      </c>
      <c r="C965" s="847" t="n">
        <v>2024</v>
      </c>
      <c r="D965" s="848" t="s">
        <v>21</v>
      </c>
      <c r="E965" s="848" t="s">
        <v>2192</v>
      </c>
      <c r="F965" s="848" t="s">
        <v>1650</v>
      </c>
      <c r="G965" s="849"/>
      <c r="H965" s="850" t="n">
        <v>1</v>
      </c>
      <c r="I965" s="851"/>
      <c r="J965" s="851"/>
      <c r="K965" s="852" t="n">
        <f aca="false">H965*I965/100</f>
        <v>0</v>
      </c>
      <c r="L965" s="1143" t="n">
        <v>1500</v>
      </c>
      <c r="M965" s="1007" t="n">
        <v>1</v>
      </c>
      <c r="N965" s="1143" t="n">
        <f aca="false">L965*M965</f>
        <v>1500</v>
      </c>
      <c r="O965" s="1143" t="n">
        <f aca="false">H965*N965</f>
        <v>1500</v>
      </c>
      <c r="P965" s="856" t="s">
        <v>2197</v>
      </c>
      <c r="Q965" s="1008" t="s">
        <v>2671</v>
      </c>
      <c r="R965" s="854" t="n">
        <v>1500</v>
      </c>
      <c r="S965" s="854" t="n">
        <v>1500</v>
      </c>
      <c r="T965" s="537" t="n">
        <f aca="false">O965-R965</f>
        <v>0</v>
      </c>
      <c r="U965" s="537" t="n">
        <f aca="false">N965-S965</f>
        <v>0</v>
      </c>
    </row>
    <row r="966" customFormat="false" ht="15" hidden="false" customHeight="true" outlineLevel="0" collapsed="false">
      <c r="A966" s="847" t="n">
        <v>110</v>
      </c>
      <c r="B966" s="847" t="s">
        <v>81</v>
      </c>
      <c r="C966" s="847" t="n">
        <v>2024</v>
      </c>
      <c r="D966" s="848" t="s">
        <v>21</v>
      </c>
      <c r="E966" s="848" t="s">
        <v>2192</v>
      </c>
      <c r="F966" s="848" t="s">
        <v>1650</v>
      </c>
      <c r="G966" s="849"/>
      <c r="H966" s="850" t="n">
        <v>1</v>
      </c>
      <c r="I966" s="851"/>
      <c r="J966" s="851"/>
      <c r="K966" s="852" t="n">
        <f aca="false">H966*I966/100</f>
        <v>0</v>
      </c>
      <c r="L966" s="1143" t="n">
        <v>5000</v>
      </c>
      <c r="M966" s="1007" t="n">
        <v>1</v>
      </c>
      <c r="N966" s="1143" t="n">
        <f aca="false">L966*M966</f>
        <v>5000</v>
      </c>
      <c r="O966" s="1143" t="n">
        <f aca="false">H966*N966</f>
        <v>5000</v>
      </c>
      <c r="P966" s="856" t="s">
        <v>2197</v>
      </c>
      <c r="Q966" s="1008" t="s">
        <v>2672</v>
      </c>
      <c r="R966" s="854" t="n">
        <v>5000</v>
      </c>
      <c r="S966" s="854" t="n">
        <v>5000</v>
      </c>
      <c r="T966" s="537" t="n">
        <f aca="false">O966-R966</f>
        <v>0</v>
      </c>
      <c r="U966" s="537" t="n">
        <f aca="false">N966-S966</f>
        <v>0</v>
      </c>
    </row>
    <row r="967" customFormat="false" ht="15" hidden="false" customHeight="true" outlineLevel="0" collapsed="false">
      <c r="A967" s="847" t="n">
        <v>137</v>
      </c>
      <c r="B967" s="847" t="s">
        <v>81</v>
      </c>
      <c r="C967" s="847" t="n">
        <v>2024</v>
      </c>
      <c r="D967" s="848" t="s">
        <v>21</v>
      </c>
      <c r="E967" s="848" t="s">
        <v>2192</v>
      </c>
      <c r="F967" s="848" t="s">
        <v>1650</v>
      </c>
      <c r="G967" s="849"/>
      <c r="H967" s="850" t="n">
        <v>1</v>
      </c>
      <c r="I967" s="851"/>
      <c r="J967" s="851"/>
      <c r="K967" s="852" t="n">
        <f aca="false">H967*I967/100</f>
        <v>0</v>
      </c>
      <c r="L967" s="1143" t="n">
        <v>10000</v>
      </c>
      <c r="M967" s="1007" t="n">
        <v>1</v>
      </c>
      <c r="N967" s="1143" t="n">
        <f aca="false">L967*M967</f>
        <v>10000</v>
      </c>
      <c r="O967" s="1143" t="n">
        <f aca="false">H967*N967</f>
        <v>10000</v>
      </c>
      <c r="P967" s="856" t="s">
        <v>2197</v>
      </c>
      <c r="Q967" s="1008" t="s">
        <v>2673</v>
      </c>
      <c r="R967" s="854" t="n">
        <v>10000</v>
      </c>
      <c r="S967" s="854" t="n">
        <v>10000</v>
      </c>
      <c r="T967" s="537" t="n">
        <f aca="false">O967-R967</f>
        <v>0</v>
      </c>
      <c r="U967" s="537" t="n">
        <f aca="false">N967-S967</f>
        <v>0</v>
      </c>
    </row>
    <row r="968" customFormat="false" ht="15" hidden="false" customHeight="true" outlineLevel="0" collapsed="false">
      <c r="A968" s="847" t="n">
        <v>138</v>
      </c>
      <c r="B968" s="847" t="s">
        <v>81</v>
      </c>
      <c r="C968" s="847" t="n">
        <v>2024</v>
      </c>
      <c r="D968" s="848" t="s">
        <v>21</v>
      </c>
      <c r="E968" s="848" t="s">
        <v>2192</v>
      </c>
      <c r="F968" s="848" t="s">
        <v>1650</v>
      </c>
      <c r="G968" s="849"/>
      <c r="H968" s="850" t="n">
        <v>1</v>
      </c>
      <c r="I968" s="851"/>
      <c r="J968" s="851"/>
      <c r="K968" s="852" t="n">
        <f aca="false">H968*I968/100</f>
        <v>0</v>
      </c>
      <c r="L968" s="1143" t="n">
        <v>1000</v>
      </c>
      <c r="M968" s="1007" t="n">
        <v>1</v>
      </c>
      <c r="N968" s="1143" t="n">
        <f aca="false">L968*M968</f>
        <v>1000</v>
      </c>
      <c r="O968" s="1143" t="n">
        <f aca="false">H968*N968</f>
        <v>1000</v>
      </c>
      <c r="P968" s="856" t="s">
        <v>2197</v>
      </c>
      <c r="Q968" s="1008" t="s">
        <v>2674</v>
      </c>
      <c r="R968" s="854" t="n">
        <v>1000</v>
      </c>
      <c r="S968" s="854" t="n">
        <v>1000</v>
      </c>
      <c r="T968" s="537" t="n">
        <f aca="false">O968-R968</f>
        <v>0</v>
      </c>
      <c r="U968" s="537" t="n">
        <f aca="false">N968-S968</f>
        <v>0</v>
      </c>
    </row>
    <row r="969" customFormat="false" ht="15" hidden="false" customHeight="true" outlineLevel="0" collapsed="false">
      <c r="A969" s="859"/>
      <c r="B969" s="859"/>
      <c r="C969" s="859"/>
      <c r="D969" s="860"/>
      <c r="E969" s="860"/>
      <c r="F969" s="860"/>
      <c r="G969" s="861"/>
      <c r="H969" s="862"/>
      <c r="I969" s="863"/>
      <c r="J969" s="863"/>
      <c r="K969" s="864"/>
      <c r="L969" s="1299"/>
      <c r="M969" s="983"/>
      <c r="N969" s="1299"/>
      <c r="O969" s="1299"/>
      <c r="P969" s="868"/>
      <c r="Q969" s="1011"/>
      <c r="R969" s="866"/>
      <c r="S969" s="866"/>
      <c r="T969" s="543"/>
      <c r="U969" s="543"/>
    </row>
    <row r="970" customFormat="false" ht="15" hidden="false" customHeight="true" outlineLevel="0" collapsed="false">
      <c r="A970" s="859" t="n">
        <v>229</v>
      </c>
      <c r="B970" s="859" t="s">
        <v>86</v>
      </c>
      <c r="C970" s="859" t="n">
        <v>2020</v>
      </c>
      <c r="D970" s="1480" t="s">
        <v>13</v>
      </c>
      <c r="E970" s="860" t="s">
        <v>2192</v>
      </c>
      <c r="F970" s="860" t="s">
        <v>1650</v>
      </c>
      <c r="G970" s="861"/>
      <c r="H970" s="862" t="n">
        <v>93.3</v>
      </c>
      <c r="I970" s="1429" t="n">
        <v>12</v>
      </c>
      <c r="J970" s="863"/>
      <c r="K970" s="864" t="n">
        <f aca="false">H970*I970/100</f>
        <v>11.196</v>
      </c>
      <c r="L970" s="1299" t="n">
        <v>6056</v>
      </c>
      <c r="M970" s="983" t="n">
        <v>1</v>
      </c>
      <c r="N970" s="1299" t="n">
        <f aca="false">L970*M970</f>
        <v>6056</v>
      </c>
      <c r="O970" s="1439" t="n">
        <f aca="false">H970*N970</f>
        <v>565024.8</v>
      </c>
      <c r="P970" s="868" t="s">
        <v>2200</v>
      </c>
      <c r="Q970" s="869" t="s">
        <v>2675</v>
      </c>
      <c r="R970" s="1521" t="n">
        <v>565024.8</v>
      </c>
      <c r="S970" s="877" t="n">
        <f aca="false">R970/H970</f>
        <v>6056</v>
      </c>
      <c r="T970" s="985" t="n">
        <f aca="false">O970-R970</f>
        <v>0</v>
      </c>
      <c r="U970" s="543" t="n">
        <f aca="false">N970-S970</f>
        <v>0</v>
      </c>
    </row>
    <row r="971" customFormat="false" ht="15" hidden="false" customHeight="true" outlineLevel="0" collapsed="false">
      <c r="A971" s="859" t="n">
        <v>233</v>
      </c>
      <c r="B971" s="859" t="s">
        <v>86</v>
      </c>
      <c r="C971" s="859" t="n">
        <v>2020</v>
      </c>
      <c r="D971" s="1480" t="s">
        <v>13</v>
      </c>
      <c r="E971" s="860" t="s">
        <v>2192</v>
      </c>
      <c r="F971" s="860" t="s">
        <v>1650</v>
      </c>
      <c r="G971" s="861"/>
      <c r="H971" s="862" t="n">
        <v>85.8</v>
      </c>
      <c r="I971" s="1429" t="n">
        <v>10</v>
      </c>
      <c r="J971" s="863"/>
      <c r="K971" s="864" t="n">
        <f aca="false">H971*I971/100</f>
        <v>8.58</v>
      </c>
      <c r="L971" s="1299" t="n">
        <v>11952</v>
      </c>
      <c r="M971" s="983" t="n">
        <v>1</v>
      </c>
      <c r="N971" s="1299" t="n">
        <f aca="false">L971*M971</f>
        <v>11952</v>
      </c>
      <c r="O971" s="1439" t="n">
        <f aca="false">H971*N971</f>
        <v>1025481.6</v>
      </c>
      <c r="P971" s="868" t="s">
        <v>2200</v>
      </c>
      <c r="Q971" s="869" t="s">
        <v>2676</v>
      </c>
      <c r="R971" s="1521" t="n">
        <v>1025481.6</v>
      </c>
      <c r="S971" s="877" t="n">
        <f aca="false">R971/H971</f>
        <v>11952</v>
      </c>
      <c r="T971" s="985" t="n">
        <f aca="false">O971-R971</f>
        <v>0</v>
      </c>
      <c r="U971" s="543" t="n">
        <f aca="false">N971-S971</f>
        <v>0</v>
      </c>
    </row>
    <row r="972" customFormat="false" ht="15" hidden="false" customHeight="true" outlineLevel="0" collapsed="false">
      <c r="A972" s="859" t="n">
        <v>116</v>
      </c>
      <c r="B972" s="859" t="s">
        <v>86</v>
      </c>
      <c r="C972" s="859" t="n">
        <v>2022</v>
      </c>
      <c r="D972" s="1480" t="s">
        <v>13</v>
      </c>
      <c r="E972" s="860" t="s">
        <v>2241</v>
      </c>
      <c r="F972" s="860"/>
      <c r="G972" s="861"/>
      <c r="H972" s="862" t="n">
        <v>6.9</v>
      </c>
      <c r="I972" s="1429"/>
      <c r="J972" s="863"/>
      <c r="K972" s="864" t="n">
        <f aca="false">H972*I972/100</f>
        <v>0</v>
      </c>
      <c r="L972" s="1299" t="n">
        <v>457</v>
      </c>
      <c r="M972" s="983" t="n">
        <v>1</v>
      </c>
      <c r="N972" s="1299" t="n">
        <f aca="false">L972*M972</f>
        <v>457</v>
      </c>
      <c r="O972" s="1439" t="n">
        <f aca="false">H972*N972</f>
        <v>3153.3</v>
      </c>
      <c r="P972" s="868" t="s">
        <v>2204</v>
      </c>
      <c r="Q972" s="869" t="n">
        <v>15052024</v>
      </c>
      <c r="R972" s="1521" t="n">
        <v>3153.3</v>
      </c>
      <c r="S972" s="866" t="n">
        <f aca="false">R972/H972</f>
        <v>457</v>
      </c>
      <c r="T972" s="985" t="n">
        <f aca="false">O972-R972</f>
        <v>0</v>
      </c>
      <c r="U972" s="543" t="n">
        <f aca="false">N972-S972</f>
        <v>0</v>
      </c>
    </row>
    <row r="973" customFormat="false" ht="15" hidden="false" customHeight="true" outlineLevel="0" collapsed="false">
      <c r="A973" s="1207" t="n">
        <v>196</v>
      </c>
      <c r="B973" s="1207" t="s">
        <v>35</v>
      </c>
      <c r="C973" s="1207" t="n">
        <v>2022</v>
      </c>
      <c r="D973" s="1208" t="s">
        <v>13</v>
      </c>
      <c r="E973" s="1208" t="s">
        <v>2203</v>
      </c>
      <c r="F973" s="1208"/>
      <c r="G973" s="1209"/>
      <c r="H973" s="1210" t="n">
        <v>47.1</v>
      </c>
      <c r="I973" s="1211" t="n">
        <v>1</v>
      </c>
      <c r="J973" s="1211"/>
      <c r="K973" s="1212" t="n">
        <f aca="false">H973*I973/100</f>
        <v>0.471</v>
      </c>
      <c r="L973" s="1219" t="n">
        <v>1505</v>
      </c>
      <c r="M973" s="1214" t="n">
        <v>1</v>
      </c>
      <c r="N973" s="1398" t="n">
        <f aca="false">L973*M973</f>
        <v>1505</v>
      </c>
      <c r="O973" s="1398" t="n">
        <f aca="false">H973*N973</f>
        <v>70885.5</v>
      </c>
      <c r="P973" s="1216"/>
      <c r="Q973" s="1628"/>
      <c r="R973" s="1629"/>
      <c r="S973" s="1218"/>
      <c r="T973" s="1630" t="n">
        <f aca="false">O973-R973</f>
        <v>70885.5</v>
      </c>
      <c r="U973" s="1219" t="n">
        <f aca="false">N973-S973</f>
        <v>1505</v>
      </c>
    </row>
    <row r="974" customFormat="false" ht="15" hidden="false" customHeight="true" outlineLevel="0" collapsed="false">
      <c r="A974" s="1207" t="n">
        <v>197</v>
      </c>
      <c r="B974" s="1207" t="s">
        <v>35</v>
      </c>
      <c r="C974" s="1207" t="n">
        <v>2022</v>
      </c>
      <c r="D974" s="1208" t="s">
        <v>13</v>
      </c>
      <c r="E974" s="1208" t="s">
        <v>2203</v>
      </c>
      <c r="F974" s="1208"/>
      <c r="G974" s="1209"/>
      <c r="H974" s="1210" t="n">
        <v>88.6</v>
      </c>
      <c r="I974" s="1211" t="n">
        <v>24</v>
      </c>
      <c r="J974" s="1211"/>
      <c r="K974" s="1212" t="n">
        <f aca="false">H974*I974/100</f>
        <v>21.264</v>
      </c>
      <c r="L974" s="1219" t="n">
        <v>1115</v>
      </c>
      <c r="M974" s="1214" t="n">
        <v>1</v>
      </c>
      <c r="N974" s="1398" t="n">
        <f aca="false">L974*M974</f>
        <v>1115</v>
      </c>
      <c r="O974" s="1398" t="n">
        <f aca="false">H974*N974</f>
        <v>98789</v>
      </c>
      <c r="P974" s="1216"/>
      <c r="Q974" s="1628"/>
      <c r="R974" s="1629"/>
      <c r="S974" s="1218"/>
      <c r="T974" s="1630" t="n">
        <f aca="false">O974-R974</f>
        <v>98789</v>
      </c>
      <c r="U974" s="1219" t="n">
        <f aca="false">N974-S974</f>
        <v>1115</v>
      </c>
    </row>
    <row r="975" customFormat="false" ht="15" hidden="false" customHeight="true" outlineLevel="0" collapsed="false">
      <c r="A975" s="1207" t="n">
        <v>198</v>
      </c>
      <c r="B975" s="1207" t="s">
        <v>35</v>
      </c>
      <c r="C975" s="1207" t="n">
        <v>2022</v>
      </c>
      <c r="D975" s="1208" t="s">
        <v>13</v>
      </c>
      <c r="E975" s="1208" t="s">
        <v>2203</v>
      </c>
      <c r="F975" s="1208"/>
      <c r="G975" s="1209"/>
      <c r="H975" s="1210" t="n">
        <v>87.8</v>
      </c>
      <c r="I975" s="1211" t="n">
        <v>41</v>
      </c>
      <c r="J975" s="1211"/>
      <c r="K975" s="1212" t="n">
        <f aca="false">H975*I975/100</f>
        <v>35.998</v>
      </c>
      <c r="L975" s="1219" t="n">
        <v>3700</v>
      </c>
      <c r="M975" s="1214" t="n">
        <v>1</v>
      </c>
      <c r="N975" s="1398" t="n">
        <f aca="false">L975*M975</f>
        <v>3700</v>
      </c>
      <c r="O975" s="1398" t="n">
        <f aca="false">H975*N975</f>
        <v>324860</v>
      </c>
      <c r="P975" s="1216"/>
      <c r="Q975" s="1628"/>
      <c r="R975" s="1629"/>
      <c r="S975" s="1218"/>
      <c r="T975" s="1630" t="n">
        <f aca="false">O975-R975</f>
        <v>324860</v>
      </c>
      <c r="U975" s="1219" t="n">
        <f aca="false">N975-S975</f>
        <v>3700</v>
      </c>
    </row>
    <row r="976" customFormat="false" ht="15" hidden="false" customHeight="true" outlineLevel="0" collapsed="false">
      <c r="A976" s="847" t="n">
        <v>292</v>
      </c>
      <c r="B976" s="847" t="s">
        <v>2191</v>
      </c>
      <c r="C976" s="847" t="n">
        <v>2022</v>
      </c>
      <c r="D976" s="848" t="s">
        <v>13</v>
      </c>
      <c r="E976" s="848" t="s">
        <v>2192</v>
      </c>
      <c r="F976" s="848" t="s">
        <v>1651</v>
      </c>
      <c r="G976" s="849"/>
      <c r="H976" s="949" t="n">
        <v>22.5</v>
      </c>
      <c r="I976" s="950"/>
      <c r="J976" s="950"/>
      <c r="K976" s="852" t="n">
        <f aca="false">H976*I976/100</f>
        <v>0</v>
      </c>
      <c r="L976" s="537" t="n">
        <v>3</v>
      </c>
      <c r="M976" s="1007" t="n">
        <v>10</v>
      </c>
      <c r="N976" s="1143" t="n">
        <f aca="false">L976*M976</f>
        <v>30</v>
      </c>
      <c r="O976" s="1143" t="n">
        <f aca="false">H976*N976</f>
        <v>675</v>
      </c>
      <c r="P976" s="856" t="s">
        <v>2204</v>
      </c>
      <c r="Q976" s="857" t="n">
        <v>24052024</v>
      </c>
      <c r="R976" s="1380" t="n">
        <v>675</v>
      </c>
      <c r="S976" s="866" t="n">
        <f aca="false">R976/H976</f>
        <v>30</v>
      </c>
      <c r="T976" s="537" t="n">
        <f aca="false">O976-R976</f>
        <v>0</v>
      </c>
      <c r="U976" s="537" t="n">
        <f aca="false">N976-S976</f>
        <v>0</v>
      </c>
    </row>
    <row r="977" customFormat="false" ht="15" hidden="false" customHeight="true" outlineLevel="0" collapsed="false">
      <c r="A977" s="847" t="n">
        <v>293</v>
      </c>
      <c r="B977" s="847" t="s">
        <v>2191</v>
      </c>
      <c r="C977" s="847" t="n">
        <v>2022</v>
      </c>
      <c r="D977" s="848" t="s">
        <v>13</v>
      </c>
      <c r="E977" s="848" t="s">
        <v>2192</v>
      </c>
      <c r="F977" s="848" t="s">
        <v>1651</v>
      </c>
      <c r="G977" s="849"/>
      <c r="H977" s="949" t="n">
        <v>22.5</v>
      </c>
      <c r="I977" s="950"/>
      <c r="J977" s="950"/>
      <c r="K977" s="852" t="n">
        <f aca="false">H977*I977/100</f>
        <v>0</v>
      </c>
      <c r="L977" s="537" t="n">
        <v>14</v>
      </c>
      <c r="M977" s="1007" t="n">
        <v>15</v>
      </c>
      <c r="N977" s="1143" t="n">
        <f aca="false">L977*M977</f>
        <v>210</v>
      </c>
      <c r="O977" s="1438" t="n">
        <f aca="false">H977*N977</f>
        <v>4725</v>
      </c>
      <c r="P977" s="856" t="s">
        <v>2193</v>
      </c>
      <c r="Q977" s="857" t="s">
        <v>2346</v>
      </c>
      <c r="R977" s="1380" t="n">
        <v>4725</v>
      </c>
      <c r="S977" s="866" t="n">
        <f aca="false">R977/H977</f>
        <v>210</v>
      </c>
      <c r="T977" s="537" t="n">
        <f aca="false">O977-R977</f>
        <v>0</v>
      </c>
      <c r="U977" s="537" t="n">
        <f aca="false">N977-S977</f>
        <v>0</v>
      </c>
    </row>
    <row r="978" customFormat="false" ht="15" hidden="false" customHeight="true" outlineLevel="0" collapsed="false">
      <c r="A978" s="859" t="n">
        <v>359</v>
      </c>
      <c r="B978" s="859" t="s">
        <v>2191</v>
      </c>
      <c r="C978" s="859" t="n">
        <v>2022</v>
      </c>
      <c r="D978" s="860" t="s">
        <v>13</v>
      </c>
      <c r="E978" s="860" t="s">
        <v>2192</v>
      </c>
      <c r="F978" s="860" t="s">
        <v>2130</v>
      </c>
      <c r="G978" s="861"/>
      <c r="H978" s="980" t="n">
        <v>40</v>
      </c>
      <c r="I978" s="981"/>
      <c r="J978" s="981"/>
      <c r="K978" s="864" t="n">
        <f aca="false">H978*I978/100</f>
        <v>0</v>
      </c>
      <c r="L978" s="543" t="n">
        <v>1956</v>
      </c>
      <c r="M978" s="983" t="n">
        <v>1</v>
      </c>
      <c r="N978" s="1299" t="n">
        <f aca="false">L978*M978</f>
        <v>1956</v>
      </c>
      <c r="O978" s="1299" t="n">
        <f aca="false">H978*N978</f>
        <v>78240</v>
      </c>
      <c r="P978" s="868" t="s">
        <v>2204</v>
      </c>
      <c r="Q978" s="869" t="n">
        <v>16102024</v>
      </c>
      <c r="R978" s="1521" t="n">
        <v>78240</v>
      </c>
      <c r="S978" s="866" t="n">
        <f aca="false">R978/H978</f>
        <v>1956</v>
      </c>
      <c r="T978" s="543" t="n">
        <f aca="false">O978-R978</f>
        <v>0</v>
      </c>
      <c r="U978" s="543" t="n">
        <f aca="false">N978-S978</f>
        <v>0</v>
      </c>
    </row>
    <row r="979" customFormat="false" ht="15" hidden="false" customHeight="true" outlineLevel="0" collapsed="false">
      <c r="A979" s="870" t="n">
        <v>359</v>
      </c>
      <c r="B979" s="870" t="s">
        <v>2191</v>
      </c>
      <c r="C979" s="870" t="n">
        <v>2022</v>
      </c>
      <c r="D979" s="871" t="s">
        <v>13</v>
      </c>
      <c r="E979" s="871" t="s">
        <v>2192</v>
      </c>
      <c r="F979" s="871" t="s">
        <v>2130</v>
      </c>
      <c r="G979" s="872"/>
      <c r="H979" s="1116" t="n">
        <v>40</v>
      </c>
      <c r="I979" s="1117"/>
      <c r="J979" s="1117"/>
      <c r="K979" s="864" t="n">
        <f aca="false">H979*I979/100</f>
        <v>0</v>
      </c>
      <c r="L979" s="553" t="n">
        <v>3</v>
      </c>
      <c r="M979" s="1000" t="n">
        <v>25</v>
      </c>
      <c r="N979" s="1299" t="n">
        <f aca="false">L979*M979</f>
        <v>75</v>
      </c>
      <c r="O979" s="1299" t="n">
        <f aca="false">H979*N979</f>
        <v>3000</v>
      </c>
      <c r="P979" s="879" t="s">
        <v>2232</v>
      </c>
      <c r="Q979" s="880" t="s">
        <v>116</v>
      </c>
      <c r="R979" s="1587" t="n">
        <v>3000</v>
      </c>
      <c r="S979" s="866" t="n">
        <f aca="false">R979/H979</f>
        <v>75</v>
      </c>
      <c r="T979" s="543" t="n">
        <f aca="false">O979-R979</f>
        <v>0</v>
      </c>
      <c r="U979" s="543" t="n">
        <f aca="false">N979-S979</f>
        <v>0</v>
      </c>
    </row>
    <row r="980" customFormat="false" ht="15" hidden="false" customHeight="true" outlineLevel="0" collapsed="false">
      <c r="A980" s="870" t="n">
        <v>417</v>
      </c>
      <c r="B980" s="870" t="s">
        <v>2191</v>
      </c>
      <c r="C980" s="870" t="n">
        <v>2022</v>
      </c>
      <c r="D980" s="871" t="s">
        <v>13</v>
      </c>
      <c r="E980" s="871" t="s">
        <v>2192</v>
      </c>
      <c r="F980" s="871" t="s">
        <v>2130</v>
      </c>
      <c r="G980" s="872"/>
      <c r="H980" s="1116" t="n">
        <v>40</v>
      </c>
      <c r="I980" s="1117"/>
      <c r="J980" s="1117"/>
      <c r="K980" s="864" t="n">
        <f aca="false">H980*I980/100</f>
        <v>0</v>
      </c>
      <c r="L980" s="553" t="n">
        <v>2</v>
      </c>
      <c r="M980" s="1000" t="n">
        <v>25</v>
      </c>
      <c r="N980" s="1299" t="n">
        <f aca="false">L980*M980</f>
        <v>50</v>
      </c>
      <c r="O980" s="1299" t="n">
        <f aca="false">H980*N980</f>
        <v>2000</v>
      </c>
      <c r="P980" s="879" t="s">
        <v>2232</v>
      </c>
      <c r="Q980" s="880" t="s">
        <v>116</v>
      </c>
      <c r="R980" s="1587" t="n">
        <v>2000</v>
      </c>
      <c r="S980" s="866" t="n">
        <f aca="false">R980/H980</f>
        <v>50</v>
      </c>
      <c r="T980" s="543" t="n">
        <f aca="false">O980-R980</f>
        <v>0</v>
      </c>
      <c r="U980" s="543" t="n">
        <f aca="false">N980-S980</f>
        <v>0</v>
      </c>
    </row>
    <row r="981" customFormat="false" ht="15" hidden="false" customHeight="true" outlineLevel="0" collapsed="false">
      <c r="A981" s="870" t="n">
        <v>524</v>
      </c>
      <c r="B981" s="870" t="s">
        <v>2191</v>
      </c>
      <c r="C981" s="870" t="n">
        <v>2022</v>
      </c>
      <c r="D981" s="871" t="s">
        <v>13</v>
      </c>
      <c r="E981" s="871" t="s">
        <v>2192</v>
      </c>
      <c r="F981" s="871" t="s">
        <v>2131</v>
      </c>
      <c r="G981" s="872"/>
      <c r="H981" s="1116" t="n">
        <v>60</v>
      </c>
      <c r="I981" s="1117"/>
      <c r="J981" s="1117"/>
      <c r="K981" s="875" t="n">
        <f aca="false">H981*I981/100</f>
        <v>0</v>
      </c>
      <c r="L981" s="553" t="n">
        <v>2</v>
      </c>
      <c r="M981" s="1000" t="n">
        <v>25</v>
      </c>
      <c r="N981" s="1301" t="n">
        <f aca="false">L981*M981</f>
        <v>50</v>
      </c>
      <c r="O981" s="1301" t="n">
        <f aca="false">H981*N981</f>
        <v>3000</v>
      </c>
      <c r="P981" s="879" t="s">
        <v>2232</v>
      </c>
      <c r="Q981" s="880" t="s">
        <v>116</v>
      </c>
      <c r="R981" s="1587" t="n">
        <v>3000</v>
      </c>
      <c r="S981" s="866" t="n">
        <f aca="false">R981/H981</f>
        <v>50</v>
      </c>
      <c r="T981" s="553" t="n">
        <f aca="false">O981-R981</f>
        <v>0</v>
      </c>
      <c r="U981" s="553" t="n">
        <f aca="false">N981-S981</f>
        <v>0</v>
      </c>
    </row>
    <row r="982" customFormat="false" ht="15" hidden="false" customHeight="true" outlineLevel="0" collapsed="false">
      <c r="A982" s="870" t="n">
        <v>563</v>
      </c>
      <c r="B982" s="870" t="s">
        <v>2191</v>
      </c>
      <c r="C982" s="870" t="n">
        <v>2022</v>
      </c>
      <c r="D982" s="871" t="s">
        <v>13</v>
      </c>
      <c r="E982" s="871" t="s">
        <v>2192</v>
      </c>
      <c r="F982" s="871" t="s">
        <v>2130</v>
      </c>
      <c r="G982" s="872"/>
      <c r="H982" s="1116" t="n">
        <v>40</v>
      </c>
      <c r="I982" s="1117"/>
      <c r="J982" s="1117"/>
      <c r="K982" s="875" t="n">
        <f aca="false">H982*I982/100</f>
        <v>0</v>
      </c>
      <c r="L982" s="553" t="n">
        <v>3</v>
      </c>
      <c r="M982" s="1000" t="n">
        <v>25</v>
      </c>
      <c r="N982" s="1301" t="n">
        <f aca="false">L982*M982</f>
        <v>75</v>
      </c>
      <c r="O982" s="1301" t="n">
        <f aca="false">H982*N982</f>
        <v>3000</v>
      </c>
      <c r="P982" s="879" t="s">
        <v>2232</v>
      </c>
      <c r="Q982" s="880" t="s">
        <v>116</v>
      </c>
      <c r="R982" s="1587" t="n">
        <v>3000</v>
      </c>
      <c r="S982" s="866" t="n">
        <f aca="false">R982/H982</f>
        <v>75</v>
      </c>
      <c r="T982" s="553" t="n">
        <f aca="false">O982-R982</f>
        <v>0</v>
      </c>
      <c r="U982" s="553" t="n">
        <f aca="false">N982-S982</f>
        <v>0</v>
      </c>
    </row>
    <row r="983" customFormat="false" ht="15" hidden="false" customHeight="true" outlineLevel="0" collapsed="false">
      <c r="A983" s="870" t="n">
        <v>571</v>
      </c>
      <c r="B983" s="870" t="s">
        <v>2191</v>
      </c>
      <c r="C983" s="870" t="n">
        <v>2022</v>
      </c>
      <c r="D983" s="871" t="s">
        <v>13</v>
      </c>
      <c r="E983" s="871" t="s">
        <v>2192</v>
      </c>
      <c r="F983" s="871" t="s">
        <v>1731</v>
      </c>
      <c r="G983" s="872"/>
      <c r="H983" s="1116" t="n">
        <v>60</v>
      </c>
      <c r="I983" s="1117"/>
      <c r="J983" s="1117"/>
      <c r="K983" s="875" t="n">
        <f aca="false">H983*I983/100</f>
        <v>0</v>
      </c>
      <c r="L983" s="553" t="n">
        <v>374</v>
      </c>
      <c r="M983" s="1000" t="n">
        <v>1</v>
      </c>
      <c r="N983" s="1301" t="n">
        <f aca="false">L983*M983</f>
        <v>374</v>
      </c>
      <c r="O983" s="1301" t="n">
        <f aca="false">H983*N983</f>
        <v>22440</v>
      </c>
      <c r="P983" s="879" t="s">
        <v>2204</v>
      </c>
      <c r="Q983" s="880" t="n">
        <v>26102024</v>
      </c>
      <c r="R983" s="1587" t="n">
        <v>22440</v>
      </c>
      <c r="S983" s="866" t="n">
        <f aca="false">R983/H983</f>
        <v>374</v>
      </c>
      <c r="T983" s="553" t="n">
        <f aca="false">O983-R983</f>
        <v>0</v>
      </c>
      <c r="U983" s="553" t="n">
        <f aca="false">N983-S983</f>
        <v>0</v>
      </c>
    </row>
    <row r="984" customFormat="false" ht="15" hidden="false" customHeight="true" outlineLevel="0" collapsed="false">
      <c r="A984" s="829" t="n">
        <v>15</v>
      </c>
      <c r="B984" s="830" t="s">
        <v>86</v>
      </c>
      <c r="C984" s="830" t="n">
        <v>2023</v>
      </c>
      <c r="D984" s="1365" t="s">
        <v>13</v>
      </c>
      <c r="E984" s="831" t="s">
        <v>2192</v>
      </c>
      <c r="F984" s="832" t="s">
        <v>1650</v>
      </c>
      <c r="G984" s="833"/>
      <c r="H984" s="834" t="n">
        <v>92</v>
      </c>
      <c r="I984" s="836" t="n">
        <v>64</v>
      </c>
      <c r="J984" s="1020"/>
      <c r="K984" s="836" t="n">
        <f aca="false">H984*I984/100</f>
        <v>58.88</v>
      </c>
      <c r="L984" s="837" t="n">
        <v>175</v>
      </c>
      <c r="M984" s="1003" t="n">
        <v>1</v>
      </c>
      <c r="N984" s="837" t="n">
        <f aca="false">L984*M984</f>
        <v>175</v>
      </c>
      <c r="O984" s="837" t="n">
        <f aca="false">H984*N984</f>
        <v>16100</v>
      </c>
      <c r="P984" s="838" t="s">
        <v>2195</v>
      </c>
      <c r="Q984" s="839" t="s">
        <v>2240</v>
      </c>
      <c r="R984" s="1369" t="n">
        <v>8556</v>
      </c>
      <c r="S984" s="840" t="n">
        <f aca="false">R984/H984</f>
        <v>93</v>
      </c>
      <c r="T984" s="1120" t="n">
        <f aca="false">O984-R984-R985</f>
        <v>0</v>
      </c>
      <c r="U984" s="842" t="n">
        <f aca="false">N984-S984-S985</f>
        <v>0</v>
      </c>
    </row>
    <row r="985" customFormat="false" ht="15" hidden="false" customHeight="true" outlineLevel="0" collapsed="false">
      <c r="A985" s="829"/>
      <c r="B985" s="830"/>
      <c r="C985" s="830"/>
      <c r="D985" s="1357" t="s">
        <v>13</v>
      </c>
      <c r="E985" s="843" t="s">
        <v>2192</v>
      </c>
      <c r="F985" s="832"/>
      <c r="G985" s="833"/>
      <c r="H985" s="834"/>
      <c r="I985" s="836"/>
      <c r="J985" s="1020"/>
      <c r="K985" s="836"/>
      <c r="L985" s="837"/>
      <c r="M985" s="1003"/>
      <c r="N985" s="837"/>
      <c r="O985" s="837"/>
      <c r="P985" s="844" t="s">
        <v>2193</v>
      </c>
      <c r="Q985" s="845" t="s">
        <v>2413</v>
      </c>
      <c r="R985" s="1362" t="n">
        <v>7544</v>
      </c>
      <c r="S985" s="846" t="n">
        <f aca="false">R985/H984</f>
        <v>82</v>
      </c>
      <c r="T985" s="1120"/>
      <c r="U985" s="842"/>
    </row>
    <row r="986" customFormat="false" ht="15" hidden="false" customHeight="true" outlineLevel="0" collapsed="false">
      <c r="A986" s="829" t="n">
        <v>23</v>
      </c>
      <c r="B986" s="1173" t="s">
        <v>86</v>
      </c>
      <c r="C986" s="1173" t="n">
        <v>2023</v>
      </c>
      <c r="D986" s="1365" t="s">
        <v>13</v>
      </c>
      <c r="E986" s="831" t="s">
        <v>2203</v>
      </c>
      <c r="F986" s="831"/>
      <c r="G986" s="1108"/>
      <c r="H986" s="1434" t="n">
        <v>30.7</v>
      </c>
      <c r="I986" s="1612"/>
      <c r="J986" s="1612"/>
      <c r="K986" s="1111" t="n">
        <f aca="false">H986*I986/100</f>
        <v>0</v>
      </c>
      <c r="L986" s="1408" t="n">
        <v>372</v>
      </c>
      <c r="M986" s="1113" t="n">
        <v>1</v>
      </c>
      <c r="N986" s="1408" t="n">
        <f aca="false">L986*M986</f>
        <v>372</v>
      </c>
      <c r="O986" s="1408" t="n">
        <f aca="false">H986*N986</f>
        <v>11420.4</v>
      </c>
      <c r="P986" s="838" t="s">
        <v>2232</v>
      </c>
      <c r="Q986" s="839" t="s">
        <v>2336</v>
      </c>
      <c r="R986" s="1369" t="n">
        <v>11420.4</v>
      </c>
      <c r="S986" s="886" t="n">
        <f aca="false">R986/H986</f>
        <v>372</v>
      </c>
      <c r="T986" s="1114" t="n">
        <f aca="false">O986-R986</f>
        <v>0</v>
      </c>
      <c r="U986" s="1176" t="n">
        <f aca="false">N986-S986</f>
        <v>0</v>
      </c>
    </row>
    <row r="987" customFormat="false" ht="15" hidden="false" customHeight="true" outlineLevel="0" collapsed="false">
      <c r="A987" s="829"/>
      <c r="B987" s="1072" t="s">
        <v>86</v>
      </c>
      <c r="C987" s="1072" t="n">
        <v>2023</v>
      </c>
      <c r="D987" s="1501" t="s">
        <v>13</v>
      </c>
      <c r="E987" s="887" t="s">
        <v>2241</v>
      </c>
      <c r="F987" s="887"/>
      <c r="G987" s="1062"/>
      <c r="H987" s="1291" t="n">
        <v>37.4</v>
      </c>
      <c r="I987" s="1292"/>
      <c r="J987" s="1292"/>
      <c r="K987" s="1064" t="n">
        <f aca="false">H987*I987/100</f>
        <v>0</v>
      </c>
      <c r="L987" s="1082" t="n">
        <v>557</v>
      </c>
      <c r="M987" s="1066" t="n">
        <v>1</v>
      </c>
      <c r="N987" s="1082" t="n">
        <f aca="false">L987*M987</f>
        <v>557</v>
      </c>
      <c r="O987" s="1082" t="n">
        <f aca="false">H987*N987</f>
        <v>20831.8</v>
      </c>
      <c r="P987" s="888" t="s">
        <v>2204</v>
      </c>
      <c r="Q987" s="889" t="n">
        <v>20082024</v>
      </c>
      <c r="R987" s="1631" t="n">
        <v>20831.8</v>
      </c>
      <c r="S987" s="846" t="n">
        <f aca="false">R987/H987</f>
        <v>557</v>
      </c>
      <c r="T987" s="1067" t="n">
        <f aca="false">O987-R987</f>
        <v>0</v>
      </c>
      <c r="U987" s="1070" t="n">
        <f aca="false">N987-S987</f>
        <v>0</v>
      </c>
    </row>
    <row r="988" customFormat="false" ht="15" hidden="false" customHeight="true" outlineLevel="0" collapsed="false">
      <c r="A988" s="1220" t="n">
        <v>47</v>
      </c>
      <c r="B988" s="1632" t="s">
        <v>86</v>
      </c>
      <c r="C988" s="1632" t="n">
        <v>2023</v>
      </c>
      <c r="D988" s="1633" t="s">
        <v>13</v>
      </c>
      <c r="E988" s="1041" t="s">
        <v>2203</v>
      </c>
      <c r="F988" s="1634"/>
      <c r="G988" s="1635"/>
      <c r="H988" s="1636" t="n">
        <v>85.8</v>
      </c>
      <c r="I988" s="1637" t="n">
        <v>10</v>
      </c>
      <c r="J988" s="1638"/>
      <c r="K988" s="1639" t="n">
        <f aca="false">H988*I988/100</f>
        <v>8.58</v>
      </c>
      <c r="L988" s="1640" t="n">
        <v>11952</v>
      </c>
      <c r="M988" s="1641" t="n">
        <v>1</v>
      </c>
      <c r="N988" s="1640" t="n">
        <f aca="false">L988*M988</f>
        <v>11952</v>
      </c>
      <c r="O988" s="1642" t="n">
        <f aca="false">H988*N988</f>
        <v>1025481.6</v>
      </c>
      <c r="P988" s="1643" t="s">
        <v>2232</v>
      </c>
      <c r="Q988" s="1644" t="s">
        <v>2336</v>
      </c>
      <c r="R988" s="1645" t="n">
        <v>127927.8</v>
      </c>
      <c r="S988" s="1052" t="n">
        <f aca="false">R988/H988</f>
        <v>1491</v>
      </c>
      <c r="T988" s="1642" t="n">
        <f aca="false">O988-R988-R990-R989</f>
        <v>554353.8</v>
      </c>
      <c r="U988" s="1646" t="n">
        <f aca="false">N988-S988-S990-S989</f>
        <v>6461</v>
      </c>
    </row>
    <row r="989" customFormat="false" ht="15" hidden="false" customHeight="true" outlineLevel="0" collapsed="false">
      <c r="A989" s="1220"/>
      <c r="B989" s="1632"/>
      <c r="C989" s="1632"/>
      <c r="D989" s="1647" t="s">
        <v>13</v>
      </c>
      <c r="E989" s="1208" t="s">
        <v>2203</v>
      </c>
      <c r="F989" s="1634"/>
      <c r="G989" s="1635"/>
      <c r="H989" s="1636"/>
      <c r="I989" s="1637"/>
      <c r="J989" s="1638"/>
      <c r="K989" s="1639"/>
      <c r="L989" s="1640"/>
      <c r="M989" s="1641"/>
      <c r="N989" s="1640"/>
      <c r="O989" s="1642"/>
      <c r="P989" s="1216" t="s">
        <v>2232</v>
      </c>
      <c r="Q989" s="1628" t="s">
        <v>104</v>
      </c>
      <c r="R989" s="1648" t="n">
        <v>85800</v>
      </c>
      <c r="S989" s="1218" t="n">
        <f aca="false">R989/H988</f>
        <v>1000</v>
      </c>
      <c r="T989" s="1642"/>
      <c r="U989" s="1646"/>
    </row>
    <row r="990" customFormat="false" ht="15" hidden="false" customHeight="true" outlineLevel="0" collapsed="false">
      <c r="A990" s="1220"/>
      <c r="B990" s="1632"/>
      <c r="C990" s="1632"/>
      <c r="D990" s="1483" t="s">
        <v>13</v>
      </c>
      <c r="E990" s="1482" t="s">
        <v>2203</v>
      </c>
      <c r="F990" s="1634"/>
      <c r="G990" s="1635"/>
      <c r="H990" s="1636"/>
      <c r="I990" s="1637"/>
      <c r="J990" s="1638"/>
      <c r="K990" s="1639"/>
      <c r="L990" s="1640"/>
      <c r="M990" s="1641"/>
      <c r="N990" s="1640"/>
      <c r="O990" s="1642"/>
      <c r="P990" s="1489" t="s">
        <v>2232</v>
      </c>
      <c r="Q990" s="1490" t="s">
        <v>2335</v>
      </c>
      <c r="R990" s="1649" t="n">
        <v>257400</v>
      </c>
      <c r="S990" s="1491" t="n">
        <f aca="false">R990/H988</f>
        <v>3000</v>
      </c>
      <c r="T990" s="1642"/>
      <c r="U990" s="1646"/>
    </row>
    <row r="991" customFormat="false" ht="15" hidden="false" customHeight="true" outlineLevel="0" collapsed="false">
      <c r="A991" s="1229" t="n">
        <v>54</v>
      </c>
      <c r="B991" s="1229" t="s">
        <v>86</v>
      </c>
      <c r="C991" s="1229" t="n">
        <v>2023</v>
      </c>
      <c r="D991" s="1650" t="s">
        <v>13</v>
      </c>
      <c r="E991" s="1230" t="s">
        <v>2203</v>
      </c>
      <c r="F991" s="1230"/>
      <c r="G991" s="1231"/>
      <c r="H991" s="1330" t="n">
        <v>93.3</v>
      </c>
      <c r="I991" s="1651" t="n">
        <v>12</v>
      </c>
      <c r="J991" s="1331"/>
      <c r="K991" s="1332" t="n">
        <f aca="false">H991*I991/100</f>
        <v>11.196</v>
      </c>
      <c r="L991" s="1333" t="n">
        <v>6056</v>
      </c>
      <c r="M991" s="1235" t="n">
        <v>1</v>
      </c>
      <c r="N991" s="1333" t="n">
        <f aca="false">L991*M991</f>
        <v>6056</v>
      </c>
      <c r="O991" s="1652" t="n">
        <f aca="false">H991*N991</f>
        <v>565024.8</v>
      </c>
      <c r="P991" s="1236"/>
      <c r="Q991" s="1653"/>
      <c r="R991" s="1654"/>
      <c r="S991" s="1177"/>
      <c r="T991" s="1655" t="n">
        <f aca="false">O991-R991</f>
        <v>565024.8</v>
      </c>
      <c r="U991" s="1335" t="n">
        <f aca="false">N991-S991</f>
        <v>6056</v>
      </c>
    </row>
    <row r="992" customFormat="false" ht="15" hidden="false" customHeight="true" outlineLevel="0" collapsed="false">
      <c r="A992" s="882" t="n">
        <v>74</v>
      </c>
      <c r="B992" s="883" t="s">
        <v>86</v>
      </c>
      <c r="C992" s="883" t="n">
        <v>2023</v>
      </c>
      <c r="D992" s="831" t="s">
        <v>13</v>
      </c>
      <c r="E992" s="831" t="s">
        <v>2192</v>
      </c>
      <c r="F992" s="832" t="s">
        <v>1650</v>
      </c>
      <c r="G992" s="833"/>
      <c r="H992" s="834" t="n">
        <v>91.6</v>
      </c>
      <c r="I992" s="1020" t="n">
        <v>38</v>
      </c>
      <c r="J992" s="1020"/>
      <c r="K992" s="836" t="n">
        <f aca="false">H992*I992/100</f>
        <v>34.808</v>
      </c>
      <c r="L992" s="837" t="n">
        <v>5664</v>
      </c>
      <c r="M992" s="1003" t="n">
        <v>1</v>
      </c>
      <c r="N992" s="837" t="n">
        <f aca="false">L992*M992</f>
        <v>5664</v>
      </c>
      <c r="O992" s="837" t="n">
        <f aca="false">H992*N992</f>
        <v>518822.4</v>
      </c>
      <c r="P992" s="838" t="s">
        <v>2255</v>
      </c>
      <c r="Q992" s="839" t="s">
        <v>2677</v>
      </c>
      <c r="R992" s="1369" t="n">
        <v>109554</v>
      </c>
      <c r="S992" s="886" t="n">
        <f aca="false">R992/H992</f>
        <v>1196.00436681223</v>
      </c>
      <c r="T992" s="1017" t="n">
        <f aca="false">O992-R992-R994-R993</f>
        <v>0</v>
      </c>
      <c r="U992" s="842" t="n">
        <f aca="false">N992-S992-S994-S993</f>
        <v>0</v>
      </c>
    </row>
    <row r="993" customFormat="false" ht="15" hidden="false" customHeight="true" outlineLevel="0" collapsed="false">
      <c r="A993" s="882"/>
      <c r="B993" s="883"/>
      <c r="C993" s="883"/>
      <c r="D993" s="904" t="s">
        <v>13</v>
      </c>
      <c r="E993" s="904" t="s">
        <v>2192</v>
      </c>
      <c r="F993" s="832"/>
      <c r="G993" s="833"/>
      <c r="H993" s="834"/>
      <c r="I993" s="1020"/>
      <c r="J993" s="1020"/>
      <c r="K993" s="836"/>
      <c r="L993" s="837"/>
      <c r="M993" s="1003"/>
      <c r="N993" s="837"/>
      <c r="O993" s="837"/>
      <c r="P993" s="910" t="s">
        <v>2232</v>
      </c>
      <c r="Q993" s="911" t="s">
        <v>104</v>
      </c>
      <c r="R993" s="1355" t="n">
        <v>359621.2</v>
      </c>
      <c r="S993" s="866" t="n">
        <f aca="false">R993/H992</f>
        <v>3925.99563318777</v>
      </c>
      <c r="T993" s="1017"/>
      <c r="U993" s="842"/>
    </row>
    <row r="994" customFormat="false" ht="15" hidden="false" customHeight="true" outlineLevel="0" collapsed="false">
      <c r="A994" s="882"/>
      <c r="B994" s="883"/>
      <c r="C994" s="883"/>
      <c r="D994" s="843" t="s">
        <v>13</v>
      </c>
      <c r="E994" s="843" t="s">
        <v>2192</v>
      </c>
      <c r="F994" s="832"/>
      <c r="G994" s="833"/>
      <c r="H994" s="834"/>
      <c r="I994" s="1020"/>
      <c r="J994" s="1020"/>
      <c r="K994" s="836"/>
      <c r="L994" s="837"/>
      <c r="M994" s="1003"/>
      <c r="N994" s="837"/>
      <c r="O994" s="837"/>
      <c r="P994" s="844" t="s">
        <v>2193</v>
      </c>
      <c r="Q994" s="845" t="s">
        <v>2678</v>
      </c>
      <c r="R994" s="1362" t="n">
        <v>49647.2</v>
      </c>
      <c r="S994" s="846" t="n">
        <f aca="false">R994/H992</f>
        <v>542</v>
      </c>
      <c r="T994" s="1017"/>
      <c r="U994" s="842"/>
    </row>
    <row r="995" customFormat="false" ht="15" hidden="false" customHeight="true" outlineLevel="0" collapsed="false">
      <c r="A995" s="1081" t="n">
        <v>91</v>
      </c>
      <c r="B995" s="903" t="s">
        <v>86</v>
      </c>
      <c r="C995" s="903" t="n">
        <v>2023</v>
      </c>
      <c r="D995" s="904" t="s">
        <v>13</v>
      </c>
      <c r="E995" s="904" t="s">
        <v>2242</v>
      </c>
      <c r="F995" s="904"/>
      <c r="G995" s="905"/>
      <c r="H995" s="906" t="n">
        <v>14.2</v>
      </c>
      <c r="I995" s="907"/>
      <c r="J995" s="907"/>
      <c r="K995" s="939" t="n">
        <f aca="false">H995*I995/100</f>
        <v>0</v>
      </c>
      <c r="L995" s="1137" t="n">
        <v>548</v>
      </c>
      <c r="M995" s="1023" t="n">
        <v>1</v>
      </c>
      <c r="N995" s="1137" t="n">
        <f aca="false">L995*M995</f>
        <v>548</v>
      </c>
      <c r="O995" s="1121" t="n">
        <f aca="false">H995*N995</f>
        <v>7781.6</v>
      </c>
      <c r="P995" s="910" t="s">
        <v>2200</v>
      </c>
      <c r="Q995" s="911" t="s">
        <v>2679</v>
      </c>
      <c r="R995" s="1656" t="n">
        <v>7781.6</v>
      </c>
      <c r="S995" s="891" t="n">
        <f aca="false">R995/H995</f>
        <v>548</v>
      </c>
      <c r="T995" s="1122" t="n">
        <f aca="false">O995-R995</f>
        <v>0</v>
      </c>
      <c r="U995" s="1026" t="n">
        <f aca="false">N995-S995</f>
        <v>0</v>
      </c>
    </row>
    <row r="996" customFormat="false" ht="15" hidden="false" customHeight="true" outlineLevel="0" collapsed="false">
      <c r="A996" s="1081"/>
      <c r="B996" s="829" t="s">
        <v>86</v>
      </c>
      <c r="C996" s="830" t="n">
        <v>2023</v>
      </c>
      <c r="D996" s="831" t="s">
        <v>13</v>
      </c>
      <c r="E996" s="831" t="s">
        <v>2205</v>
      </c>
      <c r="F996" s="830"/>
      <c r="G996" s="833"/>
      <c r="H996" s="834" t="n">
        <v>21.1</v>
      </c>
      <c r="I996" s="835"/>
      <c r="J996" s="835"/>
      <c r="K996" s="836" t="n">
        <f aca="false">H996*I996/100</f>
        <v>0</v>
      </c>
      <c r="L996" s="837" t="n">
        <v>1420</v>
      </c>
      <c r="M996" s="1119" t="n">
        <v>1</v>
      </c>
      <c r="N996" s="837" t="n">
        <f aca="false">L996*M996</f>
        <v>1420</v>
      </c>
      <c r="O996" s="837" t="n">
        <f aca="false">H996*N996</f>
        <v>29962</v>
      </c>
      <c r="P996" s="838" t="s">
        <v>2195</v>
      </c>
      <c r="Q996" s="839" t="s">
        <v>2240</v>
      </c>
      <c r="R996" s="1369" t="n">
        <v>9094.1</v>
      </c>
      <c r="S996" s="840" t="n">
        <f aca="false">R996/H996</f>
        <v>431</v>
      </c>
      <c r="T996" s="837" t="n">
        <f aca="false">O996-R996-R997</f>
        <v>0</v>
      </c>
      <c r="U996" s="842" t="n">
        <f aca="false">N996-S996-S997</f>
        <v>0</v>
      </c>
    </row>
    <row r="997" customFormat="false" ht="15" hidden="false" customHeight="true" outlineLevel="0" collapsed="false">
      <c r="A997" s="1081"/>
      <c r="B997" s="829"/>
      <c r="C997" s="830"/>
      <c r="D997" s="843" t="s">
        <v>13</v>
      </c>
      <c r="E997" s="843" t="s">
        <v>2205</v>
      </c>
      <c r="F997" s="830"/>
      <c r="G997" s="833"/>
      <c r="H997" s="834"/>
      <c r="I997" s="835"/>
      <c r="J997" s="835"/>
      <c r="K997" s="836"/>
      <c r="L997" s="837"/>
      <c r="M997" s="1119"/>
      <c r="N997" s="837"/>
      <c r="O997" s="837"/>
      <c r="P997" s="844" t="s">
        <v>2204</v>
      </c>
      <c r="Q997" s="900" t="s">
        <v>2206</v>
      </c>
      <c r="R997" s="1657" t="n">
        <v>20867.9</v>
      </c>
      <c r="S997" s="846" t="n">
        <f aca="false">R997/H996</f>
        <v>989</v>
      </c>
      <c r="T997" s="837"/>
      <c r="U997" s="842"/>
    </row>
    <row r="998" customFormat="false" ht="15" hidden="false" customHeight="true" outlineLevel="0" collapsed="false">
      <c r="A998" s="829" t="n">
        <v>233</v>
      </c>
      <c r="B998" s="1061" t="s">
        <v>86</v>
      </c>
      <c r="C998" s="1061" t="n">
        <v>2023</v>
      </c>
      <c r="D998" s="848" t="s">
        <v>13</v>
      </c>
      <c r="E998" s="848" t="s">
        <v>2192</v>
      </c>
      <c r="F998" s="887" t="s">
        <v>1650</v>
      </c>
      <c r="G998" s="1062"/>
      <c r="H998" s="1077" t="n">
        <v>93.5</v>
      </c>
      <c r="I998" s="1078" t="n">
        <v>85</v>
      </c>
      <c r="J998" s="1078" t="n">
        <v>64</v>
      </c>
      <c r="K998" s="1064" t="n">
        <f aca="false">H998*I998/100</f>
        <v>79.475</v>
      </c>
      <c r="L998" s="1067" t="n">
        <v>5400</v>
      </c>
      <c r="M998" s="1066" t="n">
        <v>1</v>
      </c>
      <c r="N998" s="1067" t="n">
        <f aca="false">L998*M998</f>
        <v>5400</v>
      </c>
      <c r="O998" s="1067" t="n">
        <f aca="false">H998*N998</f>
        <v>504900</v>
      </c>
      <c r="P998" s="856" t="s">
        <v>2193</v>
      </c>
      <c r="Q998" s="857" t="s">
        <v>2680</v>
      </c>
      <c r="R998" s="1380" t="n">
        <v>476850</v>
      </c>
      <c r="S998" s="854" t="n">
        <f aca="false">R998/H998</f>
        <v>5100</v>
      </c>
      <c r="T998" s="1069" t="n">
        <f aca="false">O998-R998-R999</f>
        <v>0</v>
      </c>
      <c r="U998" s="1070" t="n">
        <f aca="false">N998-S998-S999</f>
        <v>0</v>
      </c>
    </row>
    <row r="999" customFormat="false" ht="15" hidden="false" customHeight="true" outlineLevel="0" collapsed="false">
      <c r="A999" s="829"/>
      <c r="B999" s="1061"/>
      <c r="C999" s="1061"/>
      <c r="D999" s="843" t="s">
        <v>13</v>
      </c>
      <c r="E999" s="843" t="s">
        <v>2192</v>
      </c>
      <c r="F999" s="887"/>
      <c r="G999" s="1062"/>
      <c r="H999" s="1077"/>
      <c r="I999" s="1078"/>
      <c r="J999" s="1078"/>
      <c r="K999" s="1064"/>
      <c r="L999" s="1067"/>
      <c r="M999" s="1066"/>
      <c r="N999" s="1067"/>
      <c r="O999" s="1067"/>
      <c r="P999" s="844" t="s">
        <v>2193</v>
      </c>
      <c r="Q999" s="845" t="s">
        <v>2346</v>
      </c>
      <c r="R999" s="1362" t="n">
        <v>28050</v>
      </c>
      <c r="S999" s="846" t="n">
        <f aca="false">R999/H998</f>
        <v>300</v>
      </c>
      <c r="T999" s="1069"/>
      <c r="U999" s="1070"/>
    </row>
    <row r="1000" customFormat="false" ht="15" hidden="false" customHeight="true" outlineLevel="0" collapsed="false">
      <c r="A1000" s="847" t="n">
        <v>134</v>
      </c>
      <c r="B1000" s="847" t="s">
        <v>2191</v>
      </c>
      <c r="C1000" s="847" t="n">
        <v>2023</v>
      </c>
      <c r="D1000" s="848" t="s">
        <v>13</v>
      </c>
      <c r="E1000" s="848" t="s">
        <v>2192</v>
      </c>
      <c r="F1000" s="848" t="s">
        <v>1651</v>
      </c>
      <c r="G1000" s="849"/>
      <c r="H1000" s="850" t="n">
        <v>22.5</v>
      </c>
      <c r="I1000" s="950"/>
      <c r="J1000" s="950"/>
      <c r="K1000" s="852" t="n">
        <f aca="false">H1000*I1000/100</f>
        <v>0</v>
      </c>
      <c r="L1000" s="1143" t="n">
        <v>9</v>
      </c>
      <c r="M1000" s="1007" t="n">
        <v>15</v>
      </c>
      <c r="N1000" s="1143" t="n">
        <f aca="false">L1000*M1000</f>
        <v>135</v>
      </c>
      <c r="O1000" s="853" t="n">
        <f aca="false">H1000*N1000</f>
        <v>3037.5</v>
      </c>
      <c r="P1000" s="856" t="s">
        <v>2193</v>
      </c>
      <c r="Q1000" s="857" t="s">
        <v>2681</v>
      </c>
      <c r="R1000" s="1380" t="n">
        <v>3037.5</v>
      </c>
      <c r="S1000" s="866" t="n">
        <f aca="false">R1000/H1000</f>
        <v>135</v>
      </c>
      <c r="T1000" s="537" t="n">
        <f aca="false">O1000-R1000</f>
        <v>0</v>
      </c>
      <c r="U1000" s="537" t="n">
        <f aca="false">N1000-S1000</f>
        <v>0</v>
      </c>
    </row>
    <row r="1001" customFormat="false" ht="15" hidden="false" customHeight="true" outlineLevel="0" collapsed="false">
      <c r="A1001" s="870" t="n">
        <v>149</v>
      </c>
      <c r="B1001" s="870" t="s">
        <v>2191</v>
      </c>
      <c r="C1001" s="870" t="n">
        <v>2023</v>
      </c>
      <c r="D1001" s="871" t="s">
        <v>13</v>
      </c>
      <c r="E1001" s="871" t="s">
        <v>2192</v>
      </c>
      <c r="F1001" s="871" t="s">
        <v>2133</v>
      </c>
      <c r="G1001" s="872"/>
      <c r="H1001" s="873" t="n">
        <v>90</v>
      </c>
      <c r="I1001" s="1117"/>
      <c r="J1001" s="1117"/>
      <c r="K1001" s="875" t="n">
        <f aca="false">H1001*I1001/100</f>
        <v>0</v>
      </c>
      <c r="L1001" s="1301" t="n">
        <v>9</v>
      </c>
      <c r="M1001" s="1000" t="n">
        <v>6</v>
      </c>
      <c r="N1001" s="1299" t="n">
        <f aca="false">L1001*M1001</f>
        <v>54</v>
      </c>
      <c r="O1001" s="865" t="n">
        <f aca="false">H1001*N1001</f>
        <v>4860</v>
      </c>
      <c r="P1001" s="879" t="s">
        <v>2193</v>
      </c>
      <c r="Q1001" s="880" t="s">
        <v>2413</v>
      </c>
      <c r="R1001" s="1587" t="n">
        <v>4860</v>
      </c>
      <c r="S1001" s="866" t="n">
        <f aca="false">R1001/H1001</f>
        <v>54</v>
      </c>
      <c r="T1001" s="553" t="n">
        <f aca="false">O1001-R1001</f>
        <v>0</v>
      </c>
      <c r="U1001" s="553" t="n">
        <f aca="false">N1001-S1001</f>
        <v>0</v>
      </c>
    </row>
    <row r="1002" customFormat="false" ht="15" hidden="false" customHeight="true" outlineLevel="0" collapsed="false">
      <c r="A1002" s="870" t="n">
        <v>153</v>
      </c>
      <c r="B1002" s="870" t="s">
        <v>86</v>
      </c>
      <c r="C1002" s="870" t="n">
        <v>2023</v>
      </c>
      <c r="D1002" s="871" t="s">
        <v>13</v>
      </c>
      <c r="E1002" s="871" t="s">
        <v>2241</v>
      </c>
      <c r="F1002" s="871"/>
      <c r="G1002" s="872"/>
      <c r="H1002" s="873" t="n">
        <v>0.8</v>
      </c>
      <c r="I1002" s="1117"/>
      <c r="J1002" s="1117"/>
      <c r="K1002" s="864" t="n">
        <f aca="false">H1002*I1002/100</f>
        <v>0</v>
      </c>
      <c r="L1002" s="1301" t="n">
        <v>2092</v>
      </c>
      <c r="M1002" s="1000" t="n">
        <v>1</v>
      </c>
      <c r="N1002" s="1299" t="n">
        <f aca="false">L1002*M1002</f>
        <v>2092</v>
      </c>
      <c r="O1002" s="867" t="n">
        <f aca="false">H1002*N1002</f>
        <v>1673.6</v>
      </c>
      <c r="P1002" s="879" t="s">
        <v>2204</v>
      </c>
      <c r="Q1002" s="880" t="n">
        <v>14052024</v>
      </c>
      <c r="R1002" s="1587" t="n">
        <v>1673.6</v>
      </c>
      <c r="S1002" s="891" t="n">
        <f aca="false">R1002/H1002</f>
        <v>2092</v>
      </c>
      <c r="T1002" s="1556" t="n">
        <f aca="false">O1002-R1002</f>
        <v>0</v>
      </c>
      <c r="U1002" s="543" t="n">
        <f aca="false">N1002-S1002</f>
        <v>0</v>
      </c>
    </row>
    <row r="1003" customFormat="false" ht="15" hidden="false" customHeight="true" outlineLevel="0" collapsed="false">
      <c r="A1003" s="870" t="n">
        <v>200</v>
      </c>
      <c r="B1003" s="870" t="s">
        <v>86</v>
      </c>
      <c r="C1003" s="870" t="n">
        <v>2023</v>
      </c>
      <c r="D1003" s="871" t="s">
        <v>13</v>
      </c>
      <c r="E1003" s="871" t="s">
        <v>2205</v>
      </c>
      <c r="F1003" s="871"/>
      <c r="G1003" s="872"/>
      <c r="H1003" s="873" t="n">
        <v>0</v>
      </c>
      <c r="I1003" s="1117"/>
      <c r="J1003" s="1117"/>
      <c r="K1003" s="864" t="n">
        <f aca="false">H1003*I1003/100</f>
        <v>0</v>
      </c>
      <c r="L1003" s="1301" t="n">
        <v>94</v>
      </c>
      <c r="M1003" s="1000" t="n">
        <v>1</v>
      </c>
      <c r="N1003" s="1299" t="n">
        <f aca="false">L1003*M1003</f>
        <v>94</v>
      </c>
      <c r="O1003" s="865" t="n">
        <f aca="false">H1003*N1003</f>
        <v>0</v>
      </c>
      <c r="P1003" s="879" t="s">
        <v>2200</v>
      </c>
      <c r="Q1003" s="880" t="s">
        <v>2679</v>
      </c>
      <c r="R1003" s="1587" t="n">
        <v>0</v>
      </c>
      <c r="S1003" s="877" t="n">
        <v>94</v>
      </c>
      <c r="T1003" s="1556" t="n">
        <f aca="false">O1003-R1003</f>
        <v>0</v>
      </c>
      <c r="U1003" s="553" t="n">
        <f aca="false">N1003-S1003</f>
        <v>0</v>
      </c>
    </row>
    <row r="1004" customFormat="false" ht="15" hidden="false" customHeight="true" outlineLevel="0" collapsed="false">
      <c r="A1004" s="870" t="n">
        <v>201</v>
      </c>
      <c r="B1004" s="870" t="s">
        <v>86</v>
      </c>
      <c r="C1004" s="870" t="n">
        <v>2023</v>
      </c>
      <c r="D1004" s="871" t="s">
        <v>13</v>
      </c>
      <c r="E1004" s="871" t="s">
        <v>2203</v>
      </c>
      <c r="F1004" s="871"/>
      <c r="G1004" s="872"/>
      <c r="H1004" s="873" t="n">
        <v>0</v>
      </c>
      <c r="I1004" s="1117"/>
      <c r="J1004" s="1117"/>
      <c r="K1004" s="864" t="n">
        <f aca="false">H1004*I1004/100</f>
        <v>0</v>
      </c>
      <c r="L1004" s="1301" t="n">
        <v>21</v>
      </c>
      <c r="M1004" s="1000" t="n">
        <v>1</v>
      </c>
      <c r="N1004" s="1299" t="n">
        <f aca="false">L1004*M1004</f>
        <v>21</v>
      </c>
      <c r="O1004" s="865" t="n">
        <f aca="false">H1004*N1004</f>
        <v>0</v>
      </c>
      <c r="P1004" s="879" t="s">
        <v>2204</v>
      </c>
      <c r="Q1004" s="880" t="n">
        <v>15052024</v>
      </c>
      <c r="R1004" s="1587" t="n">
        <v>0</v>
      </c>
      <c r="S1004" s="877" t="n">
        <v>21</v>
      </c>
      <c r="T1004" s="1556" t="n">
        <f aca="false">O1004-R1004</f>
        <v>0</v>
      </c>
      <c r="U1004" s="553" t="n">
        <f aca="false">N1004-S1004</f>
        <v>0</v>
      </c>
    </row>
    <row r="1005" customFormat="false" ht="15" hidden="false" customHeight="true" outlineLevel="0" collapsed="false">
      <c r="A1005" s="870" t="n">
        <v>205</v>
      </c>
      <c r="B1005" s="870" t="s">
        <v>86</v>
      </c>
      <c r="C1005" s="870" t="n">
        <v>2023</v>
      </c>
      <c r="D1005" s="871" t="s">
        <v>13</v>
      </c>
      <c r="E1005" s="871" t="s">
        <v>2205</v>
      </c>
      <c r="F1005" s="871"/>
      <c r="G1005" s="872"/>
      <c r="H1005" s="873" t="n">
        <v>0</v>
      </c>
      <c r="I1005" s="1117"/>
      <c r="J1005" s="1117"/>
      <c r="K1005" s="875" t="n">
        <f aca="false">H1005*I1005/100</f>
        <v>0</v>
      </c>
      <c r="L1005" s="1301" t="n">
        <v>77</v>
      </c>
      <c r="M1005" s="1000" t="n">
        <v>1</v>
      </c>
      <c r="N1005" s="1301" t="n">
        <f aca="false">L1005*M1005</f>
        <v>77</v>
      </c>
      <c r="O1005" s="876" t="n">
        <f aca="false">H1005*N1005</f>
        <v>0</v>
      </c>
      <c r="P1005" s="879" t="s">
        <v>2204</v>
      </c>
      <c r="Q1005" s="880" t="n">
        <v>15052024</v>
      </c>
      <c r="R1005" s="1587" t="n">
        <v>0</v>
      </c>
      <c r="S1005" s="877" t="n">
        <v>77</v>
      </c>
      <c r="T1005" s="1122" t="n">
        <f aca="false">O1005-R1005</f>
        <v>0</v>
      </c>
      <c r="U1005" s="553" t="n">
        <f aca="false">N1005-S1005</f>
        <v>0</v>
      </c>
    </row>
    <row r="1006" customFormat="false" ht="15" hidden="false" customHeight="true" outlineLevel="0" collapsed="false">
      <c r="A1006" s="881" t="n">
        <v>222</v>
      </c>
      <c r="B1006" s="829" t="s">
        <v>86</v>
      </c>
      <c r="C1006" s="830" t="n">
        <v>2023</v>
      </c>
      <c r="D1006" s="1328" t="s">
        <v>13</v>
      </c>
      <c r="E1006" s="1328" t="s">
        <v>2192</v>
      </c>
      <c r="F1006" s="832" t="s">
        <v>1650</v>
      </c>
      <c r="G1006" s="833"/>
      <c r="H1006" s="834" t="n">
        <v>93.3</v>
      </c>
      <c r="I1006" s="1020" t="n">
        <v>92</v>
      </c>
      <c r="J1006" s="1020" t="n">
        <v>98</v>
      </c>
      <c r="K1006" s="836" t="n">
        <f aca="false">H1006*I1006/100</f>
        <v>85.836</v>
      </c>
      <c r="L1006" s="837" t="n">
        <v>2533</v>
      </c>
      <c r="M1006" s="1003" t="n">
        <v>1</v>
      </c>
      <c r="N1006" s="837" t="n">
        <f aca="false">L1006*M1006</f>
        <v>2533</v>
      </c>
      <c r="O1006" s="841" t="n">
        <f aca="false">H1006*N1006</f>
        <v>236328.9</v>
      </c>
      <c r="P1006" s="884" t="s">
        <v>2193</v>
      </c>
      <c r="Q1006" s="885" t="s">
        <v>2413</v>
      </c>
      <c r="R1006" s="1658" t="n">
        <v>155624.4</v>
      </c>
      <c r="S1006" s="886" t="n">
        <f aca="false">R1006/H1006</f>
        <v>1668</v>
      </c>
      <c r="T1006" s="837" t="n">
        <f aca="false">O1006-R1006-R1007</f>
        <v>0</v>
      </c>
      <c r="U1006" s="842" t="n">
        <f aca="false">N1006-S1006-S1007</f>
        <v>0</v>
      </c>
    </row>
    <row r="1007" customFormat="false" ht="15" hidden="false" customHeight="true" outlineLevel="0" collapsed="false">
      <c r="A1007" s="881"/>
      <c r="B1007" s="829"/>
      <c r="C1007" s="830"/>
      <c r="D1007" s="843" t="s">
        <v>13</v>
      </c>
      <c r="E1007" s="843" t="s">
        <v>2192</v>
      </c>
      <c r="F1007" s="832"/>
      <c r="G1007" s="833"/>
      <c r="H1007" s="834"/>
      <c r="I1007" s="1020"/>
      <c r="J1007" s="1020"/>
      <c r="K1007" s="836"/>
      <c r="L1007" s="837"/>
      <c r="M1007" s="1003"/>
      <c r="N1007" s="837"/>
      <c r="O1007" s="841"/>
      <c r="P1007" s="844" t="s">
        <v>2193</v>
      </c>
      <c r="Q1007" s="845" t="s">
        <v>2346</v>
      </c>
      <c r="R1007" s="1657" t="n">
        <v>80704.5</v>
      </c>
      <c r="S1007" s="846" t="n">
        <f aca="false">R1007/H1006</f>
        <v>865</v>
      </c>
      <c r="T1007" s="837"/>
      <c r="U1007" s="842"/>
    </row>
    <row r="1008" customFormat="false" ht="15" hidden="false" customHeight="true" outlineLevel="0" collapsed="false">
      <c r="A1008" s="881"/>
      <c r="B1008" s="1351" t="s">
        <v>86</v>
      </c>
      <c r="C1008" s="903" t="n">
        <v>2023</v>
      </c>
      <c r="D1008" s="904" t="s">
        <v>13</v>
      </c>
      <c r="E1008" s="904" t="s">
        <v>2205</v>
      </c>
      <c r="F1008" s="904"/>
      <c r="G1008" s="905"/>
      <c r="H1008" s="946" t="n">
        <v>8.7</v>
      </c>
      <c r="I1008" s="1055"/>
      <c r="J1008" s="1055"/>
      <c r="K1008" s="939" t="n">
        <f aca="false">H1008*I1008/100</f>
        <v>0</v>
      </c>
      <c r="L1008" s="942" t="n">
        <v>233</v>
      </c>
      <c r="M1008" s="1023" t="n">
        <v>1</v>
      </c>
      <c r="N1008" s="1137" t="n">
        <f aca="false">L1008*M1008</f>
        <v>233</v>
      </c>
      <c r="O1008" s="1056" t="n">
        <f aca="false">H1008*N1008</f>
        <v>2027.1</v>
      </c>
      <c r="P1008" s="910" t="s">
        <v>2204</v>
      </c>
      <c r="Q1008" s="911" t="n">
        <v>15052024</v>
      </c>
      <c r="R1008" s="1355" t="n">
        <v>2027.1</v>
      </c>
      <c r="S1008" s="891" t="n">
        <f aca="false">R1008/H1008</f>
        <v>233</v>
      </c>
      <c r="T1008" s="942" t="n">
        <f aca="false">O1008-R1008</f>
        <v>0</v>
      </c>
      <c r="U1008" s="942" t="n">
        <f aca="false">N1008-S1008</f>
        <v>0</v>
      </c>
    </row>
    <row r="1009" customFormat="false" ht="15" hidden="false" customHeight="true" outlineLevel="0" collapsed="false">
      <c r="A1009" s="881"/>
      <c r="B1009" s="829" t="s">
        <v>86</v>
      </c>
      <c r="C1009" s="830" t="n">
        <v>2023</v>
      </c>
      <c r="D1009" s="831" t="s">
        <v>13</v>
      </c>
      <c r="E1009" s="831" t="s">
        <v>2242</v>
      </c>
      <c r="F1009" s="830"/>
      <c r="G1009" s="833"/>
      <c r="H1009" s="834" t="n">
        <v>80</v>
      </c>
      <c r="I1009" s="835"/>
      <c r="J1009" s="835"/>
      <c r="K1009" s="836" t="n">
        <f aca="false">H1009*I1009/100</f>
        <v>0</v>
      </c>
      <c r="L1009" s="837" t="n">
        <v>735</v>
      </c>
      <c r="M1009" s="1003" t="n">
        <v>1</v>
      </c>
      <c r="N1009" s="837" t="n">
        <f aca="false">L1009*M1009</f>
        <v>735</v>
      </c>
      <c r="O1009" s="841" t="n">
        <f aca="false">H1009*N1009</f>
        <v>58800</v>
      </c>
      <c r="P1009" s="838" t="s">
        <v>2232</v>
      </c>
      <c r="Q1009" s="839" t="s">
        <v>2414</v>
      </c>
      <c r="R1009" s="1369" t="n">
        <v>41440</v>
      </c>
      <c r="S1009" s="840" t="n">
        <f aca="false">R1009/H1009</f>
        <v>518</v>
      </c>
      <c r="T1009" s="841" t="n">
        <f aca="false">O1009-R1009-R1010</f>
        <v>0</v>
      </c>
      <c r="U1009" s="842" t="n">
        <f aca="false">N1009-S1009-S1010</f>
        <v>0</v>
      </c>
    </row>
    <row r="1010" customFormat="false" ht="15" hidden="false" customHeight="true" outlineLevel="0" collapsed="false">
      <c r="A1010" s="881"/>
      <c r="B1010" s="829"/>
      <c r="C1010" s="830"/>
      <c r="D1010" s="843" t="s">
        <v>13</v>
      </c>
      <c r="E1010" s="843" t="s">
        <v>2242</v>
      </c>
      <c r="F1010" s="830"/>
      <c r="G1010" s="833"/>
      <c r="H1010" s="834"/>
      <c r="I1010" s="835"/>
      <c r="J1010" s="835"/>
      <c r="K1010" s="836"/>
      <c r="L1010" s="837"/>
      <c r="M1010" s="1003"/>
      <c r="N1010" s="837"/>
      <c r="O1010" s="841"/>
      <c r="P1010" s="844" t="s">
        <v>2232</v>
      </c>
      <c r="Q1010" s="845" t="s">
        <v>105</v>
      </c>
      <c r="R1010" s="1362" t="n">
        <v>17360</v>
      </c>
      <c r="S1010" s="846" t="n">
        <f aca="false">R1010/H1009</f>
        <v>217</v>
      </c>
      <c r="T1010" s="841"/>
      <c r="U1010" s="842"/>
    </row>
    <row r="1011" customFormat="false" ht="15" hidden="false" customHeight="true" outlineLevel="0" collapsed="false">
      <c r="A1011" s="829" t="n">
        <v>224</v>
      </c>
      <c r="B1011" s="1351" t="s">
        <v>86</v>
      </c>
      <c r="C1011" s="903" t="n">
        <v>2023</v>
      </c>
      <c r="D1011" s="904" t="s">
        <v>13</v>
      </c>
      <c r="E1011" s="904" t="s">
        <v>2192</v>
      </c>
      <c r="F1011" s="904" t="s">
        <v>1650</v>
      </c>
      <c r="G1011" s="905"/>
      <c r="H1011" s="946" t="n">
        <v>90.2</v>
      </c>
      <c r="I1011" s="1055" t="n">
        <v>85</v>
      </c>
      <c r="J1011" s="1055" t="n">
        <v>85</v>
      </c>
      <c r="K1011" s="939" t="n">
        <f aca="false">H1011*I1011/100</f>
        <v>76.67</v>
      </c>
      <c r="L1011" s="942" t="n">
        <v>935</v>
      </c>
      <c r="M1011" s="1023" t="n">
        <v>1</v>
      </c>
      <c r="N1011" s="1137" t="n">
        <f aca="false">L1011*M1011</f>
        <v>935</v>
      </c>
      <c r="O1011" s="1056" t="n">
        <f aca="false">H1011*N1011</f>
        <v>84337</v>
      </c>
      <c r="P1011" s="910" t="s">
        <v>2193</v>
      </c>
      <c r="Q1011" s="911" t="s">
        <v>2346</v>
      </c>
      <c r="R1011" s="1355" t="n">
        <v>84337</v>
      </c>
      <c r="S1011" s="854" t="n">
        <f aca="false">R1011/H1011</f>
        <v>935</v>
      </c>
      <c r="T1011" s="942" t="n">
        <f aca="false">O1011-R1011</f>
        <v>0</v>
      </c>
      <c r="U1011" s="1026" t="n">
        <f aca="false">N1011-S1011</f>
        <v>0</v>
      </c>
    </row>
    <row r="1012" customFormat="false" ht="15" hidden="false" customHeight="true" outlineLevel="0" collapsed="false">
      <c r="A1012" s="829"/>
      <c r="B1012" s="1357" t="s">
        <v>86</v>
      </c>
      <c r="C1012" s="893" t="n">
        <v>2023</v>
      </c>
      <c r="D1012" s="843" t="s">
        <v>13</v>
      </c>
      <c r="E1012" s="843" t="s">
        <v>2203</v>
      </c>
      <c r="F1012" s="843"/>
      <c r="G1012" s="894"/>
      <c r="H1012" s="1103" t="n">
        <v>0</v>
      </c>
      <c r="I1012" s="1532"/>
      <c r="J1012" s="1532"/>
      <c r="K1012" s="897" t="n">
        <f aca="false">H1012*I1012/100</f>
        <v>0</v>
      </c>
      <c r="L1012" s="589" t="n">
        <v>170</v>
      </c>
      <c r="M1012" s="1106" t="n">
        <v>1</v>
      </c>
      <c r="N1012" s="1393" t="n">
        <f aca="false">L1012*M1012</f>
        <v>170</v>
      </c>
      <c r="O1012" s="899" t="n">
        <f aca="false">H1012*N1012</f>
        <v>0</v>
      </c>
      <c r="P1012" s="844" t="s">
        <v>2204</v>
      </c>
      <c r="Q1012" s="845" t="n">
        <v>14052024</v>
      </c>
      <c r="R1012" s="1362" t="n">
        <v>0</v>
      </c>
      <c r="S1012" s="846" t="n">
        <v>170</v>
      </c>
      <c r="T1012" s="589" t="n">
        <f aca="false">O1012-R1012</f>
        <v>0</v>
      </c>
      <c r="U1012" s="902" t="n">
        <f aca="false">N1012-S1012</f>
        <v>0</v>
      </c>
    </row>
    <row r="1013" customFormat="false" ht="15" hidden="false" customHeight="true" outlineLevel="0" collapsed="false">
      <c r="A1013" s="847" t="n">
        <v>225</v>
      </c>
      <c r="B1013" s="847" t="s">
        <v>86</v>
      </c>
      <c r="C1013" s="847" t="n">
        <v>2023</v>
      </c>
      <c r="D1013" s="848" t="s">
        <v>13</v>
      </c>
      <c r="E1013" s="848" t="s">
        <v>2192</v>
      </c>
      <c r="F1013" s="848" t="s">
        <v>1650</v>
      </c>
      <c r="G1013" s="849"/>
      <c r="H1013" s="949" t="n">
        <v>90.2</v>
      </c>
      <c r="I1013" s="1397" t="n">
        <v>88</v>
      </c>
      <c r="J1013" s="1397" t="n">
        <v>90</v>
      </c>
      <c r="K1013" s="852" t="n">
        <f aca="false">H1013*I1013/100</f>
        <v>79.376</v>
      </c>
      <c r="L1013" s="537" t="n">
        <v>4478</v>
      </c>
      <c r="M1013" s="1007" t="n">
        <v>1</v>
      </c>
      <c r="N1013" s="1143" t="n">
        <f aca="false">L1013*M1013</f>
        <v>4478</v>
      </c>
      <c r="O1013" s="855" t="n">
        <f aca="false">H1013*N1013</f>
        <v>403915.6</v>
      </c>
      <c r="P1013" s="856" t="s">
        <v>2193</v>
      </c>
      <c r="Q1013" s="857" t="s">
        <v>2346</v>
      </c>
      <c r="R1013" s="1380" t="n">
        <v>403915.6</v>
      </c>
      <c r="S1013" s="866" t="n">
        <f aca="false">R1013/H1013</f>
        <v>4478</v>
      </c>
      <c r="T1013" s="537" t="n">
        <f aca="false">O1013-R1013</f>
        <v>0</v>
      </c>
      <c r="U1013" s="537" t="n">
        <f aca="false">N1013-S1013</f>
        <v>0</v>
      </c>
    </row>
    <row r="1014" customFormat="false" ht="15" hidden="false" customHeight="true" outlineLevel="0" collapsed="false">
      <c r="A1014" s="859" t="n">
        <v>245</v>
      </c>
      <c r="B1014" s="859" t="s">
        <v>2191</v>
      </c>
      <c r="C1014" s="859" t="n">
        <v>2023</v>
      </c>
      <c r="D1014" s="860" t="s">
        <v>13</v>
      </c>
      <c r="E1014" s="860" t="s">
        <v>2192</v>
      </c>
      <c r="F1014" s="860" t="s">
        <v>1651</v>
      </c>
      <c r="G1014" s="861"/>
      <c r="H1014" s="980" t="n">
        <v>27.9</v>
      </c>
      <c r="I1014" s="981"/>
      <c r="J1014" s="981"/>
      <c r="K1014" s="864" t="n">
        <f aca="false">H1014*I1014/100</f>
        <v>0</v>
      </c>
      <c r="L1014" s="543" t="n">
        <v>1</v>
      </c>
      <c r="M1014" s="983" t="n">
        <v>15</v>
      </c>
      <c r="N1014" s="1299" t="n">
        <f aca="false">L1014*M1014</f>
        <v>15</v>
      </c>
      <c r="O1014" s="867" t="n">
        <f aca="false">H1014*N1014</f>
        <v>418.5</v>
      </c>
      <c r="P1014" s="868" t="s">
        <v>2193</v>
      </c>
      <c r="Q1014" s="869" t="s">
        <v>2346</v>
      </c>
      <c r="R1014" s="1521" t="n">
        <v>418.5</v>
      </c>
      <c r="S1014" s="866" t="n">
        <f aca="false">R1014/H1014</f>
        <v>15</v>
      </c>
      <c r="T1014" s="1449" t="n">
        <f aca="false">O1014-R1014</f>
        <v>0</v>
      </c>
      <c r="U1014" s="543" t="n">
        <f aca="false">N1014-S1014</f>
        <v>0</v>
      </c>
    </row>
    <row r="1015" customFormat="false" ht="15" hidden="false" customHeight="true" outlineLevel="0" collapsed="false">
      <c r="A1015" s="847" t="n">
        <v>344</v>
      </c>
      <c r="B1015" s="847" t="s">
        <v>2191</v>
      </c>
      <c r="C1015" s="847" t="n">
        <v>2023</v>
      </c>
      <c r="D1015" s="848" t="s">
        <v>13</v>
      </c>
      <c r="E1015" s="848" t="s">
        <v>2192</v>
      </c>
      <c r="F1015" s="848" t="s">
        <v>1651</v>
      </c>
      <c r="G1015" s="849"/>
      <c r="H1015" s="949" t="n">
        <v>22.5</v>
      </c>
      <c r="I1015" s="950"/>
      <c r="J1015" s="950"/>
      <c r="K1015" s="864" t="n">
        <f aca="false">H1015*I1015/100</f>
        <v>0</v>
      </c>
      <c r="L1015" s="537" t="n">
        <v>30</v>
      </c>
      <c r="M1015" s="1007" t="n">
        <v>15</v>
      </c>
      <c r="N1015" s="1299" t="n">
        <f aca="false">L1015*M1015</f>
        <v>450</v>
      </c>
      <c r="O1015" s="867" t="n">
        <f aca="false">H1015*N1015</f>
        <v>10125</v>
      </c>
      <c r="P1015" s="856" t="s">
        <v>2193</v>
      </c>
      <c r="Q1015" s="857" t="s">
        <v>2682</v>
      </c>
      <c r="R1015" s="1380" t="n">
        <v>10125</v>
      </c>
      <c r="S1015" s="854" t="n">
        <f aca="false">R1015/H1015</f>
        <v>450</v>
      </c>
      <c r="T1015" s="1449" t="n">
        <f aca="false">O1015-R1015</f>
        <v>0</v>
      </c>
      <c r="U1015" s="543" t="n">
        <f aca="false">N1015-S1015</f>
        <v>0</v>
      </c>
    </row>
    <row r="1016" customFormat="false" ht="15" hidden="false" customHeight="true" outlineLevel="0" collapsed="false">
      <c r="A1016" s="903" t="n">
        <v>355</v>
      </c>
      <c r="B1016" s="903" t="s">
        <v>2191</v>
      </c>
      <c r="C1016" s="903" t="n">
        <v>2023</v>
      </c>
      <c r="D1016" s="904" t="s">
        <v>13</v>
      </c>
      <c r="E1016" s="904" t="s">
        <v>2192</v>
      </c>
      <c r="F1016" s="904" t="s">
        <v>2130</v>
      </c>
      <c r="G1016" s="905"/>
      <c r="H1016" s="946" t="n">
        <v>43.6293</v>
      </c>
      <c r="I1016" s="947"/>
      <c r="J1016" s="947"/>
      <c r="K1016" s="875" t="n">
        <f aca="false">H1016*I1016/100</f>
        <v>0</v>
      </c>
      <c r="L1016" s="942" t="n">
        <v>2</v>
      </c>
      <c r="M1016" s="1023" t="n">
        <v>25</v>
      </c>
      <c r="N1016" s="1301" t="n">
        <f aca="false">L1016*M1016</f>
        <v>50</v>
      </c>
      <c r="O1016" s="878" t="n">
        <f aca="false">H1016*N1016</f>
        <v>2181.465</v>
      </c>
      <c r="P1016" s="910" t="s">
        <v>2232</v>
      </c>
      <c r="Q1016" s="911" t="s">
        <v>116</v>
      </c>
      <c r="R1016" s="1355" t="n">
        <v>2181.465</v>
      </c>
      <c r="S1016" s="891" t="n">
        <f aca="false">R1016/H1016</f>
        <v>50</v>
      </c>
      <c r="T1016" s="1403" t="n">
        <f aca="false">O1016-R1016</f>
        <v>0</v>
      </c>
      <c r="U1016" s="553" t="n">
        <f aca="false">N1016-S1016</f>
        <v>0</v>
      </c>
    </row>
    <row r="1017" customFormat="false" ht="15" hidden="false" customHeight="true" outlineLevel="0" collapsed="false">
      <c r="A1017" s="829" t="n">
        <v>381</v>
      </c>
      <c r="B1017" s="830" t="s">
        <v>2191</v>
      </c>
      <c r="C1017" s="830" t="n">
        <v>2023</v>
      </c>
      <c r="D1017" s="831" t="s">
        <v>13</v>
      </c>
      <c r="E1017" s="831" t="s">
        <v>2192</v>
      </c>
      <c r="F1017" s="832" t="s">
        <v>1651</v>
      </c>
      <c r="G1017" s="833"/>
      <c r="H1017" s="834" t="n">
        <v>22.5</v>
      </c>
      <c r="I1017" s="835"/>
      <c r="J1017" s="835"/>
      <c r="K1017" s="836" t="n">
        <f aca="false">H1017*I1017/100</f>
        <v>0</v>
      </c>
      <c r="L1017" s="837" t="n">
        <v>47</v>
      </c>
      <c r="M1017" s="1003" t="n">
        <v>15</v>
      </c>
      <c r="N1017" s="837" t="n">
        <f aca="false">L1017*M1017</f>
        <v>705</v>
      </c>
      <c r="O1017" s="841" t="n">
        <f aca="false">H1017*N1017</f>
        <v>15862.5</v>
      </c>
      <c r="P1017" s="838" t="s">
        <v>2193</v>
      </c>
      <c r="Q1017" s="839" t="s">
        <v>2683</v>
      </c>
      <c r="R1017" s="1369" t="n">
        <v>4725</v>
      </c>
      <c r="S1017" s="840" t="n">
        <f aca="false">R1017/H1017</f>
        <v>210</v>
      </c>
      <c r="T1017" s="943" t="n">
        <f aca="false">O1017-R1017-R1018</f>
        <v>0</v>
      </c>
      <c r="U1017" s="842" t="n">
        <f aca="false">N1017-S1017-S1018</f>
        <v>0</v>
      </c>
    </row>
    <row r="1018" customFormat="false" ht="15" hidden="false" customHeight="true" outlineLevel="0" collapsed="false">
      <c r="A1018" s="829"/>
      <c r="B1018" s="830"/>
      <c r="C1018" s="830"/>
      <c r="D1018" s="887" t="s">
        <v>13</v>
      </c>
      <c r="E1018" s="887" t="s">
        <v>2192</v>
      </c>
      <c r="F1018" s="832"/>
      <c r="G1018" s="833"/>
      <c r="H1018" s="834"/>
      <c r="I1018" s="835"/>
      <c r="J1018" s="835"/>
      <c r="K1018" s="836"/>
      <c r="L1018" s="837"/>
      <c r="M1018" s="1003"/>
      <c r="N1018" s="837"/>
      <c r="O1018" s="841"/>
      <c r="P1018" s="888" t="s">
        <v>2195</v>
      </c>
      <c r="Q1018" s="889" t="s">
        <v>1375</v>
      </c>
      <c r="R1018" s="1381" t="n">
        <v>11137.5</v>
      </c>
      <c r="S1018" s="890" t="n">
        <f aca="false">R1018/H1017</f>
        <v>495</v>
      </c>
      <c r="T1018" s="943"/>
      <c r="U1018" s="842"/>
    </row>
    <row r="1019" customFormat="false" ht="15" hidden="false" customHeight="true" outlineLevel="0" collapsed="false">
      <c r="A1019" s="847" t="n">
        <v>438</v>
      </c>
      <c r="B1019" s="847" t="s">
        <v>2191</v>
      </c>
      <c r="C1019" s="847" t="n">
        <v>2023</v>
      </c>
      <c r="D1019" s="848" t="s">
        <v>13</v>
      </c>
      <c r="E1019" s="848" t="s">
        <v>2192</v>
      </c>
      <c r="F1019" s="848" t="s">
        <v>2131</v>
      </c>
      <c r="G1019" s="849"/>
      <c r="H1019" s="949" t="n">
        <v>63.9238</v>
      </c>
      <c r="I1019" s="950"/>
      <c r="J1019" s="950"/>
      <c r="K1019" s="852" t="n">
        <f aca="false">H1019*I1019/100</f>
        <v>0</v>
      </c>
      <c r="L1019" s="537" t="n">
        <v>1</v>
      </c>
      <c r="M1019" s="1007" t="n">
        <v>25</v>
      </c>
      <c r="N1019" s="1143" t="n">
        <f aca="false">L1019*M1019</f>
        <v>25</v>
      </c>
      <c r="O1019" s="855" t="n">
        <f aca="false">H1019*N1019</f>
        <v>1598.095</v>
      </c>
      <c r="P1019" s="856" t="s">
        <v>2232</v>
      </c>
      <c r="Q1019" s="857" t="s">
        <v>116</v>
      </c>
      <c r="R1019" s="1380" t="n">
        <v>1598.095</v>
      </c>
      <c r="S1019" s="854" t="n">
        <f aca="false">R1019/H1019</f>
        <v>25</v>
      </c>
      <c r="T1019" s="953" t="n">
        <f aca="false">O1019-R1019</f>
        <v>0</v>
      </c>
      <c r="U1019" s="537" t="n">
        <f aca="false">N1019-S1019</f>
        <v>0</v>
      </c>
    </row>
    <row r="1020" customFormat="false" ht="15" hidden="false" customHeight="true" outlineLevel="0" collapsed="false">
      <c r="A1020" s="847" t="n">
        <v>576</v>
      </c>
      <c r="B1020" s="847" t="s">
        <v>2191</v>
      </c>
      <c r="C1020" s="847" t="n">
        <v>2023</v>
      </c>
      <c r="D1020" s="848" t="s">
        <v>13</v>
      </c>
      <c r="E1020" s="848" t="s">
        <v>2192</v>
      </c>
      <c r="F1020" s="848" t="s">
        <v>2619</v>
      </c>
      <c r="G1020" s="849"/>
      <c r="H1020" s="949" t="n">
        <v>90</v>
      </c>
      <c r="I1020" s="950"/>
      <c r="J1020" s="950"/>
      <c r="K1020" s="852" t="n">
        <f aca="false">H1020*I1020/100</f>
        <v>0</v>
      </c>
      <c r="L1020" s="537" t="n">
        <v>1634.5</v>
      </c>
      <c r="M1020" s="1007" t="n">
        <v>1</v>
      </c>
      <c r="N1020" s="1143" t="n">
        <f aca="false">L1020*M1020</f>
        <v>1634.5</v>
      </c>
      <c r="O1020" s="855" t="n">
        <f aca="false">H1020*N1020</f>
        <v>147105</v>
      </c>
      <c r="P1020" s="856" t="s">
        <v>2197</v>
      </c>
      <c r="Q1020" s="857" t="s">
        <v>2684</v>
      </c>
      <c r="R1020" s="1380" t="n">
        <v>147105</v>
      </c>
      <c r="S1020" s="854" t="n">
        <f aca="false">R1020/H1020</f>
        <v>1634.5</v>
      </c>
      <c r="T1020" s="543" t="n">
        <f aca="false">O1020-R1020</f>
        <v>0</v>
      </c>
      <c r="U1020" s="543" t="n">
        <f aca="false">N1020-S1020</f>
        <v>0</v>
      </c>
    </row>
    <row r="1021" customFormat="false" ht="15" hidden="false" customHeight="true" outlineLevel="0" collapsed="false">
      <c r="A1021" s="859" t="n">
        <v>577</v>
      </c>
      <c r="B1021" s="859" t="s">
        <v>2191</v>
      </c>
      <c r="C1021" s="859" t="n">
        <v>2023</v>
      </c>
      <c r="D1021" s="860" t="s">
        <v>13</v>
      </c>
      <c r="E1021" s="860" t="s">
        <v>2192</v>
      </c>
      <c r="F1021" s="860" t="s">
        <v>1652</v>
      </c>
      <c r="G1021" s="861"/>
      <c r="H1021" s="980" t="n">
        <v>37.5</v>
      </c>
      <c r="I1021" s="981"/>
      <c r="J1021" s="981"/>
      <c r="K1021" s="864" t="n">
        <f aca="false">H1021*I1021/100</f>
        <v>0</v>
      </c>
      <c r="L1021" s="543" t="n">
        <v>3</v>
      </c>
      <c r="M1021" s="983" t="n">
        <v>15</v>
      </c>
      <c r="N1021" s="1299" t="n">
        <f aca="false">L1021*M1021</f>
        <v>45</v>
      </c>
      <c r="O1021" s="867" t="n">
        <f aca="false">H1021*N1021</f>
        <v>1687.5</v>
      </c>
      <c r="P1021" s="868" t="s">
        <v>2193</v>
      </c>
      <c r="Q1021" s="869" t="s">
        <v>2681</v>
      </c>
      <c r="R1021" s="1521" t="n">
        <v>1687.5</v>
      </c>
      <c r="S1021" s="866" t="n">
        <f aca="false">R1021/H1021</f>
        <v>45</v>
      </c>
      <c r="T1021" s="985" t="n">
        <f aca="false">O1021-R1021</f>
        <v>0</v>
      </c>
      <c r="U1021" s="543" t="n">
        <f aca="false">N1021-S1021</f>
        <v>0</v>
      </c>
    </row>
    <row r="1022" customFormat="false" ht="15" hidden="false" customHeight="true" outlineLevel="0" collapsed="false">
      <c r="A1022" s="859" t="n">
        <v>577</v>
      </c>
      <c r="B1022" s="859" t="s">
        <v>2191</v>
      </c>
      <c r="C1022" s="859" t="n">
        <v>2023</v>
      </c>
      <c r="D1022" s="860" t="s">
        <v>13</v>
      </c>
      <c r="E1022" s="860" t="s">
        <v>2192</v>
      </c>
      <c r="F1022" s="860" t="s">
        <v>1652</v>
      </c>
      <c r="G1022" s="861"/>
      <c r="H1022" s="980" t="n">
        <v>37.5</v>
      </c>
      <c r="I1022" s="981"/>
      <c r="J1022" s="981"/>
      <c r="K1022" s="864" t="n">
        <f aca="false">H1022*I1022/100</f>
        <v>0</v>
      </c>
      <c r="L1022" s="543" t="n">
        <v>61</v>
      </c>
      <c r="M1022" s="983" t="n">
        <v>15</v>
      </c>
      <c r="N1022" s="1299" t="n">
        <f aca="false">L1022*M1022</f>
        <v>915</v>
      </c>
      <c r="O1022" s="867" t="n">
        <f aca="false">H1022*N1022</f>
        <v>34312.5</v>
      </c>
      <c r="P1022" s="868" t="s">
        <v>2232</v>
      </c>
      <c r="Q1022" s="869" t="s">
        <v>98</v>
      </c>
      <c r="R1022" s="1521" t="n">
        <v>34312.5</v>
      </c>
      <c r="S1022" s="866" t="n">
        <f aca="false">R1022/H1022</f>
        <v>915</v>
      </c>
      <c r="T1022" s="985" t="n">
        <f aca="false">O1022-R1022</f>
        <v>0</v>
      </c>
      <c r="U1022" s="543" t="n">
        <f aca="false">N1022-S1022</f>
        <v>0</v>
      </c>
    </row>
    <row r="1023" customFormat="false" ht="15" hidden="false" customHeight="true" outlineLevel="0" collapsed="false">
      <c r="A1023" s="1442" t="n">
        <v>580</v>
      </c>
      <c r="B1023" s="903" t="s">
        <v>2191</v>
      </c>
      <c r="C1023" s="903" t="n">
        <v>2023</v>
      </c>
      <c r="D1023" s="904" t="s">
        <v>13</v>
      </c>
      <c r="E1023" s="904" t="s">
        <v>2192</v>
      </c>
      <c r="F1023" s="904" t="s">
        <v>2130</v>
      </c>
      <c r="G1023" s="905"/>
      <c r="H1023" s="946" t="n">
        <v>43.6292</v>
      </c>
      <c r="I1023" s="947"/>
      <c r="J1023" s="947"/>
      <c r="K1023" s="939" t="n">
        <f aca="false">H1023*I1023/100</f>
        <v>0</v>
      </c>
      <c r="L1023" s="942" t="n">
        <v>7.33333</v>
      </c>
      <c r="M1023" s="1023" t="n">
        <v>30</v>
      </c>
      <c r="N1023" s="1137" t="n">
        <f aca="false">L1023*M1023</f>
        <v>219.9999</v>
      </c>
      <c r="O1023" s="878" t="n">
        <f aca="false">H1023*N1023</f>
        <v>9598.41963708</v>
      </c>
      <c r="P1023" s="910" t="s">
        <v>2232</v>
      </c>
      <c r="Q1023" s="911" t="s">
        <v>116</v>
      </c>
      <c r="R1023" s="1355" t="n">
        <v>9598.42</v>
      </c>
      <c r="S1023" s="891" t="n">
        <f aca="false">R1023/H1023</f>
        <v>219.999908318282</v>
      </c>
      <c r="T1023" s="553" t="n">
        <f aca="false">O1023-R1023</f>
        <v>-0.000362920000043232</v>
      </c>
      <c r="U1023" s="1444" t="n">
        <f aca="false">N1023-S1023</f>
        <v>-8.31828228342602E-006</v>
      </c>
    </row>
    <row r="1024" customFormat="false" ht="15" hidden="false" customHeight="true" outlineLevel="0" collapsed="false">
      <c r="A1024" s="829" t="n">
        <v>14</v>
      </c>
      <c r="B1024" s="1173" t="s">
        <v>86</v>
      </c>
      <c r="C1024" s="1173" t="n">
        <v>2024</v>
      </c>
      <c r="D1024" s="831" t="s">
        <v>13</v>
      </c>
      <c r="E1024" s="831" t="s">
        <v>2192</v>
      </c>
      <c r="F1024" s="831" t="s">
        <v>2199</v>
      </c>
      <c r="G1024" s="1108"/>
      <c r="H1024" s="1109" t="n">
        <v>83.3</v>
      </c>
      <c r="I1024" s="1110" t="n">
        <v>70</v>
      </c>
      <c r="J1024" s="1110"/>
      <c r="K1024" s="1111" t="n">
        <f aca="false">H1024*I1024/100</f>
        <v>58.31</v>
      </c>
      <c r="L1024" s="1114" t="n">
        <v>4600</v>
      </c>
      <c r="M1024" s="1113" t="n">
        <v>1</v>
      </c>
      <c r="N1024" s="1408" t="n">
        <f aca="false">L1024*M1024</f>
        <v>4600</v>
      </c>
      <c r="O1024" s="1272" t="n">
        <f aca="false">H1024*N1024</f>
        <v>383180</v>
      </c>
      <c r="P1024" s="838" t="s">
        <v>2232</v>
      </c>
      <c r="Q1024" s="839" t="s">
        <v>2335</v>
      </c>
      <c r="R1024" s="1369" t="n">
        <v>383180</v>
      </c>
      <c r="S1024" s="840" t="n">
        <f aca="false">R1024/H1024</f>
        <v>4600</v>
      </c>
      <c r="T1024" s="1114" t="n">
        <f aca="false">O1024-R1024</f>
        <v>0</v>
      </c>
      <c r="U1024" s="1176" t="n">
        <f aca="false">N1024-S1024</f>
        <v>0</v>
      </c>
    </row>
    <row r="1025" customFormat="false" ht="15" hidden="false" customHeight="true" outlineLevel="0" collapsed="false">
      <c r="A1025" s="829"/>
      <c r="B1025" s="847" t="s">
        <v>86</v>
      </c>
      <c r="C1025" s="847" t="n">
        <v>2024</v>
      </c>
      <c r="D1025" s="848" t="s">
        <v>13</v>
      </c>
      <c r="E1025" s="848" t="s">
        <v>2203</v>
      </c>
      <c r="F1025" s="848"/>
      <c r="G1025" s="849"/>
      <c r="H1025" s="949" t="n">
        <v>2.8</v>
      </c>
      <c r="I1025" s="950"/>
      <c r="J1025" s="950"/>
      <c r="K1025" s="852" t="n">
        <f aca="false">H1025*I1025/100</f>
        <v>0</v>
      </c>
      <c r="L1025" s="537" t="n">
        <v>3664</v>
      </c>
      <c r="M1025" s="1007" t="n">
        <v>1</v>
      </c>
      <c r="N1025" s="1143" t="n">
        <f aca="false">L1025*M1025</f>
        <v>3664</v>
      </c>
      <c r="O1025" s="855" t="n">
        <f aca="false">H1025*N1025</f>
        <v>10259.2</v>
      </c>
      <c r="P1025" s="856" t="s">
        <v>2204</v>
      </c>
      <c r="Q1025" s="857" t="n">
        <v>7062024</v>
      </c>
      <c r="R1025" s="1380" t="n">
        <v>10259.2</v>
      </c>
      <c r="S1025" s="866" t="n">
        <f aca="false">R1025/H1025</f>
        <v>3664</v>
      </c>
      <c r="T1025" s="985" t="n">
        <f aca="false">O1025-R1025</f>
        <v>0</v>
      </c>
      <c r="U1025" s="1135" t="n">
        <f aca="false">N1025-S1025</f>
        <v>0</v>
      </c>
    </row>
    <row r="1026" customFormat="false" ht="15" hidden="false" customHeight="true" outlineLevel="0" collapsed="false">
      <c r="A1026" s="829"/>
      <c r="B1026" s="847" t="s">
        <v>86</v>
      </c>
      <c r="C1026" s="847" t="n">
        <v>2024</v>
      </c>
      <c r="D1026" s="848" t="s">
        <v>13</v>
      </c>
      <c r="E1026" s="848" t="s">
        <v>2241</v>
      </c>
      <c r="F1026" s="848"/>
      <c r="G1026" s="849"/>
      <c r="H1026" s="949" t="n">
        <v>0.5</v>
      </c>
      <c r="I1026" s="950"/>
      <c r="J1026" s="950"/>
      <c r="K1026" s="852" t="n">
        <f aca="false">H1026*I1026/100</f>
        <v>0</v>
      </c>
      <c r="L1026" s="537" t="n">
        <v>2986</v>
      </c>
      <c r="M1026" s="1007" t="n">
        <v>1</v>
      </c>
      <c r="N1026" s="1143" t="n">
        <f aca="false">L1026*M1026</f>
        <v>2986</v>
      </c>
      <c r="O1026" s="853" t="n">
        <f aca="false">H1026*N1026</f>
        <v>1493</v>
      </c>
      <c r="P1026" s="856" t="s">
        <v>2204</v>
      </c>
      <c r="Q1026" s="857" t="n">
        <v>7062024</v>
      </c>
      <c r="R1026" s="1380" t="n">
        <v>1493</v>
      </c>
      <c r="S1026" s="866" t="n">
        <f aca="false">R1026/H1026</f>
        <v>2986</v>
      </c>
      <c r="T1026" s="543" t="n">
        <f aca="false">O1026-R1026</f>
        <v>0</v>
      </c>
      <c r="U1026" s="1135" t="n">
        <f aca="false">N1026-S1026</f>
        <v>0</v>
      </c>
    </row>
    <row r="1027" customFormat="false" ht="15" hidden="false" customHeight="true" outlineLevel="0" collapsed="false">
      <c r="A1027" s="829"/>
      <c r="B1027" s="1072" t="s">
        <v>86</v>
      </c>
      <c r="C1027" s="1072" t="n">
        <v>2024</v>
      </c>
      <c r="D1027" s="887" t="s">
        <v>13</v>
      </c>
      <c r="E1027" s="887" t="s">
        <v>2205</v>
      </c>
      <c r="F1027" s="887"/>
      <c r="G1027" s="1062"/>
      <c r="H1027" s="1077" t="n">
        <v>1.5</v>
      </c>
      <c r="I1027" s="1086"/>
      <c r="J1027" s="1086"/>
      <c r="K1027" s="1064" t="n">
        <f aca="false">H1027*I1027/100</f>
        <v>0</v>
      </c>
      <c r="L1027" s="1067" t="n">
        <v>4444</v>
      </c>
      <c r="M1027" s="1066" t="n">
        <v>1</v>
      </c>
      <c r="N1027" s="1082" t="n">
        <f aca="false">L1027*M1027</f>
        <v>4444</v>
      </c>
      <c r="O1027" s="1073" t="n">
        <f aca="false">H1027*N1027</f>
        <v>6666</v>
      </c>
      <c r="P1027" s="888" t="s">
        <v>2204</v>
      </c>
      <c r="Q1027" s="889" t="n">
        <v>7062024</v>
      </c>
      <c r="R1027" s="1381" t="n">
        <v>6666</v>
      </c>
      <c r="S1027" s="846" t="n">
        <f aca="false">R1027/H1027</f>
        <v>4444</v>
      </c>
      <c r="T1027" s="589" t="n">
        <f aca="false">O1027-R1027</f>
        <v>0</v>
      </c>
      <c r="U1027" s="902" t="n">
        <f aca="false">N1027-S1027</f>
        <v>0</v>
      </c>
    </row>
    <row r="1028" customFormat="false" ht="15" hidden="false" customHeight="true" outlineLevel="0" collapsed="false">
      <c r="A1028" s="882" t="n">
        <v>111</v>
      </c>
      <c r="B1028" s="830" t="s">
        <v>2191</v>
      </c>
      <c r="C1028" s="830" t="n">
        <v>2024</v>
      </c>
      <c r="D1028" s="831" t="s">
        <v>13</v>
      </c>
      <c r="E1028" s="831" t="s">
        <v>2192</v>
      </c>
      <c r="F1028" s="832" t="s">
        <v>1651</v>
      </c>
      <c r="G1028" s="833"/>
      <c r="H1028" s="1659" t="n">
        <v>22.5</v>
      </c>
      <c r="I1028" s="835"/>
      <c r="J1028" s="835"/>
      <c r="K1028" s="836" t="n">
        <f aca="false">H1028*I1028/100</f>
        <v>0</v>
      </c>
      <c r="L1028" s="837" t="n">
        <v>511</v>
      </c>
      <c r="M1028" s="1003" t="n">
        <v>15</v>
      </c>
      <c r="N1028" s="837" t="n">
        <f aca="false">L1028*M1028</f>
        <v>7665</v>
      </c>
      <c r="O1028" s="841" t="n">
        <f aca="false">H1028*N1028</f>
        <v>172462.5</v>
      </c>
      <c r="P1028" s="838" t="s">
        <v>2193</v>
      </c>
      <c r="Q1028" s="839" t="s">
        <v>2685</v>
      </c>
      <c r="R1028" s="1369" t="n">
        <v>11475</v>
      </c>
      <c r="S1028" s="886" t="n">
        <f aca="false">R1028/H1028</f>
        <v>510</v>
      </c>
      <c r="T1028" s="841" t="n">
        <f aca="false">O1028-R1028-R1033-R1029-R1032-R1031-R1030</f>
        <v>0</v>
      </c>
      <c r="U1028" s="842" t="n">
        <f aca="false">N1028-S1028-S1033-S1029-S1032-S1031-S1030</f>
        <v>0</v>
      </c>
    </row>
    <row r="1029" customFormat="false" ht="15" hidden="false" customHeight="true" outlineLevel="0" collapsed="false">
      <c r="A1029" s="882"/>
      <c r="B1029" s="830"/>
      <c r="C1029" s="830"/>
      <c r="D1029" s="860" t="s">
        <v>13</v>
      </c>
      <c r="E1029" s="860" t="s">
        <v>2192</v>
      </c>
      <c r="F1029" s="832"/>
      <c r="G1029" s="833"/>
      <c r="H1029" s="1659"/>
      <c r="I1029" s="835"/>
      <c r="J1029" s="835"/>
      <c r="K1029" s="836"/>
      <c r="L1029" s="837"/>
      <c r="M1029" s="1003"/>
      <c r="N1029" s="837"/>
      <c r="O1029" s="841"/>
      <c r="P1029" s="868" t="s">
        <v>2193</v>
      </c>
      <c r="Q1029" s="869" t="s">
        <v>2682</v>
      </c>
      <c r="R1029" s="1521" t="n">
        <v>12150</v>
      </c>
      <c r="S1029" s="866" t="n">
        <f aca="false">R1029/H1028</f>
        <v>540</v>
      </c>
      <c r="T1029" s="841"/>
      <c r="U1029" s="842"/>
    </row>
    <row r="1030" customFormat="false" ht="15" hidden="false" customHeight="true" outlineLevel="0" collapsed="false">
      <c r="A1030" s="882"/>
      <c r="B1030" s="830"/>
      <c r="C1030" s="830"/>
      <c r="D1030" s="860" t="s">
        <v>13</v>
      </c>
      <c r="E1030" s="860" t="s">
        <v>2192</v>
      </c>
      <c r="F1030" s="832"/>
      <c r="G1030" s="833"/>
      <c r="H1030" s="1659"/>
      <c r="I1030" s="835"/>
      <c r="J1030" s="835"/>
      <c r="K1030" s="836"/>
      <c r="L1030" s="837"/>
      <c r="M1030" s="1003"/>
      <c r="N1030" s="837"/>
      <c r="O1030" s="841"/>
      <c r="P1030" s="868" t="s">
        <v>2195</v>
      </c>
      <c r="Q1030" s="869" t="s">
        <v>1375</v>
      </c>
      <c r="R1030" s="1521" t="n">
        <v>57712.5</v>
      </c>
      <c r="S1030" s="866" t="n">
        <f aca="false">R1030/H1028</f>
        <v>2565</v>
      </c>
      <c r="T1030" s="841"/>
      <c r="U1030" s="842"/>
    </row>
    <row r="1031" customFormat="false" ht="15" hidden="false" customHeight="true" outlineLevel="0" collapsed="false">
      <c r="A1031" s="882"/>
      <c r="B1031" s="830"/>
      <c r="C1031" s="830"/>
      <c r="D1031" s="860" t="s">
        <v>13</v>
      </c>
      <c r="E1031" s="860" t="s">
        <v>2192</v>
      </c>
      <c r="F1031" s="832"/>
      <c r="G1031" s="833"/>
      <c r="H1031" s="1659"/>
      <c r="I1031" s="835"/>
      <c r="J1031" s="835"/>
      <c r="K1031" s="836"/>
      <c r="L1031" s="837"/>
      <c r="M1031" s="1003"/>
      <c r="N1031" s="837"/>
      <c r="O1031" s="841"/>
      <c r="P1031" s="868" t="s">
        <v>2193</v>
      </c>
      <c r="Q1031" s="869" t="s">
        <v>2686</v>
      </c>
      <c r="R1031" s="1521" t="n">
        <v>54000</v>
      </c>
      <c r="S1031" s="866" t="n">
        <f aca="false">R1031/H1028</f>
        <v>2400</v>
      </c>
      <c r="T1031" s="841"/>
      <c r="U1031" s="842"/>
    </row>
    <row r="1032" customFormat="false" ht="15" hidden="false" customHeight="true" outlineLevel="0" collapsed="false">
      <c r="A1032" s="882"/>
      <c r="B1032" s="830"/>
      <c r="C1032" s="830"/>
      <c r="D1032" s="860" t="s">
        <v>13</v>
      </c>
      <c r="E1032" s="860" t="s">
        <v>2192</v>
      </c>
      <c r="F1032" s="832"/>
      <c r="G1032" s="833"/>
      <c r="H1032" s="1659"/>
      <c r="I1032" s="835"/>
      <c r="J1032" s="835"/>
      <c r="K1032" s="836"/>
      <c r="L1032" s="837"/>
      <c r="M1032" s="1003"/>
      <c r="N1032" s="837"/>
      <c r="O1032" s="841"/>
      <c r="P1032" s="868" t="s">
        <v>2193</v>
      </c>
      <c r="Q1032" s="869" t="s">
        <v>2683</v>
      </c>
      <c r="R1032" s="1521" t="n">
        <v>23962.5</v>
      </c>
      <c r="S1032" s="866" t="n">
        <f aca="false">R1032/H1028</f>
        <v>1065</v>
      </c>
      <c r="T1032" s="841"/>
      <c r="U1032" s="842"/>
    </row>
    <row r="1033" customFormat="false" ht="15" hidden="false" customHeight="true" outlineLevel="0" collapsed="false">
      <c r="A1033" s="882"/>
      <c r="B1033" s="830"/>
      <c r="C1033" s="830"/>
      <c r="D1033" s="887" t="s">
        <v>13</v>
      </c>
      <c r="E1033" s="887" t="s">
        <v>2192</v>
      </c>
      <c r="F1033" s="832"/>
      <c r="G1033" s="833"/>
      <c r="H1033" s="1659"/>
      <c r="I1033" s="835"/>
      <c r="J1033" s="835"/>
      <c r="K1033" s="836"/>
      <c r="L1033" s="837"/>
      <c r="M1033" s="1003"/>
      <c r="N1033" s="837"/>
      <c r="O1033" s="841"/>
      <c r="P1033" s="888" t="s">
        <v>2193</v>
      </c>
      <c r="Q1033" s="889" t="s">
        <v>2681</v>
      </c>
      <c r="R1033" s="1381" t="n">
        <v>13162.5</v>
      </c>
      <c r="S1033" s="890" t="n">
        <f aca="false">R1033/H1028</f>
        <v>585</v>
      </c>
      <c r="T1033" s="841"/>
      <c r="U1033" s="842"/>
    </row>
    <row r="1034" customFormat="false" ht="15" hidden="false" customHeight="true" outlineLevel="0" collapsed="false">
      <c r="A1034" s="847" t="n">
        <v>112</v>
      </c>
      <c r="B1034" s="847" t="s">
        <v>2191</v>
      </c>
      <c r="C1034" s="847" t="n">
        <v>2024</v>
      </c>
      <c r="D1034" s="848" t="s">
        <v>13</v>
      </c>
      <c r="E1034" s="848" t="s">
        <v>2192</v>
      </c>
      <c r="F1034" s="848" t="s">
        <v>1651</v>
      </c>
      <c r="G1034" s="849"/>
      <c r="H1034" s="949" t="n">
        <v>22.5</v>
      </c>
      <c r="I1034" s="950"/>
      <c r="J1034" s="950"/>
      <c r="K1034" s="852" t="n">
        <f aca="false">H1034*I1034/100</f>
        <v>0</v>
      </c>
      <c r="L1034" s="537" t="n">
        <v>2</v>
      </c>
      <c r="M1034" s="1007" t="n">
        <v>15</v>
      </c>
      <c r="N1034" s="1143" t="n">
        <f aca="false">L1034*M1034</f>
        <v>30</v>
      </c>
      <c r="O1034" s="855" t="n">
        <f aca="false">H1034*N1034</f>
        <v>675</v>
      </c>
      <c r="P1034" s="856" t="s">
        <v>2193</v>
      </c>
      <c r="Q1034" s="857" t="s">
        <v>2683</v>
      </c>
      <c r="R1034" s="1380" t="n">
        <v>675</v>
      </c>
      <c r="S1034" s="877" t="n">
        <f aca="false">R1034/H1034</f>
        <v>30</v>
      </c>
      <c r="T1034" s="858" t="n">
        <f aca="false">O1034-R1034</f>
        <v>0</v>
      </c>
      <c r="U1034" s="537" t="n">
        <f aca="false">N1034-S1034</f>
        <v>0</v>
      </c>
    </row>
    <row r="1035" customFormat="false" ht="15" hidden="false" customHeight="true" outlineLevel="0" collapsed="false">
      <c r="A1035" s="903" t="n">
        <v>114</v>
      </c>
      <c r="B1035" s="903" t="s">
        <v>2191</v>
      </c>
      <c r="C1035" s="903" t="n">
        <v>2024</v>
      </c>
      <c r="D1035" s="904" t="s">
        <v>13</v>
      </c>
      <c r="E1035" s="904" t="s">
        <v>2192</v>
      </c>
      <c r="F1035" s="904" t="s">
        <v>1651</v>
      </c>
      <c r="G1035" s="905"/>
      <c r="H1035" s="946" t="n">
        <v>22.5</v>
      </c>
      <c r="I1035" s="947"/>
      <c r="J1035" s="947"/>
      <c r="K1035" s="939" t="n">
        <f aca="false">H1035*I1035/100</f>
        <v>0</v>
      </c>
      <c r="L1035" s="942" t="n">
        <v>69</v>
      </c>
      <c r="M1035" s="1023" t="n">
        <v>15</v>
      </c>
      <c r="N1035" s="1137" t="n">
        <f aca="false">L1035*M1035</f>
        <v>1035</v>
      </c>
      <c r="O1035" s="1056" t="n">
        <f aca="false">H1035*N1035</f>
        <v>23287.5</v>
      </c>
      <c r="P1035" s="910" t="s">
        <v>2197</v>
      </c>
      <c r="Q1035" s="911" t="s">
        <v>2294</v>
      </c>
      <c r="R1035" s="1660" t="n">
        <v>23287.5</v>
      </c>
      <c r="S1035" s="877" t="n">
        <f aca="false">R1035/H1035</f>
        <v>1035</v>
      </c>
      <c r="T1035" s="1404" t="n">
        <f aca="false">O1035-R1035</f>
        <v>0</v>
      </c>
      <c r="U1035" s="553" t="n">
        <f aca="false">N1035-S1035</f>
        <v>0</v>
      </c>
    </row>
    <row r="1036" customFormat="false" ht="15" hidden="false" customHeight="true" outlineLevel="0" collapsed="false">
      <c r="A1036" s="829" t="n">
        <v>13</v>
      </c>
      <c r="B1036" s="830" t="s">
        <v>2207</v>
      </c>
      <c r="C1036" s="830" t="n">
        <v>2024</v>
      </c>
      <c r="D1036" s="831" t="s">
        <v>13</v>
      </c>
      <c r="E1036" s="831" t="s">
        <v>2192</v>
      </c>
      <c r="F1036" s="832" t="s">
        <v>1651</v>
      </c>
      <c r="G1036" s="833"/>
      <c r="H1036" s="834" t="n">
        <v>26.2667</v>
      </c>
      <c r="I1036" s="835"/>
      <c r="J1036" s="835"/>
      <c r="K1036" s="836" t="n">
        <f aca="false">H1036*I1036/100</f>
        <v>0</v>
      </c>
      <c r="L1036" s="837" t="n">
        <v>6397</v>
      </c>
      <c r="M1036" s="1003" t="n">
        <v>1</v>
      </c>
      <c r="N1036" s="837" t="n">
        <f aca="false">L1036*M1036</f>
        <v>6397</v>
      </c>
      <c r="O1036" s="1017" t="n">
        <f aca="false">H1036*N1036</f>
        <v>168028.0799</v>
      </c>
      <c r="P1036" s="838" t="s">
        <v>2197</v>
      </c>
      <c r="Q1036" s="839" t="s">
        <v>2687</v>
      </c>
      <c r="R1036" s="1369" t="n">
        <v>51220.065</v>
      </c>
      <c r="S1036" s="840" t="n">
        <f aca="false">R1036/H1036</f>
        <v>1950</v>
      </c>
      <c r="T1036" s="837" t="n">
        <f aca="false">O1036-R1036-R1037</f>
        <v>-9.99999901978299E-005</v>
      </c>
      <c r="U1036" s="842" t="n">
        <f aca="false">N1036-S1036-S1037</f>
        <v>-3.80710207537049E-006</v>
      </c>
    </row>
    <row r="1037" customFormat="false" ht="15" hidden="false" customHeight="true" outlineLevel="0" collapsed="false">
      <c r="A1037" s="829"/>
      <c r="B1037" s="830"/>
      <c r="C1037" s="830"/>
      <c r="D1037" s="887" t="s">
        <v>13</v>
      </c>
      <c r="E1037" s="887" t="s">
        <v>2192</v>
      </c>
      <c r="F1037" s="832"/>
      <c r="G1037" s="833"/>
      <c r="H1037" s="834"/>
      <c r="I1037" s="835"/>
      <c r="J1037" s="835"/>
      <c r="K1037" s="836"/>
      <c r="L1037" s="837"/>
      <c r="M1037" s="1003"/>
      <c r="N1037" s="837"/>
      <c r="O1037" s="1017"/>
      <c r="P1037" s="888" t="s">
        <v>2197</v>
      </c>
      <c r="Q1037" s="889" t="s">
        <v>2662</v>
      </c>
      <c r="R1037" s="1381" t="n">
        <v>116808.015</v>
      </c>
      <c r="S1037" s="846" t="n">
        <f aca="false">R1037/H1036</f>
        <v>4447.0000038071</v>
      </c>
      <c r="T1037" s="837"/>
      <c r="U1037" s="842"/>
    </row>
    <row r="1038" customFormat="false" ht="15" hidden="false" customHeight="true" outlineLevel="0" collapsed="false">
      <c r="A1038" s="847" t="n">
        <v>22</v>
      </c>
      <c r="B1038" s="847" t="s">
        <v>81</v>
      </c>
      <c r="C1038" s="847" t="n">
        <v>2024</v>
      </c>
      <c r="D1038" s="848" t="s">
        <v>13</v>
      </c>
      <c r="E1038" s="848" t="s">
        <v>2192</v>
      </c>
      <c r="F1038" s="848" t="s">
        <v>2199</v>
      </c>
      <c r="G1038" s="849"/>
      <c r="H1038" s="949" t="n">
        <v>59.7</v>
      </c>
      <c r="I1038" s="950"/>
      <c r="J1038" s="950"/>
      <c r="K1038" s="852" t="n">
        <f aca="false">H1038*I1038/100</f>
        <v>0</v>
      </c>
      <c r="L1038" s="537" t="n">
        <v>14698</v>
      </c>
      <c r="M1038" s="1007" t="n">
        <v>1</v>
      </c>
      <c r="N1038" s="1143" t="n">
        <f aca="false">L1038*M1038</f>
        <v>14698</v>
      </c>
      <c r="O1038" s="1661" t="n">
        <f aca="false">H1038*N1038</f>
        <v>877470.6</v>
      </c>
      <c r="P1038" s="856" t="s">
        <v>2200</v>
      </c>
      <c r="Q1038" s="857" t="s">
        <v>2462</v>
      </c>
      <c r="R1038" s="1380" t="n">
        <v>877470.6</v>
      </c>
      <c r="S1038" s="866" t="n">
        <f aca="false">R1038/H1038</f>
        <v>14698</v>
      </c>
      <c r="T1038" s="1009" t="n">
        <f aca="false">O1038-R1038</f>
        <v>0</v>
      </c>
      <c r="U1038" s="537" t="n">
        <f aca="false">N1038-S1038</f>
        <v>0</v>
      </c>
    </row>
    <row r="1039" customFormat="false" ht="15" hidden="false" customHeight="true" outlineLevel="0" collapsed="false">
      <c r="A1039" s="903" t="n">
        <v>23</v>
      </c>
      <c r="B1039" s="903" t="s">
        <v>2207</v>
      </c>
      <c r="C1039" s="903" t="n">
        <v>2024</v>
      </c>
      <c r="D1039" s="904" t="s">
        <v>13</v>
      </c>
      <c r="E1039" s="904" t="s">
        <v>2192</v>
      </c>
      <c r="F1039" s="904" t="s">
        <v>1651</v>
      </c>
      <c r="G1039" s="905"/>
      <c r="H1039" s="946" t="n">
        <v>25.5185</v>
      </c>
      <c r="I1039" s="947"/>
      <c r="J1039" s="947"/>
      <c r="K1039" s="939" t="n">
        <f aca="false">H1039*I1039/100</f>
        <v>0</v>
      </c>
      <c r="L1039" s="942" t="n">
        <v>23395</v>
      </c>
      <c r="M1039" s="1023" t="n">
        <v>1</v>
      </c>
      <c r="N1039" s="1137" t="n">
        <f aca="false">L1039*M1039</f>
        <v>23395</v>
      </c>
      <c r="O1039" s="940" t="n">
        <f aca="false">H1039*N1039</f>
        <v>597005.3075</v>
      </c>
      <c r="P1039" s="910" t="s">
        <v>2193</v>
      </c>
      <c r="Q1039" s="911" t="s">
        <v>2685</v>
      </c>
      <c r="R1039" s="1355" t="n">
        <v>597005.3075</v>
      </c>
      <c r="S1039" s="877" t="n">
        <f aca="false">R1039/H1039</f>
        <v>23395</v>
      </c>
      <c r="T1039" s="1403" t="n">
        <f aca="false">O1039-R1039</f>
        <v>0</v>
      </c>
      <c r="U1039" s="553" t="n">
        <f aca="false">N1039-S1039</f>
        <v>0</v>
      </c>
    </row>
    <row r="1040" customFormat="false" ht="15" hidden="false" customHeight="true" outlineLevel="0" collapsed="false">
      <c r="A1040" s="829" t="s">
        <v>2688</v>
      </c>
      <c r="B1040" s="830" t="s">
        <v>2207</v>
      </c>
      <c r="C1040" s="830" t="n">
        <v>2024</v>
      </c>
      <c r="D1040" s="831" t="s">
        <v>13</v>
      </c>
      <c r="E1040" s="831" t="s">
        <v>2192</v>
      </c>
      <c r="F1040" s="832" t="s">
        <v>1651</v>
      </c>
      <c r="G1040" s="833"/>
      <c r="H1040" s="834" t="n">
        <v>25.4299</v>
      </c>
      <c r="I1040" s="835"/>
      <c r="J1040" s="835"/>
      <c r="K1040" s="836" t="n">
        <f aca="false">H1040*I1040/100</f>
        <v>0</v>
      </c>
      <c r="L1040" s="837" t="n">
        <v>24130</v>
      </c>
      <c r="M1040" s="1003" t="n">
        <v>1</v>
      </c>
      <c r="N1040" s="837" t="n">
        <f aca="false">L1040*M1040</f>
        <v>24130</v>
      </c>
      <c r="O1040" s="943" t="n">
        <f aca="false">H1040*N1040</f>
        <v>613623.487</v>
      </c>
      <c r="P1040" s="838" t="s">
        <v>2197</v>
      </c>
      <c r="Q1040" s="839" t="s">
        <v>2689</v>
      </c>
      <c r="R1040" s="1369" t="n">
        <v>76289.7</v>
      </c>
      <c r="S1040" s="886" t="n">
        <f aca="false">R1040/H1040</f>
        <v>3000</v>
      </c>
      <c r="T1040" s="943" t="n">
        <f aca="false">O1040-R1040-R1044-R1041-R1043-R1042</f>
        <v>0</v>
      </c>
      <c r="U1040" s="842" t="n">
        <f aca="false">N1040-S1040-S1044-S1041-S1043-S1042</f>
        <v>0</v>
      </c>
    </row>
    <row r="1041" customFormat="false" ht="15" hidden="false" customHeight="true" outlineLevel="0" collapsed="false">
      <c r="A1041" s="829"/>
      <c r="B1041" s="830"/>
      <c r="C1041" s="830"/>
      <c r="D1041" s="860" t="s">
        <v>13</v>
      </c>
      <c r="E1041" s="860" t="s">
        <v>2192</v>
      </c>
      <c r="F1041" s="832"/>
      <c r="G1041" s="833"/>
      <c r="H1041" s="834"/>
      <c r="I1041" s="835"/>
      <c r="J1041" s="835"/>
      <c r="K1041" s="836"/>
      <c r="L1041" s="837"/>
      <c r="M1041" s="1003"/>
      <c r="N1041" s="837"/>
      <c r="O1041" s="943"/>
      <c r="P1041" s="868" t="s">
        <v>2197</v>
      </c>
      <c r="Q1041" s="869" t="s">
        <v>2690</v>
      </c>
      <c r="R1041" s="1521" t="n">
        <v>254044.701</v>
      </c>
      <c r="S1041" s="866" t="n">
        <f aca="false">R1041/H1040</f>
        <v>9990</v>
      </c>
      <c r="T1041" s="943"/>
      <c r="U1041" s="842"/>
    </row>
    <row r="1042" customFormat="false" ht="15" hidden="false" customHeight="true" outlineLevel="0" collapsed="false">
      <c r="A1042" s="829"/>
      <c r="B1042" s="830"/>
      <c r="C1042" s="830"/>
      <c r="D1042" s="860" t="s">
        <v>13</v>
      </c>
      <c r="E1042" s="860" t="s">
        <v>2192</v>
      </c>
      <c r="F1042" s="832"/>
      <c r="G1042" s="833"/>
      <c r="H1042" s="834"/>
      <c r="I1042" s="835"/>
      <c r="J1042" s="835"/>
      <c r="K1042" s="836"/>
      <c r="L1042" s="837"/>
      <c r="M1042" s="1003"/>
      <c r="N1042" s="837"/>
      <c r="O1042" s="943"/>
      <c r="P1042" s="868" t="s">
        <v>2197</v>
      </c>
      <c r="Q1042" s="869" t="s">
        <v>2691</v>
      </c>
      <c r="R1042" s="1521" t="n">
        <v>28862.9365</v>
      </c>
      <c r="S1042" s="866" t="n">
        <f aca="false">R1042/H1040</f>
        <v>1135</v>
      </c>
      <c r="T1042" s="943"/>
      <c r="U1042" s="842"/>
    </row>
    <row r="1043" customFormat="false" ht="15" hidden="false" customHeight="true" outlineLevel="0" collapsed="false">
      <c r="A1043" s="829"/>
      <c r="B1043" s="830"/>
      <c r="C1043" s="830"/>
      <c r="D1043" s="860" t="s">
        <v>13</v>
      </c>
      <c r="E1043" s="860" t="s">
        <v>2192</v>
      </c>
      <c r="F1043" s="832"/>
      <c r="G1043" s="833"/>
      <c r="H1043" s="834"/>
      <c r="I1043" s="835"/>
      <c r="J1043" s="835"/>
      <c r="K1043" s="836"/>
      <c r="L1043" s="837"/>
      <c r="M1043" s="1003"/>
      <c r="N1043" s="837"/>
      <c r="O1043" s="943"/>
      <c r="P1043" s="868" t="s">
        <v>2197</v>
      </c>
      <c r="Q1043" s="869" t="s">
        <v>2692</v>
      </c>
      <c r="R1043" s="1521" t="n">
        <v>381.4485</v>
      </c>
      <c r="S1043" s="866" t="n">
        <f aca="false">R1043/H1040</f>
        <v>15</v>
      </c>
      <c r="T1043" s="943"/>
      <c r="U1043" s="842"/>
    </row>
    <row r="1044" customFormat="false" ht="15" hidden="false" customHeight="true" outlineLevel="0" collapsed="false">
      <c r="A1044" s="829"/>
      <c r="B1044" s="830"/>
      <c r="C1044" s="830"/>
      <c r="D1044" s="887" t="s">
        <v>13</v>
      </c>
      <c r="E1044" s="887" t="s">
        <v>2192</v>
      </c>
      <c r="F1044" s="832"/>
      <c r="G1044" s="833"/>
      <c r="H1044" s="834"/>
      <c r="I1044" s="835"/>
      <c r="J1044" s="835"/>
      <c r="K1044" s="836"/>
      <c r="L1044" s="837"/>
      <c r="M1044" s="1003"/>
      <c r="N1044" s="837"/>
      <c r="O1044" s="943"/>
      <c r="P1044" s="888" t="s">
        <v>2197</v>
      </c>
      <c r="Q1044" s="889" t="s">
        <v>2690</v>
      </c>
      <c r="R1044" s="1381" t="n">
        <v>254044.701</v>
      </c>
      <c r="S1044" s="890" t="n">
        <f aca="false">R1044/H1040</f>
        <v>9990</v>
      </c>
      <c r="T1044" s="943"/>
      <c r="U1044" s="842"/>
    </row>
    <row r="1045" customFormat="false" ht="15" hidden="false" customHeight="true" outlineLevel="0" collapsed="false">
      <c r="A1045" s="847" t="n">
        <v>25</v>
      </c>
      <c r="B1045" s="847" t="s">
        <v>81</v>
      </c>
      <c r="C1045" s="847" t="n">
        <v>2024</v>
      </c>
      <c r="D1045" s="848" t="s">
        <v>13</v>
      </c>
      <c r="E1045" s="848" t="s">
        <v>2192</v>
      </c>
      <c r="F1045" s="848" t="s">
        <v>2199</v>
      </c>
      <c r="G1045" s="849"/>
      <c r="H1045" s="949" t="n">
        <v>55.7</v>
      </c>
      <c r="I1045" s="950"/>
      <c r="J1045" s="950"/>
      <c r="K1045" s="852" t="n">
        <f aca="false">H1045*I1045/100</f>
        <v>0</v>
      </c>
      <c r="L1045" s="537" t="n">
        <v>15685</v>
      </c>
      <c r="M1045" s="1007" t="n">
        <v>1</v>
      </c>
      <c r="N1045" s="1143" t="n">
        <f aca="false">L1045*M1045</f>
        <v>15685</v>
      </c>
      <c r="O1045" s="1661" t="n">
        <f aca="false">H1045*N1045</f>
        <v>873654.5</v>
      </c>
      <c r="P1045" s="856" t="s">
        <v>2200</v>
      </c>
      <c r="Q1045" s="857" t="s">
        <v>103</v>
      </c>
      <c r="R1045" s="1380" t="n">
        <v>873654.5</v>
      </c>
      <c r="S1045" s="866" t="n">
        <f aca="false">R1045/H1045</f>
        <v>15685</v>
      </c>
      <c r="T1045" s="1009" t="n">
        <f aca="false">O1045-R1045</f>
        <v>0</v>
      </c>
      <c r="U1045" s="537" t="n">
        <f aca="false">N1045-S1045</f>
        <v>0</v>
      </c>
    </row>
    <row r="1046" customFormat="false" ht="15" hidden="false" customHeight="true" outlineLevel="0" collapsed="false">
      <c r="A1046" s="847" t="n">
        <v>28</v>
      </c>
      <c r="B1046" s="847" t="s">
        <v>81</v>
      </c>
      <c r="C1046" s="847" t="n">
        <v>2024</v>
      </c>
      <c r="D1046" s="848" t="s">
        <v>13</v>
      </c>
      <c r="E1046" s="848" t="s">
        <v>2192</v>
      </c>
      <c r="F1046" s="848" t="s">
        <v>2199</v>
      </c>
      <c r="G1046" s="849"/>
      <c r="H1046" s="949" t="n">
        <v>65.9</v>
      </c>
      <c r="I1046" s="950" t="n">
        <v>90</v>
      </c>
      <c r="J1046" s="950"/>
      <c r="K1046" s="852" t="n">
        <f aca="false">H1046*I1046/100</f>
        <v>59.31</v>
      </c>
      <c r="L1046" s="537" t="n">
        <v>15435</v>
      </c>
      <c r="M1046" s="1007" t="n">
        <v>1</v>
      </c>
      <c r="N1046" s="1143" t="n">
        <f aca="false">L1046*M1046</f>
        <v>15435</v>
      </c>
      <c r="O1046" s="1661" t="n">
        <f aca="false">H1046*N1046</f>
        <v>1017166.5</v>
      </c>
      <c r="P1046" s="856" t="s">
        <v>2200</v>
      </c>
      <c r="Q1046" s="857" t="s">
        <v>2613</v>
      </c>
      <c r="R1046" s="1380" t="n">
        <v>1017166.5</v>
      </c>
      <c r="S1046" s="866" t="n">
        <f aca="false">R1046/H1046</f>
        <v>15435</v>
      </c>
      <c r="T1046" s="1347" t="n">
        <f aca="false">O1046-R1046</f>
        <v>0</v>
      </c>
      <c r="U1046" s="537" t="n">
        <f aca="false">N1046-S1046</f>
        <v>0</v>
      </c>
    </row>
    <row r="1047" customFormat="false" ht="15" hidden="false" customHeight="true" outlineLevel="0" collapsed="false">
      <c r="A1047" s="859" t="n">
        <v>41</v>
      </c>
      <c r="B1047" s="859" t="s">
        <v>81</v>
      </c>
      <c r="C1047" s="859" t="n">
        <v>2024</v>
      </c>
      <c r="D1047" s="860" t="s">
        <v>13</v>
      </c>
      <c r="E1047" s="860" t="s">
        <v>2192</v>
      </c>
      <c r="F1047" s="860" t="s">
        <v>2199</v>
      </c>
      <c r="G1047" s="861"/>
      <c r="H1047" s="980" t="n">
        <v>75.1</v>
      </c>
      <c r="I1047" s="981"/>
      <c r="J1047" s="981"/>
      <c r="K1047" s="864" t="n">
        <f aca="false">H1047*I1047/100</f>
        <v>0</v>
      </c>
      <c r="L1047" s="543" t="n">
        <v>991</v>
      </c>
      <c r="M1047" s="983" t="n">
        <v>1</v>
      </c>
      <c r="N1047" s="1299" t="n">
        <f aca="false">L1047*M1047</f>
        <v>991</v>
      </c>
      <c r="O1047" s="1149" t="n">
        <f aca="false">H1047*N1047</f>
        <v>74424.1</v>
      </c>
      <c r="P1047" s="868" t="s">
        <v>2255</v>
      </c>
      <c r="Q1047" s="869" t="s">
        <v>2607</v>
      </c>
      <c r="R1047" s="1521" t="n">
        <v>74424.1</v>
      </c>
      <c r="S1047" s="866" t="n">
        <f aca="false">R1047/H1047</f>
        <v>991</v>
      </c>
      <c r="T1047" s="1556" t="n">
        <f aca="false">O1047-R1047</f>
        <v>0</v>
      </c>
      <c r="U1047" s="543" t="n">
        <f aca="false">N1047-S1047</f>
        <v>0</v>
      </c>
    </row>
    <row r="1048" customFormat="false" ht="15" hidden="false" customHeight="true" outlineLevel="0" collapsed="false">
      <c r="A1048" s="870" t="n">
        <v>36</v>
      </c>
      <c r="B1048" s="870" t="s">
        <v>86</v>
      </c>
      <c r="C1048" s="870" t="n">
        <v>2024</v>
      </c>
      <c r="D1048" s="871" t="s">
        <v>13</v>
      </c>
      <c r="E1048" s="871" t="s">
        <v>2192</v>
      </c>
      <c r="F1048" s="871" t="s">
        <v>1650</v>
      </c>
      <c r="G1048" s="872"/>
      <c r="H1048" s="1116" t="n">
        <v>90.8</v>
      </c>
      <c r="I1048" s="1117"/>
      <c r="J1048" s="1117"/>
      <c r="K1048" s="875" t="n">
        <f aca="false">H1048*I1048/100</f>
        <v>0</v>
      </c>
      <c r="L1048" s="553" t="n">
        <v>8224</v>
      </c>
      <c r="M1048" s="1000" t="n">
        <v>1</v>
      </c>
      <c r="N1048" s="1301" t="n">
        <f aca="false">L1048*M1048</f>
        <v>8224</v>
      </c>
      <c r="O1048" s="1150" t="n">
        <f aca="false">H1048*N1048</f>
        <v>746739.2</v>
      </c>
      <c r="P1048" s="879" t="s">
        <v>2193</v>
      </c>
      <c r="Q1048" s="880" t="s">
        <v>109</v>
      </c>
      <c r="R1048" s="1587" t="n">
        <v>746739.2</v>
      </c>
      <c r="S1048" s="877" t="n">
        <f aca="false">R1048/H1048</f>
        <v>8224</v>
      </c>
      <c r="T1048" s="1496" t="n">
        <f aca="false">O1048-R1048</f>
        <v>0</v>
      </c>
      <c r="U1048" s="553" t="n">
        <f aca="false">N1048-S1048</f>
        <v>0</v>
      </c>
    </row>
    <row r="1049" customFormat="false" ht="15" hidden="false" customHeight="true" outlineLevel="0" collapsed="false">
      <c r="A1049" s="829" t="n">
        <v>39</v>
      </c>
      <c r="B1049" s="1173" t="s">
        <v>86</v>
      </c>
      <c r="C1049" s="1173" t="n">
        <v>2024</v>
      </c>
      <c r="D1049" s="831" t="s">
        <v>13</v>
      </c>
      <c r="E1049" s="831" t="s">
        <v>2192</v>
      </c>
      <c r="F1049" s="831" t="s">
        <v>1650</v>
      </c>
      <c r="G1049" s="1108"/>
      <c r="H1049" s="1109" t="n">
        <v>91.1</v>
      </c>
      <c r="I1049" s="1110"/>
      <c r="J1049" s="1110"/>
      <c r="K1049" s="1111" t="n">
        <f aca="false">H1049*I1049/100</f>
        <v>0</v>
      </c>
      <c r="L1049" s="1114" t="n">
        <v>7490</v>
      </c>
      <c r="M1049" s="1113" t="n">
        <v>1</v>
      </c>
      <c r="N1049" s="1408" t="n">
        <f aca="false">L1049*M1049</f>
        <v>7490</v>
      </c>
      <c r="O1049" s="1662" t="n">
        <f aca="false">H1049*N1049</f>
        <v>682339</v>
      </c>
      <c r="P1049" s="838" t="s">
        <v>2193</v>
      </c>
      <c r="Q1049" s="839" t="s">
        <v>2693</v>
      </c>
      <c r="R1049" s="1369" t="n">
        <v>682339</v>
      </c>
      <c r="S1049" s="886" t="n">
        <f aca="false">R1049/H1049</f>
        <v>7490</v>
      </c>
      <c r="T1049" s="1175" t="n">
        <f aca="false">O1049-R1049</f>
        <v>0</v>
      </c>
      <c r="U1049" s="1176" t="n">
        <f aca="false">N1049-S1049</f>
        <v>0</v>
      </c>
    </row>
    <row r="1050" customFormat="false" ht="15" hidden="false" customHeight="true" outlineLevel="0" collapsed="false">
      <c r="A1050" s="829"/>
      <c r="B1050" s="847" t="s">
        <v>86</v>
      </c>
      <c r="C1050" s="847" t="n">
        <v>2024</v>
      </c>
      <c r="D1050" s="848" t="s">
        <v>13</v>
      </c>
      <c r="E1050" s="848" t="s">
        <v>2203</v>
      </c>
      <c r="F1050" s="848"/>
      <c r="G1050" s="849"/>
      <c r="H1050" s="949" t="n">
        <v>35.9</v>
      </c>
      <c r="I1050" s="950"/>
      <c r="J1050" s="950"/>
      <c r="K1050" s="852" t="n">
        <f aca="false">H1050*I1050/100</f>
        <v>0</v>
      </c>
      <c r="L1050" s="537" t="n">
        <v>3332</v>
      </c>
      <c r="M1050" s="1007" t="n">
        <v>1</v>
      </c>
      <c r="N1050" s="1143" t="n">
        <f aca="false">L1050*M1050</f>
        <v>3332</v>
      </c>
      <c r="O1050" s="1661" t="n">
        <f aca="false">H1050*N1050</f>
        <v>119618.8</v>
      </c>
      <c r="P1050" s="856" t="s">
        <v>2232</v>
      </c>
      <c r="Q1050" s="857" t="s">
        <v>2336</v>
      </c>
      <c r="R1050" s="1380" t="n">
        <v>119618.8</v>
      </c>
      <c r="S1050" s="866" t="n">
        <f aca="false">R1050/H1050</f>
        <v>3332</v>
      </c>
      <c r="T1050" s="1009" t="n">
        <f aca="false">O1050-R1050</f>
        <v>0</v>
      </c>
      <c r="U1050" s="892" t="n">
        <f aca="false">N1050-S1050</f>
        <v>0</v>
      </c>
    </row>
    <row r="1051" customFormat="false" ht="15" hidden="false" customHeight="true" outlineLevel="0" collapsed="false">
      <c r="A1051" s="829"/>
      <c r="B1051" s="847" t="s">
        <v>86</v>
      </c>
      <c r="C1051" s="847" t="n">
        <v>2024</v>
      </c>
      <c r="D1051" s="848" t="s">
        <v>13</v>
      </c>
      <c r="E1051" s="848" t="s">
        <v>2241</v>
      </c>
      <c r="F1051" s="848"/>
      <c r="G1051" s="849"/>
      <c r="H1051" s="949" t="n">
        <v>1.4</v>
      </c>
      <c r="I1051" s="950"/>
      <c r="J1051" s="950"/>
      <c r="K1051" s="852" t="n">
        <f aca="false">H1051*I1051/100</f>
        <v>0</v>
      </c>
      <c r="L1051" s="537" t="n">
        <v>2577</v>
      </c>
      <c r="M1051" s="1007" t="n">
        <v>1</v>
      </c>
      <c r="N1051" s="1143" t="n">
        <f aca="false">L1051*M1051</f>
        <v>2577</v>
      </c>
      <c r="O1051" s="1661" t="n">
        <f aca="false">H1051*N1051</f>
        <v>3607.8</v>
      </c>
      <c r="P1051" s="856" t="s">
        <v>2204</v>
      </c>
      <c r="Q1051" s="1436" t="s">
        <v>2398</v>
      </c>
      <c r="R1051" s="1380" t="n">
        <v>3607.8</v>
      </c>
      <c r="S1051" s="854" t="n">
        <f aca="false">R1051/H1051</f>
        <v>2577</v>
      </c>
      <c r="T1051" s="1009" t="n">
        <f aca="false">O1051-R1051</f>
        <v>0</v>
      </c>
      <c r="U1051" s="892" t="n">
        <f aca="false">N1051-S1051</f>
        <v>0</v>
      </c>
    </row>
    <row r="1052" customFormat="false" ht="15" hidden="false" customHeight="true" outlineLevel="0" collapsed="false">
      <c r="A1052" s="829"/>
      <c r="B1052" s="1072" t="s">
        <v>86</v>
      </c>
      <c r="C1052" s="1072" t="n">
        <v>2024</v>
      </c>
      <c r="D1052" s="887" t="s">
        <v>13</v>
      </c>
      <c r="E1052" s="887" t="s">
        <v>2205</v>
      </c>
      <c r="F1052" s="887"/>
      <c r="G1052" s="1062"/>
      <c r="H1052" s="1077" t="n">
        <v>14.3</v>
      </c>
      <c r="I1052" s="1086"/>
      <c r="J1052" s="1086"/>
      <c r="K1052" s="1064" t="n">
        <f aca="false">H1052*I1052/100</f>
        <v>0</v>
      </c>
      <c r="L1052" s="1067" t="n">
        <v>2039</v>
      </c>
      <c r="M1052" s="1066" t="n">
        <v>1</v>
      </c>
      <c r="N1052" s="1082" t="n">
        <f aca="false">L1052*M1052</f>
        <v>2039</v>
      </c>
      <c r="O1052" s="1663" t="n">
        <f aca="false">H1052*N1052</f>
        <v>29157.7</v>
      </c>
      <c r="P1052" s="888" t="s">
        <v>2204</v>
      </c>
      <c r="Q1052" s="889" t="n">
        <v>22112024</v>
      </c>
      <c r="R1052" s="1381" t="n">
        <v>29157.7</v>
      </c>
      <c r="S1052" s="890" t="n">
        <f aca="false">R1052/H1052</f>
        <v>2039</v>
      </c>
      <c r="T1052" s="1172" t="n">
        <f aca="false">O1052-R1052</f>
        <v>0</v>
      </c>
      <c r="U1052" s="1070" t="n">
        <f aca="false">N1052-S1052</f>
        <v>0</v>
      </c>
    </row>
    <row r="1053" customFormat="false" ht="15" hidden="false" customHeight="true" outlineLevel="0" collapsed="false">
      <c r="A1053" s="847" t="n">
        <v>47</v>
      </c>
      <c r="B1053" s="847" t="s">
        <v>81</v>
      </c>
      <c r="C1053" s="847" t="n">
        <v>2024</v>
      </c>
      <c r="D1053" s="848" t="s">
        <v>13</v>
      </c>
      <c r="E1053" s="848" t="s">
        <v>2192</v>
      </c>
      <c r="F1053" s="848" t="s">
        <v>2199</v>
      </c>
      <c r="G1053" s="849"/>
      <c r="H1053" s="949" t="n">
        <v>76</v>
      </c>
      <c r="I1053" s="950"/>
      <c r="J1053" s="950"/>
      <c r="K1053" s="852" t="n">
        <f aca="false">H1053*I1053/100</f>
        <v>0</v>
      </c>
      <c r="L1053" s="537" t="n">
        <v>14140</v>
      </c>
      <c r="M1053" s="1007" t="n">
        <v>1</v>
      </c>
      <c r="N1053" s="1143" t="n">
        <f aca="false">L1053*M1053</f>
        <v>14140</v>
      </c>
      <c r="O1053" s="1661" t="n">
        <f aca="false">H1053*N1053</f>
        <v>1074640</v>
      </c>
      <c r="P1053" s="856" t="s">
        <v>2200</v>
      </c>
      <c r="Q1053" s="857" t="s">
        <v>2396</v>
      </c>
      <c r="R1053" s="1380" t="n">
        <v>1074640</v>
      </c>
      <c r="S1053" s="877" t="n">
        <f aca="false">R1053/H1053</f>
        <v>14140</v>
      </c>
      <c r="T1053" s="1009" t="n">
        <f aca="false">O1053-R1053</f>
        <v>0</v>
      </c>
      <c r="U1053" s="537" t="n">
        <f aca="false">N1053-S1053</f>
        <v>0</v>
      </c>
    </row>
    <row r="1054" customFormat="false" ht="15" hidden="false" customHeight="true" outlineLevel="0" collapsed="false">
      <c r="A1054" s="903" t="n">
        <v>53</v>
      </c>
      <c r="B1054" s="903" t="s">
        <v>2207</v>
      </c>
      <c r="C1054" s="903" t="n">
        <v>2024</v>
      </c>
      <c r="D1054" s="904" t="s">
        <v>13</v>
      </c>
      <c r="E1054" s="904" t="s">
        <v>2192</v>
      </c>
      <c r="F1054" s="904" t="s">
        <v>1651</v>
      </c>
      <c r="G1054" s="905"/>
      <c r="H1054" s="946" t="n">
        <v>26.8611</v>
      </c>
      <c r="I1054" s="947"/>
      <c r="J1054" s="947"/>
      <c r="K1054" s="939" t="n">
        <f aca="false">H1054*I1054/100</f>
        <v>0</v>
      </c>
      <c r="L1054" s="942" t="n">
        <v>27800</v>
      </c>
      <c r="M1054" s="1023" t="n">
        <v>1</v>
      </c>
      <c r="N1054" s="1137" t="n">
        <f aca="false">L1054*M1054</f>
        <v>27800</v>
      </c>
      <c r="O1054" s="1664" t="n">
        <f aca="false">H1054*N1054</f>
        <v>746738.58</v>
      </c>
      <c r="P1054" s="910" t="s">
        <v>2193</v>
      </c>
      <c r="Q1054" s="911" t="s">
        <v>2681</v>
      </c>
      <c r="R1054" s="1355" t="n">
        <v>746738.58</v>
      </c>
      <c r="S1054" s="877" t="n">
        <f aca="false">R1054/H1054</f>
        <v>27800</v>
      </c>
      <c r="T1054" s="941" t="n">
        <f aca="false">O1054-R1054</f>
        <v>0</v>
      </c>
      <c r="U1054" s="942" t="n">
        <f aca="false">N1054-S1054</f>
        <v>0</v>
      </c>
    </row>
    <row r="1055" customFormat="false" ht="15" hidden="false" customHeight="true" outlineLevel="0" collapsed="false">
      <c r="A1055" s="882" t="s">
        <v>2694</v>
      </c>
      <c r="B1055" s="830" t="s">
        <v>2207</v>
      </c>
      <c r="C1055" s="830" t="n">
        <v>2024</v>
      </c>
      <c r="D1055" s="831" t="s">
        <v>13</v>
      </c>
      <c r="E1055" s="831" t="s">
        <v>2192</v>
      </c>
      <c r="F1055" s="832" t="s">
        <v>1651</v>
      </c>
      <c r="G1055" s="833"/>
      <c r="H1055" s="834" t="n">
        <v>26.7679</v>
      </c>
      <c r="I1055" s="835"/>
      <c r="J1055" s="835"/>
      <c r="K1055" s="836" t="n">
        <f aca="false">H1055*I1055/100</f>
        <v>0</v>
      </c>
      <c r="L1055" s="837" t="n">
        <v>28565</v>
      </c>
      <c r="M1055" s="1003" t="n">
        <v>1</v>
      </c>
      <c r="N1055" s="837" t="n">
        <f aca="false">L1055*M1055</f>
        <v>28565</v>
      </c>
      <c r="O1055" s="1017" t="n">
        <f aca="false">H1055*N1055</f>
        <v>764625.0635</v>
      </c>
      <c r="P1055" s="838" t="s">
        <v>2197</v>
      </c>
      <c r="Q1055" s="839" t="s">
        <v>2695</v>
      </c>
      <c r="R1055" s="1369" t="n">
        <v>8030.37</v>
      </c>
      <c r="S1055" s="886" t="n">
        <f aca="false">R1055/H1055</f>
        <v>300</v>
      </c>
      <c r="T1055" s="837" t="n">
        <f aca="false">O1055-R1055-R1060-R1061-R1056-R1057-R1059-R1058</f>
        <v>-0.000499999921885319</v>
      </c>
      <c r="U1055" s="842" t="n">
        <f aca="false">N1055-S1055-S1060-S1061-S1056-S1057-S1059-S1058</f>
        <v>-1.86790894076694E-005</v>
      </c>
    </row>
    <row r="1056" customFormat="false" ht="15" hidden="false" customHeight="true" outlineLevel="0" collapsed="false">
      <c r="A1056" s="882"/>
      <c r="B1056" s="830"/>
      <c r="C1056" s="830"/>
      <c r="D1056" s="848" t="s">
        <v>13</v>
      </c>
      <c r="E1056" s="848" t="s">
        <v>2192</v>
      </c>
      <c r="F1056" s="832"/>
      <c r="G1056" s="833"/>
      <c r="H1056" s="834"/>
      <c r="I1056" s="835"/>
      <c r="J1056" s="835"/>
      <c r="K1056" s="836"/>
      <c r="L1056" s="837"/>
      <c r="M1056" s="1003"/>
      <c r="N1056" s="837"/>
      <c r="O1056" s="1017"/>
      <c r="P1056" s="856" t="s">
        <v>2197</v>
      </c>
      <c r="Q1056" s="857" t="s">
        <v>2696</v>
      </c>
      <c r="R1056" s="1380" t="n">
        <v>16060.74</v>
      </c>
      <c r="S1056" s="866" t="n">
        <f aca="false">R1056/H1055</f>
        <v>600</v>
      </c>
      <c r="T1056" s="837"/>
      <c r="U1056" s="842"/>
    </row>
    <row r="1057" customFormat="false" ht="15" hidden="false" customHeight="true" outlineLevel="0" collapsed="false">
      <c r="A1057" s="882"/>
      <c r="B1057" s="830"/>
      <c r="C1057" s="830"/>
      <c r="D1057" s="848" t="s">
        <v>13</v>
      </c>
      <c r="E1057" s="848" t="s">
        <v>2192</v>
      </c>
      <c r="F1057" s="832"/>
      <c r="G1057" s="833"/>
      <c r="H1057" s="834"/>
      <c r="I1057" s="835"/>
      <c r="J1057" s="835"/>
      <c r="K1057" s="836"/>
      <c r="L1057" s="837"/>
      <c r="M1057" s="1003"/>
      <c r="N1057" s="837"/>
      <c r="O1057" s="1017"/>
      <c r="P1057" s="856" t="s">
        <v>2197</v>
      </c>
      <c r="Q1057" s="857" t="s">
        <v>2697</v>
      </c>
      <c r="R1057" s="1380" t="n">
        <v>80303.7</v>
      </c>
      <c r="S1057" s="866" t="n">
        <f aca="false">R1057/H1055</f>
        <v>3000</v>
      </c>
      <c r="T1057" s="837"/>
      <c r="U1057" s="842"/>
    </row>
    <row r="1058" customFormat="false" ht="15" hidden="false" customHeight="true" outlineLevel="0" collapsed="false">
      <c r="A1058" s="882"/>
      <c r="B1058" s="830"/>
      <c r="C1058" s="830"/>
      <c r="D1058" s="848" t="s">
        <v>13</v>
      </c>
      <c r="E1058" s="848" t="s">
        <v>2192</v>
      </c>
      <c r="F1058" s="832"/>
      <c r="G1058" s="833"/>
      <c r="H1058" s="834"/>
      <c r="I1058" s="835"/>
      <c r="J1058" s="835"/>
      <c r="K1058" s="836"/>
      <c r="L1058" s="837"/>
      <c r="M1058" s="1003"/>
      <c r="N1058" s="837"/>
      <c r="O1058" s="1017"/>
      <c r="P1058" s="856" t="s">
        <v>2197</v>
      </c>
      <c r="Q1058" s="857" t="s">
        <v>2698</v>
      </c>
      <c r="R1058" s="1380" t="n">
        <v>97301.317</v>
      </c>
      <c r="S1058" s="866" t="n">
        <f aca="false">R1058/H1055</f>
        <v>3635.00001867909</v>
      </c>
      <c r="T1058" s="837"/>
      <c r="U1058" s="842"/>
    </row>
    <row r="1059" customFormat="false" ht="15" hidden="false" customHeight="true" outlineLevel="0" collapsed="false">
      <c r="A1059" s="882"/>
      <c r="B1059" s="830"/>
      <c r="C1059" s="830"/>
      <c r="D1059" s="848" t="s">
        <v>13</v>
      </c>
      <c r="E1059" s="848" t="s">
        <v>2192</v>
      </c>
      <c r="F1059" s="832"/>
      <c r="G1059" s="833"/>
      <c r="H1059" s="834"/>
      <c r="I1059" s="835"/>
      <c r="J1059" s="835"/>
      <c r="K1059" s="836"/>
      <c r="L1059" s="837"/>
      <c r="M1059" s="1003"/>
      <c r="N1059" s="837"/>
      <c r="O1059" s="1017"/>
      <c r="P1059" s="856" t="s">
        <v>2197</v>
      </c>
      <c r="Q1059" s="857" t="s">
        <v>2699</v>
      </c>
      <c r="R1059" s="1380" t="n">
        <v>28106.295</v>
      </c>
      <c r="S1059" s="866" t="n">
        <f aca="false">R1059/H1055</f>
        <v>1050</v>
      </c>
      <c r="T1059" s="837"/>
      <c r="U1059" s="842"/>
    </row>
    <row r="1060" customFormat="false" ht="15" hidden="false" customHeight="true" outlineLevel="0" collapsed="false">
      <c r="A1060" s="882"/>
      <c r="B1060" s="830"/>
      <c r="C1060" s="830"/>
      <c r="D1060" s="848" t="s">
        <v>13</v>
      </c>
      <c r="E1060" s="848" t="s">
        <v>2192</v>
      </c>
      <c r="F1060" s="832"/>
      <c r="G1060" s="833"/>
      <c r="H1060" s="834"/>
      <c r="I1060" s="835"/>
      <c r="J1060" s="835"/>
      <c r="K1060" s="836"/>
      <c r="L1060" s="837"/>
      <c r="M1060" s="1003"/>
      <c r="N1060" s="837"/>
      <c r="O1060" s="1017"/>
      <c r="P1060" s="856" t="s">
        <v>2197</v>
      </c>
      <c r="Q1060" s="857" t="s">
        <v>2700</v>
      </c>
      <c r="R1060" s="1380" t="n">
        <v>267411.321</v>
      </c>
      <c r="S1060" s="877" t="n">
        <f aca="false">R1060/H1055</f>
        <v>9990</v>
      </c>
      <c r="T1060" s="837"/>
      <c r="U1060" s="842"/>
    </row>
    <row r="1061" customFormat="false" ht="15" hidden="false" customHeight="true" outlineLevel="0" collapsed="false">
      <c r="A1061" s="882"/>
      <c r="B1061" s="830"/>
      <c r="C1061" s="830"/>
      <c r="D1061" s="887" t="s">
        <v>13</v>
      </c>
      <c r="E1061" s="887" t="s">
        <v>2192</v>
      </c>
      <c r="F1061" s="832"/>
      <c r="G1061" s="833"/>
      <c r="H1061" s="834"/>
      <c r="I1061" s="835"/>
      <c r="J1061" s="835"/>
      <c r="K1061" s="836"/>
      <c r="L1061" s="837"/>
      <c r="M1061" s="1003"/>
      <c r="N1061" s="837"/>
      <c r="O1061" s="1017"/>
      <c r="P1061" s="888" t="s">
        <v>2197</v>
      </c>
      <c r="Q1061" s="889" t="s">
        <v>2701</v>
      </c>
      <c r="R1061" s="1381" t="n">
        <v>267411.321</v>
      </c>
      <c r="S1061" s="846" t="n">
        <f aca="false">R1061/H1055</f>
        <v>9990</v>
      </c>
      <c r="T1061" s="837"/>
      <c r="U1061" s="842"/>
    </row>
    <row r="1062" customFormat="false" ht="15" hidden="false" customHeight="true" outlineLevel="0" collapsed="false">
      <c r="A1062" s="903" t="n">
        <v>55</v>
      </c>
      <c r="B1062" s="903" t="s">
        <v>2207</v>
      </c>
      <c r="C1062" s="903" t="n">
        <v>2024</v>
      </c>
      <c r="D1062" s="904" t="s">
        <v>13</v>
      </c>
      <c r="E1062" s="904" t="s">
        <v>2192</v>
      </c>
      <c r="F1062" s="904" t="s">
        <v>1651</v>
      </c>
      <c r="G1062" s="905"/>
      <c r="H1062" s="946" t="n">
        <v>26.8859</v>
      </c>
      <c r="I1062" s="947"/>
      <c r="J1062" s="947"/>
      <c r="K1062" s="939" t="n">
        <f aca="false">H1062*I1062/100</f>
        <v>0</v>
      </c>
      <c r="L1062" s="942" t="n">
        <v>25379</v>
      </c>
      <c r="M1062" s="1023" t="n">
        <v>1</v>
      </c>
      <c r="N1062" s="1137" t="n">
        <f aca="false">L1062*M1062</f>
        <v>25379</v>
      </c>
      <c r="O1062" s="1664" t="n">
        <f aca="false">H1062*N1062</f>
        <v>682337.2561</v>
      </c>
      <c r="P1062" s="910" t="s">
        <v>2193</v>
      </c>
      <c r="Q1062" s="911" t="s">
        <v>2682</v>
      </c>
      <c r="R1062" s="1355" t="n">
        <v>682337.256</v>
      </c>
      <c r="S1062" s="891" t="n">
        <f aca="false">R1062/H1062</f>
        <v>25378.9999962806</v>
      </c>
      <c r="T1062" s="942" t="n">
        <f aca="false">O1062-R1062</f>
        <v>9.99999465420842E-005</v>
      </c>
      <c r="U1062" s="942" t="n">
        <f aca="false">N1062-S1062</f>
        <v>3.71941860066727E-006</v>
      </c>
    </row>
    <row r="1063" customFormat="false" ht="15" hidden="false" customHeight="true" outlineLevel="0" collapsed="false">
      <c r="A1063" s="1027" t="s">
        <v>2702</v>
      </c>
      <c r="B1063" s="1028" t="s">
        <v>2207</v>
      </c>
      <c r="C1063" s="1028" t="n">
        <v>2024</v>
      </c>
      <c r="D1063" s="831" t="s">
        <v>13</v>
      </c>
      <c r="E1063" s="831" t="s">
        <v>2192</v>
      </c>
      <c r="F1063" s="1328" t="s">
        <v>1651</v>
      </c>
      <c r="G1063" s="1030"/>
      <c r="H1063" s="1031" t="n">
        <v>26.7213</v>
      </c>
      <c r="I1063" s="1032"/>
      <c r="J1063" s="1032"/>
      <c r="K1063" s="1033" t="n">
        <f aca="false">H1063*I1063/100</f>
        <v>0</v>
      </c>
      <c r="L1063" s="1036" t="n">
        <v>26369</v>
      </c>
      <c r="M1063" s="1035" t="n">
        <v>1</v>
      </c>
      <c r="N1063" s="1036" t="n">
        <f aca="false">L1063*M1063</f>
        <v>26369</v>
      </c>
      <c r="O1063" s="1529" t="n">
        <f aca="false">H1063*N1063</f>
        <v>704613.9597</v>
      </c>
      <c r="P1063" s="838" t="s">
        <v>2197</v>
      </c>
      <c r="Q1063" s="839" t="s">
        <v>2703</v>
      </c>
      <c r="R1063" s="1369" t="n">
        <v>266945.787</v>
      </c>
      <c r="S1063" s="886" t="n">
        <f aca="false">R1063/H1063</f>
        <v>9990</v>
      </c>
      <c r="T1063" s="1036" t="n">
        <f aca="false">O1063-R1063-R1064-R1065</f>
        <v>-0.000300000014249235</v>
      </c>
      <c r="U1063" s="1037" t="n">
        <f aca="false">N1063-S1063-S1064-S1065</f>
        <v>-1.12269990495406E-005</v>
      </c>
    </row>
    <row r="1064" customFormat="false" ht="15" hidden="false" customHeight="true" outlineLevel="0" collapsed="false">
      <c r="A1064" s="1027"/>
      <c r="B1064" s="1028"/>
      <c r="C1064" s="1028"/>
      <c r="D1064" s="848" t="s">
        <v>13</v>
      </c>
      <c r="E1064" s="848" t="s">
        <v>2192</v>
      </c>
      <c r="F1064" s="1328"/>
      <c r="G1064" s="1030"/>
      <c r="H1064" s="1031"/>
      <c r="I1064" s="1032"/>
      <c r="J1064" s="1032"/>
      <c r="K1064" s="1033"/>
      <c r="L1064" s="1036"/>
      <c r="M1064" s="1035"/>
      <c r="N1064" s="1036"/>
      <c r="O1064" s="1529"/>
      <c r="P1064" s="856" t="s">
        <v>2197</v>
      </c>
      <c r="Q1064" s="857" t="s">
        <v>2704</v>
      </c>
      <c r="R1064" s="1380" t="n">
        <v>266945.787</v>
      </c>
      <c r="S1064" s="866" t="n">
        <f aca="false">R1064/H1063</f>
        <v>9990</v>
      </c>
      <c r="T1064" s="1036"/>
      <c r="U1064" s="1037"/>
    </row>
    <row r="1065" customFormat="false" ht="15" hidden="false" customHeight="true" outlineLevel="0" collapsed="false">
      <c r="A1065" s="1027"/>
      <c r="B1065" s="1028"/>
      <c r="C1065" s="1028"/>
      <c r="D1065" s="904" t="s">
        <v>13</v>
      </c>
      <c r="E1065" s="904" t="s">
        <v>2192</v>
      </c>
      <c r="F1065" s="1328"/>
      <c r="G1065" s="1030"/>
      <c r="H1065" s="1031"/>
      <c r="I1065" s="1032"/>
      <c r="J1065" s="1032"/>
      <c r="K1065" s="1033"/>
      <c r="L1065" s="1036"/>
      <c r="M1065" s="1035"/>
      <c r="N1065" s="1036"/>
      <c r="O1065" s="1529"/>
      <c r="P1065" s="910" t="s">
        <v>2197</v>
      </c>
      <c r="Q1065" s="911" t="s">
        <v>2705</v>
      </c>
      <c r="R1065" s="1355" t="n">
        <v>170722.386</v>
      </c>
      <c r="S1065" s="891" t="n">
        <f aca="false">R1065/H1063</f>
        <v>6389.000011227</v>
      </c>
      <c r="T1065" s="1036"/>
      <c r="U1065" s="1037"/>
    </row>
    <row r="1066" customFormat="false" ht="15" hidden="false" customHeight="true" outlineLevel="0" collapsed="false">
      <c r="A1066" s="882" t="n">
        <v>48</v>
      </c>
      <c r="B1066" s="883" t="s">
        <v>81</v>
      </c>
      <c r="C1066" s="883" t="n">
        <v>2024</v>
      </c>
      <c r="D1066" s="831" t="s">
        <v>13</v>
      </c>
      <c r="E1066" s="831" t="s">
        <v>2192</v>
      </c>
      <c r="F1066" s="832" t="s">
        <v>2199</v>
      </c>
      <c r="G1066" s="833"/>
      <c r="H1066" s="1152" t="n">
        <v>71.7</v>
      </c>
      <c r="I1066" s="835"/>
      <c r="J1066" s="835"/>
      <c r="K1066" s="836" t="n">
        <f aca="false">H1066*I1066/100</f>
        <v>0</v>
      </c>
      <c r="L1066" s="837" t="n">
        <v>31420</v>
      </c>
      <c r="M1066" s="1003" t="n">
        <v>1</v>
      </c>
      <c r="N1066" s="837" t="n">
        <f aca="false">L1066*M1066</f>
        <v>31420</v>
      </c>
      <c r="O1066" s="1017" t="n">
        <f aca="false">H1066*N1066</f>
        <v>2252814</v>
      </c>
      <c r="P1066" s="838" t="s">
        <v>2255</v>
      </c>
      <c r="Q1066" s="839" t="s">
        <v>2607</v>
      </c>
      <c r="R1066" s="1369" t="n">
        <v>284147.1</v>
      </c>
      <c r="S1066" s="886" t="n">
        <f aca="false">R1066/H1066</f>
        <v>3963</v>
      </c>
      <c r="T1066" s="1017" t="n">
        <f aca="false">O1066-R1066-R1068-R1067</f>
        <v>0</v>
      </c>
      <c r="U1066" s="842" t="n">
        <f aca="false">N1066-S1066-S1068-S1067</f>
        <v>0</v>
      </c>
    </row>
    <row r="1067" customFormat="false" ht="15" hidden="false" customHeight="true" outlineLevel="0" collapsed="false">
      <c r="A1067" s="882"/>
      <c r="B1067" s="883"/>
      <c r="C1067" s="883"/>
      <c r="D1067" s="904" t="s">
        <v>13</v>
      </c>
      <c r="E1067" s="904" t="s">
        <v>2192</v>
      </c>
      <c r="F1067" s="832"/>
      <c r="G1067" s="833"/>
      <c r="H1067" s="1152"/>
      <c r="I1067" s="835"/>
      <c r="J1067" s="835"/>
      <c r="K1067" s="836"/>
      <c r="L1067" s="837"/>
      <c r="M1067" s="1003"/>
      <c r="N1067" s="837"/>
      <c r="O1067" s="1017"/>
      <c r="P1067" s="910" t="s">
        <v>2200</v>
      </c>
      <c r="Q1067" s="911" t="s">
        <v>113</v>
      </c>
      <c r="R1067" s="1355" t="n">
        <v>1857890.4</v>
      </c>
      <c r="S1067" s="866" t="n">
        <f aca="false">R1067/H1066</f>
        <v>25912</v>
      </c>
      <c r="T1067" s="1017"/>
      <c r="U1067" s="842"/>
    </row>
    <row r="1068" customFormat="false" ht="15" hidden="false" customHeight="true" outlineLevel="0" collapsed="false">
      <c r="A1068" s="882"/>
      <c r="B1068" s="883"/>
      <c r="C1068" s="883"/>
      <c r="D1068" s="843" t="s">
        <v>13</v>
      </c>
      <c r="E1068" s="843" t="s">
        <v>2192</v>
      </c>
      <c r="F1068" s="832"/>
      <c r="G1068" s="833"/>
      <c r="H1068" s="1152"/>
      <c r="I1068" s="835"/>
      <c r="J1068" s="835"/>
      <c r="K1068" s="836"/>
      <c r="L1068" s="837"/>
      <c r="M1068" s="1003"/>
      <c r="N1068" s="837"/>
      <c r="O1068" s="1017"/>
      <c r="P1068" s="844" t="s">
        <v>2255</v>
      </c>
      <c r="Q1068" s="845" t="s">
        <v>2706</v>
      </c>
      <c r="R1068" s="1362" t="n">
        <v>110776.5</v>
      </c>
      <c r="S1068" s="846" t="n">
        <f aca="false">R1068/H1066</f>
        <v>1545</v>
      </c>
      <c r="T1068" s="1017"/>
      <c r="U1068" s="842"/>
    </row>
    <row r="1069" customFormat="false" ht="15" hidden="false" customHeight="true" outlineLevel="0" collapsed="false">
      <c r="A1069" s="903" t="n">
        <v>49</v>
      </c>
      <c r="B1069" s="903" t="s">
        <v>81</v>
      </c>
      <c r="C1069" s="903" t="n">
        <v>2024</v>
      </c>
      <c r="D1069" s="904" t="s">
        <v>13</v>
      </c>
      <c r="E1069" s="904" t="s">
        <v>2192</v>
      </c>
      <c r="F1069" s="904" t="s">
        <v>2199</v>
      </c>
      <c r="G1069" s="905"/>
      <c r="H1069" s="946" t="n">
        <v>59.1</v>
      </c>
      <c r="I1069" s="947"/>
      <c r="J1069" s="947"/>
      <c r="K1069" s="939" t="n">
        <f aca="false">H1069*I1069/100</f>
        <v>0</v>
      </c>
      <c r="L1069" s="942" t="n">
        <v>16200</v>
      </c>
      <c r="M1069" s="1023" t="n">
        <v>1</v>
      </c>
      <c r="N1069" s="1137" t="n">
        <f aca="false">L1069*M1069</f>
        <v>16200</v>
      </c>
      <c r="O1069" s="1664" t="n">
        <f aca="false">H1069*N1069</f>
        <v>957420</v>
      </c>
      <c r="P1069" s="910" t="s">
        <v>2200</v>
      </c>
      <c r="Q1069" s="911" t="s">
        <v>2707</v>
      </c>
      <c r="R1069" s="1355" t="n">
        <v>957420</v>
      </c>
      <c r="S1069" s="891" t="n">
        <f aca="false">R1069/H1069</f>
        <v>16200</v>
      </c>
      <c r="T1069" s="941" t="n">
        <f aca="false">O1069-R1069</f>
        <v>0</v>
      </c>
      <c r="U1069" s="942" t="n">
        <f aca="false">N1069-S1069</f>
        <v>0</v>
      </c>
    </row>
    <row r="1070" customFormat="false" ht="15" hidden="false" customHeight="true" outlineLevel="0" collapsed="false">
      <c r="A1070" s="881" t="n">
        <v>44</v>
      </c>
      <c r="B1070" s="882" t="s">
        <v>86</v>
      </c>
      <c r="C1070" s="883" t="n">
        <v>2024</v>
      </c>
      <c r="D1070" s="831" t="s">
        <v>13</v>
      </c>
      <c r="E1070" s="831" t="s">
        <v>2192</v>
      </c>
      <c r="F1070" s="832" t="s">
        <v>1650</v>
      </c>
      <c r="G1070" s="833"/>
      <c r="H1070" s="834" t="n">
        <v>94.6</v>
      </c>
      <c r="I1070" s="835"/>
      <c r="J1070" s="835"/>
      <c r="K1070" s="836" t="n">
        <f aca="false">H1070*I1070/100</f>
        <v>0</v>
      </c>
      <c r="L1070" s="837" t="n">
        <v>9768</v>
      </c>
      <c r="M1070" s="1003" t="n">
        <v>1</v>
      </c>
      <c r="N1070" s="837" t="n">
        <f aca="false">L1070*M1070</f>
        <v>9768</v>
      </c>
      <c r="O1070" s="1017" t="n">
        <f aca="false">H1070*N1070</f>
        <v>924052.8</v>
      </c>
      <c r="P1070" s="884" t="s">
        <v>2193</v>
      </c>
      <c r="Q1070" s="885" t="s">
        <v>2707</v>
      </c>
      <c r="R1070" s="1665" t="n">
        <v>283800</v>
      </c>
      <c r="S1070" s="886" t="n">
        <f aca="false">R1070/H1070</f>
        <v>3000</v>
      </c>
      <c r="T1070" s="1017" t="n">
        <f aca="false">O1070-R1070-R1072-R1071</f>
        <v>0</v>
      </c>
      <c r="U1070" s="842" t="n">
        <f aca="false">N1070-S1070-S1072-S1071</f>
        <v>0</v>
      </c>
    </row>
    <row r="1071" customFormat="false" ht="15" hidden="false" customHeight="true" outlineLevel="0" collapsed="false">
      <c r="A1071" s="881"/>
      <c r="B1071" s="882"/>
      <c r="C1071" s="883"/>
      <c r="D1071" s="860" t="s">
        <v>13</v>
      </c>
      <c r="E1071" s="860" t="s">
        <v>2192</v>
      </c>
      <c r="F1071" s="832"/>
      <c r="G1071" s="833"/>
      <c r="H1071" s="834"/>
      <c r="I1071" s="835"/>
      <c r="J1071" s="835"/>
      <c r="K1071" s="836"/>
      <c r="L1071" s="837"/>
      <c r="M1071" s="1003"/>
      <c r="N1071" s="837"/>
      <c r="O1071" s="1017"/>
      <c r="P1071" s="868" t="s">
        <v>2255</v>
      </c>
      <c r="Q1071" s="869" t="s">
        <v>2607</v>
      </c>
      <c r="R1071" s="1521" t="n">
        <v>350020</v>
      </c>
      <c r="S1071" s="866" t="n">
        <f aca="false">R1071/H1070</f>
        <v>3700</v>
      </c>
      <c r="T1071" s="1017"/>
      <c r="U1071" s="842"/>
    </row>
    <row r="1072" customFormat="false" ht="15" hidden="false" customHeight="true" outlineLevel="0" collapsed="false">
      <c r="A1072" s="881"/>
      <c r="B1072" s="882"/>
      <c r="C1072" s="883"/>
      <c r="D1072" s="887" t="s">
        <v>13</v>
      </c>
      <c r="E1072" s="887" t="s">
        <v>2192</v>
      </c>
      <c r="F1072" s="832"/>
      <c r="G1072" s="833"/>
      <c r="H1072" s="834"/>
      <c r="I1072" s="835"/>
      <c r="J1072" s="835"/>
      <c r="K1072" s="836"/>
      <c r="L1072" s="837"/>
      <c r="M1072" s="1003"/>
      <c r="N1072" s="837"/>
      <c r="O1072" s="1017"/>
      <c r="P1072" s="888" t="s">
        <v>2193</v>
      </c>
      <c r="Q1072" s="889" t="s">
        <v>2399</v>
      </c>
      <c r="R1072" s="1381" t="n">
        <v>290232.8</v>
      </c>
      <c r="S1072" s="890" t="n">
        <f aca="false">R1072/H1070</f>
        <v>3068</v>
      </c>
      <c r="T1072" s="1017"/>
      <c r="U1072" s="842"/>
    </row>
    <row r="1073" customFormat="false" ht="15" hidden="false" customHeight="true" outlineLevel="0" collapsed="false">
      <c r="A1073" s="881"/>
      <c r="B1073" s="847" t="s">
        <v>86</v>
      </c>
      <c r="C1073" s="847" t="n">
        <v>2024</v>
      </c>
      <c r="D1073" s="848" t="s">
        <v>13</v>
      </c>
      <c r="E1073" s="848" t="s">
        <v>2242</v>
      </c>
      <c r="F1073" s="848"/>
      <c r="G1073" s="849"/>
      <c r="H1073" s="949" t="n">
        <v>42.5</v>
      </c>
      <c r="I1073" s="950"/>
      <c r="J1073" s="950"/>
      <c r="K1073" s="852" t="n">
        <f aca="false">H1073*I1073/100</f>
        <v>0</v>
      </c>
      <c r="L1073" s="537" t="n">
        <v>391</v>
      </c>
      <c r="M1073" s="1007" t="n">
        <v>1</v>
      </c>
      <c r="N1073" s="1143" t="n">
        <f aca="false">L1073*M1073</f>
        <v>391</v>
      </c>
      <c r="O1073" s="1661" t="n">
        <f aca="false">H1073*N1073</f>
        <v>16617.5</v>
      </c>
      <c r="P1073" s="856" t="s">
        <v>2232</v>
      </c>
      <c r="Q1073" s="857" t="s">
        <v>101</v>
      </c>
      <c r="R1073" s="1380" t="n">
        <v>16617.5</v>
      </c>
      <c r="S1073" s="891" t="n">
        <f aca="false">R1073/H1073</f>
        <v>391</v>
      </c>
      <c r="T1073" s="1009" t="n">
        <f aca="false">O1073-R1073</f>
        <v>0</v>
      </c>
      <c r="U1073" s="892" t="n">
        <f aca="false">N1073-S1073</f>
        <v>0</v>
      </c>
    </row>
    <row r="1074" customFormat="false" ht="15" hidden="false" customHeight="true" outlineLevel="0" collapsed="false">
      <c r="A1074" s="881"/>
      <c r="B1074" s="847" t="s">
        <v>86</v>
      </c>
      <c r="C1074" s="847" t="n">
        <v>2024</v>
      </c>
      <c r="D1074" s="848" t="s">
        <v>13</v>
      </c>
      <c r="E1074" s="848" t="s">
        <v>2241</v>
      </c>
      <c r="F1074" s="848"/>
      <c r="G1074" s="849"/>
      <c r="H1074" s="949" t="n">
        <v>1.9</v>
      </c>
      <c r="I1074" s="950"/>
      <c r="J1074" s="950"/>
      <c r="K1074" s="852" t="n">
        <f aca="false">H1074*I1074/100</f>
        <v>0</v>
      </c>
      <c r="L1074" s="537" t="n">
        <v>1521</v>
      </c>
      <c r="M1074" s="1007" t="n">
        <v>1</v>
      </c>
      <c r="N1074" s="1143" t="n">
        <f aca="false">L1074*M1074</f>
        <v>1521</v>
      </c>
      <c r="O1074" s="1661" t="n">
        <f aca="false">H1074*N1074</f>
        <v>2889.9</v>
      </c>
      <c r="P1074" s="856" t="s">
        <v>2204</v>
      </c>
      <c r="Q1074" s="1436" t="s">
        <v>2398</v>
      </c>
      <c r="R1074" s="1380" t="n">
        <v>2889.9</v>
      </c>
      <c r="S1074" s="866" t="n">
        <f aca="false">R1074/H1074</f>
        <v>1521</v>
      </c>
      <c r="T1074" s="1009" t="n">
        <f aca="false">O1074-R1074</f>
        <v>0</v>
      </c>
      <c r="U1074" s="892" t="n">
        <f aca="false">N1074-S1074</f>
        <v>0</v>
      </c>
    </row>
    <row r="1075" customFormat="false" ht="15" hidden="false" customHeight="true" outlineLevel="0" collapsed="false">
      <c r="A1075" s="881"/>
      <c r="B1075" s="1072" t="s">
        <v>86</v>
      </c>
      <c r="C1075" s="1072" t="n">
        <v>2024</v>
      </c>
      <c r="D1075" s="887" t="s">
        <v>13</v>
      </c>
      <c r="E1075" s="887" t="s">
        <v>2205</v>
      </c>
      <c r="F1075" s="887"/>
      <c r="G1075" s="1062"/>
      <c r="H1075" s="1077" t="n">
        <v>6.5</v>
      </c>
      <c r="I1075" s="1086"/>
      <c r="J1075" s="1086"/>
      <c r="K1075" s="1064" t="n">
        <f aca="false">H1075*I1075/100</f>
        <v>0</v>
      </c>
      <c r="L1075" s="1067" t="n">
        <v>2181</v>
      </c>
      <c r="M1075" s="1066" t="n">
        <v>1</v>
      </c>
      <c r="N1075" s="1082" t="n">
        <f aca="false">L1075*M1075</f>
        <v>2181</v>
      </c>
      <c r="O1075" s="1663" t="n">
        <f aca="false">H1075*N1075</f>
        <v>14176.5</v>
      </c>
      <c r="P1075" s="888" t="s">
        <v>2204</v>
      </c>
      <c r="Q1075" s="889" t="n">
        <v>22112024</v>
      </c>
      <c r="R1075" s="1381" t="n">
        <v>14176.5</v>
      </c>
      <c r="S1075" s="866" t="n">
        <f aca="false">R1075/H1075</f>
        <v>2181</v>
      </c>
      <c r="T1075" s="1172" t="n">
        <f aca="false">O1075-R1075</f>
        <v>0</v>
      </c>
      <c r="U1075" s="1070" t="n">
        <f aca="false">N1075-S1075</f>
        <v>0</v>
      </c>
    </row>
    <row r="1076" customFormat="false" ht="15" hidden="false" customHeight="true" outlineLevel="0" collapsed="false">
      <c r="A1076" s="882" t="n">
        <v>56</v>
      </c>
      <c r="B1076" s="883" t="s">
        <v>2207</v>
      </c>
      <c r="C1076" s="883" t="n">
        <v>2024</v>
      </c>
      <c r="D1076" s="831" t="s">
        <v>13</v>
      </c>
      <c r="E1076" s="831" t="s">
        <v>2192</v>
      </c>
      <c r="F1076" s="832" t="s">
        <v>1651</v>
      </c>
      <c r="G1076" s="833"/>
      <c r="H1076" s="834" t="n">
        <v>27.8235</v>
      </c>
      <c r="I1076" s="835"/>
      <c r="J1076" s="835"/>
      <c r="K1076" s="836" t="n">
        <f aca="false">H1076*I1076/100</f>
        <v>0</v>
      </c>
      <c r="L1076" s="837" t="n">
        <v>10200</v>
      </c>
      <c r="M1076" s="1003" t="n">
        <v>1</v>
      </c>
      <c r="N1076" s="837" t="n">
        <f aca="false">L1076*M1076</f>
        <v>10200</v>
      </c>
      <c r="O1076" s="943" t="n">
        <f aca="false">H1076*N1076</f>
        <v>283799.7</v>
      </c>
      <c r="P1076" s="838" t="s">
        <v>2197</v>
      </c>
      <c r="Q1076" s="839" t="s">
        <v>2708</v>
      </c>
      <c r="R1076" s="1369" t="n">
        <v>277956.765</v>
      </c>
      <c r="S1076" s="840" t="n">
        <f aca="false">R1076/H1076</f>
        <v>9990</v>
      </c>
      <c r="T1076" s="943" t="n">
        <f aca="false">O1076-R1076-R1077-R1078</f>
        <v>0</v>
      </c>
      <c r="U1076" s="842" t="n">
        <f aca="false">N1076-S1076-S1077-S1078</f>
        <v>0</v>
      </c>
    </row>
    <row r="1077" customFormat="false" ht="15" hidden="false" customHeight="true" outlineLevel="0" collapsed="false">
      <c r="A1077" s="882"/>
      <c r="B1077" s="883"/>
      <c r="C1077" s="883"/>
      <c r="D1077" s="860" t="s">
        <v>13</v>
      </c>
      <c r="E1077" s="860" t="s">
        <v>2192</v>
      </c>
      <c r="F1077" s="832"/>
      <c r="G1077" s="833"/>
      <c r="H1077" s="834"/>
      <c r="I1077" s="835"/>
      <c r="J1077" s="835"/>
      <c r="K1077" s="836"/>
      <c r="L1077" s="837"/>
      <c r="M1077" s="1003"/>
      <c r="N1077" s="837"/>
      <c r="O1077" s="943"/>
      <c r="P1077" s="868" t="s">
        <v>2197</v>
      </c>
      <c r="Q1077" s="869" t="s">
        <v>2709</v>
      </c>
      <c r="R1077" s="1521" t="n">
        <v>417.3525</v>
      </c>
      <c r="S1077" s="866" t="n">
        <f aca="false">R1077/H1076</f>
        <v>15</v>
      </c>
      <c r="T1077" s="943"/>
      <c r="U1077" s="842"/>
    </row>
    <row r="1078" customFormat="false" ht="15" hidden="false" customHeight="true" outlineLevel="0" collapsed="false">
      <c r="A1078" s="882"/>
      <c r="B1078" s="883"/>
      <c r="C1078" s="883"/>
      <c r="D1078" s="843" t="s">
        <v>13</v>
      </c>
      <c r="E1078" s="843" t="s">
        <v>2192</v>
      </c>
      <c r="F1078" s="832"/>
      <c r="G1078" s="833"/>
      <c r="H1078" s="834"/>
      <c r="I1078" s="835"/>
      <c r="J1078" s="835"/>
      <c r="K1078" s="836"/>
      <c r="L1078" s="837"/>
      <c r="M1078" s="1003"/>
      <c r="N1078" s="837"/>
      <c r="O1078" s="943"/>
      <c r="P1078" s="844" t="s">
        <v>2197</v>
      </c>
      <c r="Q1078" s="845" t="s">
        <v>2710</v>
      </c>
      <c r="R1078" s="1362" t="n">
        <v>5425.5825</v>
      </c>
      <c r="S1078" s="846" t="n">
        <f aca="false">R1078/H1076</f>
        <v>195</v>
      </c>
      <c r="T1078" s="943"/>
      <c r="U1078" s="842"/>
    </row>
    <row r="1079" customFormat="false" ht="15" hidden="false" customHeight="true" outlineLevel="0" collapsed="false">
      <c r="A1079" s="882" t="n">
        <v>57</v>
      </c>
      <c r="B1079" s="883" t="s">
        <v>2207</v>
      </c>
      <c r="C1079" s="883" t="n">
        <v>2024</v>
      </c>
      <c r="D1079" s="831" t="s">
        <v>13</v>
      </c>
      <c r="E1079" s="831" t="s">
        <v>2192</v>
      </c>
      <c r="F1079" s="832" t="s">
        <v>1651</v>
      </c>
      <c r="G1079" s="833"/>
      <c r="H1079" s="834" t="n">
        <v>23.998</v>
      </c>
      <c r="I1079" s="835"/>
      <c r="J1079" s="835"/>
      <c r="K1079" s="836" t="n">
        <f aca="false">H1079*I1079/100</f>
        <v>0</v>
      </c>
      <c r="L1079" s="837" t="n">
        <v>12094</v>
      </c>
      <c r="M1079" s="1003" t="n">
        <v>1</v>
      </c>
      <c r="N1079" s="837" t="n">
        <f aca="false">L1079*M1079</f>
        <v>12094</v>
      </c>
      <c r="O1079" s="1017" t="n">
        <f aca="false">H1079*N1079</f>
        <v>290231.812</v>
      </c>
      <c r="P1079" s="838" t="s">
        <v>2197</v>
      </c>
      <c r="Q1079" s="839" t="s">
        <v>2711</v>
      </c>
      <c r="R1079" s="1369" t="n">
        <v>239740.02</v>
      </c>
      <c r="S1079" s="840" t="n">
        <f aca="false">R1079/H1079</f>
        <v>9990</v>
      </c>
      <c r="T1079" s="1017" t="n">
        <f aca="false">O1079-R1079-R1080-R1081</f>
        <v>0</v>
      </c>
      <c r="U1079" s="842" t="n">
        <f aca="false">N1079-S1079-S1080-S1081</f>
        <v>0</v>
      </c>
    </row>
    <row r="1080" customFormat="false" ht="15" hidden="false" customHeight="true" outlineLevel="0" collapsed="false">
      <c r="A1080" s="882"/>
      <c r="B1080" s="883"/>
      <c r="C1080" s="883"/>
      <c r="D1080" s="860" t="s">
        <v>13</v>
      </c>
      <c r="E1080" s="860" t="s">
        <v>2192</v>
      </c>
      <c r="F1080" s="832"/>
      <c r="G1080" s="833"/>
      <c r="H1080" s="834"/>
      <c r="I1080" s="835"/>
      <c r="J1080" s="835"/>
      <c r="K1080" s="836"/>
      <c r="L1080" s="837"/>
      <c r="M1080" s="1003"/>
      <c r="N1080" s="837"/>
      <c r="O1080" s="1017"/>
      <c r="P1080" s="868" t="s">
        <v>2197</v>
      </c>
      <c r="Q1080" s="869" t="s">
        <v>2712</v>
      </c>
      <c r="R1080" s="1521" t="n">
        <v>4319.64</v>
      </c>
      <c r="S1080" s="866" t="n">
        <f aca="false">R1080/H1079</f>
        <v>180</v>
      </c>
      <c r="T1080" s="1017"/>
      <c r="U1080" s="842"/>
    </row>
    <row r="1081" customFormat="false" ht="15" hidden="false" customHeight="true" outlineLevel="0" collapsed="false">
      <c r="A1081" s="882"/>
      <c r="B1081" s="883"/>
      <c r="C1081" s="883"/>
      <c r="D1081" s="843" t="s">
        <v>13</v>
      </c>
      <c r="E1081" s="843" t="s">
        <v>2192</v>
      </c>
      <c r="F1081" s="832"/>
      <c r="G1081" s="833"/>
      <c r="H1081" s="834"/>
      <c r="I1081" s="835"/>
      <c r="J1081" s="835"/>
      <c r="K1081" s="836"/>
      <c r="L1081" s="837"/>
      <c r="M1081" s="1003"/>
      <c r="N1081" s="837"/>
      <c r="O1081" s="1017"/>
      <c r="P1081" s="844" t="s">
        <v>2197</v>
      </c>
      <c r="Q1081" s="845" t="s">
        <v>2713</v>
      </c>
      <c r="R1081" s="1362" t="n">
        <v>46172.152</v>
      </c>
      <c r="S1081" s="846" t="n">
        <f aca="false">R1081/H1079</f>
        <v>1924</v>
      </c>
      <c r="T1081" s="1017"/>
      <c r="U1081" s="842"/>
    </row>
    <row r="1082" customFormat="false" ht="15" hidden="false" customHeight="true" outlineLevel="0" collapsed="false">
      <c r="A1082" s="829" t="n">
        <v>7</v>
      </c>
      <c r="B1082" s="830" t="s">
        <v>2278</v>
      </c>
      <c r="C1082" s="830" t="n">
        <v>2024</v>
      </c>
      <c r="D1082" s="831" t="s">
        <v>13</v>
      </c>
      <c r="E1082" s="831" t="s">
        <v>2192</v>
      </c>
      <c r="F1082" s="832" t="s">
        <v>2199</v>
      </c>
      <c r="G1082" s="833"/>
      <c r="H1082" s="834" t="n">
        <v>82.731</v>
      </c>
      <c r="I1082" s="835"/>
      <c r="J1082" s="835"/>
      <c r="K1082" s="836" t="n">
        <f aca="false">H1082*I1082/100</f>
        <v>0</v>
      </c>
      <c r="L1082" s="837" t="n">
        <v>8565</v>
      </c>
      <c r="M1082" s="1003" t="n">
        <v>1</v>
      </c>
      <c r="N1082" s="837" t="n">
        <f aca="false">L1082*M1082</f>
        <v>8565</v>
      </c>
      <c r="O1082" s="1017" t="n">
        <f aca="false">H1082*N1082</f>
        <v>708591.015</v>
      </c>
      <c r="P1082" s="838" t="s">
        <v>2232</v>
      </c>
      <c r="Q1082" s="839" t="s">
        <v>2336</v>
      </c>
      <c r="R1082" s="1369" t="n">
        <v>579110</v>
      </c>
      <c r="S1082" s="840" t="n">
        <f aca="false">R1082/H1082</f>
        <v>6999.91538842756</v>
      </c>
      <c r="T1082" s="1017" t="n">
        <f aca="false">O1082-R1082-R1083</f>
        <v>0</v>
      </c>
      <c r="U1082" s="842" t="n">
        <f aca="false">N1082-S1082-S1083</f>
        <v>0</v>
      </c>
    </row>
    <row r="1083" customFormat="false" ht="15" hidden="false" customHeight="true" outlineLevel="0" collapsed="false">
      <c r="A1083" s="829"/>
      <c r="B1083" s="830"/>
      <c r="C1083" s="830"/>
      <c r="D1083" s="887" t="s">
        <v>13</v>
      </c>
      <c r="E1083" s="887" t="s">
        <v>2192</v>
      </c>
      <c r="F1083" s="832"/>
      <c r="G1083" s="833"/>
      <c r="H1083" s="834"/>
      <c r="I1083" s="835"/>
      <c r="J1083" s="835"/>
      <c r="K1083" s="836"/>
      <c r="L1083" s="837"/>
      <c r="M1083" s="1003"/>
      <c r="N1083" s="837"/>
      <c r="O1083" s="1017"/>
      <c r="P1083" s="888" t="s">
        <v>2232</v>
      </c>
      <c r="Q1083" s="889" t="s">
        <v>2414</v>
      </c>
      <c r="R1083" s="1381" t="n">
        <v>129481.015</v>
      </c>
      <c r="S1083" s="846" t="n">
        <f aca="false">R1083/H1082</f>
        <v>1565.08461157245</v>
      </c>
      <c r="T1083" s="1017"/>
      <c r="U1083" s="842"/>
    </row>
    <row r="1084" customFormat="false" ht="15" hidden="false" customHeight="true" outlineLevel="0" collapsed="false">
      <c r="A1084" s="829" t="n">
        <v>18</v>
      </c>
      <c r="B1084" s="830" t="s">
        <v>2230</v>
      </c>
      <c r="C1084" s="830" t="n">
        <v>2024</v>
      </c>
      <c r="D1084" s="831" t="s">
        <v>13</v>
      </c>
      <c r="E1084" s="831" t="s">
        <v>2192</v>
      </c>
      <c r="F1084" s="832" t="s">
        <v>2199</v>
      </c>
      <c r="G1084" s="833"/>
      <c r="H1084" s="1152" t="n">
        <v>46.2387</v>
      </c>
      <c r="I1084" s="835"/>
      <c r="J1084" s="835"/>
      <c r="K1084" s="836" t="n">
        <f aca="false">H1084*I1084/100</f>
        <v>0</v>
      </c>
      <c r="L1084" s="837" t="n">
        <v>18125</v>
      </c>
      <c r="M1084" s="1003" t="n">
        <v>1</v>
      </c>
      <c r="N1084" s="837" t="n">
        <f aca="false">L1084*M1084</f>
        <v>18125</v>
      </c>
      <c r="O1084" s="943" t="n">
        <f aca="false">H1084*N1084</f>
        <v>838076.4375</v>
      </c>
      <c r="P1084" s="838" t="s">
        <v>2197</v>
      </c>
      <c r="Q1084" s="839" t="s">
        <v>2714</v>
      </c>
      <c r="R1084" s="1369" t="n">
        <v>462387</v>
      </c>
      <c r="S1084" s="886" t="n">
        <f aca="false">R1084/H1084</f>
        <v>10000</v>
      </c>
      <c r="T1084" s="943" t="n">
        <f aca="false">O1084-R1084-R1085</f>
        <v>0</v>
      </c>
      <c r="U1084" s="842" t="n">
        <f aca="false">N1084-S1084-S1085</f>
        <v>0</v>
      </c>
    </row>
    <row r="1085" customFormat="false" ht="15" hidden="false" customHeight="true" outlineLevel="0" collapsed="false">
      <c r="A1085" s="829"/>
      <c r="B1085" s="830"/>
      <c r="C1085" s="830"/>
      <c r="D1085" s="887" t="s">
        <v>13</v>
      </c>
      <c r="E1085" s="887" t="s">
        <v>2192</v>
      </c>
      <c r="F1085" s="832"/>
      <c r="G1085" s="833"/>
      <c r="H1085" s="1152"/>
      <c r="I1085" s="835"/>
      <c r="J1085" s="835"/>
      <c r="K1085" s="836"/>
      <c r="L1085" s="837"/>
      <c r="M1085" s="1003"/>
      <c r="N1085" s="837"/>
      <c r="O1085" s="943"/>
      <c r="P1085" s="888" t="s">
        <v>2197</v>
      </c>
      <c r="Q1085" s="889" t="s">
        <v>2715</v>
      </c>
      <c r="R1085" s="1381" t="n">
        <v>375689.4375</v>
      </c>
      <c r="S1085" s="846" t="n">
        <f aca="false">R1085/H1084</f>
        <v>8125</v>
      </c>
      <c r="T1085" s="943"/>
      <c r="U1085" s="842"/>
    </row>
    <row r="1086" customFormat="false" ht="15" hidden="false" customHeight="true" outlineLevel="0" collapsed="false">
      <c r="A1086" s="903" t="n">
        <v>19</v>
      </c>
      <c r="B1086" s="903" t="s">
        <v>2230</v>
      </c>
      <c r="C1086" s="903" t="n">
        <v>2024</v>
      </c>
      <c r="D1086" s="904" t="s">
        <v>13</v>
      </c>
      <c r="E1086" s="904" t="s">
        <v>2192</v>
      </c>
      <c r="F1086" s="904" t="s">
        <v>2199</v>
      </c>
      <c r="G1086" s="905"/>
      <c r="H1086" s="946" t="n">
        <v>94.9561</v>
      </c>
      <c r="I1086" s="947"/>
      <c r="J1086" s="947"/>
      <c r="K1086" s="939" t="n">
        <f aca="false">H1086*I1086/100</f>
        <v>0</v>
      </c>
      <c r="L1086" s="942" t="n">
        <v>1800</v>
      </c>
      <c r="M1086" s="1023" t="n">
        <v>1</v>
      </c>
      <c r="N1086" s="1137" t="n">
        <f aca="false">L1086*M1086</f>
        <v>1800</v>
      </c>
      <c r="O1086" s="1664" t="n">
        <f aca="false">H1086*N1086</f>
        <v>170920.98</v>
      </c>
      <c r="P1086" s="910" t="s">
        <v>2197</v>
      </c>
      <c r="Q1086" s="911" t="s">
        <v>2716</v>
      </c>
      <c r="R1086" s="1355" t="n">
        <v>170920.98</v>
      </c>
      <c r="S1086" s="891" t="n">
        <f aca="false">R1086/H1086</f>
        <v>1800</v>
      </c>
      <c r="T1086" s="941" t="n">
        <f aca="false">O1086-R1086</f>
        <v>0</v>
      </c>
      <c r="U1086" s="942" t="n">
        <f aca="false">N1086-S1086</f>
        <v>0</v>
      </c>
    </row>
    <row r="1087" customFormat="false" ht="15" hidden="false" customHeight="true" outlineLevel="0" collapsed="false">
      <c r="A1087" s="882" t="n">
        <v>51</v>
      </c>
      <c r="B1087" s="1028" t="s">
        <v>86</v>
      </c>
      <c r="C1087" s="1028" t="n">
        <v>2024</v>
      </c>
      <c r="D1087" s="1328" t="s">
        <v>13</v>
      </c>
      <c r="E1087" s="1328" t="s">
        <v>2192</v>
      </c>
      <c r="F1087" s="1328" t="s">
        <v>1650</v>
      </c>
      <c r="G1087" s="1030"/>
      <c r="H1087" s="1031" t="n">
        <v>95.7</v>
      </c>
      <c r="I1087" s="1032"/>
      <c r="J1087" s="1032"/>
      <c r="K1087" s="1033" t="n">
        <f aca="false">H1087*I1087/100</f>
        <v>0</v>
      </c>
      <c r="L1087" s="1036" t="n">
        <v>7699</v>
      </c>
      <c r="M1087" s="1035" t="n">
        <v>1</v>
      </c>
      <c r="N1087" s="1341" t="n">
        <f aca="false">L1087*M1087</f>
        <v>7699</v>
      </c>
      <c r="O1087" s="1666" t="n">
        <f aca="false">H1087*N1087</f>
        <v>736794.3</v>
      </c>
      <c r="P1087" s="884" t="s">
        <v>2193</v>
      </c>
      <c r="Q1087" s="885" t="s">
        <v>2678</v>
      </c>
      <c r="R1087" s="1665" t="n">
        <v>736794.3</v>
      </c>
      <c r="S1087" s="886" t="n">
        <f aca="false">R1087/H1087</f>
        <v>7699</v>
      </c>
      <c r="T1087" s="1529" t="n">
        <f aca="false">O1087-R1087</f>
        <v>0</v>
      </c>
      <c r="U1087" s="1037" t="n">
        <f aca="false">N1087-S1087</f>
        <v>0</v>
      </c>
    </row>
    <row r="1088" customFormat="false" ht="15" hidden="false" customHeight="true" outlineLevel="0" collapsed="false">
      <c r="A1088" s="882"/>
      <c r="B1088" s="829" t="s">
        <v>86</v>
      </c>
      <c r="C1088" s="830" t="n">
        <v>2024</v>
      </c>
      <c r="D1088" s="831" t="s">
        <v>13</v>
      </c>
      <c r="E1088" s="831" t="s">
        <v>2242</v>
      </c>
      <c r="F1088" s="830"/>
      <c r="G1088" s="833"/>
      <c r="H1088" s="1059" t="n">
        <v>39</v>
      </c>
      <c r="I1088" s="835"/>
      <c r="J1088" s="835"/>
      <c r="K1088" s="836" t="n">
        <f aca="false">H1088*I1088/100</f>
        <v>0</v>
      </c>
      <c r="L1088" s="837" t="n">
        <v>659</v>
      </c>
      <c r="M1088" s="1003" t="n">
        <v>1</v>
      </c>
      <c r="N1088" s="837" t="n">
        <f aca="false">L1088*M1088</f>
        <v>659</v>
      </c>
      <c r="O1088" s="1017" t="n">
        <f aca="false">H1088*N1088</f>
        <v>25701</v>
      </c>
      <c r="P1088" s="838" t="s">
        <v>2232</v>
      </c>
      <c r="Q1088" s="839" t="s">
        <v>101</v>
      </c>
      <c r="R1088" s="1369" t="n">
        <v>3900</v>
      </c>
      <c r="S1088" s="840" t="n">
        <f aca="false">R1088/H1088</f>
        <v>100</v>
      </c>
      <c r="T1088" s="1017" t="n">
        <f aca="false">O1088-R1088-R1089</f>
        <v>0</v>
      </c>
      <c r="U1088" s="842" t="n">
        <f aca="false">N1088-S1088-S1089</f>
        <v>0</v>
      </c>
    </row>
    <row r="1089" customFormat="false" ht="15" hidden="false" customHeight="true" outlineLevel="0" collapsed="false">
      <c r="A1089" s="882"/>
      <c r="B1089" s="829"/>
      <c r="C1089" s="830"/>
      <c r="D1089" s="843" t="s">
        <v>13</v>
      </c>
      <c r="E1089" s="843" t="s">
        <v>2242</v>
      </c>
      <c r="F1089" s="830"/>
      <c r="G1089" s="833"/>
      <c r="H1089" s="1059"/>
      <c r="I1089" s="835"/>
      <c r="J1089" s="835"/>
      <c r="K1089" s="836"/>
      <c r="L1089" s="837"/>
      <c r="M1089" s="1003"/>
      <c r="N1089" s="837"/>
      <c r="O1089" s="1017"/>
      <c r="P1089" s="844" t="s">
        <v>2232</v>
      </c>
      <c r="Q1089" s="845" t="s">
        <v>2335</v>
      </c>
      <c r="R1089" s="1362" t="n">
        <v>21801</v>
      </c>
      <c r="S1089" s="846" t="n">
        <f aca="false">R1089/H1088</f>
        <v>559</v>
      </c>
      <c r="T1089" s="1017"/>
      <c r="U1089" s="842"/>
    </row>
    <row r="1090" customFormat="false" ht="15" hidden="false" customHeight="true" outlineLevel="0" collapsed="false">
      <c r="A1090" s="882"/>
      <c r="B1090" s="847" t="s">
        <v>86</v>
      </c>
      <c r="C1090" s="847" t="n">
        <v>2024</v>
      </c>
      <c r="D1090" s="848" t="s">
        <v>13</v>
      </c>
      <c r="E1090" s="848" t="s">
        <v>2203</v>
      </c>
      <c r="F1090" s="848"/>
      <c r="G1090" s="849"/>
      <c r="H1090" s="949" t="n">
        <v>53.7</v>
      </c>
      <c r="I1090" s="950"/>
      <c r="J1090" s="950"/>
      <c r="K1090" s="852" t="n">
        <f aca="false">H1090*I1090/100</f>
        <v>0</v>
      </c>
      <c r="L1090" s="537" t="n">
        <v>2797</v>
      </c>
      <c r="M1090" s="1007" t="n">
        <v>1</v>
      </c>
      <c r="N1090" s="1143" t="n">
        <f aca="false">L1090*M1090</f>
        <v>2797</v>
      </c>
      <c r="O1090" s="1661" t="n">
        <f aca="false">H1090*N1090</f>
        <v>150198.9</v>
      </c>
      <c r="P1090" s="856" t="s">
        <v>2200</v>
      </c>
      <c r="Q1090" s="857" t="s">
        <v>2679</v>
      </c>
      <c r="R1090" s="1380" t="n">
        <v>150198.9</v>
      </c>
      <c r="S1090" s="866" t="n">
        <f aca="false">R1090/H1090</f>
        <v>2797</v>
      </c>
      <c r="T1090" s="1009" t="n">
        <f aca="false">O1090-R1090</f>
        <v>0</v>
      </c>
      <c r="U1090" s="892" t="n">
        <f aca="false">N1090-S1090</f>
        <v>0</v>
      </c>
    </row>
    <row r="1091" customFormat="false" ht="15" hidden="false" customHeight="true" outlineLevel="0" collapsed="false">
      <c r="A1091" s="882"/>
      <c r="B1091" s="859" t="s">
        <v>86</v>
      </c>
      <c r="C1091" s="859" t="n">
        <v>2024</v>
      </c>
      <c r="D1091" s="860" t="s">
        <v>13</v>
      </c>
      <c r="E1091" s="860" t="s">
        <v>2241</v>
      </c>
      <c r="F1091" s="860"/>
      <c r="G1091" s="861"/>
      <c r="H1091" s="980" t="n">
        <v>7.8</v>
      </c>
      <c r="I1091" s="981"/>
      <c r="J1091" s="981"/>
      <c r="K1091" s="852" t="n">
        <f aca="false">H1091*I1091/100</f>
        <v>0</v>
      </c>
      <c r="L1091" s="543" t="n">
        <v>838</v>
      </c>
      <c r="M1091" s="983" t="n">
        <v>1</v>
      </c>
      <c r="N1091" s="1143" t="n">
        <f aca="false">L1091*M1091</f>
        <v>838</v>
      </c>
      <c r="O1091" s="1661" t="n">
        <f aca="false">H1091*N1091</f>
        <v>6536.4</v>
      </c>
      <c r="P1091" s="868" t="s">
        <v>2204</v>
      </c>
      <c r="Q1091" s="869" t="n">
        <v>22112024</v>
      </c>
      <c r="R1091" s="1521" t="n">
        <v>6536.4</v>
      </c>
      <c r="S1091" s="866" t="n">
        <f aca="false">R1091/H1091</f>
        <v>838</v>
      </c>
      <c r="T1091" s="1009" t="n">
        <f aca="false">O1091-R1091</f>
        <v>0</v>
      </c>
      <c r="U1091" s="892" t="n">
        <f aca="false">N1091-S1091</f>
        <v>0</v>
      </c>
    </row>
    <row r="1092" customFormat="false" ht="15" hidden="false" customHeight="true" outlineLevel="0" collapsed="false">
      <c r="A1092" s="882"/>
      <c r="B1092" s="893" t="s">
        <v>86</v>
      </c>
      <c r="C1092" s="893" t="n">
        <v>2024</v>
      </c>
      <c r="D1092" s="843" t="s">
        <v>13</v>
      </c>
      <c r="E1092" s="843" t="s">
        <v>2205</v>
      </c>
      <c r="F1092" s="843"/>
      <c r="G1092" s="894"/>
      <c r="H1092" s="1103" t="n">
        <v>42.5</v>
      </c>
      <c r="I1092" s="1104"/>
      <c r="J1092" s="1104"/>
      <c r="K1092" s="1064" t="n">
        <f aca="false">H1092*I1092/100</f>
        <v>0</v>
      </c>
      <c r="L1092" s="589" t="n">
        <v>3275</v>
      </c>
      <c r="M1092" s="1106" t="n">
        <v>1</v>
      </c>
      <c r="N1092" s="1082" t="n">
        <f aca="false">L1092*M1092</f>
        <v>3275</v>
      </c>
      <c r="O1092" s="1663" t="n">
        <f aca="false">H1092*N1092</f>
        <v>139187.5</v>
      </c>
      <c r="P1092" s="844" t="s">
        <v>2200</v>
      </c>
      <c r="Q1092" s="845" t="s">
        <v>2679</v>
      </c>
      <c r="R1092" s="1362" t="n">
        <v>139187.5</v>
      </c>
      <c r="S1092" s="846" t="n">
        <f aca="false">R1092/H1092</f>
        <v>3275</v>
      </c>
      <c r="T1092" s="1172" t="n">
        <f aca="false">O1092-R1092</f>
        <v>0</v>
      </c>
      <c r="U1092" s="1070" t="n">
        <f aca="false">N1092-S1092</f>
        <v>0</v>
      </c>
    </row>
    <row r="1093" customFormat="false" ht="15" hidden="false" customHeight="true" outlineLevel="0" collapsed="false">
      <c r="A1093" s="881" t="n">
        <v>56</v>
      </c>
      <c r="B1093" s="829" t="s">
        <v>86</v>
      </c>
      <c r="C1093" s="830" t="n">
        <v>2024</v>
      </c>
      <c r="D1093" s="831" t="s">
        <v>13</v>
      </c>
      <c r="E1093" s="831" t="s">
        <v>2192</v>
      </c>
      <c r="F1093" s="832" t="s">
        <v>1650</v>
      </c>
      <c r="G1093" s="1530"/>
      <c r="H1093" s="834" t="n">
        <v>94</v>
      </c>
      <c r="I1093" s="835"/>
      <c r="J1093" s="835"/>
      <c r="K1093" s="836" t="n">
        <f aca="false">H1093*I1093/100</f>
        <v>0</v>
      </c>
      <c r="L1093" s="837" t="n">
        <v>7419</v>
      </c>
      <c r="M1093" s="1003" t="n">
        <v>1</v>
      </c>
      <c r="N1093" s="837" t="n">
        <f aca="false">L1093*M1093</f>
        <v>7419</v>
      </c>
      <c r="O1093" s="1017" t="n">
        <f aca="false">H1093*N1093</f>
        <v>697386</v>
      </c>
      <c r="P1093" s="838" t="s">
        <v>2193</v>
      </c>
      <c r="Q1093" s="839" t="s">
        <v>2678</v>
      </c>
      <c r="R1093" s="1369" t="n">
        <v>84600</v>
      </c>
      <c r="S1093" s="886" t="n">
        <f aca="false">R1093/H1093</f>
        <v>900</v>
      </c>
      <c r="T1093" s="1017" t="n">
        <f aca="false">O1093-R1093-R1094</f>
        <v>0</v>
      </c>
      <c r="U1093" s="842" t="n">
        <f aca="false">N1093-S1093-S1094</f>
        <v>0</v>
      </c>
    </row>
    <row r="1094" customFormat="false" ht="15" hidden="false" customHeight="true" outlineLevel="0" collapsed="false">
      <c r="A1094" s="881"/>
      <c r="B1094" s="829"/>
      <c r="C1094" s="830"/>
      <c r="D1094" s="887" t="s">
        <v>13</v>
      </c>
      <c r="E1094" s="887" t="s">
        <v>2192</v>
      </c>
      <c r="F1094" s="832"/>
      <c r="G1094" s="1531"/>
      <c r="H1094" s="834"/>
      <c r="I1094" s="835"/>
      <c r="J1094" s="835"/>
      <c r="K1094" s="836"/>
      <c r="L1094" s="837"/>
      <c r="M1094" s="1003"/>
      <c r="N1094" s="837"/>
      <c r="O1094" s="1017"/>
      <c r="P1094" s="888" t="s">
        <v>2193</v>
      </c>
      <c r="Q1094" s="889" t="s">
        <v>2717</v>
      </c>
      <c r="R1094" s="1381" t="n">
        <v>612786</v>
      </c>
      <c r="S1094" s="846" t="n">
        <f aca="false">R1094/H1093</f>
        <v>6519</v>
      </c>
      <c r="T1094" s="1017"/>
      <c r="U1094" s="842"/>
    </row>
    <row r="1095" customFormat="false" ht="15" hidden="false" customHeight="true" outlineLevel="0" collapsed="false">
      <c r="A1095" s="881"/>
      <c r="B1095" s="847" t="s">
        <v>86</v>
      </c>
      <c r="C1095" s="847" t="n">
        <v>2024</v>
      </c>
      <c r="D1095" s="848" t="s">
        <v>13</v>
      </c>
      <c r="E1095" s="848" t="s">
        <v>2203</v>
      </c>
      <c r="F1095" s="848"/>
      <c r="G1095" s="849"/>
      <c r="H1095" s="949" t="n">
        <v>33</v>
      </c>
      <c r="I1095" s="950"/>
      <c r="J1095" s="950"/>
      <c r="K1095" s="852" t="n">
        <f aca="false">H1095*I1095/100</f>
        <v>0</v>
      </c>
      <c r="L1095" s="537" t="n">
        <v>3330</v>
      </c>
      <c r="M1095" s="1007" t="n">
        <v>1</v>
      </c>
      <c r="N1095" s="1143" t="n">
        <f aca="false">L1095*M1095</f>
        <v>3330</v>
      </c>
      <c r="O1095" s="1661" t="n">
        <f aca="false">H1095*N1095</f>
        <v>109890</v>
      </c>
      <c r="P1095" s="856" t="s">
        <v>2200</v>
      </c>
      <c r="Q1095" s="857" t="s">
        <v>2679</v>
      </c>
      <c r="R1095" s="1380" t="n">
        <v>109890</v>
      </c>
      <c r="S1095" s="877" t="n">
        <f aca="false">R1095/H1095</f>
        <v>3330</v>
      </c>
      <c r="T1095" s="1009" t="n">
        <f aca="false">O1095-R1095</f>
        <v>0</v>
      </c>
      <c r="U1095" s="892" t="n">
        <f aca="false">N1095-S1095</f>
        <v>0</v>
      </c>
    </row>
    <row r="1096" customFormat="false" ht="15" hidden="false" customHeight="true" outlineLevel="0" collapsed="false">
      <c r="A1096" s="881"/>
      <c r="B1096" s="859" t="s">
        <v>86</v>
      </c>
      <c r="C1096" s="859" t="n">
        <v>2024</v>
      </c>
      <c r="D1096" s="860" t="s">
        <v>13</v>
      </c>
      <c r="E1096" s="860" t="s">
        <v>2241</v>
      </c>
      <c r="F1096" s="860"/>
      <c r="G1096" s="861"/>
      <c r="H1096" s="980" t="n">
        <v>13.3</v>
      </c>
      <c r="I1096" s="981"/>
      <c r="J1096" s="981"/>
      <c r="K1096" s="864" t="n">
        <f aca="false">H1096*I1096/100</f>
        <v>0</v>
      </c>
      <c r="L1096" s="543" t="n">
        <v>2386</v>
      </c>
      <c r="M1096" s="983" t="n">
        <v>1</v>
      </c>
      <c r="N1096" s="1299" t="n">
        <f aca="false">L1096*M1096</f>
        <v>2386</v>
      </c>
      <c r="O1096" s="1149" t="n">
        <f aca="false">H1096*N1096</f>
        <v>31733.8</v>
      </c>
      <c r="P1096" s="868" t="s">
        <v>2204</v>
      </c>
      <c r="Q1096" s="869" t="n">
        <v>22112024</v>
      </c>
      <c r="R1096" s="1521" t="n">
        <v>31733.8</v>
      </c>
      <c r="S1096" s="877" t="n">
        <f aca="false">R1096/H1096</f>
        <v>2386</v>
      </c>
      <c r="T1096" s="968" t="n">
        <f aca="false">O1096-R1096</f>
        <v>0</v>
      </c>
      <c r="U1096" s="1135" t="n">
        <f aca="false">N1096-S1096</f>
        <v>0</v>
      </c>
    </row>
    <row r="1097" customFormat="false" ht="15" hidden="false" customHeight="true" outlineLevel="0" collapsed="false">
      <c r="A1097" s="881"/>
      <c r="B1097" s="893" t="s">
        <v>86</v>
      </c>
      <c r="C1097" s="893" t="n">
        <v>2024</v>
      </c>
      <c r="D1097" s="843" t="s">
        <v>13</v>
      </c>
      <c r="E1097" s="843" t="s">
        <v>2205</v>
      </c>
      <c r="F1097" s="843"/>
      <c r="G1097" s="894"/>
      <c r="H1097" s="1103" t="n">
        <v>18.6</v>
      </c>
      <c r="I1097" s="1104"/>
      <c r="J1097" s="1104"/>
      <c r="K1097" s="897" t="n">
        <f aca="false">H1097*I1097/100</f>
        <v>0</v>
      </c>
      <c r="L1097" s="589" t="n">
        <v>2442</v>
      </c>
      <c r="M1097" s="1106" t="n">
        <v>1</v>
      </c>
      <c r="N1097" s="1393" t="n">
        <f aca="false">L1097*M1097</f>
        <v>2442</v>
      </c>
      <c r="O1097" s="1667" t="n">
        <f aca="false">H1097*N1097</f>
        <v>45421.2</v>
      </c>
      <c r="P1097" s="844" t="s">
        <v>2200</v>
      </c>
      <c r="Q1097" s="845" t="s">
        <v>2679</v>
      </c>
      <c r="R1097" s="1362" t="n">
        <v>45421.2</v>
      </c>
      <c r="S1097" s="846" t="n">
        <f aca="false">R1097/H1097</f>
        <v>2442</v>
      </c>
      <c r="T1097" s="1395" t="n">
        <f aca="false">O1097-R1097</f>
        <v>0</v>
      </c>
      <c r="U1097" s="902" t="n">
        <f aca="false">N1097-S1097</f>
        <v>0</v>
      </c>
    </row>
    <row r="1098" customFormat="false" ht="15" hidden="false" customHeight="true" outlineLevel="0" collapsed="false">
      <c r="A1098" s="903" t="n">
        <v>75</v>
      </c>
      <c r="B1098" s="903" t="s">
        <v>2207</v>
      </c>
      <c r="C1098" s="903" t="n">
        <v>2024</v>
      </c>
      <c r="D1098" s="904" t="s">
        <v>13</v>
      </c>
      <c r="E1098" s="904" t="s">
        <v>2192</v>
      </c>
      <c r="F1098" s="904" t="s">
        <v>1652</v>
      </c>
      <c r="G1098" s="905"/>
      <c r="H1098" s="946" t="n">
        <v>42.1057</v>
      </c>
      <c r="I1098" s="947"/>
      <c r="J1098" s="947"/>
      <c r="K1098" s="939" t="n">
        <f aca="false">H1098*I1098/100</f>
        <v>0</v>
      </c>
      <c r="L1098" s="942" t="n">
        <v>20687</v>
      </c>
      <c r="M1098" s="1023" t="n">
        <v>1</v>
      </c>
      <c r="N1098" s="1137" t="n">
        <f aca="false">L1098*M1098</f>
        <v>20687</v>
      </c>
      <c r="O1098" s="940" t="n">
        <f aca="false">H1098*N1098</f>
        <v>871040.6159</v>
      </c>
      <c r="P1098" s="910" t="s">
        <v>2193</v>
      </c>
      <c r="Q1098" s="911" t="s">
        <v>2683</v>
      </c>
      <c r="R1098" s="1355" t="n">
        <v>871040.6159</v>
      </c>
      <c r="S1098" s="891" t="n">
        <f aca="false">R1098/H1098</f>
        <v>20687</v>
      </c>
      <c r="T1098" s="941" t="n">
        <f aca="false">O1098-R1098</f>
        <v>0</v>
      </c>
      <c r="U1098" s="942" t="n">
        <f aca="false">N1098-S1098</f>
        <v>0</v>
      </c>
    </row>
    <row r="1099" customFormat="false" ht="15" hidden="false" customHeight="true" outlineLevel="0" collapsed="false">
      <c r="A1099" s="1465" t="s">
        <v>2718</v>
      </c>
      <c r="B1099" s="1546" t="s">
        <v>2207</v>
      </c>
      <c r="C1099" s="1546" t="n">
        <v>2024</v>
      </c>
      <c r="D1099" s="1328" t="s">
        <v>13</v>
      </c>
      <c r="E1099" s="1328" t="s">
        <v>2192</v>
      </c>
      <c r="F1099" s="1328" t="s">
        <v>1652</v>
      </c>
      <c r="G1099" s="1030"/>
      <c r="H1099" s="1031" t="n">
        <v>40.757</v>
      </c>
      <c r="I1099" s="1032"/>
      <c r="J1099" s="1032"/>
      <c r="K1099" s="1033" t="n">
        <f aca="false">H1099*I1099/100</f>
        <v>0</v>
      </c>
      <c r="L1099" s="1036" t="n">
        <v>22092</v>
      </c>
      <c r="M1099" s="1035" t="n">
        <v>1</v>
      </c>
      <c r="N1099" s="1036" t="n">
        <f aca="false">L1099*M1099</f>
        <v>22092</v>
      </c>
      <c r="O1099" s="1529" t="n">
        <f aca="false">H1099*N1099</f>
        <v>900403.644</v>
      </c>
      <c r="P1099" s="884" t="s">
        <v>2232</v>
      </c>
      <c r="Q1099" s="885" t="s">
        <v>98</v>
      </c>
      <c r="R1099" s="1665" t="n">
        <v>2445.42</v>
      </c>
      <c r="S1099" s="840" t="n">
        <f aca="false">R1099/H1099</f>
        <v>60</v>
      </c>
      <c r="T1099" s="1547" t="n">
        <f aca="false">O1099-R1099-R1100-R1101-R1102</f>
        <v>0</v>
      </c>
      <c r="U1099" s="1037" t="n">
        <f aca="false">N1099-S1099-S1100-S1101-S1102</f>
        <v>0</v>
      </c>
    </row>
    <row r="1100" customFormat="false" ht="15" hidden="false" customHeight="true" outlineLevel="0" collapsed="false">
      <c r="A1100" s="1465"/>
      <c r="B1100" s="1546"/>
      <c r="C1100" s="1546"/>
      <c r="D1100" s="871" t="s">
        <v>13</v>
      </c>
      <c r="E1100" s="871" t="s">
        <v>2192</v>
      </c>
      <c r="F1100" s="1328"/>
      <c r="G1100" s="1030"/>
      <c r="H1100" s="1031"/>
      <c r="I1100" s="1032"/>
      <c r="J1100" s="1032"/>
      <c r="K1100" s="1033"/>
      <c r="L1100" s="1036"/>
      <c r="M1100" s="1035"/>
      <c r="N1100" s="1036"/>
      <c r="O1100" s="1529"/>
      <c r="P1100" s="879" t="s">
        <v>2197</v>
      </c>
      <c r="Q1100" s="880" t="s">
        <v>2719</v>
      </c>
      <c r="R1100" s="1587" t="n">
        <v>407162.43</v>
      </c>
      <c r="S1100" s="866" t="n">
        <f aca="false">R1100/H1099</f>
        <v>9990</v>
      </c>
      <c r="T1100" s="1547"/>
      <c r="U1100" s="1037"/>
    </row>
    <row r="1101" customFormat="false" ht="15" hidden="false" customHeight="true" outlineLevel="0" collapsed="false">
      <c r="A1101" s="1465"/>
      <c r="B1101" s="1546"/>
      <c r="C1101" s="1546"/>
      <c r="D1101" s="871" t="s">
        <v>13</v>
      </c>
      <c r="E1101" s="871" t="s">
        <v>2192</v>
      </c>
      <c r="F1101" s="1328"/>
      <c r="G1101" s="1030"/>
      <c r="H1101" s="1031"/>
      <c r="I1101" s="1032"/>
      <c r="J1101" s="1032"/>
      <c r="K1101" s="1033"/>
      <c r="L1101" s="1036"/>
      <c r="M1101" s="1035"/>
      <c r="N1101" s="1036"/>
      <c r="O1101" s="1529"/>
      <c r="P1101" s="879" t="s">
        <v>2197</v>
      </c>
      <c r="Q1101" s="880" t="s">
        <v>2720</v>
      </c>
      <c r="R1101" s="1587" t="n">
        <v>407162.43</v>
      </c>
      <c r="S1101" s="866" t="n">
        <f aca="false">R1101/H1099</f>
        <v>9990</v>
      </c>
      <c r="T1101" s="1547"/>
      <c r="U1101" s="1037"/>
    </row>
    <row r="1102" customFormat="false" ht="15" hidden="false" customHeight="true" outlineLevel="0" collapsed="false">
      <c r="A1102" s="1465"/>
      <c r="B1102" s="1546"/>
      <c r="C1102" s="1546"/>
      <c r="D1102" s="871" t="s">
        <v>13</v>
      </c>
      <c r="E1102" s="871" t="s">
        <v>2192</v>
      </c>
      <c r="F1102" s="1328"/>
      <c r="G1102" s="1030"/>
      <c r="H1102" s="1031"/>
      <c r="I1102" s="1032"/>
      <c r="J1102" s="1032"/>
      <c r="K1102" s="1033"/>
      <c r="L1102" s="1036"/>
      <c r="M1102" s="1035"/>
      <c r="N1102" s="1036"/>
      <c r="O1102" s="1529"/>
      <c r="P1102" s="879" t="s">
        <v>2197</v>
      </c>
      <c r="Q1102" s="880" t="s">
        <v>2721</v>
      </c>
      <c r="R1102" s="1587" t="n">
        <v>83633.364</v>
      </c>
      <c r="S1102" s="877" t="n">
        <f aca="false">R1102/H1099</f>
        <v>2052</v>
      </c>
      <c r="T1102" s="1547"/>
      <c r="U1102" s="1037"/>
    </row>
    <row r="1103" customFormat="false" ht="15" hidden="false" customHeight="true" outlineLevel="0" collapsed="false">
      <c r="A1103" s="870" t="n">
        <v>12</v>
      </c>
      <c r="B1103" s="870" t="s">
        <v>2230</v>
      </c>
      <c r="C1103" s="870" t="n">
        <v>2024</v>
      </c>
      <c r="D1103" s="871" t="s">
        <v>13</v>
      </c>
      <c r="E1103" s="871" t="s">
        <v>2192</v>
      </c>
      <c r="F1103" s="871" t="s">
        <v>1652</v>
      </c>
      <c r="G1103" s="872"/>
      <c r="H1103" s="1116" t="n">
        <v>37.7004</v>
      </c>
      <c r="I1103" s="1117"/>
      <c r="J1103" s="1117"/>
      <c r="K1103" s="875" t="n">
        <f aca="false">H1103*I1103/100</f>
        <v>0</v>
      </c>
      <c r="L1103" s="553" t="n">
        <v>975</v>
      </c>
      <c r="M1103" s="1000" t="n">
        <v>1</v>
      </c>
      <c r="N1103" s="1301" t="n">
        <f aca="false">L1103*M1103</f>
        <v>975</v>
      </c>
      <c r="O1103" s="1150" t="n">
        <f aca="false">H1103*N1103</f>
        <v>36757.89</v>
      </c>
      <c r="P1103" s="879" t="s">
        <v>2197</v>
      </c>
      <c r="Q1103" s="880" t="s">
        <v>2722</v>
      </c>
      <c r="R1103" s="1587" t="n">
        <v>36757.89</v>
      </c>
      <c r="S1103" s="877" t="n">
        <f aca="false">R1103/H1103</f>
        <v>975</v>
      </c>
      <c r="T1103" s="1403" t="n">
        <f aca="false">O1103-R1103</f>
        <v>0</v>
      </c>
      <c r="U1103" s="553" t="n">
        <f aca="false">N1103-S1103</f>
        <v>0</v>
      </c>
    </row>
    <row r="1104" customFormat="false" ht="15" hidden="false" customHeight="true" outlineLevel="0" collapsed="false">
      <c r="A1104" s="1465" t="n">
        <v>81</v>
      </c>
      <c r="B1104" s="1546" t="s">
        <v>2207</v>
      </c>
      <c r="C1104" s="1546" t="n">
        <v>2024</v>
      </c>
      <c r="D1104" s="831" t="s">
        <v>13</v>
      </c>
      <c r="E1104" s="831" t="s">
        <v>2192</v>
      </c>
      <c r="F1104" s="1328" t="s">
        <v>1651</v>
      </c>
      <c r="G1104" s="1030"/>
      <c r="H1104" s="1031" t="n">
        <v>28.174</v>
      </c>
      <c r="I1104" s="1032"/>
      <c r="J1104" s="1624"/>
      <c r="K1104" s="1033" t="n">
        <f aca="false">H1104*I1104/100</f>
        <v>0</v>
      </c>
      <c r="L1104" s="1036" t="n">
        <v>21750</v>
      </c>
      <c r="M1104" s="1035" t="n">
        <v>1</v>
      </c>
      <c r="N1104" s="1036" t="n">
        <f aca="false">L1104*M1104</f>
        <v>21750</v>
      </c>
      <c r="O1104" s="1529" t="n">
        <f aca="false">H1104*N1104</f>
        <v>612784.5</v>
      </c>
      <c r="P1104" s="838" t="s">
        <v>2197</v>
      </c>
      <c r="Q1104" s="839" t="s">
        <v>2723</v>
      </c>
      <c r="R1104" s="1369" t="n">
        <v>281740</v>
      </c>
      <c r="S1104" s="886" t="n">
        <f aca="false">R1104/H1104</f>
        <v>10000</v>
      </c>
      <c r="T1104" s="1547" t="n">
        <f aca="false">O1104-R1104-R1105-R1106-R1107</f>
        <v>0</v>
      </c>
      <c r="U1104" s="1037" t="n">
        <f aca="false">N1104-S1104-S1105-S1106-S1107</f>
        <v>0</v>
      </c>
    </row>
    <row r="1105" customFormat="false" ht="15" hidden="false" customHeight="true" outlineLevel="0" collapsed="false">
      <c r="A1105" s="1465"/>
      <c r="B1105" s="1546"/>
      <c r="C1105" s="1546"/>
      <c r="D1105" s="871" t="s">
        <v>13</v>
      </c>
      <c r="E1105" s="871" t="s">
        <v>2192</v>
      </c>
      <c r="F1105" s="1328"/>
      <c r="G1105" s="1030"/>
      <c r="H1105" s="1031"/>
      <c r="I1105" s="1032"/>
      <c r="J1105" s="1352"/>
      <c r="K1105" s="1033"/>
      <c r="L1105" s="1036"/>
      <c r="M1105" s="1035"/>
      <c r="N1105" s="1036"/>
      <c r="O1105" s="1529"/>
      <c r="P1105" s="879" t="s">
        <v>2197</v>
      </c>
      <c r="Q1105" s="880" t="s">
        <v>2724</v>
      </c>
      <c r="R1105" s="1587" t="n">
        <v>34090.54</v>
      </c>
      <c r="S1105" s="877" t="n">
        <f aca="false">R1105/H1104</f>
        <v>1210</v>
      </c>
      <c r="T1105" s="1547"/>
      <c r="U1105" s="1037"/>
    </row>
    <row r="1106" customFormat="false" ht="15" hidden="false" customHeight="true" outlineLevel="0" collapsed="false">
      <c r="A1106" s="1465"/>
      <c r="B1106" s="1546"/>
      <c r="C1106" s="1546"/>
      <c r="D1106" s="871" t="s">
        <v>13</v>
      </c>
      <c r="E1106" s="871" t="s">
        <v>2192</v>
      </c>
      <c r="F1106" s="1328"/>
      <c r="G1106" s="1030"/>
      <c r="H1106" s="1031"/>
      <c r="I1106" s="1032"/>
      <c r="J1106" s="1352"/>
      <c r="K1106" s="1033"/>
      <c r="L1106" s="1036"/>
      <c r="M1106" s="1035"/>
      <c r="N1106" s="1036"/>
      <c r="O1106" s="1529"/>
      <c r="P1106" s="879" t="s">
        <v>2197</v>
      </c>
      <c r="Q1106" s="880" t="s">
        <v>2725</v>
      </c>
      <c r="R1106" s="1587" t="n">
        <v>281458.26</v>
      </c>
      <c r="S1106" s="1668" t="n">
        <f aca="false">R1106/H1104</f>
        <v>9990</v>
      </c>
      <c r="T1106" s="1547"/>
      <c r="U1106" s="1037"/>
    </row>
    <row r="1107" customFormat="false" ht="15" hidden="false" customHeight="true" outlineLevel="0" collapsed="false">
      <c r="A1107" s="1465"/>
      <c r="B1107" s="1546"/>
      <c r="C1107" s="1546"/>
      <c r="D1107" s="871" t="s">
        <v>13</v>
      </c>
      <c r="E1107" s="871" t="s">
        <v>2192</v>
      </c>
      <c r="F1107" s="1328"/>
      <c r="G1107" s="1030"/>
      <c r="H1107" s="1031"/>
      <c r="I1107" s="1032"/>
      <c r="J1107" s="1352"/>
      <c r="K1107" s="1033"/>
      <c r="L1107" s="1036"/>
      <c r="M1107" s="1035"/>
      <c r="N1107" s="1036"/>
      <c r="O1107" s="1529"/>
      <c r="P1107" s="879" t="s">
        <v>2197</v>
      </c>
      <c r="Q1107" s="880" t="s">
        <v>2726</v>
      </c>
      <c r="R1107" s="1587" t="n">
        <v>15495.7</v>
      </c>
      <c r="S1107" s="1668" t="n">
        <f aca="false">R1107/H1104</f>
        <v>550</v>
      </c>
      <c r="T1107" s="1547"/>
      <c r="U1107" s="1037"/>
    </row>
    <row r="1108" customFormat="false" ht="15" hidden="false" customHeight="true" outlineLevel="0" collapsed="false">
      <c r="A1108" s="829" t="n">
        <v>11</v>
      </c>
      <c r="B1108" s="830" t="s">
        <v>2278</v>
      </c>
      <c r="C1108" s="830" t="n">
        <v>2024</v>
      </c>
      <c r="D1108" s="831" t="s">
        <v>13</v>
      </c>
      <c r="E1108" s="831" t="s">
        <v>2192</v>
      </c>
      <c r="F1108" s="832" t="s">
        <v>2199</v>
      </c>
      <c r="G1108" s="833"/>
      <c r="H1108" s="834" t="n">
        <v>76.9281</v>
      </c>
      <c r="I1108" s="835"/>
      <c r="J1108" s="835"/>
      <c r="K1108" s="836" t="n">
        <f aca="false">H1108*I1108/100</f>
        <v>0</v>
      </c>
      <c r="L1108" s="837" t="n">
        <v>1440</v>
      </c>
      <c r="M1108" s="1003" t="n">
        <v>1</v>
      </c>
      <c r="N1108" s="837" t="n">
        <f aca="false">L1108*M1108</f>
        <v>1440</v>
      </c>
      <c r="O1108" s="1017" t="n">
        <f aca="false">H1108*N1108</f>
        <v>110776.464</v>
      </c>
      <c r="P1108" s="838" t="s">
        <v>2232</v>
      </c>
      <c r="Q1108" s="839" t="s">
        <v>101</v>
      </c>
      <c r="R1108" s="1369" t="n">
        <v>92313.72</v>
      </c>
      <c r="S1108" s="840" t="n">
        <f aca="false">R1108/H1108</f>
        <v>1200</v>
      </c>
      <c r="T1108" s="943" t="n">
        <f aca="false">O1108-R1108-R1109</f>
        <v>0</v>
      </c>
      <c r="U1108" s="842" t="n">
        <f aca="false">N1108-S1108-S1109</f>
        <v>0</v>
      </c>
    </row>
    <row r="1109" customFormat="false" ht="15" hidden="false" customHeight="true" outlineLevel="0" collapsed="false">
      <c r="A1109" s="829"/>
      <c r="B1109" s="830"/>
      <c r="C1109" s="830"/>
      <c r="D1109" s="843" t="s">
        <v>13</v>
      </c>
      <c r="E1109" s="843" t="s">
        <v>2192</v>
      </c>
      <c r="F1109" s="832"/>
      <c r="G1109" s="833"/>
      <c r="H1109" s="834"/>
      <c r="I1109" s="835"/>
      <c r="J1109" s="835"/>
      <c r="K1109" s="836"/>
      <c r="L1109" s="837"/>
      <c r="M1109" s="1003"/>
      <c r="N1109" s="837"/>
      <c r="O1109" s="1017"/>
      <c r="P1109" s="844" t="s">
        <v>2232</v>
      </c>
      <c r="Q1109" s="845" t="s">
        <v>2256</v>
      </c>
      <c r="R1109" s="1362" t="n">
        <v>18462.744</v>
      </c>
      <c r="S1109" s="846" t="n">
        <f aca="false">R1109/H1108</f>
        <v>240</v>
      </c>
      <c r="T1109" s="943"/>
      <c r="U1109" s="842"/>
    </row>
    <row r="1110" customFormat="false" ht="15" hidden="false" customHeight="true" outlineLevel="0" collapsed="false">
      <c r="A1110" s="881" t="n">
        <v>62</v>
      </c>
      <c r="B1110" s="882" t="s">
        <v>86</v>
      </c>
      <c r="C1110" s="883" t="n">
        <v>2024</v>
      </c>
      <c r="D1110" s="831" t="s">
        <v>13</v>
      </c>
      <c r="E1110" s="831" t="s">
        <v>2192</v>
      </c>
      <c r="F1110" s="832" t="s">
        <v>1650</v>
      </c>
      <c r="G1110" s="833"/>
      <c r="H1110" s="834" t="n">
        <v>92.3</v>
      </c>
      <c r="I1110" s="835"/>
      <c r="J1110" s="835"/>
      <c r="K1110" s="836" t="n">
        <f aca="false">H1110*I1110/100</f>
        <v>0</v>
      </c>
      <c r="L1110" s="837" t="n">
        <v>16627</v>
      </c>
      <c r="M1110" s="1003" t="n">
        <v>1</v>
      </c>
      <c r="N1110" s="837" t="n">
        <f aca="false">L1110*M1110</f>
        <v>16627</v>
      </c>
      <c r="O1110" s="1017" t="n">
        <f aca="false">H1110*N1110</f>
        <v>1534672.1</v>
      </c>
      <c r="P1110" s="884" t="s">
        <v>2193</v>
      </c>
      <c r="Q1110" s="885" t="s">
        <v>2528</v>
      </c>
      <c r="R1110" s="1665" t="n">
        <v>756860</v>
      </c>
      <c r="S1110" s="886" t="n">
        <f aca="false">R1110/H1110</f>
        <v>8200</v>
      </c>
      <c r="T1110" s="943" t="n">
        <f aca="false">O1110-R1110-R1112-R1111</f>
        <v>0</v>
      </c>
      <c r="U1110" s="842" t="n">
        <f aca="false">N1110-S1110-S1112-S1111</f>
        <v>0</v>
      </c>
    </row>
    <row r="1111" customFormat="false" ht="15" hidden="false" customHeight="true" outlineLevel="0" collapsed="false">
      <c r="A1111" s="881"/>
      <c r="B1111" s="882"/>
      <c r="C1111" s="883"/>
      <c r="D1111" s="860" t="s">
        <v>13</v>
      </c>
      <c r="E1111" s="860" t="s">
        <v>2192</v>
      </c>
      <c r="F1111" s="832"/>
      <c r="G1111" s="833"/>
      <c r="H1111" s="834"/>
      <c r="I1111" s="835"/>
      <c r="J1111" s="835"/>
      <c r="K1111" s="836"/>
      <c r="L1111" s="837"/>
      <c r="M1111" s="1003"/>
      <c r="N1111" s="837"/>
      <c r="O1111" s="1017"/>
      <c r="P1111" s="868" t="s">
        <v>2193</v>
      </c>
      <c r="Q1111" s="869" t="s">
        <v>2410</v>
      </c>
      <c r="R1111" s="1521" t="n">
        <v>397720.7</v>
      </c>
      <c r="S1111" s="866" t="n">
        <f aca="false">R1111/H1110</f>
        <v>4309</v>
      </c>
      <c r="T1111" s="943"/>
      <c r="U1111" s="842"/>
    </row>
    <row r="1112" customFormat="false" ht="15" hidden="false" customHeight="true" outlineLevel="0" collapsed="false">
      <c r="A1112" s="881"/>
      <c r="B1112" s="882"/>
      <c r="C1112" s="883"/>
      <c r="D1112" s="887" t="s">
        <v>13</v>
      </c>
      <c r="E1112" s="887" t="s">
        <v>2192</v>
      </c>
      <c r="F1112" s="832"/>
      <c r="G1112" s="833"/>
      <c r="H1112" s="834"/>
      <c r="I1112" s="835"/>
      <c r="J1112" s="835"/>
      <c r="K1112" s="836"/>
      <c r="L1112" s="837"/>
      <c r="M1112" s="1003"/>
      <c r="N1112" s="837"/>
      <c r="O1112" s="1017"/>
      <c r="P1112" s="888" t="s">
        <v>2193</v>
      </c>
      <c r="Q1112" s="889" t="s">
        <v>2428</v>
      </c>
      <c r="R1112" s="1381" t="n">
        <v>380091.4</v>
      </c>
      <c r="S1112" s="890" t="n">
        <f aca="false">R1112/H1110</f>
        <v>4118</v>
      </c>
      <c r="T1112" s="943"/>
      <c r="U1112" s="842"/>
    </row>
    <row r="1113" customFormat="false" ht="15" hidden="false" customHeight="true" outlineLevel="0" collapsed="false">
      <c r="A1113" s="881"/>
      <c r="B1113" s="829" t="s">
        <v>86</v>
      </c>
      <c r="C1113" s="830" t="n">
        <v>2024</v>
      </c>
      <c r="D1113" s="831" t="s">
        <v>13</v>
      </c>
      <c r="E1113" s="831" t="s">
        <v>2203</v>
      </c>
      <c r="F1113" s="830"/>
      <c r="G1113" s="833"/>
      <c r="H1113" s="834" t="n">
        <v>73</v>
      </c>
      <c r="I1113" s="835"/>
      <c r="J1113" s="835"/>
      <c r="K1113" s="836" t="n">
        <f aca="false">H1113*I1113/100</f>
        <v>0</v>
      </c>
      <c r="L1113" s="837" t="n">
        <v>1156</v>
      </c>
      <c r="M1113" s="1003" t="n">
        <v>1</v>
      </c>
      <c r="N1113" s="837" t="n">
        <f aca="false">L1113*M1113</f>
        <v>1156</v>
      </c>
      <c r="O1113" s="1017" t="n">
        <f aca="false">H1113*N1113</f>
        <v>84388</v>
      </c>
      <c r="P1113" s="838" t="s">
        <v>2232</v>
      </c>
      <c r="Q1113" s="839" t="s">
        <v>105</v>
      </c>
      <c r="R1113" s="1369" t="n">
        <v>25039</v>
      </c>
      <c r="S1113" s="886" t="n">
        <f aca="false">R1113/H1113</f>
        <v>343</v>
      </c>
      <c r="T1113" s="943" t="n">
        <f aca="false">O1113-R1113-R1114</f>
        <v>0</v>
      </c>
      <c r="U1113" s="842" t="n">
        <f aca="false">N1113-S1113-S1114</f>
        <v>0</v>
      </c>
    </row>
    <row r="1114" customFormat="false" ht="15" hidden="false" customHeight="true" outlineLevel="0" collapsed="false">
      <c r="A1114" s="881"/>
      <c r="B1114" s="829"/>
      <c r="C1114" s="830"/>
      <c r="D1114" s="887" t="s">
        <v>13</v>
      </c>
      <c r="E1114" s="887" t="s">
        <v>2203</v>
      </c>
      <c r="F1114" s="830"/>
      <c r="G1114" s="833"/>
      <c r="H1114" s="834"/>
      <c r="I1114" s="835"/>
      <c r="J1114" s="835"/>
      <c r="K1114" s="836"/>
      <c r="L1114" s="837"/>
      <c r="M1114" s="1003"/>
      <c r="N1114" s="837"/>
      <c r="O1114" s="1017"/>
      <c r="P1114" s="888" t="s">
        <v>2200</v>
      </c>
      <c r="Q1114" s="889" t="s">
        <v>2679</v>
      </c>
      <c r="R1114" s="1381" t="n">
        <v>59349</v>
      </c>
      <c r="S1114" s="846" t="n">
        <f aca="false">R1114/H1113</f>
        <v>813</v>
      </c>
      <c r="T1114" s="943"/>
      <c r="U1114" s="842"/>
    </row>
    <row r="1115" customFormat="false" ht="15" hidden="false" customHeight="true" outlineLevel="0" collapsed="false">
      <c r="A1115" s="881"/>
      <c r="B1115" s="847" t="s">
        <v>86</v>
      </c>
      <c r="C1115" s="847" t="n">
        <v>2024</v>
      </c>
      <c r="D1115" s="848" t="s">
        <v>13</v>
      </c>
      <c r="E1115" s="848" t="s">
        <v>2241</v>
      </c>
      <c r="F1115" s="848"/>
      <c r="G1115" s="849"/>
      <c r="H1115" s="949" t="n">
        <v>21.2</v>
      </c>
      <c r="I1115" s="950"/>
      <c r="J1115" s="950"/>
      <c r="K1115" s="852" t="n">
        <f aca="false">H1115*I1115/100</f>
        <v>0</v>
      </c>
      <c r="L1115" s="537" t="n">
        <v>3352</v>
      </c>
      <c r="M1115" s="1007" t="n">
        <v>1</v>
      </c>
      <c r="N1115" s="1143" t="n">
        <f aca="false">L1115*M1115</f>
        <v>3352</v>
      </c>
      <c r="O1115" s="1661" t="n">
        <f aca="false">H1115*N1115</f>
        <v>71062.4</v>
      </c>
      <c r="P1115" s="856" t="s">
        <v>2200</v>
      </c>
      <c r="Q1115" s="857" t="s">
        <v>2679</v>
      </c>
      <c r="R1115" s="1380" t="n">
        <v>71062.4</v>
      </c>
      <c r="S1115" s="890" t="n">
        <f aca="false">R1115/H1115</f>
        <v>3352</v>
      </c>
      <c r="T1115" s="953" t="n">
        <f aca="false">O1115-R1115</f>
        <v>0</v>
      </c>
      <c r="U1115" s="892" t="n">
        <f aca="false">N1115-S1115</f>
        <v>0</v>
      </c>
    </row>
    <row r="1116" customFormat="false" ht="15" hidden="false" customHeight="true" outlineLevel="0" collapsed="false">
      <c r="A1116" s="881"/>
      <c r="B1116" s="893" t="s">
        <v>86</v>
      </c>
      <c r="C1116" s="893" t="n">
        <v>2024</v>
      </c>
      <c r="D1116" s="843" t="s">
        <v>13</v>
      </c>
      <c r="E1116" s="843" t="s">
        <v>2205</v>
      </c>
      <c r="F1116" s="843"/>
      <c r="G1116" s="894"/>
      <c r="H1116" s="1103" t="n">
        <v>2.4</v>
      </c>
      <c r="I1116" s="1104"/>
      <c r="J1116" s="1104"/>
      <c r="K1116" s="897" t="n">
        <f aca="false">H1116*I1116/100</f>
        <v>0</v>
      </c>
      <c r="L1116" s="589" t="n">
        <v>4202</v>
      </c>
      <c r="M1116" s="1106" t="n">
        <v>1</v>
      </c>
      <c r="N1116" s="1393" t="n">
        <f aca="false">L1116*M1116</f>
        <v>4202</v>
      </c>
      <c r="O1116" s="1667" t="n">
        <f aca="false">H1116*N1116</f>
        <v>10084.8</v>
      </c>
      <c r="P1116" s="844" t="s">
        <v>2204</v>
      </c>
      <c r="Q1116" s="845" t="n">
        <v>22112024</v>
      </c>
      <c r="R1116" s="1362" t="n">
        <v>10084.8</v>
      </c>
      <c r="S1116" s="890" t="n">
        <f aca="false">R1116/H1116</f>
        <v>4202</v>
      </c>
      <c r="T1116" s="1183" t="n">
        <f aca="false">O1116-R1116</f>
        <v>0</v>
      </c>
      <c r="U1116" s="902" t="n">
        <f aca="false">N1116-S1116</f>
        <v>0</v>
      </c>
    </row>
    <row r="1117" customFormat="false" ht="15" hidden="false" customHeight="true" outlineLevel="0" collapsed="false">
      <c r="A1117" s="903" t="n">
        <v>87</v>
      </c>
      <c r="B1117" s="903" t="s">
        <v>2207</v>
      </c>
      <c r="C1117" s="903" t="n">
        <v>2024</v>
      </c>
      <c r="D1117" s="904" t="s">
        <v>13</v>
      </c>
      <c r="E1117" s="904" t="s">
        <v>2192</v>
      </c>
      <c r="F1117" s="904" t="s">
        <v>1651</v>
      </c>
      <c r="G1117" s="905"/>
      <c r="H1117" s="946" t="n">
        <v>28.2199</v>
      </c>
      <c r="I1117" s="947"/>
      <c r="J1117" s="947"/>
      <c r="K1117" s="939" t="n">
        <f aca="false">H1117*I1117/100</f>
        <v>0</v>
      </c>
      <c r="L1117" s="942" t="n">
        <v>26820</v>
      </c>
      <c r="M1117" s="1023" t="n">
        <v>1</v>
      </c>
      <c r="N1117" s="1137" t="n">
        <f aca="false">L1117*M1117</f>
        <v>26820</v>
      </c>
      <c r="O1117" s="1664" t="n">
        <f aca="false">H1117*N1117</f>
        <v>756857.718</v>
      </c>
      <c r="P1117" s="910" t="s">
        <v>2193</v>
      </c>
      <c r="Q1117" s="911" t="s">
        <v>2686</v>
      </c>
      <c r="R1117" s="1355" t="n">
        <v>756857.718</v>
      </c>
      <c r="S1117" s="891" t="n">
        <f aca="false">R1117/H1117</f>
        <v>26820</v>
      </c>
      <c r="T1117" s="948" t="n">
        <f aca="false">O1117-R1117</f>
        <v>0</v>
      </c>
      <c r="U1117" s="942" t="n">
        <f aca="false">N1117-S1117</f>
        <v>0</v>
      </c>
    </row>
    <row r="1118" customFormat="false" ht="15" hidden="false" customHeight="true" outlineLevel="0" collapsed="false">
      <c r="A1118" s="829" t="s">
        <v>2727</v>
      </c>
      <c r="B1118" s="830" t="s">
        <v>2207</v>
      </c>
      <c r="C1118" s="830" t="n">
        <v>2024</v>
      </c>
      <c r="D1118" s="831" t="s">
        <v>13</v>
      </c>
      <c r="E1118" s="831" t="s">
        <v>2192</v>
      </c>
      <c r="F1118" s="832" t="s">
        <v>1651</v>
      </c>
      <c r="G1118" s="833"/>
      <c r="H1118" s="834" t="n">
        <v>27.7501</v>
      </c>
      <c r="I1118" s="835"/>
      <c r="J1118" s="835"/>
      <c r="K1118" s="836" t="n">
        <f aca="false">H1118*I1118/100</f>
        <v>0</v>
      </c>
      <c r="L1118" s="837" t="n">
        <v>29220</v>
      </c>
      <c r="M1118" s="1003" t="n">
        <v>1</v>
      </c>
      <c r="N1118" s="837" t="n">
        <f aca="false">L1118*M1118</f>
        <v>29220</v>
      </c>
      <c r="O1118" s="1017" t="n">
        <f aca="false">H1118*N1118</f>
        <v>810857.922</v>
      </c>
      <c r="P1118" s="838" t="s">
        <v>2197</v>
      </c>
      <c r="Q1118" s="839" t="s">
        <v>2728</v>
      </c>
      <c r="R1118" s="1369" t="n">
        <v>41625.15</v>
      </c>
      <c r="S1118" s="840" t="n">
        <f aca="false">R1118/H1118</f>
        <v>1500</v>
      </c>
      <c r="T1118" s="943" t="n">
        <f aca="false">O1118-R1118-R1119-R1120-R1121</f>
        <v>0</v>
      </c>
      <c r="U1118" s="842" t="n">
        <f aca="false">N1118-S1118-S1119-S1120-S1121</f>
        <v>0</v>
      </c>
    </row>
    <row r="1119" customFormat="false" ht="15" hidden="false" customHeight="true" outlineLevel="0" collapsed="false">
      <c r="A1119" s="829"/>
      <c r="B1119" s="830"/>
      <c r="C1119" s="830"/>
      <c r="D1119" s="860" t="s">
        <v>13</v>
      </c>
      <c r="E1119" s="860" t="s">
        <v>2192</v>
      </c>
      <c r="F1119" s="832"/>
      <c r="G1119" s="833"/>
      <c r="H1119" s="834"/>
      <c r="I1119" s="835"/>
      <c r="J1119" s="835"/>
      <c r="K1119" s="836"/>
      <c r="L1119" s="837"/>
      <c r="M1119" s="1003"/>
      <c r="N1119" s="837"/>
      <c r="O1119" s="1017"/>
      <c r="P1119" s="868" t="s">
        <v>2197</v>
      </c>
      <c r="Q1119" s="869" t="s">
        <v>2729</v>
      </c>
      <c r="R1119" s="1521" t="n">
        <v>277223.499</v>
      </c>
      <c r="S1119" s="866" t="n">
        <f aca="false">R1119/H1118</f>
        <v>9990</v>
      </c>
      <c r="T1119" s="943"/>
      <c r="U1119" s="842"/>
    </row>
    <row r="1120" customFormat="false" ht="15" hidden="false" customHeight="true" outlineLevel="0" collapsed="false">
      <c r="A1120" s="829"/>
      <c r="B1120" s="830"/>
      <c r="C1120" s="830"/>
      <c r="D1120" s="860" t="s">
        <v>13</v>
      </c>
      <c r="E1120" s="860" t="s">
        <v>2192</v>
      </c>
      <c r="F1120" s="832"/>
      <c r="G1120" s="833"/>
      <c r="H1120" s="834"/>
      <c r="I1120" s="835"/>
      <c r="J1120" s="835"/>
      <c r="K1120" s="836"/>
      <c r="L1120" s="837"/>
      <c r="M1120" s="1003"/>
      <c r="N1120" s="837"/>
      <c r="O1120" s="1017"/>
      <c r="P1120" s="868" t="s">
        <v>2197</v>
      </c>
      <c r="Q1120" s="869" t="s">
        <v>2730</v>
      </c>
      <c r="R1120" s="1521" t="n">
        <v>277223.499</v>
      </c>
      <c r="S1120" s="866" t="n">
        <f aca="false">R1120/H1118</f>
        <v>9990</v>
      </c>
      <c r="T1120" s="943"/>
      <c r="U1120" s="842"/>
    </row>
    <row r="1121" customFormat="false" ht="15" hidden="false" customHeight="true" outlineLevel="0" collapsed="false">
      <c r="A1121" s="829"/>
      <c r="B1121" s="830"/>
      <c r="C1121" s="830"/>
      <c r="D1121" s="843" t="s">
        <v>13</v>
      </c>
      <c r="E1121" s="843" t="s">
        <v>2192</v>
      </c>
      <c r="F1121" s="832"/>
      <c r="G1121" s="833"/>
      <c r="H1121" s="834"/>
      <c r="I1121" s="835"/>
      <c r="J1121" s="835"/>
      <c r="K1121" s="836"/>
      <c r="L1121" s="837"/>
      <c r="M1121" s="1003"/>
      <c r="N1121" s="837"/>
      <c r="O1121" s="1017"/>
      <c r="P1121" s="844" t="s">
        <v>2197</v>
      </c>
      <c r="Q1121" s="845" t="s">
        <v>2731</v>
      </c>
      <c r="R1121" s="1362" t="n">
        <v>214785.774</v>
      </c>
      <c r="S1121" s="846" t="n">
        <f aca="false">R1121/H1118</f>
        <v>7740</v>
      </c>
      <c r="T1121" s="943"/>
      <c r="U1121" s="842"/>
    </row>
    <row r="1122" customFormat="false" ht="15" hidden="false" customHeight="true" outlineLevel="0" collapsed="false">
      <c r="A1122" s="829" t="n">
        <v>98</v>
      </c>
      <c r="B1122" s="830" t="s">
        <v>2207</v>
      </c>
      <c r="C1122" s="830" t="n">
        <v>2024</v>
      </c>
      <c r="D1122" s="831" t="s">
        <v>13</v>
      </c>
      <c r="E1122" s="831" t="s">
        <v>2192</v>
      </c>
      <c r="F1122" s="1119" t="s">
        <v>1652</v>
      </c>
      <c r="G1122" s="833"/>
      <c r="H1122" s="834" t="n">
        <v>35.0961</v>
      </c>
      <c r="I1122" s="835"/>
      <c r="J1122" s="835"/>
      <c r="K1122" s="836" t="n">
        <f aca="false">H1122*I1122/100</f>
        <v>0</v>
      </c>
      <c r="L1122" s="837" t="n">
        <v>10830</v>
      </c>
      <c r="M1122" s="1003" t="n">
        <v>1</v>
      </c>
      <c r="N1122" s="837" t="n">
        <f aca="false">L1122*M1122</f>
        <v>10830</v>
      </c>
      <c r="O1122" s="1017" t="n">
        <f aca="false">H1122*N1122</f>
        <v>380090.763</v>
      </c>
      <c r="P1122" s="838" t="s">
        <v>2197</v>
      </c>
      <c r="Q1122" s="839" t="s">
        <v>2732</v>
      </c>
      <c r="R1122" s="1369" t="n">
        <v>350610.039</v>
      </c>
      <c r="S1122" s="886" t="n">
        <f aca="false">R1122/H1122</f>
        <v>9990</v>
      </c>
      <c r="T1122" s="943" t="n">
        <f aca="false">O1122-R1122-R1123</f>
        <v>0</v>
      </c>
      <c r="U1122" s="842" t="n">
        <f aca="false">N1122-S1122-S1123</f>
        <v>0</v>
      </c>
    </row>
    <row r="1123" customFormat="false" ht="15" hidden="false" customHeight="true" outlineLevel="0" collapsed="false">
      <c r="A1123" s="829"/>
      <c r="B1123" s="830"/>
      <c r="C1123" s="830"/>
      <c r="D1123" s="887" t="s">
        <v>13</v>
      </c>
      <c r="E1123" s="887" t="s">
        <v>2192</v>
      </c>
      <c r="F1123" s="1119"/>
      <c r="G1123" s="833"/>
      <c r="H1123" s="834"/>
      <c r="I1123" s="835"/>
      <c r="J1123" s="835"/>
      <c r="K1123" s="836"/>
      <c r="L1123" s="837"/>
      <c r="M1123" s="1003"/>
      <c r="N1123" s="837"/>
      <c r="O1123" s="1017"/>
      <c r="P1123" s="888" t="s">
        <v>2197</v>
      </c>
      <c r="Q1123" s="889" t="s">
        <v>2733</v>
      </c>
      <c r="R1123" s="1381" t="n">
        <v>29480.724</v>
      </c>
      <c r="S1123" s="846" t="n">
        <f aca="false">R1123/H1122</f>
        <v>840</v>
      </c>
      <c r="T1123" s="943"/>
      <c r="U1123" s="842"/>
    </row>
    <row r="1124" customFormat="false" ht="15" hidden="false" customHeight="true" outlineLevel="0" collapsed="false">
      <c r="A1124" s="903" t="n">
        <v>29</v>
      </c>
      <c r="B1124" s="903" t="s">
        <v>2230</v>
      </c>
      <c r="C1124" s="903" t="n">
        <v>2024</v>
      </c>
      <c r="D1124" s="904" t="s">
        <v>13</v>
      </c>
      <c r="E1124" s="904" t="s">
        <v>2192</v>
      </c>
      <c r="F1124" s="904" t="s">
        <v>2199</v>
      </c>
      <c r="G1124" s="905"/>
      <c r="H1124" s="946" t="n">
        <v>61.8253</v>
      </c>
      <c r="I1124" s="947"/>
      <c r="J1124" s="947"/>
      <c r="K1124" s="939" t="n">
        <f aca="false">H1124*I1124/100</f>
        <v>0</v>
      </c>
      <c r="L1124" s="942" t="n">
        <v>1825</v>
      </c>
      <c r="M1124" s="1023" t="n">
        <v>1</v>
      </c>
      <c r="N1124" s="942" t="n">
        <f aca="false">L1124*M1124</f>
        <v>1825</v>
      </c>
      <c r="O1124" s="948" t="n">
        <f aca="false">H1124*N1124</f>
        <v>112831.1725</v>
      </c>
      <c r="P1124" s="910" t="s">
        <v>2197</v>
      </c>
      <c r="Q1124" s="911" t="s">
        <v>2734</v>
      </c>
      <c r="R1124" s="1355" t="n">
        <v>112831.1725</v>
      </c>
      <c r="S1124" s="891" t="n">
        <f aca="false">R1124/H1124</f>
        <v>1825</v>
      </c>
      <c r="T1124" s="948" t="n">
        <f aca="false">O1124-R1124</f>
        <v>0</v>
      </c>
      <c r="U1124" s="942" t="n">
        <f aca="false">N1124-S1124</f>
        <v>0</v>
      </c>
    </row>
    <row r="1125" customFormat="false" ht="15" hidden="false" customHeight="true" outlineLevel="0" collapsed="false">
      <c r="A1125" s="829" t="n">
        <v>99</v>
      </c>
      <c r="B1125" s="830" t="s">
        <v>2207</v>
      </c>
      <c r="C1125" s="830" t="n">
        <v>2024</v>
      </c>
      <c r="D1125" s="831" t="s">
        <v>13</v>
      </c>
      <c r="E1125" s="831" t="s">
        <v>2192</v>
      </c>
      <c r="F1125" s="832" t="s">
        <v>1651</v>
      </c>
      <c r="G1125" s="833"/>
      <c r="H1125" s="834" t="n">
        <v>27.1611</v>
      </c>
      <c r="I1125" s="835"/>
      <c r="J1125" s="835"/>
      <c r="K1125" s="836" t="n">
        <f aca="false">H1125*I1125/100</f>
        <v>0</v>
      </c>
      <c r="L1125" s="837" t="n">
        <v>14643</v>
      </c>
      <c r="M1125" s="1003" t="n">
        <v>1</v>
      </c>
      <c r="N1125" s="837" t="n">
        <f aca="false">L1125*M1125</f>
        <v>14643</v>
      </c>
      <c r="O1125" s="943" t="n">
        <f aca="false">H1125*N1125</f>
        <v>397719.9873</v>
      </c>
      <c r="P1125" s="838" t="s">
        <v>2197</v>
      </c>
      <c r="Q1125" s="839" t="s">
        <v>2735</v>
      </c>
      <c r="R1125" s="1369" t="n">
        <v>149386.05</v>
      </c>
      <c r="S1125" s="840" t="n">
        <f aca="false">R1125/H1125</f>
        <v>5500</v>
      </c>
      <c r="T1125" s="943" t="n">
        <f aca="false">O1125-R1125-R1126</f>
        <v>0</v>
      </c>
      <c r="U1125" s="842" t="n">
        <f aca="false">N1125-S1125-S1126</f>
        <v>0</v>
      </c>
    </row>
    <row r="1126" customFormat="false" ht="15" hidden="false" customHeight="true" outlineLevel="0" collapsed="false">
      <c r="A1126" s="829"/>
      <c r="B1126" s="830"/>
      <c r="C1126" s="830"/>
      <c r="D1126" s="887" t="s">
        <v>13</v>
      </c>
      <c r="E1126" s="887" t="s">
        <v>2192</v>
      </c>
      <c r="F1126" s="832"/>
      <c r="G1126" s="833"/>
      <c r="H1126" s="834"/>
      <c r="I1126" s="835"/>
      <c r="J1126" s="835"/>
      <c r="K1126" s="836"/>
      <c r="L1126" s="837"/>
      <c r="M1126" s="1003"/>
      <c r="N1126" s="837"/>
      <c r="O1126" s="943"/>
      <c r="P1126" s="888" t="s">
        <v>2197</v>
      </c>
      <c r="Q1126" s="889" t="s">
        <v>2736</v>
      </c>
      <c r="R1126" s="1381" t="n">
        <v>248333.9373</v>
      </c>
      <c r="S1126" s="846" t="n">
        <f aca="false">R1126/H1125</f>
        <v>9143</v>
      </c>
      <c r="T1126" s="943"/>
      <c r="U1126" s="842"/>
    </row>
    <row r="1127" customFormat="false" ht="15" hidden="false" customHeight="true" outlineLevel="0" collapsed="false">
      <c r="A1127" s="847" t="n">
        <v>28</v>
      </c>
      <c r="B1127" s="847" t="s">
        <v>2230</v>
      </c>
      <c r="C1127" s="847" t="n">
        <v>2024</v>
      </c>
      <c r="D1127" s="848" t="s">
        <v>13</v>
      </c>
      <c r="E1127" s="848" t="s">
        <v>2192</v>
      </c>
      <c r="F1127" s="848" t="s">
        <v>2199</v>
      </c>
      <c r="G1127" s="849"/>
      <c r="H1127" s="949" t="n">
        <v>20.5141</v>
      </c>
      <c r="I1127" s="950"/>
      <c r="J1127" s="950"/>
      <c r="K1127" s="852" t="n">
        <f aca="false">H1127*I1127/100</f>
        <v>0</v>
      </c>
      <c r="L1127" s="537" t="n">
        <v>900</v>
      </c>
      <c r="M1127" s="1007" t="n">
        <v>1</v>
      </c>
      <c r="N1127" s="537" t="n">
        <f aca="false">L1127*M1127</f>
        <v>900</v>
      </c>
      <c r="O1127" s="953" t="n">
        <f aca="false">H1127*N1127</f>
        <v>18462.69</v>
      </c>
      <c r="P1127" s="856" t="s">
        <v>2197</v>
      </c>
      <c r="Q1127" s="857" t="s">
        <v>2737</v>
      </c>
      <c r="R1127" s="1380" t="n">
        <v>18462.69</v>
      </c>
      <c r="S1127" s="891" t="n">
        <f aca="false">R1127/H1127</f>
        <v>900</v>
      </c>
      <c r="T1127" s="953" t="n">
        <f aca="false">O1127-R1127</f>
        <v>0</v>
      </c>
      <c r="U1127" s="537" t="n">
        <f aca="false">N1127-S1127</f>
        <v>0</v>
      </c>
    </row>
    <row r="1128" customFormat="false" ht="15" hidden="false" customHeight="true" outlineLevel="0" collapsed="false">
      <c r="A1128" s="847" t="n">
        <v>25</v>
      </c>
      <c r="B1128" s="847" t="s">
        <v>2230</v>
      </c>
      <c r="C1128" s="847" t="n">
        <v>2024</v>
      </c>
      <c r="D1128" s="848" t="s">
        <v>13</v>
      </c>
      <c r="E1128" s="848" t="s">
        <v>2192</v>
      </c>
      <c r="F1128" s="848" t="s">
        <v>2199</v>
      </c>
      <c r="G1128" s="849"/>
      <c r="H1128" s="949" t="n">
        <v>79.5652</v>
      </c>
      <c r="I1128" s="950"/>
      <c r="J1128" s="950"/>
      <c r="K1128" s="852" t="n">
        <f aca="false">H1128*I1128/100</f>
        <v>0</v>
      </c>
      <c r="L1128" s="537" t="n">
        <v>8325</v>
      </c>
      <c r="M1128" s="1007" t="n">
        <v>1</v>
      </c>
      <c r="N1128" s="537" t="n">
        <f aca="false">L1128*M1128</f>
        <v>8325</v>
      </c>
      <c r="O1128" s="953" t="n">
        <f aca="false">H1128*N1128</f>
        <v>662380.29</v>
      </c>
      <c r="P1128" s="856" t="s">
        <v>2197</v>
      </c>
      <c r="Q1128" s="857" t="s">
        <v>2738</v>
      </c>
      <c r="R1128" s="1380" t="n">
        <v>662380.29</v>
      </c>
      <c r="S1128" s="866" t="n">
        <f aca="false">R1128/H1128</f>
        <v>8325</v>
      </c>
      <c r="T1128" s="953" t="n">
        <f aca="false">O1128-R1128</f>
        <v>0</v>
      </c>
      <c r="U1128" s="537" t="n">
        <f aca="false">N1128-S1128</f>
        <v>0</v>
      </c>
    </row>
    <row r="1129" customFormat="false" ht="15" hidden="false" customHeight="true" outlineLevel="0" collapsed="false">
      <c r="A1129" s="847" t="n">
        <v>103</v>
      </c>
      <c r="B1129" s="847" t="s">
        <v>81</v>
      </c>
      <c r="C1129" s="847" t="n">
        <v>2024</v>
      </c>
      <c r="D1129" s="848" t="s">
        <v>13</v>
      </c>
      <c r="E1129" s="848" t="s">
        <v>2192</v>
      </c>
      <c r="F1129" s="848" t="s">
        <v>2199</v>
      </c>
      <c r="G1129" s="849"/>
      <c r="H1129" s="949" t="n">
        <v>51.5</v>
      </c>
      <c r="I1129" s="950"/>
      <c r="J1129" s="950"/>
      <c r="K1129" s="939" t="n">
        <f aca="false">H1129*I1129/100</f>
        <v>0</v>
      </c>
      <c r="L1129" s="1006" t="n">
        <v>11060</v>
      </c>
      <c r="M1129" s="1007" t="n">
        <v>1</v>
      </c>
      <c r="N1129" s="908" t="n">
        <f aca="false">L1129*M1129</f>
        <v>11060</v>
      </c>
      <c r="O1129" s="1056" t="n">
        <f aca="false">H1129*N1129</f>
        <v>569590</v>
      </c>
      <c r="P1129" s="856" t="s">
        <v>2200</v>
      </c>
      <c r="Q1129" s="1083" t="s">
        <v>2739</v>
      </c>
      <c r="R1129" s="1144" t="n">
        <v>569590</v>
      </c>
      <c r="S1129" s="854" t="n">
        <f aca="false">R1129/H1129</f>
        <v>11060</v>
      </c>
      <c r="T1129" s="942" t="n">
        <f aca="false">O1129-R1129</f>
        <v>0</v>
      </c>
      <c r="U1129" s="942" t="n">
        <f aca="false">N1129-S1129</f>
        <v>0</v>
      </c>
    </row>
    <row r="1130" customFormat="false" ht="15" hidden="false" customHeight="true" outlineLevel="0" collapsed="false">
      <c r="A1130" s="859" t="n">
        <v>104</v>
      </c>
      <c r="B1130" s="859" t="s">
        <v>81</v>
      </c>
      <c r="C1130" s="859" t="n">
        <v>2024</v>
      </c>
      <c r="D1130" s="860" t="s">
        <v>13</v>
      </c>
      <c r="E1130" s="860" t="s">
        <v>2192</v>
      </c>
      <c r="F1130" s="860" t="s">
        <v>2199</v>
      </c>
      <c r="G1130" s="861"/>
      <c r="H1130" s="980" t="n">
        <v>52</v>
      </c>
      <c r="I1130" s="981"/>
      <c r="J1130" s="981"/>
      <c r="K1130" s="875" t="n">
        <f aca="false">H1130*I1130/100</f>
        <v>0</v>
      </c>
      <c r="L1130" s="982" t="n">
        <v>11080</v>
      </c>
      <c r="M1130" s="983" t="n">
        <v>1</v>
      </c>
      <c r="N1130" s="876" t="n">
        <f aca="false">L1130*M1130</f>
        <v>11080</v>
      </c>
      <c r="O1130" s="878" t="n">
        <f aca="false">H1130*N1130</f>
        <v>576160</v>
      </c>
      <c r="P1130" s="868" t="s">
        <v>2200</v>
      </c>
      <c r="Q1130" s="984" t="s">
        <v>2740</v>
      </c>
      <c r="R1130" s="1147" t="n">
        <v>576160</v>
      </c>
      <c r="S1130" s="866" t="n">
        <f aca="false">R1130/H1130</f>
        <v>11080</v>
      </c>
      <c r="T1130" s="553" t="n">
        <f aca="false">O1130-R1130</f>
        <v>0</v>
      </c>
      <c r="U1130" s="553" t="n">
        <f aca="false">N1130-S1130</f>
        <v>0</v>
      </c>
    </row>
    <row r="1131" customFormat="false" ht="15" hidden="false" customHeight="true" outlineLevel="0" collapsed="false">
      <c r="A1131" s="870" t="n">
        <v>105</v>
      </c>
      <c r="B1131" s="870" t="s">
        <v>81</v>
      </c>
      <c r="C1131" s="870" t="n">
        <v>2024</v>
      </c>
      <c r="D1131" s="871" t="s">
        <v>13</v>
      </c>
      <c r="E1131" s="871" t="s">
        <v>2192</v>
      </c>
      <c r="F1131" s="871" t="s">
        <v>2199</v>
      </c>
      <c r="G1131" s="872"/>
      <c r="H1131" s="1116" t="n">
        <v>55.7</v>
      </c>
      <c r="I1131" s="1117"/>
      <c r="J1131" s="1117"/>
      <c r="K1131" s="875" t="n">
        <f aca="false">H1131*I1131/100</f>
        <v>0</v>
      </c>
      <c r="L1131" s="999" t="n">
        <v>11620</v>
      </c>
      <c r="M1131" s="1000" t="n">
        <v>1</v>
      </c>
      <c r="N1131" s="876" t="n">
        <f aca="false">L1131*M1131</f>
        <v>11620</v>
      </c>
      <c r="O1131" s="878" t="n">
        <f aca="false">H1131*N1131</f>
        <v>647234</v>
      </c>
      <c r="P1131" s="879" t="s">
        <v>2200</v>
      </c>
      <c r="Q1131" s="1118" t="s">
        <v>2493</v>
      </c>
      <c r="R1131" s="1151" t="n">
        <v>647234</v>
      </c>
      <c r="S1131" s="891" t="n">
        <f aca="false">R1131/H1131</f>
        <v>11620</v>
      </c>
      <c r="T1131" s="553" t="n">
        <f aca="false">O1131-R1131</f>
        <v>0</v>
      </c>
      <c r="U1131" s="553" t="n">
        <f aca="false">N1131-S1131</f>
        <v>0</v>
      </c>
    </row>
    <row r="1132" customFormat="false" ht="15" hidden="false" customHeight="true" outlineLevel="0" collapsed="false">
      <c r="A1132" s="881" t="n">
        <v>77</v>
      </c>
      <c r="B1132" s="829" t="s">
        <v>86</v>
      </c>
      <c r="C1132" s="830" t="n">
        <v>2024</v>
      </c>
      <c r="D1132" s="831" t="s">
        <v>13</v>
      </c>
      <c r="E1132" s="831" t="s">
        <v>2192</v>
      </c>
      <c r="F1132" s="832" t="s">
        <v>1650</v>
      </c>
      <c r="G1132" s="833"/>
      <c r="H1132" s="834" t="n">
        <v>90</v>
      </c>
      <c r="I1132" s="835"/>
      <c r="J1132" s="835"/>
      <c r="K1132" s="836" t="n">
        <f aca="false">H1132*I1132/100</f>
        <v>0</v>
      </c>
      <c r="L1132" s="1002" t="n">
        <v>5056</v>
      </c>
      <c r="M1132" s="1003" t="n">
        <v>1</v>
      </c>
      <c r="N1132" s="837" t="n">
        <f aca="false">L1132*M1132</f>
        <v>5056</v>
      </c>
      <c r="O1132" s="841" t="n">
        <f aca="false">H1132*N1132</f>
        <v>455040</v>
      </c>
      <c r="P1132" s="838" t="s">
        <v>2197</v>
      </c>
      <c r="Q1132" s="1076" t="s">
        <v>2741</v>
      </c>
      <c r="R1132" s="1145" t="n">
        <v>452250</v>
      </c>
      <c r="S1132" s="886" t="n">
        <f aca="false">R1132/H1132</f>
        <v>5025</v>
      </c>
      <c r="T1132" s="837" t="n">
        <f aca="false">O1132-R1132-R1133</f>
        <v>0</v>
      </c>
      <c r="U1132" s="842" t="n">
        <f aca="false">N1132-S1132-S1133</f>
        <v>0</v>
      </c>
    </row>
    <row r="1133" customFormat="false" ht="15" hidden="false" customHeight="true" outlineLevel="0" collapsed="false">
      <c r="A1133" s="881"/>
      <c r="B1133" s="829"/>
      <c r="C1133" s="830"/>
      <c r="D1133" s="887" t="s">
        <v>13</v>
      </c>
      <c r="E1133" s="887" t="s">
        <v>2192</v>
      </c>
      <c r="F1133" s="832"/>
      <c r="G1133" s="833"/>
      <c r="H1133" s="834"/>
      <c r="I1133" s="835"/>
      <c r="J1133" s="835"/>
      <c r="K1133" s="836"/>
      <c r="L1133" s="1002"/>
      <c r="M1133" s="1003"/>
      <c r="N1133" s="837"/>
      <c r="O1133" s="841"/>
      <c r="P1133" s="888" t="s">
        <v>2193</v>
      </c>
      <c r="Q1133" s="1071" t="s">
        <v>2742</v>
      </c>
      <c r="R1133" s="1146" t="n">
        <v>2790</v>
      </c>
      <c r="S1133" s="846" t="n">
        <f aca="false">R1133/H1132</f>
        <v>31</v>
      </c>
      <c r="T1133" s="837"/>
      <c r="U1133" s="842"/>
    </row>
    <row r="1134" customFormat="false" ht="15" hidden="false" customHeight="true" outlineLevel="0" collapsed="false">
      <c r="A1134" s="881"/>
      <c r="B1134" s="829" t="s">
        <v>86</v>
      </c>
      <c r="C1134" s="830" t="n">
        <v>2024</v>
      </c>
      <c r="D1134" s="831" t="s">
        <v>13</v>
      </c>
      <c r="E1134" s="831" t="s">
        <v>2203</v>
      </c>
      <c r="F1134" s="830"/>
      <c r="G1134" s="833"/>
      <c r="H1134" s="834" t="n">
        <v>35.8</v>
      </c>
      <c r="I1134" s="835"/>
      <c r="J1134" s="835"/>
      <c r="K1134" s="836" t="n">
        <f aca="false">H1134*I1134/100</f>
        <v>0</v>
      </c>
      <c r="L1134" s="1002" t="n">
        <v>1002</v>
      </c>
      <c r="M1134" s="1003" t="n">
        <v>1</v>
      </c>
      <c r="N1134" s="837" t="n">
        <f aca="false">L1134*M1134</f>
        <v>1002</v>
      </c>
      <c r="O1134" s="841" t="n">
        <f aca="false">H1134*N1134</f>
        <v>35871.6</v>
      </c>
      <c r="P1134" s="838" t="s">
        <v>2232</v>
      </c>
      <c r="Q1134" s="1076" t="s">
        <v>105</v>
      </c>
      <c r="R1134" s="1145" t="n">
        <v>12386.8</v>
      </c>
      <c r="S1134" s="840" t="n">
        <f aca="false">R1134/H1134</f>
        <v>346</v>
      </c>
      <c r="T1134" s="837" t="n">
        <f aca="false">O1134-R1134-R1135</f>
        <v>0</v>
      </c>
      <c r="U1134" s="842" t="n">
        <f aca="false">N1134-S1134-S1135</f>
        <v>0</v>
      </c>
    </row>
    <row r="1135" customFormat="false" ht="15" hidden="false" customHeight="true" outlineLevel="0" collapsed="false">
      <c r="A1135" s="881"/>
      <c r="B1135" s="829"/>
      <c r="C1135" s="830"/>
      <c r="D1135" s="887" t="s">
        <v>13</v>
      </c>
      <c r="E1135" s="887" t="s">
        <v>2203</v>
      </c>
      <c r="F1135" s="830"/>
      <c r="G1135" s="833"/>
      <c r="H1135" s="834"/>
      <c r="I1135" s="835"/>
      <c r="J1135" s="835"/>
      <c r="K1135" s="836"/>
      <c r="L1135" s="1002"/>
      <c r="M1135" s="1003"/>
      <c r="N1135" s="837"/>
      <c r="O1135" s="841"/>
      <c r="P1135" s="888" t="s">
        <v>2200</v>
      </c>
      <c r="Q1135" s="1071" t="s">
        <v>2679</v>
      </c>
      <c r="R1135" s="1146" t="n">
        <v>23484.8</v>
      </c>
      <c r="S1135" s="890" t="n">
        <f aca="false">R1135/H1134</f>
        <v>656</v>
      </c>
      <c r="T1135" s="837"/>
      <c r="U1135" s="842"/>
    </row>
    <row r="1136" customFormat="false" ht="15" hidden="false" customHeight="true" outlineLevel="0" collapsed="false">
      <c r="A1136" s="881"/>
      <c r="B1136" s="847" t="s">
        <v>86</v>
      </c>
      <c r="C1136" s="847" t="n">
        <v>2024</v>
      </c>
      <c r="D1136" s="848" t="s">
        <v>13</v>
      </c>
      <c r="E1136" s="848" t="s">
        <v>2241</v>
      </c>
      <c r="F1136" s="848"/>
      <c r="G1136" s="849"/>
      <c r="H1136" s="949" t="n">
        <v>22.7</v>
      </c>
      <c r="I1136" s="950"/>
      <c r="J1136" s="950"/>
      <c r="K1136" s="939" t="n">
        <f aca="false">H1136*I1136/100</f>
        <v>0</v>
      </c>
      <c r="L1136" s="1006" t="n">
        <v>1544</v>
      </c>
      <c r="M1136" s="1007" t="n">
        <v>1</v>
      </c>
      <c r="N1136" s="908" t="n">
        <f aca="false">L1136*M1136</f>
        <v>1544</v>
      </c>
      <c r="O1136" s="1056" t="n">
        <f aca="false">H1136*N1136</f>
        <v>35048.8</v>
      </c>
      <c r="P1136" s="856" t="s">
        <v>2200</v>
      </c>
      <c r="Q1136" s="1083" t="s">
        <v>2679</v>
      </c>
      <c r="R1136" s="1144" t="n">
        <v>35048.8</v>
      </c>
      <c r="S1136" s="854" t="n">
        <f aca="false">R1136/H1136</f>
        <v>1544</v>
      </c>
      <c r="T1136" s="942" t="n">
        <f aca="false">O1136-R1136</f>
        <v>0</v>
      </c>
      <c r="U1136" s="1026" t="n">
        <f aca="false">N1136-S1136</f>
        <v>0</v>
      </c>
    </row>
    <row r="1137" customFormat="false" ht="15" hidden="false" customHeight="true" outlineLevel="0" collapsed="false">
      <c r="A1137" s="881"/>
      <c r="B1137" s="893" t="s">
        <v>86</v>
      </c>
      <c r="C1137" s="893" t="n">
        <v>2024</v>
      </c>
      <c r="D1137" s="843" t="s">
        <v>13</v>
      </c>
      <c r="E1137" s="843" t="s">
        <v>2205</v>
      </c>
      <c r="F1137" s="843"/>
      <c r="G1137" s="894"/>
      <c r="H1137" s="1103" t="n">
        <v>3.4</v>
      </c>
      <c r="I1137" s="1104"/>
      <c r="J1137" s="1104"/>
      <c r="K1137" s="897" t="n">
        <f aca="false">H1137*I1137/100</f>
        <v>0</v>
      </c>
      <c r="L1137" s="1105" t="n">
        <v>3852</v>
      </c>
      <c r="M1137" s="1106" t="n">
        <v>1</v>
      </c>
      <c r="N1137" s="898" t="n">
        <f aca="false">L1137*M1137</f>
        <v>3852</v>
      </c>
      <c r="O1137" s="899" t="n">
        <f aca="false">H1137*N1137</f>
        <v>13096.8</v>
      </c>
      <c r="P1137" s="844" t="s">
        <v>2204</v>
      </c>
      <c r="Q1137" s="1085" t="n">
        <v>31012025</v>
      </c>
      <c r="R1137" s="1136" t="n">
        <v>13096.8</v>
      </c>
      <c r="S1137" s="890" t="n">
        <f aca="false">R1137/H1137</f>
        <v>3852</v>
      </c>
      <c r="T1137" s="589" t="n">
        <f aca="false">O1137-R1137</f>
        <v>0</v>
      </c>
      <c r="U1137" s="902" t="n">
        <f aca="false">N1137-S1137</f>
        <v>0</v>
      </c>
    </row>
    <row r="1138" customFormat="false" ht="15" hidden="false" customHeight="true" outlineLevel="0" collapsed="false">
      <c r="A1138" s="847" t="n">
        <v>113</v>
      </c>
      <c r="B1138" s="847" t="s">
        <v>81</v>
      </c>
      <c r="C1138" s="847" t="n">
        <v>2024</v>
      </c>
      <c r="D1138" s="848" t="s">
        <v>13</v>
      </c>
      <c r="E1138" s="848" t="s">
        <v>2192</v>
      </c>
      <c r="F1138" s="848" t="s">
        <v>2199</v>
      </c>
      <c r="G1138" s="849"/>
      <c r="H1138" s="949" t="n">
        <v>58.5</v>
      </c>
      <c r="I1138" s="950"/>
      <c r="J1138" s="950"/>
      <c r="K1138" s="852" t="n">
        <f aca="false">H1138*I1138/100</f>
        <v>0</v>
      </c>
      <c r="L1138" s="1006" t="n">
        <v>10018</v>
      </c>
      <c r="M1138" s="1007" t="n">
        <v>1</v>
      </c>
      <c r="N1138" s="853" t="n">
        <f aca="false">L1138*M1138</f>
        <v>10018</v>
      </c>
      <c r="O1138" s="1056" t="n">
        <f aca="false">H1138*N1138</f>
        <v>586053</v>
      </c>
      <c r="P1138" s="856" t="s">
        <v>2200</v>
      </c>
      <c r="Q1138" s="1083" t="s">
        <v>2743</v>
      </c>
      <c r="R1138" s="1144" t="n">
        <v>586053</v>
      </c>
      <c r="S1138" s="854" t="n">
        <f aca="false">R1138/H1138</f>
        <v>10018</v>
      </c>
      <c r="T1138" s="942" t="n">
        <f aca="false">O1138-R1138</f>
        <v>0</v>
      </c>
      <c r="U1138" s="537" t="n">
        <f aca="false">N1138-S1138</f>
        <v>0</v>
      </c>
    </row>
    <row r="1139" customFormat="false" ht="15" hidden="false" customHeight="true" outlineLevel="0" collapsed="false">
      <c r="A1139" s="859" t="n">
        <v>114</v>
      </c>
      <c r="B1139" s="859" t="s">
        <v>81</v>
      </c>
      <c r="C1139" s="859" t="n">
        <v>2024</v>
      </c>
      <c r="D1139" s="860" t="s">
        <v>13</v>
      </c>
      <c r="E1139" s="860" t="s">
        <v>2192</v>
      </c>
      <c r="F1139" s="860" t="s">
        <v>2199</v>
      </c>
      <c r="G1139" s="861"/>
      <c r="H1139" s="980" t="n">
        <v>58.3</v>
      </c>
      <c r="I1139" s="981"/>
      <c r="J1139" s="981"/>
      <c r="K1139" s="864" t="n">
        <f aca="false">H1139*I1139/100</f>
        <v>0</v>
      </c>
      <c r="L1139" s="982" t="n">
        <v>9019</v>
      </c>
      <c r="M1139" s="983" t="n">
        <v>1</v>
      </c>
      <c r="N1139" s="865" t="n">
        <f aca="false">L1139*M1139</f>
        <v>9019</v>
      </c>
      <c r="O1139" s="909" t="n">
        <f aca="false">H1139*N1139</f>
        <v>525807.7</v>
      </c>
      <c r="P1139" s="868" t="s">
        <v>2200</v>
      </c>
      <c r="Q1139" s="984" t="s">
        <v>2744</v>
      </c>
      <c r="R1139" s="1147" t="n">
        <v>525807.7</v>
      </c>
      <c r="S1139" s="866" t="n">
        <f aca="false">R1139/H1139</f>
        <v>9019</v>
      </c>
      <c r="T1139" s="553" t="n">
        <f aca="false">O1139-R1139</f>
        <v>0</v>
      </c>
      <c r="U1139" s="543" t="n">
        <f aca="false">N1139-S1139</f>
        <v>0</v>
      </c>
    </row>
    <row r="1140" customFormat="false" ht="15" hidden="false" customHeight="true" outlineLevel="0" collapsed="false">
      <c r="A1140" s="870" t="n">
        <v>115</v>
      </c>
      <c r="B1140" s="870" t="s">
        <v>81</v>
      </c>
      <c r="C1140" s="870" t="n">
        <v>2024</v>
      </c>
      <c r="D1140" s="871" t="s">
        <v>13</v>
      </c>
      <c r="E1140" s="871" t="s">
        <v>2192</v>
      </c>
      <c r="F1140" s="871" t="s">
        <v>2199</v>
      </c>
      <c r="G1140" s="872"/>
      <c r="H1140" s="1116" t="n">
        <v>54.6</v>
      </c>
      <c r="I1140" s="1117"/>
      <c r="J1140" s="1117"/>
      <c r="K1140" s="875" t="n">
        <f aca="false">H1140*I1140/100</f>
        <v>0</v>
      </c>
      <c r="L1140" s="999" t="n">
        <v>1233</v>
      </c>
      <c r="M1140" s="1000" t="n">
        <v>1</v>
      </c>
      <c r="N1140" s="876" t="n">
        <f aca="false">L1140*M1140</f>
        <v>1233</v>
      </c>
      <c r="O1140" s="878" t="n">
        <f aca="false">H1140*N1140</f>
        <v>67321.8</v>
      </c>
      <c r="P1140" s="879" t="s">
        <v>2200</v>
      </c>
      <c r="Q1140" s="1118" t="s">
        <v>2745</v>
      </c>
      <c r="R1140" s="1151" t="n">
        <v>67321.8</v>
      </c>
      <c r="S1140" s="866" t="n">
        <f aca="false">R1140/H1140</f>
        <v>1233</v>
      </c>
      <c r="T1140" s="553" t="n">
        <f aca="false">O1140-R1140</f>
        <v>0</v>
      </c>
      <c r="U1140" s="553" t="n">
        <f aca="false">N1140-S1140</f>
        <v>0</v>
      </c>
    </row>
    <row r="1141" customFormat="false" ht="15" hidden="false" customHeight="true" outlineLevel="0" collapsed="false">
      <c r="A1141" s="881" t="n">
        <v>78</v>
      </c>
      <c r="B1141" s="829" t="s">
        <v>86</v>
      </c>
      <c r="C1141" s="830" t="n">
        <v>2024</v>
      </c>
      <c r="D1141" s="831" t="s">
        <v>13</v>
      </c>
      <c r="E1141" s="831" t="s">
        <v>2192</v>
      </c>
      <c r="F1141" s="832" t="s">
        <v>1650</v>
      </c>
      <c r="G1141" s="833"/>
      <c r="H1141" s="834" t="n">
        <v>89.7</v>
      </c>
      <c r="I1141" s="835"/>
      <c r="J1141" s="835"/>
      <c r="K1141" s="836" t="n">
        <f aca="false">H1141*I1141/100</f>
        <v>0</v>
      </c>
      <c r="L1141" s="1002" t="n">
        <v>5501</v>
      </c>
      <c r="M1141" s="1003" t="n">
        <v>1</v>
      </c>
      <c r="N1141" s="837" t="n">
        <f aca="false">L1141*M1141</f>
        <v>5501</v>
      </c>
      <c r="O1141" s="841" t="n">
        <f aca="false">H1141*N1141</f>
        <v>493439.7</v>
      </c>
      <c r="P1141" s="838" t="s">
        <v>2197</v>
      </c>
      <c r="Q1141" s="1076" t="s">
        <v>2746</v>
      </c>
      <c r="R1141" s="1145" t="n">
        <v>452985</v>
      </c>
      <c r="S1141" s="886" t="n">
        <f aca="false">R1141/H1141</f>
        <v>5050</v>
      </c>
      <c r="T1141" s="841" t="n">
        <f aca="false">O1141-R1141-R1142</f>
        <v>0</v>
      </c>
      <c r="U1141" s="842" t="n">
        <f aca="false">N1141-S1141-S1142</f>
        <v>0</v>
      </c>
    </row>
    <row r="1142" customFormat="false" ht="15" hidden="false" customHeight="true" outlineLevel="0" collapsed="false">
      <c r="A1142" s="881"/>
      <c r="B1142" s="829"/>
      <c r="C1142" s="830"/>
      <c r="D1142" s="887" t="s">
        <v>13</v>
      </c>
      <c r="E1142" s="887" t="s">
        <v>2192</v>
      </c>
      <c r="F1142" s="832"/>
      <c r="G1142" s="833"/>
      <c r="H1142" s="834"/>
      <c r="I1142" s="835"/>
      <c r="J1142" s="835"/>
      <c r="K1142" s="836"/>
      <c r="L1142" s="1002"/>
      <c r="M1142" s="1003"/>
      <c r="N1142" s="837"/>
      <c r="O1142" s="841"/>
      <c r="P1142" s="888" t="s">
        <v>2193</v>
      </c>
      <c r="Q1142" s="1071" t="s">
        <v>2742</v>
      </c>
      <c r="R1142" s="1146" t="n">
        <v>40454.7</v>
      </c>
      <c r="S1142" s="846" t="n">
        <f aca="false">R1142/H1141</f>
        <v>451</v>
      </c>
      <c r="T1142" s="841"/>
      <c r="U1142" s="842"/>
    </row>
    <row r="1143" customFormat="false" ht="15" hidden="false" customHeight="true" outlineLevel="0" collapsed="false">
      <c r="A1143" s="881"/>
      <c r="B1143" s="847" t="s">
        <v>86</v>
      </c>
      <c r="C1143" s="847" t="n">
        <v>2024</v>
      </c>
      <c r="D1143" s="848" t="s">
        <v>13</v>
      </c>
      <c r="E1143" s="848" t="s">
        <v>2203</v>
      </c>
      <c r="F1143" s="848"/>
      <c r="G1143" s="849"/>
      <c r="H1143" s="949" t="n">
        <v>39.7</v>
      </c>
      <c r="I1143" s="950"/>
      <c r="J1143" s="950"/>
      <c r="K1143" s="852" t="n">
        <f aca="false">H1143*I1143/100</f>
        <v>0</v>
      </c>
      <c r="L1143" s="1006" t="n">
        <v>832</v>
      </c>
      <c r="M1143" s="1007" t="n">
        <v>1</v>
      </c>
      <c r="N1143" s="853" t="n">
        <f aca="false">L1143*M1143</f>
        <v>832</v>
      </c>
      <c r="O1143" s="1056" t="n">
        <f aca="false">H1143*N1143</f>
        <v>33030.4</v>
      </c>
      <c r="P1143" s="856" t="s">
        <v>2200</v>
      </c>
      <c r="Q1143" s="1083" t="s">
        <v>2679</v>
      </c>
      <c r="R1143" s="1144" t="n">
        <v>33030.4</v>
      </c>
      <c r="S1143" s="866" t="n">
        <f aca="false">R1143/H1143</f>
        <v>832</v>
      </c>
      <c r="T1143" s="942" t="n">
        <f aca="false">O1143-R1143</f>
        <v>0</v>
      </c>
      <c r="U1143" s="892" t="n">
        <f aca="false">N1143-S1143</f>
        <v>0</v>
      </c>
    </row>
    <row r="1144" customFormat="false" ht="15" hidden="false" customHeight="true" outlineLevel="0" collapsed="false">
      <c r="A1144" s="881"/>
      <c r="B1144" s="859" t="s">
        <v>86</v>
      </c>
      <c r="C1144" s="859" t="n">
        <v>2024</v>
      </c>
      <c r="D1144" s="860" t="s">
        <v>13</v>
      </c>
      <c r="E1144" s="860" t="s">
        <v>2241</v>
      </c>
      <c r="F1144" s="860"/>
      <c r="G1144" s="861"/>
      <c r="H1144" s="980" t="n">
        <v>13.8</v>
      </c>
      <c r="I1144" s="981"/>
      <c r="J1144" s="981"/>
      <c r="K1144" s="864" t="n">
        <f aca="false">H1144*I1144/100</f>
        <v>0</v>
      </c>
      <c r="L1144" s="982" t="n">
        <v>1580</v>
      </c>
      <c r="M1144" s="983" t="n">
        <v>1</v>
      </c>
      <c r="N1144" s="865" t="n">
        <f aca="false">L1144*M1144</f>
        <v>1580</v>
      </c>
      <c r="O1144" s="878" t="n">
        <f aca="false">H1144*N1144</f>
        <v>21804</v>
      </c>
      <c r="P1144" s="868" t="s">
        <v>2204</v>
      </c>
      <c r="Q1144" s="984" t="n">
        <v>28022025</v>
      </c>
      <c r="R1144" s="1147" t="n">
        <v>21804</v>
      </c>
      <c r="S1144" s="866" t="n">
        <f aca="false">R1144/H1144</f>
        <v>1580</v>
      </c>
      <c r="T1144" s="553" t="n">
        <f aca="false">O1144-R1144</f>
        <v>0</v>
      </c>
      <c r="U1144" s="1135" t="n">
        <f aca="false">N1144-S1144</f>
        <v>0</v>
      </c>
    </row>
    <row r="1145" customFormat="false" ht="15" hidden="false" customHeight="true" outlineLevel="0" collapsed="false">
      <c r="A1145" s="881"/>
      <c r="B1145" s="893" t="s">
        <v>86</v>
      </c>
      <c r="C1145" s="893" t="n">
        <v>2024</v>
      </c>
      <c r="D1145" s="843" t="s">
        <v>13</v>
      </c>
      <c r="E1145" s="843" t="s">
        <v>2205</v>
      </c>
      <c r="F1145" s="843"/>
      <c r="G1145" s="894"/>
      <c r="H1145" s="1103" t="n">
        <v>12.2</v>
      </c>
      <c r="I1145" s="1104"/>
      <c r="J1145" s="1104"/>
      <c r="K1145" s="897" t="n">
        <f aca="false">H1145*I1145/100</f>
        <v>0</v>
      </c>
      <c r="L1145" s="1105" t="n">
        <v>3017</v>
      </c>
      <c r="M1145" s="1106" t="n">
        <v>1</v>
      </c>
      <c r="N1145" s="898" t="n">
        <f aca="false">L1145*M1145</f>
        <v>3017</v>
      </c>
      <c r="O1145" s="899" t="n">
        <f aca="false">H1145*N1145</f>
        <v>36807.4</v>
      </c>
      <c r="P1145" s="844" t="s">
        <v>2204</v>
      </c>
      <c r="Q1145" s="1085" t="n">
        <v>31012025</v>
      </c>
      <c r="R1145" s="1136" t="n">
        <v>36807.4</v>
      </c>
      <c r="S1145" s="890" t="n">
        <f aca="false">R1145/H1145</f>
        <v>3017</v>
      </c>
      <c r="T1145" s="589" t="n">
        <f aca="false">O1145-R1145</f>
        <v>0</v>
      </c>
      <c r="U1145" s="902" t="n">
        <f aca="false">N1145-S1145</f>
        <v>0</v>
      </c>
    </row>
    <row r="1146" customFormat="false" ht="15" hidden="false" customHeight="true" outlineLevel="0" collapsed="false">
      <c r="A1146" s="1533" t="n">
        <v>79</v>
      </c>
      <c r="B1146" s="829" t="s">
        <v>86</v>
      </c>
      <c r="C1146" s="830" t="n">
        <v>2024</v>
      </c>
      <c r="D1146" s="831" t="s">
        <v>13</v>
      </c>
      <c r="E1146" s="831" t="s">
        <v>2192</v>
      </c>
      <c r="F1146" s="832" t="s">
        <v>1650</v>
      </c>
      <c r="G1146" s="833"/>
      <c r="H1146" s="834" t="n">
        <v>89.3</v>
      </c>
      <c r="I1146" s="835"/>
      <c r="J1146" s="835"/>
      <c r="K1146" s="836" t="n">
        <f aca="false">H1146*I1146/100</f>
        <v>0</v>
      </c>
      <c r="L1146" s="1002" t="n">
        <v>5208</v>
      </c>
      <c r="M1146" s="1003" t="n">
        <v>1</v>
      </c>
      <c r="N1146" s="837" t="n">
        <f aca="false">L1146*M1146</f>
        <v>5208</v>
      </c>
      <c r="O1146" s="841" t="n">
        <f aca="false">H1146*N1146</f>
        <v>465074.4</v>
      </c>
      <c r="P1146" s="838" t="s">
        <v>2197</v>
      </c>
      <c r="Q1146" s="1076" t="s">
        <v>2747</v>
      </c>
      <c r="R1146" s="1145" t="n">
        <v>145112.5</v>
      </c>
      <c r="S1146" s="886" t="n">
        <f aca="false">R1146/H1146</f>
        <v>1625</v>
      </c>
      <c r="T1146" s="841" t="n">
        <f aca="false">O1146-R1146-R1147</f>
        <v>0</v>
      </c>
      <c r="U1146" s="842" t="n">
        <f aca="false">N1146-S1146-S1147</f>
        <v>0</v>
      </c>
    </row>
    <row r="1147" customFormat="false" ht="15" hidden="false" customHeight="true" outlineLevel="0" collapsed="false">
      <c r="A1147" s="1533"/>
      <c r="B1147" s="829"/>
      <c r="C1147" s="830"/>
      <c r="D1147" s="887" t="s">
        <v>13</v>
      </c>
      <c r="E1147" s="887" t="s">
        <v>2192</v>
      </c>
      <c r="F1147" s="832"/>
      <c r="G1147" s="833"/>
      <c r="H1147" s="834"/>
      <c r="I1147" s="835"/>
      <c r="J1147" s="835"/>
      <c r="K1147" s="836"/>
      <c r="L1147" s="1002"/>
      <c r="M1147" s="1003"/>
      <c r="N1147" s="837"/>
      <c r="O1147" s="841"/>
      <c r="P1147" s="888" t="s">
        <v>2193</v>
      </c>
      <c r="Q1147" s="1071" t="s">
        <v>2742</v>
      </c>
      <c r="R1147" s="1146" t="n">
        <v>319961.9</v>
      </c>
      <c r="S1147" s="846" t="n">
        <f aca="false">R1147/H1146</f>
        <v>3583</v>
      </c>
      <c r="T1147" s="841"/>
      <c r="U1147" s="842"/>
    </row>
    <row r="1148" customFormat="false" ht="15" hidden="false" customHeight="true" outlineLevel="0" collapsed="false">
      <c r="A1148" s="1533"/>
      <c r="B1148" s="847" t="s">
        <v>86</v>
      </c>
      <c r="C1148" s="847" t="n">
        <v>2024</v>
      </c>
      <c r="D1148" s="848" t="s">
        <v>13</v>
      </c>
      <c r="E1148" s="848" t="s">
        <v>2242</v>
      </c>
      <c r="F1148" s="848"/>
      <c r="G1148" s="849"/>
      <c r="H1148" s="949" t="n">
        <v>52.9</v>
      </c>
      <c r="I1148" s="950"/>
      <c r="J1148" s="950"/>
      <c r="K1148" s="852" t="n">
        <f aca="false">H1148*I1148/100</f>
        <v>0</v>
      </c>
      <c r="L1148" s="1006" t="n">
        <v>302</v>
      </c>
      <c r="M1148" s="1007" t="n">
        <v>1</v>
      </c>
      <c r="N1148" s="853" t="n">
        <f aca="false">L1148*M1148</f>
        <v>302</v>
      </c>
      <c r="O1148" s="1056" t="n">
        <f aca="false">H1148*N1148</f>
        <v>15975.8</v>
      </c>
      <c r="P1148" s="856" t="s">
        <v>2232</v>
      </c>
      <c r="Q1148" s="1083" t="s">
        <v>2743</v>
      </c>
      <c r="R1148" s="1144" t="n">
        <v>15975.8</v>
      </c>
      <c r="S1148" s="886" t="n">
        <f aca="false">R1148/H1148</f>
        <v>302</v>
      </c>
      <c r="T1148" s="942" t="n">
        <f aca="false">O1148-R1148</f>
        <v>0</v>
      </c>
      <c r="U1148" s="892" t="n">
        <f aca="false">N1148-S1148</f>
        <v>0</v>
      </c>
    </row>
    <row r="1149" customFormat="false" ht="15" hidden="false" customHeight="true" outlineLevel="0" collapsed="false">
      <c r="A1149" s="1533"/>
      <c r="B1149" s="859" t="s">
        <v>86</v>
      </c>
      <c r="C1149" s="859" t="n">
        <v>2024</v>
      </c>
      <c r="D1149" s="860" t="s">
        <v>13</v>
      </c>
      <c r="E1149" s="860" t="s">
        <v>2203</v>
      </c>
      <c r="F1149" s="860"/>
      <c r="G1149" s="861"/>
      <c r="H1149" s="980" t="n">
        <v>31.7</v>
      </c>
      <c r="I1149" s="981"/>
      <c r="J1149" s="981"/>
      <c r="K1149" s="864" t="n">
        <f aca="false">H1149*I1149/100</f>
        <v>0</v>
      </c>
      <c r="L1149" s="982" t="n">
        <v>278</v>
      </c>
      <c r="M1149" s="983" t="n">
        <v>1</v>
      </c>
      <c r="N1149" s="865" t="n">
        <f aca="false">L1149*M1149</f>
        <v>278</v>
      </c>
      <c r="O1149" s="878" t="n">
        <f aca="false">H1149*N1149</f>
        <v>8812.6</v>
      </c>
      <c r="P1149" s="868" t="s">
        <v>2200</v>
      </c>
      <c r="Q1149" s="984" t="s">
        <v>2679</v>
      </c>
      <c r="R1149" s="1147" t="n">
        <v>8812.6</v>
      </c>
      <c r="S1149" s="866" t="n">
        <f aca="false">R1149/H1149</f>
        <v>278</v>
      </c>
      <c r="T1149" s="553" t="n">
        <f aca="false">O1149-R1149</f>
        <v>0</v>
      </c>
      <c r="U1149" s="1135" t="n">
        <f aca="false">N1149-S1149</f>
        <v>0</v>
      </c>
    </row>
    <row r="1150" customFormat="false" ht="15" hidden="false" customHeight="true" outlineLevel="0" collapsed="false">
      <c r="A1150" s="1533"/>
      <c r="B1150" s="859" t="s">
        <v>86</v>
      </c>
      <c r="C1150" s="859" t="n">
        <v>2024</v>
      </c>
      <c r="D1150" s="860" t="s">
        <v>13</v>
      </c>
      <c r="E1150" s="860" t="s">
        <v>2241</v>
      </c>
      <c r="F1150" s="860"/>
      <c r="G1150" s="861"/>
      <c r="H1150" s="980" t="n">
        <v>17.5</v>
      </c>
      <c r="I1150" s="981"/>
      <c r="J1150" s="981"/>
      <c r="K1150" s="864" t="n">
        <f aca="false">H1150*I1150/100</f>
        <v>0</v>
      </c>
      <c r="L1150" s="982" t="n">
        <v>1277</v>
      </c>
      <c r="M1150" s="983" t="n">
        <v>1</v>
      </c>
      <c r="N1150" s="865" t="n">
        <f aca="false">L1150*M1150</f>
        <v>1277</v>
      </c>
      <c r="O1150" s="878" t="n">
        <f aca="false">H1150*N1150</f>
        <v>22347.5</v>
      </c>
      <c r="P1150" s="868" t="s">
        <v>2195</v>
      </c>
      <c r="Q1150" s="984" t="s">
        <v>1375</v>
      </c>
      <c r="R1150" s="1018" t="n">
        <v>22347.5</v>
      </c>
      <c r="S1150" s="866" t="n">
        <f aca="false">R1150/H1150</f>
        <v>1277</v>
      </c>
      <c r="T1150" s="553" t="n">
        <f aca="false">O1150-R1150</f>
        <v>0</v>
      </c>
      <c r="U1150" s="1135" t="n">
        <f aca="false">N1150-S1150</f>
        <v>0</v>
      </c>
    </row>
    <row r="1151" customFormat="false" ht="15" hidden="false" customHeight="true" outlineLevel="0" collapsed="false">
      <c r="A1151" s="1533"/>
      <c r="B1151" s="870" t="s">
        <v>86</v>
      </c>
      <c r="C1151" s="870" t="n">
        <v>2024</v>
      </c>
      <c r="D1151" s="871" t="s">
        <v>13</v>
      </c>
      <c r="E1151" s="871" t="s">
        <v>2205</v>
      </c>
      <c r="F1151" s="871"/>
      <c r="G1151" s="872"/>
      <c r="H1151" s="1116" t="n">
        <v>10.9</v>
      </c>
      <c r="I1151" s="1117"/>
      <c r="J1151" s="1117"/>
      <c r="K1151" s="875" t="n">
        <f aca="false">H1151*I1151/100</f>
        <v>0</v>
      </c>
      <c r="L1151" s="999" t="n">
        <v>3749</v>
      </c>
      <c r="M1151" s="1000" t="n">
        <v>1</v>
      </c>
      <c r="N1151" s="876" t="n">
        <f aca="false">L1151*M1151</f>
        <v>3749</v>
      </c>
      <c r="O1151" s="878" t="n">
        <f aca="false">H1151*N1151</f>
        <v>40864.1</v>
      </c>
      <c r="P1151" s="879" t="s">
        <v>2204</v>
      </c>
      <c r="Q1151" s="1118" t="n">
        <v>31012025</v>
      </c>
      <c r="R1151" s="1151" t="n">
        <v>40864.1</v>
      </c>
      <c r="S1151" s="890" t="n">
        <f aca="false">R1151/H1151</f>
        <v>3749</v>
      </c>
      <c r="T1151" s="553" t="n">
        <f aca="false">O1151-R1151</f>
        <v>0</v>
      </c>
      <c r="U1151" s="1293" t="n">
        <f aca="false">N1151-S1151</f>
        <v>0</v>
      </c>
    </row>
    <row r="1152" customFormat="false" ht="15" hidden="false" customHeight="true" outlineLevel="0" collapsed="false">
      <c r="A1152" s="1027" t="n">
        <v>120</v>
      </c>
      <c r="B1152" s="1028" t="s">
        <v>2207</v>
      </c>
      <c r="C1152" s="1028" t="n">
        <v>2024</v>
      </c>
      <c r="D1152" s="831" t="s">
        <v>13</v>
      </c>
      <c r="E1152" s="831" t="s">
        <v>2192</v>
      </c>
      <c r="F1152" s="1328" t="s">
        <v>1651</v>
      </c>
      <c r="G1152" s="1030"/>
      <c r="H1152" s="1031" t="n">
        <v>29.0475</v>
      </c>
      <c r="I1152" s="1032"/>
      <c r="J1152" s="1624"/>
      <c r="K1152" s="1033" t="n">
        <f aca="false">H1152*I1152/100</f>
        <v>0</v>
      </c>
      <c r="L1152" s="1034" t="n">
        <v>12965</v>
      </c>
      <c r="M1152" s="1035" t="n">
        <v>1</v>
      </c>
      <c r="N1152" s="1036" t="n">
        <f aca="false">L1152*M1152</f>
        <v>12965</v>
      </c>
      <c r="O1152" s="1547" t="n">
        <f aca="false">H1152*N1152</f>
        <v>376600.8375</v>
      </c>
      <c r="P1152" s="838" t="s">
        <v>2197</v>
      </c>
      <c r="Q1152" s="1076" t="s">
        <v>2748</v>
      </c>
      <c r="R1152" s="1145" t="n">
        <v>290184.525</v>
      </c>
      <c r="S1152" s="840" t="n">
        <f aca="false">R1152/H1152</f>
        <v>9990</v>
      </c>
      <c r="T1152" s="1547" t="n">
        <f aca="false">O1152-R1152-R1153</f>
        <v>0</v>
      </c>
      <c r="U1152" s="1037" t="n">
        <f aca="false">N1152-S1152-S1153</f>
        <v>0</v>
      </c>
    </row>
    <row r="1153" customFormat="false" ht="15" hidden="false" customHeight="true" outlineLevel="0" collapsed="false">
      <c r="A1153" s="1027"/>
      <c r="B1153" s="1028"/>
      <c r="C1153" s="1028"/>
      <c r="D1153" s="871" t="s">
        <v>13</v>
      </c>
      <c r="E1153" s="871" t="s">
        <v>2192</v>
      </c>
      <c r="F1153" s="1328"/>
      <c r="G1153" s="1030"/>
      <c r="H1153" s="1031"/>
      <c r="I1153" s="1032"/>
      <c r="J1153" s="1352"/>
      <c r="K1153" s="1033"/>
      <c r="L1153" s="1034"/>
      <c r="M1153" s="1035"/>
      <c r="N1153" s="1036"/>
      <c r="O1153" s="1547"/>
      <c r="P1153" s="879" t="s">
        <v>2197</v>
      </c>
      <c r="Q1153" s="1118" t="s">
        <v>2749</v>
      </c>
      <c r="R1153" s="1151" t="n">
        <v>86416.3125</v>
      </c>
      <c r="S1153" s="877" t="n">
        <f aca="false">R1153/H1152</f>
        <v>2975</v>
      </c>
      <c r="T1153" s="1547"/>
      <c r="U1153" s="1037"/>
    </row>
    <row r="1154" customFormat="false" ht="15" hidden="false" customHeight="true" outlineLevel="0" collapsed="false">
      <c r="A1154" s="881" t="n">
        <v>82</v>
      </c>
      <c r="B1154" s="829" t="s">
        <v>86</v>
      </c>
      <c r="C1154" s="830" t="n">
        <v>2024</v>
      </c>
      <c r="D1154" s="831" t="s">
        <v>13</v>
      </c>
      <c r="E1154" s="831" t="s">
        <v>2192</v>
      </c>
      <c r="F1154" s="832" t="s">
        <v>1650</v>
      </c>
      <c r="G1154" s="833"/>
      <c r="H1154" s="834" t="n">
        <v>87.5</v>
      </c>
      <c r="I1154" s="835"/>
      <c r="J1154" s="835"/>
      <c r="K1154" s="836" t="n">
        <f aca="false">H1154*I1154/100</f>
        <v>0</v>
      </c>
      <c r="L1154" s="1002" t="n">
        <v>4341</v>
      </c>
      <c r="M1154" s="1003" t="n">
        <v>1</v>
      </c>
      <c r="N1154" s="837" t="n">
        <f aca="false">L1154*M1154</f>
        <v>4341</v>
      </c>
      <c r="O1154" s="943" t="n">
        <f aca="false">H1154*N1154</f>
        <v>379837.5</v>
      </c>
      <c r="P1154" s="838" t="s">
        <v>2193</v>
      </c>
      <c r="Q1154" s="1076" t="s">
        <v>2750</v>
      </c>
      <c r="R1154" s="1145" t="n">
        <v>276850</v>
      </c>
      <c r="S1154" s="886" t="n">
        <f aca="false">R1154/H1154</f>
        <v>3164</v>
      </c>
      <c r="T1154" s="841" t="n">
        <f aca="false">O1154-R1154-R1155</f>
        <v>0</v>
      </c>
      <c r="U1154" s="842" t="n">
        <f aca="false">N1154-S1154-S1155</f>
        <v>0</v>
      </c>
    </row>
    <row r="1155" customFormat="false" ht="15" hidden="false" customHeight="true" outlineLevel="0" collapsed="false">
      <c r="A1155" s="881"/>
      <c r="B1155" s="829"/>
      <c r="C1155" s="830"/>
      <c r="D1155" s="887" t="s">
        <v>13</v>
      </c>
      <c r="E1155" s="887" t="s">
        <v>2192</v>
      </c>
      <c r="F1155" s="832"/>
      <c r="G1155" s="833"/>
      <c r="H1155" s="834"/>
      <c r="I1155" s="835"/>
      <c r="J1155" s="835"/>
      <c r="K1155" s="836"/>
      <c r="L1155" s="1002"/>
      <c r="M1155" s="1003"/>
      <c r="N1155" s="837"/>
      <c r="O1155" s="943"/>
      <c r="P1155" s="888" t="s">
        <v>2193</v>
      </c>
      <c r="Q1155" s="1071" t="s">
        <v>2751</v>
      </c>
      <c r="R1155" s="1146" t="n">
        <v>102987.5</v>
      </c>
      <c r="S1155" s="846" t="n">
        <f aca="false">R1155/H1154</f>
        <v>1177</v>
      </c>
      <c r="T1155" s="841"/>
      <c r="U1155" s="842"/>
    </row>
    <row r="1156" customFormat="false" ht="15" hidden="false" customHeight="true" outlineLevel="0" collapsed="false">
      <c r="A1156" s="881"/>
      <c r="B1156" s="829" t="s">
        <v>86</v>
      </c>
      <c r="C1156" s="830" t="n">
        <v>2024</v>
      </c>
      <c r="D1156" s="831" t="s">
        <v>13</v>
      </c>
      <c r="E1156" s="831" t="s">
        <v>2203</v>
      </c>
      <c r="F1156" s="830"/>
      <c r="G1156" s="833"/>
      <c r="H1156" s="834" t="n">
        <v>50.8</v>
      </c>
      <c r="I1156" s="835"/>
      <c r="J1156" s="835"/>
      <c r="K1156" s="836" t="n">
        <f aca="false">H1156*I1156/100</f>
        <v>0</v>
      </c>
      <c r="L1156" s="1002" t="n">
        <v>2952</v>
      </c>
      <c r="M1156" s="1003" t="n">
        <v>1</v>
      </c>
      <c r="N1156" s="837" t="n">
        <f aca="false">L1156*M1156</f>
        <v>2952</v>
      </c>
      <c r="O1156" s="943" t="n">
        <f aca="false">H1156*N1156</f>
        <v>149961.6</v>
      </c>
      <c r="P1156" s="838" t="s">
        <v>2232</v>
      </c>
      <c r="Q1156" s="1076" t="s">
        <v>105</v>
      </c>
      <c r="R1156" s="1145" t="n">
        <v>144678.4</v>
      </c>
      <c r="S1156" s="886" t="n">
        <f aca="false">R1156/H1156</f>
        <v>2848</v>
      </c>
      <c r="T1156" s="837" t="n">
        <f aca="false">O1156-R1156-R1157</f>
        <v>1.18234311230481E-011</v>
      </c>
      <c r="U1156" s="842" t="n">
        <f aca="false">N1156-S1156-S1157</f>
        <v>0</v>
      </c>
    </row>
    <row r="1157" customFormat="false" ht="15" hidden="false" customHeight="true" outlineLevel="0" collapsed="false">
      <c r="A1157" s="881"/>
      <c r="B1157" s="829"/>
      <c r="C1157" s="830"/>
      <c r="D1157" s="887" t="s">
        <v>13</v>
      </c>
      <c r="E1157" s="887" t="s">
        <v>2203</v>
      </c>
      <c r="F1157" s="830"/>
      <c r="G1157" s="833"/>
      <c r="H1157" s="834"/>
      <c r="I1157" s="835"/>
      <c r="J1157" s="835"/>
      <c r="K1157" s="836"/>
      <c r="L1157" s="1002"/>
      <c r="M1157" s="1003"/>
      <c r="N1157" s="837"/>
      <c r="O1157" s="943"/>
      <c r="P1157" s="888" t="s">
        <v>2200</v>
      </c>
      <c r="Q1157" s="1071" t="s">
        <v>2679</v>
      </c>
      <c r="R1157" s="1146" t="n">
        <v>5283.2</v>
      </c>
      <c r="S1157" s="846" t="n">
        <f aca="false">R1157/H1156</f>
        <v>104</v>
      </c>
      <c r="T1157" s="837"/>
      <c r="U1157" s="842"/>
    </row>
    <row r="1158" customFormat="false" ht="15" hidden="false" customHeight="true" outlineLevel="0" collapsed="false">
      <c r="A1158" s="881"/>
      <c r="B1158" s="847" t="s">
        <v>86</v>
      </c>
      <c r="C1158" s="847" t="n">
        <v>2024</v>
      </c>
      <c r="D1158" s="848" t="s">
        <v>13</v>
      </c>
      <c r="E1158" s="848" t="s">
        <v>2241</v>
      </c>
      <c r="F1158" s="848"/>
      <c r="G1158" s="849"/>
      <c r="H1158" s="949" t="n">
        <v>2.5</v>
      </c>
      <c r="I1158" s="950"/>
      <c r="J1158" s="1669"/>
      <c r="K1158" s="852" t="n">
        <f aca="false">H1158*I1158/100</f>
        <v>0</v>
      </c>
      <c r="L1158" s="1006" t="n">
        <v>2196</v>
      </c>
      <c r="M1158" s="1007" t="n">
        <v>1</v>
      </c>
      <c r="N1158" s="537" t="n">
        <f aca="false">L1158*M1158</f>
        <v>2196</v>
      </c>
      <c r="O1158" s="953" t="n">
        <f aca="false">H1158*N1158</f>
        <v>5490</v>
      </c>
      <c r="P1158" s="856" t="s">
        <v>2200</v>
      </c>
      <c r="Q1158" s="1083" t="s">
        <v>2679</v>
      </c>
      <c r="R1158" s="1144" t="n">
        <v>5490</v>
      </c>
      <c r="S1158" s="886" t="n">
        <f aca="false">R1158/H1158</f>
        <v>2196</v>
      </c>
      <c r="T1158" s="942" t="n">
        <f aca="false">O1158-R1158</f>
        <v>0</v>
      </c>
      <c r="U1158" s="892" t="n">
        <f aca="false">N1158-S1158</f>
        <v>0</v>
      </c>
    </row>
    <row r="1159" customFormat="false" ht="15" hidden="false" customHeight="true" outlineLevel="0" collapsed="false">
      <c r="A1159" s="881"/>
      <c r="B1159" s="893" t="s">
        <v>86</v>
      </c>
      <c r="C1159" s="893" t="n">
        <v>2024</v>
      </c>
      <c r="D1159" s="843" t="s">
        <v>13</v>
      </c>
      <c r="E1159" s="843" t="s">
        <v>2241</v>
      </c>
      <c r="F1159" s="843"/>
      <c r="G1159" s="894"/>
      <c r="H1159" s="1103" t="n">
        <v>0</v>
      </c>
      <c r="I1159" s="1104"/>
      <c r="J1159" s="1359"/>
      <c r="K1159" s="897" t="n">
        <f aca="false">H1159*I1159/100</f>
        <v>0</v>
      </c>
      <c r="L1159" s="1105" t="n">
        <v>673</v>
      </c>
      <c r="M1159" s="1106" t="n">
        <v>1</v>
      </c>
      <c r="N1159" s="589" t="n">
        <f aca="false">L1159*M1159</f>
        <v>673</v>
      </c>
      <c r="O1159" s="1183" t="n">
        <f aca="false">H1159*N1159</f>
        <v>0</v>
      </c>
      <c r="P1159" s="844" t="s">
        <v>2204</v>
      </c>
      <c r="Q1159" s="1085" t="n">
        <v>31012025</v>
      </c>
      <c r="R1159" s="1136"/>
      <c r="S1159" s="846" t="n">
        <v>673</v>
      </c>
      <c r="T1159" s="589" t="n">
        <f aca="false">O1159-R1159</f>
        <v>0</v>
      </c>
      <c r="U1159" s="902" t="n">
        <f aca="false">N1159-S1159</f>
        <v>0</v>
      </c>
    </row>
    <row r="1160" customFormat="false" ht="15" hidden="false" customHeight="true" outlineLevel="0" collapsed="false">
      <c r="A1160" s="882" t="n">
        <v>123</v>
      </c>
      <c r="B1160" s="883" t="s">
        <v>2207</v>
      </c>
      <c r="C1160" s="883" t="n">
        <v>2024</v>
      </c>
      <c r="D1160" s="831" t="s">
        <v>13</v>
      </c>
      <c r="E1160" s="831" t="s">
        <v>2192</v>
      </c>
      <c r="F1160" s="832" t="s">
        <v>1651</v>
      </c>
      <c r="G1160" s="833"/>
      <c r="H1160" s="834" t="n">
        <v>27.6905</v>
      </c>
      <c r="I1160" s="835"/>
      <c r="J1160" s="835"/>
      <c r="K1160" s="836" t="n">
        <f aca="false">H1160*I1160/100</f>
        <v>0</v>
      </c>
      <c r="L1160" s="1002" t="n">
        <v>9998</v>
      </c>
      <c r="M1160" s="1003" t="n">
        <v>1</v>
      </c>
      <c r="N1160" s="837" t="n">
        <f aca="false">L1160*M1160</f>
        <v>9998</v>
      </c>
      <c r="O1160" s="943" t="n">
        <f aca="false">H1160*N1160</f>
        <v>276849.619</v>
      </c>
      <c r="P1160" s="838" t="s">
        <v>2197</v>
      </c>
      <c r="Q1160" s="1076" t="s">
        <v>2752</v>
      </c>
      <c r="R1160" s="1145" t="n">
        <v>94701.51</v>
      </c>
      <c r="S1160" s="886" t="n">
        <f aca="false">R1160/H1160</f>
        <v>3420</v>
      </c>
      <c r="T1160" s="943" t="n">
        <f aca="false">O1160-R1160-R1161-R1162</f>
        <v>0</v>
      </c>
      <c r="U1160" s="842" t="n">
        <f aca="false">N1160-S1160-S1161-S1162</f>
        <v>0</v>
      </c>
    </row>
    <row r="1161" customFormat="false" ht="15" hidden="false" customHeight="true" outlineLevel="0" collapsed="false">
      <c r="A1161" s="882"/>
      <c r="B1161" s="883"/>
      <c r="C1161" s="883"/>
      <c r="D1161" s="848" t="s">
        <v>13</v>
      </c>
      <c r="E1161" s="848" t="s">
        <v>2192</v>
      </c>
      <c r="F1161" s="832"/>
      <c r="G1161" s="833"/>
      <c r="H1161" s="834"/>
      <c r="I1161" s="835"/>
      <c r="J1161" s="835"/>
      <c r="K1161" s="836"/>
      <c r="L1161" s="1002"/>
      <c r="M1161" s="1003"/>
      <c r="N1161" s="837"/>
      <c r="O1161" s="943"/>
      <c r="P1161" s="856" t="s">
        <v>2197</v>
      </c>
      <c r="Q1161" s="1083" t="s">
        <v>2753</v>
      </c>
      <c r="R1161" s="1144" t="n">
        <v>55657.905</v>
      </c>
      <c r="S1161" s="866" t="n">
        <f aca="false">R1161/H1160</f>
        <v>2010</v>
      </c>
      <c r="T1161" s="943"/>
      <c r="U1161" s="842"/>
    </row>
    <row r="1162" customFormat="false" ht="15" hidden="false" customHeight="true" outlineLevel="0" collapsed="false">
      <c r="A1162" s="882"/>
      <c r="B1162" s="883"/>
      <c r="C1162" s="883"/>
      <c r="D1162" s="887" t="s">
        <v>13</v>
      </c>
      <c r="E1162" s="887" t="s">
        <v>2192</v>
      </c>
      <c r="F1162" s="832"/>
      <c r="G1162" s="833"/>
      <c r="H1162" s="834"/>
      <c r="I1162" s="835"/>
      <c r="J1162" s="835"/>
      <c r="K1162" s="836"/>
      <c r="L1162" s="1002"/>
      <c r="M1162" s="1003"/>
      <c r="N1162" s="837"/>
      <c r="O1162" s="943"/>
      <c r="P1162" s="888" t="s">
        <v>2197</v>
      </c>
      <c r="Q1162" s="1071" t="s">
        <v>2754</v>
      </c>
      <c r="R1162" s="1146" t="n">
        <v>126490.204</v>
      </c>
      <c r="S1162" s="846" t="n">
        <f aca="false">R1162/H1160</f>
        <v>4568</v>
      </c>
      <c r="T1162" s="943"/>
      <c r="U1162" s="842"/>
    </row>
    <row r="1163" customFormat="false" ht="15" hidden="false" customHeight="true" outlineLevel="0" collapsed="false">
      <c r="A1163" s="903" t="n">
        <v>124</v>
      </c>
      <c r="B1163" s="903" t="s">
        <v>2207</v>
      </c>
      <c r="C1163" s="903" t="n">
        <v>2024</v>
      </c>
      <c r="D1163" s="904" t="s">
        <v>13</v>
      </c>
      <c r="E1163" s="904" t="s">
        <v>2192</v>
      </c>
      <c r="F1163" s="904" t="s">
        <v>1652</v>
      </c>
      <c r="G1163" s="905"/>
      <c r="H1163" s="946" t="n">
        <v>45.1106</v>
      </c>
      <c r="I1163" s="947"/>
      <c r="J1163" s="1352"/>
      <c r="K1163" s="939" t="n">
        <f aca="false">H1163*I1163/100</f>
        <v>0</v>
      </c>
      <c r="L1163" s="1022" t="n">
        <v>2283</v>
      </c>
      <c r="M1163" s="1023" t="n">
        <v>1</v>
      </c>
      <c r="N1163" s="942" t="n">
        <f aca="false">L1163*M1163</f>
        <v>2283</v>
      </c>
      <c r="O1163" s="948" t="n">
        <f aca="false">H1163*N1163</f>
        <v>102987.4998</v>
      </c>
      <c r="P1163" s="910" t="s">
        <v>2197</v>
      </c>
      <c r="Q1163" s="1068" t="s">
        <v>2755</v>
      </c>
      <c r="R1163" s="1138" t="n">
        <v>102987.4998</v>
      </c>
      <c r="S1163" s="886" t="n">
        <f aca="false">R1163/H1163</f>
        <v>2283</v>
      </c>
      <c r="T1163" s="948" t="n">
        <f aca="false">O1163-R1163</f>
        <v>0</v>
      </c>
      <c r="U1163" s="1026" t="n">
        <f aca="false">N1163-S1163</f>
        <v>0</v>
      </c>
    </row>
    <row r="1164" customFormat="false" ht="15" hidden="false" customHeight="true" outlineLevel="0" collapsed="false">
      <c r="A1164" s="881" t="n">
        <v>83</v>
      </c>
      <c r="B1164" s="882" t="s">
        <v>86</v>
      </c>
      <c r="C1164" s="883" t="n">
        <v>2024</v>
      </c>
      <c r="D1164" s="831" t="s">
        <v>13</v>
      </c>
      <c r="E1164" s="831" t="s">
        <v>2192</v>
      </c>
      <c r="F1164" s="832" t="s">
        <v>1650</v>
      </c>
      <c r="G1164" s="833"/>
      <c r="H1164" s="834" t="n">
        <v>89.6</v>
      </c>
      <c r="I1164" s="835"/>
      <c r="J1164" s="835"/>
      <c r="K1164" s="836" t="n">
        <f aca="false">H1164*I1164/100</f>
        <v>0</v>
      </c>
      <c r="L1164" s="1002" t="n">
        <v>3680</v>
      </c>
      <c r="M1164" s="1003" t="n">
        <v>1</v>
      </c>
      <c r="N1164" s="837" t="n">
        <f aca="false">L1164*M1164</f>
        <v>3680</v>
      </c>
      <c r="O1164" s="943" t="n">
        <f aca="false">H1164*N1164</f>
        <v>329728</v>
      </c>
      <c r="P1164" s="884" t="s">
        <v>2193</v>
      </c>
      <c r="Q1164" s="1084" t="s">
        <v>2756</v>
      </c>
      <c r="R1164" s="1545" t="n">
        <v>115763.2</v>
      </c>
      <c r="S1164" s="886" t="n">
        <f aca="false">R1164/H1164</f>
        <v>1292</v>
      </c>
      <c r="T1164" s="943" t="n">
        <f aca="false">O1164-R1164-R1166-R1165</f>
        <v>0</v>
      </c>
      <c r="U1164" s="842" t="n">
        <f aca="false">N1164-S1164-S1166-S1165</f>
        <v>0</v>
      </c>
    </row>
    <row r="1165" customFormat="false" ht="15" hidden="false" customHeight="true" outlineLevel="0" collapsed="false">
      <c r="A1165" s="881"/>
      <c r="B1165" s="882"/>
      <c r="C1165" s="883"/>
      <c r="D1165" s="860" t="s">
        <v>13</v>
      </c>
      <c r="E1165" s="860" t="s">
        <v>2192</v>
      </c>
      <c r="F1165" s="832"/>
      <c r="G1165" s="833"/>
      <c r="H1165" s="834"/>
      <c r="I1165" s="835"/>
      <c r="J1165" s="835"/>
      <c r="K1165" s="836"/>
      <c r="L1165" s="1002"/>
      <c r="M1165" s="1003"/>
      <c r="N1165" s="837"/>
      <c r="O1165" s="943"/>
      <c r="P1165" s="868" t="s">
        <v>2232</v>
      </c>
      <c r="Q1165" s="984" t="s">
        <v>104</v>
      </c>
      <c r="R1165" s="1147" t="n">
        <v>77772.8</v>
      </c>
      <c r="S1165" s="866" t="n">
        <f aca="false">R1165/H1164</f>
        <v>868</v>
      </c>
      <c r="T1165" s="943"/>
      <c r="U1165" s="842"/>
    </row>
    <row r="1166" customFormat="false" ht="15" hidden="false" customHeight="true" outlineLevel="0" collapsed="false">
      <c r="A1166" s="881"/>
      <c r="B1166" s="882"/>
      <c r="C1166" s="883"/>
      <c r="D1166" s="887" t="s">
        <v>13</v>
      </c>
      <c r="E1166" s="887" t="s">
        <v>2192</v>
      </c>
      <c r="F1166" s="832"/>
      <c r="G1166" s="833"/>
      <c r="H1166" s="834"/>
      <c r="I1166" s="835"/>
      <c r="J1166" s="835"/>
      <c r="K1166" s="836"/>
      <c r="L1166" s="1002"/>
      <c r="M1166" s="1003"/>
      <c r="N1166" s="837"/>
      <c r="O1166" s="943"/>
      <c r="P1166" s="888" t="s">
        <v>2193</v>
      </c>
      <c r="Q1166" s="1071" t="s">
        <v>2757</v>
      </c>
      <c r="R1166" s="1146" t="n">
        <v>136192</v>
      </c>
      <c r="S1166" s="890" t="n">
        <f aca="false">R1166/H1164</f>
        <v>1520</v>
      </c>
      <c r="T1166" s="943"/>
      <c r="U1166" s="842"/>
    </row>
    <row r="1167" customFormat="false" ht="15" hidden="false" customHeight="true" outlineLevel="0" collapsed="false">
      <c r="A1167" s="881"/>
      <c r="B1167" s="847" t="s">
        <v>86</v>
      </c>
      <c r="C1167" s="847" t="n">
        <v>2024</v>
      </c>
      <c r="D1167" s="848" t="s">
        <v>13</v>
      </c>
      <c r="E1167" s="848" t="s">
        <v>2203</v>
      </c>
      <c r="F1167" s="848"/>
      <c r="G1167" s="849"/>
      <c r="H1167" s="949" t="n">
        <v>45.3</v>
      </c>
      <c r="I1167" s="950"/>
      <c r="J1167" s="1669"/>
      <c r="K1167" s="852" t="n">
        <f aca="false">H1167*I1167/100</f>
        <v>0</v>
      </c>
      <c r="L1167" s="1006" t="n">
        <v>2221</v>
      </c>
      <c r="M1167" s="1007" t="n">
        <v>1</v>
      </c>
      <c r="N1167" s="537" t="n">
        <f aca="false">L1167*M1167</f>
        <v>2221</v>
      </c>
      <c r="O1167" s="953" t="n">
        <f aca="false">H1167*N1167</f>
        <v>100611.3</v>
      </c>
      <c r="P1167" s="856" t="s">
        <v>2232</v>
      </c>
      <c r="Q1167" s="1083" t="s">
        <v>105</v>
      </c>
      <c r="R1167" s="1144" t="n">
        <v>100611.3</v>
      </c>
      <c r="S1167" s="886" t="n">
        <f aca="false">R1167/H1167</f>
        <v>2221</v>
      </c>
      <c r="T1167" s="953" t="n">
        <f aca="false">O1167-R1167</f>
        <v>0</v>
      </c>
      <c r="U1167" s="892" t="n">
        <f aca="false">N1167-S1167</f>
        <v>0</v>
      </c>
    </row>
    <row r="1168" customFormat="false" ht="15" hidden="false" customHeight="true" outlineLevel="0" collapsed="false">
      <c r="A1168" s="881"/>
      <c r="B1168" s="859" t="s">
        <v>86</v>
      </c>
      <c r="C1168" s="859" t="n">
        <v>2024</v>
      </c>
      <c r="D1168" s="860" t="s">
        <v>13</v>
      </c>
      <c r="E1168" s="860" t="s">
        <v>2241</v>
      </c>
      <c r="F1168" s="860"/>
      <c r="G1168" s="861"/>
      <c r="H1168" s="980" t="n">
        <v>20.6</v>
      </c>
      <c r="I1168" s="981"/>
      <c r="J1168" s="1670"/>
      <c r="K1168" s="864" t="n">
        <f aca="false">H1168*I1168/100</f>
        <v>0</v>
      </c>
      <c r="L1168" s="982" t="n">
        <v>1484</v>
      </c>
      <c r="M1168" s="983" t="n">
        <v>1</v>
      </c>
      <c r="N1168" s="543" t="n">
        <f aca="false">L1168*M1168</f>
        <v>1484</v>
      </c>
      <c r="O1168" s="1449" t="n">
        <f aca="false">H1168*N1168</f>
        <v>30570.4</v>
      </c>
      <c r="P1168" s="868" t="s">
        <v>2200</v>
      </c>
      <c r="Q1168" s="984" t="s">
        <v>2679</v>
      </c>
      <c r="R1168" s="1147" t="n">
        <v>30570.4</v>
      </c>
      <c r="S1168" s="866" t="n">
        <f aca="false">R1168/H1168</f>
        <v>1484</v>
      </c>
      <c r="T1168" s="1449" t="n">
        <f aca="false">O1168-R1168</f>
        <v>0</v>
      </c>
      <c r="U1168" s="1135" t="n">
        <f aca="false">N1168-S1168</f>
        <v>0</v>
      </c>
    </row>
    <row r="1169" customFormat="false" ht="15" hidden="false" customHeight="true" outlineLevel="0" collapsed="false">
      <c r="A1169" s="881"/>
      <c r="B1169" s="893" t="s">
        <v>86</v>
      </c>
      <c r="C1169" s="893" t="n">
        <v>2024</v>
      </c>
      <c r="D1169" s="843" t="s">
        <v>13</v>
      </c>
      <c r="E1169" s="843" t="s">
        <v>2205</v>
      </c>
      <c r="F1169" s="843"/>
      <c r="G1169" s="894"/>
      <c r="H1169" s="1103" t="n">
        <v>0</v>
      </c>
      <c r="I1169" s="1104"/>
      <c r="J1169" s="1359"/>
      <c r="K1169" s="897" t="n">
        <f aca="false">H1169*I1169/100</f>
        <v>0</v>
      </c>
      <c r="L1169" s="1105" t="n">
        <v>723</v>
      </c>
      <c r="M1169" s="1106" t="n">
        <v>1</v>
      </c>
      <c r="N1169" s="589" t="n">
        <f aca="false">L1169*M1169</f>
        <v>723</v>
      </c>
      <c r="O1169" s="1183" t="n">
        <f aca="false">H1169*N1169</f>
        <v>0</v>
      </c>
      <c r="P1169" s="844" t="s">
        <v>2204</v>
      </c>
      <c r="Q1169" s="1085" t="n">
        <v>31012025</v>
      </c>
      <c r="R1169" s="1136"/>
      <c r="S1169" s="846" t="n">
        <v>723</v>
      </c>
      <c r="T1169" s="1183" t="n">
        <f aca="false">O1169-R1169</f>
        <v>0</v>
      </c>
      <c r="U1169" s="902" t="n">
        <f aca="false">N1169-S1169</f>
        <v>0</v>
      </c>
    </row>
    <row r="1170" customFormat="false" ht="15" hidden="false" customHeight="true" outlineLevel="0" collapsed="false">
      <c r="A1170" s="1027" t="n">
        <v>125</v>
      </c>
      <c r="B1170" s="1028" t="s">
        <v>2207</v>
      </c>
      <c r="C1170" s="1028" t="n">
        <v>2024</v>
      </c>
      <c r="D1170" s="831" t="s">
        <v>13</v>
      </c>
      <c r="E1170" s="831" t="s">
        <v>2192</v>
      </c>
      <c r="F1170" s="1328" t="s">
        <v>1651</v>
      </c>
      <c r="G1170" s="1030"/>
      <c r="H1170" s="1031" t="n">
        <v>27.9149</v>
      </c>
      <c r="I1170" s="1032"/>
      <c r="J1170" s="1032"/>
      <c r="K1170" s="1033" t="n">
        <f aca="false">H1170*I1170/100</f>
        <v>0</v>
      </c>
      <c r="L1170" s="1034" t="n">
        <v>4147</v>
      </c>
      <c r="M1170" s="1035" t="n">
        <v>1</v>
      </c>
      <c r="N1170" s="1036" t="n">
        <f aca="false">L1170*M1170</f>
        <v>4147</v>
      </c>
      <c r="O1170" s="1547" t="n">
        <f aca="false">H1170*N1170</f>
        <v>115763.0903</v>
      </c>
      <c r="P1170" s="838" t="s">
        <v>2197</v>
      </c>
      <c r="Q1170" s="1076" t="s">
        <v>2758</v>
      </c>
      <c r="R1170" s="1145" t="n">
        <v>56946.396</v>
      </c>
      <c r="S1170" s="886" t="n">
        <f aca="false">R1170/H1170</f>
        <v>2040</v>
      </c>
      <c r="T1170" s="1547" t="n">
        <f aca="false">O1170-R1170-R1171</f>
        <v>0</v>
      </c>
      <c r="U1170" s="1037" t="n">
        <f aca="false">N1170-S1170-S1171</f>
        <v>0</v>
      </c>
    </row>
    <row r="1171" customFormat="false" ht="15" hidden="false" customHeight="true" outlineLevel="0" collapsed="false">
      <c r="A1171" s="1027"/>
      <c r="B1171" s="1028"/>
      <c r="C1171" s="1028"/>
      <c r="D1171" s="904" t="s">
        <v>13</v>
      </c>
      <c r="E1171" s="904" t="s">
        <v>2192</v>
      </c>
      <c r="F1171" s="1328"/>
      <c r="G1171" s="1030"/>
      <c r="H1171" s="1031"/>
      <c r="I1171" s="1032"/>
      <c r="J1171" s="1032"/>
      <c r="K1171" s="1033"/>
      <c r="L1171" s="1034"/>
      <c r="M1171" s="1035"/>
      <c r="N1171" s="1036"/>
      <c r="O1171" s="1547"/>
      <c r="P1171" s="910" t="s">
        <v>2197</v>
      </c>
      <c r="Q1171" s="1068" t="s">
        <v>2759</v>
      </c>
      <c r="R1171" s="1138" t="n">
        <v>58816.6943</v>
      </c>
      <c r="S1171" s="877" t="n">
        <f aca="false">R1171/H1170</f>
        <v>2107</v>
      </c>
      <c r="T1171" s="1547"/>
      <c r="U1171" s="1037"/>
    </row>
    <row r="1172" customFormat="false" ht="15" hidden="false" customHeight="true" outlineLevel="0" collapsed="false">
      <c r="A1172" s="829" t="n">
        <v>90</v>
      </c>
      <c r="B1172" s="1173" t="s">
        <v>86</v>
      </c>
      <c r="C1172" s="1173" t="n">
        <v>2024</v>
      </c>
      <c r="D1172" s="831" t="s">
        <v>13</v>
      </c>
      <c r="E1172" s="831" t="s">
        <v>2192</v>
      </c>
      <c r="F1172" s="831" t="s">
        <v>1650</v>
      </c>
      <c r="G1172" s="1108"/>
      <c r="H1172" s="1109" t="n">
        <v>89</v>
      </c>
      <c r="I1172" s="1110"/>
      <c r="J1172" s="1110"/>
      <c r="K1172" s="1111" t="n">
        <f aca="false">H1172*I1172/100</f>
        <v>0</v>
      </c>
      <c r="L1172" s="1112" t="n">
        <v>458</v>
      </c>
      <c r="M1172" s="1113" t="n">
        <v>1</v>
      </c>
      <c r="N1172" s="1114" t="n">
        <f aca="false">L1172*M1172</f>
        <v>458</v>
      </c>
      <c r="O1172" s="1181" t="n">
        <f aca="false">H1172*N1172</f>
        <v>40762</v>
      </c>
      <c r="P1172" s="838" t="s">
        <v>2232</v>
      </c>
      <c r="Q1172" s="1076" t="s">
        <v>104</v>
      </c>
      <c r="R1172" s="1145" t="n">
        <v>40762</v>
      </c>
      <c r="S1172" s="886" t="n">
        <f aca="false">R1172/H1172</f>
        <v>458</v>
      </c>
      <c r="T1172" s="1036" t="n">
        <f aca="false">O1172-R1172</f>
        <v>0</v>
      </c>
      <c r="U1172" s="1176" t="n">
        <f aca="false">N1172-S1172</f>
        <v>0</v>
      </c>
    </row>
    <row r="1173" customFormat="false" ht="15" hidden="false" customHeight="true" outlineLevel="0" collapsed="false">
      <c r="A1173" s="829"/>
      <c r="B1173" s="859" t="s">
        <v>86</v>
      </c>
      <c r="C1173" s="859" t="n">
        <v>2024</v>
      </c>
      <c r="D1173" s="860" t="s">
        <v>13</v>
      </c>
      <c r="E1173" s="860" t="s">
        <v>2203</v>
      </c>
      <c r="F1173" s="860"/>
      <c r="G1173" s="861"/>
      <c r="H1173" s="980" t="n">
        <v>62.9</v>
      </c>
      <c r="I1173" s="981"/>
      <c r="J1173" s="981"/>
      <c r="K1173" s="864" t="n">
        <f aca="false">H1173*I1173/100</f>
        <v>0</v>
      </c>
      <c r="L1173" s="982" t="n">
        <v>532</v>
      </c>
      <c r="M1173" s="983" t="n">
        <v>1</v>
      </c>
      <c r="N1173" s="543" t="n">
        <f aca="false">L1173*M1173</f>
        <v>532</v>
      </c>
      <c r="O1173" s="1449" t="n">
        <f aca="false">H1173*N1173</f>
        <v>33462.8</v>
      </c>
      <c r="P1173" s="868" t="s">
        <v>2232</v>
      </c>
      <c r="Q1173" s="984" t="s">
        <v>105</v>
      </c>
      <c r="R1173" s="1147" t="n">
        <v>33462.8</v>
      </c>
      <c r="S1173" s="866" t="n">
        <f aca="false">R1173/H1173</f>
        <v>532</v>
      </c>
      <c r="T1173" s="553" t="n">
        <f aca="false">O1173-R1173</f>
        <v>0</v>
      </c>
      <c r="U1173" s="1135" t="n">
        <f aca="false">N1173-S1173</f>
        <v>0</v>
      </c>
    </row>
    <row r="1174" customFormat="false" ht="15" hidden="false" customHeight="true" outlineLevel="0" collapsed="false">
      <c r="A1174" s="829"/>
      <c r="B1174" s="859" t="s">
        <v>86</v>
      </c>
      <c r="C1174" s="859" t="n">
        <v>2024</v>
      </c>
      <c r="D1174" s="860" t="s">
        <v>13</v>
      </c>
      <c r="E1174" s="860" t="s">
        <v>2241</v>
      </c>
      <c r="F1174" s="860"/>
      <c r="G1174" s="861"/>
      <c r="H1174" s="980" t="n">
        <v>20.9</v>
      </c>
      <c r="I1174" s="981"/>
      <c r="J1174" s="981"/>
      <c r="K1174" s="864" t="n">
        <f aca="false">H1174*I1174/100</f>
        <v>0</v>
      </c>
      <c r="L1174" s="982" t="n">
        <v>275</v>
      </c>
      <c r="M1174" s="983" t="n">
        <v>1</v>
      </c>
      <c r="N1174" s="543" t="n">
        <f aca="false">L1174*M1174</f>
        <v>275</v>
      </c>
      <c r="O1174" s="1449" t="n">
        <f aca="false">H1174*N1174</f>
        <v>5747.5</v>
      </c>
      <c r="P1174" s="868" t="s">
        <v>2200</v>
      </c>
      <c r="Q1174" s="984" t="s">
        <v>2679</v>
      </c>
      <c r="R1174" s="1147" t="n">
        <v>5747.5</v>
      </c>
      <c r="S1174" s="866" t="n">
        <f aca="false">R1174/H1174</f>
        <v>275</v>
      </c>
      <c r="T1174" s="553" t="n">
        <f aca="false">O1174-R1174</f>
        <v>0</v>
      </c>
      <c r="U1174" s="1135" t="n">
        <f aca="false">N1174-S1174</f>
        <v>0</v>
      </c>
    </row>
    <row r="1175" customFormat="false" ht="15" hidden="false" customHeight="true" outlineLevel="0" collapsed="false">
      <c r="A1175" s="829"/>
      <c r="B1175" s="893" t="s">
        <v>86</v>
      </c>
      <c r="C1175" s="893" t="n">
        <v>2024</v>
      </c>
      <c r="D1175" s="843" t="s">
        <v>13</v>
      </c>
      <c r="E1175" s="843" t="s">
        <v>2205</v>
      </c>
      <c r="F1175" s="843"/>
      <c r="G1175" s="894"/>
      <c r="H1175" s="1103" t="n">
        <v>0</v>
      </c>
      <c r="I1175" s="1104"/>
      <c r="J1175" s="1104"/>
      <c r="K1175" s="897" t="n">
        <f aca="false">H1175*I1175/100</f>
        <v>0</v>
      </c>
      <c r="L1175" s="1105" t="n">
        <v>58</v>
      </c>
      <c r="M1175" s="1106" t="n">
        <v>1</v>
      </c>
      <c r="N1175" s="589" t="n">
        <f aca="false">L1175*M1175</f>
        <v>58</v>
      </c>
      <c r="O1175" s="1183" t="n">
        <f aca="false">H1175*N1175</f>
        <v>0</v>
      </c>
      <c r="P1175" s="844" t="s">
        <v>2200</v>
      </c>
      <c r="Q1175" s="1085" t="s">
        <v>2679</v>
      </c>
      <c r="R1175" s="1136" t="n">
        <v>0</v>
      </c>
      <c r="S1175" s="846" t="n">
        <v>58</v>
      </c>
      <c r="T1175" s="589" t="n">
        <f aca="false">O1175-R1175</f>
        <v>0</v>
      </c>
      <c r="U1175" s="902" t="n">
        <f aca="false">N1175-S1175</f>
        <v>0</v>
      </c>
    </row>
    <row r="1176" customFormat="false" ht="15" hidden="false" customHeight="true" outlineLevel="0" collapsed="false">
      <c r="A1176" s="847" t="n">
        <v>133</v>
      </c>
      <c r="B1176" s="847" t="s">
        <v>2207</v>
      </c>
      <c r="C1176" s="847" t="n">
        <v>2024</v>
      </c>
      <c r="D1176" s="848" t="s">
        <v>13</v>
      </c>
      <c r="E1176" s="848" t="s">
        <v>2192</v>
      </c>
      <c r="F1176" s="848" t="s">
        <v>1652</v>
      </c>
      <c r="G1176" s="849"/>
      <c r="H1176" s="949" t="n">
        <v>38.912</v>
      </c>
      <c r="I1176" s="950"/>
      <c r="J1176" s="950"/>
      <c r="K1176" s="852" t="n">
        <f aca="false">H1176*I1176/100</f>
        <v>0</v>
      </c>
      <c r="L1176" s="1006" t="n">
        <v>3500</v>
      </c>
      <c r="M1176" s="1007" t="n">
        <v>1</v>
      </c>
      <c r="N1176" s="537" t="n">
        <f aca="false">L1176*M1176</f>
        <v>3500</v>
      </c>
      <c r="O1176" s="953" t="n">
        <f aca="false">H1176*N1176</f>
        <v>136192</v>
      </c>
      <c r="P1176" s="856" t="s">
        <v>2197</v>
      </c>
      <c r="Q1176" s="1083" t="s">
        <v>2760</v>
      </c>
      <c r="R1176" s="1144" t="n">
        <v>136192</v>
      </c>
      <c r="S1176" s="886" t="n">
        <f aca="false">R1176/H1176</f>
        <v>3500</v>
      </c>
      <c r="T1176" s="537" t="n">
        <f aca="false">O1176-R1176</f>
        <v>0</v>
      </c>
      <c r="U1176" s="537" t="n">
        <f aca="false">N1176-S1176</f>
        <v>0</v>
      </c>
    </row>
    <row r="1177" customFormat="false" ht="15" hidden="false" customHeight="true" outlineLevel="0" collapsed="false">
      <c r="A1177" s="847" t="n">
        <v>130</v>
      </c>
      <c r="B1177" s="847" t="s">
        <v>81</v>
      </c>
      <c r="C1177" s="847" t="n">
        <v>2024</v>
      </c>
      <c r="D1177" s="848" t="s">
        <v>13</v>
      </c>
      <c r="E1177" s="848" t="s">
        <v>2192</v>
      </c>
      <c r="F1177" s="848" t="s">
        <v>2199</v>
      </c>
      <c r="G1177" s="849"/>
      <c r="H1177" s="949" t="n">
        <v>78.5</v>
      </c>
      <c r="I1177" s="950"/>
      <c r="J1177" s="950"/>
      <c r="K1177" s="852" t="n">
        <f aca="false">H1177*I1177/100</f>
        <v>0</v>
      </c>
      <c r="L1177" s="1006" t="n">
        <v>13980</v>
      </c>
      <c r="M1177" s="1007" t="n">
        <v>1</v>
      </c>
      <c r="N1177" s="537" t="n">
        <f aca="false">L1177*M1177</f>
        <v>13980</v>
      </c>
      <c r="O1177" s="953" t="n">
        <f aca="false">H1177*N1177</f>
        <v>1097430</v>
      </c>
      <c r="P1177" s="856" t="s">
        <v>2200</v>
      </c>
      <c r="Q1177" s="1083" t="s">
        <v>2761</v>
      </c>
      <c r="R1177" s="1144" t="n">
        <v>1097430</v>
      </c>
      <c r="S1177" s="866" t="n">
        <f aca="false">R1177/H1177</f>
        <v>13980</v>
      </c>
      <c r="T1177" s="537" t="n">
        <f aca="false">O1177-R1177</f>
        <v>0</v>
      </c>
      <c r="U1177" s="537" t="n">
        <f aca="false">N1177-S1177</f>
        <v>0</v>
      </c>
    </row>
    <row r="1178" customFormat="false" ht="15" hidden="false" customHeight="true" outlineLevel="0" collapsed="false">
      <c r="A1178" s="870" t="n">
        <v>40</v>
      </c>
      <c r="B1178" s="870" t="s">
        <v>2230</v>
      </c>
      <c r="C1178" s="870" t="n">
        <v>2024</v>
      </c>
      <c r="D1178" s="871" t="s">
        <v>13</v>
      </c>
      <c r="E1178" s="871" t="s">
        <v>2192</v>
      </c>
      <c r="F1178" s="871" t="s">
        <v>2199</v>
      </c>
      <c r="G1178" s="872"/>
      <c r="H1178" s="1116" t="n">
        <v>87.4229</v>
      </c>
      <c r="I1178" s="1117"/>
      <c r="J1178" s="1117"/>
      <c r="K1178" s="875" t="n">
        <f aca="false">H1178*I1178/100</f>
        <v>0</v>
      </c>
      <c r="L1178" s="999" t="n">
        <v>9375</v>
      </c>
      <c r="M1178" s="1000" t="n">
        <v>1</v>
      </c>
      <c r="N1178" s="553" t="n">
        <f aca="false">L1178*M1178</f>
        <v>9375</v>
      </c>
      <c r="O1178" s="1403" t="n">
        <f aca="false">H1178*N1178</f>
        <v>819589.6875</v>
      </c>
      <c r="P1178" s="879" t="s">
        <v>2197</v>
      </c>
      <c r="Q1178" s="1118" t="s">
        <v>2762</v>
      </c>
      <c r="R1178" s="1151" t="n">
        <v>819589.6875</v>
      </c>
      <c r="S1178" s="877" t="n">
        <f aca="false">R1178/H1178</f>
        <v>9375</v>
      </c>
      <c r="T1178" s="1403" t="n">
        <f aca="false">O1178-R1178</f>
        <v>0</v>
      </c>
      <c r="U1178" s="553" t="n">
        <f aca="false">N1178-S1178</f>
        <v>0</v>
      </c>
    </row>
    <row r="1179" customFormat="false" ht="15" hidden="false" customHeight="true" outlineLevel="0" collapsed="false">
      <c r="A1179" s="829" t="n">
        <v>100</v>
      </c>
      <c r="B1179" s="1173" t="s">
        <v>86</v>
      </c>
      <c r="C1179" s="1173" t="n">
        <v>2024</v>
      </c>
      <c r="D1179" s="831" t="s">
        <v>13</v>
      </c>
      <c r="E1179" s="831" t="s">
        <v>2192</v>
      </c>
      <c r="F1179" s="831" t="s">
        <v>1650</v>
      </c>
      <c r="G1179" s="1108"/>
      <c r="H1179" s="1109" t="n">
        <v>94.6</v>
      </c>
      <c r="I1179" s="1110"/>
      <c r="J1179" s="1110"/>
      <c r="K1179" s="1111" t="n">
        <f aca="false">H1179*I1179/100</f>
        <v>0</v>
      </c>
      <c r="L1179" s="1112" t="n">
        <v>9590</v>
      </c>
      <c r="M1179" s="1113" t="n">
        <v>1</v>
      </c>
      <c r="N1179" s="1114" t="n">
        <f aca="false">L1179*M1179</f>
        <v>9590</v>
      </c>
      <c r="O1179" s="1181" t="n">
        <f aca="false">H1179*N1179</f>
        <v>907214</v>
      </c>
      <c r="P1179" s="838" t="s">
        <v>2193</v>
      </c>
      <c r="Q1179" s="1076" t="s">
        <v>2763</v>
      </c>
      <c r="R1179" s="1145" t="n">
        <v>907214</v>
      </c>
      <c r="S1179" s="840" t="n">
        <f aca="false">R1179/H1179</f>
        <v>9590</v>
      </c>
      <c r="T1179" s="1181" t="n">
        <f aca="false">O1179-R1179</f>
        <v>0</v>
      </c>
      <c r="U1179" s="1176" t="n">
        <f aca="false">N1179-S1179</f>
        <v>0</v>
      </c>
    </row>
    <row r="1180" customFormat="false" ht="15" hidden="false" customHeight="true" outlineLevel="0" collapsed="false">
      <c r="A1180" s="829"/>
      <c r="B1180" s="859" t="s">
        <v>86</v>
      </c>
      <c r="C1180" s="859" t="n">
        <v>2024</v>
      </c>
      <c r="D1180" s="860" t="s">
        <v>13</v>
      </c>
      <c r="E1180" s="860" t="s">
        <v>2242</v>
      </c>
      <c r="F1180" s="860"/>
      <c r="G1180" s="861"/>
      <c r="H1180" s="980" t="n">
        <v>72.5</v>
      </c>
      <c r="I1180" s="981"/>
      <c r="J1180" s="981"/>
      <c r="K1180" s="864" t="n">
        <f aca="false">H1180*I1180/100</f>
        <v>0</v>
      </c>
      <c r="L1180" s="982" t="n">
        <v>399</v>
      </c>
      <c r="M1180" s="983" t="n">
        <v>1</v>
      </c>
      <c r="N1180" s="543" t="n">
        <f aca="false">L1180*M1180</f>
        <v>399</v>
      </c>
      <c r="O1180" s="1449" t="n">
        <f aca="false">H1180*N1180</f>
        <v>28927.5</v>
      </c>
      <c r="P1180" s="868" t="s">
        <v>2232</v>
      </c>
      <c r="Q1180" s="984" t="s">
        <v>2743</v>
      </c>
      <c r="R1180" s="1147" t="n">
        <v>28927.5</v>
      </c>
      <c r="S1180" s="866" t="n">
        <f aca="false">R1180/H1180</f>
        <v>399</v>
      </c>
      <c r="T1180" s="1449" t="n">
        <f aca="false">O1180-R1180</f>
        <v>0</v>
      </c>
      <c r="U1180" s="1135" t="n">
        <f aca="false">N1180-S1180</f>
        <v>0</v>
      </c>
    </row>
    <row r="1181" customFormat="false" ht="15" hidden="false" customHeight="true" outlineLevel="0" collapsed="false">
      <c r="A1181" s="829"/>
      <c r="B1181" s="859" t="s">
        <v>86</v>
      </c>
      <c r="C1181" s="859" t="n">
        <v>2024</v>
      </c>
      <c r="D1181" s="860" t="s">
        <v>13</v>
      </c>
      <c r="E1181" s="860" t="s">
        <v>2203</v>
      </c>
      <c r="F1181" s="860"/>
      <c r="G1181" s="861"/>
      <c r="H1181" s="980" t="n">
        <v>41</v>
      </c>
      <c r="I1181" s="981"/>
      <c r="J1181" s="981"/>
      <c r="K1181" s="864" t="n">
        <f aca="false">H1181*I1181/100</f>
        <v>0</v>
      </c>
      <c r="L1181" s="982" t="n">
        <v>961</v>
      </c>
      <c r="M1181" s="983" t="n">
        <v>1</v>
      </c>
      <c r="N1181" s="543" t="n">
        <f aca="false">L1181*M1181</f>
        <v>961</v>
      </c>
      <c r="O1181" s="1449" t="n">
        <f aca="false">H1181*N1181</f>
        <v>39401</v>
      </c>
      <c r="P1181" s="868" t="s">
        <v>2200</v>
      </c>
      <c r="Q1181" s="984" t="s">
        <v>2679</v>
      </c>
      <c r="R1181" s="1147" t="n">
        <v>39401</v>
      </c>
      <c r="S1181" s="866" t="n">
        <f aca="false">R1181/H1181</f>
        <v>961</v>
      </c>
      <c r="T1181" s="1449" t="n">
        <f aca="false">O1181-R1181</f>
        <v>0</v>
      </c>
      <c r="U1181" s="1135" t="n">
        <f aca="false">N1181-S1181</f>
        <v>0</v>
      </c>
    </row>
    <row r="1182" customFormat="false" ht="15" hidden="false" customHeight="true" outlineLevel="0" collapsed="false">
      <c r="A1182" s="829"/>
      <c r="B1182" s="859" t="s">
        <v>86</v>
      </c>
      <c r="C1182" s="859" t="n">
        <v>2024</v>
      </c>
      <c r="D1182" s="860" t="s">
        <v>13</v>
      </c>
      <c r="E1182" s="860" t="s">
        <v>2241</v>
      </c>
      <c r="F1182" s="860"/>
      <c r="G1182" s="861"/>
      <c r="H1182" s="980" t="n">
        <v>10.6</v>
      </c>
      <c r="I1182" s="981"/>
      <c r="J1182" s="981"/>
      <c r="K1182" s="864" t="n">
        <f aca="false">H1182*I1182/100</f>
        <v>0</v>
      </c>
      <c r="L1182" s="982" t="n">
        <v>755</v>
      </c>
      <c r="M1182" s="983" t="n">
        <v>1</v>
      </c>
      <c r="N1182" s="543" t="n">
        <f aca="false">L1182*M1182</f>
        <v>755</v>
      </c>
      <c r="O1182" s="1449" t="n">
        <f aca="false">H1182*N1182</f>
        <v>8003</v>
      </c>
      <c r="P1182" s="868" t="s">
        <v>2204</v>
      </c>
      <c r="Q1182" s="984" t="n">
        <v>31012025</v>
      </c>
      <c r="R1182" s="1147" t="n">
        <v>8003</v>
      </c>
      <c r="S1182" s="866" t="n">
        <f aca="false">R1182/H1182</f>
        <v>755</v>
      </c>
      <c r="T1182" s="1449" t="n">
        <f aca="false">O1182-R1182</f>
        <v>0</v>
      </c>
      <c r="U1182" s="1135" t="n">
        <f aca="false">N1182-S1182</f>
        <v>0</v>
      </c>
    </row>
    <row r="1183" customFormat="false" ht="15" hidden="false" customHeight="true" outlineLevel="0" collapsed="false">
      <c r="A1183" s="829"/>
      <c r="B1183" s="893" t="s">
        <v>86</v>
      </c>
      <c r="C1183" s="893" t="n">
        <v>2024</v>
      </c>
      <c r="D1183" s="843" t="s">
        <v>13</v>
      </c>
      <c r="E1183" s="843" t="s">
        <v>2205</v>
      </c>
      <c r="F1183" s="843"/>
      <c r="G1183" s="894"/>
      <c r="H1183" s="1103" t="n">
        <v>18.4</v>
      </c>
      <c r="I1183" s="1104"/>
      <c r="J1183" s="1104"/>
      <c r="K1183" s="897" t="n">
        <f aca="false">H1183*I1183/100</f>
        <v>0</v>
      </c>
      <c r="L1183" s="1105" t="n">
        <v>2088</v>
      </c>
      <c r="M1183" s="1106" t="n">
        <v>1</v>
      </c>
      <c r="N1183" s="589" t="n">
        <f aca="false">L1183*M1183</f>
        <v>2088</v>
      </c>
      <c r="O1183" s="1183" t="n">
        <f aca="false">H1183*N1183</f>
        <v>38419.2</v>
      </c>
      <c r="P1183" s="844" t="s">
        <v>2200</v>
      </c>
      <c r="Q1183" s="1085" t="s">
        <v>2679</v>
      </c>
      <c r="R1183" s="1136" t="n">
        <v>38419.2</v>
      </c>
      <c r="S1183" s="846" t="n">
        <f aca="false">R1183/H1183</f>
        <v>2088</v>
      </c>
      <c r="T1183" s="1183" t="n">
        <f aca="false">O1183-R1183</f>
        <v>0</v>
      </c>
      <c r="U1183" s="902" t="n">
        <f aca="false">N1183-S1183</f>
        <v>0</v>
      </c>
    </row>
    <row r="1184" customFormat="false" ht="15" hidden="false" customHeight="true" outlineLevel="0" collapsed="false">
      <c r="A1184" s="829" t="n">
        <v>140</v>
      </c>
      <c r="B1184" s="830" t="s">
        <v>2207</v>
      </c>
      <c r="C1184" s="830" t="n">
        <v>2024</v>
      </c>
      <c r="D1184" s="1328" t="s">
        <v>13</v>
      </c>
      <c r="E1184" s="1328" t="s">
        <v>2192</v>
      </c>
      <c r="F1184" s="832" t="s">
        <v>1651</v>
      </c>
      <c r="G1184" s="833"/>
      <c r="H1184" s="834" t="n">
        <v>36.3379</v>
      </c>
      <c r="I1184" s="835"/>
      <c r="J1184" s="835"/>
      <c r="K1184" s="836" t="n">
        <f aca="false">H1184*I1184/100</f>
        <v>0</v>
      </c>
      <c r="L1184" s="1002" t="n">
        <v>24966</v>
      </c>
      <c r="M1184" s="1003" t="n">
        <v>1</v>
      </c>
      <c r="N1184" s="837" t="n">
        <f aca="false">L1184*M1184</f>
        <v>24966</v>
      </c>
      <c r="O1184" s="943" t="n">
        <f aca="false">H1184*N1184</f>
        <v>907212.0114</v>
      </c>
      <c r="P1184" s="884" t="s">
        <v>2197</v>
      </c>
      <c r="Q1184" s="1084" t="s">
        <v>2764</v>
      </c>
      <c r="R1184" s="1545" t="n">
        <v>141172.7415</v>
      </c>
      <c r="S1184" s="886" t="n">
        <f aca="false">R1184/H1184</f>
        <v>3885</v>
      </c>
      <c r="T1184" s="837" t="n">
        <f aca="false">O1184-R1184-R1185-R1187-R1188-R1186</f>
        <v>-1.09139364212751E-010</v>
      </c>
      <c r="U1184" s="842" t="n">
        <f aca="false">N1184-S1184-S1185-S1187-S1188-S1186</f>
        <v>-2.04636307898909E-012</v>
      </c>
    </row>
    <row r="1185" customFormat="false" ht="15" hidden="false" customHeight="true" outlineLevel="0" collapsed="false">
      <c r="A1185" s="829"/>
      <c r="B1185" s="830"/>
      <c r="C1185" s="830"/>
      <c r="D1185" s="871" t="s">
        <v>13</v>
      </c>
      <c r="E1185" s="871" t="s">
        <v>2192</v>
      </c>
      <c r="F1185" s="832"/>
      <c r="G1185" s="833"/>
      <c r="H1185" s="834"/>
      <c r="I1185" s="835"/>
      <c r="J1185" s="835"/>
      <c r="K1185" s="836"/>
      <c r="L1185" s="1002"/>
      <c r="M1185" s="1003"/>
      <c r="N1185" s="837"/>
      <c r="O1185" s="943"/>
      <c r="P1185" s="879" t="s">
        <v>2197</v>
      </c>
      <c r="Q1185" s="1118" t="s">
        <v>2765</v>
      </c>
      <c r="R1185" s="1151" t="n">
        <v>16352.055</v>
      </c>
      <c r="S1185" s="877" t="n">
        <f aca="false">R1185/H1184</f>
        <v>450</v>
      </c>
      <c r="T1185" s="837"/>
      <c r="U1185" s="842"/>
    </row>
    <row r="1186" customFormat="false" ht="15" hidden="false" customHeight="true" outlineLevel="0" collapsed="false">
      <c r="A1186" s="829"/>
      <c r="B1186" s="830"/>
      <c r="C1186" s="830"/>
      <c r="D1186" s="871" t="s">
        <v>13</v>
      </c>
      <c r="E1186" s="871" t="s">
        <v>2192</v>
      </c>
      <c r="F1186" s="832"/>
      <c r="G1186" s="833"/>
      <c r="H1186" s="834"/>
      <c r="I1186" s="835"/>
      <c r="J1186" s="835"/>
      <c r="K1186" s="836"/>
      <c r="L1186" s="1002"/>
      <c r="M1186" s="1003"/>
      <c r="N1186" s="837"/>
      <c r="O1186" s="943"/>
      <c r="P1186" s="879" t="s">
        <v>2197</v>
      </c>
      <c r="Q1186" s="1118" t="s">
        <v>2766</v>
      </c>
      <c r="R1186" s="1151" t="n">
        <v>37827.7539</v>
      </c>
      <c r="S1186" s="877" t="n">
        <f aca="false">R1186/H1184</f>
        <v>1041</v>
      </c>
      <c r="T1186" s="837"/>
      <c r="U1186" s="842"/>
    </row>
    <row r="1187" customFormat="false" ht="15" hidden="false" customHeight="true" outlineLevel="0" collapsed="false">
      <c r="A1187" s="829"/>
      <c r="B1187" s="830"/>
      <c r="C1187" s="830"/>
      <c r="D1187" s="871" t="s">
        <v>13</v>
      </c>
      <c r="E1187" s="871" t="s">
        <v>2192</v>
      </c>
      <c r="F1187" s="832"/>
      <c r="G1187" s="833"/>
      <c r="H1187" s="834"/>
      <c r="I1187" s="835"/>
      <c r="J1187" s="835"/>
      <c r="K1187" s="836"/>
      <c r="L1187" s="1002"/>
      <c r="M1187" s="1003"/>
      <c r="N1187" s="837"/>
      <c r="O1187" s="943"/>
      <c r="P1187" s="879" t="s">
        <v>2197</v>
      </c>
      <c r="Q1187" s="1118" t="s">
        <v>2767</v>
      </c>
      <c r="R1187" s="1151" t="n">
        <v>348843.84</v>
      </c>
      <c r="S1187" s="877" t="n">
        <f aca="false">R1187/H1184</f>
        <v>9600</v>
      </c>
      <c r="T1187" s="837"/>
      <c r="U1187" s="842"/>
    </row>
    <row r="1188" customFormat="false" ht="15" hidden="false" customHeight="true" outlineLevel="0" collapsed="false">
      <c r="A1188" s="829"/>
      <c r="B1188" s="830"/>
      <c r="C1188" s="830"/>
      <c r="D1188" s="843" t="s">
        <v>13</v>
      </c>
      <c r="E1188" s="843" t="s">
        <v>2192</v>
      </c>
      <c r="F1188" s="832"/>
      <c r="G1188" s="833"/>
      <c r="H1188" s="834"/>
      <c r="I1188" s="835"/>
      <c r="J1188" s="835"/>
      <c r="K1188" s="836"/>
      <c r="L1188" s="1002"/>
      <c r="M1188" s="1003"/>
      <c r="N1188" s="837"/>
      <c r="O1188" s="943"/>
      <c r="P1188" s="844" t="s">
        <v>2197</v>
      </c>
      <c r="Q1188" s="1085" t="s">
        <v>2768</v>
      </c>
      <c r="R1188" s="1136" t="n">
        <v>363015.621</v>
      </c>
      <c r="S1188" s="846" t="n">
        <f aca="false">R1188/H1184</f>
        <v>9990</v>
      </c>
      <c r="T1188" s="837"/>
      <c r="U1188" s="842"/>
    </row>
    <row r="1189" customFormat="false" ht="15" hidden="false" customHeight="true" outlineLevel="0" collapsed="false">
      <c r="A1189" s="903" t="n">
        <v>153</v>
      </c>
      <c r="B1189" s="903" t="s">
        <v>81</v>
      </c>
      <c r="C1189" s="903" t="n">
        <v>2024</v>
      </c>
      <c r="D1189" s="904" t="s">
        <v>13</v>
      </c>
      <c r="E1189" s="904" t="s">
        <v>2192</v>
      </c>
      <c r="F1189" s="904" t="s">
        <v>2199</v>
      </c>
      <c r="G1189" s="905"/>
      <c r="H1189" s="946" t="n">
        <v>76.6</v>
      </c>
      <c r="I1189" s="947"/>
      <c r="J1189" s="947"/>
      <c r="K1189" s="939" t="n">
        <f aca="false">H1189*I1189/100</f>
        <v>0</v>
      </c>
      <c r="L1189" s="1022" t="n">
        <v>12420</v>
      </c>
      <c r="M1189" s="1023" t="n">
        <v>1</v>
      </c>
      <c r="N1189" s="942" t="n">
        <f aca="false">L1189*M1189</f>
        <v>12420</v>
      </c>
      <c r="O1189" s="948" t="n">
        <f aca="false">H1189*N1189</f>
        <v>951372</v>
      </c>
      <c r="P1189" s="910" t="s">
        <v>2200</v>
      </c>
      <c r="Q1189" s="1068" t="s">
        <v>2769</v>
      </c>
      <c r="R1189" s="1138" t="n">
        <v>951372</v>
      </c>
      <c r="S1189" s="891" t="n">
        <f aca="false">R1189/H1189</f>
        <v>12420</v>
      </c>
      <c r="T1189" s="948" t="n">
        <f aca="false">O1189-R1189</f>
        <v>0</v>
      </c>
      <c r="U1189" s="942" t="n">
        <f aca="false">N1189-S1189</f>
        <v>0</v>
      </c>
    </row>
    <row r="1190" customFormat="false" ht="15" hidden="false" customHeight="true" outlineLevel="0" collapsed="false">
      <c r="A1190" s="881" t="n">
        <v>118</v>
      </c>
      <c r="B1190" s="882" t="s">
        <v>86</v>
      </c>
      <c r="C1190" s="883" t="n">
        <v>2024</v>
      </c>
      <c r="D1190" s="831" t="s">
        <v>13</v>
      </c>
      <c r="E1190" s="831" t="s">
        <v>2192</v>
      </c>
      <c r="F1190" s="832" t="s">
        <v>1650</v>
      </c>
      <c r="G1190" s="833"/>
      <c r="H1190" s="834" t="n">
        <v>97.7</v>
      </c>
      <c r="I1190" s="835"/>
      <c r="J1190" s="835"/>
      <c r="K1190" s="836" t="n">
        <f aca="false">H1190*I1190/100</f>
        <v>0</v>
      </c>
      <c r="L1190" s="1002" t="n">
        <v>7686</v>
      </c>
      <c r="M1190" s="1003" t="n">
        <v>1</v>
      </c>
      <c r="N1190" s="837" t="n">
        <f aca="false">L1190*M1190</f>
        <v>7686</v>
      </c>
      <c r="O1190" s="943" t="n">
        <f aca="false">H1190*N1190</f>
        <v>750922.2</v>
      </c>
      <c r="P1190" s="838" t="s">
        <v>2193</v>
      </c>
      <c r="Q1190" s="1076" t="s">
        <v>2770</v>
      </c>
      <c r="R1190" s="1145" t="n">
        <v>244250</v>
      </c>
      <c r="S1190" s="840" t="n">
        <f aca="false">R1190/H1190</f>
        <v>2500</v>
      </c>
      <c r="T1190" s="943" t="n">
        <f aca="false">O1190-R1190-R1191-R1192</f>
        <v>0</v>
      </c>
      <c r="U1190" s="842" t="n">
        <f aca="false">N1190-S1190-S1191-S1192</f>
        <v>0</v>
      </c>
    </row>
    <row r="1191" customFormat="false" ht="15" hidden="false" customHeight="true" outlineLevel="0" collapsed="false">
      <c r="A1191" s="881"/>
      <c r="B1191" s="882"/>
      <c r="C1191" s="883"/>
      <c r="D1191" s="860" t="s">
        <v>13</v>
      </c>
      <c r="E1191" s="860" t="s">
        <v>2192</v>
      </c>
      <c r="F1191" s="832"/>
      <c r="G1191" s="833"/>
      <c r="H1191" s="834"/>
      <c r="I1191" s="835"/>
      <c r="J1191" s="835"/>
      <c r="K1191" s="836"/>
      <c r="L1191" s="1002"/>
      <c r="M1191" s="1003"/>
      <c r="N1191" s="837"/>
      <c r="O1191" s="943"/>
      <c r="P1191" s="868" t="s">
        <v>2193</v>
      </c>
      <c r="Q1191" s="984" t="s">
        <v>2771</v>
      </c>
      <c r="R1191" s="1147" t="n">
        <v>219825</v>
      </c>
      <c r="S1191" s="854" t="n">
        <f aca="false">R1191/H1190</f>
        <v>2250</v>
      </c>
      <c r="T1191" s="943"/>
      <c r="U1191" s="842"/>
    </row>
    <row r="1192" customFormat="false" ht="15" hidden="false" customHeight="true" outlineLevel="0" collapsed="false">
      <c r="A1192" s="881"/>
      <c r="B1192" s="882"/>
      <c r="C1192" s="883"/>
      <c r="D1192" s="843" t="s">
        <v>13</v>
      </c>
      <c r="E1192" s="843" t="s">
        <v>2192</v>
      </c>
      <c r="F1192" s="832"/>
      <c r="G1192" s="833"/>
      <c r="H1192" s="834"/>
      <c r="I1192" s="835"/>
      <c r="J1192" s="835"/>
      <c r="K1192" s="836"/>
      <c r="L1192" s="1002"/>
      <c r="M1192" s="1003"/>
      <c r="N1192" s="837"/>
      <c r="O1192" s="943"/>
      <c r="P1192" s="844" t="s">
        <v>2193</v>
      </c>
      <c r="Q1192" s="1085" t="s">
        <v>2772</v>
      </c>
      <c r="R1192" s="1136" t="n">
        <v>286847.2</v>
      </c>
      <c r="S1192" s="890" t="n">
        <f aca="false">R1192/H1190</f>
        <v>2936</v>
      </c>
      <c r="T1192" s="943"/>
      <c r="U1192" s="842"/>
    </row>
    <row r="1193" customFormat="false" ht="15" hidden="false" customHeight="true" outlineLevel="0" collapsed="false">
      <c r="A1193" s="881"/>
      <c r="B1193" s="847" t="s">
        <v>86</v>
      </c>
      <c r="C1193" s="847" t="n">
        <v>2024</v>
      </c>
      <c r="D1193" s="848" t="s">
        <v>13</v>
      </c>
      <c r="E1193" s="848" t="s">
        <v>2242</v>
      </c>
      <c r="F1193" s="848"/>
      <c r="G1193" s="849"/>
      <c r="H1193" s="949" t="n">
        <v>53.3</v>
      </c>
      <c r="I1193" s="950"/>
      <c r="J1193" s="950"/>
      <c r="K1193" s="852" t="n">
        <f aca="false">H1193*I1193/100</f>
        <v>0</v>
      </c>
      <c r="L1193" s="1006" t="n">
        <v>125</v>
      </c>
      <c r="M1193" s="1007" t="n">
        <v>1</v>
      </c>
      <c r="N1193" s="537" t="n">
        <f aca="false">L1193*M1193</f>
        <v>125</v>
      </c>
      <c r="O1193" s="953" t="n">
        <f aca="false">H1193*N1193</f>
        <v>6662.5</v>
      </c>
      <c r="P1193" s="856" t="s">
        <v>2200</v>
      </c>
      <c r="Q1193" s="1083" t="s">
        <v>2679</v>
      </c>
      <c r="R1193" s="1144" t="n">
        <v>6662.5</v>
      </c>
      <c r="S1193" s="854" t="n">
        <f aca="false">R1193/H1193</f>
        <v>125</v>
      </c>
      <c r="T1193" s="953" t="n">
        <f aca="false">O1193-R1193</f>
        <v>0</v>
      </c>
      <c r="U1193" s="892" t="n">
        <f aca="false">N1193-S1193</f>
        <v>0</v>
      </c>
    </row>
    <row r="1194" customFormat="false" ht="15" hidden="false" customHeight="true" outlineLevel="0" collapsed="false">
      <c r="A1194" s="881"/>
      <c r="B1194" s="859" t="s">
        <v>86</v>
      </c>
      <c r="C1194" s="859" t="n">
        <v>2024</v>
      </c>
      <c r="D1194" s="860" t="s">
        <v>13</v>
      </c>
      <c r="E1194" s="860" t="s">
        <v>2203</v>
      </c>
      <c r="F1194" s="860"/>
      <c r="G1194" s="861"/>
      <c r="H1194" s="980" t="n">
        <v>61</v>
      </c>
      <c r="I1194" s="981"/>
      <c r="J1194" s="981"/>
      <c r="K1194" s="852" t="n">
        <f aca="false">H1194*I1194/100</f>
        <v>0</v>
      </c>
      <c r="L1194" s="982" t="n">
        <v>1747</v>
      </c>
      <c r="M1194" s="983" t="n">
        <v>1</v>
      </c>
      <c r="N1194" s="537" t="n">
        <f aca="false">L1194*M1194</f>
        <v>1747</v>
      </c>
      <c r="O1194" s="953" t="n">
        <f aca="false">H1194*N1194</f>
        <v>106567</v>
      </c>
      <c r="P1194" s="868" t="s">
        <v>2200</v>
      </c>
      <c r="Q1194" s="984" t="s">
        <v>2679</v>
      </c>
      <c r="R1194" s="1147" t="n">
        <v>106567</v>
      </c>
      <c r="S1194" s="854" t="n">
        <f aca="false">R1194/H1194</f>
        <v>1747</v>
      </c>
      <c r="T1194" s="1449" t="n">
        <f aca="false">O1194-R1194</f>
        <v>0</v>
      </c>
      <c r="U1194" s="1135" t="n">
        <f aca="false">N1194-S1194</f>
        <v>0</v>
      </c>
    </row>
    <row r="1195" customFormat="false" ht="15" hidden="false" customHeight="true" outlineLevel="0" collapsed="false">
      <c r="A1195" s="881"/>
      <c r="B1195" s="859" t="s">
        <v>86</v>
      </c>
      <c r="C1195" s="859" t="n">
        <v>2024</v>
      </c>
      <c r="D1195" s="860" t="s">
        <v>13</v>
      </c>
      <c r="E1195" s="860" t="s">
        <v>2241</v>
      </c>
      <c r="F1195" s="860"/>
      <c r="G1195" s="861"/>
      <c r="H1195" s="980" t="n">
        <v>14.6</v>
      </c>
      <c r="I1195" s="981"/>
      <c r="J1195" s="981"/>
      <c r="K1195" s="852" t="n">
        <f aca="false">H1195*I1195/100</f>
        <v>0</v>
      </c>
      <c r="L1195" s="982" t="n">
        <v>950</v>
      </c>
      <c r="M1195" s="983" t="n">
        <v>1</v>
      </c>
      <c r="N1195" s="537" t="n">
        <f aca="false">L1195*M1195</f>
        <v>950</v>
      </c>
      <c r="O1195" s="953" t="n">
        <f aca="false">H1195*N1195</f>
        <v>13870</v>
      </c>
      <c r="P1195" s="868" t="s">
        <v>2200</v>
      </c>
      <c r="Q1195" s="984" t="s">
        <v>2679</v>
      </c>
      <c r="R1195" s="1147" t="n">
        <v>13870</v>
      </c>
      <c r="S1195" s="854" t="n">
        <f aca="false">R1195/H1195</f>
        <v>950</v>
      </c>
      <c r="T1195" s="1449" t="n">
        <f aca="false">O1195-R1195</f>
        <v>0</v>
      </c>
      <c r="U1195" s="1135" t="n">
        <f aca="false">N1195-S1195</f>
        <v>0</v>
      </c>
    </row>
    <row r="1196" customFormat="false" ht="15" hidden="false" customHeight="true" outlineLevel="0" collapsed="false">
      <c r="A1196" s="881"/>
      <c r="B1196" s="893" t="s">
        <v>86</v>
      </c>
      <c r="C1196" s="893" t="n">
        <v>2024</v>
      </c>
      <c r="D1196" s="843" t="s">
        <v>13</v>
      </c>
      <c r="E1196" s="843" t="s">
        <v>2205</v>
      </c>
      <c r="F1196" s="843"/>
      <c r="G1196" s="894"/>
      <c r="H1196" s="1103" t="n">
        <v>1</v>
      </c>
      <c r="I1196" s="1104"/>
      <c r="J1196" s="1104"/>
      <c r="K1196" s="1064" t="n">
        <f aca="false">H1196*I1196/100</f>
        <v>0</v>
      </c>
      <c r="L1196" s="1105" t="n">
        <v>1365</v>
      </c>
      <c r="M1196" s="1106" t="n">
        <v>1</v>
      </c>
      <c r="N1196" s="1067" t="n">
        <f aca="false">L1196*M1196</f>
        <v>1365</v>
      </c>
      <c r="O1196" s="1452" t="n">
        <f aca="false">H1196*N1196</f>
        <v>1365</v>
      </c>
      <c r="P1196" s="844" t="s">
        <v>2204</v>
      </c>
      <c r="Q1196" s="1085" t="n">
        <v>28022025</v>
      </c>
      <c r="R1196" s="1136" t="n">
        <v>1365</v>
      </c>
      <c r="S1196" s="890" t="n">
        <f aca="false">R1196/H1196</f>
        <v>1365</v>
      </c>
      <c r="T1196" s="1183" t="n">
        <f aca="false">O1196-R1196</f>
        <v>0</v>
      </c>
      <c r="U1196" s="902" t="n">
        <f aca="false">N1196-S1196</f>
        <v>0</v>
      </c>
    </row>
    <row r="1197" customFormat="false" ht="15" hidden="false" customHeight="true" outlineLevel="0" collapsed="false">
      <c r="A1197" s="847" t="n">
        <v>161</v>
      </c>
      <c r="B1197" s="847" t="s">
        <v>2207</v>
      </c>
      <c r="C1197" s="847" t="n">
        <v>2024</v>
      </c>
      <c r="D1197" s="848" t="s">
        <v>13</v>
      </c>
      <c r="E1197" s="848" t="s">
        <v>2192</v>
      </c>
      <c r="F1197" s="848" t="s">
        <v>1651</v>
      </c>
      <c r="G1197" s="849"/>
      <c r="H1197" s="949" t="n">
        <v>27.321</v>
      </c>
      <c r="I1197" s="950"/>
      <c r="J1197" s="950"/>
      <c r="K1197" s="852" t="n">
        <f aca="false">H1197*I1197/100</f>
        <v>0</v>
      </c>
      <c r="L1197" s="1006" t="n">
        <v>8940</v>
      </c>
      <c r="M1197" s="1007" t="n">
        <v>1</v>
      </c>
      <c r="N1197" s="537" t="n">
        <f aca="false">L1197*M1197</f>
        <v>8940</v>
      </c>
      <c r="O1197" s="953" t="n">
        <f aca="false">H1197*N1197</f>
        <v>244249.74</v>
      </c>
      <c r="P1197" s="856" t="s">
        <v>2197</v>
      </c>
      <c r="Q1197" s="1083" t="s">
        <v>2773</v>
      </c>
      <c r="R1197" s="1144" t="n">
        <v>244249.74</v>
      </c>
      <c r="S1197" s="891" t="n">
        <f aca="false">R1197/H1197</f>
        <v>8940</v>
      </c>
      <c r="T1197" s="953" t="n">
        <f aca="false">O1197-R1197</f>
        <v>0</v>
      </c>
      <c r="U1197" s="537" t="n">
        <f aca="false">N1197-S1197</f>
        <v>0</v>
      </c>
    </row>
    <row r="1198" customFormat="false" ht="15" hidden="false" customHeight="true" outlineLevel="0" collapsed="false">
      <c r="A1198" s="870" t="n">
        <v>162</v>
      </c>
      <c r="B1198" s="870" t="s">
        <v>2207</v>
      </c>
      <c r="C1198" s="870" t="n">
        <v>2024</v>
      </c>
      <c r="D1198" s="871" t="s">
        <v>13</v>
      </c>
      <c r="E1198" s="871" t="s">
        <v>2192</v>
      </c>
      <c r="F1198" s="871" t="s">
        <v>1651</v>
      </c>
      <c r="G1198" s="872"/>
      <c r="H1198" s="1116" t="n">
        <v>37.7706</v>
      </c>
      <c r="I1198" s="1117"/>
      <c r="J1198" s="1117"/>
      <c r="K1198" s="939" t="n">
        <f aca="false">H1198*I1198/100</f>
        <v>0</v>
      </c>
      <c r="L1198" s="999" t="n">
        <v>5820</v>
      </c>
      <c r="M1198" s="1000" t="n">
        <v>1</v>
      </c>
      <c r="N1198" s="942" t="n">
        <f aca="false">L1198*M1198</f>
        <v>5820</v>
      </c>
      <c r="O1198" s="948" t="n">
        <f aca="false">H1198*N1198</f>
        <v>219824.892</v>
      </c>
      <c r="P1198" s="879" t="s">
        <v>2197</v>
      </c>
      <c r="Q1198" s="1118" t="s">
        <v>2774</v>
      </c>
      <c r="R1198" s="1151" t="n">
        <v>219824.892</v>
      </c>
      <c r="S1198" s="877" t="n">
        <f aca="false">R1198/H1198</f>
        <v>5820</v>
      </c>
      <c r="T1198" s="948" t="n">
        <f aca="false">O1198-R1198</f>
        <v>0</v>
      </c>
      <c r="U1198" s="942" t="n">
        <f aca="false">N1198-S1198</f>
        <v>0</v>
      </c>
    </row>
    <row r="1199" customFormat="false" ht="15" hidden="false" customHeight="true" outlineLevel="0" collapsed="false">
      <c r="A1199" s="829" t="n">
        <v>163</v>
      </c>
      <c r="B1199" s="830" t="s">
        <v>2207</v>
      </c>
      <c r="C1199" s="830" t="n">
        <v>2024</v>
      </c>
      <c r="D1199" s="831" t="s">
        <v>13</v>
      </c>
      <c r="E1199" s="831" t="s">
        <v>2192</v>
      </c>
      <c r="F1199" s="1119" t="s">
        <v>1651</v>
      </c>
      <c r="G1199" s="833"/>
      <c r="H1199" s="834" t="n">
        <v>27.9034</v>
      </c>
      <c r="I1199" s="835"/>
      <c r="J1199" s="835"/>
      <c r="K1199" s="836" t="n">
        <f aca="false">H1199*I1199/100</f>
        <v>0</v>
      </c>
      <c r="L1199" s="1002" t="n">
        <v>10280</v>
      </c>
      <c r="M1199" s="1003" t="n">
        <v>1</v>
      </c>
      <c r="N1199" s="837" t="n">
        <f aca="false">L1199*M1199</f>
        <v>10280</v>
      </c>
      <c r="O1199" s="943" t="n">
        <f aca="false">H1199*N1199</f>
        <v>286846.952</v>
      </c>
      <c r="P1199" s="838" t="s">
        <v>2197</v>
      </c>
      <c r="Q1199" s="1076" t="s">
        <v>2775</v>
      </c>
      <c r="R1199" s="1145" t="n">
        <v>278754.966</v>
      </c>
      <c r="S1199" s="840" t="n">
        <f aca="false">R1199/H1199</f>
        <v>9990</v>
      </c>
      <c r="T1199" s="837" t="n">
        <f aca="false">O1199-R1199-R1200</f>
        <v>-2.45563569478691E-011</v>
      </c>
      <c r="U1199" s="842" t="n">
        <f aca="false">N1199-S1199-S1200</f>
        <v>0</v>
      </c>
    </row>
    <row r="1200" customFormat="false" ht="15" hidden="false" customHeight="true" outlineLevel="0" collapsed="false">
      <c r="A1200" s="829"/>
      <c r="B1200" s="830"/>
      <c r="C1200" s="830"/>
      <c r="D1200" s="843" t="s">
        <v>13</v>
      </c>
      <c r="E1200" s="843" t="s">
        <v>2192</v>
      </c>
      <c r="F1200" s="1119"/>
      <c r="G1200" s="833"/>
      <c r="H1200" s="834"/>
      <c r="I1200" s="835"/>
      <c r="J1200" s="835"/>
      <c r="K1200" s="836"/>
      <c r="L1200" s="1002"/>
      <c r="M1200" s="1003"/>
      <c r="N1200" s="837"/>
      <c r="O1200" s="943"/>
      <c r="P1200" s="844" t="s">
        <v>2197</v>
      </c>
      <c r="Q1200" s="1085" t="s">
        <v>2776</v>
      </c>
      <c r="R1200" s="1136" t="n">
        <v>8091.986</v>
      </c>
      <c r="S1200" s="890" t="n">
        <f aca="false">R1200/H1199</f>
        <v>290</v>
      </c>
      <c r="T1200" s="837"/>
      <c r="U1200" s="842"/>
    </row>
    <row r="1201" customFormat="false" ht="15" hidden="false" customHeight="true" outlineLevel="0" collapsed="false">
      <c r="A1201" s="829" t="n">
        <v>41</v>
      </c>
      <c r="B1201" s="830" t="s">
        <v>2230</v>
      </c>
      <c r="C1201" s="830" t="n">
        <v>2024</v>
      </c>
      <c r="D1201" s="831" t="s">
        <v>13</v>
      </c>
      <c r="E1201" s="831" t="s">
        <v>2192</v>
      </c>
      <c r="F1201" s="832" t="s">
        <v>2130</v>
      </c>
      <c r="G1201" s="833"/>
      <c r="H1201" s="834" t="n">
        <v>59.2937</v>
      </c>
      <c r="I1201" s="835"/>
      <c r="J1201" s="835"/>
      <c r="K1201" s="836" t="n">
        <f aca="false">H1201*I1201/100</f>
        <v>0</v>
      </c>
      <c r="L1201" s="1002" t="n">
        <v>12099</v>
      </c>
      <c r="M1201" s="1003" t="n">
        <v>1</v>
      </c>
      <c r="N1201" s="837" t="n">
        <f aca="false">L1201*M1201</f>
        <v>12099</v>
      </c>
      <c r="O1201" s="943" t="n">
        <f aca="false">H1201*N1201</f>
        <v>717394.4763</v>
      </c>
      <c r="P1201" s="838" t="s">
        <v>2197</v>
      </c>
      <c r="Q1201" s="1076" t="s">
        <v>2777</v>
      </c>
      <c r="R1201" s="1145" t="n">
        <v>592937</v>
      </c>
      <c r="S1201" s="840" t="n">
        <f aca="false">R1201/H1201</f>
        <v>10000</v>
      </c>
      <c r="T1201" s="943" t="n">
        <f aca="false">O1201-R1201-R1202</f>
        <v>0</v>
      </c>
      <c r="U1201" s="842" t="n">
        <f aca="false">N1201-S1201-S1202</f>
        <v>0</v>
      </c>
    </row>
    <row r="1202" customFormat="false" ht="15" hidden="false" customHeight="true" outlineLevel="0" collapsed="false">
      <c r="A1202" s="829"/>
      <c r="B1202" s="830"/>
      <c r="C1202" s="830"/>
      <c r="D1202" s="843" t="s">
        <v>13</v>
      </c>
      <c r="E1202" s="843" t="s">
        <v>2192</v>
      </c>
      <c r="F1202" s="832"/>
      <c r="G1202" s="833"/>
      <c r="H1202" s="834"/>
      <c r="I1202" s="835"/>
      <c r="J1202" s="835"/>
      <c r="K1202" s="836"/>
      <c r="L1202" s="1002"/>
      <c r="M1202" s="1003"/>
      <c r="N1202" s="837"/>
      <c r="O1202" s="943"/>
      <c r="P1202" s="844" t="s">
        <v>2197</v>
      </c>
      <c r="Q1202" s="1085" t="s">
        <v>2778</v>
      </c>
      <c r="R1202" s="1136" t="n">
        <v>124457.4763</v>
      </c>
      <c r="S1202" s="846" t="n">
        <f aca="false">R1202/H1201</f>
        <v>2099</v>
      </c>
      <c r="T1202" s="943"/>
      <c r="U1202" s="842"/>
    </row>
    <row r="1203" customFormat="false" ht="15" hidden="false" customHeight="true" outlineLevel="0" collapsed="false">
      <c r="A1203" s="903" t="n">
        <v>165</v>
      </c>
      <c r="B1203" s="903" t="s">
        <v>81</v>
      </c>
      <c r="C1203" s="903" t="n">
        <v>2024</v>
      </c>
      <c r="D1203" s="904" t="s">
        <v>13</v>
      </c>
      <c r="E1203" s="904" t="s">
        <v>2192</v>
      </c>
      <c r="F1203" s="904" t="s">
        <v>2199</v>
      </c>
      <c r="G1203" s="905"/>
      <c r="H1203" s="946" t="n">
        <v>74.4</v>
      </c>
      <c r="I1203" s="947"/>
      <c r="J1203" s="947"/>
      <c r="K1203" s="939" t="n">
        <f aca="false">H1203*I1203/100</f>
        <v>0</v>
      </c>
      <c r="L1203" s="1022" t="n">
        <v>17220</v>
      </c>
      <c r="M1203" s="1023" t="n">
        <v>1</v>
      </c>
      <c r="N1203" s="942" t="n">
        <f aca="false">L1203*M1203</f>
        <v>17220</v>
      </c>
      <c r="O1203" s="948" t="n">
        <f aca="false">H1203*N1203</f>
        <v>1281168</v>
      </c>
      <c r="P1203" s="910" t="s">
        <v>2200</v>
      </c>
      <c r="Q1203" s="1068" t="s">
        <v>2779</v>
      </c>
      <c r="R1203" s="1138" t="n">
        <v>1281168</v>
      </c>
      <c r="S1203" s="886" t="n">
        <f aca="false">R1203/H1203</f>
        <v>17220</v>
      </c>
      <c r="T1203" s="948" t="n">
        <f aca="false">O1203-R1203</f>
        <v>0</v>
      </c>
      <c r="U1203" s="942" t="n">
        <f aca="false">N1203-S1203</f>
        <v>0</v>
      </c>
    </row>
    <row r="1204" customFormat="false" ht="15" hidden="false" customHeight="true" outlineLevel="0" collapsed="false">
      <c r="A1204" s="829" t="n">
        <v>130</v>
      </c>
      <c r="B1204" s="1028" t="s">
        <v>86</v>
      </c>
      <c r="C1204" s="1028" t="n">
        <v>2024</v>
      </c>
      <c r="D1204" s="831" t="s">
        <v>13</v>
      </c>
      <c r="E1204" s="831" t="s">
        <v>2192</v>
      </c>
      <c r="F1204" s="1328" t="s">
        <v>1650</v>
      </c>
      <c r="G1204" s="1030"/>
      <c r="H1204" s="1031" t="n">
        <v>94</v>
      </c>
      <c r="I1204" s="1032"/>
      <c r="J1204" s="1032"/>
      <c r="K1204" s="1033" t="n">
        <f aca="false">H1204*I1204/100</f>
        <v>0</v>
      </c>
      <c r="L1204" s="1034" t="n">
        <v>8961</v>
      </c>
      <c r="M1204" s="1035" t="n">
        <v>1</v>
      </c>
      <c r="N1204" s="1036" t="n">
        <f aca="false">L1204*M1204</f>
        <v>8961</v>
      </c>
      <c r="O1204" s="1547" t="n">
        <f aca="false">H1204*N1204</f>
        <v>842334</v>
      </c>
      <c r="P1204" s="838" t="s">
        <v>2193</v>
      </c>
      <c r="Q1204" s="1076" t="s">
        <v>2340</v>
      </c>
      <c r="R1204" s="1145" t="n">
        <v>371300</v>
      </c>
      <c r="S1204" s="886" t="n">
        <f aca="false">R1204/H1204</f>
        <v>3950</v>
      </c>
      <c r="T1204" s="1547" t="n">
        <f aca="false">O1204-R1204-R1206-R1205</f>
        <v>0</v>
      </c>
      <c r="U1204" s="1037" t="n">
        <f aca="false">N1204-S1204-S1206-S1205</f>
        <v>0</v>
      </c>
    </row>
    <row r="1205" customFormat="false" ht="15" hidden="false" customHeight="true" outlineLevel="0" collapsed="false">
      <c r="A1205" s="829"/>
      <c r="B1205" s="1028"/>
      <c r="C1205" s="1028"/>
      <c r="D1205" s="904" t="s">
        <v>13</v>
      </c>
      <c r="E1205" s="904" t="s">
        <v>2192</v>
      </c>
      <c r="F1205" s="1328"/>
      <c r="G1205" s="1030"/>
      <c r="H1205" s="1031"/>
      <c r="I1205" s="1032"/>
      <c r="J1205" s="1032"/>
      <c r="K1205" s="1033"/>
      <c r="L1205" s="1034"/>
      <c r="M1205" s="1035"/>
      <c r="N1205" s="1036"/>
      <c r="O1205" s="1547"/>
      <c r="P1205" s="910" t="s">
        <v>2232</v>
      </c>
      <c r="Q1205" s="1068" t="s">
        <v>116</v>
      </c>
      <c r="R1205" s="1138" t="n">
        <v>152280</v>
      </c>
      <c r="S1205" s="866" t="n">
        <f aca="false">R1205/H1204</f>
        <v>1620</v>
      </c>
      <c r="T1205" s="1547"/>
      <c r="U1205" s="1037"/>
    </row>
    <row r="1206" customFormat="false" ht="15" hidden="false" customHeight="true" outlineLevel="0" collapsed="false">
      <c r="A1206" s="829"/>
      <c r="B1206" s="1028"/>
      <c r="C1206" s="1028"/>
      <c r="D1206" s="871" t="s">
        <v>13</v>
      </c>
      <c r="E1206" s="871" t="s">
        <v>2192</v>
      </c>
      <c r="F1206" s="1328"/>
      <c r="G1206" s="1030"/>
      <c r="H1206" s="1031"/>
      <c r="I1206" s="1032"/>
      <c r="J1206" s="1032"/>
      <c r="K1206" s="1033"/>
      <c r="L1206" s="1034"/>
      <c r="M1206" s="1035"/>
      <c r="N1206" s="1036"/>
      <c r="O1206" s="1547"/>
      <c r="P1206" s="879" t="s">
        <v>2193</v>
      </c>
      <c r="Q1206" s="1118" t="s">
        <v>2341</v>
      </c>
      <c r="R1206" s="1151" t="n">
        <v>318754</v>
      </c>
      <c r="S1206" s="877" t="n">
        <f aca="false">R1206/H1204</f>
        <v>3391</v>
      </c>
      <c r="T1206" s="1547"/>
      <c r="U1206" s="1037"/>
    </row>
    <row r="1207" customFormat="false" ht="15" hidden="false" customHeight="true" outlineLevel="0" collapsed="false">
      <c r="A1207" s="829"/>
      <c r="B1207" s="829" t="s">
        <v>86</v>
      </c>
      <c r="C1207" s="830" t="n">
        <v>2024</v>
      </c>
      <c r="D1207" s="831" t="s">
        <v>13</v>
      </c>
      <c r="E1207" s="831" t="s">
        <v>2242</v>
      </c>
      <c r="F1207" s="830"/>
      <c r="G1207" s="833"/>
      <c r="H1207" s="834" t="n">
        <v>62.3</v>
      </c>
      <c r="I1207" s="835"/>
      <c r="J1207" s="835"/>
      <c r="K1207" s="836" t="n">
        <f aca="false">H1207*I1207/100</f>
        <v>0</v>
      </c>
      <c r="L1207" s="1002" t="n">
        <v>1083</v>
      </c>
      <c r="M1207" s="1003" t="n">
        <v>1</v>
      </c>
      <c r="N1207" s="837" t="n">
        <f aca="false">L1207*M1207</f>
        <v>1083</v>
      </c>
      <c r="O1207" s="943" t="n">
        <f aca="false">H1207*N1207</f>
        <v>67470.9</v>
      </c>
      <c r="P1207" s="838" t="s">
        <v>2232</v>
      </c>
      <c r="Q1207" s="1076" t="s">
        <v>2743</v>
      </c>
      <c r="R1207" s="1145" t="n">
        <v>18690</v>
      </c>
      <c r="S1207" s="840" t="n">
        <f aca="false">R1207/H1207</f>
        <v>300</v>
      </c>
      <c r="T1207" s="943" t="n">
        <f aca="false">O1207-R1207-R1208</f>
        <v>0</v>
      </c>
      <c r="U1207" s="842" t="n">
        <f aca="false">N1207-S1207-S1208</f>
        <v>0</v>
      </c>
    </row>
    <row r="1208" customFormat="false" ht="15" hidden="false" customHeight="true" outlineLevel="0" collapsed="false">
      <c r="A1208" s="829"/>
      <c r="B1208" s="829"/>
      <c r="C1208" s="830"/>
      <c r="D1208" s="843" t="s">
        <v>13</v>
      </c>
      <c r="E1208" s="843" t="s">
        <v>2242</v>
      </c>
      <c r="F1208" s="830"/>
      <c r="G1208" s="833"/>
      <c r="H1208" s="834"/>
      <c r="I1208" s="835"/>
      <c r="J1208" s="835"/>
      <c r="K1208" s="836"/>
      <c r="L1208" s="1002"/>
      <c r="M1208" s="1003"/>
      <c r="N1208" s="837"/>
      <c r="O1208" s="943"/>
      <c r="P1208" s="844" t="s">
        <v>2200</v>
      </c>
      <c r="Q1208" s="1085" t="s">
        <v>2679</v>
      </c>
      <c r="R1208" s="1136" t="n">
        <v>48780.9</v>
      </c>
      <c r="S1208" s="846" t="n">
        <f aca="false">R1208/H1207</f>
        <v>783</v>
      </c>
      <c r="T1208" s="943"/>
      <c r="U1208" s="842"/>
    </row>
    <row r="1209" customFormat="false" ht="15" hidden="false" customHeight="true" outlineLevel="0" collapsed="false">
      <c r="A1209" s="829"/>
      <c r="B1209" s="829" t="s">
        <v>86</v>
      </c>
      <c r="C1209" s="830" t="n">
        <v>2024</v>
      </c>
      <c r="D1209" s="831" t="s">
        <v>13</v>
      </c>
      <c r="E1209" s="831" t="s">
        <v>2203</v>
      </c>
      <c r="F1209" s="830"/>
      <c r="G1209" s="833"/>
      <c r="H1209" s="834" t="n">
        <v>71</v>
      </c>
      <c r="I1209" s="835"/>
      <c r="J1209" s="835"/>
      <c r="K1209" s="836" t="n">
        <f aca="false">H1209*I1209/100</f>
        <v>0</v>
      </c>
      <c r="L1209" s="1002" t="n">
        <v>1429</v>
      </c>
      <c r="M1209" s="1003" t="n">
        <v>1</v>
      </c>
      <c r="N1209" s="837" t="n">
        <f aca="false">L1209*M1209</f>
        <v>1429</v>
      </c>
      <c r="O1209" s="943" t="n">
        <f aca="false">H1209*N1209</f>
        <v>101459</v>
      </c>
      <c r="P1209" s="838" t="s">
        <v>2232</v>
      </c>
      <c r="Q1209" s="1076" t="s">
        <v>2739</v>
      </c>
      <c r="R1209" s="1145" t="n">
        <v>14200</v>
      </c>
      <c r="S1209" s="840" t="n">
        <f aca="false">R1209/H1209</f>
        <v>200</v>
      </c>
      <c r="T1209" s="943" t="n">
        <f aca="false">O1209-R1209-R1210</f>
        <v>0</v>
      </c>
      <c r="U1209" s="842" t="n">
        <f aca="false">N1209-S1209-S1210</f>
        <v>0</v>
      </c>
    </row>
    <row r="1210" customFormat="false" ht="15" hidden="false" customHeight="true" outlineLevel="0" collapsed="false">
      <c r="A1210" s="829"/>
      <c r="B1210" s="829"/>
      <c r="C1210" s="830"/>
      <c r="D1210" s="887" t="s">
        <v>13</v>
      </c>
      <c r="E1210" s="887" t="s">
        <v>2203</v>
      </c>
      <c r="F1210" s="830"/>
      <c r="G1210" s="833"/>
      <c r="H1210" s="834"/>
      <c r="I1210" s="835"/>
      <c r="J1210" s="835"/>
      <c r="K1210" s="836"/>
      <c r="L1210" s="1002"/>
      <c r="M1210" s="1003"/>
      <c r="N1210" s="837"/>
      <c r="O1210" s="943"/>
      <c r="P1210" s="888" t="s">
        <v>2200</v>
      </c>
      <c r="Q1210" s="1071" t="s">
        <v>2679</v>
      </c>
      <c r="R1210" s="1146" t="n">
        <v>87259</v>
      </c>
      <c r="S1210" s="890" t="n">
        <f aca="false">R1210/H1209</f>
        <v>1229</v>
      </c>
      <c r="T1210" s="943"/>
      <c r="U1210" s="842"/>
    </row>
    <row r="1211" customFormat="false" ht="15" hidden="false" customHeight="true" outlineLevel="0" collapsed="false">
      <c r="A1211" s="829"/>
      <c r="B1211" s="847" t="s">
        <v>86</v>
      </c>
      <c r="C1211" s="847" t="n">
        <v>2024</v>
      </c>
      <c r="D1211" s="848" t="s">
        <v>13</v>
      </c>
      <c r="E1211" s="848" t="s">
        <v>2241</v>
      </c>
      <c r="F1211" s="848"/>
      <c r="G1211" s="849"/>
      <c r="H1211" s="949" t="n">
        <v>13.1</v>
      </c>
      <c r="I1211" s="950"/>
      <c r="J1211" s="950"/>
      <c r="K1211" s="852" t="n">
        <f aca="false">H1211*I1211/100</f>
        <v>0</v>
      </c>
      <c r="L1211" s="1006" t="n">
        <v>368</v>
      </c>
      <c r="M1211" s="1007" t="n">
        <v>1</v>
      </c>
      <c r="N1211" s="537" t="n">
        <f aca="false">L1211*M1211</f>
        <v>368</v>
      </c>
      <c r="O1211" s="953" t="n">
        <f aca="false">H1211*N1211</f>
        <v>4820.8</v>
      </c>
      <c r="P1211" s="856" t="s">
        <v>2200</v>
      </c>
      <c r="Q1211" s="1083" t="s">
        <v>2679</v>
      </c>
      <c r="R1211" s="1144" t="n">
        <v>4820.8</v>
      </c>
      <c r="S1211" s="846" t="n">
        <f aca="false">R1211/H1211</f>
        <v>368</v>
      </c>
      <c r="T1211" s="953" t="n">
        <f aca="false">O1211-R1211</f>
        <v>0</v>
      </c>
      <c r="U1211" s="892" t="n">
        <f aca="false">N1211-S1211</f>
        <v>0</v>
      </c>
    </row>
    <row r="1212" customFormat="false" ht="15" hidden="false" customHeight="true" outlineLevel="0" collapsed="false">
      <c r="A1212" s="829"/>
      <c r="B1212" s="893" t="s">
        <v>86</v>
      </c>
      <c r="C1212" s="893" t="n">
        <v>2024</v>
      </c>
      <c r="D1212" s="843" t="s">
        <v>13</v>
      </c>
      <c r="E1212" s="843" t="s">
        <v>2205</v>
      </c>
      <c r="F1212" s="843"/>
      <c r="G1212" s="894"/>
      <c r="H1212" s="1103" t="n">
        <v>28</v>
      </c>
      <c r="I1212" s="1104"/>
      <c r="J1212" s="1104"/>
      <c r="K1212" s="1064" t="n">
        <f aca="false">H1212*I1212/100</f>
        <v>0</v>
      </c>
      <c r="L1212" s="1105" t="n">
        <v>5071</v>
      </c>
      <c r="M1212" s="1106" t="n">
        <v>1</v>
      </c>
      <c r="N1212" s="1067" t="n">
        <f aca="false">L1212*M1212</f>
        <v>5071</v>
      </c>
      <c r="O1212" s="1452" t="n">
        <f aca="false">H1212*N1212</f>
        <v>141988</v>
      </c>
      <c r="P1212" s="844" t="s">
        <v>2200</v>
      </c>
      <c r="Q1212" s="1085" t="s">
        <v>2679</v>
      </c>
      <c r="R1212" s="1136" t="n">
        <v>141988</v>
      </c>
      <c r="S1212" s="846" t="n">
        <f aca="false">R1212/H1212</f>
        <v>5071</v>
      </c>
      <c r="T1212" s="1452" t="n">
        <f aca="false">O1212-R1212</f>
        <v>0</v>
      </c>
      <c r="U1212" s="1070" t="n">
        <f aca="false">N1212-S1212</f>
        <v>0</v>
      </c>
    </row>
    <row r="1213" customFormat="false" ht="15" hidden="false" customHeight="true" outlineLevel="0" collapsed="false">
      <c r="A1213" s="1087" t="n">
        <v>194</v>
      </c>
      <c r="B1213" s="1061" t="s">
        <v>2207</v>
      </c>
      <c r="C1213" s="1061" t="n">
        <v>2024</v>
      </c>
      <c r="D1213" s="848" t="s">
        <v>13</v>
      </c>
      <c r="E1213" s="848" t="s">
        <v>2192</v>
      </c>
      <c r="F1213" s="887" t="s">
        <v>1651</v>
      </c>
      <c r="G1213" s="1062"/>
      <c r="H1213" s="1077" t="n">
        <v>21.7134</v>
      </c>
      <c r="I1213" s="1086"/>
      <c r="J1213" s="1086"/>
      <c r="K1213" s="1064" t="n">
        <f aca="false">H1213*I1213/100</f>
        <v>0</v>
      </c>
      <c r="L1213" s="1065" t="n">
        <v>17100</v>
      </c>
      <c r="M1213" s="1066" t="n">
        <v>1</v>
      </c>
      <c r="N1213" s="1067" t="n">
        <f aca="false">L1213*M1213</f>
        <v>17100</v>
      </c>
      <c r="O1213" s="1452" t="n">
        <f aca="false">H1213*N1213</f>
        <v>371299.14</v>
      </c>
      <c r="P1213" s="856" t="s">
        <v>2197</v>
      </c>
      <c r="Q1213" s="1083" t="s">
        <v>2780</v>
      </c>
      <c r="R1213" s="1144" t="n">
        <v>216916.866</v>
      </c>
      <c r="S1213" s="854" t="n">
        <f aca="false">R1213/H1213</f>
        <v>9990</v>
      </c>
      <c r="T1213" s="1452" t="n">
        <f aca="false">O1213-R1213-R1214</f>
        <v>0</v>
      </c>
      <c r="U1213" s="1070" t="n">
        <f aca="false">N1213-S1213-S1214</f>
        <v>0</v>
      </c>
    </row>
    <row r="1214" customFormat="false" ht="15" hidden="false" customHeight="true" outlineLevel="0" collapsed="false">
      <c r="A1214" s="1087"/>
      <c r="B1214" s="1061"/>
      <c r="C1214" s="1061"/>
      <c r="D1214" s="843" t="s">
        <v>13</v>
      </c>
      <c r="E1214" s="843" t="s">
        <v>2192</v>
      </c>
      <c r="F1214" s="887"/>
      <c r="G1214" s="1062"/>
      <c r="H1214" s="1077"/>
      <c r="I1214" s="1086"/>
      <c r="J1214" s="1086"/>
      <c r="K1214" s="1064"/>
      <c r="L1214" s="1065"/>
      <c r="M1214" s="1066"/>
      <c r="N1214" s="1067"/>
      <c r="O1214" s="1452"/>
      <c r="P1214" s="844" t="s">
        <v>2197</v>
      </c>
      <c r="Q1214" s="1085" t="s">
        <v>2781</v>
      </c>
      <c r="R1214" s="1136" t="n">
        <v>154382.274</v>
      </c>
      <c r="S1214" s="846" t="n">
        <f aca="false">R1214/H1213</f>
        <v>7110</v>
      </c>
      <c r="T1214" s="1452"/>
      <c r="U1214" s="1070"/>
    </row>
    <row r="1215" customFormat="false" ht="15" hidden="false" customHeight="true" outlineLevel="0" collapsed="false">
      <c r="A1215" s="882" t="n">
        <v>195</v>
      </c>
      <c r="B1215" s="883" t="s">
        <v>2207</v>
      </c>
      <c r="C1215" s="883" t="n">
        <v>2024</v>
      </c>
      <c r="D1215" s="831" t="s">
        <v>13</v>
      </c>
      <c r="E1215" s="831" t="s">
        <v>2192</v>
      </c>
      <c r="F1215" s="832" t="s">
        <v>1651</v>
      </c>
      <c r="G1215" s="833"/>
      <c r="H1215" s="834" t="n">
        <v>20.7928</v>
      </c>
      <c r="I1215" s="835"/>
      <c r="J1215" s="835"/>
      <c r="K1215" s="836" t="n">
        <f aca="false">H1215*I1215/100</f>
        <v>0</v>
      </c>
      <c r="L1215" s="1002" t="n">
        <v>15330</v>
      </c>
      <c r="M1215" s="1003" t="n">
        <v>1</v>
      </c>
      <c r="N1215" s="837" t="n">
        <f aca="false">L1215*M1215</f>
        <v>15330</v>
      </c>
      <c r="O1215" s="943" t="n">
        <f aca="false">H1215*N1215</f>
        <v>318753.624</v>
      </c>
      <c r="P1215" s="838" t="s">
        <v>2197</v>
      </c>
      <c r="Q1215" s="1076" t="s">
        <v>2558</v>
      </c>
      <c r="R1215" s="1145" t="n">
        <v>104171.928</v>
      </c>
      <c r="S1215" s="886" t="n">
        <f aca="false">R1215/H1215</f>
        <v>5010</v>
      </c>
      <c r="T1215" s="943" t="n">
        <f aca="false">O1215-R1215-R1216-R1217</f>
        <v>0</v>
      </c>
      <c r="U1215" s="842" t="n">
        <f aca="false">N1215-S1215-S1216-S1217</f>
        <v>0</v>
      </c>
    </row>
    <row r="1216" customFormat="false" ht="15" hidden="false" customHeight="true" outlineLevel="0" collapsed="false">
      <c r="A1216" s="882"/>
      <c r="B1216" s="883"/>
      <c r="C1216" s="883"/>
      <c r="D1216" s="848" t="s">
        <v>13</v>
      </c>
      <c r="E1216" s="848" t="s">
        <v>2192</v>
      </c>
      <c r="F1216" s="832"/>
      <c r="G1216" s="833"/>
      <c r="H1216" s="834"/>
      <c r="I1216" s="835"/>
      <c r="J1216" s="835"/>
      <c r="K1216" s="836"/>
      <c r="L1216" s="1002"/>
      <c r="M1216" s="1003"/>
      <c r="N1216" s="837"/>
      <c r="O1216" s="943"/>
      <c r="P1216" s="856" t="s">
        <v>2197</v>
      </c>
      <c r="Q1216" s="1083" t="s">
        <v>2782</v>
      </c>
      <c r="R1216" s="1144" t="n">
        <v>104171.928</v>
      </c>
      <c r="S1216" s="866" t="n">
        <f aca="false">R1216/H1215</f>
        <v>5010</v>
      </c>
      <c r="T1216" s="943"/>
      <c r="U1216" s="842"/>
    </row>
    <row r="1217" customFormat="false" ht="15" hidden="false" customHeight="true" outlineLevel="0" collapsed="false">
      <c r="A1217" s="882"/>
      <c r="B1217" s="883"/>
      <c r="C1217" s="883"/>
      <c r="D1217" s="887" t="s">
        <v>13</v>
      </c>
      <c r="E1217" s="887" t="s">
        <v>2192</v>
      </c>
      <c r="F1217" s="832"/>
      <c r="G1217" s="833"/>
      <c r="H1217" s="834"/>
      <c r="I1217" s="835"/>
      <c r="J1217" s="835"/>
      <c r="K1217" s="836"/>
      <c r="L1217" s="1002"/>
      <c r="M1217" s="1003"/>
      <c r="N1217" s="837"/>
      <c r="O1217" s="943"/>
      <c r="P1217" s="888" t="s">
        <v>2197</v>
      </c>
      <c r="Q1217" s="1071" t="s">
        <v>2783</v>
      </c>
      <c r="R1217" s="1146" t="n">
        <v>110409.768</v>
      </c>
      <c r="S1217" s="890" t="n">
        <f aca="false">R1217/H1215</f>
        <v>5310</v>
      </c>
      <c r="T1217" s="943"/>
      <c r="U1217" s="842"/>
    </row>
    <row r="1218" customFormat="false" ht="15" hidden="false" customHeight="true" outlineLevel="0" collapsed="false">
      <c r="A1218" s="829" t="n">
        <v>65</v>
      </c>
      <c r="B1218" s="830" t="s">
        <v>2230</v>
      </c>
      <c r="C1218" s="830" t="n">
        <v>2024</v>
      </c>
      <c r="D1218" s="831" t="s">
        <v>13</v>
      </c>
      <c r="E1218" s="831" t="s">
        <v>2192</v>
      </c>
      <c r="F1218" s="832" t="s">
        <v>2130</v>
      </c>
      <c r="G1218" s="833"/>
      <c r="H1218" s="834" t="n">
        <v>49.0776</v>
      </c>
      <c r="I1218" s="835"/>
      <c r="J1218" s="835"/>
      <c r="K1218" s="836" t="n">
        <f aca="false">H1218*I1218/100</f>
        <v>0</v>
      </c>
      <c r="L1218" s="1002" t="n">
        <v>9875</v>
      </c>
      <c r="M1218" s="1003" t="n">
        <v>1</v>
      </c>
      <c r="N1218" s="837" t="n">
        <f aca="false">L1218*M1218</f>
        <v>9875</v>
      </c>
      <c r="O1218" s="943" t="n">
        <f aca="false">H1218*N1218</f>
        <v>484641.3</v>
      </c>
      <c r="P1218" s="838" t="s">
        <v>2197</v>
      </c>
      <c r="Q1218" s="1076" t="s">
        <v>2784</v>
      </c>
      <c r="R1218" s="1145" t="n">
        <v>246614.94</v>
      </c>
      <c r="S1218" s="886" t="n">
        <f aca="false">R1218/H1218</f>
        <v>5025</v>
      </c>
      <c r="T1218" s="943" t="n">
        <f aca="false">O1218-R1218-R1219</f>
        <v>0</v>
      </c>
      <c r="U1218" s="842" t="n">
        <f aca="false">N1218-S1218-S1219</f>
        <v>0</v>
      </c>
    </row>
    <row r="1219" customFormat="false" ht="15" hidden="false" customHeight="true" outlineLevel="0" collapsed="false">
      <c r="A1219" s="829"/>
      <c r="B1219" s="830"/>
      <c r="C1219" s="830"/>
      <c r="D1219" s="887" t="s">
        <v>13</v>
      </c>
      <c r="E1219" s="887" t="s">
        <v>2192</v>
      </c>
      <c r="F1219" s="832"/>
      <c r="G1219" s="833"/>
      <c r="H1219" s="834"/>
      <c r="I1219" s="835"/>
      <c r="J1219" s="835"/>
      <c r="K1219" s="836"/>
      <c r="L1219" s="1002"/>
      <c r="M1219" s="1003"/>
      <c r="N1219" s="837"/>
      <c r="O1219" s="943"/>
      <c r="P1219" s="888" t="s">
        <v>2197</v>
      </c>
      <c r="Q1219" s="1071" t="s">
        <v>2785</v>
      </c>
      <c r="R1219" s="1146" t="n">
        <v>238026.36</v>
      </c>
      <c r="S1219" s="846" t="n">
        <f aca="false">R1219/H1218</f>
        <v>4850</v>
      </c>
      <c r="T1219" s="943"/>
      <c r="U1219" s="842"/>
    </row>
    <row r="1220" customFormat="false" ht="15" hidden="false" customHeight="true" outlineLevel="0" collapsed="false">
      <c r="A1220" s="903" t="n">
        <v>183</v>
      </c>
      <c r="B1220" s="903" t="s">
        <v>81</v>
      </c>
      <c r="C1220" s="903" t="n">
        <v>2024</v>
      </c>
      <c r="D1220" s="904" t="s">
        <v>13</v>
      </c>
      <c r="E1220" s="904" t="s">
        <v>2192</v>
      </c>
      <c r="F1220" s="904" t="s">
        <v>2199</v>
      </c>
      <c r="G1220" s="905"/>
      <c r="H1220" s="946" t="n">
        <v>81.03</v>
      </c>
      <c r="I1220" s="947"/>
      <c r="J1220" s="947"/>
      <c r="K1220" s="939" t="n">
        <f aca="false">H1220*I1220/100</f>
        <v>0</v>
      </c>
      <c r="L1220" s="1022" t="n">
        <v>10000</v>
      </c>
      <c r="M1220" s="1023" t="n">
        <v>1</v>
      </c>
      <c r="N1220" s="942" t="n">
        <f aca="false">L1220*M1220</f>
        <v>10000</v>
      </c>
      <c r="O1220" s="948" t="n">
        <f aca="false">H1220*N1220</f>
        <v>810300</v>
      </c>
      <c r="P1220" s="910" t="s">
        <v>2200</v>
      </c>
      <c r="Q1220" s="1068" t="s">
        <v>2562</v>
      </c>
      <c r="R1220" s="1138" t="n">
        <v>810300</v>
      </c>
      <c r="S1220" s="886" t="n">
        <f aca="false">R1220/H1220</f>
        <v>10000</v>
      </c>
      <c r="T1220" s="948" t="n">
        <f aca="false">O1220-R1220</f>
        <v>0</v>
      </c>
      <c r="U1220" s="1026" t="n">
        <f aca="false">N1220-S1220</f>
        <v>0</v>
      </c>
    </row>
    <row r="1221" customFormat="false" ht="15" hidden="false" customHeight="true" outlineLevel="0" collapsed="false">
      <c r="A1221" s="881" t="n">
        <v>143</v>
      </c>
      <c r="B1221" s="829" t="s">
        <v>86</v>
      </c>
      <c r="C1221" s="830" t="n">
        <v>2024</v>
      </c>
      <c r="D1221" s="831" t="s">
        <v>13</v>
      </c>
      <c r="E1221" s="831" t="s">
        <v>2192</v>
      </c>
      <c r="F1221" s="832" t="s">
        <v>1650</v>
      </c>
      <c r="G1221" s="833"/>
      <c r="H1221" s="834" t="n">
        <v>96.5</v>
      </c>
      <c r="I1221" s="835"/>
      <c r="J1221" s="835"/>
      <c r="K1221" s="836" t="n">
        <f aca="false">H1221*I1221/100</f>
        <v>0</v>
      </c>
      <c r="L1221" s="1002" t="n">
        <v>6552</v>
      </c>
      <c r="M1221" s="1003" t="n">
        <v>1</v>
      </c>
      <c r="N1221" s="837" t="n">
        <f aca="false">L1221*M1221</f>
        <v>6552</v>
      </c>
      <c r="O1221" s="943" t="n">
        <f aca="false">H1221*N1221</f>
        <v>632268</v>
      </c>
      <c r="P1221" s="838" t="s">
        <v>2193</v>
      </c>
      <c r="Q1221" s="1076" t="s">
        <v>2786</v>
      </c>
      <c r="R1221" s="1145" t="n">
        <v>605055</v>
      </c>
      <c r="S1221" s="886" t="n">
        <f aca="false">R1221/H1221</f>
        <v>6270</v>
      </c>
      <c r="T1221" s="943" t="n">
        <f aca="false">O1221-R1221-R1222</f>
        <v>0</v>
      </c>
      <c r="U1221" s="842" t="n">
        <f aca="false">N1221-S1221-S1222</f>
        <v>0</v>
      </c>
    </row>
    <row r="1222" customFormat="false" ht="15" hidden="false" customHeight="true" outlineLevel="0" collapsed="false">
      <c r="A1222" s="881"/>
      <c r="B1222" s="829"/>
      <c r="C1222" s="830"/>
      <c r="D1222" s="887" t="s">
        <v>13</v>
      </c>
      <c r="E1222" s="887" t="s">
        <v>2192</v>
      </c>
      <c r="F1222" s="832"/>
      <c r="G1222" s="833"/>
      <c r="H1222" s="834"/>
      <c r="I1222" s="835"/>
      <c r="J1222" s="835"/>
      <c r="K1222" s="836"/>
      <c r="L1222" s="1002"/>
      <c r="M1222" s="1003"/>
      <c r="N1222" s="837"/>
      <c r="O1222" s="943"/>
      <c r="P1222" s="888" t="s">
        <v>2193</v>
      </c>
      <c r="Q1222" s="1071" t="s">
        <v>2787</v>
      </c>
      <c r="R1222" s="1146" t="n">
        <v>27213</v>
      </c>
      <c r="S1222" s="846" t="n">
        <f aca="false">R1222/H1221</f>
        <v>282</v>
      </c>
      <c r="T1222" s="943"/>
      <c r="U1222" s="842"/>
    </row>
    <row r="1223" customFormat="false" ht="15" hidden="false" customHeight="true" outlineLevel="0" collapsed="false">
      <c r="A1223" s="881"/>
      <c r="B1223" s="847" t="s">
        <v>86</v>
      </c>
      <c r="C1223" s="847" t="n">
        <v>2024</v>
      </c>
      <c r="D1223" s="848" t="s">
        <v>13</v>
      </c>
      <c r="E1223" s="848" t="s">
        <v>2242</v>
      </c>
      <c r="F1223" s="848"/>
      <c r="G1223" s="849"/>
      <c r="H1223" s="949" t="n">
        <v>63.3</v>
      </c>
      <c r="I1223" s="950"/>
      <c r="J1223" s="950"/>
      <c r="K1223" s="852" t="n">
        <f aca="false">H1223*I1223/100</f>
        <v>0</v>
      </c>
      <c r="L1223" s="1006" t="n">
        <v>137</v>
      </c>
      <c r="M1223" s="1007" t="n">
        <v>1</v>
      </c>
      <c r="N1223" s="537" t="n">
        <f aca="false">L1223*M1223</f>
        <v>137</v>
      </c>
      <c r="O1223" s="953" t="n">
        <f aca="false">H1223*N1223</f>
        <v>8672.1</v>
      </c>
      <c r="P1223" s="856" t="s">
        <v>2200</v>
      </c>
      <c r="Q1223" s="1083" t="s">
        <v>2679</v>
      </c>
      <c r="R1223" s="1144" t="n">
        <v>8672.1</v>
      </c>
      <c r="S1223" s="854" t="n">
        <f aca="false">R1223/H1223</f>
        <v>137</v>
      </c>
      <c r="T1223" s="953" t="n">
        <f aca="false">O1223-R1223</f>
        <v>0</v>
      </c>
      <c r="U1223" s="892" t="n">
        <f aca="false">N1223-S1223</f>
        <v>0</v>
      </c>
    </row>
    <row r="1224" customFormat="false" ht="15" hidden="false" customHeight="true" outlineLevel="0" collapsed="false">
      <c r="A1224" s="881"/>
      <c r="B1224" s="847" t="s">
        <v>86</v>
      </c>
      <c r="C1224" s="847" t="n">
        <v>2024</v>
      </c>
      <c r="D1224" s="848" t="s">
        <v>13</v>
      </c>
      <c r="E1224" s="848" t="s">
        <v>2203</v>
      </c>
      <c r="F1224" s="848"/>
      <c r="G1224" s="849"/>
      <c r="H1224" s="949" t="n">
        <v>41.6</v>
      </c>
      <c r="I1224" s="950"/>
      <c r="J1224" s="950"/>
      <c r="K1224" s="852" t="n">
        <f aca="false">H1224*I1224/100</f>
        <v>0</v>
      </c>
      <c r="L1224" s="1006" t="n">
        <v>1309</v>
      </c>
      <c r="M1224" s="1007" t="n">
        <v>1</v>
      </c>
      <c r="N1224" s="537" t="n">
        <f aca="false">L1224*M1224</f>
        <v>1309</v>
      </c>
      <c r="O1224" s="953" t="n">
        <f aca="false">H1224*N1224</f>
        <v>54454.4</v>
      </c>
      <c r="P1224" s="856" t="s">
        <v>2200</v>
      </c>
      <c r="Q1224" s="1083" t="s">
        <v>2679</v>
      </c>
      <c r="R1224" s="1144" t="n">
        <v>54454.4</v>
      </c>
      <c r="S1224" s="866" t="n">
        <f aca="false">R1224/H1224</f>
        <v>1309</v>
      </c>
      <c r="T1224" s="953" t="n">
        <f aca="false">O1224-R1224</f>
        <v>0</v>
      </c>
      <c r="U1224" s="892" t="n">
        <f aca="false">N1224-S1224</f>
        <v>0</v>
      </c>
    </row>
    <row r="1225" customFormat="false" ht="15" hidden="false" customHeight="true" outlineLevel="0" collapsed="false">
      <c r="A1225" s="881"/>
      <c r="B1225" s="847" t="s">
        <v>86</v>
      </c>
      <c r="C1225" s="847" t="n">
        <v>2024</v>
      </c>
      <c r="D1225" s="848" t="s">
        <v>13</v>
      </c>
      <c r="E1225" s="848" t="s">
        <v>2241</v>
      </c>
      <c r="F1225" s="848"/>
      <c r="G1225" s="849"/>
      <c r="H1225" s="949" t="n">
        <v>29.7</v>
      </c>
      <c r="I1225" s="950"/>
      <c r="J1225" s="950"/>
      <c r="K1225" s="852" t="n">
        <f aca="false">H1225*I1225/100</f>
        <v>0</v>
      </c>
      <c r="L1225" s="1006" t="n">
        <v>388</v>
      </c>
      <c r="M1225" s="1007" t="n">
        <v>1</v>
      </c>
      <c r="N1225" s="537" t="n">
        <f aca="false">L1225*M1225</f>
        <v>388</v>
      </c>
      <c r="O1225" s="953" t="n">
        <f aca="false">H1225*N1225</f>
        <v>11523.6</v>
      </c>
      <c r="P1225" s="856" t="s">
        <v>2200</v>
      </c>
      <c r="Q1225" s="1083" t="s">
        <v>2679</v>
      </c>
      <c r="R1225" s="1144" t="n">
        <v>11523.6</v>
      </c>
      <c r="S1225" s="866" t="n">
        <f aca="false">R1225/H1225</f>
        <v>388</v>
      </c>
      <c r="T1225" s="953" t="n">
        <f aca="false">O1225-R1225</f>
        <v>0</v>
      </c>
      <c r="U1225" s="892" t="n">
        <f aca="false">N1225-S1225</f>
        <v>0</v>
      </c>
    </row>
    <row r="1226" customFormat="false" ht="15" hidden="false" customHeight="true" outlineLevel="0" collapsed="false">
      <c r="A1226" s="881"/>
      <c r="B1226" s="1072" t="s">
        <v>86</v>
      </c>
      <c r="C1226" s="1072" t="n">
        <v>2024</v>
      </c>
      <c r="D1226" s="887" t="s">
        <v>13</v>
      </c>
      <c r="E1226" s="887" t="s">
        <v>2205</v>
      </c>
      <c r="F1226" s="887"/>
      <c r="G1226" s="1062"/>
      <c r="H1226" s="1077" t="n">
        <v>31.4</v>
      </c>
      <c r="I1226" s="1086"/>
      <c r="J1226" s="1086"/>
      <c r="K1226" s="1064" t="n">
        <f aca="false">H1226*I1226/100</f>
        <v>0</v>
      </c>
      <c r="L1226" s="1065" t="n">
        <v>1503</v>
      </c>
      <c r="M1226" s="1066" t="n">
        <v>1</v>
      </c>
      <c r="N1226" s="1067" t="n">
        <f aca="false">L1226*M1226</f>
        <v>1503</v>
      </c>
      <c r="O1226" s="1452" t="n">
        <f aca="false">H1226*N1226</f>
        <v>47194.2</v>
      </c>
      <c r="P1226" s="888" t="s">
        <v>2200</v>
      </c>
      <c r="Q1226" s="1071" t="s">
        <v>2679</v>
      </c>
      <c r="R1226" s="1146" t="n">
        <v>47194.2</v>
      </c>
      <c r="S1226" s="846" t="n">
        <f aca="false">R1226/H1226</f>
        <v>1503</v>
      </c>
      <c r="T1226" s="1452" t="n">
        <f aca="false">O1226-R1226</f>
        <v>0</v>
      </c>
      <c r="U1226" s="1070" t="n">
        <f aca="false">N1226-S1226</f>
        <v>0</v>
      </c>
    </row>
    <row r="1227" customFormat="false" ht="15" hidden="false" customHeight="true" outlineLevel="0" collapsed="false">
      <c r="A1227" s="903" t="n">
        <v>184</v>
      </c>
      <c r="B1227" s="903" t="s">
        <v>81</v>
      </c>
      <c r="C1227" s="903" t="n">
        <v>2024</v>
      </c>
      <c r="D1227" s="904" t="s">
        <v>13</v>
      </c>
      <c r="E1227" s="904" t="s">
        <v>2192</v>
      </c>
      <c r="F1227" s="904" t="s">
        <v>2199</v>
      </c>
      <c r="G1227" s="905"/>
      <c r="H1227" s="946" t="n">
        <v>78</v>
      </c>
      <c r="I1227" s="947"/>
      <c r="J1227" s="947"/>
      <c r="K1227" s="939" t="n">
        <f aca="false">H1227*I1227/100</f>
        <v>0</v>
      </c>
      <c r="L1227" s="1022" t="n">
        <v>4080</v>
      </c>
      <c r="M1227" s="1023" t="n">
        <v>1</v>
      </c>
      <c r="N1227" s="942" t="n">
        <f aca="false">L1227*M1227</f>
        <v>4080</v>
      </c>
      <c r="O1227" s="948" t="n">
        <f aca="false">H1227*N1227</f>
        <v>318240</v>
      </c>
      <c r="P1227" s="910" t="s">
        <v>2788</v>
      </c>
      <c r="Q1227" s="1068" t="s">
        <v>2560</v>
      </c>
      <c r="R1227" s="1138" t="n">
        <v>318240</v>
      </c>
      <c r="S1227" s="891" t="n">
        <f aca="false">R1227/H1227</f>
        <v>4080</v>
      </c>
      <c r="T1227" s="948" t="n">
        <f aca="false">O1227-R1227</f>
        <v>0</v>
      </c>
      <c r="U1227" s="1026" t="n">
        <f aca="false">N1227-S1227</f>
        <v>0</v>
      </c>
    </row>
    <row r="1228" customFormat="false" ht="15" hidden="false" customHeight="true" outlineLevel="0" collapsed="false">
      <c r="A1228" s="1533" t="n">
        <v>144</v>
      </c>
      <c r="B1228" s="1186" t="s">
        <v>86</v>
      </c>
      <c r="C1228" s="1187" t="n">
        <v>2024</v>
      </c>
      <c r="D1228" s="915" t="s">
        <v>13</v>
      </c>
      <c r="E1228" s="915" t="s">
        <v>2192</v>
      </c>
      <c r="F1228" s="916" t="s">
        <v>1650</v>
      </c>
      <c r="G1228" s="917"/>
      <c r="H1228" s="918" t="n">
        <v>97.1</v>
      </c>
      <c r="I1228" s="919"/>
      <c r="J1228" s="919"/>
      <c r="K1228" s="920" t="n">
        <f aca="false">H1228*I1228/100</f>
        <v>0</v>
      </c>
      <c r="L1228" s="1190" t="n">
        <v>2676</v>
      </c>
      <c r="M1228" s="1191" t="n">
        <v>1</v>
      </c>
      <c r="N1228" s="921" t="n">
        <f aca="false">L1228*M1228</f>
        <v>2676</v>
      </c>
      <c r="O1228" s="1192" t="n">
        <f aca="false">H1228*N1228</f>
        <v>259839.6</v>
      </c>
      <c r="P1228" s="1193" t="s">
        <v>2193</v>
      </c>
      <c r="Q1228" s="1194" t="s">
        <v>2787</v>
      </c>
      <c r="R1228" s="1195" t="n">
        <v>101760.8</v>
      </c>
      <c r="S1228" s="926" t="n">
        <f aca="false">R1228/H1228</f>
        <v>1048</v>
      </c>
      <c r="T1228" s="1192" t="n">
        <f aca="false">O1228-R1228-R1229</f>
        <v>70688.8</v>
      </c>
      <c r="U1228" s="928" t="n">
        <f aca="false">N1228-S1228-S1229</f>
        <v>728</v>
      </c>
    </row>
    <row r="1229" customFormat="false" ht="15" hidden="false" customHeight="true" outlineLevel="0" collapsed="false">
      <c r="A1229" s="1533"/>
      <c r="B1229" s="1186"/>
      <c r="C1229" s="1187"/>
      <c r="D1229" s="1671" t="s">
        <v>13</v>
      </c>
      <c r="E1229" s="1671" t="s">
        <v>2192</v>
      </c>
      <c r="F1229" s="916"/>
      <c r="G1229" s="917"/>
      <c r="H1229" s="918"/>
      <c r="I1229" s="919"/>
      <c r="J1229" s="919"/>
      <c r="K1229" s="920"/>
      <c r="L1229" s="1190"/>
      <c r="M1229" s="1191"/>
      <c r="N1229" s="921"/>
      <c r="O1229" s="1192"/>
      <c r="P1229" s="1672" t="s">
        <v>2232</v>
      </c>
      <c r="Q1229" s="1673" t="s">
        <v>2739</v>
      </c>
      <c r="R1229" s="1674" t="n">
        <v>87390</v>
      </c>
      <c r="S1229" s="938" t="n">
        <f aca="false">R1229/H1228</f>
        <v>900</v>
      </c>
      <c r="T1229" s="1192"/>
      <c r="U1229" s="928"/>
    </row>
    <row r="1230" customFormat="false" ht="15" hidden="false" customHeight="true" outlineLevel="0" collapsed="false">
      <c r="A1230" s="1533"/>
      <c r="B1230" s="847" t="s">
        <v>86</v>
      </c>
      <c r="C1230" s="847" t="n">
        <v>2024</v>
      </c>
      <c r="D1230" s="848" t="s">
        <v>13</v>
      </c>
      <c r="E1230" s="848" t="s">
        <v>2242</v>
      </c>
      <c r="F1230" s="848"/>
      <c r="G1230" s="849"/>
      <c r="H1230" s="949" t="n">
        <v>68.3</v>
      </c>
      <c r="I1230" s="950"/>
      <c r="J1230" s="950"/>
      <c r="K1230" s="852" t="n">
        <f aca="false">H1230*I1230/100</f>
        <v>0</v>
      </c>
      <c r="L1230" s="1006" t="n">
        <v>56</v>
      </c>
      <c r="M1230" s="1007" t="n">
        <v>1</v>
      </c>
      <c r="N1230" s="537" t="n">
        <f aca="false">L1230*M1230</f>
        <v>56</v>
      </c>
      <c r="O1230" s="953" t="n">
        <f aca="false">H1230*N1230</f>
        <v>3824.8</v>
      </c>
      <c r="P1230" s="856" t="s">
        <v>2200</v>
      </c>
      <c r="Q1230" s="1083" t="s">
        <v>2679</v>
      </c>
      <c r="R1230" s="1144" t="n">
        <v>3824.8</v>
      </c>
      <c r="S1230" s="854" t="n">
        <f aca="false">R1230/H1230</f>
        <v>56</v>
      </c>
      <c r="T1230" s="953" t="n">
        <f aca="false">O1230-R1230</f>
        <v>0</v>
      </c>
      <c r="U1230" s="892" t="n">
        <f aca="false">N1230-S1230</f>
        <v>0</v>
      </c>
    </row>
    <row r="1231" customFormat="false" ht="15" hidden="false" customHeight="true" outlineLevel="0" collapsed="false">
      <c r="A1231" s="1533"/>
      <c r="B1231" s="847" t="s">
        <v>86</v>
      </c>
      <c r="C1231" s="847" t="n">
        <v>2024</v>
      </c>
      <c r="D1231" s="848" t="s">
        <v>13</v>
      </c>
      <c r="E1231" s="848" t="s">
        <v>2203</v>
      </c>
      <c r="F1231" s="848"/>
      <c r="G1231" s="849"/>
      <c r="H1231" s="949" t="n">
        <v>64.5</v>
      </c>
      <c r="I1231" s="950"/>
      <c r="J1231" s="950"/>
      <c r="K1231" s="852" t="n">
        <f aca="false">H1231*I1231/100</f>
        <v>0</v>
      </c>
      <c r="L1231" s="1006" t="n">
        <v>535</v>
      </c>
      <c r="M1231" s="1007" t="n">
        <v>1</v>
      </c>
      <c r="N1231" s="537" t="n">
        <f aca="false">L1231*M1231</f>
        <v>535</v>
      </c>
      <c r="O1231" s="953" t="n">
        <f aca="false">H1231*N1231</f>
        <v>34507.5</v>
      </c>
      <c r="P1231" s="856" t="s">
        <v>2200</v>
      </c>
      <c r="Q1231" s="1083" t="s">
        <v>2679</v>
      </c>
      <c r="R1231" s="1144" t="n">
        <v>34507.5</v>
      </c>
      <c r="S1231" s="866" t="n">
        <f aca="false">R1231/H1231</f>
        <v>535</v>
      </c>
      <c r="T1231" s="1449" t="n">
        <f aca="false">O1231-R1231</f>
        <v>0</v>
      </c>
      <c r="U1231" s="1135" t="n">
        <f aca="false">N1231-S1231</f>
        <v>0</v>
      </c>
    </row>
    <row r="1232" customFormat="false" ht="15" hidden="false" customHeight="true" outlineLevel="0" collapsed="false">
      <c r="A1232" s="1533"/>
      <c r="B1232" s="847" t="s">
        <v>86</v>
      </c>
      <c r="C1232" s="847" t="n">
        <v>2024</v>
      </c>
      <c r="D1232" s="848" t="s">
        <v>13</v>
      </c>
      <c r="E1232" s="848" t="s">
        <v>2241</v>
      </c>
      <c r="F1232" s="848"/>
      <c r="G1232" s="849"/>
      <c r="H1232" s="949" t="n">
        <v>51.9</v>
      </c>
      <c r="I1232" s="950"/>
      <c r="J1232" s="950"/>
      <c r="K1232" s="852" t="n">
        <f aca="false">H1232*I1232/100</f>
        <v>0</v>
      </c>
      <c r="L1232" s="1006" t="n">
        <v>158</v>
      </c>
      <c r="M1232" s="1007" t="n">
        <v>1</v>
      </c>
      <c r="N1232" s="537" t="n">
        <f aca="false">L1232*M1232</f>
        <v>158</v>
      </c>
      <c r="O1232" s="953" t="n">
        <f aca="false">H1232*N1232</f>
        <v>8200.2</v>
      </c>
      <c r="P1232" s="856" t="s">
        <v>2200</v>
      </c>
      <c r="Q1232" s="1083" t="s">
        <v>2679</v>
      </c>
      <c r="R1232" s="1144" t="n">
        <v>8200.2</v>
      </c>
      <c r="S1232" s="866" t="n">
        <f aca="false">R1232/H1232</f>
        <v>158</v>
      </c>
      <c r="T1232" s="1449" t="n">
        <f aca="false">O1232-R1232</f>
        <v>0</v>
      </c>
      <c r="U1232" s="1135" t="n">
        <f aca="false">N1232-S1232</f>
        <v>0</v>
      </c>
    </row>
    <row r="1233" customFormat="false" ht="15" hidden="false" customHeight="true" outlineLevel="0" collapsed="false">
      <c r="A1233" s="1533"/>
      <c r="B1233" s="903" t="s">
        <v>86</v>
      </c>
      <c r="C1233" s="903" t="n">
        <v>2024</v>
      </c>
      <c r="D1233" s="904" t="s">
        <v>13</v>
      </c>
      <c r="E1233" s="904" t="s">
        <v>2205</v>
      </c>
      <c r="F1233" s="904"/>
      <c r="G1233" s="905"/>
      <c r="H1233" s="946" t="n">
        <v>12.2</v>
      </c>
      <c r="I1233" s="947"/>
      <c r="J1233" s="947"/>
      <c r="K1233" s="939" t="n">
        <f aca="false">H1233*I1233/100</f>
        <v>0</v>
      </c>
      <c r="L1233" s="1022" t="n">
        <v>614</v>
      </c>
      <c r="M1233" s="1023" t="n">
        <v>1</v>
      </c>
      <c r="N1233" s="942" t="n">
        <f aca="false">L1233*M1233</f>
        <v>614</v>
      </c>
      <c r="O1233" s="948" t="n">
        <f aca="false">H1233*N1233</f>
        <v>7490.8</v>
      </c>
      <c r="P1233" s="910" t="s">
        <v>2200</v>
      </c>
      <c r="Q1233" s="1068" t="s">
        <v>2679</v>
      </c>
      <c r="R1233" s="1138" t="n">
        <v>7490.8</v>
      </c>
      <c r="S1233" s="866" t="n">
        <f aca="false">R1233/H1233</f>
        <v>614</v>
      </c>
      <c r="T1233" s="1403" t="n">
        <f aca="false">O1233-R1233</f>
        <v>0</v>
      </c>
      <c r="U1233" s="1293" t="n">
        <f aca="false">N1233-S1233</f>
        <v>0</v>
      </c>
    </row>
    <row r="1234" customFormat="false" ht="15" hidden="false" customHeight="true" outlineLevel="0" collapsed="false">
      <c r="A1234" s="882" t="n">
        <v>224</v>
      </c>
      <c r="B1234" s="883" t="s">
        <v>2207</v>
      </c>
      <c r="C1234" s="1173" t="n">
        <v>2024</v>
      </c>
      <c r="D1234" s="831" t="s">
        <v>13</v>
      </c>
      <c r="E1234" s="831" t="s">
        <v>2192</v>
      </c>
      <c r="F1234" s="832" t="s">
        <v>1651</v>
      </c>
      <c r="G1234" s="833"/>
      <c r="H1234" s="834" t="n">
        <v>27.0113</v>
      </c>
      <c r="I1234" s="835"/>
      <c r="J1234" s="835"/>
      <c r="K1234" s="836" t="n">
        <f aca="false">H1234*I1234/100</f>
        <v>0</v>
      </c>
      <c r="L1234" s="1002" t="n">
        <v>22400</v>
      </c>
      <c r="M1234" s="1003" t="n">
        <v>1</v>
      </c>
      <c r="N1234" s="837" t="n">
        <f aca="false">L1234*M1234</f>
        <v>22400</v>
      </c>
      <c r="O1234" s="943" t="n">
        <f aca="false">H1234*N1234</f>
        <v>605053.12</v>
      </c>
      <c r="P1234" s="838" t="s">
        <v>2197</v>
      </c>
      <c r="Q1234" s="1076" t="s">
        <v>2789</v>
      </c>
      <c r="R1234" s="1145" t="n">
        <v>269842.887</v>
      </c>
      <c r="S1234" s="886" t="n">
        <f aca="false">R1234/H1234</f>
        <v>9990</v>
      </c>
      <c r="T1234" s="943" t="n">
        <f aca="false">O1234-R1234-R1235-R1236</f>
        <v>0</v>
      </c>
      <c r="U1234" s="842" t="n">
        <f aca="false">N1234-S1234-S1235-S1236</f>
        <v>0</v>
      </c>
    </row>
    <row r="1235" customFormat="false" ht="15" hidden="false" customHeight="true" outlineLevel="0" collapsed="false">
      <c r="A1235" s="882"/>
      <c r="B1235" s="883"/>
      <c r="C1235" s="859" t="n">
        <v>2024</v>
      </c>
      <c r="D1235" s="860" t="s">
        <v>13</v>
      </c>
      <c r="E1235" s="860" t="s">
        <v>2192</v>
      </c>
      <c r="F1235" s="832"/>
      <c r="G1235" s="833"/>
      <c r="H1235" s="834"/>
      <c r="I1235" s="835"/>
      <c r="J1235" s="835"/>
      <c r="K1235" s="836"/>
      <c r="L1235" s="1002"/>
      <c r="M1235" s="1003"/>
      <c r="N1235" s="837"/>
      <c r="O1235" s="943"/>
      <c r="P1235" s="868" t="s">
        <v>2197</v>
      </c>
      <c r="Q1235" s="984" t="s">
        <v>2790</v>
      </c>
      <c r="R1235" s="1147" t="n">
        <v>269842.887</v>
      </c>
      <c r="S1235" s="866" t="n">
        <f aca="false">R1235/H1234</f>
        <v>9990</v>
      </c>
      <c r="T1235" s="943"/>
      <c r="U1235" s="842"/>
    </row>
    <row r="1236" customFormat="false" ht="15" hidden="false" customHeight="true" outlineLevel="0" collapsed="false">
      <c r="A1236" s="882"/>
      <c r="B1236" s="883"/>
      <c r="C1236" s="893" t="n">
        <v>2024</v>
      </c>
      <c r="D1236" s="843" t="s">
        <v>13</v>
      </c>
      <c r="E1236" s="843" t="s">
        <v>2192</v>
      </c>
      <c r="F1236" s="832"/>
      <c r="G1236" s="833"/>
      <c r="H1236" s="834"/>
      <c r="I1236" s="835"/>
      <c r="J1236" s="835"/>
      <c r="K1236" s="836"/>
      <c r="L1236" s="1002"/>
      <c r="M1236" s="1003"/>
      <c r="N1236" s="837"/>
      <c r="O1236" s="943"/>
      <c r="P1236" s="844" t="s">
        <v>2197</v>
      </c>
      <c r="Q1236" s="1085" t="s">
        <v>2791</v>
      </c>
      <c r="R1236" s="1136" t="n">
        <v>65367.346</v>
      </c>
      <c r="S1236" s="1142" t="n">
        <f aca="false">R1236/H1234</f>
        <v>2420</v>
      </c>
      <c r="T1236" s="943"/>
      <c r="U1236" s="842"/>
    </row>
    <row r="1237" customFormat="false" ht="15" hidden="false" customHeight="true" outlineLevel="0" collapsed="false">
      <c r="A1237" s="829" t="n">
        <v>225</v>
      </c>
      <c r="B1237" s="830" t="s">
        <v>2207</v>
      </c>
      <c r="C1237" s="1173" t="n">
        <v>2024</v>
      </c>
      <c r="D1237" s="831" t="s">
        <v>13</v>
      </c>
      <c r="E1237" s="831" t="s">
        <v>2192</v>
      </c>
      <c r="F1237" s="832" t="s">
        <v>1651</v>
      </c>
      <c r="G1237" s="833"/>
      <c r="H1237" s="834" t="n">
        <v>25.9191</v>
      </c>
      <c r="I1237" s="835"/>
      <c r="J1237" s="835"/>
      <c r="K1237" s="836" t="n">
        <f aca="false">H1237*I1237/100</f>
        <v>0</v>
      </c>
      <c r="L1237" s="1002" t="n">
        <v>4976</v>
      </c>
      <c r="M1237" s="1003" t="n">
        <v>1</v>
      </c>
      <c r="N1237" s="837" t="n">
        <f aca="false">L1237*M1237</f>
        <v>4976</v>
      </c>
      <c r="O1237" s="943" t="n">
        <f aca="false">H1237*N1237</f>
        <v>128973.4416</v>
      </c>
      <c r="P1237" s="838" t="s">
        <v>2197</v>
      </c>
      <c r="Q1237" s="1076" t="s">
        <v>2792</v>
      </c>
      <c r="R1237" s="1145" t="n">
        <v>58317.975</v>
      </c>
      <c r="S1237" s="886" t="n">
        <f aca="false">R1237/H1237</f>
        <v>2250</v>
      </c>
      <c r="T1237" s="943" t="n">
        <f aca="false">O1237-R1237-R1238</f>
        <v>0</v>
      </c>
      <c r="U1237" s="842" t="n">
        <f aca="false">N1237-S1237-S1238</f>
        <v>0</v>
      </c>
    </row>
    <row r="1238" customFormat="false" ht="15" hidden="false" customHeight="true" outlineLevel="0" collapsed="false">
      <c r="A1238" s="829"/>
      <c r="B1238" s="830"/>
      <c r="C1238" s="893" t="n">
        <v>2024</v>
      </c>
      <c r="D1238" s="843" t="s">
        <v>13</v>
      </c>
      <c r="E1238" s="843" t="s">
        <v>2192</v>
      </c>
      <c r="F1238" s="832"/>
      <c r="G1238" s="833"/>
      <c r="H1238" s="834"/>
      <c r="I1238" s="835"/>
      <c r="J1238" s="835"/>
      <c r="K1238" s="836"/>
      <c r="L1238" s="1002"/>
      <c r="M1238" s="1003"/>
      <c r="N1238" s="837"/>
      <c r="O1238" s="943"/>
      <c r="P1238" s="844" t="s">
        <v>2197</v>
      </c>
      <c r="Q1238" s="1085" t="s">
        <v>2793</v>
      </c>
      <c r="R1238" s="1136" t="n">
        <v>70655.4666</v>
      </c>
      <c r="S1238" s="846" t="n">
        <f aca="false">R1238/H1237</f>
        <v>2726</v>
      </c>
      <c r="T1238" s="943"/>
      <c r="U1238" s="842"/>
    </row>
    <row r="1239" customFormat="false" ht="15" hidden="false" customHeight="true" outlineLevel="0" collapsed="false">
      <c r="A1239" s="847" t="n">
        <v>79</v>
      </c>
      <c r="B1239" s="847" t="s">
        <v>2230</v>
      </c>
      <c r="C1239" s="847" t="n">
        <v>2024</v>
      </c>
      <c r="D1239" s="848" t="s">
        <v>13</v>
      </c>
      <c r="E1239" s="848" t="s">
        <v>2192</v>
      </c>
      <c r="F1239" s="848" t="s">
        <v>2619</v>
      </c>
      <c r="G1239" s="849"/>
      <c r="H1239" s="949" t="n">
        <v>92.3545</v>
      </c>
      <c r="I1239" s="950"/>
      <c r="J1239" s="950"/>
      <c r="K1239" s="852" t="n">
        <f aca="false">H1239*I1239/100</f>
        <v>0</v>
      </c>
      <c r="L1239" s="1006" t="n">
        <v>1100</v>
      </c>
      <c r="M1239" s="1007" t="n">
        <v>1</v>
      </c>
      <c r="N1239" s="1143" t="n">
        <f aca="false">L1239*M1239</f>
        <v>1100</v>
      </c>
      <c r="O1239" s="1661" t="n">
        <f aca="false">H1239*N1239</f>
        <v>101589.95</v>
      </c>
      <c r="P1239" s="856" t="s">
        <v>2197</v>
      </c>
      <c r="Q1239" s="1083" t="s">
        <v>2794</v>
      </c>
      <c r="R1239" s="1144" t="n">
        <v>101589.95</v>
      </c>
      <c r="S1239" s="854" t="n">
        <f aca="false">R1239/H1239</f>
        <v>1100</v>
      </c>
      <c r="T1239" s="1009" t="n">
        <f aca="false">O1239-R1239</f>
        <v>0</v>
      </c>
      <c r="U1239" s="537" t="n">
        <f aca="false">N1239-S1239</f>
        <v>0</v>
      </c>
    </row>
    <row r="1240" customFormat="false" ht="15" hidden="false" customHeight="true" outlineLevel="0" collapsed="false">
      <c r="A1240" s="847" t="n">
        <v>82</v>
      </c>
      <c r="B1240" s="847" t="s">
        <v>2230</v>
      </c>
      <c r="C1240" s="847" t="n">
        <v>2024</v>
      </c>
      <c r="D1240" s="848" t="s">
        <v>13</v>
      </c>
      <c r="E1240" s="848" t="s">
        <v>2192</v>
      </c>
      <c r="F1240" s="848" t="s">
        <v>2130</v>
      </c>
      <c r="G1240" s="849"/>
      <c r="H1240" s="949" t="n">
        <v>49.877</v>
      </c>
      <c r="I1240" s="950"/>
      <c r="J1240" s="950"/>
      <c r="K1240" s="852" t="n">
        <f aca="false">H1240*I1240/100</f>
        <v>0</v>
      </c>
      <c r="L1240" s="1006" t="n">
        <v>1275</v>
      </c>
      <c r="M1240" s="1007" t="n">
        <v>1</v>
      </c>
      <c r="N1240" s="1143" t="n">
        <f aca="false">L1240*M1240</f>
        <v>1275</v>
      </c>
      <c r="O1240" s="951" t="n">
        <f aca="false">H1240*N1240</f>
        <v>63593.175</v>
      </c>
      <c r="P1240" s="856" t="s">
        <v>2197</v>
      </c>
      <c r="Q1240" s="1083" t="s">
        <v>2795</v>
      </c>
      <c r="R1240" s="1144" t="n">
        <v>63593.175</v>
      </c>
      <c r="S1240" s="854" t="n">
        <f aca="false">R1240/H1240</f>
        <v>1275</v>
      </c>
      <c r="T1240" s="1009" t="n">
        <f aca="false">O1240-R1240</f>
        <v>0</v>
      </c>
      <c r="U1240" s="537" t="n">
        <f aca="false">N1240-S1240</f>
        <v>0</v>
      </c>
    </row>
    <row r="1241" customFormat="false" ht="15" hidden="false" customHeight="true" outlineLevel="0" collapsed="false">
      <c r="A1241" s="1229" t="n">
        <v>156</v>
      </c>
      <c r="B1241" s="1229" t="s">
        <v>86</v>
      </c>
      <c r="C1241" s="1229" t="n">
        <v>2024</v>
      </c>
      <c r="D1241" s="1230" t="s">
        <v>13</v>
      </c>
      <c r="E1241" s="1230" t="s">
        <v>2242</v>
      </c>
      <c r="F1241" s="1230"/>
      <c r="G1241" s="1231"/>
      <c r="H1241" s="1232" t="n">
        <v>34.3602</v>
      </c>
      <c r="I1241" s="1233"/>
      <c r="J1241" s="1233"/>
      <c r="K1241" s="1160" t="n">
        <f aca="false">H1241*I1241/100</f>
        <v>0</v>
      </c>
      <c r="L1241" s="1234" t="n">
        <v>46202</v>
      </c>
      <c r="M1241" s="1235" t="n">
        <v>1</v>
      </c>
      <c r="N1241" s="1321" t="n">
        <f aca="false">L1241*M1241</f>
        <v>46202</v>
      </c>
      <c r="O1241" s="1675" t="n">
        <f aca="false">H1241*N1241</f>
        <v>1587509.9604</v>
      </c>
      <c r="P1241" s="1236"/>
      <c r="Q1241" s="1237"/>
      <c r="R1241" s="1676"/>
      <c r="S1241" s="1177"/>
      <c r="T1241" s="1164" t="n">
        <f aca="false">O1241-R1241</f>
        <v>1587509.9604</v>
      </c>
      <c r="U1241" s="1163" t="n">
        <f aca="false">N1241-S1241</f>
        <v>46202</v>
      </c>
    </row>
    <row r="1242" customFormat="false" ht="15" hidden="false" customHeight="true" outlineLevel="0" collapsed="false">
      <c r="A1242" s="870"/>
      <c r="B1242" s="870"/>
      <c r="C1242" s="870"/>
      <c r="D1242" s="871"/>
      <c r="E1242" s="871"/>
      <c r="F1242" s="871"/>
      <c r="G1242" s="872"/>
      <c r="H1242" s="873"/>
      <c r="I1242" s="1117"/>
      <c r="J1242" s="1117"/>
      <c r="K1242" s="875"/>
      <c r="L1242" s="1301"/>
      <c r="M1242" s="1000"/>
      <c r="N1242" s="1301"/>
      <c r="O1242" s="876"/>
      <c r="P1242" s="879"/>
      <c r="Q1242" s="880"/>
      <c r="R1242" s="1587"/>
      <c r="S1242" s="877"/>
      <c r="T1242" s="553"/>
      <c r="U1242" s="553"/>
    </row>
    <row r="1243" customFormat="false" ht="15" hidden="false" customHeight="true" outlineLevel="0" collapsed="false">
      <c r="A1243" s="829" t="n">
        <v>76</v>
      </c>
      <c r="B1243" s="830" t="s">
        <v>86</v>
      </c>
      <c r="C1243" s="830" t="n">
        <v>2023</v>
      </c>
      <c r="D1243" s="1607" t="s">
        <v>18</v>
      </c>
      <c r="E1243" s="1607" t="s">
        <v>2192</v>
      </c>
      <c r="F1243" s="832" t="s">
        <v>1650</v>
      </c>
      <c r="G1243" s="833"/>
      <c r="H1243" s="834" t="n">
        <v>92.9</v>
      </c>
      <c r="I1243" s="1020" t="n">
        <v>88</v>
      </c>
      <c r="J1243" s="1020" t="n">
        <v>71</v>
      </c>
      <c r="K1243" s="836" t="n">
        <f aca="false">H1243*I1243/100</f>
        <v>81.752</v>
      </c>
      <c r="L1243" s="1075" t="n">
        <v>11260</v>
      </c>
      <c r="M1243" s="1003" t="n">
        <v>1</v>
      </c>
      <c r="N1243" s="1075" t="n">
        <f aca="false">L1243*M1243</f>
        <v>11260</v>
      </c>
      <c r="O1243" s="1075" t="n">
        <f aca="false">H1243*N1243</f>
        <v>1046054</v>
      </c>
      <c r="P1243" s="884" t="s">
        <v>2193</v>
      </c>
      <c r="Q1243" s="885" t="s">
        <v>2796</v>
      </c>
      <c r="R1243" s="1665" t="n">
        <v>46450</v>
      </c>
      <c r="S1243" s="886" t="n">
        <f aca="false">R1243/H1243</f>
        <v>500</v>
      </c>
      <c r="T1243" s="1017" t="n">
        <f aca="false">O1243-R1243-R1250-R1244-R1249-R1245-R1246-R1248-R1247</f>
        <v>0</v>
      </c>
      <c r="U1243" s="842" t="n">
        <f aca="false">N1243-S1243-S1250-S1244-S1249-S1245-S1246-S1248-S1247</f>
        <v>0</v>
      </c>
    </row>
    <row r="1244" customFormat="false" ht="15" hidden="false" customHeight="true" outlineLevel="0" collapsed="false">
      <c r="A1244" s="829"/>
      <c r="B1244" s="830"/>
      <c r="C1244" s="830"/>
      <c r="D1244" s="1480" t="s">
        <v>18</v>
      </c>
      <c r="E1244" s="1480" t="s">
        <v>2192</v>
      </c>
      <c r="F1244" s="832"/>
      <c r="G1244" s="833"/>
      <c r="H1244" s="834"/>
      <c r="I1244" s="1020"/>
      <c r="J1244" s="1020"/>
      <c r="K1244" s="836"/>
      <c r="L1244" s="1075"/>
      <c r="M1244" s="1003"/>
      <c r="N1244" s="1075"/>
      <c r="O1244" s="1075"/>
      <c r="P1244" s="868" t="s">
        <v>2193</v>
      </c>
      <c r="Q1244" s="869" t="s">
        <v>2797</v>
      </c>
      <c r="R1244" s="1521" t="n">
        <v>115475</v>
      </c>
      <c r="S1244" s="866" t="n">
        <f aca="false">R1244/H1243</f>
        <v>1243.00322927879</v>
      </c>
      <c r="T1244" s="1017"/>
      <c r="U1244" s="842"/>
    </row>
    <row r="1245" customFormat="false" ht="15" hidden="false" customHeight="true" outlineLevel="0" collapsed="false">
      <c r="A1245" s="829"/>
      <c r="B1245" s="830"/>
      <c r="C1245" s="830"/>
      <c r="D1245" s="1480" t="s">
        <v>18</v>
      </c>
      <c r="E1245" s="1480" t="s">
        <v>2192</v>
      </c>
      <c r="F1245" s="832"/>
      <c r="G1245" s="833"/>
      <c r="H1245" s="834"/>
      <c r="I1245" s="1020"/>
      <c r="J1245" s="1020"/>
      <c r="K1245" s="836"/>
      <c r="L1245" s="1075"/>
      <c r="M1245" s="1003"/>
      <c r="N1245" s="1075"/>
      <c r="O1245" s="1075"/>
      <c r="P1245" s="868" t="s">
        <v>2193</v>
      </c>
      <c r="Q1245" s="869" t="s">
        <v>2798</v>
      </c>
      <c r="R1245" s="1521" t="n">
        <v>111480</v>
      </c>
      <c r="S1245" s="866" t="n">
        <f aca="false">R1245/H1243</f>
        <v>1200</v>
      </c>
      <c r="T1245" s="1017"/>
      <c r="U1245" s="842"/>
    </row>
    <row r="1246" customFormat="false" ht="15" hidden="false" customHeight="true" outlineLevel="0" collapsed="false">
      <c r="A1246" s="829"/>
      <c r="B1246" s="830"/>
      <c r="C1246" s="830"/>
      <c r="D1246" s="1480" t="s">
        <v>18</v>
      </c>
      <c r="E1246" s="1480" t="s">
        <v>2192</v>
      </c>
      <c r="F1246" s="832"/>
      <c r="G1246" s="833"/>
      <c r="H1246" s="834"/>
      <c r="I1246" s="1020"/>
      <c r="J1246" s="1020"/>
      <c r="K1246" s="836"/>
      <c r="L1246" s="1075"/>
      <c r="M1246" s="1003"/>
      <c r="N1246" s="1075"/>
      <c r="O1246" s="1075"/>
      <c r="P1246" s="868" t="s">
        <v>2193</v>
      </c>
      <c r="Q1246" s="869" t="s">
        <v>98</v>
      </c>
      <c r="R1246" s="1521" t="n">
        <v>27870</v>
      </c>
      <c r="S1246" s="866" t="n">
        <f aca="false">R1246/H1243</f>
        <v>300</v>
      </c>
      <c r="T1246" s="1017"/>
      <c r="U1246" s="842"/>
    </row>
    <row r="1247" customFormat="false" ht="15" hidden="false" customHeight="true" outlineLevel="0" collapsed="false">
      <c r="A1247" s="829"/>
      <c r="B1247" s="830"/>
      <c r="C1247" s="830"/>
      <c r="D1247" s="1480" t="s">
        <v>18</v>
      </c>
      <c r="E1247" s="1480" t="s">
        <v>2192</v>
      </c>
      <c r="F1247" s="832"/>
      <c r="G1247" s="833"/>
      <c r="H1247" s="834"/>
      <c r="I1247" s="1020"/>
      <c r="J1247" s="1020"/>
      <c r="K1247" s="836"/>
      <c r="L1247" s="1075"/>
      <c r="M1247" s="1003"/>
      <c r="N1247" s="1075"/>
      <c r="O1247" s="1075"/>
      <c r="P1247" s="868" t="s">
        <v>2193</v>
      </c>
      <c r="Q1247" s="869" t="s">
        <v>105</v>
      </c>
      <c r="R1247" s="1521" t="n">
        <v>699072.2</v>
      </c>
      <c r="S1247" s="866" t="n">
        <f aca="false">R1247/H1243</f>
        <v>7524.9967707212</v>
      </c>
      <c r="T1247" s="1017"/>
      <c r="U1247" s="842"/>
    </row>
    <row r="1248" customFormat="false" ht="15" hidden="false" customHeight="true" outlineLevel="0" collapsed="false">
      <c r="A1248" s="829"/>
      <c r="B1248" s="830"/>
      <c r="C1248" s="830"/>
      <c r="D1248" s="1480" t="s">
        <v>18</v>
      </c>
      <c r="E1248" s="1480" t="s">
        <v>2192</v>
      </c>
      <c r="F1248" s="832"/>
      <c r="G1248" s="833"/>
      <c r="H1248" s="834"/>
      <c r="I1248" s="1020"/>
      <c r="J1248" s="1020"/>
      <c r="K1248" s="836"/>
      <c r="L1248" s="1075"/>
      <c r="M1248" s="1003"/>
      <c r="N1248" s="1075"/>
      <c r="O1248" s="1075"/>
      <c r="P1248" s="868" t="s">
        <v>2193</v>
      </c>
      <c r="Q1248" s="869" t="s">
        <v>104</v>
      </c>
      <c r="R1248" s="1521" t="n">
        <v>30842.8</v>
      </c>
      <c r="S1248" s="866" t="n">
        <f aca="false">R1248/H1243</f>
        <v>332</v>
      </c>
      <c r="T1248" s="1017"/>
      <c r="U1248" s="842"/>
    </row>
    <row r="1249" customFormat="false" ht="15" hidden="false" customHeight="true" outlineLevel="0" collapsed="false">
      <c r="A1249" s="829"/>
      <c r="B1249" s="830"/>
      <c r="C1249" s="830"/>
      <c r="D1249" s="1480" t="s">
        <v>18</v>
      </c>
      <c r="E1249" s="1480" t="s">
        <v>2192</v>
      </c>
      <c r="F1249" s="832"/>
      <c r="G1249" s="833"/>
      <c r="H1249" s="834"/>
      <c r="I1249" s="1020"/>
      <c r="J1249" s="1020"/>
      <c r="K1249" s="836"/>
      <c r="L1249" s="1075"/>
      <c r="M1249" s="1003"/>
      <c r="N1249" s="1075"/>
      <c r="O1249" s="1075"/>
      <c r="P1249" s="868" t="s">
        <v>2193</v>
      </c>
      <c r="Q1249" s="869" t="s">
        <v>2799</v>
      </c>
      <c r="R1249" s="1521" t="n">
        <v>5574</v>
      </c>
      <c r="S1249" s="866" t="n">
        <f aca="false">R1249/H1243</f>
        <v>60</v>
      </c>
      <c r="T1249" s="1017"/>
      <c r="U1249" s="842"/>
    </row>
    <row r="1250" customFormat="false" ht="15" hidden="false" customHeight="true" outlineLevel="0" collapsed="false">
      <c r="A1250" s="829"/>
      <c r="B1250" s="830"/>
      <c r="C1250" s="830"/>
      <c r="D1250" s="1501" t="s">
        <v>18</v>
      </c>
      <c r="E1250" s="1501" t="s">
        <v>2192</v>
      </c>
      <c r="F1250" s="832"/>
      <c r="G1250" s="833"/>
      <c r="H1250" s="834"/>
      <c r="I1250" s="1020"/>
      <c r="J1250" s="1020"/>
      <c r="K1250" s="836"/>
      <c r="L1250" s="1075"/>
      <c r="M1250" s="1003"/>
      <c r="N1250" s="1075"/>
      <c r="O1250" s="1075"/>
      <c r="P1250" s="888" t="s">
        <v>2193</v>
      </c>
      <c r="Q1250" s="889" t="s">
        <v>2800</v>
      </c>
      <c r="R1250" s="1381" t="n">
        <v>9290</v>
      </c>
      <c r="S1250" s="890" t="n">
        <f aca="false">R1250/H1243</f>
        <v>100</v>
      </c>
      <c r="T1250" s="1017"/>
      <c r="U1250" s="842"/>
    </row>
    <row r="1251" customFormat="false" ht="15" hidden="false" customHeight="true" outlineLevel="0" collapsed="false">
      <c r="A1251" s="882" t="n">
        <v>148</v>
      </c>
      <c r="B1251" s="883" t="s">
        <v>2191</v>
      </c>
      <c r="C1251" s="883" t="n">
        <v>2024</v>
      </c>
      <c r="D1251" s="1365" t="s">
        <v>18</v>
      </c>
      <c r="E1251" s="1365" t="s">
        <v>2192</v>
      </c>
      <c r="F1251" s="832" t="s">
        <v>1651</v>
      </c>
      <c r="G1251" s="833"/>
      <c r="H1251" s="834" t="n">
        <v>25.71</v>
      </c>
      <c r="I1251" s="1020"/>
      <c r="J1251" s="1020"/>
      <c r="K1251" s="836" t="n">
        <f aca="false">H1251*I1251/100</f>
        <v>0</v>
      </c>
      <c r="L1251" s="837" t="n">
        <v>235</v>
      </c>
      <c r="M1251" s="1003" t="n">
        <v>15</v>
      </c>
      <c r="N1251" s="837" t="n">
        <f aca="false">L1251*M1251</f>
        <v>3525</v>
      </c>
      <c r="O1251" s="841" t="n">
        <f aca="false">H1251*N1251</f>
        <v>90627.75</v>
      </c>
      <c r="P1251" s="838" t="s">
        <v>2193</v>
      </c>
      <c r="Q1251" s="839" t="s">
        <v>2801</v>
      </c>
      <c r="R1251" s="1677" t="n">
        <v>771.3</v>
      </c>
      <c r="S1251" s="886" t="n">
        <f aca="false">R1251/H1251</f>
        <v>30</v>
      </c>
      <c r="T1251" s="841" t="n">
        <f aca="false">O1251-R1251-R1253-R1252</f>
        <v>0</v>
      </c>
      <c r="U1251" s="842" t="n">
        <f aca="false">N1251-S1251-S1253-S1252</f>
        <v>0</v>
      </c>
    </row>
    <row r="1252" customFormat="false" ht="15" hidden="false" customHeight="true" outlineLevel="0" collapsed="false">
      <c r="A1252" s="882"/>
      <c r="B1252" s="883"/>
      <c r="C1252" s="883"/>
      <c r="D1252" s="1351" t="s">
        <v>18</v>
      </c>
      <c r="E1252" s="1351" t="s">
        <v>2192</v>
      </c>
      <c r="F1252" s="832"/>
      <c r="G1252" s="833"/>
      <c r="H1252" s="834"/>
      <c r="I1252" s="1020"/>
      <c r="J1252" s="1020"/>
      <c r="K1252" s="836"/>
      <c r="L1252" s="837"/>
      <c r="M1252" s="1003"/>
      <c r="N1252" s="837"/>
      <c r="O1252" s="841"/>
      <c r="P1252" s="910" t="s">
        <v>2232</v>
      </c>
      <c r="Q1252" s="911" t="s">
        <v>2233</v>
      </c>
      <c r="R1252" s="1660" t="n">
        <v>70188.3</v>
      </c>
      <c r="S1252" s="866" t="n">
        <f aca="false">R1252/H1251</f>
        <v>2730</v>
      </c>
      <c r="T1252" s="841"/>
      <c r="U1252" s="842"/>
    </row>
    <row r="1253" customFormat="false" ht="15" hidden="false" customHeight="true" outlineLevel="0" collapsed="false">
      <c r="A1253" s="882"/>
      <c r="B1253" s="883"/>
      <c r="C1253" s="883"/>
      <c r="D1253" s="1357" t="s">
        <v>18</v>
      </c>
      <c r="E1253" s="1357" t="s">
        <v>2192</v>
      </c>
      <c r="F1253" s="832"/>
      <c r="G1253" s="833"/>
      <c r="H1253" s="834"/>
      <c r="I1253" s="1020"/>
      <c r="J1253" s="1020"/>
      <c r="K1253" s="836"/>
      <c r="L1253" s="837"/>
      <c r="M1253" s="1003"/>
      <c r="N1253" s="837"/>
      <c r="O1253" s="841"/>
      <c r="P1253" s="844" t="s">
        <v>2193</v>
      </c>
      <c r="Q1253" s="845" t="s">
        <v>2802</v>
      </c>
      <c r="R1253" s="1657" t="n">
        <v>19668.15</v>
      </c>
      <c r="S1253" s="846" t="n">
        <f aca="false">R1253/H1251</f>
        <v>765</v>
      </c>
      <c r="T1253" s="841"/>
      <c r="U1253" s="842"/>
    </row>
    <row r="1254" customFormat="false" ht="15" hidden="false" customHeight="true" outlineLevel="0" collapsed="false">
      <c r="A1254" s="847" t="n">
        <v>21</v>
      </c>
      <c r="B1254" s="847" t="s">
        <v>2207</v>
      </c>
      <c r="C1254" s="847" t="n">
        <v>2024</v>
      </c>
      <c r="D1254" s="1479" t="s">
        <v>18</v>
      </c>
      <c r="E1254" s="1479" t="s">
        <v>2192</v>
      </c>
      <c r="F1254" s="848" t="s">
        <v>1651</v>
      </c>
      <c r="G1254" s="849"/>
      <c r="H1254" s="949" t="n">
        <v>30.2934</v>
      </c>
      <c r="I1254" s="1397"/>
      <c r="J1254" s="1397"/>
      <c r="K1254" s="852" t="n">
        <f aca="false">H1254*I1254/100</f>
        <v>0</v>
      </c>
      <c r="L1254" s="1143" t="n">
        <v>920</v>
      </c>
      <c r="M1254" s="1007" t="n">
        <v>1</v>
      </c>
      <c r="N1254" s="1143" t="n">
        <f aca="false">L1254*M1254</f>
        <v>920</v>
      </c>
      <c r="O1254" s="1661" t="n">
        <f aca="false">H1254*N1254</f>
        <v>27869.928</v>
      </c>
      <c r="P1254" s="856" t="s">
        <v>2193</v>
      </c>
      <c r="Q1254" s="857" t="s">
        <v>2801</v>
      </c>
      <c r="R1254" s="1678" t="n">
        <v>27869.928</v>
      </c>
      <c r="S1254" s="854" t="n">
        <f aca="false">R1254/H1254</f>
        <v>920</v>
      </c>
      <c r="T1254" s="1009" t="n">
        <f aca="false">O1254-R1254</f>
        <v>0</v>
      </c>
      <c r="U1254" s="537" t="n">
        <f aca="false">N1254-S1254</f>
        <v>0</v>
      </c>
    </row>
    <row r="1255" customFormat="false" ht="15" hidden="false" customHeight="true" outlineLevel="0" collapsed="false">
      <c r="A1255" s="859" t="s">
        <v>2803</v>
      </c>
      <c r="B1255" s="859" t="s">
        <v>2207</v>
      </c>
      <c r="C1255" s="859" t="n">
        <v>2024</v>
      </c>
      <c r="D1255" s="1480" t="s">
        <v>18</v>
      </c>
      <c r="E1255" s="1480" t="s">
        <v>2192</v>
      </c>
      <c r="F1255" s="860" t="s">
        <v>1651</v>
      </c>
      <c r="G1255" s="861"/>
      <c r="H1255" s="980" t="n">
        <v>30.1487</v>
      </c>
      <c r="I1255" s="1429"/>
      <c r="J1255" s="1429"/>
      <c r="K1255" s="864" t="n">
        <f aca="false">H1255*I1255/100</f>
        <v>0</v>
      </c>
      <c r="L1255" s="1299" t="n">
        <v>950</v>
      </c>
      <c r="M1255" s="983" t="n">
        <v>1</v>
      </c>
      <c r="N1255" s="1299" t="n">
        <f aca="false">L1255*M1255</f>
        <v>950</v>
      </c>
      <c r="O1255" s="1149" t="n">
        <f aca="false">H1255*N1255</f>
        <v>28641.265</v>
      </c>
      <c r="P1255" s="868" t="s">
        <v>2197</v>
      </c>
      <c r="Q1255" s="869" t="s">
        <v>2786</v>
      </c>
      <c r="R1255" s="1679" t="n">
        <v>28641.265</v>
      </c>
      <c r="S1255" s="866" t="n">
        <f aca="false">R1255/H1255</f>
        <v>950</v>
      </c>
      <c r="T1255" s="968" t="n">
        <f aca="false">O1255-R1255</f>
        <v>0</v>
      </c>
      <c r="U1255" s="543" t="n">
        <f aca="false">N1255-S1255</f>
        <v>0</v>
      </c>
    </row>
    <row r="1256" customFormat="false" ht="15" hidden="false" customHeight="true" outlineLevel="0" collapsed="false">
      <c r="A1256" s="859" t="n">
        <v>40</v>
      </c>
      <c r="B1256" s="859" t="s">
        <v>2207</v>
      </c>
      <c r="C1256" s="859" t="n">
        <v>2024</v>
      </c>
      <c r="D1256" s="1480" t="s">
        <v>18</v>
      </c>
      <c r="E1256" s="1480" t="s">
        <v>2192</v>
      </c>
      <c r="F1256" s="860" t="s">
        <v>1652</v>
      </c>
      <c r="G1256" s="861"/>
      <c r="H1256" s="980" t="n">
        <v>31.7312</v>
      </c>
      <c r="I1256" s="1429"/>
      <c r="J1256" s="1429"/>
      <c r="K1256" s="864" t="n">
        <f aca="false">H1256*I1256/100</f>
        <v>0</v>
      </c>
      <c r="L1256" s="1299" t="n">
        <v>972</v>
      </c>
      <c r="M1256" s="983" t="n">
        <v>1</v>
      </c>
      <c r="N1256" s="1299" t="n">
        <f aca="false">L1256*M1256</f>
        <v>972</v>
      </c>
      <c r="O1256" s="1149" t="n">
        <f aca="false">H1256*N1256</f>
        <v>30842.7264</v>
      </c>
      <c r="P1256" s="868" t="s">
        <v>2197</v>
      </c>
      <c r="Q1256" s="869" t="s">
        <v>2804</v>
      </c>
      <c r="R1256" s="1679" t="n">
        <v>30842.726</v>
      </c>
      <c r="S1256" s="866" t="n">
        <f aca="false">R1256/H1256</f>
        <v>971.999987394111</v>
      </c>
      <c r="T1256" s="543" t="n">
        <f aca="false">O1256-R1256</f>
        <v>0.000400000000809087</v>
      </c>
      <c r="U1256" s="543" t="n">
        <f aca="false">N1256-S1256</f>
        <v>1.26058895375536E-005</v>
      </c>
    </row>
    <row r="1257" customFormat="false" ht="15" hidden="false" customHeight="true" outlineLevel="0" collapsed="false">
      <c r="A1257" s="870" t="n">
        <v>41</v>
      </c>
      <c r="B1257" s="870" t="s">
        <v>2207</v>
      </c>
      <c r="C1257" s="870" t="n">
        <v>2024</v>
      </c>
      <c r="D1257" s="1478" t="s">
        <v>18</v>
      </c>
      <c r="E1257" s="1478" t="s">
        <v>2192</v>
      </c>
      <c r="F1257" s="871" t="s">
        <v>1651</v>
      </c>
      <c r="G1257" s="872"/>
      <c r="H1257" s="1116" t="n">
        <v>25.1999</v>
      </c>
      <c r="I1257" s="1433"/>
      <c r="J1257" s="1433"/>
      <c r="K1257" s="875" t="n">
        <f aca="false">H1257*I1257/100</f>
        <v>0</v>
      </c>
      <c r="L1257" s="1301" t="n">
        <v>27741</v>
      </c>
      <c r="M1257" s="1000" t="n">
        <v>1</v>
      </c>
      <c r="N1257" s="1301" t="n">
        <f aca="false">L1257*M1257</f>
        <v>27741</v>
      </c>
      <c r="O1257" s="1150" t="n">
        <f aca="false">H1257*N1257</f>
        <v>699070.4259</v>
      </c>
      <c r="P1257" s="879" t="s">
        <v>2193</v>
      </c>
      <c r="Q1257" s="880" t="s">
        <v>2802</v>
      </c>
      <c r="R1257" s="1680" t="n">
        <v>699070.426</v>
      </c>
      <c r="S1257" s="877" t="n">
        <f aca="false">R1257/H1257</f>
        <v>27741.0000039683</v>
      </c>
      <c r="T1257" s="553" t="n">
        <f aca="false">O1257-R1257</f>
        <v>-9.99999465420842E-005</v>
      </c>
      <c r="U1257" s="553" t="n">
        <f aca="false">N1257-S1257</f>
        <v>-3.96827090298757E-006</v>
      </c>
    </row>
    <row r="1258" customFormat="false" ht="15" hidden="false" customHeight="true" outlineLevel="0" collapsed="false">
      <c r="A1258" s="882" t="s">
        <v>2805</v>
      </c>
      <c r="B1258" s="883" t="s">
        <v>2207</v>
      </c>
      <c r="C1258" s="883" t="n">
        <v>2024</v>
      </c>
      <c r="D1258" s="1365" t="s">
        <v>18</v>
      </c>
      <c r="E1258" s="1365" t="s">
        <v>2192</v>
      </c>
      <c r="F1258" s="832" t="s">
        <v>1651</v>
      </c>
      <c r="G1258" s="833"/>
      <c r="H1258" s="834" t="n">
        <v>25.2136</v>
      </c>
      <c r="I1258" s="1020"/>
      <c r="J1258" s="1020"/>
      <c r="K1258" s="836" t="n">
        <f aca="false">H1258*I1258/100</f>
        <v>0</v>
      </c>
      <c r="L1258" s="837" t="n">
        <v>28506</v>
      </c>
      <c r="M1258" s="1003" t="n">
        <v>1</v>
      </c>
      <c r="N1258" s="837" t="n">
        <f aca="false">L1258*M1258</f>
        <v>28506</v>
      </c>
      <c r="O1258" s="1017" t="n">
        <f aca="false">H1258*N1258</f>
        <v>718738.8816</v>
      </c>
      <c r="P1258" s="838" t="s">
        <v>2197</v>
      </c>
      <c r="Q1258" s="839" t="s">
        <v>2806</v>
      </c>
      <c r="R1258" s="1681" t="n">
        <v>251883.864</v>
      </c>
      <c r="S1258" s="840" t="n">
        <f aca="false">R1258/H1258</f>
        <v>9990</v>
      </c>
      <c r="T1258" s="943" t="n">
        <f aca="false">O1258-R1258-R1259-R1260</f>
        <v>0</v>
      </c>
      <c r="U1258" s="842" t="n">
        <f aca="false">N1258-S1258-S1259-S1260</f>
        <v>0</v>
      </c>
    </row>
    <row r="1259" customFormat="false" ht="15" hidden="false" customHeight="true" outlineLevel="0" collapsed="false">
      <c r="A1259" s="882"/>
      <c r="B1259" s="883"/>
      <c r="C1259" s="883"/>
      <c r="D1259" s="1480" t="s">
        <v>18</v>
      </c>
      <c r="E1259" s="1480" t="s">
        <v>2192</v>
      </c>
      <c r="F1259" s="832"/>
      <c r="G1259" s="833"/>
      <c r="H1259" s="834"/>
      <c r="I1259" s="1020"/>
      <c r="J1259" s="1020"/>
      <c r="K1259" s="836"/>
      <c r="L1259" s="837"/>
      <c r="M1259" s="1003"/>
      <c r="N1259" s="837"/>
      <c r="O1259" s="1017"/>
      <c r="P1259" s="868" t="s">
        <v>2197</v>
      </c>
      <c r="Q1259" s="869" t="s">
        <v>2807</v>
      </c>
      <c r="R1259" s="1679" t="n">
        <v>251883.864</v>
      </c>
      <c r="S1259" s="866" t="n">
        <f aca="false">R1259/H1258</f>
        <v>9990</v>
      </c>
      <c r="T1259" s="943"/>
      <c r="U1259" s="842"/>
    </row>
    <row r="1260" customFormat="false" ht="15" hidden="false" customHeight="true" outlineLevel="0" collapsed="false">
      <c r="A1260" s="882"/>
      <c r="B1260" s="883"/>
      <c r="C1260" s="883"/>
      <c r="D1260" s="1357" t="s">
        <v>18</v>
      </c>
      <c r="E1260" s="1357" t="s">
        <v>2192</v>
      </c>
      <c r="F1260" s="832"/>
      <c r="G1260" s="833"/>
      <c r="H1260" s="834"/>
      <c r="I1260" s="1020"/>
      <c r="J1260" s="1020"/>
      <c r="K1260" s="836"/>
      <c r="L1260" s="837"/>
      <c r="M1260" s="1003"/>
      <c r="N1260" s="837"/>
      <c r="O1260" s="1017"/>
      <c r="P1260" s="844" t="s">
        <v>2197</v>
      </c>
      <c r="Q1260" s="845" t="s">
        <v>2808</v>
      </c>
      <c r="R1260" s="1682" t="n">
        <v>214971.1536</v>
      </c>
      <c r="S1260" s="846" t="n">
        <f aca="false">R1260/H1258</f>
        <v>8526</v>
      </c>
      <c r="T1260" s="943"/>
      <c r="U1260" s="842"/>
    </row>
    <row r="1261" customFormat="false" ht="15" hidden="false" customHeight="true" outlineLevel="0" collapsed="false">
      <c r="A1261" s="987" t="n">
        <v>87</v>
      </c>
      <c r="B1261" s="987" t="s">
        <v>81</v>
      </c>
      <c r="C1261" s="987" t="n">
        <v>2024</v>
      </c>
      <c r="D1261" s="1683" t="s">
        <v>18</v>
      </c>
      <c r="E1261" s="1683" t="s">
        <v>2192</v>
      </c>
      <c r="F1261" s="988" t="s">
        <v>2199</v>
      </c>
      <c r="G1261" s="989"/>
      <c r="H1261" s="1684" t="n">
        <v>87.3</v>
      </c>
      <c r="I1261" s="1685"/>
      <c r="J1261" s="1685"/>
      <c r="K1261" s="1686" t="n">
        <f aca="false">H1261*I1261/100</f>
        <v>0</v>
      </c>
      <c r="L1261" s="997" t="n">
        <v>23640</v>
      </c>
      <c r="M1261" s="1687" t="n">
        <v>1</v>
      </c>
      <c r="N1261" s="997" t="n">
        <f aca="false">L1261*M1261</f>
        <v>23640</v>
      </c>
      <c r="O1261" s="1688" t="n">
        <f aca="false">H1261*N1261</f>
        <v>2063772</v>
      </c>
      <c r="P1261" s="996" t="s">
        <v>2200</v>
      </c>
      <c r="Q1261" s="1315" t="s">
        <v>2288</v>
      </c>
      <c r="R1261" s="1689" t="n">
        <v>1969051.5</v>
      </c>
      <c r="S1261" s="926" t="n">
        <f aca="false">R1261/H1261</f>
        <v>22555</v>
      </c>
      <c r="T1261" s="1688" t="n">
        <f aca="false">O1261-R1261</f>
        <v>94720.5</v>
      </c>
      <c r="U1261" s="997" t="n">
        <f aca="false">N1261-S1261</f>
        <v>1085</v>
      </c>
    </row>
    <row r="1262" customFormat="false" ht="15" hidden="false" customHeight="true" outlineLevel="0" collapsed="false">
      <c r="A1262" s="881" t="n">
        <v>92</v>
      </c>
      <c r="B1262" s="1186" t="s">
        <v>86</v>
      </c>
      <c r="C1262" s="1187" t="n">
        <v>2024</v>
      </c>
      <c r="D1262" s="1502" t="s">
        <v>18</v>
      </c>
      <c r="E1262" s="1502" t="s">
        <v>2192</v>
      </c>
      <c r="F1262" s="916" t="s">
        <v>1650</v>
      </c>
      <c r="G1262" s="917"/>
      <c r="H1262" s="918" t="n">
        <v>96.4</v>
      </c>
      <c r="I1262" s="1690" t="n">
        <v>90</v>
      </c>
      <c r="J1262" s="1690"/>
      <c r="K1262" s="920" t="n">
        <f aca="false">H1262*I1262/100</f>
        <v>86.76</v>
      </c>
      <c r="L1262" s="921" t="n">
        <v>19965</v>
      </c>
      <c r="M1262" s="1191" t="n">
        <v>1</v>
      </c>
      <c r="N1262" s="921" t="n">
        <f aca="false">L1262*M1262</f>
        <v>19965</v>
      </c>
      <c r="O1262" s="1691" t="n">
        <f aca="false">H1262*N1262</f>
        <v>1924626</v>
      </c>
      <c r="P1262" s="1193" t="s">
        <v>2197</v>
      </c>
      <c r="Q1262" s="1312" t="s">
        <v>2809</v>
      </c>
      <c r="R1262" s="1692" t="n">
        <v>28920</v>
      </c>
      <c r="S1262" s="926" t="n">
        <f aca="false">R1262/H1262</f>
        <v>300</v>
      </c>
      <c r="T1262" s="1691" t="n">
        <f aca="false">O1262-R1262-R1266-R1265-R1263-R1264</f>
        <v>636914.8</v>
      </c>
      <c r="U1262" s="928" t="n">
        <f aca="false">N1262-S1262-S1266-S1265-S1263-S1264</f>
        <v>6607</v>
      </c>
    </row>
    <row r="1263" customFormat="false" ht="15" hidden="false" customHeight="true" outlineLevel="0" collapsed="false">
      <c r="A1263" s="881"/>
      <c r="B1263" s="1186"/>
      <c r="C1263" s="1187"/>
      <c r="D1263" s="1693" t="s">
        <v>18</v>
      </c>
      <c r="E1263" s="1693" t="s">
        <v>2192</v>
      </c>
      <c r="F1263" s="916"/>
      <c r="G1263" s="917"/>
      <c r="H1263" s="918"/>
      <c r="I1263" s="1690"/>
      <c r="J1263" s="1690"/>
      <c r="K1263" s="920"/>
      <c r="L1263" s="921"/>
      <c r="M1263" s="1191"/>
      <c r="N1263" s="921"/>
      <c r="O1263" s="1691"/>
      <c r="P1263" s="1098" t="s">
        <v>2197</v>
      </c>
      <c r="Q1263" s="1694" t="s">
        <v>2810</v>
      </c>
      <c r="R1263" s="1695" t="n">
        <v>615321.2</v>
      </c>
      <c r="S1263" s="933" t="n">
        <f aca="false">R1263/H1262</f>
        <v>6383</v>
      </c>
      <c r="T1263" s="1691"/>
      <c r="U1263" s="928"/>
    </row>
    <row r="1264" customFormat="false" ht="15" hidden="false" customHeight="true" outlineLevel="0" collapsed="false">
      <c r="A1264" s="881"/>
      <c r="B1264" s="1186"/>
      <c r="C1264" s="1187"/>
      <c r="D1264" s="1693" t="s">
        <v>18</v>
      </c>
      <c r="E1264" s="1693" t="s">
        <v>2192</v>
      </c>
      <c r="F1264" s="916"/>
      <c r="G1264" s="917"/>
      <c r="H1264" s="918"/>
      <c r="I1264" s="1690"/>
      <c r="J1264" s="1690"/>
      <c r="K1264" s="920"/>
      <c r="L1264" s="921"/>
      <c r="M1264" s="1191"/>
      <c r="N1264" s="921"/>
      <c r="O1264" s="1691"/>
      <c r="P1264" s="1098" t="s">
        <v>2197</v>
      </c>
      <c r="Q1264" s="1694" t="s">
        <v>2811</v>
      </c>
      <c r="R1264" s="1695" t="n">
        <v>121464</v>
      </c>
      <c r="S1264" s="933" t="n">
        <f aca="false">R1264/H1262</f>
        <v>1260</v>
      </c>
      <c r="T1264" s="1691"/>
      <c r="U1264" s="928"/>
    </row>
    <row r="1265" customFormat="false" ht="15" hidden="false" customHeight="true" outlineLevel="0" collapsed="false">
      <c r="A1265" s="881"/>
      <c r="B1265" s="1186"/>
      <c r="C1265" s="1187"/>
      <c r="D1265" s="1477" t="s">
        <v>18</v>
      </c>
      <c r="E1265" s="1477" t="s">
        <v>2192</v>
      </c>
      <c r="F1265" s="916"/>
      <c r="G1265" s="917"/>
      <c r="H1265" s="918"/>
      <c r="I1265" s="1690"/>
      <c r="J1265" s="1690"/>
      <c r="K1265" s="920"/>
      <c r="L1265" s="921"/>
      <c r="M1265" s="1191"/>
      <c r="N1265" s="921"/>
      <c r="O1265" s="1691"/>
      <c r="P1265" s="930"/>
      <c r="Q1265" s="931" t="s">
        <v>995</v>
      </c>
      <c r="R1265" s="1696" t="n">
        <v>464166</v>
      </c>
      <c r="S1265" s="933" t="n">
        <f aca="false">R1265/H1262</f>
        <v>4815</v>
      </c>
      <c r="T1265" s="1691"/>
      <c r="U1265" s="928"/>
    </row>
    <row r="1266" customFormat="false" ht="15" hidden="false" customHeight="true" outlineLevel="0" collapsed="false">
      <c r="A1266" s="881"/>
      <c r="B1266" s="1186"/>
      <c r="C1266" s="1187"/>
      <c r="D1266" s="1697" t="s">
        <v>18</v>
      </c>
      <c r="E1266" s="1697" t="s">
        <v>2192</v>
      </c>
      <c r="F1266" s="916"/>
      <c r="G1266" s="917"/>
      <c r="H1266" s="918"/>
      <c r="I1266" s="1690"/>
      <c r="J1266" s="1690"/>
      <c r="K1266" s="920"/>
      <c r="L1266" s="921"/>
      <c r="M1266" s="1191"/>
      <c r="N1266" s="921"/>
      <c r="O1266" s="1691"/>
      <c r="P1266" s="1672" t="s">
        <v>2193</v>
      </c>
      <c r="Q1266" s="1698" t="s">
        <v>2812</v>
      </c>
      <c r="R1266" s="1699" t="n">
        <v>57840</v>
      </c>
      <c r="S1266" s="1700" t="n">
        <f aca="false">R1266/H1262</f>
        <v>600</v>
      </c>
      <c r="T1266" s="1691"/>
      <c r="U1266" s="928"/>
    </row>
    <row r="1267" customFormat="false" ht="15" hidden="false" customHeight="true" outlineLevel="0" collapsed="false">
      <c r="A1267" s="881"/>
      <c r="B1267" s="1155" t="s">
        <v>86</v>
      </c>
      <c r="C1267" s="1155" t="n">
        <v>2024</v>
      </c>
      <c r="D1267" s="1506" t="s">
        <v>18</v>
      </c>
      <c r="E1267" s="1506" t="s">
        <v>2242</v>
      </c>
      <c r="F1267" s="1156"/>
      <c r="G1267" s="1157"/>
      <c r="H1267" s="1389" t="n">
        <v>27.2</v>
      </c>
      <c r="I1267" s="1513"/>
      <c r="J1267" s="1513"/>
      <c r="K1267" s="1160" t="n">
        <f aca="false">H1267*I1267/100</f>
        <v>0</v>
      </c>
      <c r="L1267" s="1163" t="n">
        <v>230</v>
      </c>
      <c r="M1267" s="1162" t="n">
        <v>1</v>
      </c>
      <c r="N1267" s="1163" t="n">
        <f aca="false">L1267*M1267</f>
        <v>230</v>
      </c>
      <c r="O1267" s="1164" t="n">
        <f aca="false">H1267*N1267</f>
        <v>6256</v>
      </c>
      <c r="P1267" s="1165"/>
      <c r="Q1267" s="1323"/>
      <c r="R1267" s="1701"/>
      <c r="S1267" s="1168"/>
      <c r="T1267" s="1164" t="n">
        <f aca="false">O1267-R1267</f>
        <v>6256</v>
      </c>
      <c r="U1267" s="1170" t="n">
        <f aca="false">N1267-S1267</f>
        <v>230</v>
      </c>
    </row>
    <row r="1268" customFormat="false" ht="15" hidden="false" customHeight="true" outlineLevel="0" collapsed="false">
      <c r="A1268" s="881"/>
      <c r="B1268" s="847" t="s">
        <v>86</v>
      </c>
      <c r="C1268" s="847" t="n">
        <v>2024</v>
      </c>
      <c r="D1268" s="1479" t="s">
        <v>18</v>
      </c>
      <c r="E1268" s="1479" t="s">
        <v>2203</v>
      </c>
      <c r="F1268" s="848"/>
      <c r="G1268" s="849"/>
      <c r="H1268" s="949" t="n">
        <v>2.1</v>
      </c>
      <c r="I1268" s="1397"/>
      <c r="J1268" s="1397"/>
      <c r="K1268" s="852" t="n">
        <f aca="false">H1268*I1268/100</f>
        <v>0</v>
      </c>
      <c r="L1268" s="537" t="n">
        <v>1546</v>
      </c>
      <c r="M1268" s="1007" t="n">
        <v>1</v>
      </c>
      <c r="N1268" s="537" t="n">
        <f aca="false">L1268*M1268</f>
        <v>1546</v>
      </c>
      <c r="O1268" s="1009" t="n">
        <f aca="false">H1268*N1268</f>
        <v>3246.6</v>
      </c>
      <c r="P1268" s="856" t="s">
        <v>2204</v>
      </c>
      <c r="Q1268" s="857" t="n">
        <v>31012025</v>
      </c>
      <c r="R1268" s="1678" t="n">
        <v>3246.6</v>
      </c>
      <c r="S1268" s="866" t="n">
        <f aca="false">R1268/H1268</f>
        <v>1546</v>
      </c>
      <c r="T1268" s="1009" t="n">
        <f aca="false">O1268-R1268</f>
        <v>0</v>
      </c>
      <c r="U1268" s="892" t="n">
        <f aca="false">N1268-S1268</f>
        <v>0</v>
      </c>
    </row>
    <row r="1269" customFormat="false" ht="15" hidden="false" customHeight="true" outlineLevel="0" collapsed="false">
      <c r="A1269" s="881"/>
      <c r="B1269" s="1072" t="s">
        <v>86</v>
      </c>
      <c r="C1269" s="1072" t="n">
        <v>2024</v>
      </c>
      <c r="D1269" s="1501" t="s">
        <v>18</v>
      </c>
      <c r="E1269" s="1501" t="s">
        <v>2205</v>
      </c>
      <c r="F1269" s="887"/>
      <c r="G1269" s="1062"/>
      <c r="H1269" s="1077" t="n">
        <v>13</v>
      </c>
      <c r="I1269" s="1078"/>
      <c r="J1269" s="1078"/>
      <c r="K1269" s="1064" t="n">
        <f aca="false">H1269*I1269/100</f>
        <v>0</v>
      </c>
      <c r="L1269" s="1067" t="n">
        <v>631</v>
      </c>
      <c r="M1269" s="1066" t="n">
        <v>1</v>
      </c>
      <c r="N1269" s="1067" t="n">
        <f aca="false">L1269*M1269</f>
        <v>631</v>
      </c>
      <c r="O1269" s="1172" t="n">
        <f aca="false">H1269*N1269</f>
        <v>8203</v>
      </c>
      <c r="P1269" s="888" t="s">
        <v>2204</v>
      </c>
      <c r="Q1269" s="889" t="n">
        <v>28022025</v>
      </c>
      <c r="R1269" s="1702" t="n">
        <v>8203</v>
      </c>
      <c r="S1269" s="866" t="n">
        <f aca="false">R1269/H1269</f>
        <v>631</v>
      </c>
      <c r="T1269" s="1172" t="n">
        <f aca="false">O1269-R1269</f>
        <v>0</v>
      </c>
      <c r="U1269" s="1070" t="n">
        <f aca="false">N1269-S1269</f>
        <v>0</v>
      </c>
    </row>
    <row r="1270" customFormat="false" ht="15" hidden="false" customHeight="true" outlineLevel="0" collapsed="false">
      <c r="A1270" s="847" t="n">
        <v>167</v>
      </c>
      <c r="B1270" s="847" t="s">
        <v>2207</v>
      </c>
      <c r="C1270" s="847" t="n">
        <v>2024</v>
      </c>
      <c r="D1270" s="1479" t="s">
        <v>18</v>
      </c>
      <c r="E1270" s="1479" t="s">
        <v>2192</v>
      </c>
      <c r="F1270" s="848" t="s">
        <v>1651</v>
      </c>
      <c r="G1270" s="849"/>
      <c r="H1270" s="949" t="n">
        <v>29.0653</v>
      </c>
      <c r="I1270" s="1397"/>
      <c r="J1270" s="1397"/>
      <c r="K1270" s="852" t="n">
        <f aca="false">H1270*I1270/100</f>
        <v>0</v>
      </c>
      <c r="L1270" s="537" t="n">
        <v>1990</v>
      </c>
      <c r="M1270" s="1007" t="n">
        <v>1</v>
      </c>
      <c r="N1270" s="537" t="n">
        <f aca="false">L1270*M1270</f>
        <v>1990</v>
      </c>
      <c r="O1270" s="1009" t="n">
        <f aca="false">H1270*N1270</f>
        <v>57839.947</v>
      </c>
      <c r="P1270" s="856" t="s">
        <v>2197</v>
      </c>
      <c r="Q1270" s="857" t="s">
        <v>2813</v>
      </c>
      <c r="R1270" s="1678" t="n">
        <v>57839.947</v>
      </c>
      <c r="S1270" s="840" t="n">
        <f aca="false">R1270/H1270</f>
        <v>1990</v>
      </c>
      <c r="T1270" s="1009" t="n">
        <f aca="false">O1270-R1270</f>
        <v>0</v>
      </c>
      <c r="U1270" s="537" t="n">
        <f aca="false">N1270-S1270</f>
        <v>0</v>
      </c>
    </row>
    <row r="1271" customFormat="false" ht="15" hidden="false" customHeight="true" outlineLevel="0" collapsed="false">
      <c r="A1271" s="954" t="n">
        <v>6</v>
      </c>
      <c r="B1271" s="954" t="s">
        <v>2191</v>
      </c>
      <c r="C1271" s="954" t="n">
        <v>2025</v>
      </c>
      <c r="D1271" s="1703" t="s">
        <v>18</v>
      </c>
      <c r="E1271" s="1703" t="s">
        <v>2192</v>
      </c>
      <c r="F1271" s="955" t="s">
        <v>1651</v>
      </c>
      <c r="G1271" s="956"/>
      <c r="H1271" s="957" t="n">
        <v>25.71</v>
      </c>
      <c r="I1271" s="1567"/>
      <c r="J1271" s="1567"/>
      <c r="K1271" s="959" t="n">
        <f aca="false">H1271*I1271/100</f>
        <v>0</v>
      </c>
      <c r="L1271" s="960" t="n">
        <v>642</v>
      </c>
      <c r="M1271" s="1201" t="n">
        <v>1</v>
      </c>
      <c r="N1271" s="960" t="n">
        <f aca="false">L1271*M1271</f>
        <v>642</v>
      </c>
      <c r="O1271" s="1704" t="n">
        <f aca="false">H1271*N1271</f>
        <v>16505.82</v>
      </c>
      <c r="P1271" s="963"/>
      <c r="Q1271" s="964"/>
      <c r="R1271" s="1705"/>
      <c r="S1271" s="1706"/>
      <c r="T1271" s="1707" t="n">
        <f aca="false">O1271-R1271</f>
        <v>16505.82</v>
      </c>
      <c r="U1271" s="552" t="n">
        <f aca="false">N1271-S1271</f>
        <v>642</v>
      </c>
    </row>
    <row r="1272" customFormat="false" ht="15" hidden="false" customHeight="true" outlineLevel="0" collapsed="false">
      <c r="A1272" s="859"/>
      <c r="B1272" s="859"/>
      <c r="C1272" s="859"/>
      <c r="D1272" s="860"/>
      <c r="E1272" s="860"/>
      <c r="F1272" s="860"/>
      <c r="G1272" s="861"/>
      <c r="H1272" s="862"/>
      <c r="I1272" s="864"/>
      <c r="J1272" s="864"/>
      <c r="K1272" s="864"/>
      <c r="L1272" s="1149"/>
      <c r="M1272" s="866"/>
      <c r="N1272" s="865"/>
      <c r="O1272" s="865"/>
      <c r="P1272" s="868"/>
      <c r="Q1272" s="869"/>
      <c r="R1272" s="866"/>
      <c r="S1272" s="877"/>
      <c r="T1272" s="543"/>
      <c r="U1272" s="543"/>
    </row>
    <row r="1273" customFormat="false" ht="15" hidden="false" customHeight="true" outlineLevel="0" collapsed="false">
      <c r="A1273" s="859" t="n">
        <v>36</v>
      </c>
      <c r="B1273" s="859" t="s">
        <v>86</v>
      </c>
      <c r="C1273" s="859" t="n">
        <v>2021</v>
      </c>
      <c r="D1273" s="860" t="s">
        <v>6</v>
      </c>
      <c r="E1273" s="860" t="s">
        <v>2192</v>
      </c>
      <c r="F1273" s="860" t="s">
        <v>1650</v>
      </c>
      <c r="G1273" s="861"/>
      <c r="H1273" s="862" t="n">
        <v>96.1</v>
      </c>
      <c r="I1273" s="1429" t="n">
        <v>79</v>
      </c>
      <c r="J1273" s="1429"/>
      <c r="K1273" s="864" t="n">
        <f aca="false">H1273*I1273/100</f>
        <v>75.919</v>
      </c>
      <c r="L1273" s="1299" t="n">
        <v>350</v>
      </c>
      <c r="M1273" s="1300" t="n">
        <v>6</v>
      </c>
      <c r="N1273" s="1299" t="n">
        <f aca="false">L1273*M1273</f>
        <v>2100</v>
      </c>
      <c r="O1273" s="865" t="n">
        <f aca="false">H1273*N1273</f>
        <v>201810</v>
      </c>
      <c r="P1273" s="868" t="s">
        <v>2232</v>
      </c>
      <c r="Q1273" s="869" t="s">
        <v>2814</v>
      </c>
      <c r="R1273" s="866" t="n">
        <v>201810</v>
      </c>
      <c r="S1273" s="866" t="n">
        <f aca="false">R1273/H1273</f>
        <v>2100</v>
      </c>
      <c r="T1273" s="543" t="n">
        <f aca="false">O1273-R1273</f>
        <v>0</v>
      </c>
      <c r="U1273" s="543" t="n">
        <f aca="false">N1273-S1273</f>
        <v>0</v>
      </c>
    </row>
    <row r="1274" customFormat="false" ht="15" hidden="false" customHeight="true" outlineLevel="0" collapsed="false">
      <c r="A1274" s="870" t="n">
        <v>82</v>
      </c>
      <c r="B1274" s="870" t="s">
        <v>86</v>
      </c>
      <c r="C1274" s="870" t="n">
        <v>2021</v>
      </c>
      <c r="D1274" s="871" t="s">
        <v>6</v>
      </c>
      <c r="E1274" s="871" t="s">
        <v>2242</v>
      </c>
      <c r="F1274" s="871"/>
      <c r="G1274" s="872"/>
      <c r="H1274" s="873" t="n">
        <v>0</v>
      </c>
      <c r="I1274" s="1433"/>
      <c r="J1274" s="1433"/>
      <c r="K1274" s="875" t="n">
        <f aca="false">H1274*I1274/100</f>
        <v>0</v>
      </c>
      <c r="L1274" s="1301" t="n">
        <v>607</v>
      </c>
      <c r="M1274" s="1302" t="n">
        <v>1</v>
      </c>
      <c r="N1274" s="1301" t="n">
        <f aca="false">L1274*M1274</f>
        <v>607</v>
      </c>
      <c r="O1274" s="876" t="n">
        <f aca="false">H1274*N1274</f>
        <v>0</v>
      </c>
      <c r="P1274" s="879" t="s">
        <v>2204</v>
      </c>
      <c r="Q1274" s="880" t="n">
        <v>13052024</v>
      </c>
      <c r="R1274" s="877" t="n">
        <v>0</v>
      </c>
      <c r="S1274" s="877" t="n">
        <v>607</v>
      </c>
      <c r="T1274" s="553" t="n">
        <f aca="false">O1274-R1274</f>
        <v>0</v>
      </c>
      <c r="U1274" s="553" t="n">
        <f aca="false">N1274-S1274</f>
        <v>0</v>
      </c>
    </row>
    <row r="1275" customFormat="false" ht="15" hidden="false" customHeight="true" outlineLevel="0" collapsed="false">
      <c r="A1275" s="829" t="n">
        <v>86</v>
      </c>
      <c r="B1275" s="830" t="s">
        <v>81</v>
      </c>
      <c r="C1275" s="830" t="n">
        <v>2022</v>
      </c>
      <c r="D1275" s="831" t="s">
        <v>6</v>
      </c>
      <c r="E1275" s="831" t="s">
        <v>2242</v>
      </c>
      <c r="F1275" s="830"/>
      <c r="G1275" s="833"/>
      <c r="H1275" s="834" t="n">
        <v>7.5</v>
      </c>
      <c r="I1275" s="835"/>
      <c r="J1275" s="835"/>
      <c r="K1275" s="836" t="n">
        <f aca="false">H1275*I1275/100</f>
        <v>0</v>
      </c>
      <c r="L1275" s="837" t="n">
        <v>2263</v>
      </c>
      <c r="M1275" s="1303" t="n">
        <v>1</v>
      </c>
      <c r="N1275" s="837" t="n">
        <f aca="false">L1275*M1275</f>
        <v>2263</v>
      </c>
      <c r="O1275" s="837" t="n">
        <f aca="false">H1275*N1275</f>
        <v>16972.5</v>
      </c>
      <c r="P1275" s="838" t="s">
        <v>2195</v>
      </c>
      <c r="Q1275" s="839" t="s">
        <v>2240</v>
      </c>
      <c r="R1275" s="840" t="n">
        <v>-3442.5</v>
      </c>
      <c r="S1275" s="840" t="n">
        <f aca="false">R1275/H1275</f>
        <v>-459</v>
      </c>
      <c r="T1275" s="837" t="n">
        <f aca="false">O1275-R1275-R1276</f>
        <v>0</v>
      </c>
      <c r="U1275" s="842" t="n">
        <f aca="false">N1275-S1275-S1276</f>
        <v>0</v>
      </c>
    </row>
    <row r="1276" customFormat="false" ht="15" hidden="false" customHeight="true" outlineLevel="0" collapsed="false">
      <c r="A1276" s="829"/>
      <c r="B1276" s="830"/>
      <c r="C1276" s="830"/>
      <c r="D1276" s="843" t="s">
        <v>6</v>
      </c>
      <c r="E1276" s="843" t="s">
        <v>2242</v>
      </c>
      <c r="F1276" s="830"/>
      <c r="G1276" s="833"/>
      <c r="H1276" s="834"/>
      <c r="I1276" s="835"/>
      <c r="J1276" s="835"/>
      <c r="K1276" s="836"/>
      <c r="L1276" s="837"/>
      <c r="M1276" s="1303"/>
      <c r="N1276" s="837"/>
      <c r="O1276" s="837"/>
      <c r="P1276" s="844" t="s">
        <v>2204</v>
      </c>
      <c r="Q1276" s="845" t="n">
        <v>13052024</v>
      </c>
      <c r="R1276" s="846" t="n">
        <v>20415</v>
      </c>
      <c r="S1276" s="890" t="n">
        <f aca="false">R1276/H1275</f>
        <v>2722</v>
      </c>
      <c r="T1276" s="837"/>
      <c r="U1276" s="842"/>
    </row>
    <row r="1277" customFormat="false" ht="15" hidden="false" customHeight="true" outlineLevel="0" collapsed="false">
      <c r="A1277" s="847" t="n">
        <v>256</v>
      </c>
      <c r="B1277" s="847" t="s">
        <v>2191</v>
      </c>
      <c r="C1277" s="847" t="n">
        <v>2022</v>
      </c>
      <c r="D1277" s="848" t="s">
        <v>6</v>
      </c>
      <c r="E1277" s="848" t="s">
        <v>2192</v>
      </c>
      <c r="F1277" s="848" t="s">
        <v>1651</v>
      </c>
      <c r="G1277" s="849"/>
      <c r="H1277" s="850" t="n">
        <v>30</v>
      </c>
      <c r="I1277" s="851"/>
      <c r="J1277" s="851"/>
      <c r="K1277" s="852" t="n">
        <f aca="false">H1277*I1277/100</f>
        <v>0</v>
      </c>
      <c r="L1277" s="1143" t="n">
        <v>40</v>
      </c>
      <c r="M1277" s="1304" t="n">
        <v>15</v>
      </c>
      <c r="N1277" s="1143" t="n">
        <f aca="false">L1277*M1277</f>
        <v>600</v>
      </c>
      <c r="O1277" s="853" t="n">
        <f aca="false">H1277*N1277</f>
        <v>18000</v>
      </c>
      <c r="P1277" s="856" t="s">
        <v>2204</v>
      </c>
      <c r="Q1277" s="857" t="n">
        <v>24052024</v>
      </c>
      <c r="R1277" s="854" t="n">
        <v>18000</v>
      </c>
      <c r="S1277" s="854" t="n">
        <f aca="false">R1277/H1277</f>
        <v>600</v>
      </c>
      <c r="T1277" s="537" t="n">
        <f aca="false">O1277-R1277</f>
        <v>0</v>
      </c>
      <c r="U1277" s="537" t="n">
        <f aca="false">N1277-S1277</f>
        <v>0</v>
      </c>
    </row>
    <row r="1278" customFormat="false" ht="15" hidden="false" customHeight="true" outlineLevel="0" collapsed="false">
      <c r="A1278" s="870" t="n">
        <v>263</v>
      </c>
      <c r="B1278" s="870" t="s">
        <v>2191</v>
      </c>
      <c r="C1278" s="870" t="n">
        <v>2022</v>
      </c>
      <c r="D1278" s="871" t="s">
        <v>6</v>
      </c>
      <c r="E1278" s="871" t="s">
        <v>2192</v>
      </c>
      <c r="F1278" s="871" t="s">
        <v>1651</v>
      </c>
      <c r="G1278" s="872"/>
      <c r="H1278" s="873" t="n">
        <v>30</v>
      </c>
      <c r="I1278" s="874"/>
      <c r="J1278" s="874"/>
      <c r="K1278" s="875" t="n">
        <f aca="false">H1278*I1278/100</f>
        <v>0</v>
      </c>
      <c r="L1278" s="1301" t="n">
        <v>16</v>
      </c>
      <c r="M1278" s="1302" t="n">
        <v>15</v>
      </c>
      <c r="N1278" s="1301" t="n">
        <f aca="false">L1278*M1278</f>
        <v>240</v>
      </c>
      <c r="O1278" s="876" t="n">
        <f aca="false">H1278*N1278</f>
        <v>7200</v>
      </c>
      <c r="P1278" s="879" t="s">
        <v>2193</v>
      </c>
      <c r="Q1278" s="880" t="s">
        <v>2815</v>
      </c>
      <c r="R1278" s="877" t="n">
        <v>7200</v>
      </c>
      <c r="S1278" s="891" t="n">
        <f aca="false">R1278/H1278</f>
        <v>240</v>
      </c>
      <c r="T1278" s="553" t="n">
        <f aca="false">O1278-R1278</f>
        <v>0</v>
      </c>
      <c r="U1278" s="553" t="n">
        <f aca="false">N1278-S1278</f>
        <v>0</v>
      </c>
    </row>
    <row r="1279" customFormat="false" ht="15" hidden="false" customHeight="true" outlineLevel="0" collapsed="false">
      <c r="A1279" s="882" t="n">
        <v>419</v>
      </c>
      <c r="B1279" s="830" t="s">
        <v>2191</v>
      </c>
      <c r="C1279" s="830" t="n">
        <v>2022</v>
      </c>
      <c r="D1279" s="831" t="s">
        <v>6</v>
      </c>
      <c r="E1279" s="831" t="s">
        <v>2192</v>
      </c>
      <c r="F1279" s="832" t="s">
        <v>1651</v>
      </c>
      <c r="G1279" s="833"/>
      <c r="H1279" s="834" t="n">
        <v>30</v>
      </c>
      <c r="I1279" s="1020"/>
      <c r="J1279" s="1020"/>
      <c r="K1279" s="836" t="n">
        <f aca="false">H1279*I1279/100</f>
        <v>0</v>
      </c>
      <c r="L1279" s="837" t="n">
        <v>43</v>
      </c>
      <c r="M1279" s="837" t="n">
        <v>15</v>
      </c>
      <c r="N1279" s="837" t="n">
        <f aca="false">L1279*M1279</f>
        <v>645</v>
      </c>
      <c r="O1279" s="837" t="n">
        <f aca="false">H1279*N1279</f>
        <v>19350</v>
      </c>
      <c r="P1279" s="838" t="s">
        <v>2193</v>
      </c>
      <c r="Q1279" s="839" t="s">
        <v>2816</v>
      </c>
      <c r="R1279" s="840" t="n">
        <v>2700</v>
      </c>
      <c r="S1279" s="886" t="n">
        <f aca="false">R1279/H1279</f>
        <v>90</v>
      </c>
      <c r="T1279" s="837" t="n">
        <f aca="false">O1279-R1279-R1284-R1280-R1283-R1282-R1281</f>
        <v>0</v>
      </c>
      <c r="U1279" s="842" t="n">
        <f aca="false">N1279-S1279-S1284-S1280-S1283-S1282-S1281</f>
        <v>0</v>
      </c>
    </row>
    <row r="1280" customFormat="false" ht="15" hidden="false" customHeight="true" outlineLevel="0" collapsed="false">
      <c r="A1280" s="882"/>
      <c r="B1280" s="830"/>
      <c r="C1280" s="830"/>
      <c r="D1280" s="860" t="s">
        <v>6</v>
      </c>
      <c r="E1280" s="860" t="s">
        <v>2192</v>
      </c>
      <c r="F1280" s="832"/>
      <c r="G1280" s="833"/>
      <c r="H1280" s="834"/>
      <c r="I1280" s="1020"/>
      <c r="J1280" s="1020"/>
      <c r="K1280" s="836"/>
      <c r="L1280" s="837"/>
      <c r="M1280" s="837"/>
      <c r="N1280" s="837"/>
      <c r="O1280" s="837"/>
      <c r="P1280" s="868" t="s">
        <v>2193</v>
      </c>
      <c r="Q1280" s="869" t="s">
        <v>2817</v>
      </c>
      <c r="R1280" s="866" t="n">
        <v>2700</v>
      </c>
      <c r="S1280" s="866" t="n">
        <f aca="false">R1280/H1279</f>
        <v>90</v>
      </c>
      <c r="T1280" s="837"/>
      <c r="U1280" s="842"/>
    </row>
    <row r="1281" customFormat="false" ht="15" hidden="false" customHeight="true" outlineLevel="0" collapsed="false">
      <c r="A1281" s="882"/>
      <c r="B1281" s="830"/>
      <c r="C1281" s="830"/>
      <c r="D1281" s="860" t="s">
        <v>6</v>
      </c>
      <c r="E1281" s="860" t="s">
        <v>2192</v>
      </c>
      <c r="F1281" s="832"/>
      <c r="G1281" s="833"/>
      <c r="H1281" s="834"/>
      <c r="I1281" s="1020"/>
      <c r="J1281" s="1020"/>
      <c r="K1281" s="836"/>
      <c r="L1281" s="837"/>
      <c r="M1281" s="837"/>
      <c r="N1281" s="837"/>
      <c r="O1281" s="837"/>
      <c r="P1281" s="868" t="s">
        <v>2193</v>
      </c>
      <c r="Q1281" s="869" t="s">
        <v>2818</v>
      </c>
      <c r="R1281" s="866" t="n">
        <v>4950</v>
      </c>
      <c r="S1281" s="866" t="n">
        <f aca="false">R1281/H1279</f>
        <v>165</v>
      </c>
      <c r="T1281" s="837"/>
      <c r="U1281" s="842"/>
    </row>
    <row r="1282" customFormat="false" ht="15" hidden="false" customHeight="true" outlineLevel="0" collapsed="false">
      <c r="A1282" s="882"/>
      <c r="B1282" s="830"/>
      <c r="C1282" s="830"/>
      <c r="D1282" s="860" t="s">
        <v>6</v>
      </c>
      <c r="E1282" s="860" t="s">
        <v>2192</v>
      </c>
      <c r="F1282" s="832"/>
      <c r="G1282" s="833"/>
      <c r="H1282" s="834"/>
      <c r="I1282" s="1020"/>
      <c r="J1282" s="1020"/>
      <c r="K1282" s="836"/>
      <c r="L1282" s="837"/>
      <c r="M1282" s="837"/>
      <c r="N1282" s="837"/>
      <c r="O1282" s="837"/>
      <c r="P1282" s="868" t="s">
        <v>2197</v>
      </c>
      <c r="Q1282" s="869" t="s">
        <v>2819</v>
      </c>
      <c r="R1282" s="866" t="n">
        <v>3150</v>
      </c>
      <c r="S1282" s="866" t="n">
        <f aca="false">R1282/H1279</f>
        <v>105</v>
      </c>
      <c r="T1282" s="837"/>
      <c r="U1282" s="842"/>
    </row>
    <row r="1283" customFormat="false" ht="15" hidden="false" customHeight="true" outlineLevel="0" collapsed="false">
      <c r="A1283" s="882"/>
      <c r="B1283" s="830"/>
      <c r="C1283" s="830"/>
      <c r="D1283" s="860" t="s">
        <v>6</v>
      </c>
      <c r="E1283" s="860" t="s">
        <v>2192</v>
      </c>
      <c r="F1283" s="832"/>
      <c r="G1283" s="833"/>
      <c r="H1283" s="834"/>
      <c r="I1283" s="1020"/>
      <c r="J1283" s="1020"/>
      <c r="K1283" s="836"/>
      <c r="L1283" s="837"/>
      <c r="M1283" s="837"/>
      <c r="N1283" s="837"/>
      <c r="O1283" s="837"/>
      <c r="P1283" s="868" t="s">
        <v>2197</v>
      </c>
      <c r="Q1283" s="869" t="s">
        <v>2820</v>
      </c>
      <c r="R1283" s="866" t="n">
        <v>4050</v>
      </c>
      <c r="S1283" s="866" t="n">
        <f aca="false">R1283/H1279</f>
        <v>135</v>
      </c>
      <c r="T1283" s="837"/>
      <c r="U1283" s="842"/>
    </row>
    <row r="1284" customFormat="false" ht="15" hidden="false" customHeight="true" outlineLevel="0" collapsed="false">
      <c r="A1284" s="882"/>
      <c r="B1284" s="830"/>
      <c r="C1284" s="830"/>
      <c r="D1284" s="843" t="s">
        <v>6</v>
      </c>
      <c r="E1284" s="843" t="s">
        <v>2192</v>
      </c>
      <c r="F1284" s="832"/>
      <c r="G1284" s="833"/>
      <c r="H1284" s="834"/>
      <c r="I1284" s="1020"/>
      <c r="J1284" s="1020"/>
      <c r="K1284" s="836"/>
      <c r="L1284" s="837"/>
      <c r="M1284" s="837"/>
      <c r="N1284" s="837"/>
      <c r="O1284" s="837"/>
      <c r="P1284" s="888" t="s">
        <v>2193</v>
      </c>
      <c r="Q1284" s="889" t="s">
        <v>2815</v>
      </c>
      <c r="R1284" s="890" t="n">
        <v>1800</v>
      </c>
      <c r="S1284" s="890" t="n">
        <f aca="false">R1284/H1279</f>
        <v>60</v>
      </c>
      <c r="T1284" s="837"/>
      <c r="U1284" s="842"/>
    </row>
    <row r="1285" customFormat="false" ht="15" hidden="false" customHeight="true" outlineLevel="0" collapsed="false">
      <c r="A1285" s="903" t="n">
        <v>461</v>
      </c>
      <c r="B1285" s="903" t="s">
        <v>2191</v>
      </c>
      <c r="C1285" s="903" t="n">
        <v>2022</v>
      </c>
      <c r="D1285" s="904" t="s">
        <v>6</v>
      </c>
      <c r="E1285" s="904" t="s">
        <v>2192</v>
      </c>
      <c r="F1285" s="904" t="s">
        <v>1731</v>
      </c>
      <c r="G1285" s="905"/>
      <c r="H1285" s="906" t="n">
        <v>60</v>
      </c>
      <c r="I1285" s="939"/>
      <c r="J1285" s="939"/>
      <c r="K1285" s="939" t="n">
        <f aca="false">H1285*I1285/100</f>
        <v>0</v>
      </c>
      <c r="L1285" s="908" t="n">
        <v>203.5</v>
      </c>
      <c r="M1285" s="891" t="n">
        <v>1</v>
      </c>
      <c r="N1285" s="1137" t="n">
        <f aca="false">L1285*M1285</f>
        <v>203.5</v>
      </c>
      <c r="O1285" s="908" t="n">
        <f aca="false">H1285*N1285</f>
        <v>12210</v>
      </c>
      <c r="P1285" s="910" t="s">
        <v>2204</v>
      </c>
      <c r="Q1285" s="911" t="n">
        <v>16102024</v>
      </c>
      <c r="R1285" s="891" t="n">
        <v>12210</v>
      </c>
      <c r="S1285" s="854" t="n">
        <f aca="false">R1285/H1285</f>
        <v>203.5</v>
      </c>
      <c r="T1285" s="942" t="n">
        <f aca="false">O1285-R1285</f>
        <v>0</v>
      </c>
      <c r="U1285" s="942" t="n">
        <f aca="false">N1285-S1285</f>
        <v>0</v>
      </c>
    </row>
    <row r="1286" customFormat="false" ht="15" hidden="false" customHeight="true" outlineLevel="0" collapsed="false">
      <c r="A1286" s="1533" t="n">
        <v>6</v>
      </c>
      <c r="B1286" s="1028" t="s">
        <v>86</v>
      </c>
      <c r="C1286" s="1028" t="n">
        <v>2023</v>
      </c>
      <c r="D1286" s="831" t="s">
        <v>6</v>
      </c>
      <c r="E1286" s="831" t="s">
        <v>2192</v>
      </c>
      <c r="F1286" s="1328" t="s">
        <v>1650</v>
      </c>
      <c r="G1286" s="1030"/>
      <c r="H1286" s="1031" t="n">
        <v>93.2</v>
      </c>
      <c r="I1286" s="1517" t="n">
        <v>30</v>
      </c>
      <c r="J1286" s="1517"/>
      <c r="K1286" s="1033" t="n">
        <f aca="false">H1286*I1286/100</f>
        <v>27.96</v>
      </c>
      <c r="L1286" s="1036" t="n">
        <v>1865</v>
      </c>
      <c r="M1286" s="1708" t="n">
        <v>1</v>
      </c>
      <c r="N1286" s="1036" t="n">
        <f aca="false">L1286*M1286</f>
        <v>1865</v>
      </c>
      <c r="O1286" s="1036" t="n">
        <f aca="false">H1286*N1286</f>
        <v>173818</v>
      </c>
      <c r="P1286" s="838" t="s">
        <v>2193</v>
      </c>
      <c r="Q1286" s="839" t="s">
        <v>2821</v>
      </c>
      <c r="R1286" s="840" t="n">
        <v>59648</v>
      </c>
      <c r="S1286" s="886" t="n">
        <f aca="false">R1286/H1286</f>
        <v>640</v>
      </c>
      <c r="T1286" s="1709" t="n">
        <f aca="false">O1286-R1286-R1288-R1287</f>
        <v>0</v>
      </c>
      <c r="U1286" s="1037" t="n">
        <f aca="false">N1286-S1286-S1288-S1287</f>
        <v>0</v>
      </c>
    </row>
    <row r="1287" customFormat="false" ht="15" hidden="false" customHeight="true" outlineLevel="0" collapsed="false">
      <c r="A1287" s="1533"/>
      <c r="B1287" s="1028"/>
      <c r="C1287" s="1028"/>
      <c r="D1287" s="904" t="s">
        <v>6</v>
      </c>
      <c r="E1287" s="904" t="s">
        <v>2192</v>
      </c>
      <c r="F1287" s="1328"/>
      <c r="G1287" s="1030"/>
      <c r="H1287" s="1031"/>
      <c r="I1287" s="1517"/>
      <c r="J1287" s="1055"/>
      <c r="K1287" s="1033"/>
      <c r="L1287" s="1036"/>
      <c r="M1287" s="1708"/>
      <c r="N1287" s="1036"/>
      <c r="O1287" s="1036"/>
      <c r="P1287" s="910" t="s">
        <v>2232</v>
      </c>
      <c r="Q1287" s="911" t="s">
        <v>2822</v>
      </c>
      <c r="R1287" s="891" t="n">
        <v>4380.4</v>
      </c>
      <c r="S1287" s="866" t="n">
        <f aca="false">R1287/H1286</f>
        <v>47</v>
      </c>
      <c r="T1287" s="1709"/>
      <c r="U1287" s="1037"/>
    </row>
    <row r="1288" customFormat="false" ht="15" hidden="false" customHeight="true" outlineLevel="0" collapsed="false">
      <c r="A1288" s="1533"/>
      <c r="B1288" s="1028"/>
      <c r="C1288" s="1028"/>
      <c r="D1288" s="871" t="s">
        <v>6</v>
      </c>
      <c r="E1288" s="871" t="s">
        <v>2192</v>
      </c>
      <c r="F1288" s="1328"/>
      <c r="G1288" s="1030"/>
      <c r="H1288" s="1031"/>
      <c r="I1288" s="1517"/>
      <c r="J1288" s="1055"/>
      <c r="K1288" s="1033"/>
      <c r="L1288" s="1036"/>
      <c r="M1288" s="1708"/>
      <c r="N1288" s="1036"/>
      <c r="O1288" s="1036"/>
      <c r="P1288" s="879" t="s">
        <v>2195</v>
      </c>
      <c r="Q1288" s="880" t="s">
        <v>2240</v>
      </c>
      <c r="R1288" s="877" t="n">
        <v>109789.6</v>
      </c>
      <c r="S1288" s="877" t="n">
        <f aca="false">R1288/H1286</f>
        <v>1178</v>
      </c>
      <c r="T1288" s="1709"/>
      <c r="U1288" s="1037"/>
    </row>
    <row r="1289" customFormat="false" ht="15" hidden="false" customHeight="true" outlineLevel="0" collapsed="false">
      <c r="A1289" s="1027" t="n">
        <v>24</v>
      </c>
      <c r="B1289" s="1028" t="s">
        <v>2191</v>
      </c>
      <c r="C1289" s="1028" t="n">
        <v>2023</v>
      </c>
      <c r="D1289" s="1365" t="s">
        <v>6</v>
      </c>
      <c r="E1289" s="1365" t="s">
        <v>2192</v>
      </c>
      <c r="F1289" s="1328" t="s">
        <v>1652</v>
      </c>
      <c r="G1289" s="1030"/>
      <c r="H1289" s="1557" t="n">
        <v>45</v>
      </c>
      <c r="I1289" s="1032"/>
      <c r="J1289" s="1032"/>
      <c r="K1289" s="1033" t="n">
        <f aca="false">H1289*I1289/100</f>
        <v>0</v>
      </c>
      <c r="L1289" s="1036" t="n">
        <v>195</v>
      </c>
      <c r="M1289" s="1708" t="n">
        <v>15</v>
      </c>
      <c r="N1289" s="1036" t="n">
        <f aca="false">L1289*M1289</f>
        <v>2925</v>
      </c>
      <c r="O1289" s="1036" t="n">
        <f aca="false">H1289*N1289</f>
        <v>131625</v>
      </c>
      <c r="P1289" s="838" t="s">
        <v>2193</v>
      </c>
      <c r="Q1289" s="839" t="s">
        <v>2818</v>
      </c>
      <c r="R1289" s="840" t="n">
        <v>56700</v>
      </c>
      <c r="S1289" s="840" t="n">
        <f aca="false">R1289/H1289</f>
        <v>1260</v>
      </c>
      <c r="T1289" s="1036" t="n">
        <f aca="false">O1289-R1289-R1290</f>
        <v>0</v>
      </c>
      <c r="U1289" s="1037" t="n">
        <f aca="false">N1289-S1289-S1290</f>
        <v>0</v>
      </c>
    </row>
    <row r="1290" customFormat="false" ht="15" hidden="false" customHeight="true" outlineLevel="0" collapsed="false">
      <c r="A1290" s="1027"/>
      <c r="B1290" s="1028"/>
      <c r="C1290" s="1028"/>
      <c r="D1290" s="1478" t="s">
        <v>6</v>
      </c>
      <c r="E1290" s="1478" t="s">
        <v>2192</v>
      </c>
      <c r="F1290" s="1328"/>
      <c r="G1290" s="1030"/>
      <c r="H1290" s="1557"/>
      <c r="I1290" s="1032"/>
      <c r="J1290" s="1032"/>
      <c r="K1290" s="1033"/>
      <c r="L1290" s="1036"/>
      <c r="M1290" s="1708"/>
      <c r="N1290" s="1036"/>
      <c r="O1290" s="1036"/>
      <c r="P1290" s="879" t="s">
        <v>2193</v>
      </c>
      <c r="Q1290" s="880" t="s">
        <v>2823</v>
      </c>
      <c r="R1290" s="877" t="n">
        <v>74925</v>
      </c>
      <c r="S1290" s="877" t="n">
        <f aca="false">R1290/H1289</f>
        <v>1665</v>
      </c>
      <c r="T1290" s="1036"/>
      <c r="U1290" s="1037"/>
    </row>
    <row r="1291" customFormat="false" ht="15" hidden="false" customHeight="true" outlineLevel="0" collapsed="false">
      <c r="A1291" s="829" t="n">
        <v>37</v>
      </c>
      <c r="B1291" s="830" t="s">
        <v>86</v>
      </c>
      <c r="C1291" s="830" t="n">
        <v>2023</v>
      </c>
      <c r="D1291" s="831" t="s">
        <v>6</v>
      </c>
      <c r="E1291" s="831" t="s">
        <v>2192</v>
      </c>
      <c r="F1291" s="832" t="s">
        <v>2199</v>
      </c>
      <c r="G1291" s="833"/>
      <c r="H1291" s="1059" t="n">
        <v>82.9</v>
      </c>
      <c r="I1291" s="1020" t="n">
        <v>76</v>
      </c>
      <c r="J1291" s="1020"/>
      <c r="K1291" s="836" t="n">
        <f aca="false">H1291*I1291/100</f>
        <v>63.004</v>
      </c>
      <c r="L1291" s="837" t="n">
        <v>2413</v>
      </c>
      <c r="M1291" s="1303" t="n">
        <v>1</v>
      </c>
      <c r="N1291" s="837" t="n">
        <f aca="false">L1291*M1291</f>
        <v>2413</v>
      </c>
      <c r="O1291" s="837" t="n">
        <f aca="false">H1291*N1291</f>
        <v>200037.7</v>
      </c>
      <c r="P1291" s="838" t="s">
        <v>2232</v>
      </c>
      <c r="Q1291" s="839" t="s">
        <v>2822</v>
      </c>
      <c r="R1291" s="840" t="n">
        <v>82900</v>
      </c>
      <c r="S1291" s="840" t="n">
        <f aca="false">R1291/H1291</f>
        <v>1000</v>
      </c>
      <c r="T1291" s="841" t="n">
        <f aca="false">O1291-R1291-R1292</f>
        <v>0</v>
      </c>
      <c r="U1291" s="842" t="n">
        <f aca="false">N1291-S1291-S1292</f>
        <v>0</v>
      </c>
    </row>
    <row r="1292" customFormat="false" ht="15" hidden="false" customHeight="true" outlineLevel="0" collapsed="false">
      <c r="A1292" s="829"/>
      <c r="B1292" s="830"/>
      <c r="C1292" s="830"/>
      <c r="D1292" s="843" t="s">
        <v>6</v>
      </c>
      <c r="E1292" s="843" t="s">
        <v>2192</v>
      </c>
      <c r="F1292" s="832"/>
      <c r="G1292" s="833"/>
      <c r="H1292" s="1059"/>
      <c r="I1292" s="1020"/>
      <c r="J1292" s="1020"/>
      <c r="K1292" s="836"/>
      <c r="L1292" s="837"/>
      <c r="M1292" s="1303"/>
      <c r="N1292" s="837"/>
      <c r="O1292" s="837"/>
      <c r="P1292" s="844" t="s">
        <v>2232</v>
      </c>
      <c r="Q1292" s="845" t="s">
        <v>2824</v>
      </c>
      <c r="R1292" s="846" t="n">
        <v>117137.7</v>
      </c>
      <c r="S1292" s="846" t="n">
        <f aca="false">R1292/H1291</f>
        <v>1413</v>
      </c>
      <c r="T1292" s="841"/>
      <c r="U1292" s="842"/>
    </row>
    <row r="1293" customFormat="false" ht="15" hidden="false" customHeight="true" outlineLevel="0" collapsed="false">
      <c r="A1293" s="1081" t="n">
        <v>61</v>
      </c>
      <c r="B1293" s="1087" t="s">
        <v>86</v>
      </c>
      <c r="C1293" s="1072" t="n">
        <v>2023</v>
      </c>
      <c r="D1293" s="1479" t="s">
        <v>6</v>
      </c>
      <c r="E1293" s="848" t="s">
        <v>2242</v>
      </c>
      <c r="F1293" s="1072"/>
      <c r="G1293" s="1062"/>
      <c r="H1293" s="1077" t="n">
        <v>18.8</v>
      </c>
      <c r="I1293" s="1086"/>
      <c r="J1293" s="947"/>
      <c r="K1293" s="1078" t="n">
        <f aca="false">H1293*I1293/100</f>
        <v>0</v>
      </c>
      <c r="L1293" s="1067" t="n">
        <v>662</v>
      </c>
      <c r="M1293" s="1710" t="n">
        <v>1</v>
      </c>
      <c r="N1293" s="1067" t="n">
        <f aca="false">L1293*M1293</f>
        <v>662</v>
      </c>
      <c r="O1293" s="1067" t="n">
        <f aca="false">H1293*N1293</f>
        <v>12445.6</v>
      </c>
      <c r="P1293" s="856" t="s">
        <v>2200</v>
      </c>
      <c r="Q1293" s="857" t="s">
        <v>2825</v>
      </c>
      <c r="R1293" s="854" t="n">
        <v>12446</v>
      </c>
      <c r="S1293" s="854" t="n">
        <f aca="false">R1293/H1293</f>
        <v>662.021276595745</v>
      </c>
      <c r="T1293" s="1067" t="n">
        <f aca="false">O1293-R1293-R1295-R1294</f>
        <v>-0.399999999999636</v>
      </c>
      <c r="U1293" s="1070" t="n">
        <f aca="false">N1293-S1293-S1295-S1294</f>
        <v>-0.0212765957446663</v>
      </c>
    </row>
    <row r="1294" customFormat="false" ht="15" hidden="false" customHeight="true" outlineLevel="0" collapsed="false">
      <c r="A1294" s="1081"/>
      <c r="B1294" s="1087"/>
      <c r="C1294" s="1072"/>
      <c r="D1294" s="1351" t="s">
        <v>6</v>
      </c>
      <c r="E1294" s="904" t="s">
        <v>2242</v>
      </c>
      <c r="F1294" s="1072"/>
      <c r="G1294" s="1062"/>
      <c r="H1294" s="1077"/>
      <c r="I1294" s="1086"/>
      <c r="J1294" s="947"/>
      <c r="K1294" s="1078"/>
      <c r="L1294" s="1067"/>
      <c r="M1294" s="1710"/>
      <c r="N1294" s="1067"/>
      <c r="O1294" s="1067"/>
      <c r="P1294" s="910" t="s">
        <v>2200</v>
      </c>
      <c r="Q1294" s="911" t="s">
        <v>2826</v>
      </c>
      <c r="R1294" s="891" t="n">
        <v>3872.8</v>
      </c>
      <c r="S1294" s="854" t="n">
        <f aca="false">R1294/H1293</f>
        <v>206</v>
      </c>
      <c r="T1294" s="1067"/>
      <c r="U1294" s="1070"/>
    </row>
    <row r="1295" customFormat="false" ht="15" hidden="false" customHeight="true" outlineLevel="0" collapsed="false">
      <c r="A1295" s="1081"/>
      <c r="B1295" s="1087"/>
      <c r="C1295" s="1072"/>
      <c r="D1295" s="1357" t="s">
        <v>6</v>
      </c>
      <c r="E1295" s="843" t="s">
        <v>2242</v>
      </c>
      <c r="F1295" s="1072"/>
      <c r="G1295" s="1062"/>
      <c r="H1295" s="1077"/>
      <c r="I1295" s="1086"/>
      <c r="J1295" s="1086"/>
      <c r="K1295" s="1078"/>
      <c r="L1295" s="1067"/>
      <c r="M1295" s="1710"/>
      <c r="N1295" s="1067"/>
      <c r="O1295" s="1067"/>
      <c r="P1295" s="844" t="s">
        <v>2195</v>
      </c>
      <c r="Q1295" s="845" t="s">
        <v>2240</v>
      </c>
      <c r="R1295" s="846" t="n">
        <v>-3872.8</v>
      </c>
      <c r="S1295" s="846" t="n">
        <f aca="false">R1295/H1293</f>
        <v>-206</v>
      </c>
      <c r="T1295" s="1067"/>
      <c r="U1295" s="1070"/>
    </row>
    <row r="1296" customFormat="false" ht="15" hidden="false" customHeight="true" outlineLevel="0" collapsed="false">
      <c r="A1296" s="882" t="n">
        <v>77</v>
      </c>
      <c r="B1296" s="830" t="s">
        <v>2230</v>
      </c>
      <c r="C1296" s="830" t="n">
        <v>2022</v>
      </c>
      <c r="D1296" s="1365" t="s">
        <v>6</v>
      </c>
      <c r="E1296" s="831" t="s">
        <v>2192</v>
      </c>
      <c r="F1296" s="832" t="s">
        <v>1650</v>
      </c>
      <c r="G1296" s="833"/>
      <c r="H1296" s="834" t="n">
        <v>93.3</v>
      </c>
      <c r="I1296" s="835"/>
      <c r="J1296" s="1032"/>
      <c r="K1296" s="836" t="n">
        <f aca="false">H1296*I1296/100</f>
        <v>0</v>
      </c>
      <c r="L1296" s="1075" t="n">
        <v>16942</v>
      </c>
      <c r="M1296" s="1303" t="n">
        <v>1</v>
      </c>
      <c r="N1296" s="1075" t="n">
        <f aca="false">L1296*M1296</f>
        <v>16942</v>
      </c>
      <c r="O1296" s="1075" t="n">
        <f aca="false">H1296*N1296</f>
        <v>1580688.6</v>
      </c>
      <c r="P1296" s="884" t="s">
        <v>2197</v>
      </c>
      <c r="Q1296" s="885" t="s">
        <v>2827</v>
      </c>
      <c r="R1296" s="886" t="n">
        <v>225133</v>
      </c>
      <c r="S1296" s="886" t="n">
        <f aca="false">R1296/H1296</f>
        <v>2413.00107181136</v>
      </c>
      <c r="T1296" s="837" t="n">
        <f aca="false">O1296-R1296-R1302-R1301-R1297-R1300-R1298-R1299</f>
        <v>-0.200000000142609</v>
      </c>
      <c r="U1296" s="842" t="n">
        <f aca="false">N1296-S1296-S1302-S1301-S1297-S1300-S1299-S1298</f>
        <v>-0.0021436227234517</v>
      </c>
    </row>
    <row r="1297" customFormat="false" ht="15" hidden="false" customHeight="true" outlineLevel="0" collapsed="false">
      <c r="A1297" s="882"/>
      <c r="B1297" s="830"/>
      <c r="C1297" s="830"/>
      <c r="D1297" s="1480" t="s">
        <v>6</v>
      </c>
      <c r="E1297" s="860" t="s">
        <v>2192</v>
      </c>
      <c r="F1297" s="832"/>
      <c r="G1297" s="833"/>
      <c r="H1297" s="834"/>
      <c r="I1297" s="835"/>
      <c r="J1297" s="947"/>
      <c r="K1297" s="836"/>
      <c r="L1297" s="1075"/>
      <c r="M1297" s="1303"/>
      <c r="N1297" s="1075"/>
      <c r="O1297" s="1075"/>
      <c r="P1297" s="868" t="s">
        <v>2197</v>
      </c>
      <c r="Q1297" s="869" t="s">
        <v>2828</v>
      </c>
      <c r="R1297" s="866" t="n">
        <v>251910</v>
      </c>
      <c r="S1297" s="866" t="n">
        <f aca="false">R1297/H1296</f>
        <v>2700</v>
      </c>
      <c r="T1297" s="837"/>
      <c r="U1297" s="842"/>
    </row>
    <row r="1298" customFormat="false" ht="15" hidden="false" customHeight="true" outlineLevel="0" collapsed="false">
      <c r="A1298" s="882"/>
      <c r="B1298" s="830"/>
      <c r="C1298" s="830"/>
      <c r="D1298" s="1480" t="s">
        <v>6</v>
      </c>
      <c r="E1298" s="860" t="s">
        <v>2192</v>
      </c>
      <c r="F1298" s="832"/>
      <c r="G1298" s="833"/>
      <c r="H1298" s="834"/>
      <c r="I1298" s="835"/>
      <c r="J1298" s="947"/>
      <c r="K1298" s="836"/>
      <c r="L1298" s="1075"/>
      <c r="M1298" s="1303"/>
      <c r="N1298" s="1075"/>
      <c r="O1298" s="1075"/>
      <c r="P1298" s="868" t="s">
        <v>2195</v>
      </c>
      <c r="Q1298" s="869" t="s">
        <v>2240</v>
      </c>
      <c r="R1298" s="866" t="n">
        <v>-130526.7</v>
      </c>
      <c r="S1298" s="866" t="n">
        <f aca="false">R1298/H1296</f>
        <v>-1399</v>
      </c>
      <c r="T1298" s="837"/>
      <c r="U1298" s="842"/>
    </row>
    <row r="1299" customFormat="false" ht="15" hidden="false" customHeight="true" outlineLevel="0" collapsed="false">
      <c r="A1299" s="882"/>
      <c r="B1299" s="830"/>
      <c r="C1299" s="830"/>
      <c r="D1299" s="1480" t="s">
        <v>6</v>
      </c>
      <c r="E1299" s="860" t="s">
        <v>2192</v>
      </c>
      <c r="F1299" s="832"/>
      <c r="G1299" s="833"/>
      <c r="H1299" s="834"/>
      <c r="I1299" s="835"/>
      <c r="J1299" s="947"/>
      <c r="K1299" s="836"/>
      <c r="L1299" s="1075"/>
      <c r="M1299" s="1303"/>
      <c r="N1299" s="1075"/>
      <c r="O1299" s="1075"/>
      <c r="P1299" s="868" t="s">
        <v>2204</v>
      </c>
      <c r="Q1299" s="869" t="n">
        <v>16102024</v>
      </c>
      <c r="R1299" s="866" t="n">
        <v>130527</v>
      </c>
      <c r="S1299" s="866" t="n">
        <f aca="false">R1299/H1296</f>
        <v>1399.00321543408</v>
      </c>
      <c r="T1299" s="837"/>
      <c r="U1299" s="842"/>
    </row>
    <row r="1300" customFormat="false" ht="15" hidden="false" customHeight="true" outlineLevel="0" collapsed="false">
      <c r="A1300" s="882"/>
      <c r="B1300" s="830"/>
      <c r="C1300" s="830"/>
      <c r="D1300" s="1480" t="s">
        <v>6</v>
      </c>
      <c r="E1300" s="860" t="s">
        <v>2192</v>
      </c>
      <c r="F1300" s="832"/>
      <c r="G1300" s="833"/>
      <c r="H1300" s="834"/>
      <c r="I1300" s="835"/>
      <c r="J1300" s="947"/>
      <c r="K1300" s="836"/>
      <c r="L1300" s="1075"/>
      <c r="M1300" s="1303"/>
      <c r="N1300" s="1075"/>
      <c r="O1300" s="1075"/>
      <c r="P1300" s="868" t="s">
        <v>2197</v>
      </c>
      <c r="Q1300" s="869" t="s">
        <v>2829</v>
      </c>
      <c r="R1300" s="866" t="n">
        <v>124742.5</v>
      </c>
      <c r="S1300" s="866" t="n">
        <f aca="false">R1300/H1296</f>
        <v>1337.00428724544</v>
      </c>
      <c r="T1300" s="837"/>
      <c r="U1300" s="842"/>
    </row>
    <row r="1301" customFormat="false" ht="15" hidden="false" customHeight="true" outlineLevel="0" collapsed="false">
      <c r="A1301" s="882"/>
      <c r="B1301" s="830"/>
      <c r="C1301" s="830"/>
      <c r="D1301" s="1480" t="s">
        <v>6</v>
      </c>
      <c r="E1301" s="860" t="s">
        <v>2192</v>
      </c>
      <c r="F1301" s="832"/>
      <c r="G1301" s="833"/>
      <c r="H1301" s="834"/>
      <c r="I1301" s="835"/>
      <c r="J1301" s="947"/>
      <c r="K1301" s="836"/>
      <c r="L1301" s="1075"/>
      <c r="M1301" s="1303"/>
      <c r="N1301" s="1075"/>
      <c r="O1301" s="1075"/>
      <c r="P1301" s="868" t="s">
        <v>2197</v>
      </c>
      <c r="Q1301" s="869" t="s">
        <v>2830</v>
      </c>
      <c r="R1301" s="866" t="n">
        <v>685568</v>
      </c>
      <c r="S1301" s="866" t="n">
        <f aca="false">R1301/H1296</f>
        <v>7347.99571275456</v>
      </c>
      <c r="T1301" s="837"/>
      <c r="U1301" s="842"/>
    </row>
    <row r="1302" customFormat="false" ht="15" hidden="false" customHeight="true" outlineLevel="0" collapsed="false">
      <c r="A1302" s="882"/>
      <c r="B1302" s="830"/>
      <c r="C1302" s="830"/>
      <c r="D1302" s="1357" t="s">
        <v>6</v>
      </c>
      <c r="E1302" s="843" t="s">
        <v>2192</v>
      </c>
      <c r="F1302" s="832"/>
      <c r="G1302" s="833"/>
      <c r="H1302" s="834"/>
      <c r="I1302" s="835"/>
      <c r="J1302" s="1086"/>
      <c r="K1302" s="836"/>
      <c r="L1302" s="1075"/>
      <c r="M1302" s="1303"/>
      <c r="N1302" s="1075"/>
      <c r="O1302" s="1075"/>
      <c r="P1302" s="844" t="s">
        <v>2197</v>
      </c>
      <c r="Q1302" s="845" t="s">
        <v>2831</v>
      </c>
      <c r="R1302" s="846" t="n">
        <v>293335</v>
      </c>
      <c r="S1302" s="846" t="n">
        <f aca="false">R1302/H1296</f>
        <v>3143.99785637728</v>
      </c>
      <c r="T1302" s="837"/>
      <c r="U1302" s="842"/>
    </row>
    <row r="1303" customFormat="false" ht="15" hidden="false" customHeight="true" outlineLevel="0" collapsed="false">
      <c r="A1303" s="847" t="n">
        <v>103</v>
      </c>
      <c r="B1303" s="847" t="s">
        <v>86</v>
      </c>
      <c r="C1303" s="847" t="n">
        <v>2023</v>
      </c>
      <c r="D1303" s="1479" t="s">
        <v>6</v>
      </c>
      <c r="E1303" s="848" t="s">
        <v>2203</v>
      </c>
      <c r="F1303" s="848"/>
      <c r="G1303" s="849"/>
      <c r="H1303" s="850" t="n">
        <v>32</v>
      </c>
      <c r="I1303" s="950"/>
      <c r="J1303" s="950"/>
      <c r="K1303" s="852" t="n">
        <f aca="false">H1303*I1303/100</f>
        <v>0</v>
      </c>
      <c r="L1303" s="1143" t="n">
        <v>207</v>
      </c>
      <c r="M1303" s="1304" t="n">
        <v>1</v>
      </c>
      <c r="N1303" s="1143" t="n">
        <f aca="false">L1303*M1303</f>
        <v>207</v>
      </c>
      <c r="O1303" s="1143" t="n">
        <f aca="false">H1303*N1303</f>
        <v>6624</v>
      </c>
      <c r="P1303" s="856" t="s">
        <v>2232</v>
      </c>
      <c r="Q1303" s="857" t="s">
        <v>2706</v>
      </c>
      <c r="R1303" s="854" t="n">
        <v>6624</v>
      </c>
      <c r="S1303" s="891" t="n">
        <f aca="false">R1303/H1303</f>
        <v>207</v>
      </c>
      <c r="T1303" s="537" t="n">
        <f aca="false">O1303-R1303</f>
        <v>0</v>
      </c>
      <c r="U1303" s="537" t="n">
        <f aca="false">N1303-S1303</f>
        <v>0</v>
      </c>
    </row>
    <row r="1304" customFormat="false" ht="15" hidden="false" customHeight="true" outlineLevel="0" collapsed="false">
      <c r="A1304" s="870" t="n">
        <v>115</v>
      </c>
      <c r="B1304" s="870" t="s">
        <v>86</v>
      </c>
      <c r="C1304" s="870" t="n">
        <v>2023</v>
      </c>
      <c r="D1304" s="1478" t="s">
        <v>6</v>
      </c>
      <c r="E1304" s="871" t="s">
        <v>2242</v>
      </c>
      <c r="F1304" s="871"/>
      <c r="G1304" s="872"/>
      <c r="H1304" s="873" t="n">
        <v>2.6</v>
      </c>
      <c r="I1304" s="1117"/>
      <c r="J1304" s="1117"/>
      <c r="K1304" s="875" t="n">
        <f aca="false">H1304*I1304/100</f>
        <v>0</v>
      </c>
      <c r="L1304" s="1301" t="n">
        <v>643</v>
      </c>
      <c r="M1304" s="1302" t="n">
        <v>1</v>
      </c>
      <c r="N1304" s="1301" t="n">
        <f aca="false">L1304*M1304</f>
        <v>643</v>
      </c>
      <c r="O1304" s="1437" t="n">
        <f aca="false">H1304*N1304</f>
        <v>1671.8</v>
      </c>
      <c r="P1304" s="879" t="s">
        <v>2204</v>
      </c>
      <c r="Q1304" s="880" t="n">
        <v>14052024</v>
      </c>
      <c r="R1304" s="877" t="n">
        <v>1671.8</v>
      </c>
      <c r="S1304" s="877" t="n">
        <f aca="false">R1304/H1304</f>
        <v>643</v>
      </c>
      <c r="T1304" s="553" t="n">
        <f aca="false">O1304-R1304</f>
        <v>0</v>
      </c>
      <c r="U1304" s="553" t="n">
        <f aca="false">N1304-S1304</f>
        <v>0</v>
      </c>
    </row>
    <row r="1305" customFormat="false" ht="15" hidden="false" customHeight="true" outlineLevel="0" collapsed="false">
      <c r="A1305" s="829" t="n">
        <v>152</v>
      </c>
      <c r="B1305" s="1173" t="s">
        <v>86</v>
      </c>
      <c r="C1305" s="1173" t="n">
        <v>2023</v>
      </c>
      <c r="D1305" s="1365" t="s">
        <v>6</v>
      </c>
      <c r="E1305" s="831" t="s">
        <v>2241</v>
      </c>
      <c r="F1305" s="831"/>
      <c r="G1305" s="1108"/>
      <c r="H1305" s="1434" t="n">
        <v>2.4</v>
      </c>
      <c r="I1305" s="1110"/>
      <c r="J1305" s="1110"/>
      <c r="K1305" s="1111" t="n">
        <f aca="false">H1305*I1305/100</f>
        <v>0</v>
      </c>
      <c r="L1305" s="1408" t="n">
        <v>46</v>
      </c>
      <c r="M1305" s="1711" t="n">
        <v>1</v>
      </c>
      <c r="N1305" s="1408" t="n">
        <f aca="false">L1305*M1305</f>
        <v>46</v>
      </c>
      <c r="O1305" s="1712" t="n">
        <f aca="false">H1305*N1305</f>
        <v>110.4</v>
      </c>
      <c r="P1305" s="838" t="s">
        <v>2204</v>
      </c>
      <c r="Q1305" s="839" t="n">
        <v>14052024</v>
      </c>
      <c r="R1305" s="840" t="n">
        <v>110.4</v>
      </c>
      <c r="S1305" s="886" t="n">
        <f aca="false">R1305/H1305</f>
        <v>46</v>
      </c>
      <c r="T1305" s="1115" t="n">
        <f aca="false">O1305-R1305</f>
        <v>0</v>
      </c>
      <c r="U1305" s="1176" t="n">
        <f aca="false">N1305-S1305</f>
        <v>0</v>
      </c>
    </row>
    <row r="1306" customFormat="false" ht="15" hidden="false" customHeight="true" outlineLevel="0" collapsed="false">
      <c r="A1306" s="829"/>
      <c r="B1306" s="893" t="s">
        <v>86</v>
      </c>
      <c r="C1306" s="893" t="n">
        <v>2023</v>
      </c>
      <c r="D1306" s="1357" t="s">
        <v>6</v>
      </c>
      <c r="E1306" s="843" t="s">
        <v>2205</v>
      </c>
      <c r="F1306" s="843"/>
      <c r="G1306" s="894"/>
      <c r="H1306" s="895" t="n">
        <v>13.4</v>
      </c>
      <c r="I1306" s="1104"/>
      <c r="J1306" s="1104"/>
      <c r="K1306" s="897" t="n">
        <f aca="false">H1306*I1306/100</f>
        <v>0</v>
      </c>
      <c r="L1306" s="1393" t="n">
        <v>45</v>
      </c>
      <c r="M1306" s="1713" t="n">
        <v>1</v>
      </c>
      <c r="N1306" s="1393" t="n">
        <f aca="false">L1306*M1306</f>
        <v>45</v>
      </c>
      <c r="O1306" s="1440" t="n">
        <f aca="false">H1306*N1306</f>
        <v>603</v>
      </c>
      <c r="P1306" s="844" t="s">
        <v>2204</v>
      </c>
      <c r="Q1306" s="845" t="n">
        <v>15052024</v>
      </c>
      <c r="R1306" s="846" t="n">
        <v>603</v>
      </c>
      <c r="S1306" s="846" t="n">
        <f aca="false">R1306/H1306</f>
        <v>45</v>
      </c>
      <c r="T1306" s="1441" t="n">
        <f aca="false">O1306-R1306</f>
        <v>0</v>
      </c>
      <c r="U1306" s="902" t="n">
        <f aca="false">N1306-S1306</f>
        <v>0</v>
      </c>
    </row>
    <row r="1307" customFormat="false" ht="15" hidden="false" customHeight="true" outlineLevel="0" collapsed="false">
      <c r="A1307" s="882" t="n">
        <v>156</v>
      </c>
      <c r="B1307" s="883" t="s">
        <v>81</v>
      </c>
      <c r="C1307" s="883" t="n">
        <v>2023</v>
      </c>
      <c r="D1307" s="1365" t="s">
        <v>6</v>
      </c>
      <c r="E1307" s="831" t="s">
        <v>2192</v>
      </c>
      <c r="F1307" s="832" t="s">
        <v>1650</v>
      </c>
      <c r="G1307" s="833"/>
      <c r="H1307" s="834" t="n">
        <v>91.2</v>
      </c>
      <c r="I1307" s="1020" t="n">
        <v>79</v>
      </c>
      <c r="J1307" s="1020" t="n">
        <v>79</v>
      </c>
      <c r="K1307" s="836" t="n">
        <f aca="false">H1307*I1307/100</f>
        <v>72.048</v>
      </c>
      <c r="L1307" s="837" t="n">
        <v>850</v>
      </c>
      <c r="M1307" s="1303" t="n">
        <v>1</v>
      </c>
      <c r="N1307" s="837" t="n">
        <f aca="false">L1307*M1307</f>
        <v>850</v>
      </c>
      <c r="O1307" s="837" t="n">
        <f aca="false">H1307*N1307</f>
        <v>77520</v>
      </c>
      <c r="P1307" s="838" t="s">
        <v>2193</v>
      </c>
      <c r="Q1307" s="839" t="s">
        <v>2832</v>
      </c>
      <c r="R1307" s="840" t="n">
        <v>45600</v>
      </c>
      <c r="S1307" s="886" t="n">
        <f aca="false">R1307/H1307</f>
        <v>500</v>
      </c>
      <c r="T1307" s="1120" t="n">
        <f aca="false">O1307-R1307-R1309-R1308</f>
        <v>0</v>
      </c>
      <c r="U1307" s="842" t="n">
        <f aca="false">N1307-S1307-S1309-S1308</f>
        <v>0</v>
      </c>
    </row>
    <row r="1308" customFormat="false" ht="15" hidden="false" customHeight="true" outlineLevel="0" collapsed="false">
      <c r="A1308" s="882"/>
      <c r="B1308" s="883"/>
      <c r="C1308" s="883"/>
      <c r="D1308" s="1351" t="s">
        <v>6</v>
      </c>
      <c r="E1308" s="904" t="s">
        <v>2192</v>
      </c>
      <c r="F1308" s="832"/>
      <c r="G1308" s="833"/>
      <c r="H1308" s="834"/>
      <c r="I1308" s="1020"/>
      <c r="J1308" s="1020"/>
      <c r="K1308" s="836"/>
      <c r="L1308" s="837"/>
      <c r="M1308" s="1303"/>
      <c r="N1308" s="837"/>
      <c r="O1308" s="837"/>
      <c r="P1308" s="910" t="s">
        <v>2193</v>
      </c>
      <c r="Q1308" s="911" t="s">
        <v>2833</v>
      </c>
      <c r="R1308" s="891" t="n">
        <v>17328</v>
      </c>
      <c r="S1308" s="866" t="n">
        <f aca="false">R1308/H1307</f>
        <v>190</v>
      </c>
      <c r="T1308" s="1120"/>
      <c r="U1308" s="842"/>
    </row>
    <row r="1309" customFormat="false" ht="15" hidden="false" customHeight="true" outlineLevel="0" collapsed="false">
      <c r="A1309" s="882"/>
      <c r="B1309" s="883"/>
      <c r="C1309" s="883"/>
      <c r="D1309" s="1357" t="s">
        <v>6</v>
      </c>
      <c r="E1309" s="843" t="s">
        <v>2192</v>
      </c>
      <c r="F1309" s="832"/>
      <c r="G1309" s="833"/>
      <c r="H1309" s="834"/>
      <c r="I1309" s="1020"/>
      <c r="J1309" s="1020"/>
      <c r="K1309" s="836"/>
      <c r="L1309" s="837"/>
      <c r="M1309" s="1303"/>
      <c r="N1309" s="837"/>
      <c r="O1309" s="837"/>
      <c r="P1309" s="844" t="s">
        <v>2193</v>
      </c>
      <c r="Q1309" s="845" t="s">
        <v>2834</v>
      </c>
      <c r="R1309" s="846" t="n">
        <v>14592</v>
      </c>
      <c r="S1309" s="890" t="n">
        <f aca="false">R1309/H1307</f>
        <v>160</v>
      </c>
      <c r="T1309" s="1120"/>
      <c r="U1309" s="842"/>
    </row>
    <row r="1310" customFormat="false" ht="15" hidden="false" customHeight="true" outlineLevel="0" collapsed="false">
      <c r="A1310" s="903" t="n">
        <v>156</v>
      </c>
      <c r="B1310" s="903" t="s">
        <v>86</v>
      </c>
      <c r="C1310" s="903" t="n">
        <v>2023</v>
      </c>
      <c r="D1310" s="1351" t="s">
        <v>6</v>
      </c>
      <c r="E1310" s="904" t="s">
        <v>2205</v>
      </c>
      <c r="F1310" s="904"/>
      <c r="G1310" s="905"/>
      <c r="H1310" s="946" t="n">
        <v>18.4</v>
      </c>
      <c r="I1310" s="1055"/>
      <c r="J1310" s="1055"/>
      <c r="K1310" s="939" t="n">
        <f aca="false">H1310*I1310/100</f>
        <v>0</v>
      </c>
      <c r="L1310" s="942" t="n">
        <v>201</v>
      </c>
      <c r="M1310" s="1305" t="n">
        <v>1</v>
      </c>
      <c r="N1310" s="942" t="n">
        <f aca="false">L1310*M1310</f>
        <v>201</v>
      </c>
      <c r="O1310" s="1443" t="n">
        <f aca="false">H1310*N1310</f>
        <v>3698.4</v>
      </c>
      <c r="P1310" s="910" t="s">
        <v>2204</v>
      </c>
      <c r="Q1310" s="911" t="n">
        <v>15052024</v>
      </c>
      <c r="R1310" s="891" t="n">
        <v>3698.4</v>
      </c>
      <c r="S1310" s="854" t="n">
        <f aca="false">R1310/H1310</f>
        <v>201</v>
      </c>
      <c r="T1310" s="1058" t="n">
        <f aca="false">O1310-R1310</f>
        <v>0</v>
      </c>
      <c r="U1310" s="1026" t="n">
        <f aca="false">N1310-S1310</f>
        <v>0</v>
      </c>
    </row>
    <row r="1311" customFormat="false" ht="15" hidden="false" customHeight="true" outlineLevel="0" collapsed="false">
      <c r="A1311" s="829" t="n">
        <v>157</v>
      </c>
      <c r="B1311" s="830" t="s">
        <v>81</v>
      </c>
      <c r="C1311" s="830" t="n">
        <v>2023</v>
      </c>
      <c r="D1311" s="1365" t="s">
        <v>6</v>
      </c>
      <c r="E1311" s="831" t="s">
        <v>2192</v>
      </c>
      <c r="F1311" s="832" t="s">
        <v>1650</v>
      </c>
      <c r="G1311" s="833"/>
      <c r="H1311" s="834" t="n">
        <v>91.3</v>
      </c>
      <c r="I1311" s="1020" t="n">
        <v>80</v>
      </c>
      <c r="J1311" s="1020" t="n">
        <v>72</v>
      </c>
      <c r="K1311" s="836" t="n">
        <f aca="false">H1311*I1311/100</f>
        <v>73.04</v>
      </c>
      <c r="L1311" s="1075" t="n">
        <v>2150</v>
      </c>
      <c r="M1311" s="1303" t="n">
        <v>1</v>
      </c>
      <c r="N1311" s="1075" t="n">
        <f aca="false">L1311*M1311</f>
        <v>2150</v>
      </c>
      <c r="O1311" s="1075" t="n">
        <f aca="false">H1311*N1311</f>
        <v>196295</v>
      </c>
      <c r="P1311" s="838" t="s">
        <v>2193</v>
      </c>
      <c r="Q1311" s="839" t="s">
        <v>2835</v>
      </c>
      <c r="R1311" s="840" t="n">
        <v>38346</v>
      </c>
      <c r="S1311" s="886" t="n">
        <f aca="false">R1311/H1311</f>
        <v>420</v>
      </c>
      <c r="T1311" s="1120" t="n">
        <f aca="false">O1311-R1311-R1314-R1313-R1312</f>
        <v>0</v>
      </c>
      <c r="U1311" s="842" t="n">
        <f aca="false">N1311-S1311-S1314-S1313-S1312</f>
        <v>0</v>
      </c>
    </row>
    <row r="1312" customFormat="false" ht="15" hidden="false" customHeight="true" outlineLevel="0" collapsed="false">
      <c r="A1312" s="829"/>
      <c r="B1312" s="830"/>
      <c r="C1312" s="830"/>
      <c r="D1312" s="1479" t="s">
        <v>6</v>
      </c>
      <c r="E1312" s="848" t="s">
        <v>2192</v>
      </c>
      <c r="F1312" s="832"/>
      <c r="G1312" s="833"/>
      <c r="H1312" s="834"/>
      <c r="I1312" s="1020"/>
      <c r="J1312" s="1020"/>
      <c r="K1312" s="836"/>
      <c r="L1312" s="1075"/>
      <c r="M1312" s="1303"/>
      <c r="N1312" s="1075"/>
      <c r="O1312" s="1075"/>
      <c r="P1312" s="856" t="s">
        <v>2193</v>
      </c>
      <c r="Q1312" s="857" t="s">
        <v>2833</v>
      </c>
      <c r="R1312" s="1088" t="n">
        <v>74409.5</v>
      </c>
      <c r="S1312" s="866" t="n">
        <f aca="false">R1312/H1311</f>
        <v>815</v>
      </c>
      <c r="T1312" s="1120"/>
      <c r="U1312" s="842"/>
    </row>
    <row r="1313" customFormat="false" ht="15" hidden="false" customHeight="true" outlineLevel="0" collapsed="false">
      <c r="A1313" s="829"/>
      <c r="B1313" s="830"/>
      <c r="C1313" s="830"/>
      <c r="D1313" s="1480" t="s">
        <v>6</v>
      </c>
      <c r="E1313" s="860" t="s">
        <v>2192</v>
      </c>
      <c r="F1313" s="832"/>
      <c r="G1313" s="833"/>
      <c r="H1313" s="834"/>
      <c r="I1313" s="1020"/>
      <c r="J1313" s="1020"/>
      <c r="K1313" s="836"/>
      <c r="L1313" s="1075"/>
      <c r="M1313" s="1303"/>
      <c r="N1313" s="1075"/>
      <c r="O1313" s="1075"/>
      <c r="P1313" s="868" t="s">
        <v>2197</v>
      </c>
      <c r="Q1313" s="869" t="s">
        <v>2836</v>
      </c>
      <c r="R1313" s="866" t="n">
        <v>38346</v>
      </c>
      <c r="S1313" s="866" t="n">
        <f aca="false">R1313/H1311</f>
        <v>420</v>
      </c>
      <c r="T1313" s="1120"/>
      <c r="U1313" s="842"/>
    </row>
    <row r="1314" customFormat="false" ht="15" hidden="false" customHeight="true" outlineLevel="0" collapsed="false">
      <c r="A1314" s="829"/>
      <c r="B1314" s="830"/>
      <c r="C1314" s="830"/>
      <c r="D1314" s="1357" t="s">
        <v>6</v>
      </c>
      <c r="E1314" s="843" t="s">
        <v>2192</v>
      </c>
      <c r="F1314" s="832"/>
      <c r="G1314" s="833"/>
      <c r="H1314" s="834"/>
      <c r="I1314" s="1020"/>
      <c r="J1314" s="1020"/>
      <c r="K1314" s="836"/>
      <c r="L1314" s="1075"/>
      <c r="M1314" s="1303"/>
      <c r="N1314" s="1075"/>
      <c r="O1314" s="1075"/>
      <c r="P1314" s="844" t="s">
        <v>2193</v>
      </c>
      <c r="Q1314" s="845" t="s">
        <v>2837</v>
      </c>
      <c r="R1314" s="846" t="n">
        <v>45193.5</v>
      </c>
      <c r="S1314" s="846" t="n">
        <f aca="false">R1314/H1311</f>
        <v>495</v>
      </c>
      <c r="T1314" s="1120"/>
      <c r="U1314" s="842"/>
    </row>
    <row r="1315" customFormat="false" ht="15" hidden="false" customHeight="true" outlineLevel="0" collapsed="false">
      <c r="A1315" s="847" t="n">
        <v>169</v>
      </c>
      <c r="B1315" s="847" t="s">
        <v>2191</v>
      </c>
      <c r="C1315" s="847" t="n">
        <v>2023</v>
      </c>
      <c r="D1315" s="1479" t="s">
        <v>6</v>
      </c>
      <c r="E1315" s="848" t="s">
        <v>2192</v>
      </c>
      <c r="F1315" s="848" t="s">
        <v>2133</v>
      </c>
      <c r="G1315" s="849"/>
      <c r="H1315" s="949" t="n">
        <v>90</v>
      </c>
      <c r="I1315" s="1397"/>
      <c r="J1315" s="1397"/>
      <c r="K1315" s="852" t="n">
        <f aca="false">H1315*I1315/100</f>
        <v>0</v>
      </c>
      <c r="L1315" s="1143" t="n">
        <v>11</v>
      </c>
      <c r="M1315" s="1304" t="n">
        <v>30</v>
      </c>
      <c r="N1315" s="1143" t="n">
        <f aca="false">L1315*M1315</f>
        <v>330</v>
      </c>
      <c r="O1315" s="1438" t="n">
        <f aca="false">H1315*N1315</f>
        <v>29700</v>
      </c>
      <c r="P1315" s="856" t="s">
        <v>2232</v>
      </c>
      <c r="Q1315" s="857" t="s">
        <v>2254</v>
      </c>
      <c r="R1315" s="854" t="n">
        <v>29700</v>
      </c>
      <c r="S1315" s="886" t="n">
        <f aca="false">R1315/H1315</f>
        <v>330</v>
      </c>
      <c r="T1315" s="858" t="n">
        <f aca="false">O1315-R1315</f>
        <v>0</v>
      </c>
      <c r="U1315" s="537" t="n">
        <f aca="false">N1315-S1315</f>
        <v>0</v>
      </c>
    </row>
    <row r="1316" customFormat="false" ht="15" hidden="false" customHeight="true" outlineLevel="0" collapsed="false">
      <c r="A1316" s="859" t="n">
        <v>176</v>
      </c>
      <c r="B1316" s="859" t="s">
        <v>86</v>
      </c>
      <c r="C1316" s="859" t="n">
        <v>2023</v>
      </c>
      <c r="D1316" s="1480" t="s">
        <v>6</v>
      </c>
      <c r="E1316" s="860" t="s">
        <v>2205</v>
      </c>
      <c r="F1316" s="860"/>
      <c r="G1316" s="861"/>
      <c r="H1316" s="980" t="n">
        <v>0</v>
      </c>
      <c r="I1316" s="1429"/>
      <c r="J1316" s="1429"/>
      <c r="K1316" s="864" t="n">
        <f aca="false">H1316*I1316/100</f>
        <v>0</v>
      </c>
      <c r="L1316" s="1299" t="n">
        <v>274</v>
      </c>
      <c r="M1316" s="1300" t="n">
        <v>1</v>
      </c>
      <c r="N1316" s="1299" t="n">
        <f aca="false">L1316*M1316</f>
        <v>274</v>
      </c>
      <c r="O1316" s="1439" t="n">
        <f aca="false">H1316*N1316</f>
        <v>0</v>
      </c>
      <c r="P1316" s="868" t="s">
        <v>2204</v>
      </c>
      <c r="Q1316" s="869" t="n">
        <v>15052024</v>
      </c>
      <c r="R1316" s="866" t="n">
        <v>0</v>
      </c>
      <c r="S1316" s="866" t="n">
        <v>274</v>
      </c>
      <c r="T1316" s="985" t="n">
        <f aca="false">O1316-R1316</f>
        <v>0</v>
      </c>
      <c r="U1316" s="543" t="n">
        <f aca="false">N1316-S1316</f>
        <v>0</v>
      </c>
    </row>
    <row r="1317" customFormat="false" ht="15" hidden="false" customHeight="true" outlineLevel="0" collapsed="false">
      <c r="A1317" s="870" t="n">
        <v>187</v>
      </c>
      <c r="B1317" s="903" t="s">
        <v>86</v>
      </c>
      <c r="C1317" s="903" t="n">
        <v>2023</v>
      </c>
      <c r="D1317" s="1351" t="s">
        <v>6</v>
      </c>
      <c r="E1317" s="904" t="s">
        <v>2241</v>
      </c>
      <c r="F1317" s="904"/>
      <c r="G1317" s="905"/>
      <c r="H1317" s="946" t="n">
        <v>7.7</v>
      </c>
      <c r="I1317" s="1055"/>
      <c r="J1317" s="1055"/>
      <c r="K1317" s="939" t="n">
        <f aca="false">H1317*I1317/100</f>
        <v>0</v>
      </c>
      <c r="L1317" s="1137" t="n">
        <v>144</v>
      </c>
      <c r="M1317" s="1305" t="n">
        <v>1</v>
      </c>
      <c r="N1317" s="1137" t="n">
        <f aca="false">L1317*M1317</f>
        <v>144</v>
      </c>
      <c r="O1317" s="1443" t="n">
        <f aca="false">H1317*N1317</f>
        <v>1108.8</v>
      </c>
      <c r="P1317" s="910" t="s">
        <v>2204</v>
      </c>
      <c r="Q1317" s="911" t="n">
        <v>15052024</v>
      </c>
      <c r="R1317" s="891" t="n">
        <v>1108.8</v>
      </c>
      <c r="S1317" s="890" t="n">
        <f aca="false">R1317/H1317</f>
        <v>144</v>
      </c>
      <c r="T1317" s="1058" t="n">
        <f aca="false">O1317-R1317</f>
        <v>0</v>
      </c>
      <c r="U1317" s="1026" t="n">
        <f aca="false">N1317-S1317</f>
        <v>0</v>
      </c>
    </row>
    <row r="1318" customFormat="false" ht="15" hidden="false" customHeight="true" outlineLevel="0" collapsed="false">
      <c r="A1318" s="829" t="n">
        <v>204</v>
      </c>
      <c r="B1318" s="1173" t="s">
        <v>86</v>
      </c>
      <c r="C1318" s="1173" t="n">
        <v>2023</v>
      </c>
      <c r="D1318" s="1365" t="s">
        <v>6</v>
      </c>
      <c r="E1318" s="831" t="s">
        <v>2242</v>
      </c>
      <c r="F1318" s="831"/>
      <c r="G1318" s="1108"/>
      <c r="H1318" s="1109" t="n">
        <v>56.6</v>
      </c>
      <c r="I1318" s="1435"/>
      <c r="J1318" s="1435"/>
      <c r="K1318" s="1111" t="n">
        <f aca="false">H1318*I1318/100</f>
        <v>0</v>
      </c>
      <c r="L1318" s="1408" t="n">
        <v>184</v>
      </c>
      <c r="M1318" s="1711" t="n">
        <v>1</v>
      </c>
      <c r="N1318" s="1408" t="n">
        <f aca="false">L1318*M1318</f>
        <v>184</v>
      </c>
      <c r="O1318" s="1712" t="n">
        <f aca="false">H1318*N1318</f>
        <v>10414.4</v>
      </c>
      <c r="P1318" s="838" t="s">
        <v>2204</v>
      </c>
      <c r="Q1318" s="839" t="n">
        <v>23052024</v>
      </c>
      <c r="R1318" s="840" t="n">
        <v>10414.4</v>
      </c>
      <c r="S1318" s="886" t="n">
        <f aca="false">R1318/H1318</f>
        <v>184</v>
      </c>
      <c r="T1318" s="1115" t="n">
        <f aca="false">O1318-R1318</f>
        <v>0</v>
      </c>
      <c r="U1318" s="1176" t="n">
        <f aca="false">N1318-S1318</f>
        <v>0</v>
      </c>
    </row>
    <row r="1319" customFormat="false" ht="15" hidden="false" customHeight="true" outlineLevel="0" collapsed="false">
      <c r="A1319" s="829"/>
      <c r="B1319" s="893" t="s">
        <v>86</v>
      </c>
      <c r="C1319" s="893" t="n">
        <v>2023</v>
      </c>
      <c r="D1319" s="1357" t="s">
        <v>6</v>
      </c>
      <c r="E1319" s="843" t="s">
        <v>2241</v>
      </c>
      <c r="F1319" s="843"/>
      <c r="G1319" s="894"/>
      <c r="H1319" s="1103" t="n">
        <v>18.2</v>
      </c>
      <c r="I1319" s="1532"/>
      <c r="J1319" s="1532"/>
      <c r="K1319" s="897" t="n">
        <f aca="false">H1319*I1319/100</f>
        <v>0</v>
      </c>
      <c r="L1319" s="1393" t="n">
        <v>102</v>
      </c>
      <c r="M1319" s="1713" t="n">
        <v>1</v>
      </c>
      <c r="N1319" s="1393" t="n">
        <f aca="false">L1319*M1319</f>
        <v>102</v>
      </c>
      <c r="O1319" s="1440" t="n">
        <f aca="false">H1319*N1319</f>
        <v>1856.4</v>
      </c>
      <c r="P1319" s="844" t="s">
        <v>2204</v>
      </c>
      <c r="Q1319" s="845" t="n">
        <v>14052024</v>
      </c>
      <c r="R1319" s="846" t="n">
        <v>1856.4</v>
      </c>
      <c r="S1319" s="846" t="n">
        <f aca="false">R1319/H1319</f>
        <v>102</v>
      </c>
      <c r="T1319" s="1441" t="n">
        <f aca="false">O1319-R1319</f>
        <v>0</v>
      </c>
      <c r="U1319" s="902" t="n">
        <f aca="false">N1319-S1319</f>
        <v>0</v>
      </c>
    </row>
    <row r="1320" customFormat="false" ht="15" hidden="false" customHeight="true" outlineLevel="0" collapsed="false">
      <c r="A1320" s="829" t="n">
        <v>213</v>
      </c>
      <c r="B1320" s="830" t="s">
        <v>86</v>
      </c>
      <c r="C1320" s="830" t="n">
        <v>2023</v>
      </c>
      <c r="D1320" s="831" t="s">
        <v>6</v>
      </c>
      <c r="E1320" s="831" t="s">
        <v>2242</v>
      </c>
      <c r="F1320" s="830"/>
      <c r="G1320" s="833"/>
      <c r="H1320" s="834" t="n">
        <v>65.8</v>
      </c>
      <c r="I1320" s="835"/>
      <c r="J1320" s="835"/>
      <c r="K1320" s="836" t="n">
        <f aca="false">H1320*I1320/100</f>
        <v>0</v>
      </c>
      <c r="L1320" s="837" t="n">
        <v>406</v>
      </c>
      <c r="M1320" s="1303" t="n">
        <v>1</v>
      </c>
      <c r="N1320" s="837" t="n">
        <f aca="false">L1320*M1320</f>
        <v>406</v>
      </c>
      <c r="O1320" s="837" t="n">
        <f aca="false">H1320*N1320</f>
        <v>26714.8</v>
      </c>
      <c r="P1320" s="838"/>
      <c r="Q1320" s="839" t="s">
        <v>2609</v>
      </c>
      <c r="R1320" s="840" t="n">
        <v>1645</v>
      </c>
      <c r="S1320" s="886" t="n">
        <f aca="false">R1320/H1320</f>
        <v>25</v>
      </c>
      <c r="T1320" s="837" t="n">
        <f aca="false">O1320-R1320-R1321</f>
        <v>0</v>
      </c>
      <c r="U1320" s="842" t="n">
        <f aca="false">N1320-S1320-S1321</f>
        <v>0</v>
      </c>
    </row>
    <row r="1321" customFormat="false" ht="15" hidden="false" customHeight="true" outlineLevel="0" collapsed="false">
      <c r="A1321" s="829"/>
      <c r="B1321" s="830"/>
      <c r="C1321" s="830"/>
      <c r="D1321" s="887" t="s">
        <v>6</v>
      </c>
      <c r="E1321" s="887" t="s">
        <v>2242</v>
      </c>
      <c r="F1321" s="830"/>
      <c r="G1321" s="833"/>
      <c r="H1321" s="834"/>
      <c r="I1321" s="835"/>
      <c r="J1321" s="835"/>
      <c r="K1321" s="836"/>
      <c r="L1321" s="837"/>
      <c r="M1321" s="1303"/>
      <c r="N1321" s="837"/>
      <c r="O1321" s="837"/>
      <c r="P1321" s="888" t="s">
        <v>2200</v>
      </c>
      <c r="Q1321" s="889" t="s">
        <v>2826</v>
      </c>
      <c r="R1321" s="890" t="n">
        <v>25069.8</v>
      </c>
      <c r="S1321" s="846" t="n">
        <f aca="false">R1321/H1320</f>
        <v>381</v>
      </c>
      <c r="T1321" s="837"/>
      <c r="U1321" s="842"/>
    </row>
    <row r="1322" customFormat="false" ht="15" hidden="false" customHeight="true" outlineLevel="0" collapsed="false">
      <c r="A1322" s="903" t="n">
        <v>211</v>
      </c>
      <c r="B1322" s="903" t="s">
        <v>86</v>
      </c>
      <c r="C1322" s="903" t="n">
        <v>2023</v>
      </c>
      <c r="D1322" s="904" t="s">
        <v>6</v>
      </c>
      <c r="E1322" s="904" t="s">
        <v>2241</v>
      </c>
      <c r="F1322" s="1351"/>
      <c r="G1322" s="905"/>
      <c r="H1322" s="906" t="n">
        <v>45.1</v>
      </c>
      <c r="I1322" s="947"/>
      <c r="J1322" s="947"/>
      <c r="K1322" s="939" t="n">
        <f aca="false">H1322*I1322/100</f>
        <v>0</v>
      </c>
      <c r="L1322" s="1137" t="n">
        <v>364</v>
      </c>
      <c r="M1322" s="1305" t="n">
        <v>1</v>
      </c>
      <c r="N1322" s="1137" t="n">
        <f aca="false">L1322*M1322</f>
        <v>364</v>
      </c>
      <c r="O1322" s="1137" t="n">
        <f aca="false">H1322*N1322</f>
        <v>16416.4</v>
      </c>
      <c r="P1322" s="910" t="s">
        <v>2204</v>
      </c>
      <c r="Q1322" s="1024" t="s">
        <v>2308</v>
      </c>
      <c r="R1322" s="1025" t="n">
        <v>16416.4</v>
      </c>
      <c r="S1322" s="891" t="n">
        <f aca="false">R1322/H1322</f>
        <v>364</v>
      </c>
      <c r="T1322" s="942" t="n">
        <f aca="false">O1322-R1322</f>
        <v>0</v>
      </c>
      <c r="U1322" s="942" t="n">
        <f aca="false">N1322-S1322</f>
        <v>0</v>
      </c>
    </row>
    <row r="1323" customFormat="false" ht="15" hidden="false" customHeight="true" outlineLevel="0" collapsed="false">
      <c r="A1323" s="829" t="n">
        <v>217</v>
      </c>
      <c r="B1323" s="1173" t="s">
        <v>86</v>
      </c>
      <c r="C1323" s="1173" t="n">
        <v>2023</v>
      </c>
      <c r="D1323" s="831" t="s">
        <v>6</v>
      </c>
      <c r="E1323" s="831" t="s">
        <v>2203</v>
      </c>
      <c r="F1323" s="1365"/>
      <c r="G1323" s="1108"/>
      <c r="H1323" s="1434" t="n">
        <v>0.6</v>
      </c>
      <c r="I1323" s="1110"/>
      <c r="J1323" s="1110"/>
      <c r="K1323" s="1111" t="n">
        <f aca="false">H1323*I1323/100</f>
        <v>0</v>
      </c>
      <c r="L1323" s="1408" t="n">
        <v>92</v>
      </c>
      <c r="M1323" s="1711" t="n">
        <v>1</v>
      </c>
      <c r="N1323" s="1408" t="n">
        <f aca="false">L1323*M1323</f>
        <v>92</v>
      </c>
      <c r="O1323" s="1712" t="n">
        <f aca="false">H1323*N1323</f>
        <v>55.2</v>
      </c>
      <c r="P1323" s="838" t="s">
        <v>2204</v>
      </c>
      <c r="Q1323" s="839" t="n">
        <v>14052024</v>
      </c>
      <c r="R1323" s="840" t="n">
        <v>55.2</v>
      </c>
      <c r="S1323" s="840" t="n">
        <f aca="false">R1323/H1323</f>
        <v>92</v>
      </c>
      <c r="T1323" s="1114" t="n">
        <f aca="false">O1323-R1323</f>
        <v>0</v>
      </c>
      <c r="U1323" s="1176" t="n">
        <f aca="false">N1323-S1323</f>
        <v>0</v>
      </c>
    </row>
    <row r="1324" customFormat="false" ht="15" hidden="false" customHeight="true" outlineLevel="0" collapsed="false">
      <c r="A1324" s="829"/>
      <c r="B1324" s="893" t="s">
        <v>86</v>
      </c>
      <c r="C1324" s="893" t="n">
        <v>2023</v>
      </c>
      <c r="D1324" s="843" t="s">
        <v>6</v>
      </c>
      <c r="E1324" s="843" t="s">
        <v>2205</v>
      </c>
      <c r="F1324" s="1357"/>
      <c r="G1324" s="894"/>
      <c r="H1324" s="895" t="n">
        <v>0</v>
      </c>
      <c r="I1324" s="1104"/>
      <c r="J1324" s="1104"/>
      <c r="K1324" s="897" t="n">
        <f aca="false">H1324*I1324/100</f>
        <v>0</v>
      </c>
      <c r="L1324" s="1393" t="n">
        <v>219</v>
      </c>
      <c r="M1324" s="1713" t="n">
        <v>1</v>
      </c>
      <c r="N1324" s="1393" t="n">
        <f aca="false">L1324*M1324</f>
        <v>219</v>
      </c>
      <c r="O1324" s="1393" t="n">
        <f aca="false">H1324*N1324</f>
        <v>0</v>
      </c>
      <c r="P1324" s="844" t="s">
        <v>2204</v>
      </c>
      <c r="Q1324" s="845" t="n">
        <v>15052024</v>
      </c>
      <c r="R1324" s="846" t="n">
        <v>0</v>
      </c>
      <c r="S1324" s="846" t="n">
        <v>219</v>
      </c>
      <c r="T1324" s="589" t="n">
        <f aca="false">O1324-R1324</f>
        <v>0</v>
      </c>
      <c r="U1324" s="902" t="n">
        <f aca="false">N1324-S1324</f>
        <v>0</v>
      </c>
    </row>
    <row r="1325" customFormat="false" ht="15" hidden="false" customHeight="true" outlineLevel="0" collapsed="false">
      <c r="A1325" s="829" t="n">
        <v>218</v>
      </c>
      <c r="B1325" s="1107" t="s">
        <v>86</v>
      </c>
      <c r="C1325" s="1107" t="n">
        <v>2023</v>
      </c>
      <c r="D1325" s="831" t="s">
        <v>6</v>
      </c>
      <c r="E1325" s="831" t="s">
        <v>2242</v>
      </c>
      <c r="F1325" s="1107"/>
      <c r="G1325" s="1108"/>
      <c r="H1325" s="1109" t="n">
        <v>57.2</v>
      </c>
      <c r="I1325" s="1110"/>
      <c r="J1325" s="1110"/>
      <c r="K1325" s="1111" t="n">
        <f aca="false">H1325*I1325/100</f>
        <v>0</v>
      </c>
      <c r="L1325" s="1114" t="n">
        <v>60</v>
      </c>
      <c r="M1325" s="1711" t="n">
        <v>1</v>
      </c>
      <c r="N1325" s="1114" t="n">
        <f aca="false">L1325*M1325</f>
        <v>60</v>
      </c>
      <c r="O1325" s="1114" t="n">
        <f aca="false">H1325*N1325</f>
        <v>3432</v>
      </c>
      <c r="P1325" s="838"/>
      <c r="Q1325" s="839" t="s">
        <v>2609</v>
      </c>
      <c r="R1325" s="840" t="n">
        <v>1716</v>
      </c>
      <c r="S1325" s="886" t="n">
        <f aca="false">R1325/H1325</f>
        <v>30</v>
      </c>
      <c r="T1325" s="1115" t="n">
        <f aca="false">O1325-R1325-R1326</f>
        <v>0</v>
      </c>
      <c r="U1325" s="1176" t="n">
        <f aca="false">N1325-S1325-S1326</f>
        <v>0</v>
      </c>
    </row>
    <row r="1326" customFormat="false" ht="15" hidden="false" customHeight="true" outlineLevel="0" collapsed="false">
      <c r="A1326" s="829"/>
      <c r="B1326" s="1107"/>
      <c r="C1326" s="1107"/>
      <c r="D1326" s="848" t="s">
        <v>6</v>
      </c>
      <c r="E1326" s="848" t="s">
        <v>2242</v>
      </c>
      <c r="F1326" s="1107"/>
      <c r="G1326" s="1108"/>
      <c r="H1326" s="1109"/>
      <c r="I1326" s="1110"/>
      <c r="J1326" s="1110"/>
      <c r="K1326" s="1111"/>
      <c r="L1326" s="1114"/>
      <c r="M1326" s="1711"/>
      <c r="N1326" s="1114"/>
      <c r="O1326" s="1114"/>
      <c r="P1326" s="856" t="s">
        <v>2195</v>
      </c>
      <c r="Q1326" s="857" t="s">
        <v>1375</v>
      </c>
      <c r="R1326" s="854" t="n">
        <v>1716</v>
      </c>
      <c r="S1326" s="866" t="n">
        <f aca="false">R1326/H1325</f>
        <v>30</v>
      </c>
      <c r="T1326" s="1115"/>
      <c r="U1326" s="1176"/>
    </row>
    <row r="1327" customFormat="false" ht="15" hidden="false" customHeight="true" outlineLevel="0" collapsed="false">
      <c r="A1327" s="829"/>
      <c r="B1327" s="847" t="s">
        <v>86</v>
      </c>
      <c r="C1327" s="847" t="n">
        <v>2023</v>
      </c>
      <c r="D1327" s="848" t="s">
        <v>6</v>
      </c>
      <c r="E1327" s="848" t="s">
        <v>2203</v>
      </c>
      <c r="F1327" s="1479"/>
      <c r="G1327" s="849"/>
      <c r="H1327" s="850" t="n">
        <v>0</v>
      </c>
      <c r="I1327" s="950"/>
      <c r="J1327" s="950"/>
      <c r="K1327" s="852" t="n">
        <f aca="false">H1327*I1327/100</f>
        <v>0</v>
      </c>
      <c r="L1327" s="1143" t="n">
        <v>34</v>
      </c>
      <c r="M1327" s="1304" t="n">
        <v>1</v>
      </c>
      <c r="N1327" s="1143" t="n">
        <f aca="false">L1327*M1327</f>
        <v>34</v>
      </c>
      <c r="O1327" s="1143" t="n">
        <f aca="false">H1327*N1327</f>
        <v>0</v>
      </c>
      <c r="P1327" s="856" t="s">
        <v>2204</v>
      </c>
      <c r="Q1327" s="857" t="n">
        <v>15052024</v>
      </c>
      <c r="R1327" s="854" t="n">
        <v>0</v>
      </c>
      <c r="S1327" s="866" t="n">
        <v>34</v>
      </c>
      <c r="T1327" s="537" t="n">
        <f aca="false">O1327-R1327</f>
        <v>0</v>
      </c>
      <c r="U1327" s="892" t="n">
        <f aca="false">N1327-S1327</f>
        <v>0</v>
      </c>
    </row>
    <row r="1328" customFormat="false" ht="15" hidden="false" customHeight="true" outlineLevel="0" collapsed="false">
      <c r="A1328" s="829"/>
      <c r="B1328" s="1072" t="s">
        <v>86</v>
      </c>
      <c r="C1328" s="1072" t="n">
        <v>2023</v>
      </c>
      <c r="D1328" s="887" t="s">
        <v>6</v>
      </c>
      <c r="E1328" s="887" t="s">
        <v>2205</v>
      </c>
      <c r="F1328" s="1501"/>
      <c r="G1328" s="1062"/>
      <c r="H1328" s="1291" t="n">
        <v>1.8</v>
      </c>
      <c r="I1328" s="1086"/>
      <c r="J1328" s="1086"/>
      <c r="K1328" s="1064" t="n">
        <f aca="false">H1328*I1328/100</f>
        <v>0</v>
      </c>
      <c r="L1328" s="1082" t="n">
        <v>68</v>
      </c>
      <c r="M1328" s="1710" t="n">
        <v>1</v>
      </c>
      <c r="N1328" s="1082" t="n">
        <f aca="false">L1328*M1328</f>
        <v>68</v>
      </c>
      <c r="O1328" s="1714" t="n">
        <f aca="false">H1328*N1328</f>
        <v>122.4</v>
      </c>
      <c r="P1328" s="888" t="s">
        <v>2204</v>
      </c>
      <c r="Q1328" s="889" t="n">
        <v>15052024</v>
      </c>
      <c r="R1328" s="890" t="n">
        <v>122.4</v>
      </c>
      <c r="S1328" s="890" t="n">
        <v>68</v>
      </c>
      <c r="T1328" s="1067" t="n">
        <f aca="false">O1328-R1328</f>
        <v>0</v>
      </c>
      <c r="U1328" s="1070" t="n">
        <f aca="false">N1328-S1328</f>
        <v>0</v>
      </c>
    </row>
    <row r="1329" customFormat="false" ht="15" hidden="false" customHeight="true" outlineLevel="0" collapsed="false">
      <c r="A1329" s="882" t="n">
        <v>219</v>
      </c>
      <c r="B1329" s="883" t="s">
        <v>86</v>
      </c>
      <c r="C1329" s="883" t="n">
        <v>2023</v>
      </c>
      <c r="D1329" s="831" t="s">
        <v>6</v>
      </c>
      <c r="E1329" s="831" t="s">
        <v>2192</v>
      </c>
      <c r="F1329" s="832" t="s">
        <v>1650</v>
      </c>
      <c r="G1329" s="833"/>
      <c r="H1329" s="834" t="n">
        <v>95.2</v>
      </c>
      <c r="I1329" s="1020" t="n">
        <v>92</v>
      </c>
      <c r="J1329" s="836" t="n">
        <v>91</v>
      </c>
      <c r="K1329" s="836" t="n">
        <f aca="false">H1329*I1329/100</f>
        <v>87.584</v>
      </c>
      <c r="L1329" s="837" t="n">
        <v>314</v>
      </c>
      <c r="M1329" s="1303" t="n">
        <v>1</v>
      </c>
      <c r="N1329" s="837" t="n">
        <f aca="false">L1329*M1329</f>
        <v>314</v>
      </c>
      <c r="O1329" s="837" t="n">
        <f aca="false">H1329*N1329</f>
        <v>29892.8</v>
      </c>
      <c r="P1329" s="838" t="s">
        <v>2193</v>
      </c>
      <c r="Q1329" s="839" t="s">
        <v>2838</v>
      </c>
      <c r="R1329" s="886" t="n">
        <v>14280</v>
      </c>
      <c r="S1329" s="886" t="n">
        <f aca="false">R1329/H1329</f>
        <v>150</v>
      </c>
      <c r="T1329" s="837" t="n">
        <f aca="false">O1329-R1329-R1331-R1330</f>
        <v>0</v>
      </c>
      <c r="U1329" s="842" t="n">
        <f aca="false">N1329-S1329-S1331-S1330</f>
        <v>0</v>
      </c>
    </row>
    <row r="1330" customFormat="false" ht="15" hidden="false" customHeight="true" outlineLevel="0" collapsed="false">
      <c r="A1330" s="882"/>
      <c r="B1330" s="883"/>
      <c r="C1330" s="883"/>
      <c r="D1330" s="860" t="s">
        <v>6</v>
      </c>
      <c r="E1330" s="860" t="s">
        <v>2192</v>
      </c>
      <c r="F1330" s="832"/>
      <c r="G1330" s="833"/>
      <c r="H1330" s="834"/>
      <c r="I1330" s="1020"/>
      <c r="J1330" s="836"/>
      <c r="K1330" s="836"/>
      <c r="L1330" s="837"/>
      <c r="M1330" s="1303"/>
      <c r="N1330" s="837"/>
      <c r="O1330" s="837"/>
      <c r="P1330" s="868" t="s">
        <v>2193</v>
      </c>
      <c r="Q1330" s="869" t="s">
        <v>2394</v>
      </c>
      <c r="R1330" s="866" t="n">
        <v>14470.4</v>
      </c>
      <c r="S1330" s="866" t="n">
        <f aca="false">R1330/H1329</f>
        <v>152</v>
      </c>
      <c r="T1330" s="837"/>
      <c r="U1330" s="842"/>
    </row>
    <row r="1331" customFormat="false" ht="15" hidden="false" customHeight="true" outlineLevel="0" collapsed="false">
      <c r="A1331" s="882"/>
      <c r="B1331" s="883"/>
      <c r="C1331" s="883"/>
      <c r="D1331" s="887" t="s">
        <v>6</v>
      </c>
      <c r="E1331" s="887" t="s">
        <v>2192</v>
      </c>
      <c r="F1331" s="832"/>
      <c r="G1331" s="833"/>
      <c r="H1331" s="834"/>
      <c r="I1331" s="1020"/>
      <c r="J1331" s="836"/>
      <c r="K1331" s="836"/>
      <c r="L1331" s="837"/>
      <c r="M1331" s="1303"/>
      <c r="N1331" s="837"/>
      <c r="O1331" s="837"/>
      <c r="P1331" s="888" t="s">
        <v>2195</v>
      </c>
      <c r="Q1331" s="889" t="s">
        <v>2839</v>
      </c>
      <c r="R1331" s="1080" t="n">
        <v>1142.4</v>
      </c>
      <c r="S1331" s="890" t="n">
        <f aca="false">R1331/H1329</f>
        <v>12</v>
      </c>
      <c r="T1331" s="837"/>
      <c r="U1331" s="842"/>
    </row>
    <row r="1332" customFormat="false" ht="15" hidden="false" customHeight="true" outlineLevel="0" collapsed="false">
      <c r="A1332" s="847" t="n">
        <v>227</v>
      </c>
      <c r="B1332" s="847" t="s">
        <v>86</v>
      </c>
      <c r="C1332" s="847" t="n">
        <v>2023</v>
      </c>
      <c r="D1332" s="848" t="s">
        <v>6</v>
      </c>
      <c r="E1332" s="848" t="s">
        <v>2192</v>
      </c>
      <c r="F1332" s="848" t="s">
        <v>2199</v>
      </c>
      <c r="G1332" s="849"/>
      <c r="H1332" s="949" t="n">
        <v>78.8</v>
      </c>
      <c r="I1332" s="950" t="n">
        <v>75</v>
      </c>
      <c r="J1332" s="950"/>
      <c r="K1332" s="852" t="n">
        <f aca="false">H1332*I1332/100</f>
        <v>59.1</v>
      </c>
      <c r="L1332" s="537" t="n">
        <v>1580</v>
      </c>
      <c r="M1332" s="1304" t="n">
        <v>1</v>
      </c>
      <c r="N1332" s="853" t="n">
        <f aca="false">L1332*M1332</f>
        <v>1580</v>
      </c>
      <c r="O1332" s="855" t="n">
        <f aca="false">H1332*N1332</f>
        <v>124504</v>
      </c>
      <c r="P1332" s="856" t="s">
        <v>2232</v>
      </c>
      <c r="Q1332" s="857" t="s">
        <v>2840</v>
      </c>
      <c r="R1332" s="854" t="n">
        <v>124504</v>
      </c>
      <c r="S1332" s="886" t="n">
        <f aca="false">R1332/H1332</f>
        <v>1580</v>
      </c>
      <c r="T1332" s="537" t="n">
        <f aca="false">O1332-R1332</f>
        <v>0</v>
      </c>
      <c r="U1332" s="537" t="n">
        <f aca="false">N1332-S1332</f>
        <v>0</v>
      </c>
    </row>
    <row r="1333" customFormat="false" ht="15" hidden="false" customHeight="true" outlineLevel="0" collapsed="false">
      <c r="A1333" s="847" t="s">
        <v>1377</v>
      </c>
      <c r="B1333" s="847" t="s">
        <v>86</v>
      </c>
      <c r="C1333" s="847" t="n">
        <v>2023</v>
      </c>
      <c r="D1333" s="848" t="s">
        <v>6</v>
      </c>
      <c r="E1333" s="848" t="s">
        <v>2192</v>
      </c>
      <c r="F1333" s="848" t="s">
        <v>1650</v>
      </c>
      <c r="G1333" s="849"/>
      <c r="H1333" s="949" t="n">
        <v>95.5</v>
      </c>
      <c r="I1333" s="950"/>
      <c r="J1333" s="950"/>
      <c r="K1333" s="864" t="n">
        <f aca="false">H1333*I1333/100</f>
        <v>0</v>
      </c>
      <c r="L1333" s="537" t="n">
        <v>657</v>
      </c>
      <c r="M1333" s="1304" t="n">
        <v>1</v>
      </c>
      <c r="N1333" s="865" t="n">
        <f aca="false">L1333*M1333</f>
        <v>657</v>
      </c>
      <c r="O1333" s="867" t="n">
        <f aca="false">H1333*N1333</f>
        <v>62743.5</v>
      </c>
      <c r="P1333" s="856" t="s">
        <v>2232</v>
      </c>
      <c r="Q1333" s="857" t="s">
        <v>2840</v>
      </c>
      <c r="R1333" s="854" t="n">
        <v>62743.5</v>
      </c>
      <c r="S1333" s="866" t="n">
        <f aca="false">R1333/H1333</f>
        <v>657</v>
      </c>
      <c r="T1333" s="985" t="n">
        <f aca="false">O1333-R1333</f>
        <v>0</v>
      </c>
      <c r="U1333" s="543" t="n">
        <f aca="false">N1333-S1333</f>
        <v>0</v>
      </c>
    </row>
    <row r="1334" customFormat="false" ht="15" hidden="false" customHeight="true" outlineLevel="0" collapsed="false">
      <c r="A1334" s="903" t="n">
        <v>266</v>
      </c>
      <c r="B1334" s="903" t="s">
        <v>2191</v>
      </c>
      <c r="C1334" s="903" t="n">
        <v>2023</v>
      </c>
      <c r="D1334" s="904" t="s">
        <v>6</v>
      </c>
      <c r="E1334" s="904" t="s">
        <v>2192</v>
      </c>
      <c r="F1334" s="904" t="s">
        <v>1651</v>
      </c>
      <c r="G1334" s="905"/>
      <c r="H1334" s="946" t="n">
        <v>30</v>
      </c>
      <c r="I1334" s="947"/>
      <c r="J1334" s="947"/>
      <c r="K1334" s="939" t="n">
        <f aca="false">H1334*I1334/100</f>
        <v>0</v>
      </c>
      <c r="L1334" s="942" t="n">
        <v>8</v>
      </c>
      <c r="M1334" s="1305" t="n">
        <v>15</v>
      </c>
      <c r="N1334" s="908" t="n">
        <f aca="false">L1334*M1334</f>
        <v>120</v>
      </c>
      <c r="O1334" s="908" t="n">
        <f aca="false">H1334*N1334</f>
        <v>3600</v>
      </c>
      <c r="P1334" s="910" t="s">
        <v>2197</v>
      </c>
      <c r="Q1334" s="911" t="s">
        <v>2819</v>
      </c>
      <c r="R1334" s="891" t="n">
        <v>3600</v>
      </c>
      <c r="S1334" s="891" t="n">
        <f aca="false">R1334/H1334</f>
        <v>120</v>
      </c>
      <c r="T1334" s="553" t="n">
        <f aca="false">O1334-R1334</f>
        <v>0</v>
      </c>
      <c r="U1334" s="553" t="n">
        <f aca="false">N1334-S1334</f>
        <v>0</v>
      </c>
    </row>
    <row r="1335" customFormat="false" ht="15" hidden="false" customHeight="true" outlineLevel="0" collapsed="false">
      <c r="A1335" s="829" t="n">
        <v>268</v>
      </c>
      <c r="B1335" s="830" t="s">
        <v>2191</v>
      </c>
      <c r="C1335" s="830" t="n">
        <v>2023</v>
      </c>
      <c r="D1335" s="831" t="s">
        <v>6</v>
      </c>
      <c r="E1335" s="831" t="s">
        <v>2192</v>
      </c>
      <c r="F1335" s="832" t="s">
        <v>1651</v>
      </c>
      <c r="G1335" s="833"/>
      <c r="H1335" s="834" t="n">
        <v>30</v>
      </c>
      <c r="I1335" s="835"/>
      <c r="J1335" s="835"/>
      <c r="K1335" s="836" t="n">
        <f aca="false">H1335*I1335/100</f>
        <v>0</v>
      </c>
      <c r="L1335" s="837" t="n">
        <v>30</v>
      </c>
      <c r="M1335" s="1303" t="n">
        <v>15</v>
      </c>
      <c r="N1335" s="837" t="n">
        <f aca="false">L1335*M1335</f>
        <v>450</v>
      </c>
      <c r="O1335" s="837" t="n">
        <f aca="false">H1335*N1335</f>
        <v>13500</v>
      </c>
      <c r="P1335" s="838" t="s">
        <v>2197</v>
      </c>
      <c r="Q1335" s="839" t="s">
        <v>2819</v>
      </c>
      <c r="R1335" s="840" t="n">
        <v>5400</v>
      </c>
      <c r="S1335" s="840" t="n">
        <f aca="false">R1335/H1335</f>
        <v>180</v>
      </c>
      <c r="T1335" s="837" t="n">
        <f aca="false">O1335-R1335-R1336</f>
        <v>0</v>
      </c>
      <c r="U1335" s="842" t="n">
        <f aca="false">N1335-S1335-S1336</f>
        <v>0</v>
      </c>
    </row>
    <row r="1336" customFormat="false" ht="15" hidden="false" customHeight="true" outlineLevel="0" collapsed="false">
      <c r="A1336" s="829"/>
      <c r="B1336" s="830"/>
      <c r="C1336" s="830"/>
      <c r="D1336" s="887" t="s">
        <v>6</v>
      </c>
      <c r="E1336" s="887" t="s">
        <v>2192</v>
      </c>
      <c r="F1336" s="832"/>
      <c r="G1336" s="833"/>
      <c r="H1336" s="834"/>
      <c r="I1336" s="835"/>
      <c r="J1336" s="835"/>
      <c r="K1336" s="836"/>
      <c r="L1336" s="837"/>
      <c r="M1336" s="1303"/>
      <c r="N1336" s="837"/>
      <c r="O1336" s="837"/>
      <c r="P1336" s="888" t="s">
        <v>2193</v>
      </c>
      <c r="Q1336" s="889" t="s">
        <v>2818</v>
      </c>
      <c r="R1336" s="890" t="n">
        <v>8100</v>
      </c>
      <c r="S1336" s="890" t="n">
        <f aca="false">R1336/H1335</f>
        <v>270</v>
      </c>
      <c r="T1336" s="837"/>
      <c r="U1336" s="842"/>
    </row>
    <row r="1337" customFormat="false" ht="15" hidden="false" customHeight="true" outlineLevel="0" collapsed="false">
      <c r="A1337" s="847" t="n">
        <v>326</v>
      </c>
      <c r="B1337" s="847" t="s">
        <v>2191</v>
      </c>
      <c r="C1337" s="847" t="n">
        <v>2023</v>
      </c>
      <c r="D1337" s="848" t="s">
        <v>6</v>
      </c>
      <c r="E1337" s="848" t="s">
        <v>2192</v>
      </c>
      <c r="F1337" s="848" t="s">
        <v>2131</v>
      </c>
      <c r="G1337" s="849"/>
      <c r="H1337" s="949" t="n">
        <v>64.78</v>
      </c>
      <c r="I1337" s="950"/>
      <c r="J1337" s="950"/>
      <c r="K1337" s="852" t="n">
        <f aca="false">H1337*I1337/100</f>
        <v>0</v>
      </c>
      <c r="L1337" s="537" t="n">
        <v>46</v>
      </c>
      <c r="M1337" s="1304" t="n">
        <v>25</v>
      </c>
      <c r="N1337" s="853" t="n">
        <f aca="false">L1337*M1337</f>
        <v>1150</v>
      </c>
      <c r="O1337" s="853" t="n">
        <f aca="false">H1337*N1337</f>
        <v>74497</v>
      </c>
      <c r="P1337" s="856" t="s">
        <v>2232</v>
      </c>
      <c r="Q1337" s="857" t="s">
        <v>2254</v>
      </c>
      <c r="R1337" s="854" t="n">
        <v>74497</v>
      </c>
      <c r="S1337" s="886" t="n">
        <f aca="false">R1337/H1337</f>
        <v>1150</v>
      </c>
      <c r="T1337" s="537" t="n">
        <f aca="false">O1337-R1337</f>
        <v>0</v>
      </c>
      <c r="U1337" s="537" t="n">
        <f aca="false">N1337-S1337</f>
        <v>0</v>
      </c>
    </row>
    <row r="1338" customFormat="false" ht="15" hidden="false" customHeight="true" outlineLevel="0" collapsed="false">
      <c r="A1338" s="903" t="n">
        <v>335</v>
      </c>
      <c r="B1338" s="903" t="s">
        <v>2191</v>
      </c>
      <c r="C1338" s="903" t="n">
        <v>2023</v>
      </c>
      <c r="D1338" s="904" t="s">
        <v>6</v>
      </c>
      <c r="E1338" s="904" t="s">
        <v>2192</v>
      </c>
      <c r="F1338" s="904" t="s">
        <v>1651</v>
      </c>
      <c r="G1338" s="905"/>
      <c r="H1338" s="946" t="n">
        <v>30</v>
      </c>
      <c r="I1338" s="947"/>
      <c r="J1338" s="947"/>
      <c r="K1338" s="939" t="n">
        <f aca="false">H1338*I1338/100</f>
        <v>0</v>
      </c>
      <c r="L1338" s="942" t="n">
        <v>26</v>
      </c>
      <c r="M1338" s="1305" t="n">
        <v>15</v>
      </c>
      <c r="N1338" s="908" t="n">
        <f aca="false">L1338*M1338</f>
        <v>390</v>
      </c>
      <c r="O1338" s="908" t="n">
        <f aca="false">H1338*N1338</f>
        <v>11700</v>
      </c>
      <c r="P1338" s="910" t="s">
        <v>2193</v>
      </c>
      <c r="Q1338" s="911" t="s">
        <v>2818</v>
      </c>
      <c r="R1338" s="891" t="n">
        <v>11700</v>
      </c>
      <c r="S1338" s="891" t="n">
        <f aca="false">R1338/H1338</f>
        <v>390</v>
      </c>
      <c r="T1338" s="553" t="n">
        <f aca="false">O1338-R1338</f>
        <v>0</v>
      </c>
      <c r="U1338" s="553" t="n">
        <f aca="false">N1338-S1338</f>
        <v>0</v>
      </c>
    </row>
    <row r="1339" customFormat="false" ht="15" hidden="false" customHeight="true" outlineLevel="0" collapsed="false">
      <c r="A1339" s="829" t="n">
        <v>336</v>
      </c>
      <c r="B1339" s="830" t="s">
        <v>2191</v>
      </c>
      <c r="C1339" s="830" t="n">
        <v>2023</v>
      </c>
      <c r="D1339" s="831" t="s">
        <v>6</v>
      </c>
      <c r="E1339" s="831" t="s">
        <v>2192</v>
      </c>
      <c r="F1339" s="832" t="s">
        <v>1651</v>
      </c>
      <c r="G1339" s="833"/>
      <c r="H1339" s="834" t="n">
        <v>30</v>
      </c>
      <c r="I1339" s="835"/>
      <c r="J1339" s="835"/>
      <c r="K1339" s="836" t="n">
        <f aca="false">H1339*I1339/100</f>
        <v>0</v>
      </c>
      <c r="L1339" s="837" t="n">
        <v>7</v>
      </c>
      <c r="M1339" s="1303" t="n">
        <v>15</v>
      </c>
      <c r="N1339" s="837" t="n">
        <f aca="false">L1339*M1339</f>
        <v>105</v>
      </c>
      <c r="O1339" s="837" t="n">
        <f aca="false">H1339*N1339</f>
        <v>3150</v>
      </c>
      <c r="P1339" s="838" t="s">
        <v>2193</v>
      </c>
      <c r="Q1339" s="839" t="s">
        <v>2818</v>
      </c>
      <c r="R1339" s="840" t="n">
        <v>2700</v>
      </c>
      <c r="S1339" s="840" t="n">
        <f aca="false">R1339/H1339</f>
        <v>90</v>
      </c>
      <c r="T1339" s="837" t="n">
        <f aca="false">O1339-R1339-R1340</f>
        <v>0</v>
      </c>
      <c r="U1339" s="842" t="n">
        <f aca="false">N1339-S1339-S1340</f>
        <v>0</v>
      </c>
    </row>
    <row r="1340" customFormat="false" ht="15" hidden="false" customHeight="true" outlineLevel="0" collapsed="false">
      <c r="A1340" s="829"/>
      <c r="B1340" s="830"/>
      <c r="C1340" s="830"/>
      <c r="D1340" s="887" t="s">
        <v>6</v>
      </c>
      <c r="E1340" s="887" t="s">
        <v>2192</v>
      </c>
      <c r="F1340" s="832"/>
      <c r="G1340" s="833"/>
      <c r="H1340" s="834"/>
      <c r="I1340" s="835"/>
      <c r="J1340" s="835"/>
      <c r="K1340" s="836"/>
      <c r="L1340" s="837"/>
      <c r="M1340" s="1303"/>
      <c r="N1340" s="837"/>
      <c r="O1340" s="837"/>
      <c r="P1340" s="888" t="s">
        <v>2195</v>
      </c>
      <c r="Q1340" s="889" t="s">
        <v>1375</v>
      </c>
      <c r="R1340" s="890" t="n">
        <v>450</v>
      </c>
      <c r="S1340" s="890" t="n">
        <f aca="false">R1340/H1339</f>
        <v>15</v>
      </c>
      <c r="T1340" s="837"/>
      <c r="U1340" s="842"/>
    </row>
    <row r="1341" customFormat="false" ht="15" hidden="false" customHeight="true" outlineLevel="0" collapsed="false">
      <c r="A1341" s="847" t="n">
        <v>481</v>
      </c>
      <c r="B1341" s="847" t="s">
        <v>2191</v>
      </c>
      <c r="C1341" s="847" t="n">
        <v>2023</v>
      </c>
      <c r="D1341" s="848" t="s">
        <v>6</v>
      </c>
      <c r="E1341" s="848" t="s">
        <v>2192</v>
      </c>
      <c r="F1341" s="848" t="s">
        <v>1652</v>
      </c>
      <c r="G1341" s="849"/>
      <c r="H1341" s="949" t="n">
        <v>45</v>
      </c>
      <c r="I1341" s="950"/>
      <c r="J1341" s="950"/>
      <c r="K1341" s="852" t="n">
        <f aca="false">H1341*I1341/100</f>
        <v>0</v>
      </c>
      <c r="L1341" s="537" t="n">
        <v>3</v>
      </c>
      <c r="M1341" s="1304" t="n">
        <v>15</v>
      </c>
      <c r="N1341" s="853" t="n">
        <f aca="false">L1341*M1341</f>
        <v>45</v>
      </c>
      <c r="O1341" s="853" t="n">
        <f aca="false">H1341*N1341</f>
        <v>2025</v>
      </c>
      <c r="P1341" s="856" t="s">
        <v>2197</v>
      </c>
      <c r="Q1341" s="857" t="s">
        <v>2820</v>
      </c>
      <c r="R1341" s="854" t="n">
        <v>2025</v>
      </c>
      <c r="S1341" s="854" t="n">
        <f aca="false">R1341/H1341</f>
        <v>45</v>
      </c>
      <c r="T1341" s="537" t="n">
        <f aca="false">O1341-R1341</f>
        <v>0</v>
      </c>
      <c r="U1341" s="537" t="n">
        <f aca="false">N1341-S1341</f>
        <v>0</v>
      </c>
    </row>
    <row r="1342" customFormat="false" ht="15" hidden="false" customHeight="true" outlineLevel="0" collapsed="false">
      <c r="A1342" s="903" t="n">
        <v>589</v>
      </c>
      <c r="B1342" s="903" t="s">
        <v>2191</v>
      </c>
      <c r="C1342" s="903" t="n">
        <v>2023</v>
      </c>
      <c r="D1342" s="904" t="s">
        <v>6</v>
      </c>
      <c r="E1342" s="904" t="s">
        <v>2192</v>
      </c>
      <c r="F1342" s="904" t="s">
        <v>1651</v>
      </c>
      <c r="G1342" s="905"/>
      <c r="H1342" s="946" t="n">
        <v>28.7</v>
      </c>
      <c r="I1342" s="947"/>
      <c r="J1342" s="947"/>
      <c r="K1342" s="939" t="n">
        <f aca="false">H1342*I1342/100</f>
        <v>0</v>
      </c>
      <c r="L1342" s="942" t="n">
        <v>10</v>
      </c>
      <c r="M1342" s="1305" t="n">
        <v>15</v>
      </c>
      <c r="N1342" s="908" t="n">
        <f aca="false">L1342*M1342</f>
        <v>150</v>
      </c>
      <c r="O1342" s="908" t="n">
        <f aca="false">H1342*N1342</f>
        <v>4305</v>
      </c>
      <c r="P1342" s="910" t="s">
        <v>2193</v>
      </c>
      <c r="Q1342" s="911" t="s">
        <v>2818</v>
      </c>
      <c r="R1342" s="891" t="n">
        <v>4305</v>
      </c>
      <c r="S1342" s="891" t="n">
        <f aca="false">R1342/H1342</f>
        <v>150</v>
      </c>
      <c r="T1342" s="553" t="n">
        <f aca="false">O1342-R1342</f>
        <v>0</v>
      </c>
      <c r="U1342" s="553" t="n">
        <f aca="false">N1342-S1342</f>
        <v>0</v>
      </c>
    </row>
    <row r="1343" customFormat="false" ht="15" hidden="false" customHeight="true" outlineLevel="0" collapsed="false">
      <c r="A1343" s="882" t="n">
        <v>90</v>
      </c>
      <c r="B1343" s="883" t="s">
        <v>2191</v>
      </c>
      <c r="C1343" s="883" t="n">
        <v>2024</v>
      </c>
      <c r="D1343" s="831" t="s">
        <v>6</v>
      </c>
      <c r="E1343" s="831" t="s">
        <v>2192</v>
      </c>
      <c r="F1343" s="832" t="s">
        <v>1651</v>
      </c>
      <c r="G1343" s="833"/>
      <c r="H1343" s="834" t="n">
        <v>30</v>
      </c>
      <c r="I1343" s="835"/>
      <c r="J1343" s="835"/>
      <c r="K1343" s="836" t="n">
        <f aca="false">H1343*I1343/100</f>
        <v>0</v>
      </c>
      <c r="L1343" s="837" t="n">
        <v>140</v>
      </c>
      <c r="M1343" s="1715" t="n">
        <v>15</v>
      </c>
      <c r="N1343" s="837" t="n">
        <f aca="false">L1343*M1343</f>
        <v>2100</v>
      </c>
      <c r="O1343" s="837" t="n">
        <f aca="false">H1343*N1343</f>
        <v>63000</v>
      </c>
      <c r="P1343" s="838" t="s">
        <v>2841</v>
      </c>
      <c r="Q1343" s="839" t="n">
        <v>86960</v>
      </c>
      <c r="R1343" s="840" t="n">
        <v>60000</v>
      </c>
      <c r="S1343" s="886" t="n">
        <f aca="false">R1343/H1343</f>
        <v>2000</v>
      </c>
      <c r="T1343" s="837" t="n">
        <f aca="false">O1343-R1343-R1345-R1344</f>
        <v>0</v>
      </c>
      <c r="U1343" s="842" t="n">
        <f aca="false">N1343-S1343-S1345-S1344</f>
        <v>0</v>
      </c>
    </row>
    <row r="1344" customFormat="false" ht="15" hidden="false" customHeight="true" outlineLevel="0" collapsed="false">
      <c r="A1344" s="882"/>
      <c r="B1344" s="883"/>
      <c r="C1344" s="883"/>
      <c r="D1344" s="860" t="s">
        <v>6</v>
      </c>
      <c r="E1344" s="860" t="s">
        <v>2192</v>
      </c>
      <c r="F1344" s="832"/>
      <c r="G1344" s="833"/>
      <c r="H1344" s="834"/>
      <c r="I1344" s="835"/>
      <c r="J1344" s="835"/>
      <c r="K1344" s="836"/>
      <c r="L1344" s="837"/>
      <c r="M1344" s="1715"/>
      <c r="N1344" s="837"/>
      <c r="O1344" s="837"/>
      <c r="P1344" s="868" t="s">
        <v>2195</v>
      </c>
      <c r="Q1344" s="869" t="s">
        <v>1375</v>
      </c>
      <c r="R1344" s="866" t="n">
        <v>1800</v>
      </c>
      <c r="S1344" s="866" t="n">
        <f aca="false">R1344/H1343</f>
        <v>60</v>
      </c>
      <c r="T1344" s="837"/>
      <c r="U1344" s="842"/>
    </row>
    <row r="1345" customFormat="false" ht="15" hidden="false" customHeight="true" outlineLevel="0" collapsed="false">
      <c r="A1345" s="882"/>
      <c r="B1345" s="883"/>
      <c r="C1345" s="883"/>
      <c r="D1345" s="887" t="s">
        <v>6</v>
      </c>
      <c r="E1345" s="887" t="s">
        <v>2192</v>
      </c>
      <c r="F1345" s="832"/>
      <c r="G1345" s="833"/>
      <c r="H1345" s="834"/>
      <c r="I1345" s="835"/>
      <c r="J1345" s="835"/>
      <c r="K1345" s="836"/>
      <c r="L1345" s="837"/>
      <c r="M1345" s="1715"/>
      <c r="N1345" s="837"/>
      <c r="O1345" s="837"/>
      <c r="P1345" s="888" t="s">
        <v>2446</v>
      </c>
      <c r="Q1345" s="889" t="n">
        <v>13850</v>
      </c>
      <c r="R1345" s="890" t="n">
        <v>1200</v>
      </c>
      <c r="S1345" s="890" t="n">
        <f aca="false">R1345/H1343</f>
        <v>40</v>
      </c>
      <c r="T1345" s="837"/>
      <c r="U1345" s="842"/>
    </row>
    <row r="1346" customFormat="false" ht="15" hidden="false" customHeight="true" outlineLevel="0" collapsed="false">
      <c r="A1346" s="847" t="n">
        <v>10</v>
      </c>
      <c r="B1346" s="847" t="s">
        <v>81</v>
      </c>
      <c r="C1346" s="847" t="n">
        <v>2024</v>
      </c>
      <c r="D1346" s="848" t="s">
        <v>6</v>
      </c>
      <c r="E1346" s="848" t="s">
        <v>2192</v>
      </c>
      <c r="F1346" s="848" t="s">
        <v>2199</v>
      </c>
      <c r="G1346" s="849"/>
      <c r="H1346" s="949" t="n">
        <v>86.2</v>
      </c>
      <c r="I1346" s="950"/>
      <c r="J1346" s="950"/>
      <c r="K1346" s="852" t="n">
        <f aca="false">H1346*I1346/100</f>
        <v>0</v>
      </c>
      <c r="L1346" s="537" t="n">
        <v>9972</v>
      </c>
      <c r="M1346" s="1304" t="n">
        <v>1</v>
      </c>
      <c r="N1346" s="853" t="n">
        <f aca="false">L1346*M1346</f>
        <v>9972</v>
      </c>
      <c r="O1346" s="855" t="n">
        <f aca="false">H1346*N1346</f>
        <v>859586.4</v>
      </c>
      <c r="P1346" s="856" t="s">
        <v>2200</v>
      </c>
      <c r="Q1346" s="857" t="s">
        <v>2243</v>
      </c>
      <c r="R1346" s="854" t="n">
        <v>859586.4</v>
      </c>
      <c r="S1346" s="854" t="n">
        <f aca="false">R1346/H1346</f>
        <v>9972</v>
      </c>
      <c r="T1346" s="858" t="n">
        <f aca="false">O1346-R1346</f>
        <v>0</v>
      </c>
      <c r="U1346" s="537" t="n">
        <f aca="false">N1346-S1346</f>
        <v>0</v>
      </c>
    </row>
    <row r="1347" customFormat="false" ht="15" hidden="false" customHeight="true" outlineLevel="0" collapsed="false">
      <c r="A1347" s="903" t="n">
        <v>11</v>
      </c>
      <c r="B1347" s="903" t="s">
        <v>81</v>
      </c>
      <c r="C1347" s="903" t="n">
        <v>2024</v>
      </c>
      <c r="D1347" s="904" t="s">
        <v>6</v>
      </c>
      <c r="E1347" s="904" t="s">
        <v>2192</v>
      </c>
      <c r="F1347" s="904" t="s">
        <v>2199</v>
      </c>
      <c r="G1347" s="905"/>
      <c r="H1347" s="946" t="n">
        <v>87.3</v>
      </c>
      <c r="I1347" s="947"/>
      <c r="J1347" s="947"/>
      <c r="K1347" s="939" t="n">
        <f aca="false">H1347*I1347/100</f>
        <v>0</v>
      </c>
      <c r="L1347" s="942" t="n">
        <v>2040</v>
      </c>
      <c r="M1347" s="1305" t="n">
        <v>1</v>
      </c>
      <c r="N1347" s="908" t="n">
        <f aca="false">L1347*M1347</f>
        <v>2040</v>
      </c>
      <c r="O1347" s="908" t="n">
        <f aca="false">H1347*N1347</f>
        <v>178092</v>
      </c>
      <c r="P1347" s="910" t="s">
        <v>2200</v>
      </c>
      <c r="Q1347" s="911" t="s">
        <v>2706</v>
      </c>
      <c r="R1347" s="891" t="n">
        <v>178092</v>
      </c>
      <c r="S1347" s="891" t="n">
        <f aca="false">R1347/H1347</f>
        <v>2040</v>
      </c>
      <c r="T1347" s="553" t="n">
        <f aca="false">O1347-R1347</f>
        <v>0</v>
      </c>
      <c r="U1347" s="553" t="n">
        <f aca="false">N1347-S1347</f>
        <v>0</v>
      </c>
    </row>
    <row r="1348" customFormat="false" ht="15" hidden="false" customHeight="true" outlineLevel="0" collapsed="false">
      <c r="A1348" s="882" t="n">
        <v>21</v>
      </c>
      <c r="B1348" s="830" t="s">
        <v>86</v>
      </c>
      <c r="C1348" s="830" t="n">
        <v>2024</v>
      </c>
      <c r="D1348" s="831" t="s">
        <v>6</v>
      </c>
      <c r="E1348" s="831" t="s">
        <v>2192</v>
      </c>
      <c r="F1348" s="832" t="s">
        <v>1650</v>
      </c>
      <c r="G1348" s="833"/>
      <c r="H1348" s="834" t="n">
        <v>95.3</v>
      </c>
      <c r="I1348" s="835"/>
      <c r="J1348" s="835"/>
      <c r="K1348" s="836" t="n">
        <f aca="false">H1348*I1348/100</f>
        <v>0</v>
      </c>
      <c r="L1348" s="837" t="n">
        <v>9251</v>
      </c>
      <c r="M1348" s="1303" t="n">
        <v>1</v>
      </c>
      <c r="N1348" s="837" t="n">
        <f aca="false">L1348*M1348</f>
        <v>9251</v>
      </c>
      <c r="O1348" s="841" t="n">
        <f aca="false">H1348*N1348</f>
        <v>881620.3</v>
      </c>
      <c r="P1348" s="838" t="s">
        <v>2193</v>
      </c>
      <c r="Q1348" s="839" t="s">
        <v>101</v>
      </c>
      <c r="R1348" s="840" t="n">
        <v>309820.3</v>
      </c>
      <c r="S1348" s="840" t="n">
        <f aca="false">R1348/H1348</f>
        <v>3251</v>
      </c>
      <c r="T1348" s="841" t="n">
        <f aca="false">O1348-R1348-R1351-R1350-R1349</f>
        <v>0</v>
      </c>
      <c r="U1348" s="842" t="n">
        <f aca="false">N1348-S1348-S1351-S1350-S1349</f>
        <v>0</v>
      </c>
    </row>
    <row r="1349" customFormat="false" ht="15" hidden="false" customHeight="true" outlineLevel="0" collapsed="false">
      <c r="A1349" s="882"/>
      <c r="B1349" s="830"/>
      <c r="C1349" s="830"/>
      <c r="D1349" s="848" t="s">
        <v>6</v>
      </c>
      <c r="E1349" s="848" t="s">
        <v>2192</v>
      </c>
      <c r="F1349" s="832"/>
      <c r="G1349" s="833"/>
      <c r="H1349" s="834"/>
      <c r="I1349" s="835"/>
      <c r="J1349" s="835"/>
      <c r="K1349" s="836"/>
      <c r="L1349" s="837"/>
      <c r="M1349" s="1303"/>
      <c r="N1349" s="837"/>
      <c r="O1349" s="841"/>
      <c r="P1349" s="856" t="s">
        <v>2193</v>
      </c>
      <c r="Q1349" s="857" t="s">
        <v>2842</v>
      </c>
      <c r="R1349" s="854" t="n">
        <v>95300</v>
      </c>
      <c r="S1349" s="854" t="n">
        <f aca="false">R1349/H1348</f>
        <v>1000</v>
      </c>
      <c r="T1349" s="841"/>
      <c r="U1349" s="842"/>
    </row>
    <row r="1350" customFormat="false" ht="15" hidden="false" customHeight="true" outlineLevel="0" collapsed="false">
      <c r="A1350" s="882"/>
      <c r="B1350" s="830"/>
      <c r="C1350" s="830"/>
      <c r="D1350" s="848" t="s">
        <v>6</v>
      </c>
      <c r="E1350" s="848" t="s">
        <v>2192</v>
      </c>
      <c r="F1350" s="832"/>
      <c r="G1350" s="833"/>
      <c r="H1350" s="834"/>
      <c r="I1350" s="835"/>
      <c r="J1350" s="835"/>
      <c r="K1350" s="836"/>
      <c r="L1350" s="837"/>
      <c r="M1350" s="1303"/>
      <c r="N1350" s="837"/>
      <c r="O1350" s="841"/>
      <c r="P1350" s="856" t="s">
        <v>2193</v>
      </c>
      <c r="Q1350" s="857" t="s">
        <v>2395</v>
      </c>
      <c r="R1350" s="854" t="n">
        <v>324020</v>
      </c>
      <c r="S1350" s="854" t="n">
        <f aca="false">R1350/H1348</f>
        <v>3400</v>
      </c>
      <c r="T1350" s="841"/>
      <c r="U1350" s="842"/>
    </row>
    <row r="1351" customFormat="false" ht="15" hidden="false" customHeight="true" outlineLevel="0" collapsed="false">
      <c r="A1351" s="882"/>
      <c r="B1351" s="830"/>
      <c r="C1351" s="830"/>
      <c r="D1351" s="887" t="s">
        <v>6</v>
      </c>
      <c r="E1351" s="887" t="s">
        <v>2192</v>
      </c>
      <c r="F1351" s="832"/>
      <c r="G1351" s="833"/>
      <c r="H1351" s="834"/>
      <c r="I1351" s="835"/>
      <c r="J1351" s="835"/>
      <c r="K1351" s="836"/>
      <c r="L1351" s="837"/>
      <c r="M1351" s="1303"/>
      <c r="N1351" s="837"/>
      <c r="O1351" s="841"/>
      <c r="P1351" s="888" t="s">
        <v>2193</v>
      </c>
      <c r="Q1351" s="889" t="s">
        <v>2394</v>
      </c>
      <c r="R1351" s="890" t="n">
        <v>152480</v>
      </c>
      <c r="S1351" s="890" t="n">
        <f aca="false">R1351/H1348</f>
        <v>1600</v>
      </c>
      <c r="T1351" s="841"/>
      <c r="U1351" s="842"/>
    </row>
    <row r="1352" customFormat="false" ht="15" hidden="false" customHeight="true" outlineLevel="0" collapsed="false">
      <c r="A1352" s="882"/>
      <c r="B1352" s="847" t="s">
        <v>86</v>
      </c>
      <c r="C1352" s="847" t="n">
        <v>2024</v>
      </c>
      <c r="D1352" s="848" t="s">
        <v>6</v>
      </c>
      <c r="E1352" s="848" t="s">
        <v>2203</v>
      </c>
      <c r="F1352" s="848"/>
      <c r="G1352" s="849"/>
      <c r="H1352" s="949" t="n">
        <v>0</v>
      </c>
      <c r="I1352" s="950"/>
      <c r="J1352" s="950"/>
      <c r="K1352" s="852" t="n">
        <f aca="false">H1352*I1352/100</f>
        <v>0</v>
      </c>
      <c r="L1352" s="537" t="n">
        <v>572</v>
      </c>
      <c r="M1352" s="1304" t="n">
        <v>1</v>
      </c>
      <c r="N1352" s="853" t="n">
        <f aca="false">L1352*M1352</f>
        <v>572</v>
      </c>
      <c r="O1352" s="855" t="n">
        <f aca="false">H1352*N1352</f>
        <v>0</v>
      </c>
      <c r="P1352" s="856" t="s">
        <v>2204</v>
      </c>
      <c r="Q1352" s="1436" t="s">
        <v>2843</v>
      </c>
      <c r="R1352" s="891"/>
      <c r="S1352" s="854" t="n">
        <v>572</v>
      </c>
      <c r="T1352" s="858" t="n">
        <f aca="false">O1352-R1352</f>
        <v>0</v>
      </c>
      <c r="U1352" s="892" t="n">
        <f aca="false">N1352-S1352</f>
        <v>0</v>
      </c>
    </row>
    <row r="1353" customFormat="false" ht="15" hidden="false" customHeight="true" outlineLevel="0" collapsed="false">
      <c r="A1353" s="882"/>
      <c r="B1353" s="1072" t="s">
        <v>86</v>
      </c>
      <c r="C1353" s="1072" t="n">
        <v>2024</v>
      </c>
      <c r="D1353" s="887" t="s">
        <v>6</v>
      </c>
      <c r="E1353" s="887" t="s">
        <v>2205</v>
      </c>
      <c r="F1353" s="887"/>
      <c r="G1353" s="1062"/>
      <c r="H1353" s="1077" t="n">
        <v>0</v>
      </c>
      <c r="I1353" s="1086"/>
      <c r="J1353" s="1086"/>
      <c r="K1353" s="1064" t="n">
        <f aca="false">H1353*I1353/100</f>
        <v>0</v>
      </c>
      <c r="L1353" s="1067" t="n">
        <v>125</v>
      </c>
      <c r="M1353" s="1710" t="n">
        <v>1</v>
      </c>
      <c r="N1353" s="1073" t="n">
        <f aca="false">L1353*M1353</f>
        <v>125</v>
      </c>
      <c r="O1353" s="1074" t="n">
        <f aca="false">H1353*N1353</f>
        <v>0</v>
      </c>
      <c r="P1353" s="888" t="s">
        <v>2204</v>
      </c>
      <c r="Q1353" s="1320" t="s">
        <v>2206</v>
      </c>
      <c r="R1353" s="901" t="n">
        <v>0</v>
      </c>
      <c r="S1353" s="846" t="n">
        <v>125</v>
      </c>
      <c r="T1353" s="1441" t="n">
        <f aca="false">O1353-R1353</f>
        <v>0</v>
      </c>
      <c r="U1353" s="902" t="n">
        <f aca="false">N1353-S1353</f>
        <v>0</v>
      </c>
    </row>
    <row r="1354" customFormat="false" ht="15" hidden="false" customHeight="true" outlineLevel="0" collapsed="false">
      <c r="A1354" s="881" t="n">
        <v>22</v>
      </c>
      <c r="B1354" s="829" t="s">
        <v>86</v>
      </c>
      <c r="C1354" s="830" t="n">
        <v>2024</v>
      </c>
      <c r="D1354" s="831" t="s">
        <v>6</v>
      </c>
      <c r="E1354" s="831" t="s">
        <v>2192</v>
      </c>
      <c r="F1354" s="1119" t="s">
        <v>1650</v>
      </c>
      <c r="G1354" s="1530"/>
      <c r="H1354" s="834" t="n">
        <v>94.5</v>
      </c>
      <c r="I1354" s="835"/>
      <c r="J1354" s="835"/>
      <c r="K1354" s="836" t="n">
        <f aca="false">H1354*I1354/100</f>
        <v>0</v>
      </c>
      <c r="L1354" s="837" t="n">
        <v>1902</v>
      </c>
      <c r="M1354" s="1303" t="n">
        <v>1</v>
      </c>
      <c r="N1354" s="837" t="n">
        <f aca="false">L1354*M1354</f>
        <v>1902</v>
      </c>
      <c r="O1354" s="837" t="n">
        <f aca="false">H1354*N1354</f>
        <v>179739</v>
      </c>
      <c r="P1354" s="838" t="s">
        <v>2193</v>
      </c>
      <c r="Q1354" s="839" t="s">
        <v>94</v>
      </c>
      <c r="R1354" s="840" t="n">
        <v>94500</v>
      </c>
      <c r="S1354" s="840" t="n">
        <f aca="false">R1354/H1354</f>
        <v>1000</v>
      </c>
      <c r="T1354" s="837" t="n">
        <f aca="false">O1354-R1354-R1355</f>
        <v>0</v>
      </c>
      <c r="U1354" s="842" t="n">
        <f aca="false">N1354-S1354-S1355</f>
        <v>0</v>
      </c>
    </row>
    <row r="1355" customFormat="false" ht="15" hidden="false" customHeight="true" outlineLevel="0" collapsed="false">
      <c r="A1355" s="881"/>
      <c r="B1355" s="829"/>
      <c r="C1355" s="830"/>
      <c r="D1355" s="887" t="s">
        <v>6</v>
      </c>
      <c r="E1355" s="887" t="s">
        <v>2192</v>
      </c>
      <c r="F1355" s="1119"/>
      <c r="G1355" s="1531"/>
      <c r="H1355" s="834"/>
      <c r="I1355" s="835"/>
      <c r="J1355" s="835"/>
      <c r="K1355" s="836"/>
      <c r="L1355" s="837"/>
      <c r="M1355" s="1303"/>
      <c r="N1355" s="837"/>
      <c r="O1355" s="837"/>
      <c r="P1355" s="888" t="s">
        <v>2193</v>
      </c>
      <c r="Q1355" s="889" t="s">
        <v>2394</v>
      </c>
      <c r="R1355" s="890" t="n">
        <v>85239</v>
      </c>
      <c r="S1355" s="890" t="n">
        <f aca="false">R1355/H1354</f>
        <v>902</v>
      </c>
      <c r="T1355" s="837"/>
      <c r="U1355" s="842"/>
    </row>
    <row r="1356" customFormat="false" ht="15" hidden="false" customHeight="true" outlineLevel="0" collapsed="false">
      <c r="A1356" s="881"/>
      <c r="B1356" s="847" t="s">
        <v>86</v>
      </c>
      <c r="C1356" s="847" t="n">
        <v>2024</v>
      </c>
      <c r="D1356" s="848" t="s">
        <v>6</v>
      </c>
      <c r="E1356" s="848" t="s">
        <v>2203</v>
      </c>
      <c r="F1356" s="848"/>
      <c r="G1356" s="849"/>
      <c r="H1356" s="949" t="n">
        <v>0</v>
      </c>
      <c r="I1356" s="950"/>
      <c r="J1356" s="950"/>
      <c r="K1356" s="852" t="n">
        <v>0</v>
      </c>
      <c r="L1356" s="537" t="n">
        <v>139</v>
      </c>
      <c r="M1356" s="1304" t="n">
        <v>1</v>
      </c>
      <c r="N1356" s="853" t="n">
        <f aca="false">L1356*M1356</f>
        <v>139</v>
      </c>
      <c r="O1356" s="855" t="n">
        <f aca="false">H1356*N1356</f>
        <v>0</v>
      </c>
      <c r="P1356" s="856" t="s">
        <v>2204</v>
      </c>
      <c r="Q1356" s="857" t="n">
        <v>31012025</v>
      </c>
      <c r="R1356" s="854"/>
      <c r="S1356" s="854" t="n">
        <v>139</v>
      </c>
      <c r="T1356" s="858" t="n">
        <f aca="false">O1356-R1356</f>
        <v>0</v>
      </c>
      <c r="U1356" s="892" t="n">
        <f aca="false">N1356-S1356</f>
        <v>0</v>
      </c>
    </row>
    <row r="1357" customFormat="false" ht="15" hidden="false" customHeight="true" outlineLevel="0" collapsed="false">
      <c r="A1357" s="881"/>
      <c r="B1357" s="1072" t="s">
        <v>86</v>
      </c>
      <c r="C1357" s="1072" t="n">
        <v>2024</v>
      </c>
      <c r="D1357" s="887" t="s">
        <v>6</v>
      </c>
      <c r="E1357" s="887" t="s">
        <v>2205</v>
      </c>
      <c r="F1357" s="887"/>
      <c r="G1357" s="1062"/>
      <c r="H1357" s="1077" t="n">
        <v>0</v>
      </c>
      <c r="I1357" s="1086"/>
      <c r="J1357" s="1086"/>
      <c r="K1357" s="1064" t="n">
        <v>0</v>
      </c>
      <c r="L1357" s="1067" t="n">
        <v>33</v>
      </c>
      <c r="M1357" s="1710" t="n">
        <v>1</v>
      </c>
      <c r="N1357" s="1073" t="n">
        <f aca="false">L1357*M1357</f>
        <v>33</v>
      </c>
      <c r="O1357" s="1074" t="n">
        <f aca="false">H1357*N1357</f>
        <v>0</v>
      </c>
      <c r="P1357" s="888" t="s">
        <v>2204</v>
      </c>
      <c r="Q1357" s="1320" t="s">
        <v>2206</v>
      </c>
      <c r="R1357" s="1080" t="n">
        <v>0</v>
      </c>
      <c r="S1357" s="846" t="n">
        <v>33</v>
      </c>
      <c r="T1357" s="1441" t="n">
        <f aca="false">O1357-R1357</f>
        <v>0</v>
      </c>
      <c r="U1357" s="902" t="n">
        <f aca="false">N1357-S1357</f>
        <v>0</v>
      </c>
    </row>
    <row r="1358" customFormat="false" ht="15" hidden="false" customHeight="true" outlineLevel="0" collapsed="false">
      <c r="A1358" s="903" t="n">
        <v>16</v>
      </c>
      <c r="B1358" s="903" t="s">
        <v>86</v>
      </c>
      <c r="C1358" s="903" t="n">
        <v>2024</v>
      </c>
      <c r="D1358" s="904" t="s">
        <v>6</v>
      </c>
      <c r="E1358" s="904" t="s">
        <v>2192</v>
      </c>
      <c r="F1358" s="904" t="s">
        <v>1651</v>
      </c>
      <c r="G1358" s="905"/>
      <c r="H1358" s="946" t="n">
        <v>33.75</v>
      </c>
      <c r="I1358" s="947"/>
      <c r="J1358" s="947"/>
      <c r="K1358" s="939" t="n">
        <v>0</v>
      </c>
      <c r="L1358" s="942" t="n">
        <v>2800</v>
      </c>
      <c r="M1358" s="1305" t="n">
        <v>1</v>
      </c>
      <c r="N1358" s="908" t="n">
        <f aca="false">L1358*M1358</f>
        <v>2800</v>
      </c>
      <c r="O1358" s="1056" t="n">
        <f aca="false">H1358*N1358</f>
        <v>94500</v>
      </c>
      <c r="P1358" s="910" t="s">
        <v>2193</v>
      </c>
      <c r="Q1358" s="911" t="s">
        <v>2816</v>
      </c>
      <c r="R1358" s="891" t="n">
        <v>94500</v>
      </c>
      <c r="S1358" s="891" t="n">
        <f aca="false">R1358/H1358</f>
        <v>2800</v>
      </c>
      <c r="T1358" s="1058" t="n">
        <f aca="false">O1358-R1358</f>
        <v>0</v>
      </c>
      <c r="U1358" s="942" t="n">
        <f aca="false">N1358-S1358</f>
        <v>0</v>
      </c>
    </row>
    <row r="1359" customFormat="false" ht="15" hidden="false" customHeight="true" outlineLevel="0" collapsed="false">
      <c r="A1359" s="829" t="s">
        <v>2844</v>
      </c>
      <c r="B1359" s="830" t="s">
        <v>2207</v>
      </c>
      <c r="C1359" s="830" t="n">
        <v>2024</v>
      </c>
      <c r="D1359" s="831" t="s">
        <v>6</v>
      </c>
      <c r="E1359" s="831" t="s">
        <v>2192</v>
      </c>
      <c r="F1359" s="832" t="s">
        <v>1651</v>
      </c>
      <c r="G1359" s="833"/>
      <c r="H1359" s="834" t="n">
        <v>31.6612</v>
      </c>
      <c r="I1359" s="835"/>
      <c r="J1359" s="835"/>
      <c r="K1359" s="836" t="n">
        <v>0</v>
      </c>
      <c r="L1359" s="837" t="n">
        <v>3070</v>
      </c>
      <c r="M1359" s="1303" t="n">
        <v>1</v>
      </c>
      <c r="N1359" s="837" t="n">
        <f aca="false">L1359*M1359</f>
        <v>3070</v>
      </c>
      <c r="O1359" s="1017" t="n">
        <f aca="false">H1359*N1359</f>
        <v>97199.884</v>
      </c>
      <c r="P1359" s="838" t="s">
        <v>2197</v>
      </c>
      <c r="Q1359" s="839" t="s">
        <v>2845</v>
      </c>
      <c r="R1359" s="1139" t="n">
        <v>63322.4</v>
      </c>
      <c r="S1359" s="840" t="n">
        <f aca="false">R1359/H1359</f>
        <v>2000</v>
      </c>
      <c r="T1359" s="1017" t="n">
        <f aca="false">O1359-R1359-R1360</f>
        <v>0</v>
      </c>
      <c r="U1359" s="842" t="n">
        <f aca="false">N1359-S1359-S1360</f>
        <v>0</v>
      </c>
    </row>
    <row r="1360" customFormat="false" ht="15" hidden="false" customHeight="true" outlineLevel="0" collapsed="false">
      <c r="A1360" s="829"/>
      <c r="B1360" s="830"/>
      <c r="C1360" s="830"/>
      <c r="D1360" s="887" t="s">
        <v>6</v>
      </c>
      <c r="E1360" s="887" t="s">
        <v>2192</v>
      </c>
      <c r="F1360" s="832"/>
      <c r="G1360" s="833"/>
      <c r="H1360" s="834"/>
      <c r="I1360" s="835"/>
      <c r="J1360" s="835"/>
      <c r="K1360" s="836"/>
      <c r="L1360" s="837"/>
      <c r="M1360" s="1303"/>
      <c r="N1360" s="837"/>
      <c r="O1360" s="1017"/>
      <c r="P1360" s="888" t="s">
        <v>2197</v>
      </c>
      <c r="Q1360" s="889" t="s">
        <v>2846</v>
      </c>
      <c r="R1360" s="1080" t="n">
        <v>33877.484</v>
      </c>
      <c r="S1360" s="890" t="n">
        <f aca="false">R1360/H1359</f>
        <v>1070</v>
      </c>
      <c r="T1360" s="1017"/>
      <c r="U1360" s="842"/>
    </row>
    <row r="1361" customFormat="false" ht="15" hidden="false" customHeight="true" outlineLevel="0" collapsed="false">
      <c r="A1361" s="847" t="n">
        <v>19</v>
      </c>
      <c r="B1361" s="847" t="s">
        <v>81</v>
      </c>
      <c r="C1361" s="847" t="n">
        <v>2024</v>
      </c>
      <c r="D1361" s="848" t="s">
        <v>6</v>
      </c>
      <c r="E1361" s="848" t="s">
        <v>2192</v>
      </c>
      <c r="F1361" s="848" t="s">
        <v>2199</v>
      </c>
      <c r="G1361" s="849"/>
      <c r="H1361" s="949" t="n">
        <v>68.1</v>
      </c>
      <c r="I1361" s="950"/>
      <c r="J1361" s="950"/>
      <c r="K1361" s="852" t="n">
        <f aca="false">H1361*I1361/100</f>
        <v>0</v>
      </c>
      <c r="L1361" s="537" t="n">
        <v>14676</v>
      </c>
      <c r="M1361" s="1304" t="n">
        <v>1</v>
      </c>
      <c r="N1361" s="853" t="n">
        <f aca="false">L1361*M1361</f>
        <v>14676</v>
      </c>
      <c r="O1361" s="855" t="n">
        <f aca="false">H1361*N1361</f>
        <v>999435.6</v>
      </c>
      <c r="P1361" s="856" t="s">
        <v>2200</v>
      </c>
      <c r="Q1361" s="857" t="s">
        <v>2392</v>
      </c>
      <c r="R1361" s="1088" t="n">
        <v>999435.6</v>
      </c>
      <c r="S1361" s="854" t="n">
        <f aca="false">R1361/H1361</f>
        <v>14676</v>
      </c>
      <c r="T1361" s="858" t="n">
        <f aca="false">O1361-R1361</f>
        <v>0</v>
      </c>
      <c r="U1361" s="537" t="n">
        <f aca="false">N1361-S1361</f>
        <v>0</v>
      </c>
    </row>
    <row r="1362" customFormat="false" ht="15" hidden="false" customHeight="true" outlineLevel="0" collapsed="false">
      <c r="A1362" s="870" t="n">
        <v>35</v>
      </c>
      <c r="B1362" s="870" t="s">
        <v>2191</v>
      </c>
      <c r="C1362" s="870" t="n">
        <v>2024</v>
      </c>
      <c r="D1362" s="871" t="s">
        <v>6</v>
      </c>
      <c r="E1362" s="871" t="s">
        <v>2192</v>
      </c>
      <c r="F1362" s="871" t="s">
        <v>2619</v>
      </c>
      <c r="G1362" s="872"/>
      <c r="H1362" s="1116" t="n">
        <v>95</v>
      </c>
      <c r="I1362" s="1117"/>
      <c r="J1362" s="1117"/>
      <c r="K1362" s="875" t="n">
        <f aca="false">H1362*I1362/100</f>
        <v>0</v>
      </c>
      <c r="L1362" s="553" t="n">
        <v>1</v>
      </c>
      <c r="M1362" s="1302" t="n">
        <v>30</v>
      </c>
      <c r="N1362" s="876" t="n">
        <f aca="false">L1362*M1362</f>
        <v>30</v>
      </c>
      <c r="O1362" s="878" t="n">
        <f aca="false">H1362*N1362</f>
        <v>2850</v>
      </c>
      <c r="P1362" s="879" t="s">
        <v>2232</v>
      </c>
      <c r="Q1362" s="880" t="s">
        <v>2254</v>
      </c>
      <c r="R1362" s="1038" t="n">
        <v>2850</v>
      </c>
      <c r="S1362" s="891" t="n">
        <f aca="false">R1362/H1362</f>
        <v>30</v>
      </c>
      <c r="T1362" s="1404" t="n">
        <f aca="false">O1362-R1362</f>
        <v>0</v>
      </c>
      <c r="U1362" s="553" t="n">
        <f aca="false">N1362-S1362</f>
        <v>0</v>
      </c>
    </row>
    <row r="1363" customFormat="false" ht="15" hidden="false" customHeight="true" outlineLevel="0" collapsed="false">
      <c r="A1363" s="881" t="n">
        <v>35</v>
      </c>
      <c r="B1363" s="829" t="s">
        <v>86</v>
      </c>
      <c r="C1363" s="830" t="n">
        <v>2024</v>
      </c>
      <c r="D1363" s="831" t="s">
        <v>6</v>
      </c>
      <c r="E1363" s="831" t="s">
        <v>2192</v>
      </c>
      <c r="F1363" s="832" t="s">
        <v>1650</v>
      </c>
      <c r="G1363" s="833"/>
      <c r="H1363" s="834" t="n">
        <v>96.5</v>
      </c>
      <c r="I1363" s="835"/>
      <c r="J1363" s="835"/>
      <c r="K1363" s="836" t="n">
        <f aca="false">H1363*I1363/100</f>
        <v>0</v>
      </c>
      <c r="L1363" s="837" t="n">
        <v>9288</v>
      </c>
      <c r="M1363" s="1303" t="n">
        <v>1</v>
      </c>
      <c r="N1363" s="837" t="n">
        <f aca="false">L1363*M1363</f>
        <v>9288</v>
      </c>
      <c r="O1363" s="841" t="n">
        <f aca="false">H1363*N1363</f>
        <v>896292</v>
      </c>
      <c r="P1363" s="838" t="s">
        <v>2193</v>
      </c>
      <c r="Q1363" s="839" t="s">
        <v>2842</v>
      </c>
      <c r="R1363" s="1139" t="n">
        <v>703292</v>
      </c>
      <c r="S1363" s="886" t="n">
        <f aca="false">R1363/H1363</f>
        <v>7288</v>
      </c>
      <c r="T1363" s="841" t="n">
        <f aca="false">O1363-R1363-R1364</f>
        <v>0</v>
      </c>
      <c r="U1363" s="842" t="n">
        <f aca="false">N1363-S1363-S1364</f>
        <v>0</v>
      </c>
    </row>
    <row r="1364" customFormat="false" ht="15" hidden="false" customHeight="true" outlineLevel="0" collapsed="false">
      <c r="A1364" s="881"/>
      <c r="B1364" s="829"/>
      <c r="C1364" s="830"/>
      <c r="D1364" s="887" t="s">
        <v>6</v>
      </c>
      <c r="E1364" s="887" t="s">
        <v>2192</v>
      </c>
      <c r="F1364" s="832"/>
      <c r="G1364" s="833"/>
      <c r="H1364" s="834"/>
      <c r="I1364" s="835"/>
      <c r="J1364" s="835"/>
      <c r="K1364" s="836"/>
      <c r="L1364" s="837"/>
      <c r="M1364" s="1303"/>
      <c r="N1364" s="837"/>
      <c r="O1364" s="841"/>
      <c r="P1364" s="888" t="s">
        <v>2255</v>
      </c>
      <c r="Q1364" s="889" t="s">
        <v>2334</v>
      </c>
      <c r="R1364" s="1080" t="n">
        <v>193000</v>
      </c>
      <c r="S1364" s="846" t="n">
        <f aca="false">R1364/H1363</f>
        <v>2000</v>
      </c>
      <c r="T1364" s="841"/>
      <c r="U1364" s="842"/>
    </row>
    <row r="1365" customFormat="false" ht="15" hidden="false" customHeight="true" outlineLevel="0" collapsed="false">
      <c r="A1365" s="881"/>
      <c r="B1365" s="903" t="s">
        <v>86</v>
      </c>
      <c r="C1365" s="903" t="n">
        <v>2024</v>
      </c>
      <c r="D1365" s="904" t="s">
        <v>6</v>
      </c>
      <c r="E1365" s="904" t="s">
        <v>2242</v>
      </c>
      <c r="F1365" s="904"/>
      <c r="G1365" s="905"/>
      <c r="H1365" s="946" t="n">
        <v>20.4</v>
      </c>
      <c r="I1365" s="947"/>
      <c r="J1365" s="947"/>
      <c r="K1365" s="939" t="n">
        <f aca="false">H1365*I1365/100</f>
        <v>0</v>
      </c>
      <c r="L1365" s="942" t="n">
        <v>657</v>
      </c>
      <c r="M1365" s="1305" t="n">
        <v>1</v>
      </c>
      <c r="N1365" s="908" t="n">
        <f aca="false">L1365*M1365</f>
        <v>657</v>
      </c>
      <c r="O1365" s="1056" t="n">
        <f aca="false">H1365*N1365</f>
        <v>13402.8</v>
      </c>
      <c r="P1365" s="910" t="s">
        <v>2232</v>
      </c>
      <c r="Q1365" s="911" t="s">
        <v>2706</v>
      </c>
      <c r="R1365" s="1025" t="n">
        <v>13402.8</v>
      </c>
      <c r="S1365" s="891" t="n">
        <f aca="false">R1365/H1365</f>
        <v>657</v>
      </c>
      <c r="T1365" s="1058" t="n">
        <f aca="false">O1365-R1365</f>
        <v>0</v>
      </c>
      <c r="U1365" s="1026" t="n">
        <f aca="false">N1365-S1365</f>
        <v>0</v>
      </c>
    </row>
    <row r="1366" customFormat="false" ht="15" hidden="false" customHeight="true" outlineLevel="0" collapsed="false">
      <c r="A1366" s="881"/>
      <c r="B1366" s="829" t="s">
        <v>86</v>
      </c>
      <c r="C1366" s="830" t="n">
        <v>2024</v>
      </c>
      <c r="D1366" s="831" t="s">
        <v>6</v>
      </c>
      <c r="E1366" s="831" t="s">
        <v>2203</v>
      </c>
      <c r="F1366" s="830"/>
      <c r="G1366" s="833"/>
      <c r="H1366" s="834" t="n">
        <v>1.8</v>
      </c>
      <c r="I1366" s="835"/>
      <c r="J1366" s="1624"/>
      <c r="K1366" s="836" t="n">
        <f aca="false">H1366*I1366/100</f>
        <v>0</v>
      </c>
      <c r="L1366" s="837" t="n">
        <v>2520</v>
      </c>
      <c r="M1366" s="1303" t="n">
        <v>1</v>
      </c>
      <c r="N1366" s="837" t="n">
        <f aca="false">L1366*M1366</f>
        <v>2520</v>
      </c>
      <c r="O1366" s="841" t="n">
        <f aca="false">H1366*N1366</f>
        <v>4536</v>
      </c>
      <c r="P1366" s="838" t="s">
        <v>2232</v>
      </c>
      <c r="Q1366" s="839" t="s">
        <v>2706</v>
      </c>
      <c r="R1366" s="1139" t="n">
        <v>360</v>
      </c>
      <c r="S1366" s="840" t="n">
        <f aca="false">R1366/H1366</f>
        <v>200</v>
      </c>
      <c r="T1366" s="841" t="n">
        <f aca="false">O1366-R1366-R1367</f>
        <v>0</v>
      </c>
      <c r="U1366" s="842" t="n">
        <f aca="false">N1366-S1366-S1367</f>
        <v>0</v>
      </c>
    </row>
    <row r="1367" customFormat="false" ht="15" hidden="false" customHeight="true" outlineLevel="0" collapsed="false">
      <c r="A1367" s="881"/>
      <c r="B1367" s="829"/>
      <c r="C1367" s="830"/>
      <c r="D1367" s="887" t="s">
        <v>6</v>
      </c>
      <c r="E1367" s="887" t="s">
        <v>2203</v>
      </c>
      <c r="F1367" s="830"/>
      <c r="G1367" s="833"/>
      <c r="H1367" s="834"/>
      <c r="I1367" s="835"/>
      <c r="J1367" s="1625"/>
      <c r="K1367" s="836"/>
      <c r="L1367" s="837"/>
      <c r="M1367" s="1303"/>
      <c r="N1367" s="837"/>
      <c r="O1367" s="841"/>
      <c r="P1367" s="888" t="s">
        <v>2204</v>
      </c>
      <c r="Q1367" s="889" t="n">
        <v>31012025</v>
      </c>
      <c r="R1367" s="1080" t="n">
        <v>4176</v>
      </c>
      <c r="S1367" s="846" t="n">
        <f aca="false">R1367/H1366</f>
        <v>2320</v>
      </c>
      <c r="T1367" s="841"/>
      <c r="U1367" s="842"/>
    </row>
    <row r="1368" customFormat="false" ht="15" hidden="false" customHeight="true" outlineLevel="0" collapsed="false">
      <c r="A1368" s="881"/>
      <c r="B1368" s="847" t="s">
        <v>86</v>
      </c>
      <c r="C1368" s="847" t="n">
        <v>2024</v>
      </c>
      <c r="D1368" s="848" t="s">
        <v>6</v>
      </c>
      <c r="E1368" s="848" t="s">
        <v>2241</v>
      </c>
      <c r="F1368" s="848"/>
      <c r="G1368" s="849"/>
      <c r="H1368" s="949" t="n">
        <v>8.6</v>
      </c>
      <c r="I1368" s="950"/>
      <c r="J1368" s="950"/>
      <c r="K1368" s="852" t="n">
        <f aca="false">H1368*I1368/100</f>
        <v>0</v>
      </c>
      <c r="L1368" s="537" t="n">
        <v>665</v>
      </c>
      <c r="M1368" s="1304" t="n">
        <v>1</v>
      </c>
      <c r="N1368" s="853" t="n">
        <f aca="false">L1368*M1368</f>
        <v>665</v>
      </c>
      <c r="O1368" s="855" t="n">
        <f aca="false">H1368*N1368</f>
        <v>5719</v>
      </c>
      <c r="P1368" s="856" t="s">
        <v>2204</v>
      </c>
      <c r="Q1368" s="1436" t="s">
        <v>2206</v>
      </c>
      <c r="R1368" s="1088" t="n">
        <v>5719</v>
      </c>
      <c r="S1368" s="854" t="n">
        <f aca="false">R1368/H1368</f>
        <v>665</v>
      </c>
      <c r="T1368" s="858" t="n">
        <f aca="false">O1368-R1368</f>
        <v>0</v>
      </c>
      <c r="U1368" s="892" t="n">
        <f aca="false">N1368-S1368</f>
        <v>0</v>
      </c>
    </row>
    <row r="1369" customFormat="false" ht="15" hidden="false" customHeight="true" outlineLevel="0" collapsed="false">
      <c r="A1369" s="881"/>
      <c r="B1369" s="1072" t="s">
        <v>86</v>
      </c>
      <c r="C1369" s="1072" t="n">
        <v>2024</v>
      </c>
      <c r="D1369" s="887" t="s">
        <v>6</v>
      </c>
      <c r="E1369" s="887" t="s">
        <v>2205</v>
      </c>
      <c r="F1369" s="887"/>
      <c r="G1369" s="1062"/>
      <c r="H1369" s="1077" t="n">
        <v>0</v>
      </c>
      <c r="I1369" s="1086"/>
      <c r="J1369" s="1086"/>
      <c r="K1369" s="1064" t="n">
        <f aca="false">H1369*I1369/100</f>
        <v>0</v>
      </c>
      <c r="L1369" s="1067" t="n">
        <v>1116</v>
      </c>
      <c r="M1369" s="1710" t="n">
        <v>1</v>
      </c>
      <c r="N1369" s="1073" t="n">
        <f aca="false">L1369*M1369</f>
        <v>1116</v>
      </c>
      <c r="O1369" s="1074" t="n">
        <f aca="false">H1369*N1369</f>
        <v>0</v>
      </c>
      <c r="P1369" s="888" t="s">
        <v>2204</v>
      </c>
      <c r="Q1369" s="1320" t="s">
        <v>2206</v>
      </c>
      <c r="R1369" s="1080" t="n">
        <v>0</v>
      </c>
      <c r="S1369" s="846" t="n">
        <v>1116</v>
      </c>
      <c r="T1369" s="1069" t="n">
        <f aca="false">O1369-R1369</f>
        <v>0</v>
      </c>
      <c r="U1369" s="1070" t="n">
        <f aca="false">N1369-S1369</f>
        <v>0</v>
      </c>
    </row>
    <row r="1370" customFormat="false" ht="15" hidden="false" customHeight="true" outlineLevel="0" collapsed="false">
      <c r="A1370" s="903" t="n">
        <v>29</v>
      </c>
      <c r="B1370" s="903" t="s">
        <v>2207</v>
      </c>
      <c r="C1370" s="903" t="n">
        <v>2024</v>
      </c>
      <c r="D1370" s="904" t="s">
        <v>6</v>
      </c>
      <c r="E1370" s="904" t="s">
        <v>2192</v>
      </c>
      <c r="F1370" s="904" t="s">
        <v>1651</v>
      </c>
      <c r="G1370" s="905"/>
      <c r="H1370" s="946" t="n">
        <v>31.6143</v>
      </c>
      <c r="I1370" s="947"/>
      <c r="J1370" s="947"/>
      <c r="K1370" s="939" t="n">
        <f aca="false">H1370*I1370/100</f>
        <v>0</v>
      </c>
      <c r="L1370" s="942" t="n">
        <v>9800</v>
      </c>
      <c r="M1370" s="1305" t="n">
        <v>1</v>
      </c>
      <c r="N1370" s="908" t="n">
        <f aca="false">L1370*M1370</f>
        <v>9800</v>
      </c>
      <c r="O1370" s="940" t="n">
        <f aca="false">H1370*N1370</f>
        <v>309820.14</v>
      </c>
      <c r="P1370" s="910" t="s">
        <v>2193</v>
      </c>
      <c r="Q1370" s="911" t="s">
        <v>2815</v>
      </c>
      <c r="R1370" s="1025" t="n">
        <v>309820.14</v>
      </c>
      <c r="S1370" s="891" t="n">
        <f aca="false">R1370/H1370</f>
        <v>9800</v>
      </c>
      <c r="T1370" s="1058" t="n">
        <f aca="false">O1370-R1370</f>
        <v>0</v>
      </c>
      <c r="U1370" s="942" t="n">
        <f aca="false">N1370-S1370</f>
        <v>0</v>
      </c>
    </row>
    <row r="1371" customFormat="false" ht="15" hidden="false" customHeight="true" outlineLevel="0" collapsed="false">
      <c r="A1371" s="882" t="s">
        <v>2847</v>
      </c>
      <c r="B1371" s="883" t="s">
        <v>2207</v>
      </c>
      <c r="C1371" s="883" t="n">
        <v>2024</v>
      </c>
      <c r="D1371" s="831" t="s">
        <v>6</v>
      </c>
      <c r="E1371" s="831" t="s">
        <v>2192</v>
      </c>
      <c r="F1371" s="832" t="s">
        <v>1651</v>
      </c>
      <c r="G1371" s="833"/>
      <c r="H1371" s="834" t="n">
        <v>31.5663</v>
      </c>
      <c r="I1371" s="835"/>
      <c r="J1371" s="835"/>
      <c r="K1371" s="836" t="n">
        <f aca="false">H1371*I1371/100</f>
        <v>0</v>
      </c>
      <c r="L1371" s="837" t="n">
        <v>10100</v>
      </c>
      <c r="M1371" s="1303" t="n">
        <v>1</v>
      </c>
      <c r="N1371" s="837" t="n">
        <f aca="false">L1371*M1371</f>
        <v>10100</v>
      </c>
      <c r="O1371" s="943" t="n">
        <f aca="false">H1371*N1371</f>
        <v>318819.63</v>
      </c>
      <c r="P1371" s="838" t="s">
        <v>2197</v>
      </c>
      <c r="Q1371" s="839" t="s">
        <v>2848</v>
      </c>
      <c r="R1371" s="1537" t="n">
        <v>158147.163</v>
      </c>
      <c r="S1371" s="886" t="n">
        <f aca="false">R1371/H1371</f>
        <v>5010</v>
      </c>
      <c r="T1371" s="1017" t="n">
        <f aca="false">O1371-R1371-R1373-R1372</f>
        <v>0</v>
      </c>
      <c r="U1371" s="842" t="n">
        <f aca="false">N1371-S1371-S1373-S1372</f>
        <v>0</v>
      </c>
    </row>
    <row r="1372" customFormat="false" ht="15" hidden="false" customHeight="true" outlineLevel="0" collapsed="false">
      <c r="A1372" s="882"/>
      <c r="B1372" s="883"/>
      <c r="C1372" s="883"/>
      <c r="D1372" s="904" t="s">
        <v>6</v>
      </c>
      <c r="E1372" s="904" t="s">
        <v>2192</v>
      </c>
      <c r="F1372" s="832"/>
      <c r="G1372" s="833"/>
      <c r="H1372" s="834"/>
      <c r="I1372" s="835"/>
      <c r="J1372" s="835"/>
      <c r="K1372" s="836"/>
      <c r="L1372" s="837"/>
      <c r="M1372" s="1303"/>
      <c r="N1372" s="837"/>
      <c r="O1372" s="943"/>
      <c r="P1372" s="910" t="s">
        <v>2197</v>
      </c>
      <c r="Q1372" s="911" t="s">
        <v>2849</v>
      </c>
      <c r="R1372" s="1538" t="n">
        <v>81125.391</v>
      </c>
      <c r="S1372" s="866" t="n">
        <f aca="false">R1372/H1371</f>
        <v>2570</v>
      </c>
      <c r="T1372" s="1017"/>
      <c r="U1372" s="842"/>
    </row>
    <row r="1373" customFormat="false" ht="15" hidden="false" customHeight="true" outlineLevel="0" collapsed="false">
      <c r="A1373" s="882"/>
      <c r="B1373" s="883"/>
      <c r="C1373" s="883"/>
      <c r="D1373" s="843" t="s">
        <v>6</v>
      </c>
      <c r="E1373" s="843" t="s">
        <v>2192</v>
      </c>
      <c r="F1373" s="832"/>
      <c r="G1373" s="833"/>
      <c r="H1373" s="834"/>
      <c r="I1373" s="835"/>
      <c r="J1373" s="835"/>
      <c r="K1373" s="836"/>
      <c r="L1373" s="837"/>
      <c r="M1373" s="1303"/>
      <c r="N1373" s="837"/>
      <c r="O1373" s="943"/>
      <c r="P1373" s="844" t="s">
        <v>2197</v>
      </c>
      <c r="Q1373" s="845" t="s">
        <v>2850</v>
      </c>
      <c r="R1373" s="1539" t="n">
        <v>79547.076</v>
      </c>
      <c r="S1373" s="846" t="n">
        <f aca="false">R1373/H1371</f>
        <v>2520</v>
      </c>
      <c r="T1373" s="1017"/>
      <c r="U1373" s="842"/>
    </row>
    <row r="1374" customFormat="false" ht="15" hidden="false" customHeight="true" outlineLevel="0" collapsed="false">
      <c r="A1374" s="903" t="n">
        <v>30</v>
      </c>
      <c r="B1374" s="903" t="s">
        <v>2207</v>
      </c>
      <c r="C1374" s="903" t="n">
        <v>2024</v>
      </c>
      <c r="D1374" s="904" t="s">
        <v>6</v>
      </c>
      <c r="E1374" s="904" t="s">
        <v>2192</v>
      </c>
      <c r="F1374" s="904" t="s">
        <v>1651</v>
      </c>
      <c r="G1374" s="905"/>
      <c r="H1374" s="946" t="n">
        <v>32.6112</v>
      </c>
      <c r="I1374" s="947"/>
      <c r="J1374" s="947"/>
      <c r="K1374" s="939" t="n">
        <f aca="false">H1374*I1374/100</f>
        <v>0</v>
      </c>
      <c r="L1374" s="942" t="n">
        <v>2813</v>
      </c>
      <c r="M1374" s="1305" t="n">
        <v>1</v>
      </c>
      <c r="N1374" s="908" t="n">
        <f aca="false">L1374*M1374</f>
        <v>2813</v>
      </c>
      <c r="O1374" s="940" t="n">
        <f aca="false">H1374*N1374</f>
        <v>91735.3056</v>
      </c>
      <c r="P1374" s="910" t="s">
        <v>2193</v>
      </c>
      <c r="Q1374" s="911" t="s">
        <v>2817</v>
      </c>
      <c r="R1374" s="1025" t="n">
        <v>91735.3056</v>
      </c>
      <c r="S1374" s="891" t="n">
        <f aca="false">R1374/H1374</f>
        <v>2813</v>
      </c>
      <c r="T1374" s="948" t="n">
        <f aca="false">O1374-R1374</f>
        <v>0</v>
      </c>
      <c r="U1374" s="942" t="n">
        <f aca="false">N1374-S1374</f>
        <v>0</v>
      </c>
    </row>
    <row r="1375" customFormat="false" ht="15" hidden="false" customHeight="true" outlineLevel="0" collapsed="false">
      <c r="A1375" s="829" t="s">
        <v>2851</v>
      </c>
      <c r="B1375" s="830" t="s">
        <v>2207</v>
      </c>
      <c r="C1375" s="830" t="n">
        <v>2024</v>
      </c>
      <c r="D1375" s="831" t="s">
        <v>6</v>
      </c>
      <c r="E1375" s="831" t="s">
        <v>2192</v>
      </c>
      <c r="F1375" s="832" t="s">
        <v>1651</v>
      </c>
      <c r="G1375" s="833"/>
      <c r="H1375" s="834" t="n">
        <v>32.5302</v>
      </c>
      <c r="I1375" s="835"/>
      <c r="J1375" s="835"/>
      <c r="K1375" s="836" t="n">
        <f aca="false">H1375*I1375/100</f>
        <v>0</v>
      </c>
      <c r="L1375" s="837" t="n">
        <v>2903</v>
      </c>
      <c r="M1375" s="1303" t="n">
        <v>1</v>
      </c>
      <c r="N1375" s="837" t="n">
        <f aca="false">L1375*M1375</f>
        <v>2903</v>
      </c>
      <c r="O1375" s="943" t="n">
        <f aca="false">H1375*N1375</f>
        <v>94435.1706</v>
      </c>
      <c r="P1375" s="838" t="s">
        <v>2197</v>
      </c>
      <c r="Q1375" s="839" t="s">
        <v>2852</v>
      </c>
      <c r="R1375" s="1139" t="n">
        <v>13662.684</v>
      </c>
      <c r="S1375" s="840" t="n">
        <f aca="false">R1375/H1375</f>
        <v>420</v>
      </c>
      <c r="T1375" s="943" t="n">
        <f aca="false">O1375-R1375-R1376</f>
        <v>0</v>
      </c>
      <c r="U1375" s="842" t="n">
        <f aca="false">N1375-S1375-S1376</f>
        <v>0</v>
      </c>
    </row>
    <row r="1376" customFormat="false" ht="15" hidden="false" customHeight="true" outlineLevel="0" collapsed="false">
      <c r="A1376" s="829"/>
      <c r="B1376" s="830"/>
      <c r="C1376" s="830"/>
      <c r="D1376" s="887" t="s">
        <v>6</v>
      </c>
      <c r="E1376" s="887" t="s">
        <v>2192</v>
      </c>
      <c r="F1376" s="832"/>
      <c r="G1376" s="833"/>
      <c r="H1376" s="834"/>
      <c r="I1376" s="835"/>
      <c r="J1376" s="835"/>
      <c r="K1376" s="836"/>
      <c r="L1376" s="837"/>
      <c r="M1376" s="1303"/>
      <c r="N1376" s="837"/>
      <c r="O1376" s="943"/>
      <c r="P1376" s="888" t="s">
        <v>2197</v>
      </c>
      <c r="Q1376" s="889" t="s">
        <v>2853</v>
      </c>
      <c r="R1376" s="1080" t="n">
        <v>80772.4866</v>
      </c>
      <c r="S1376" s="890" t="n">
        <f aca="false">R1376/H1375</f>
        <v>2483</v>
      </c>
      <c r="T1376" s="943"/>
      <c r="U1376" s="842"/>
    </row>
    <row r="1377" customFormat="false" ht="15" hidden="false" customHeight="true" outlineLevel="0" collapsed="false">
      <c r="A1377" s="1027" t="n">
        <v>47</v>
      </c>
      <c r="B1377" s="1028" t="s">
        <v>2207</v>
      </c>
      <c r="C1377" s="1028" t="n">
        <v>2024</v>
      </c>
      <c r="D1377" s="831" t="s">
        <v>6</v>
      </c>
      <c r="E1377" s="831" t="s">
        <v>2192</v>
      </c>
      <c r="F1377" s="1328" t="s">
        <v>1652</v>
      </c>
      <c r="G1377" s="1030"/>
      <c r="H1377" s="1031" t="n">
        <v>44.8416</v>
      </c>
      <c r="I1377" s="1032"/>
      <c r="J1377" s="1032"/>
      <c r="K1377" s="1033" t="n">
        <f aca="false">H1377*I1377/100</f>
        <v>0</v>
      </c>
      <c r="L1377" s="1036" t="n">
        <v>5624</v>
      </c>
      <c r="M1377" s="1708" t="n">
        <v>1</v>
      </c>
      <c r="N1377" s="1036" t="n">
        <f aca="false">L1377*M1377</f>
        <v>5624</v>
      </c>
      <c r="O1377" s="1547" t="n">
        <f aca="false">H1377*N1377</f>
        <v>252189.1584</v>
      </c>
      <c r="P1377" s="838" t="s">
        <v>2197</v>
      </c>
      <c r="Q1377" s="839" t="s">
        <v>2854</v>
      </c>
      <c r="R1377" s="1139" t="n">
        <v>4708.368</v>
      </c>
      <c r="S1377" s="840" t="n">
        <f aca="false">R1377/H1377</f>
        <v>105</v>
      </c>
      <c r="T1377" s="1547" t="n">
        <f aca="false">O1377-R1377-R1378</f>
        <v>0</v>
      </c>
      <c r="U1377" s="1037" t="n">
        <f aca="false">N1377-S1377-S1378</f>
        <v>0</v>
      </c>
    </row>
    <row r="1378" customFormat="false" ht="15" hidden="false" customHeight="true" outlineLevel="0" collapsed="false">
      <c r="A1378" s="1027"/>
      <c r="B1378" s="1028"/>
      <c r="C1378" s="1028"/>
      <c r="D1378" s="904" t="s">
        <v>6</v>
      </c>
      <c r="E1378" s="904" t="s">
        <v>2192</v>
      </c>
      <c r="F1378" s="1328"/>
      <c r="G1378" s="1030"/>
      <c r="H1378" s="1031"/>
      <c r="I1378" s="1032"/>
      <c r="J1378" s="1032"/>
      <c r="K1378" s="1033"/>
      <c r="L1378" s="1036"/>
      <c r="M1378" s="1708"/>
      <c r="N1378" s="1036"/>
      <c r="O1378" s="1547"/>
      <c r="P1378" s="910" t="s">
        <v>2197</v>
      </c>
      <c r="Q1378" s="911" t="s">
        <v>2820</v>
      </c>
      <c r="R1378" s="1025" t="n">
        <v>247480.7904</v>
      </c>
      <c r="S1378" s="891" t="n">
        <f aca="false">R1378/H1377</f>
        <v>5519</v>
      </c>
      <c r="T1378" s="1547"/>
      <c r="U1378" s="1037"/>
    </row>
    <row r="1379" customFormat="false" ht="15" hidden="false" customHeight="true" outlineLevel="0" collapsed="false">
      <c r="A1379" s="829" t="n">
        <v>48</v>
      </c>
      <c r="B1379" s="830" t="s">
        <v>2207</v>
      </c>
      <c r="C1379" s="830" t="n">
        <v>2024</v>
      </c>
      <c r="D1379" s="831" t="s">
        <v>6</v>
      </c>
      <c r="E1379" s="831" t="s">
        <v>2192</v>
      </c>
      <c r="F1379" s="832" t="s">
        <v>1651</v>
      </c>
      <c r="G1379" s="833"/>
      <c r="H1379" s="1059" t="n">
        <v>30.1975</v>
      </c>
      <c r="I1379" s="835"/>
      <c r="J1379" s="835"/>
      <c r="K1379" s="836" t="n">
        <f aca="false">H1379*I1379/100</f>
        <v>0</v>
      </c>
      <c r="L1379" s="837" t="n">
        <v>10730</v>
      </c>
      <c r="M1379" s="1303" t="n">
        <v>1</v>
      </c>
      <c r="N1379" s="837" t="n">
        <f aca="false">L1379*M1379</f>
        <v>10730</v>
      </c>
      <c r="O1379" s="943" t="n">
        <f aca="false">H1379*N1379</f>
        <v>324019.175</v>
      </c>
      <c r="P1379" s="838" t="s">
        <v>2197</v>
      </c>
      <c r="Q1379" s="839" t="s">
        <v>2855</v>
      </c>
      <c r="R1379" s="1139" t="n">
        <v>60244.0125</v>
      </c>
      <c r="S1379" s="840" t="n">
        <f aca="false">R1379/H1379</f>
        <v>1995</v>
      </c>
      <c r="T1379" s="943" t="n">
        <f aca="false">O1379-R1379-R1380</f>
        <v>0</v>
      </c>
      <c r="U1379" s="842" t="n">
        <f aca="false">N1379-S1379-S1380</f>
        <v>0</v>
      </c>
    </row>
    <row r="1380" customFormat="false" ht="15" hidden="false" customHeight="true" outlineLevel="0" collapsed="false">
      <c r="A1380" s="829"/>
      <c r="B1380" s="830"/>
      <c r="C1380" s="830"/>
      <c r="D1380" s="887" t="s">
        <v>6</v>
      </c>
      <c r="E1380" s="887" t="s">
        <v>2192</v>
      </c>
      <c r="F1380" s="832"/>
      <c r="G1380" s="833"/>
      <c r="H1380" s="1059"/>
      <c r="I1380" s="835"/>
      <c r="J1380" s="835"/>
      <c r="K1380" s="836"/>
      <c r="L1380" s="837"/>
      <c r="M1380" s="1303"/>
      <c r="N1380" s="837"/>
      <c r="O1380" s="943"/>
      <c r="P1380" s="888" t="s">
        <v>2197</v>
      </c>
      <c r="Q1380" s="889" t="s">
        <v>2819</v>
      </c>
      <c r="R1380" s="1080" t="n">
        <v>263775.1625</v>
      </c>
      <c r="S1380" s="846" t="n">
        <f aca="false">R1380/H1379</f>
        <v>8735</v>
      </c>
      <c r="T1380" s="943"/>
      <c r="U1380" s="842"/>
    </row>
    <row r="1381" customFormat="false" ht="15" hidden="false" customHeight="true" outlineLevel="0" collapsed="false">
      <c r="A1381" s="847" t="n">
        <v>51</v>
      </c>
      <c r="B1381" s="847" t="s">
        <v>81</v>
      </c>
      <c r="C1381" s="847" t="n">
        <v>2024</v>
      </c>
      <c r="D1381" s="848" t="s">
        <v>6</v>
      </c>
      <c r="E1381" s="848" t="s">
        <v>2192</v>
      </c>
      <c r="F1381" s="848" t="s">
        <v>2199</v>
      </c>
      <c r="G1381" s="849"/>
      <c r="H1381" s="949" t="n">
        <v>75.4</v>
      </c>
      <c r="I1381" s="950"/>
      <c r="J1381" s="950"/>
      <c r="K1381" s="852" t="n">
        <f aca="false">H1381*I1381/100</f>
        <v>0</v>
      </c>
      <c r="L1381" s="537" t="n">
        <v>13420</v>
      </c>
      <c r="M1381" s="1304" t="n">
        <v>1</v>
      </c>
      <c r="N1381" s="853" t="n">
        <f aca="false">L1381*M1381</f>
        <v>13420</v>
      </c>
      <c r="O1381" s="951" t="n">
        <f aca="false">H1381*N1381</f>
        <v>1011868</v>
      </c>
      <c r="P1381" s="856" t="s">
        <v>2200</v>
      </c>
      <c r="Q1381" s="857" t="s">
        <v>116</v>
      </c>
      <c r="R1381" s="1088" t="n">
        <v>1011868</v>
      </c>
      <c r="S1381" s="866" t="n">
        <f aca="false">R1381/H1381</f>
        <v>13420</v>
      </c>
      <c r="T1381" s="953" t="n">
        <f aca="false">O1381-R1381</f>
        <v>0</v>
      </c>
      <c r="U1381" s="537" t="n">
        <f aca="false">N1381-S1381</f>
        <v>0</v>
      </c>
    </row>
    <row r="1382" customFormat="false" ht="15" hidden="false" customHeight="true" outlineLevel="0" collapsed="false">
      <c r="A1382" s="903" t="n">
        <v>59</v>
      </c>
      <c r="B1382" s="903" t="s">
        <v>2207</v>
      </c>
      <c r="C1382" s="903" t="n">
        <v>2024</v>
      </c>
      <c r="D1382" s="904" t="s">
        <v>6</v>
      </c>
      <c r="E1382" s="904" t="s">
        <v>2192</v>
      </c>
      <c r="F1382" s="904" t="s">
        <v>1651</v>
      </c>
      <c r="G1382" s="905"/>
      <c r="H1382" s="946" t="n">
        <v>32.0089</v>
      </c>
      <c r="I1382" s="947"/>
      <c r="J1382" s="947"/>
      <c r="K1382" s="939" t="n">
        <f aca="false">H1382*I1382/100</f>
        <v>0</v>
      </c>
      <c r="L1382" s="942" t="n">
        <v>24949</v>
      </c>
      <c r="M1382" s="1305" t="n">
        <v>1</v>
      </c>
      <c r="N1382" s="908" t="n">
        <f aca="false">L1382*M1382</f>
        <v>24949</v>
      </c>
      <c r="O1382" s="940" t="n">
        <f aca="false">H1382*N1382</f>
        <v>798590.0461</v>
      </c>
      <c r="P1382" s="910" t="s">
        <v>2193</v>
      </c>
      <c r="Q1382" s="911" t="s">
        <v>2818</v>
      </c>
      <c r="R1382" s="1025" t="n">
        <v>798590.0461</v>
      </c>
      <c r="S1382" s="877" t="n">
        <f aca="false">R1382/H1382</f>
        <v>24949</v>
      </c>
      <c r="T1382" s="948" t="n">
        <f aca="false">O1382-R1382</f>
        <v>0</v>
      </c>
      <c r="U1382" s="942" t="n">
        <f aca="false">N1382-S1382</f>
        <v>0</v>
      </c>
    </row>
    <row r="1383" customFormat="false" ht="15" hidden="false" customHeight="true" outlineLevel="0" collapsed="false">
      <c r="A1383" s="829" t="s">
        <v>2856</v>
      </c>
      <c r="B1383" s="830" t="s">
        <v>2207</v>
      </c>
      <c r="C1383" s="830" t="n">
        <v>2024</v>
      </c>
      <c r="D1383" s="831" t="s">
        <v>6</v>
      </c>
      <c r="E1383" s="831" t="s">
        <v>2192</v>
      </c>
      <c r="F1383" s="832" t="s">
        <v>1651</v>
      </c>
      <c r="G1383" s="833"/>
      <c r="H1383" s="1152" t="n">
        <v>32.5235</v>
      </c>
      <c r="I1383" s="835"/>
      <c r="J1383" s="835"/>
      <c r="K1383" s="1318" t="n">
        <f aca="false">H1383*I1383/100</f>
        <v>0</v>
      </c>
      <c r="L1383" s="837" t="n">
        <v>27274</v>
      </c>
      <c r="M1383" s="1303" t="n">
        <v>1</v>
      </c>
      <c r="N1383" s="837" t="n">
        <f aca="false">L1383*M1383</f>
        <v>27274</v>
      </c>
      <c r="O1383" s="943" t="n">
        <f aca="false">H1383*N1383</f>
        <v>887045.939</v>
      </c>
      <c r="P1383" s="838" t="s">
        <v>2197</v>
      </c>
      <c r="Q1383" s="839" t="s">
        <v>2857</v>
      </c>
      <c r="R1383" s="1139" t="n">
        <v>176602.605</v>
      </c>
      <c r="S1383" s="840" t="n">
        <f aca="false">R1383/H1383</f>
        <v>5430</v>
      </c>
      <c r="T1383" s="943" t="n">
        <f aca="false">O1383-R1383-R1386-R1385-R1384</f>
        <v>0</v>
      </c>
      <c r="U1383" s="842" t="n">
        <f aca="false">N1383-S1383-S1386-S1385-S1384</f>
        <v>0</v>
      </c>
    </row>
    <row r="1384" customFormat="false" ht="15" hidden="false" customHeight="true" outlineLevel="0" collapsed="false">
      <c r="A1384" s="829"/>
      <c r="B1384" s="830"/>
      <c r="C1384" s="830"/>
      <c r="D1384" s="848" t="s">
        <v>6</v>
      </c>
      <c r="E1384" s="848" t="s">
        <v>2192</v>
      </c>
      <c r="F1384" s="832"/>
      <c r="G1384" s="833"/>
      <c r="H1384" s="1152"/>
      <c r="I1384" s="835"/>
      <c r="J1384" s="835"/>
      <c r="K1384" s="1318"/>
      <c r="L1384" s="837"/>
      <c r="M1384" s="1303"/>
      <c r="N1384" s="837"/>
      <c r="O1384" s="943"/>
      <c r="P1384" s="856" t="s">
        <v>2197</v>
      </c>
      <c r="Q1384" s="857" t="s">
        <v>2858</v>
      </c>
      <c r="R1384" s="1088" t="n">
        <v>60623.804</v>
      </c>
      <c r="S1384" s="866" t="n">
        <f aca="false">R1384/H1383</f>
        <v>1864</v>
      </c>
      <c r="T1384" s="943"/>
      <c r="U1384" s="842"/>
    </row>
    <row r="1385" customFormat="false" ht="15" hidden="false" customHeight="true" outlineLevel="0" collapsed="false">
      <c r="A1385" s="829"/>
      <c r="B1385" s="830"/>
      <c r="C1385" s="830"/>
      <c r="D1385" s="848" t="s">
        <v>6</v>
      </c>
      <c r="E1385" s="848" t="s">
        <v>2192</v>
      </c>
      <c r="F1385" s="832"/>
      <c r="G1385" s="833"/>
      <c r="H1385" s="1152"/>
      <c r="I1385" s="835"/>
      <c r="J1385" s="835"/>
      <c r="K1385" s="1318"/>
      <c r="L1385" s="837"/>
      <c r="M1385" s="1303"/>
      <c r="N1385" s="837"/>
      <c r="O1385" s="943"/>
      <c r="P1385" s="856" t="s">
        <v>2197</v>
      </c>
      <c r="Q1385" s="857" t="s">
        <v>2859</v>
      </c>
      <c r="R1385" s="1088" t="n">
        <v>324909.765</v>
      </c>
      <c r="S1385" s="866" t="n">
        <f aca="false">R1385/H1383</f>
        <v>9990</v>
      </c>
      <c r="T1385" s="943"/>
      <c r="U1385" s="842"/>
    </row>
    <row r="1386" customFormat="false" ht="15" hidden="false" customHeight="true" outlineLevel="0" collapsed="false">
      <c r="A1386" s="829"/>
      <c r="B1386" s="830"/>
      <c r="C1386" s="830"/>
      <c r="D1386" s="887" t="s">
        <v>6</v>
      </c>
      <c r="E1386" s="887" t="s">
        <v>2192</v>
      </c>
      <c r="F1386" s="832"/>
      <c r="G1386" s="833"/>
      <c r="H1386" s="1152"/>
      <c r="I1386" s="835"/>
      <c r="J1386" s="835"/>
      <c r="K1386" s="1318"/>
      <c r="L1386" s="837"/>
      <c r="M1386" s="1303"/>
      <c r="N1386" s="837"/>
      <c r="O1386" s="943"/>
      <c r="P1386" s="888" t="s">
        <v>2197</v>
      </c>
      <c r="Q1386" s="889" t="s">
        <v>2860</v>
      </c>
      <c r="R1386" s="1080" t="n">
        <v>324909.765</v>
      </c>
      <c r="S1386" s="846" t="n">
        <f aca="false">R1386/H1383</f>
        <v>9990</v>
      </c>
      <c r="T1386" s="943"/>
      <c r="U1386" s="842"/>
    </row>
    <row r="1387" customFormat="false" ht="15" hidden="false" customHeight="true" outlineLevel="0" collapsed="false">
      <c r="A1387" s="847" t="n">
        <v>3</v>
      </c>
      <c r="B1387" s="847" t="s">
        <v>2278</v>
      </c>
      <c r="C1387" s="847" t="n">
        <v>2024</v>
      </c>
      <c r="D1387" s="848" t="s">
        <v>6</v>
      </c>
      <c r="E1387" s="848" t="s">
        <v>2192</v>
      </c>
      <c r="F1387" s="848" t="s">
        <v>1650</v>
      </c>
      <c r="G1387" s="849"/>
      <c r="H1387" s="949" t="n">
        <v>97.1802</v>
      </c>
      <c r="I1387" s="950"/>
      <c r="J1387" s="950"/>
      <c r="K1387" s="852" t="n">
        <f aca="false">H1387*I1387/100</f>
        <v>0</v>
      </c>
      <c r="L1387" s="537" t="n">
        <v>1986</v>
      </c>
      <c r="M1387" s="1304" t="n">
        <v>1</v>
      </c>
      <c r="N1387" s="853" t="n">
        <f aca="false">L1387*M1387</f>
        <v>1986</v>
      </c>
      <c r="O1387" s="951" t="n">
        <f aca="false">H1387*N1387</f>
        <v>192999.8772</v>
      </c>
      <c r="P1387" s="856" t="s">
        <v>2232</v>
      </c>
      <c r="Q1387" s="857" t="s">
        <v>2706</v>
      </c>
      <c r="R1387" s="1088" t="n">
        <v>192999.8772</v>
      </c>
      <c r="S1387" s="866" t="n">
        <f aca="false">R1387/H1387</f>
        <v>1986</v>
      </c>
      <c r="T1387" s="953" t="n">
        <f aca="false">O1387-R1387</f>
        <v>0</v>
      </c>
      <c r="U1387" s="537" t="n">
        <f aca="false">N1387-S1387</f>
        <v>0</v>
      </c>
    </row>
    <row r="1388" customFormat="false" ht="15" hidden="false" customHeight="true" outlineLevel="0" collapsed="false">
      <c r="A1388" s="903" t="n">
        <v>57</v>
      </c>
      <c r="B1388" s="903" t="s">
        <v>81</v>
      </c>
      <c r="C1388" s="903" t="n">
        <v>2024</v>
      </c>
      <c r="D1388" s="904" t="s">
        <v>6</v>
      </c>
      <c r="E1388" s="904" t="s">
        <v>2192</v>
      </c>
      <c r="F1388" s="904" t="s">
        <v>2199</v>
      </c>
      <c r="G1388" s="905"/>
      <c r="H1388" s="946" t="n">
        <v>79.7</v>
      </c>
      <c r="I1388" s="947"/>
      <c r="J1388" s="947"/>
      <c r="K1388" s="939" t="n">
        <f aca="false">H1388*I1388/100</f>
        <v>0</v>
      </c>
      <c r="L1388" s="942" t="n">
        <v>8120</v>
      </c>
      <c r="M1388" s="1305" t="n">
        <v>1</v>
      </c>
      <c r="N1388" s="908" t="n">
        <f aca="false">L1388*M1388</f>
        <v>8120</v>
      </c>
      <c r="O1388" s="940" t="n">
        <f aca="false">H1388*N1388</f>
        <v>647164</v>
      </c>
      <c r="P1388" s="910" t="s">
        <v>2200</v>
      </c>
      <c r="Q1388" s="911" t="s">
        <v>2717</v>
      </c>
      <c r="R1388" s="1025" t="n">
        <v>647164</v>
      </c>
      <c r="S1388" s="877" t="n">
        <f aca="false">R1388/H1388</f>
        <v>8120</v>
      </c>
      <c r="T1388" s="948" t="n">
        <f aca="false">O1388-R1388</f>
        <v>0</v>
      </c>
      <c r="U1388" s="942" t="n">
        <f aca="false">N1388-S1388</f>
        <v>0</v>
      </c>
    </row>
    <row r="1389" customFormat="false" ht="15" hidden="false" customHeight="true" outlineLevel="0" collapsed="false">
      <c r="A1389" s="829" t="n">
        <v>59</v>
      </c>
      <c r="B1389" s="830" t="s">
        <v>81</v>
      </c>
      <c r="C1389" s="830" t="n">
        <v>2024</v>
      </c>
      <c r="D1389" s="831" t="s">
        <v>6</v>
      </c>
      <c r="E1389" s="831" t="s">
        <v>2192</v>
      </c>
      <c r="F1389" s="832" t="s">
        <v>2199</v>
      </c>
      <c r="G1389" s="833"/>
      <c r="H1389" s="834" t="n">
        <v>79.6</v>
      </c>
      <c r="I1389" s="835"/>
      <c r="J1389" s="835"/>
      <c r="K1389" s="836" t="n">
        <f aca="false">H1389*I1389/100</f>
        <v>0</v>
      </c>
      <c r="L1389" s="837" t="n">
        <v>39580</v>
      </c>
      <c r="M1389" s="1303" t="n">
        <v>1</v>
      </c>
      <c r="N1389" s="837" t="n">
        <f aca="false">L1389*M1389</f>
        <v>39580</v>
      </c>
      <c r="O1389" s="943" t="n">
        <f aca="false">H1389*N1389</f>
        <v>3150568</v>
      </c>
      <c r="P1389" s="838" t="s">
        <v>2255</v>
      </c>
      <c r="Q1389" s="839" t="s">
        <v>2243</v>
      </c>
      <c r="R1389" s="1139" t="n">
        <v>173528</v>
      </c>
      <c r="S1389" s="840" t="n">
        <f aca="false">R1389/H1389</f>
        <v>2180</v>
      </c>
      <c r="T1389" s="943" t="n">
        <f aca="false">O1389-R1389-R1390</f>
        <v>0</v>
      </c>
      <c r="U1389" s="842" t="n">
        <f aca="false">N1389-S1389-S1390</f>
        <v>0</v>
      </c>
    </row>
    <row r="1390" customFormat="false" ht="15" hidden="false" customHeight="true" outlineLevel="0" collapsed="false">
      <c r="A1390" s="829"/>
      <c r="B1390" s="830"/>
      <c r="C1390" s="830"/>
      <c r="D1390" s="887" t="s">
        <v>6</v>
      </c>
      <c r="E1390" s="887" t="s">
        <v>2192</v>
      </c>
      <c r="F1390" s="832"/>
      <c r="G1390" s="833"/>
      <c r="H1390" s="834"/>
      <c r="I1390" s="835"/>
      <c r="J1390" s="835"/>
      <c r="K1390" s="836"/>
      <c r="L1390" s="837"/>
      <c r="M1390" s="1303"/>
      <c r="N1390" s="837"/>
      <c r="O1390" s="943"/>
      <c r="P1390" s="888" t="s">
        <v>2200</v>
      </c>
      <c r="Q1390" s="889" t="s">
        <v>2678</v>
      </c>
      <c r="R1390" s="1080" t="n">
        <v>2977040</v>
      </c>
      <c r="S1390" s="846" t="n">
        <f aca="false">R1390/H1389</f>
        <v>37400</v>
      </c>
      <c r="T1390" s="943"/>
      <c r="U1390" s="842"/>
    </row>
    <row r="1391" customFormat="false" ht="15" hidden="false" customHeight="true" outlineLevel="0" collapsed="false">
      <c r="A1391" s="847" t="n">
        <v>66</v>
      </c>
      <c r="B1391" s="847" t="s">
        <v>81</v>
      </c>
      <c r="C1391" s="847" t="n">
        <v>2024</v>
      </c>
      <c r="D1391" s="848" t="s">
        <v>6</v>
      </c>
      <c r="E1391" s="848" t="s">
        <v>2192</v>
      </c>
      <c r="F1391" s="848" t="s">
        <v>2199</v>
      </c>
      <c r="G1391" s="849"/>
      <c r="H1391" s="949" t="n">
        <v>79.5</v>
      </c>
      <c r="I1391" s="950"/>
      <c r="J1391" s="950"/>
      <c r="K1391" s="852" t="n">
        <f aca="false">H1391*I1391/100</f>
        <v>0</v>
      </c>
      <c r="L1391" s="537" t="n">
        <v>20540</v>
      </c>
      <c r="M1391" s="1304" t="n">
        <v>1</v>
      </c>
      <c r="N1391" s="853" t="n">
        <f aca="false">L1391*M1391</f>
        <v>20540</v>
      </c>
      <c r="O1391" s="951" t="n">
        <f aca="false">H1391*N1391</f>
        <v>1632930</v>
      </c>
      <c r="P1391" s="856" t="s">
        <v>2200</v>
      </c>
      <c r="Q1391" s="857" t="s">
        <v>2842</v>
      </c>
      <c r="R1391" s="1088" t="n">
        <v>1632930</v>
      </c>
      <c r="S1391" s="854" t="n">
        <f aca="false">R1391/H1391</f>
        <v>20540</v>
      </c>
      <c r="T1391" s="953" t="n">
        <f aca="false">O1391-R1391</f>
        <v>0</v>
      </c>
      <c r="U1391" s="537" t="n">
        <f aca="false">N1391-S1391</f>
        <v>0</v>
      </c>
    </row>
    <row r="1392" customFormat="false" ht="15" hidden="false" customHeight="true" outlineLevel="0" collapsed="false">
      <c r="A1392" s="847" t="n">
        <v>11</v>
      </c>
      <c r="B1392" s="847" t="s">
        <v>2230</v>
      </c>
      <c r="C1392" s="847" t="n">
        <v>2024</v>
      </c>
      <c r="D1392" s="848" t="s">
        <v>6</v>
      </c>
      <c r="E1392" s="848" t="s">
        <v>2192</v>
      </c>
      <c r="F1392" s="848" t="s">
        <v>2199</v>
      </c>
      <c r="G1392" s="849"/>
      <c r="H1392" s="949" t="n">
        <v>62.3026</v>
      </c>
      <c r="I1392" s="950"/>
      <c r="J1392" s="950"/>
      <c r="K1392" s="852" t="n">
        <f aca="false">H1392*I1392/100</f>
        <v>0</v>
      </c>
      <c r="L1392" s="537" t="n">
        <v>3425</v>
      </c>
      <c r="M1392" s="1304" t="n">
        <v>1</v>
      </c>
      <c r="N1392" s="853" t="n">
        <f aca="false">L1392*M1392</f>
        <v>3425</v>
      </c>
      <c r="O1392" s="951" t="n">
        <f aca="false">H1392*N1392</f>
        <v>213386.405</v>
      </c>
      <c r="P1392" s="856" t="s">
        <v>2197</v>
      </c>
      <c r="Q1392" s="857" t="s">
        <v>2861</v>
      </c>
      <c r="R1392" s="1088" t="n">
        <v>213386.405</v>
      </c>
      <c r="S1392" s="866" t="n">
        <f aca="false">R1392/H1392</f>
        <v>3425</v>
      </c>
      <c r="T1392" s="953" t="n">
        <f aca="false">O1392-R1392</f>
        <v>0</v>
      </c>
      <c r="U1392" s="537" t="n">
        <f aca="false">N1392-S1392</f>
        <v>0</v>
      </c>
    </row>
    <row r="1393" customFormat="false" ht="15" hidden="false" customHeight="true" outlineLevel="0" collapsed="false">
      <c r="A1393" s="903" t="n">
        <v>10</v>
      </c>
      <c r="B1393" s="903" t="s">
        <v>2278</v>
      </c>
      <c r="C1393" s="903" t="n">
        <v>2024</v>
      </c>
      <c r="D1393" s="904" t="s">
        <v>6</v>
      </c>
      <c r="E1393" s="904" t="s">
        <v>2192</v>
      </c>
      <c r="F1393" s="904" t="s">
        <v>2199</v>
      </c>
      <c r="G1393" s="905"/>
      <c r="H1393" s="946" t="n">
        <v>84.1551</v>
      </c>
      <c r="I1393" s="947"/>
      <c r="J1393" s="947"/>
      <c r="K1393" s="939" t="n">
        <f aca="false">H1393*I1393/100</f>
        <v>0</v>
      </c>
      <c r="L1393" s="942" t="n">
        <v>2062</v>
      </c>
      <c r="M1393" s="1305" t="n">
        <v>1</v>
      </c>
      <c r="N1393" s="908" t="n">
        <f aca="false">L1393*M1393</f>
        <v>2062</v>
      </c>
      <c r="O1393" s="940" t="n">
        <f aca="false">H1393*N1393</f>
        <v>173527.8162</v>
      </c>
      <c r="P1393" s="910" t="s">
        <v>2232</v>
      </c>
      <c r="Q1393" s="911" t="s">
        <v>2822</v>
      </c>
      <c r="R1393" s="1025" t="n">
        <v>173527.8162</v>
      </c>
      <c r="S1393" s="877" t="n">
        <f aca="false">R1393/H1393</f>
        <v>2062</v>
      </c>
      <c r="T1393" s="948" t="n">
        <f aca="false">O1393-R1393</f>
        <v>0</v>
      </c>
      <c r="U1393" s="942" t="n">
        <f aca="false">N1393-S1393</f>
        <v>0</v>
      </c>
    </row>
    <row r="1394" customFormat="false" ht="15" hidden="false" customHeight="true" outlineLevel="0" collapsed="false">
      <c r="A1394" s="881" t="n">
        <v>59</v>
      </c>
      <c r="B1394" s="882" t="s">
        <v>86</v>
      </c>
      <c r="C1394" s="883" t="n">
        <v>2024</v>
      </c>
      <c r="D1394" s="831" t="s">
        <v>6</v>
      </c>
      <c r="E1394" s="831" t="s">
        <v>2192</v>
      </c>
      <c r="F1394" s="832" t="s">
        <v>1650</v>
      </c>
      <c r="G1394" s="833"/>
      <c r="H1394" s="834" t="n">
        <v>94.5</v>
      </c>
      <c r="I1394" s="835"/>
      <c r="J1394" s="835"/>
      <c r="K1394" s="836" t="n">
        <f aca="false">H1394*I1394/100</f>
        <v>0</v>
      </c>
      <c r="L1394" s="837" t="n">
        <v>16195</v>
      </c>
      <c r="M1394" s="1303" t="n">
        <v>1</v>
      </c>
      <c r="N1394" s="837" t="n">
        <f aca="false">L1394*M1394</f>
        <v>16195</v>
      </c>
      <c r="O1394" s="943" t="n">
        <f aca="false">H1394*N1394</f>
        <v>1530427.5</v>
      </c>
      <c r="P1394" s="884" t="s">
        <v>2193</v>
      </c>
      <c r="Q1394" s="885" t="s">
        <v>2739</v>
      </c>
      <c r="R1394" s="1016" t="n">
        <v>642127.5</v>
      </c>
      <c r="S1394" s="886" t="n">
        <f aca="false">R1394/H1394</f>
        <v>6795</v>
      </c>
      <c r="T1394" s="943" t="n">
        <f aca="false">O1394-R1394-R1396-R1395</f>
        <v>0</v>
      </c>
      <c r="U1394" s="842" t="n">
        <f aca="false">N1394-S1394-S1396-S1395</f>
        <v>0</v>
      </c>
    </row>
    <row r="1395" customFormat="false" ht="15" hidden="false" customHeight="true" outlineLevel="0" collapsed="false">
      <c r="A1395" s="881"/>
      <c r="B1395" s="882"/>
      <c r="C1395" s="883"/>
      <c r="D1395" s="860" t="s">
        <v>6</v>
      </c>
      <c r="E1395" s="860" t="s">
        <v>2192</v>
      </c>
      <c r="F1395" s="832"/>
      <c r="G1395" s="833"/>
      <c r="H1395" s="834"/>
      <c r="I1395" s="835"/>
      <c r="J1395" s="835"/>
      <c r="K1395" s="836"/>
      <c r="L1395" s="837"/>
      <c r="M1395" s="1303"/>
      <c r="N1395" s="837"/>
      <c r="O1395" s="943"/>
      <c r="P1395" s="868" t="s">
        <v>2193</v>
      </c>
      <c r="Q1395" s="869" t="s">
        <v>2558</v>
      </c>
      <c r="R1395" s="1018" t="n">
        <v>794745</v>
      </c>
      <c r="S1395" s="866" t="n">
        <f aca="false">R1395/H1394</f>
        <v>8410</v>
      </c>
      <c r="T1395" s="943"/>
      <c r="U1395" s="842"/>
    </row>
    <row r="1396" customFormat="false" ht="15" hidden="false" customHeight="true" outlineLevel="0" collapsed="false">
      <c r="A1396" s="881"/>
      <c r="B1396" s="882"/>
      <c r="C1396" s="883"/>
      <c r="D1396" s="887" t="s">
        <v>6</v>
      </c>
      <c r="E1396" s="887" t="s">
        <v>2192</v>
      </c>
      <c r="F1396" s="832"/>
      <c r="G1396" s="833"/>
      <c r="H1396" s="834"/>
      <c r="I1396" s="835"/>
      <c r="J1396" s="835"/>
      <c r="K1396" s="836"/>
      <c r="L1396" s="837"/>
      <c r="M1396" s="1303"/>
      <c r="N1396" s="837"/>
      <c r="O1396" s="943"/>
      <c r="P1396" s="888" t="s">
        <v>2232</v>
      </c>
      <c r="Q1396" s="889" t="s">
        <v>2346</v>
      </c>
      <c r="R1396" s="1080" t="n">
        <v>93555</v>
      </c>
      <c r="S1396" s="890" t="n">
        <f aca="false">R1396/H1394</f>
        <v>990</v>
      </c>
      <c r="T1396" s="943"/>
      <c r="U1396" s="842"/>
    </row>
    <row r="1397" customFormat="false" ht="15" hidden="false" customHeight="true" outlineLevel="0" collapsed="false">
      <c r="A1397" s="881"/>
      <c r="B1397" s="847" t="s">
        <v>86</v>
      </c>
      <c r="C1397" s="847" t="n">
        <v>2024</v>
      </c>
      <c r="D1397" s="848" t="s">
        <v>6</v>
      </c>
      <c r="E1397" s="848" t="s">
        <v>2242</v>
      </c>
      <c r="F1397" s="848"/>
      <c r="G1397" s="849"/>
      <c r="H1397" s="949" t="n">
        <v>62.3</v>
      </c>
      <c r="I1397" s="950"/>
      <c r="J1397" s="950"/>
      <c r="K1397" s="852" t="n">
        <f aca="false">H1397*I1397/100</f>
        <v>0</v>
      </c>
      <c r="L1397" s="537" t="n">
        <v>260</v>
      </c>
      <c r="M1397" s="1304" t="n">
        <v>1</v>
      </c>
      <c r="N1397" s="853" t="n">
        <f aca="false">L1397*M1397</f>
        <v>260</v>
      </c>
      <c r="O1397" s="951" t="n">
        <f aca="false">H1397*N1397</f>
        <v>16198</v>
      </c>
      <c r="P1397" s="856" t="s">
        <v>2200</v>
      </c>
      <c r="Q1397" s="857" t="s">
        <v>2826</v>
      </c>
      <c r="R1397" s="1088" t="n">
        <v>16198</v>
      </c>
      <c r="S1397" s="866" t="n">
        <f aca="false">R1397/H1397</f>
        <v>260</v>
      </c>
      <c r="T1397" s="953" t="n">
        <f aca="false">O1397-R1397</f>
        <v>0</v>
      </c>
      <c r="U1397" s="892" t="n">
        <f aca="false">N1397-S1397</f>
        <v>0</v>
      </c>
    </row>
    <row r="1398" customFormat="false" ht="15" hidden="false" customHeight="true" outlineLevel="0" collapsed="false">
      <c r="A1398" s="881"/>
      <c r="B1398" s="847" t="s">
        <v>86</v>
      </c>
      <c r="C1398" s="847" t="n">
        <v>2024</v>
      </c>
      <c r="D1398" s="848" t="s">
        <v>6</v>
      </c>
      <c r="E1398" s="848" t="s">
        <v>2203</v>
      </c>
      <c r="F1398" s="848"/>
      <c r="G1398" s="849"/>
      <c r="H1398" s="949" t="n">
        <v>0</v>
      </c>
      <c r="I1398" s="950"/>
      <c r="J1398" s="950"/>
      <c r="K1398" s="852" t="n">
        <f aca="false">H1398*I1398/100</f>
        <v>0</v>
      </c>
      <c r="L1398" s="537" t="n">
        <v>1708</v>
      </c>
      <c r="M1398" s="1304" t="n">
        <v>1</v>
      </c>
      <c r="N1398" s="853" t="n">
        <f aca="false">L1398*M1398</f>
        <v>1708</v>
      </c>
      <c r="O1398" s="951" t="n">
        <f aca="false">H1398*N1398</f>
        <v>0</v>
      </c>
      <c r="P1398" s="856" t="s">
        <v>2204</v>
      </c>
      <c r="Q1398" s="857" t="n">
        <v>31012025</v>
      </c>
      <c r="R1398" s="1088"/>
      <c r="S1398" s="866" t="n">
        <v>1708</v>
      </c>
      <c r="T1398" s="953" t="n">
        <f aca="false">O1398-R1398</f>
        <v>0</v>
      </c>
      <c r="U1398" s="892" t="n">
        <f aca="false">N1398-S1398</f>
        <v>0</v>
      </c>
    </row>
    <row r="1399" customFormat="false" ht="15" hidden="false" customHeight="true" outlineLevel="0" collapsed="false">
      <c r="A1399" s="881"/>
      <c r="B1399" s="847" t="s">
        <v>86</v>
      </c>
      <c r="C1399" s="847" t="n">
        <v>2024</v>
      </c>
      <c r="D1399" s="848" t="s">
        <v>6</v>
      </c>
      <c r="E1399" s="848" t="s">
        <v>2241</v>
      </c>
      <c r="F1399" s="848"/>
      <c r="G1399" s="849"/>
      <c r="H1399" s="949" t="n">
        <v>5.8</v>
      </c>
      <c r="I1399" s="950"/>
      <c r="J1399" s="950"/>
      <c r="K1399" s="852" t="n">
        <f aca="false">H1399*I1399/100</f>
        <v>0</v>
      </c>
      <c r="L1399" s="537" t="n">
        <v>530</v>
      </c>
      <c r="M1399" s="1304" t="n">
        <v>1</v>
      </c>
      <c r="N1399" s="853" t="n">
        <f aca="false">L1399*M1399</f>
        <v>530</v>
      </c>
      <c r="O1399" s="951" t="n">
        <f aca="false">H1399*N1399</f>
        <v>3074</v>
      </c>
      <c r="P1399" s="856" t="s">
        <v>2204</v>
      </c>
      <c r="Q1399" s="857" t="n">
        <v>22112024</v>
      </c>
      <c r="R1399" s="1088" t="n">
        <v>3074</v>
      </c>
      <c r="S1399" s="866" t="n">
        <f aca="false">R1399/H1399</f>
        <v>530</v>
      </c>
      <c r="T1399" s="953" t="n">
        <f aca="false">O1399-R1399</f>
        <v>0</v>
      </c>
      <c r="U1399" s="892" t="n">
        <f aca="false">N1399-S1399</f>
        <v>0</v>
      </c>
    </row>
    <row r="1400" customFormat="false" ht="15" hidden="false" customHeight="true" outlineLevel="0" collapsed="false">
      <c r="A1400" s="881"/>
      <c r="B1400" s="1072" t="s">
        <v>86</v>
      </c>
      <c r="C1400" s="1072" t="n">
        <v>2024</v>
      </c>
      <c r="D1400" s="887" t="s">
        <v>6</v>
      </c>
      <c r="E1400" s="887" t="s">
        <v>2205</v>
      </c>
      <c r="F1400" s="887"/>
      <c r="G1400" s="1062"/>
      <c r="H1400" s="1077" t="n">
        <v>0</v>
      </c>
      <c r="I1400" s="1086"/>
      <c r="J1400" s="1086"/>
      <c r="K1400" s="1064" t="n">
        <f aca="false">H1400*I1400/100</f>
        <v>0</v>
      </c>
      <c r="L1400" s="1067" t="n">
        <v>1537</v>
      </c>
      <c r="M1400" s="1710" t="n">
        <v>1</v>
      </c>
      <c r="N1400" s="1073" t="n">
        <f aca="false">L1400*M1400</f>
        <v>1537</v>
      </c>
      <c r="O1400" s="1716" t="n">
        <f aca="false">H1400*N1400</f>
        <v>0</v>
      </c>
      <c r="P1400" s="888" t="s">
        <v>2204</v>
      </c>
      <c r="Q1400" s="889" t="n">
        <v>22112024</v>
      </c>
      <c r="R1400" s="1080" t="n">
        <v>0</v>
      </c>
      <c r="S1400" s="846" t="n">
        <v>1537</v>
      </c>
      <c r="T1400" s="1452" t="n">
        <f aca="false">O1400-R1400</f>
        <v>0</v>
      </c>
      <c r="U1400" s="1070" t="n">
        <f aca="false">N1400-S1400</f>
        <v>0</v>
      </c>
    </row>
    <row r="1401" customFormat="false" ht="15" hidden="false" customHeight="true" outlineLevel="0" collapsed="false">
      <c r="A1401" s="903" t="n">
        <v>79</v>
      </c>
      <c r="B1401" s="903" t="s">
        <v>2207</v>
      </c>
      <c r="C1401" s="903" t="n">
        <v>2024</v>
      </c>
      <c r="D1401" s="904" t="s">
        <v>6</v>
      </c>
      <c r="E1401" s="904" t="s">
        <v>2192</v>
      </c>
      <c r="F1401" s="904" t="s">
        <v>1651</v>
      </c>
      <c r="G1401" s="905"/>
      <c r="H1401" s="946" t="n">
        <v>30.4831</v>
      </c>
      <c r="I1401" s="947"/>
      <c r="J1401" s="947"/>
      <c r="K1401" s="939" t="n">
        <f aca="false">H1401*I1401/100</f>
        <v>0</v>
      </c>
      <c r="L1401" s="942" t="n">
        <v>21065</v>
      </c>
      <c r="M1401" s="1305" t="n">
        <v>1</v>
      </c>
      <c r="N1401" s="908" t="n">
        <f aca="false">L1401*M1401</f>
        <v>21065</v>
      </c>
      <c r="O1401" s="940" t="n">
        <f aca="false">H1401*N1401</f>
        <v>642126.5015</v>
      </c>
      <c r="P1401" s="910" t="s">
        <v>2193</v>
      </c>
      <c r="Q1401" s="911" t="s">
        <v>2823</v>
      </c>
      <c r="R1401" s="1025" t="n">
        <v>642126.5015</v>
      </c>
      <c r="S1401" s="891" t="n">
        <f aca="false">R1401/H1401</f>
        <v>21065</v>
      </c>
      <c r="T1401" s="948" t="n">
        <f aca="false">O1401-R1401</f>
        <v>0</v>
      </c>
      <c r="U1401" s="942" t="n">
        <f aca="false">N1401-S1401</f>
        <v>0</v>
      </c>
    </row>
    <row r="1402" customFormat="false" ht="15" hidden="false" customHeight="true" outlineLevel="0" collapsed="false">
      <c r="A1402" s="829" t="s">
        <v>2862</v>
      </c>
      <c r="B1402" s="830" t="s">
        <v>2207</v>
      </c>
      <c r="C1402" s="830" t="n">
        <v>2024</v>
      </c>
      <c r="D1402" s="831" t="s">
        <v>6</v>
      </c>
      <c r="E1402" s="831" t="s">
        <v>2192</v>
      </c>
      <c r="F1402" s="832" t="s">
        <v>1651</v>
      </c>
      <c r="G1402" s="833"/>
      <c r="H1402" s="834" t="n">
        <v>31.5465</v>
      </c>
      <c r="I1402" s="835"/>
      <c r="J1402" s="835"/>
      <c r="K1402" s="836" t="n">
        <f aca="false">H1402*I1402/100</f>
        <v>0</v>
      </c>
      <c r="L1402" s="837" t="n">
        <v>22730</v>
      </c>
      <c r="M1402" s="1303" t="n">
        <v>1</v>
      </c>
      <c r="N1402" s="837" t="n">
        <f aca="false">L1402*M1402</f>
        <v>22730</v>
      </c>
      <c r="O1402" s="943" t="n">
        <f aca="false">H1402*N1402</f>
        <v>717051.945</v>
      </c>
      <c r="P1402" s="838" t="s">
        <v>2197</v>
      </c>
      <c r="Q1402" s="839" t="s">
        <v>2863</v>
      </c>
      <c r="R1402" s="1139" t="n">
        <v>161833.545</v>
      </c>
      <c r="S1402" s="840" t="n">
        <f aca="false">R1402/H1402</f>
        <v>5130</v>
      </c>
      <c r="T1402" s="837" t="n">
        <f aca="false">O1402-R1402-R1403-R1404-R1405</f>
        <v>4.36557456851006E-011</v>
      </c>
      <c r="U1402" s="842" t="n">
        <f aca="false">N1402-S1402-S1403-S1404-S1405</f>
        <v>1.93267624126747E-012</v>
      </c>
    </row>
    <row r="1403" customFormat="false" ht="15" hidden="false" customHeight="true" outlineLevel="0" collapsed="false">
      <c r="A1403" s="829"/>
      <c r="B1403" s="830"/>
      <c r="C1403" s="830"/>
      <c r="D1403" s="860" t="s">
        <v>6</v>
      </c>
      <c r="E1403" s="860" t="s">
        <v>2192</v>
      </c>
      <c r="F1403" s="832"/>
      <c r="G1403" s="833"/>
      <c r="H1403" s="834"/>
      <c r="I1403" s="835"/>
      <c r="J1403" s="835"/>
      <c r="K1403" s="836"/>
      <c r="L1403" s="837"/>
      <c r="M1403" s="1303"/>
      <c r="N1403" s="837"/>
      <c r="O1403" s="943"/>
      <c r="P1403" s="868" t="s">
        <v>2197</v>
      </c>
      <c r="Q1403" s="869" t="s">
        <v>2864</v>
      </c>
      <c r="R1403" s="1018" t="n">
        <v>216251.2575</v>
      </c>
      <c r="S1403" s="866" t="n">
        <f aca="false">R1403/H1402</f>
        <v>6855</v>
      </c>
      <c r="T1403" s="837"/>
      <c r="U1403" s="842"/>
    </row>
    <row r="1404" customFormat="false" ht="15" hidden="false" customHeight="true" outlineLevel="0" collapsed="false">
      <c r="A1404" s="829"/>
      <c r="B1404" s="830"/>
      <c r="C1404" s="830"/>
      <c r="D1404" s="860" t="s">
        <v>6</v>
      </c>
      <c r="E1404" s="860" t="s">
        <v>2192</v>
      </c>
      <c r="F1404" s="832"/>
      <c r="G1404" s="833"/>
      <c r="H1404" s="834"/>
      <c r="I1404" s="835"/>
      <c r="J1404" s="835"/>
      <c r="K1404" s="836"/>
      <c r="L1404" s="837"/>
      <c r="M1404" s="1303"/>
      <c r="N1404" s="837"/>
      <c r="O1404" s="943"/>
      <c r="P1404" s="868" t="s">
        <v>2197</v>
      </c>
      <c r="Q1404" s="869" t="s">
        <v>2865</v>
      </c>
      <c r="R1404" s="1018" t="n">
        <v>315149.535</v>
      </c>
      <c r="S1404" s="866" t="n">
        <f aca="false">R1404/H1402</f>
        <v>9990</v>
      </c>
      <c r="T1404" s="837"/>
      <c r="U1404" s="842"/>
    </row>
    <row r="1405" customFormat="false" ht="15" hidden="false" customHeight="true" outlineLevel="0" collapsed="false">
      <c r="A1405" s="829"/>
      <c r="B1405" s="830"/>
      <c r="C1405" s="830"/>
      <c r="D1405" s="843" t="s">
        <v>6</v>
      </c>
      <c r="E1405" s="843" t="s">
        <v>2192</v>
      </c>
      <c r="F1405" s="832"/>
      <c r="G1405" s="833"/>
      <c r="H1405" s="834"/>
      <c r="I1405" s="835"/>
      <c r="J1405" s="835"/>
      <c r="K1405" s="836"/>
      <c r="L1405" s="837"/>
      <c r="M1405" s="1303"/>
      <c r="N1405" s="837"/>
      <c r="O1405" s="943"/>
      <c r="P1405" s="844" t="s">
        <v>2197</v>
      </c>
      <c r="Q1405" s="845" t="s">
        <v>2866</v>
      </c>
      <c r="R1405" s="901" t="n">
        <v>23817.6075</v>
      </c>
      <c r="S1405" s="846" t="n">
        <f aca="false">R1405/H1402</f>
        <v>755</v>
      </c>
      <c r="T1405" s="837"/>
      <c r="U1405" s="842"/>
    </row>
    <row r="1406" customFormat="false" ht="15" hidden="false" customHeight="true" outlineLevel="0" collapsed="false">
      <c r="A1406" s="881" t="n">
        <v>65</v>
      </c>
      <c r="B1406" s="829" t="s">
        <v>86</v>
      </c>
      <c r="C1406" s="830" t="n">
        <v>2024</v>
      </c>
      <c r="D1406" s="831" t="s">
        <v>6</v>
      </c>
      <c r="E1406" s="831" t="s">
        <v>2192</v>
      </c>
      <c r="F1406" s="832" t="s">
        <v>1650</v>
      </c>
      <c r="G1406" s="833"/>
      <c r="H1406" s="834" t="n">
        <v>96</v>
      </c>
      <c r="I1406" s="835"/>
      <c r="J1406" s="835"/>
      <c r="K1406" s="836" t="n">
        <f aca="false">H1406*I1406/100</f>
        <v>0</v>
      </c>
      <c r="L1406" s="837" t="n">
        <v>9930</v>
      </c>
      <c r="M1406" s="1303" t="n">
        <v>1</v>
      </c>
      <c r="N1406" s="837" t="n">
        <f aca="false">L1406*M1406</f>
        <v>9930</v>
      </c>
      <c r="O1406" s="943" t="n">
        <f aca="false">H1406*N1406</f>
        <v>953280</v>
      </c>
      <c r="P1406" s="838" t="s">
        <v>2193</v>
      </c>
      <c r="Q1406" s="839" t="s">
        <v>2745</v>
      </c>
      <c r="R1406" s="1139" t="n">
        <v>864000</v>
      </c>
      <c r="S1406" s="840" t="n">
        <f aca="false">R1406/H1406</f>
        <v>9000</v>
      </c>
      <c r="T1406" s="1017" t="n">
        <f aca="false">O1406-R1406-R1407</f>
        <v>0</v>
      </c>
      <c r="U1406" s="842" t="n">
        <f aca="false">N1406-S1406-S1407</f>
        <v>0</v>
      </c>
    </row>
    <row r="1407" customFormat="false" ht="15" hidden="false" customHeight="true" outlineLevel="0" collapsed="false">
      <c r="A1407" s="881"/>
      <c r="B1407" s="829"/>
      <c r="C1407" s="830"/>
      <c r="D1407" s="887" t="s">
        <v>6</v>
      </c>
      <c r="E1407" s="887" t="s">
        <v>2192</v>
      </c>
      <c r="F1407" s="832"/>
      <c r="G1407" s="833"/>
      <c r="H1407" s="834"/>
      <c r="I1407" s="835"/>
      <c r="J1407" s="835"/>
      <c r="K1407" s="836"/>
      <c r="L1407" s="837"/>
      <c r="M1407" s="1303"/>
      <c r="N1407" s="837"/>
      <c r="O1407" s="943"/>
      <c r="P1407" s="888" t="s">
        <v>2232</v>
      </c>
      <c r="Q1407" s="889" t="s">
        <v>2346</v>
      </c>
      <c r="R1407" s="1080" t="n">
        <v>89280</v>
      </c>
      <c r="S1407" s="890" t="n">
        <f aca="false">R1407/H1406</f>
        <v>930</v>
      </c>
      <c r="T1407" s="1017"/>
      <c r="U1407" s="842"/>
    </row>
    <row r="1408" customFormat="false" ht="15" hidden="false" customHeight="true" outlineLevel="0" collapsed="false">
      <c r="A1408" s="881"/>
      <c r="B1408" s="847" t="s">
        <v>86</v>
      </c>
      <c r="C1408" s="847" t="n">
        <v>2024</v>
      </c>
      <c r="D1408" s="848" t="s">
        <v>6</v>
      </c>
      <c r="E1408" s="848" t="s">
        <v>2242</v>
      </c>
      <c r="F1408" s="848"/>
      <c r="G1408" s="849"/>
      <c r="H1408" s="949" t="n">
        <v>39</v>
      </c>
      <c r="I1408" s="950"/>
      <c r="J1408" s="950"/>
      <c r="K1408" s="852" t="n">
        <f aca="false">H1408*I1408/100</f>
        <v>0</v>
      </c>
      <c r="L1408" s="537" t="n">
        <v>947</v>
      </c>
      <c r="M1408" s="1304" t="n">
        <v>1</v>
      </c>
      <c r="N1408" s="853" t="n">
        <f aca="false">L1408*M1408</f>
        <v>947</v>
      </c>
      <c r="O1408" s="951" t="n">
        <f aca="false">H1408*N1408</f>
        <v>36933</v>
      </c>
      <c r="P1408" s="856" t="s">
        <v>2200</v>
      </c>
      <c r="Q1408" s="857" t="s">
        <v>2826</v>
      </c>
      <c r="R1408" s="1025" t="n">
        <v>36933</v>
      </c>
      <c r="S1408" s="891" t="n">
        <f aca="false">R1408/H1408</f>
        <v>947</v>
      </c>
      <c r="T1408" s="953" t="n">
        <f aca="false">O1408-R1408</f>
        <v>0</v>
      </c>
      <c r="U1408" s="892" t="n">
        <f aca="false">N1408-S1408</f>
        <v>0</v>
      </c>
    </row>
    <row r="1409" customFormat="false" ht="15" hidden="false" customHeight="true" outlineLevel="0" collapsed="false">
      <c r="A1409" s="881"/>
      <c r="B1409" s="859" t="s">
        <v>86</v>
      </c>
      <c r="C1409" s="859" t="n">
        <v>2024</v>
      </c>
      <c r="D1409" s="860" t="s">
        <v>6</v>
      </c>
      <c r="E1409" s="860" t="s">
        <v>2241</v>
      </c>
      <c r="F1409" s="860"/>
      <c r="G1409" s="861"/>
      <c r="H1409" s="980" t="n">
        <v>12.3</v>
      </c>
      <c r="I1409" s="981"/>
      <c r="J1409" s="981"/>
      <c r="K1409" s="864" t="n">
        <f aca="false">H1409*I1409/100</f>
        <v>0</v>
      </c>
      <c r="L1409" s="543" t="n">
        <v>1251</v>
      </c>
      <c r="M1409" s="1300" t="n">
        <v>1</v>
      </c>
      <c r="N1409" s="865" t="n">
        <f aca="false">L1409*M1409</f>
        <v>1251</v>
      </c>
      <c r="O1409" s="1717" t="n">
        <f aca="false">H1409*N1409</f>
        <v>15387.3</v>
      </c>
      <c r="P1409" s="868" t="s">
        <v>2204</v>
      </c>
      <c r="Q1409" s="869" t="n">
        <v>22112024</v>
      </c>
      <c r="R1409" s="1018" t="n">
        <v>15387.3</v>
      </c>
      <c r="S1409" s="866" t="n">
        <f aca="false">R1409/H1409</f>
        <v>1251</v>
      </c>
      <c r="T1409" s="1449" t="n">
        <f aca="false">O1409-R1409</f>
        <v>0</v>
      </c>
      <c r="U1409" s="1135" t="n">
        <f aca="false">N1409-S1409</f>
        <v>0</v>
      </c>
    </row>
    <row r="1410" customFormat="false" ht="15" hidden="false" customHeight="true" outlineLevel="0" collapsed="false">
      <c r="A1410" s="881"/>
      <c r="B1410" s="893" t="s">
        <v>86</v>
      </c>
      <c r="C1410" s="893" t="n">
        <v>2024</v>
      </c>
      <c r="D1410" s="843" t="s">
        <v>6</v>
      </c>
      <c r="E1410" s="843" t="s">
        <v>2205</v>
      </c>
      <c r="F1410" s="843"/>
      <c r="G1410" s="894"/>
      <c r="H1410" s="1103" t="n">
        <v>0</v>
      </c>
      <c r="I1410" s="1104"/>
      <c r="J1410" s="1104"/>
      <c r="K1410" s="897" t="n">
        <f aca="false">H1410*I1410/100</f>
        <v>0</v>
      </c>
      <c r="L1410" s="589" t="n">
        <v>924</v>
      </c>
      <c r="M1410" s="1713" t="n">
        <v>1</v>
      </c>
      <c r="N1410" s="898" t="n">
        <f aca="false">L1410*M1410</f>
        <v>924</v>
      </c>
      <c r="O1410" s="1718" t="n">
        <f aca="false">H1410*N1410</f>
        <v>0</v>
      </c>
      <c r="P1410" s="844" t="s">
        <v>2204</v>
      </c>
      <c r="Q1410" s="845" t="n">
        <v>22112024</v>
      </c>
      <c r="R1410" s="901" t="n">
        <v>0</v>
      </c>
      <c r="S1410" s="846" t="n">
        <v>924</v>
      </c>
      <c r="T1410" s="1183" t="n">
        <f aca="false">O1410-R1410</f>
        <v>0</v>
      </c>
      <c r="U1410" s="902" t="n">
        <f aca="false">N1410-S1410</f>
        <v>0</v>
      </c>
    </row>
    <row r="1411" customFormat="false" ht="15" hidden="false" customHeight="true" outlineLevel="0" collapsed="false">
      <c r="A1411" s="1087" t="n">
        <v>90</v>
      </c>
      <c r="B1411" s="1061" t="s">
        <v>2207</v>
      </c>
      <c r="C1411" s="1061" t="n">
        <v>2024</v>
      </c>
      <c r="D1411" s="848" t="s">
        <v>6</v>
      </c>
      <c r="E1411" s="848" t="s">
        <v>2192</v>
      </c>
      <c r="F1411" s="887" t="s">
        <v>1652</v>
      </c>
      <c r="G1411" s="1062"/>
      <c r="H1411" s="1077" t="n">
        <v>49.2588</v>
      </c>
      <c r="I1411" s="1086"/>
      <c r="J1411" s="1086"/>
      <c r="K1411" s="1064" t="n">
        <f aca="false">H1411*I1411/100</f>
        <v>0</v>
      </c>
      <c r="L1411" s="1067" t="n">
        <v>17540</v>
      </c>
      <c r="M1411" s="1710" t="n">
        <v>1</v>
      </c>
      <c r="N1411" s="1067" t="n">
        <f aca="false">L1411*M1411</f>
        <v>17540</v>
      </c>
      <c r="O1411" s="1452" t="n">
        <f aca="false">H1411*N1411</f>
        <v>863999.352</v>
      </c>
      <c r="P1411" s="856" t="s">
        <v>2197</v>
      </c>
      <c r="Q1411" s="857" t="s">
        <v>2867</v>
      </c>
      <c r="R1411" s="1088" t="n">
        <v>492095.412</v>
      </c>
      <c r="S1411" s="854" t="n">
        <f aca="false">R1411/H1411</f>
        <v>9990</v>
      </c>
      <c r="T1411" s="1172" t="n">
        <f aca="false">O1411-R1411-R1412</f>
        <v>0</v>
      </c>
      <c r="U1411" s="1070" t="n">
        <f aca="false">N1411-S1411-S1412</f>
        <v>0</v>
      </c>
    </row>
    <row r="1412" customFormat="false" ht="15" hidden="false" customHeight="true" outlineLevel="0" collapsed="false">
      <c r="A1412" s="1087"/>
      <c r="B1412" s="1061"/>
      <c r="C1412" s="1061"/>
      <c r="D1412" s="887" t="s">
        <v>6</v>
      </c>
      <c r="E1412" s="887" t="s">
        <v>2192</v>
      </c>
      <c r="F1412" s="887"/>
      <c r="G1412" s="1062"/>
      <c r="H1412" s="1077"/>
      <c r="I1412" s="1086"/>
      <c r="J1412" s="1086"/>
      <c r="K1412" s="1064"/>
      <c r="L1412" s="1067"/>
      <c r="M1412" s="1710"/>
      <c r="N1412" s="1067"/>
      <c r="O1412" s="1452"/>
      <c r="P1412" s="888" t="s">
        <v>2197</v>
      </c>
      <c r="Q1412" s="889" t="s">
        <v>2868</v>
      </c>
      <c r="R1412" s="1080" t="n">
        <v>371903.94</v>
      </c>
      <c r="S1412" s="846" t="n">
        <f aca="false">R1412/H1411</f>
        <v>7550</v>
      </c>
      <c r="T1412" s="1172"/>
      <c r="U1412" s="1070"/>
    </row>
    <row r="1413" customFormat="false" ht="15" hidden="false" customHeight="true" outlineLevel="0" collapsed="false">
      <c r="A1413" s="903" t="n">
        <v>23</v>
      </c>
      <c r="B1413" s="903" t="s">
        <v>2230</v>
      </c>
      <c r="C1413" s="903" t="n">
        <v>2024</v>
      </c>
      <c r="D1413" s="904" t="s">
        <v>6</v>
      </c>
      <c r="E1413" s="904" t="s">
        <v>2192</v>
      </c>
      <c r="F1413" s="904" t="s">
        <v>1650</v>
      </c>
      <c r="G1413" s="905"/>
      <c r="H1413" s="946" t="n">
        <v>92.3409</v>
      </c>
      <c r="I1413" s="947"/>
      <c r="J1413" s="947"/>
      <c r="K1413" s="939" t="n">
        <f aca="false">H1413*I1413/100</f>
        <v>0</v>
      </c>
      <c r="L1413" s="942" t="n">
        <v>1980</v>
      </c>
      <c r="M1413" s="1305" t="n">
        <v>1</v>
      </c>
      <c r="N1413" s="942" t="n">
        <f aca="false">L1413*M1413</f>
        <v>1980</v>
      </c>
      <c r="O1413" s="948" t="n">
        <f aca="false">H1413*N1413</f>
        <v>182834.982</v>
      </c>
      <c r="P1413" s="910" t="s">
        <v>2197</v>
      </c>
      <c r="Q1413" s="911" t="s">
        <v>2869</v>
      </c>
      <c r="R1413" s="1025" t="n">
        <v>182834.982</v>
      </c>
      <c r="S1413" s="891" t="n">
        <f aca="false">R1413/H1413</f>
        <v>1980</v>
      </c>
      <c r="T1413" s="941" t="n">
        <f aca="false">O1413-R1413</f>
        <v>0</v>
      </c>
      <c r="U1413" s="942" t="n">
        <f aca="false">N1413-S1413</f>
        <v>0</v>
      </c>
    </row>
    <row r="1414" customFormat="false" ht="15" hidden="false" customHeight="true" outlineLevel="0" collapsed="false">
      <c r="A1414" s="829" t="n">
        <v>103</v>
      </c>
      <c r="B1414" s="830" t="s">
        <v>2207</v>
      </c>
      <c r="C1414" s="830" t="n">
        <v>2024</v>
      </c>
      <c r="D1414" s="831" t="s">
        <v>6</v>
      </c>
      <c r="E1414" s="831" t="s">
        <v>2192</v>
      </c>
      <c r="F1414" s="832" t="s">
        <v>1652</v>
      </c>
      <c r="G1414" s="833"/>
      <c r="H1414" s="834" t="n">
        <v>43.2443</v>
      </c>
      <c r="I1414" s="835"/>
      <c r="J1414" s="835"/>
      <c r="K1414" s="836" t="n">
        <f aca="false">H1414*I1414/100</f>
        <v>0</v>
      </c>
      <c r="L1414" s="837" t="n">
        <v>18378</v>
      </c>
      <c r="M1414" s="1303" t="n">
        <v>1</v>
      </c>
      <c r="N1414" s="837" t="n">
        <f aca="false">L1414*M1414</f>
        <v>18378</v>
      </c>
      <c r="O1414" s="943" t="n">
        <f aca="false">H1414*N1414</f>
        <v>794743.7454</v>
      </c>
      <c r="P1414" s="838" t="s">
        <v>2197</v>
      </c>
      <c r="Q1414" s="839" t="s">
        <v>2870</v>
      </c>
      <c r="R1414" s="1139" t="n">
        <v>432010.557</v>
      </c>
      <c r="S1414" s="840" t="n">
        <f aca="false">R1414/H1414</f>
        <v>9990</v>
      </c>
      <c r="T1414" s="837" t="n">
        <f aca="false">O1414-R1414-R1415</f>
        <v>0.000400000018998981</v>
      </c>
      <c r="U1414" s="842" t="n">
        <f aca="false">N1414-S1414-S1415</f>
        <v>9.2497757577803E-006</v>
      </c>
    </row>
    <row r="1415" customFormat="false" ht="15" hidden="false" customHeight="true" outlineLevel="0" collapsed="false">
      <c r="A1415" s="829"/>
      <c r="B1415" s="830"/>
      <c r="C1415" s="830"/>
      <c r="D1415" s="887" t="s">
        <v>6</v>
      </c>
      <c r="E1415" s="887" t="s">
        <v>2192</v>
      </c>
      <c r="F1415" s="832"/>
      <c r="G1415" s="833"/>
      <c r="H1415" s="834"/>
      <c r="I1415" s="835"/>
      <c r="J1415" s="835"/>
      <c r="K1415" s="836"/>
      <c r="L1415" s="837"/>
      <c r="M1415" s="1303"/>
      <c r="N1415" s="837"/>
      <c r="O1415" s="943"/>
      <c r="P1415" s="888" t="s">
        <v>2197</v>
      </c>
      <c r="Q1415" s="889" t="s">
        <v>2871</v>
      </c>
      <c r="R1415" s="1080" t="n">
        <v>362733.188</v>
      </c>
      <c r="S1415" s="890" t="n">
        <f aca="false">R1415/H1414</f>
        <v>8387.99999075023</v>
      </c>
      <c r="T1415" s="837"/>
      <c r="U1415" s="842"/>
    </row>
    <row r="1416" customFormat="false" ht="15" hidden="false" customHeight="true" outlineLevel="0" collapsed="false">
      <c r="A1416" s="903" t="n">
        <v>26</v>
      </c>
      <c r="B1416" s="903" t="s">
        <v>2230</v>
      </c>
      <c r="C1416" s="903" t="n">
        <v>2024</v>
      </c>
      <c r="D1416" s="904" t="s">
        <v>6</v>
      </c>
      <c r="E1416" s="904" t="s">
        <v>2192</v>
      </c>
      <c r="F1416" s="904" t="s">
        <v>2199</v>
      </c>
      <c r="G1416" s="905"/>
      <c r="H1416" s="946" t="n">
        <v>79.636</v>
      </c>
      <c r="I1416" s="947"/>
      <c r="J1416" s="947"/>
      <c r="K1416" s="939" t="n">
        <f aca="false">H1416*I1416/100</f>
        <v>0</v>
      </c>
      <c r="L1416" s="942" t="n">
        <v>3275</v>
      </c>
      <c r="M1416" s="1305" t="n">
        <v>1</v>
      </c>
      <c r="N1416" s="942" t="n">
        <f aca="false">L1416*M1416</f>
        <v>3275</v>
      </c>
      <c r="O1416" s="941" t="n">
        <f aca="false">H1416*N1416</f>
        <v>260807.9</v>
      </c>
      <c r="P1416" s="910" t="s">
        <v>2197</v>
      </c>
      <c r="Q1416" s="911" t="s">
        <v>2872</v>
      </c>
      <c r="R1416" s="1025" t="n">
        <v>260807.9</v>
      </c>
      <c r="S1416" s="891" t="n">
        <f aca="false">R1416/H1416</f>
        <v>3275</v>
      </c>
      <c r="T1416" s="941" t="n">
        <f aca="false">O1416-R1416</f>
        <v>0</v>
      </c>
      <c r="U1416" s="942" t="n">
        <f aca="false">N1416-S1416</f>
        <v>0</v>
      </c>
    </row>
    <row r="1417" customFormat="false" ht="15" hidden="false" customHeight="true" outlineLevel="0" collapsed="false">
      <c r="A1417" s="881" t="n">
        <v>75</v>
      </c>
      <c r="B1417" s="829" t="s">
        <v>86</v>
      </c>
      <c r="C1417" s="830" t="n">
        <v>2024</v>
      </c>
      <c r="D1417" s="831" t="s">
        <v>6</v>
      </c>
      <c r="E1417" s="831" t="s">
        <v>2192</v>
      </c>
      <c r="F1417" s="832" t="s">
        <v>1650</v>
      </c>
      <c r="G1417" s="833"/>
      <c r="H1417" s="834" t="n">
        <v>98</v>
      </c>
      <c r="I1417" s="835"/>
      <c r="J1417" s="835"/>
      <c r="K1417" s="836" t="n">
        <f aca="false">H1417*I1417/100</f>
        <v>0</v>
      </c>
      <c r="L1417" s="837" t="n">
        <v>27993</v>
      </c>
      <c r="M1417" s="1303" t="n">
        <v>1</v>
      </c>
      <c r="N1417" s="837" t="n">
        <f aca="false">L1417*M1417</f>
        <v>27993</v>
      </c>
      <c r="O1417" s="1017" t="n">
        <f aca="false">H1417*N1417</f>
        <v>2743314</v>
      </c>
      <c r="P1417" s="838" t="s">
        <v>2193</v>
      </c>
      <c r="Q1417" s="839" t="s">
        <v>2769</v>
      </c>
      <c r="R1417" s="1139" t="n">
        <v>112700</v>
      </c>
      <c r="S1417" s="886" t="n">
        <f aca="false">R1417/H1417</f>
        <v>1150</v>
      </c>
      <c r="T1417" s="1017" t="n">
        <f aca="false">O1417-R1417-R1418-R1420-R1419</f>
        <v>0</v>
      </c>
      <c r="U1417" s="842" t="n">
        <f aca="false">N1417-S1417-S1418-S1420-S1419</f>
        <v>0</v>
      </c>
    </row>
    <row r="1418" customFormat="false" ht="15" hidden="false" customHeight="true" outlineLevel="0" collapsed="false">
      <c r="A1418" s="881"/>
      <c r="B1418" s="829"/>
      <c r="C1418" s="830"/>
      <c r="D1418" s="848" t="s">
        <v>6</v>
      </c>
      <c r="E1418" s="848" t="s">
        <v>2192</v>
      </c>
      <c r="F1418" s="832"/>
      <c r="G1418" s="833"/>
      <c r="H1418" s="834"/>
      <c r="I1418" s="835"/>
      <c r="J1418" s="835"/>
      <c r="K1418" s="836"/>
      <c r="L1418" s="837"/>
      <c r="M1418" s="1303"/>
      <c r="N1418" s="837"/>
      <c r="O1418" s="1017"/>
      <c r="P1418" s="856" t="s">
        <v>2193</v>
      </c>
      <c r="Q1418" s="857" t="s">
        <v>2873</v>
      </c>
      <c r="R1418" s="1088" t="n">
        <v>1454614</v>
      </c>
      <c r="S1418" s="866" t="n">
        <f aca="false">R1418/H1417</f>
        <v>14843</v>
      </c>
      <c r="T1418" s="1017"/>
      <c r="U1418" s="842"/>
    </row>
    <row r="1419" customFormat="false" ht="15" hidden="false" customHeight="true" outlineLevel="0" collapsed="false">
      <c r="A1419" s="881"/>
      <c r="B1419" s="829"/>
      <c r="C1419" s="830"/>
      <c r="D1419" s="848" t="s">
        <v>6</v>
      </c>
      <c r="E1419" s="848" t="s">
        <v>2192</v>
      </c>
      <c r="F1419" s="832"/>
      <c r="G1419" s="833"/>
      <c r="H1419" s="834"/>
      <c r="I1419" s="835"/>
      <c r="J1419" s="835"/>
      <c r="K1419" s="836"/>
      <c r="L1419" s="837"/>
      <c r="M1419" s="1303"/>
      <c r="N1419" s="837"/>
      <c r="O1419" s="1017"/>
      <c r="P1419" s="856" t="s">
        <v>2197</v>
      </c>
      <c r="Q1419" s="857" t="s">
        <v>2874</v>
      </c>
      <c r="R1419" s="1088" t="n">
        <v>979020</v>
      </c>
      <c r="S1419" s="866" t="n">
        <f aca="false">R1419/H1417</f>
        <v>9990</v>
      </c>
      <c r="T1419" s="1017"/>
      <c r="U1419" s="842"/>
    </row>
    <row r="1420" customFormat="false" ht="15" hidden="false" customHeight="true" outlineLevel="0" collapsed="false">
      <c r="A1420" s="881"/>
      <c r="B1420" s="829"/>
      <c r="C1420" s="830"/>
      <c r="D1420" s="887" t="s">
        <v>6</v>
      </c>
      <c r="E1420" s="887" t="s">
        <v>2192</v>
      </c>
      <c r="F1420" s="832"/>
      <c r="G1420" s="833"/>
      <c r="H1420" s="834"/>
      <c r="I1420" s="835"/>
      <c r="J1420" s="835"/>
      <c r="K1420" s="836"/>
      <c r="L1420" s="837"/>
      <c r="M1420" s="1303"/>
      <c r="N1420" s="837"/>
      <c r="O1420" s="1017"/>
      <c r="P1420" s="888" t="s">
        <v>2197</v>
      </c>
      <c r="Q1420" s="889" t="s">
        <v>2875</v>
      </c>
      <c r="R1420" s="1080" t="n">
        <v>196980</v>
      </c>
      <c r="S1420" s="846" t="n">
        <f aca="false">R1420/H1417</f>
        <v>2010</v>
      </c>
      <c r="T1420" s="1017"/>
      <c r="U1420" s="842"/>
    </row>
    <row r="1421" customFormat="false" ht="15" hidden="false" customHeight="true" outlineLevel="0" collapsed="false">
      <c r="A1421" s="881"/>
      <c r="B1421" s="847" t="s">
        <v>86</v>
      </c>
      <c r="C1421" s="847" t="n">
        <v>2024</v>
      </c>
      <c r="D1421" s="848" t="s">
        <v>6</v>
      </c>
      <c r="E1421" s="848" t="s">
        <v>2203</v>
      </c>
      <c r="F1421" s="848"/>
      <c r="G1421" s="849"/>
      <c r="H1421" s="949" t="n">
        <v>25.2</v>
      </c>
      <c r="I1421" s="950"/>
      <c r="J1421" s="950"/>
      <c r="K1421" s="852" t="n">
        <f aca="false">H1421*I1421/100</f>
        <v>0</v>
      </c>
      <c r="L1421" s="537" t="n">
        <v>4972</v>
      </c>
      <c r="M1421" s="1304" t="n">
        <v>1</v>
      </c>
      <c r="N1421" s="537" t="n">
        <f aca="false">L1421*M1421</f>
        <v>4972</v>
      </c>
      <c r="O1421" s="1009" t="n">
        <f aca="false">H1421*N1421</f>
        <v>125294.4</v>
      </c>
      <c r="P1421" s="856" t="s">
        <v>2200</v>
      </c>
      <c r="Q1421" s="857" t="s">
        <v>2826</v>
      </c>
      <c r="R1421" s="1088" t="n">
        <v>125294.4</v>
      </c>
      <c r="S1421" s="854" t="n">
        <f aca="false">R1421/H1421</f>
        <v>4972</v>
      </c>
      <c r="T1421" s="1009" t="n">
        <f aca="false">O1421-R1421</f>
        <v>0</v>
      </c>
      <c r="U1421" s="892" t="n">
        <f aca="false">N1421-S1421</f>
        <v>0</v>
      </c>
    </row>
    <row r="1422" customFormat="false" ht="15" hidden="false" customHeight="true" outlineLevel="0" collapsed="false">
      <c r="A1422" s="881"/>
      <c r="B1422" s="847" t="s">
        <v>86</v>
      </c>
      <c r="C1422" s="847" t="n">
        <v>2024</v>
      </c>
      <c r="D1422" s="848" t="s">
        <v>6</v>
      </c>
      <c r="E1422" s="848" t="s">
        <v>2241</v>
      </c>
      <c r="F1422" s="848"/>
      <c r="G1422" s="849"/>
      <c r="H1422" s="949" t="n">
        <v>2.6</v>
      </c>
      <c r="I1422" s="950"/>
      <c r="J1422" s="950"/>
      <c r="K1422" s="852" t="n">
        <f aca="false">H1422*I1422/100</f>
        <v>0</v>
      </c>
      <c r="L1422" s="537" t="n">
        <v>647</v>
      </c>
      <c r="M1422" s="1304" t="n">
        <v>1</v>
      </c>
      <c r="N1422" s="537" t="n">
        <f aca="false">L1422*M1422</f>
        <v>647</v>
      </c>
      <c r="O1422" s="1009" t="n">
        <f aca="false">H1422*N1422</f>
        <v>1682.2</v>
      </c>
      <c r="P1422" s="856" t="s">
        <v>2204</v>
      </c>
      <c r="Q1422" s="857" t="n">
        <v>22112024</v>
      </c>
      <c r="R1422" s="1088" t="n">
        <v>1682.2</v>
      </c>
      <c r="S1422" s="866" t="n">
        <f aca="false">R1422/H1422</f>
        <v>647</v>
      </c>
      <c r="T1422" s="1009" t="n">
        <f aca="false">O1422-R1422</f>
        <v>0</v>
      </c>
      <c r="U1422" s="892" t="n">
        <f aca="false">N1422-S1422</f>
        <v>0</v>
      </c>
    </row>
    <row r="1423" customFormat="false" ht="15" hidden="false" customHeight="true" outlineLevel="0" collapsed="false">
      <c r="A1423" s="881"/>
      <c r="B1423" s="1072" t="s">
        <v>86</v>
      </c>
      <c r="C1423" s="1072" t="n">
        <v>2024</v>
      </c>
      <c r="D1423" s="887" t="s">
        <v>6</v>
      </c>
      <c r="E1423" s="887" t="s">
        <v>2205</v>
      </c>
      <c r="F1423" s="887"/>
      <c r="G1423" s="1062"/>
      <c r="H1423" s="1077" t="n">
        <v>2.2</v>
      </c>
      <c r="I1423" s="1086"/>
      <c r="J1423" s="1086"/>
      <c r="K1423" s="1064" t="n">
        <f aca="false">H1423*I1423/100</f>
        <v>0</v>
      </c>
      <c r="L1423" s="1067" t="n">
        <v>2766</v>
      </c>
      <c r="M1423" s="1710" t="n">
        <v>1</v>
      </c>
      <c r="N1423" s="1067" t="n">
        <f aca="false">L1423*M1423</f>
        <v>2766</v>
      </c>
      <c r="O1423" s="1172" t="n">
        <f aca="false">H1423*N1423</f>
        <v>6085.2</v>
      </c>
      <c r="P1423" s="888" t="s">
        <v>2200</v>
      </c>
      <c r="Q1423" s="889" t="s">
        <v>2826</v>
      </c>
      <c r="R1423" s="1080" t="n">
        <v>6085.2</v>
      </c>
      <c r="S1423" s="866" t="n">
        <f aca="false">R1423/H1423</f>
        <v>2766</v>
      </c>
      <c r="T1423" s="1172" t="n">
        <f aca="false">O1423-R1423</f>
        <v>0</v>
      </c>
      <c r="U1423" s="1070" t="n">
        <f aca="false">N1423-S1423</f>
        <v>0</v>
      </c>
    </row>
    <row r="1424" customFormat="false" ht="15" hidden="false" customHeight="true" outlineLevel="0" collapsed="false">
      <c r="A1424" s="829" t="n">
        <v>118</v>
      </c>
      <c r="B1424" s="830" t="s">
        <v>2207</v>
      </c>
      <c r="C1424" s="830" t="n">
        <v>2024</v>
      </c>
      <c r="D1424" s="831" t="s">
        <v>6</v>
      </c>
      <c r="E1424" s="831" t="s">
        <v>2192</v>
      </c>
      <c r="F1424" s="832" t="s">
        <v>1651</v>
      </c>
      <c r="G1424" s="833"/>
      <c r="H1424" s="834" t="n">
        <v>37.5291</v>
      </c>
      <c r="I1424" s="835"/>
      <c r="J1424" s="835"/>
      <c r="K1424" s="836" t="n">
        <f aca="false">H1424*I1424/100</f>
        <v>0</v>
      </c>
      <c r="L1424" s="837" t="n">
        <v>3003</v>
      </c>
      <c r="M1424" s="1303" t="n">
        <v>1</v>
      </c>
      <c r="N1424" s="837" t="n">
        <f aca="false">L1424*M1424</f>
        <v>3003</v>
      </c>
      <c r="O1424" s="1017" t="n">
        <f aca="false">H1424*N1424</f>
        <v>112699.8873</v>
      </c>
      <c r="P1424" s="838" t="s">
        <v>2197</v>
      </c>
      <c r="Q1424" s="839" t="s">
        <v>2876</v>
      </c>
      <c r="R1424" s="1139" t="n">
        <v>67552.38</v>
      </c>
      <c r="S1424" s="886" t="n">
        <f aca="false">R1424/H1424</f>
        <v>1800</v>
      </c>
      <c r="T1424" s="837" t="n">
        <f aca="false">O1424-R1424-R1425</f>
        <v>0.00029999999969732</v>
      </c>
      <c r="U1424" s="842" t="n">
        <f aca="false">N1424-S1424-S1425</f>
        <v>7.99379654381482E-006</v>
      </c>
    </row>
    <row r="1425" customFormat="false" ht="15" hidden="false" customHeight="true" outlineLevel="0" collapsed="false">
      <c r="A1425" s="829"/>
      <c r="B1425" s="830"/>
      <c r="C1425" s="830"/>
      <c r="D1425" s="887" t="s">
        <v>6</v>
      </c>
      <c r="E1425" s="887" t="s">
        <v>2192</v>
      </c>
      <c r="F1425" s="832"/>
      <c r="G1425" s="833"/>
      <c r="H1425" s="834"/>
      <c r="I1425" s="835"/>
      <c r="J1425" s="835"/>
      <c r="K1425" s="836"/>
      <c r="L1425" s="837"/>
      <c r="M1425" s="1303"/>
      <c r="N1425" s="837"/>
      <c r="O1425" s="1017"/>
      <c r="P1425" s="888" t="s">
        <v>2197</v>
      </c>
      <c r="Q1425" s="889" t="s">
        <v>2877</v>
      </c>
      <c r="R1425" s="1080" t="n">
        <v>45147.507</v>
      </c>
      <c r="S1425" s="846" t="n">
        <f aca="false">R1425/H1424</f>
        <v>1202.9999920062</v>
      </c>
      <c r="T1425" s="837"/>
      <c r="U1425" s="842"/>
    </row>
    <row r="1426" customFormat="false" ht="15" hidden="false" customHeight="true" outlineLevel="0" collapsed="false">
      <c r="A1426" s="1027" t="n">
        <v>119</v>
      </c>
      <c r="B1426" s="1028" t="s">
        <v>2207</v>
      </c>
      <c r="C1426" s="1028" t="n">
        <v>2024</v>
      </c>
      <c r="D1426" s="831" t="s">
        <v>6</v>
      </c>
      <c r="E1426" s="831" t="s">
        <v>2192</v>
      </c>
      <c r="F1426" s="1328" t="s">
        <v>1652</v>
      </c>
      <c r="G1426" s="1030"/>
      <c r="H1426" s="1031" t="n">
        <v>49.3692</v>
      </c>
      <c r="I1426" s="1032"/>
      <c r="J1426" s="1032"/>
      <c r="K1426" s="1033" t="n">
        <f aca="false">H1426*I1426/100</f>
        <v>0</v>
      </c>
      <c r="L1426" s="1036" t="n">
        <v>29464</v>
      </c>
      <c r="M1426" s="1708" t="n">
        <v>1</v>
      </c>
      <c r="N1426" s="1036" t="n">
        <f aca="false">L1426*M1426</f>
        <v>29464</v>
      </c>
      <c r="O1426" s="1529" t="n">
        <f aca="false">H1426*N1426</f>
        <v>1454614.1088</v>
      </c>
      <c r="P1426" s="838" t="s">
        <v>2197</v>
      </c>
      <c r="Q1426" s="839" t="s">
        <v>2878</v>
      </c>
      <c r="R1426" s="1139" t="n">
        <v>493198.308</v>
      </c>
      <c r="S1426" s="886" t="n">
        <f aca="false">R1426/H1426</f>
        <v>9990</v>
      </c>
      <c r="T1426" s="1547" t="n">
        <f aca="false">O1426-R1426-R1427-R1428</f>
        <v>0</v>
      </c>
      <c r="U1426" s="1037" t="n">
        <f aca="false">N1426-S1426-S1427-S1428</f>
        <v>0</v>
      </c>
    </row>
    <row r="1427" customFormat="false" ht="15" hidden="false" customHeight="true" outlineLevel="0" collapsed="false">
      <c r="A1427" s="1027"/>
      <c r="B1427" s="1028"/>
      <c r="C1427" s="1028"/>
      <c r="D1427" s="860" t="s">
        <v>6</v>
      </c>
      <c r="E1427" s="860" t="s">
        <v>2192</v>
      </c>
      <c r="F1427" s="1328"/>
      <c r="G1427" s="1030"/>
      <c r="H1427" s="1031"/>
      <c r="I1427" s="1032"/>
      <c r="J1427" s="1032"/>
      <c r="K1427" s="1033"/>
      <c r="L1427" s="1036"/>
      <c r="M1427" s="1708"/>
      <c r="N1427" s="1036"/>
      <c r="O1427" s="1529"/>
      <c r="P1427" s="868" t="s">
        <v>2197</v>
      </c>
      <c r="Q1427" s="869" t="s">
        <v>2879</v>
      </c>
      <c r="R1427" s="1018" t="n">
        <v>493198.308</v>
      </c>
      <c r="S1427" s="866" t="n">
        <f aca="false">R1427/H1426</f>
        <v>9990</v>
      </c>
      <c r="T1427" s="1547"/>
      <c r="U1427" s="1037"/>
    </row>
    <row r="1428" customFormat="false" ht="15" hidden="false" customHeight="true" outlineLevel="0" collapsed="false">
      <c r="A1428" s="1027"/>
      <c r="B1428" s="1028"/>
      <c r="C1428" s="1028"/>
      <c r="D1428" s="871" t="s">
        <v>6</v>
      </c>
      <c r="E1428" s="871" t="s">
        <v>2192</v>
      </c>
      <c r="F1428" s="1328"/>
      <c r="G1428" s="1030"/>
      <c r="H1428" s="1031"/>
      <c r="I1428" s="1032"/>
      <c r="J1428" s="1032"/>
      <c r="K1428" s="1033"/>
      <c r="L1428" s="1036"/>
      <c r="M1428" s="1708"/>
      <c r="N1428" s="1036"/>
      <c r="O1428" s="1529"/>
      <c r="P1428" s="879" t="s">
        <v>2197</v>
      </c>
      <c r="Q1428" s="880" t="s">
        <v>2880</v>
      </c>
      <c r="R1428" s="1038" t="n">
        <v>468217.4928</v>
      </c>
      <c r="S1428" s="891" t="n">
        <f aca="false">R1428/H1426</f>
        <v>9484</v>
      </c>
      <c r="T1428" s="1547"/>
      <c r="U1428" s="1037"/>
    </row>
    <row r="1429" customFormat="false" ht="15" hidden="false" customHeight="true" outlineLevel="0" collapsed="false">
      <c r="A1429" s="881" t="n">
        <v>81</v>
      </c>
      <c r="B1429" s="882" t="s">
        <v>86</v>
      </c>
      <c r="C1429" s="883" t="n">
        <v>2024</v>
      </c>
      <c r="D1429" s="831" t="s">
        <v>6</v>
      </c>
      <c r="E1429" s="831" t="s">
        <v>2192</v>
      </c>
      <c r="F1429" s="832" t="s">
        <v>1650</v>
      </c>
      <c r="G1429" s="833"/>
      <c r="H1429" s="834" t="n">
        <v>97.1</v>
      </c>
      <c r="I1429" s="835"/>
      <c r="J1429" s="835"/>
      <c r="K1429" s="836" t="n">
        <f aca="false">H1429*I1429/100</f>
        <v>0</v>
      </c>
      <c r="L1429" s="837" t="n">
        <v>5923</v>
      </c>
      <c r="M1429" s="1303" t="n">
        <v>1</v>
      </c>
      <c r="N1429" s="837" t="n">
        <f aca="false">L1429*M1429</f>
        <v>5923</v>
      </c>
      <c r="O1429" s="1017" t="n">
        <f aca="false">H1429*N1429</f>
        <v>575123.3</v>
      </c>
      <c r="P1429" s="884" t="s">
        <v>2197</v>
      </c>
      <c r="Q1429" s="885" t="s">
        <v>2881</v>
      </c>
      <c r="R1429" s="1016" t="n">
        <v>145650</v>
      </c>
      <c r="S1429" s="886" t="n">
        <f aca="false">R1429/H1429</f>
        <v>1500</v>
      </c>
      <c r="T1429" s="837" t="n">
        <f aca="false">O1429-R1429-R1431-R1430</f>
        <v>-7.27595761418343E-011</v>
      </c>
      <c r="U1429" s="842" t="n">
        <f aca="false">N1429-S1429-S1431-S1430</f>
        <v>-5.11590769747272E-013</v>
      </c>
    </row>
    <row r="1430" customFormat="false" ht="15" hidden="false" customHeight="true" outlineLevel="0" collapsed="false">
      <c r="A1430" s="881"/>
      <c r="B1430" s="882"/>
      <c r="C1430" s="883"/>
      <c r="D1430" s="860" t="s">
        <v>6</v>
      </c>
      <c r="E1430" s="860" t="s">
        <v>2192</v>
      </c>
      <c r="F1430" s="832"/>
      <c r="G1430" s="833"/>
      <c r="H1430" s="834"/>
      <c r="I1430" s="835"/>
      <c r="J1430" s="835"/>
      <c r="K1430" s="836"/>
      <c r="L1430" s="837"/>
      <c r="M1430" s="1303"/>
      <c r="N1430" s="837"/>
      <c r="O1430" s="1017"/>
      <c r="P1430" s="868" t="s">
        <v>2193</v>
      </c>
      <c r="Q1430" s="869" t="s">
        <v>2882</v>
      </c>
      <c r="R1430" s="1018" t="n">
        <v>41073.3</v>
      </c>
      <c r="S1430" s="866" t="n">
        <f aca="false">R1430/H1429</f>
        <v>423</v>
      </c>
      <c r="T1430" s="837"/>
      <c r="U1430" s="842"/>
    </row>
    <row r="1431" customFormat="false" ht="15" hidden="false" customHeight="true" outlineLevel="0" collapsed="false">
      <c r="A1431" s="881"/>
      <c r="B1431" s="882"/>
      <c r="C1431" s="883"/>
      <c r="D1431" s="887" t="s">
        <v>6</v>
      </c>
      <c r="E1431" s="887" t="s">
        <v>2192</v>
      </c>
      <c r="F1431" s="832"/>
      <c r="G1431" s="833"/>
      <c r="H1431" s="834"/>
      <c r="I1431" s="835"/>
      <c r="J1431" s="835"/>
      <c r="K1431" s="836"/>
      <c r="L1431" s="837"/>
      <c r="M1431" s="1303"/>
      <c r="N1431" s="837"/>
      <c r="O1431" s="1017"/>
      <c r="P1431" s="888" t="s">
        <v>2197</v>
      </c>
      <c r="Q1431" s="889" t="s">
        <v>2883</v>
      </c>
      <c r="R1431" s="1080" t="n">
        <v>388400</v>
      </c>
      <c r="S1431" s="890" t="n">
        <f aca="false">R1431/H1429</f>
        <v>4000</v>
      </c>
      <c r="T1431" s="837"/>
      <c r="U1431" s="842"/>
    </row>
    <row r="1432" customFormat="false" ht="15" hidden="false" customHeight="true" outlineLevel="0" collapsed="false">
      <c r="A1432" s="881"/>
      <c r="B1432" s="847" t="s">
        <v>86</v>
      </c>
      <c r="C1432" s="847" t="n">
        <v>2024</v>
      </c>
      <c r="D1432" s="848" t="s">
        <v>6</v>
      </c>
      <c r="E1432" s="848" t="s">
        <v>2203</v>
      </c>
      <c r="F1432" s="848"/>
      <c r="G1432" s="849"/>
      <c r="H1432" s="949" t="n">
        <v>31</v>
      </c>
      <c r="I1432" s="950"/>
      <c r="J1432" s="950"/>
      <c r="K1432" s="939" t="n">
        <f aca="false">H1432*I1432/100</f>
        <v>0</v>
      </c>
      <c r="L1432" s="537" t="n">
        <v>1039</v>
      </c>
      <c r="M1432" s="1304" t="n">
        <v>1</v>
      </c>
      <c r="N1432" s="942" t="n">
        <f aca="false">L1432*M1432</f>
        <v>1039</v>
      </c>
      <c r="O1432" s="941" t="n">
        <f aca="false">H1432*N1432</f>
        <v>32209</v>
      </c>
      <c r="P1432" s="856" t="s">
        <v>2200</v>
      </c>
      <c r="Q1432" s="857" t="s">
        <v>2826</v>
      </c>
      <c r="R1432" s="1088" t="n">
        <v>32209</v>
      </c>
      <c r="S1432" s="854" t="n">
        <f aca="false">R1432/H1432</f>
        <v>1039</v>
      </c>
      <c r="T1432" s="1058" t="n">
        <f aca="false">O1432-R1432</f>
        <v>0</v>
      </c>
      <c r="U1432" s="1026" t="n">
        <f aca="false">N1432-S1432</f>
        <v>0</v>
      </c>
    </row>
    <row r="1433" customFormat="false" ht="15" hidden="false" customHeight="true" outlineLevel="0" collapsed="false">
      <c r="A1433" s="881"/>
      <c r="B1433" s="859" t="s">
        <v>86</v>
      </c>
      <c r="C1433" s="859" t="n">
        <v>2024</v>
      </c>
      <c r="D1433" s="860" t="s">
        <v>6</v>
      </c>
      <c r="E1433" s="860" t="s">
        <v>2241</v>
      </c>
      <c r="F1433" s="860"/>
      <c r="G1433" s="861"/>
      <c r="H1433" s="980" t="n">
        <v>1.3</v>
      </c>
      <c r="I1433" s="981"/>
      <c r="J1433" s="981"/>
      <c r="K1433" s="875" t="n">
        <f aca="false">H1433*I1433/100</f>
        <v>0</v>
      </c>
      <c r="L1433" s="543" t="n">
        <v>70</v>
      </c>
      <c r="M1433" s="1300" t="n">
        <v>1</v>
      </c>
      <c r="N1433" s="553" t="n">
        <f aca="false">L1433*M1433</f>
        <v>70</v>
      </c>
      <c r="O1433" s="1014" t="n">
        <f aca="false">H1433*N1433</f>
        <v>91</v>
      </c>
      <c r="P1433" s="868" t="s">
        <v>2204</v>
      </c>
      <c r="Q1433" s="869" t="n">
        <v>31012025</v>
      </c>
      <c r="R1433" s="1018" t="n">
        <v>91</v>
      </c>
      <c r="S1433" s="854" t="n">
        <f aca="false">R1433/H1433</f>
        <v>70</v>
      </c>
      <c r="T1433" s="1404" t="n">
        <f aca="false">O1433-R1433</f>
        <v>0</v>
      </c>
      <c r="U1433" s="1293" t="n">
        <f aca="false">N1433-S1433</f>
        <v>0</v>
      </c>
    </row>
    <row r="1434" customFormat="false" ht="15" hidden="false" customHeight="true" outlineLevel="0" collapsed="false">
      <c r="A1434" s="881"/>
      <c r="B1434" s="893" t="s">
        <v>86</v>
      </c>
      <c r="C1434" s="893" t="n">
        <v>2024</v>
      </c>
      <c r="D1434" s="843" t="s">
        <v>6</v>
      </c>
      <c r="E1434" s="843" t="s">
        <v>2205</v>
      </c>
      <c r="F1434" s="843"/>
      <c r="G1434" s="894"/>
      <c r="H1434" s="1103" t="n">
        <v>5</v>
      </c>
      <c r="I1434" s="1104"/>
      <c r="J1434" s="1104"/>
      <c r="K1434" s="897" t="n">
        <f aca="false">H1434*I1434/100</f>
        <v>0</v>
      </c>
      <c r="L1434" s="589" t="n">
        <v>553</v>
      </c>
      <c r="M1434" s="1713" t="n">
        <v>1</v>
      </c>
      <c r="N1434" s="589" t="n">
        <f aca="false">L1434*M1434</f>
        <v>553</v>
      </c>
      <c r="O1434" s="1395" t="n">
        <f aca="false">H1434*N1434</f>
        <v>2765</v>
      </c>
      <c r="P1434" s="844" t="s">
        <v>2204</v>
      </c>
      <c r="Q1434" s="845" t="n">
        <v>31012025</v>
      </c>
      <c r="R1434" s="901" t="n">
        <v>2765</v>
      </c>
      <c r="S1434" s="890" t="n">
        <f aca="false">R1434/H1434</f>
        <v>553</v>
      </c>
      <c r="T1434" s="1441" t="n">
        <f aca="false">O1434-R1434</f>
        <v>0</v>
      </c>
      <c r="U1434" s="902" t="n">
        <f aca="false">N1434-S1434</f>
        <v>0</v>
      </c>
    </row>
    <row r="1435" customFormat="false" ht="15" hidden="false" customHeight="true" outlineLevel="0" collapsed="false">
      <c r="A1435" s="847" t="n">
        <v>127</v>
      </c>
      <c r="B1435" s="847" t="s">
        <v>81</v>
      </c>
      <c r="C1435" s="847" t="n">
        <v>2024</v>
      </c>
      <c r="D1435" s="848" t="s">
        <v>6</v>
      </c>
      <c r="E1435" s="848" t="s">
        <v>2192</v>
      </c>
      <c r="F1435" s="848" t="s">
        <v>2199</v>
      </c>
      <c r="G1435" s="849"/>
      <c r="H1435" s="949" t="n">
        <v>79.5</v>
      </c>
      <c r="I1435" s="950"/>
      <c r="J1435" s="947"/>
      <c r="K1435" s="939" t="n">
        <f aca="false">H1435*I1435/100</f>
        <v>0</v>
      </c>
      <c r="L1435" s="942" t="n">
        <v>3880</v>
      </c>
      <c r="M1435" s="1305" t="n">
        <v>1</v>
      </c>
      <c r="N1435" s="942" t="n">
        <f aca="false">L1435*M1435</f>
        <v>3880</v>
      </c>
      <c r="O1435" s="941" t="n">
        <f aca="false">H1435*N1435</f>
        <v>308460</v>
      </c>
      <c r="P1435" s="856" t="s">
        <v>2200</v>
      </c>
      <c r="Q1435" s="857" t="s">
        <v>2884</v>
      </c>
      <c r="R1435" s="1088" t="n">
        <v>308460</v>
      </c>
      <c r="S1435" s="854" t="n">
        <f aca="false">R1435/H1435</f>
        <v>3880</v>
      </c>
      <c r="T1435" s="1058" t="n">
        <f aca="false">O1435-R1435</f>
        <v>0</v>
      </c>
      <c r="U1435" s="1026" t="n">
        <f aca="false">N1435-S1435</f>
        <v>0</v>
      </c>
    </row>
    <row r="1436" customFormat="false" ht="15" hidden="false" customHeight="true" outlineLevel="0" collapsed="false">
      <c r="A1436" s="847" t="n">
        <v>152</v>
      </c>
      <c r="B1436" s="847" t="s">
        <v>81</v>
      </c>
      <c r="C1436" s="847" t="n">
        <v>2024</v>
      </c>
      <c r="D1436" s="848" t="s">
        <v>6</v>
      </c>
      <c r="E1436" s="848" t="s">
        <v>2192</v>
      </c>
      <c r="F1436" s="848" t="s">
        <v>2199</v>
      </c>
      <c r="G1436" s="849"/>
      <c r="H1436" s="949" t="n">
        <v>80.2</v>
      </c>
      <c r="I1436" s="950"/>
      <c r="J1436" s="981"/>
      <c r="K1436" s="864" t="n">
        <f aca="false">H1436*I1436/100</f>
        <v>0</v>
      </c>
      <c r="L1436" s="543" t="n">
        <v>35640</v>
      </c>
      <c r="M1436" s="1300" t="n">
        <v>1</v>
      </c>
      <c r="N1436" s="543" t="n">
        <f aca="false">L1436*M1436</f>
        <v>35640</v>
      </c>
      <c r="O1436" s="968" t="n">
        <f aca="false">H1436*N1436</f>
        <v>2858328</v>
      </c>
      <c r="P1436" s="856" t="s">
        <v>2200</v>
      </c>
      <c r="Q1436" s="857" t="s">
        <v>2294</v>
      </c>
      <c r="R1436" s="1088" t="n">
        <v>2858328</v>
      </c>
      <c r="S1436" s="854" t="n">
        <f aca="false">R1436/H1436</f>
        <v>35640</v>
      </c>
      <c r="T1436" s="985" t="n">
        <f aca="false">O1436-R1436</f>
        <v>0</v>
      </c>
      <c r="U1436" s="543" t="n">
        <f aca="false">N1436-S1436</f>
        <v>0</v>
      </c>
    </row>
    <row r="1437" customFormat="false" ht="15" hidden="false" customHeight="true" outlineLevel="0" collapsed="false">
      <c r="A1437" s="903" t="n">
        <v>155</v>
      </c>
      <c r="B1437" s="903" t="s">
        <v>81</v>
      </c>
      <c r="C1437" s="903" t="n">
        <v>2024</v>
      </c>
      <c r="D1437" s="904" t="s">
        <v>6</v>
      </c>
      <c r="E1437" s="904" t="s">
        <v>2192</v>
      </c>
      <c r="F1437" s="904" t="s">
        <v>2199</v>
      </c>
      <c r="G1437" s="905"/>
      <c r="H1437" s="946" t="n">
        <v>80.6</v>
      </c>
      <c r="I1437" s="947"/>
      <c r="J1437" s="1117"/>
      <c r="K1437" s="875" t="n">
        <f aca="false">H1437*I1437/100</f>
        <v>0</v>
      </c>
      <c r="L1437" s="553" t="n">
        <v>39400</v>
      </c>
      <c r="M1437" s="1302" t="n">
        <v>1</v>
      </c>
      <c r="N1437" s="553" t="n">
        <f aca="false">L1437*M1437</f>
        <v>39400</v>
      </c>
      <c r="O1437" s="1014" t="n">
        <f aca="false">H1437*N1437</f>
        <v>3175640</v>
      </c>
      <c r="P1437" s="910" t="s">
        <v>2200</v>
      </c>
      <c r="Q1437" s="911" t="s">
        <v>121</v>
      </c>
      <c r="R1437" s="1025" t="n">
        <v>3175640</v>
      </c>
      <c r="S1437" s="891" t="n">
        <f aca="false">R1437/H1437</f>
        <v>39400</v>
      </c>
      <c r="T1437" s="1404" t="n">
        <f aca="false">O1437-R1437</f>
        <v>0</v>
      </c>
      <c r="U1437" s="553" t="n">
        <f aca="false">N1437-S1437</f>
        <v>0</v>
      </c>
    </row>
    <row r="1438" customFormat="false" ht="15" hidden="false" customHeight="true" outlineLevel="0" collapsed="false">
      <c r="A1438" s="1533" t="n">
        <v>114</v>
      </c>
      <c r="B1438" s="829" t="s">
        <v>86</v>
      </c>
      <c r="C1438" s="830" t="n">
        <v>2024</v>
      </c>
      <c r="D1438" s="831" t="s">
        <v>6</v>
      </c>
      <c r="E1438" s="831" t="s">
        <v>2192</v>
      </c>
      <c r="F1438" s="832" t="s">
        <v>1650</v>
      </c>
      <c r="G1438" s="833"/>
      <c r="H1438" s="834" t="n">
        <v>98</v>
      </c>
      <c r="I1438" s="835"/>
      <c r="J1438" s="835"/>
      <c r="K1438" s="836" t="n">
        <f aca="false">H1438*I1438/100</f>
        <v>0</v>
      </c>
      <c r="L1438" s="837" t="n">
        <v>26388</v>
      </c>
      <c r="M1438" s="1303" t="n">
        <v>1</v>
      </c>
      <c r="N1438" s="837" t="n">
        <f aca="false">L1438*M1438</f>
        <v>26388</v>
      </c>
      <c r="O1438" s="1017" t="n">
        <f aca="false">H1438*N1438</f>
        <v>2586024</v>
      </c>
      <c r="P1438" s="838" t="s">
        <v>2193</v>
      </c>
      <c r="Q1438" s="839" t="s">
        <v>2885</v>
      </c>
      <c r="R1438" s="1139" t="n">
        <v>1087800</v>
      </c>
      <c r="S1438" s="886" t="n">
        <f aca="false">R1438/H1438</f>
        <v>11100</v>
      </c>
      <c r="T1438" s="841" t="n">
        <f aca="false">O1438-R1438-R1442-R1441-R1439-R1440</f>
        <v>0</v>
      </c>
      <c r="U1438" s="842" t="n">
        <f aca="false">N1438-S1438-S1442-S1441-S1439-S1440</f>
        <v>0</v>
      </c>
    </row>
    <row r="1439" customFormat="false" ht="15" hidden="false" customHeight="true" outlineLevel="0" collapsed="false">
      <c r="A1439" s="1533"/>
      <c r="B1439" s="829"/>
      <c r="C1439" s="830"/>
      <c r="D1439" s="848" t="s">
        <v>6</v>
      </c>
      <c r="E1439" s="848" t="s">
        <v>2192</v>
      </c>
      <c r="F1439" s="832"/>
      <c r="G1439" s="833"/>
      <c r="H1439" s="834"/>
      <c r="I1439" s="835"/>
      <c r="J1439" s="835"/>
      <c r="K1439" s="836"/>
      <c r="L1439" s="837"/>
      <c r="M1439" s="1303"/>
      <c r="N1439" s="837"/>
      <c r="O1439" s="1017"/>
      <c r="P1439" s="856" t="s">
        <v>2193</v>
      </c>
      <c r="Q1439" s="857" t="s">
        <v>2384</v>
      </c>
      <c r="R1439" s="1088" t="n">
        <v>294000</v>
      </c>
      <c r="S1439" s="866" t="n">
        <f aca="false">R1439/H1438</f>
        <v>3000</v>
      </c>
      <c r="T1439" s="841"/>
      <c r="U1439" s="842"/>
    </row>
    <row r="1440" customFormat="false" ht="15" hidden="false" customHeight="true" outlineLevel="0" collapsed="false">
      <c r="A1440" s="1533"/>
      <c r="B1440" s="829"/>
      <c r="C1440" s="830"/>
      <c r="D1440" s="848" t="s">
        <v>6</v>
      </c>
      <c r="E1440" s="848" t="s">
        <v>2192</v>
      </c>
      <c r="F1440" s="832"/>
      <c r="G1440" s="833"/>
      <c r="H1440" s="834"/>
      <c r="I1440" s="835"/>
      <c r="J1440" s="835"/>
      <c r="K1440" s="836"/>
      <c r="L1440" s="837"/>
      <c r="M1440" s="1303"/>
      <c r="N1440" s="837"/>
      <c r="O1440" s="1017"/>
      <c r="P1440" s="856" t="s">
        <v>2193</v>
      </c>
      <c r="Q1440" s="857" t="s">
        <v>2679</v>
      </c>
      <c r="R1440" s="1088" t="n">
        <v>199724</v>
      </c>
      <c r="S1440" s="866" t="n">
        <f aca="false">R1440/H1438</f>
        <v>2038</v>
      </c>
      <c r="T1440" s="841"/>
      <c r="U1440" s="842"/>
    </row>
    <row r="1441" customFormat="false" ht="15" hidden="false" customHeight="true" outlineLevel="0" collapsed="false">
      <c r="A1441" s="1533"/>
      <c r="B1441" s="829"/>
      <c r="C1441" s="830"/>
      <c r="D1441" s="860" t="s">
        <v>6</v>
      </c>
      <c r="E1441" s="860" t="s">
        <v>2192</v>
      </c>
      <c r="F1441" s="832"/>
      <c r="G1441" s="833"/>
      <c r="H1441" s="834"/>
      <c r="I1441" s="835"/>
      <c r="J1441" s="835"/>
      <c r="K1441" s="836"/>
      <c r="L1441" s="837"/>
      <c r="M1441" s="1303"/>
      <c r="N1441" s="837"/>
      <c r="O1441" s="1017"/>
      <c r="P1441" s="868" t="s">
        <v>2193</v>
      </c>
      <c r="Q1441" s="869" t="s">
        <v>2886</v>
      </c>
      <c r="R1441" s="1018" t="n">
        <v>490000</v>
      </c>
      <c r="S1441" s="866" t="n">
        <f aca="false">R1441/H1438</f>
        <v>5000</v>
      </c>
      <c r="T1441" s="841"/>
      <c r="U1441" s="842"/>
    </row>
    <row r="1442" customFormat="false" ht="15" hidden="false" customHeight="true" outlineLevel="0" collapsed="false">
      <c r="A1442" s="1533"/>
      <c r="B1442" s="829"/>
      <c r="C1442" s="830"/>
      <c r="D1442" s="887" t="s">
        <v>6</v>
      </c>
      <c r="E1442" s="887" t="s">
        <v>2192</v>
      </c>
      <c r="F1442" s="832"/>
      <c r="G1442" s="833"/>
      <c r="H1442" s="834"/>
      <c r="I1442" s="835"/>
      <c r="J1442" s="835"/>
      <c r="K1442" s="836"/>
      <c r="L1442" s="837"/>
      <c r="M1442" s="1303"/>
      <c r="N1442" s="837"/>
      <c r="O1442" s="1017"/>
      <c r="P1442" s="888" t="s">
        <v>2193</v>
      </c>
      <c r="Q1442" s="889" t="s">
        <v>2434</v>
      </c>
      <c r="R1442" s="1080" t="n">
        <v>514500</v>
      </c>
      <c r="S1442" s="890" t="n">
        <f aca="false">R1442/H1438</f>
        <v>5250</v>
      </c>
      <c r="T1442" s="841"/>
      <c r="U1442" s="842"/>
    </row>
    <row r="1443" customFormat="false" ht="15" hidden="false" customHeight="true" outlineLevel="0" collapsed="false">
      <c r="A1443" s="1533"/>
      <c r="B1443" s="847" t="s">
        <v>86</v>
      </c>
      <c r="C1443" s="847" t="n">
        <v>2024</v>
      </c>
      <c r="D1443" s="848" t="s">
        <v>6</v>
      </c>
      <c r="E1443" s="848" t="s">
        <v>2203</v>
      </c>
      <c r="F1443" s="848"/>
      <c r="G1443" s="849"/>
      <c r="H1443" s="949" t="n">
        <v>25.5</v>
      </c>
      <c r="I1443" s="950"/>
      <c r="J1443" s="950"/>
      <c r="K1443" s="852" t="n">
        <f aca="false">H1443*I1443/100</f>
        <v>0</v>
      </c>
      <c r="L1443" s="537" t="n">
        <v>6568</v>
      </c>
      <c r="M1443" s="1304" t="n">
        <v>1</v>
      </c>
      <c r="N1443" s="537" t="n">
        <f aca="false">L1443*M1443</f>
        <v>6568</v>
      </c>
      <c r="O1443" s="1009" t="n">
        <f aca="false">H1443*N1443</f>
        <v>167484</v>
      </c>
      <c r="P1443" s="856" t="s">
        <v>2200</v>
      </c>
      <c r="Q1443" s="857" t="s">
        <v>2826</v>
      </c>
      <c r="R1443" s="1088" t="n">
        <v>167484</v>
      </c>
      <c r="S1443" s="854" t="n">
        <f aca="false">R1443/H1443</f>
        <v>6568</v>
      </c>
      <c r="T1443" s="858" t="n">
        <f aca="false">O1443-R1443</f>
        <v>0</v>
      </c>
      <c r="U1443" s="892" t="n">
        <f aca="false">N1443-S1443</f>
        <v>0</v>
      </c>
    </row>
    <row r="1444" customFormat="false" ht="15" hidden="false" customHeight="true" outlineLevel="0" collapsed="false">
      <c r="A1444" s="1533"/>
      <c r="B1444" s="859" t="s">
        <v>86</v>
      </c>
      <c r="C1444" s="859" t="n">
        <v>2024</v>
      </c>
      <c r="D1444" s="860" t="s">
        <v>6</v>
      </c>
      <c r="E1444" s="860" t="s">
        <v>2241</v>
      </c>
      <c r="F1444" s="860"/>
      <c r="G1444" s="861"/>
      <c r="H1444" s="980" t="n">
        <v>14.1</v>
      </c>
      <c r="I1444" s="981"/>
      <c r="J1444" s="981"/>
      <c r="K1444" s="864" t="n">
        <f aca="false">H1444*I1444/100</f>
        <v>0</v>
      </c>
      <c r="L1444" s="543" t="n">
        <v>313</v>
      </c>
      <c r="M1444" s="1300" t="n">
        <v>1</v>
      </c>
      <c r="N1444" s="543" t="n">
        <f aca="false">L1444*M1444</f>
        <v>313</v>
      </c>
      <c r="O1444" s="968" t="n">
        <f aca="false">H1444*N1444</f>
        <v>4413.3</v>
      </c>
      <c r="P1444" s="868" t="s">
        <v>2200</v>
      </c>
      <c r="Q1444" s="869" t="s">
        <v>2826</v>
      </c>
      <c r="R1444" s="1018" t="n">
        <v>4413.3</v>
      </c>
      <c r="S1444" s="866" t="n">
        <f aca="false">R1444/H1444</f>
        <v>313</v>
      </c>
      <c r="T1444" s="985" t="n">
        <f aca="false">O1444-R1444</f>
        <v>0</v>
      </c>
      <c r="U1444" s="1135" t="n">
        <f aca="false">N1444-S1444</f>
        <v>0</v>
      </c>
    </row>
    <row r="1445" customFormat="false" ht="15" hidden="false" customHeight="true" outlineLevel="0" collapsed="false">
      <c r="A1445" s="1533"/>
      <c r="B1445" s="870" t="s">
        <v>86</v>
      </c>
      <c r="C1445" s="870" t="n">
        <v>2024</v>
      </c>
      <c r="D1445" s="871" t="s">
        <v>6</v>
      </c>
      <c r="E1445" s="871" t="s">
        <v>2205</v>
      </c>
      <c r="F1445" s="871"/>
      <c r="G1445" s="872"/>
      <c r="H1445" s="1116" t="n">
        <v>3</v>
      </c>
      <c r="I1445" s="1117"/>
      <c r="J1445" s="1117"/>
      <c r="K1445" s="875" t="n">
        <f aca="false">H1445*I1445/100</f>
        <v>0</v>
      </c>
      <c r="L1445" s="553" t="n">
        <v>1803</v>
      </c>
      <c r="M1445" s="1302" t="n">
        <v>1</v>
      </c>
      <c r="N1445" s="553" t="n">
        <f aca="false">L1445*M1445</f>
        <v>1803</v>
      </c>
      <c r="O1445" s="1014" t="n">
        <f aca="false">H1445*N1445</f>
        <v>5409</v>
      </c>
      <c r="P1445" s="879" t="s">
        <v>2204</v>
      </c>
      <c r="Q1445" s="880" t="n">
        <v>28022025</v>
      </c>
      <c r="R1445" s="1038" t="n">
        <v>5409</v>
      </c>
      <c r="S1445" s="891" t="n">
        <f aca="false">R1445/H1445</f>
        <v>1803</v>
      </c>
      <c r="T1445" s="1404" t="n">
        <f aca="false">O1445-R1445</f>
        <v>0</v>
      </c>
      <c r="U1445" s="1293" t="n">
        <f aca="false">N1445-S1445</f>
        <v>0</v>
      </c>
    </row>
    <row r="1446" customFormat="false" ht="15" hidden="false" customHeight="true" outlineLevel="0" collapsed="false">
      <c r="A1446" s="829" t="n">
        <v>115</v>
      </c>
      <c r="B1446" s="1173" t="s">
        <v>86</v>
      </c>
      <c r="C1446" s="1173" t="n">
        <v>2024</v>
      </c>
      <c r="D1446" s="831" t="s">
        <v>6</v>
      </c>
      <c r="E1446" s="831" t="s">
        <v>2192</v>
      </c>
      <c r="F1446" s="831" t="s">
        <v>1650</v>
      </c>
      <c r="G1446" s="1108"/>
      <c r="H1446" s="1109" t="n">
        <v>95.3</v>
      </c>
      <c r="I1446" s="1110"/>
      <c r="J1446" s="1110"/>
      <c r="K1446" s="1111" t="n">
        <f aca="false">H1446*I1446/100</f>
        <v>0</v>
      </c>
      <c r="L1446" s="1114" t="n">
        <v>3260</v>
      </c>
      <c r="M1446" s="1711" t="n">
        <v>1</v>
      </c>
      <c r="N1446" s="1114" t="n">
        <f aca="false">L1446*M1446</f>
        <v>3260</v>
      </c>
      <c r="O1446" s="1175" t="n">
        <f aca="false">H1446*N1446</f>
        <v>310678</v>
      </c>
      <c r="P1446" s="838" t="s">
        <v>2232</v>
      </c>
      <c r="Q1446" s="839" t="s">
        <v>2887</v>
      </c>
      <c r="R1446" s="1139" t="n">
        <v>310678</v>
      </c>
      <c r="S1446" s="840" t="n">
        <f aca="false">R1446/H1446</f>
        <v>3260</v>
      </c>
      <c r="T1446" s="1115" t="n">
        <f aca="false">O1446-R1446</f>
        <v>0</v>
      </c>
      <c r="U1446" s="1176" t="n">
        <f aca="false">N1446-S1446</f>
        <v>0</v>
      </c>
    </row>
    <row r="1447" customFormat="false" ht="15" hidden="false" customHeight="true" outlineLevel="0" collapsed="false">
      <c r="A1447" s="829"/>
      <c r="B1447" s="893" t="s">
        <v>86</v>
      </c>
      <c r="C1447" s="893" t="n">
        <v>2024</v>
      </c>
      <c r="D1447" s="843" t="s">
        <v>6</v>
      </c>
      <c r="E1447" s="843" t="s">
        <v>2203</v>
      </c>
      <c r="F1447" s="843"/>
      <c r="G1447" s="894"/>
      <c r="H1447" s="1103" t="n">
        <v>0</v>
      </c>
      <c r="I1447" s="1104"/>
      <c r="J1447" s="1104"/>
      <c r="K1447" s="897" t="n">
        <f aca="false">H1447*I1447/100</f>
        <v>0</v>
      </c>
      <c r="L1447" s="589" t="n">
        <v>309</v>
      </c>
      <c r="M1447" s="1713" t="n">
        <v>1</v>
      </c>
      <c r="N1447" s="589" t="n">
        <f aca="false">L1447*M1447</f>
        <v>309</v>
      </c>
      <c r="O1447" s="1395" t="n">
        <f aca="false">H1447*N1447</f>
        <v>0</v>
      </c>
      <c r="P1447" s="844" t="s">
        <v>2200</v>
      </c>
      <c r="Q1447" s="845" t="s">
        <v>2826</v>
      </c>
      <c r="R1447" s="901" t="n">
        <v>0</v>
      </c>
      <c r="S1447" s="846" t="n">
        <v>309</v>
      </c>
      <c r="T1447" s="1441" t="n">
        <f aca="false">O1447-R1447</f>
        <v>0</v>
      </c>
      <c r="U1447" s="902" t="n">
        <f aca="false">N1447-S1447</f>
        <v>0</v>
      </c>
    </row>
    <row r="1448" customFormat="false" ht="15" hidden="false" customHeight="true" outlineLevel="0" collapsed="false">
      <c r="A1448" s="881" t="n">
        <v>116</v>
      </c>
      <c r="B1448" s="882" t="s">
        <v>86</v>
      </c>
      <c r="C1448" s="883" t="n">
        <v>2024</v>
      </c>
      <c r="D1448" s="831" t="s">
        <v>6</v>
      </c>
      <c r="E1448" s="831" t="s">
        <v>2192</v>
      </c>
      <c r="F1448" s="832" t="s">
        <v>1650</v>
      </c>
      <c r="G1448" s="833"/>
      <c r="H1448" s="834" t="n">
        <v>98.2</v>
      </c>
      <c r="I1448" s="835"/>
      <c r="J1448" s="835"/>
      <c r="K1448" s="836" t="n">
        <f aca="false">H1448*I1448/100</f>
        <v>0</v>
      </c>
      <c r="L1448" s="837" t="n">
        <v>28073</v>
      </c>
      <c r="M1448" s="1303" t="n">
        <v>1</v>
      </c>
      <c r="N1448" s="837" t="n">
        <f aca="false">L1448*M1448</f>
        <v>28073</v>
      </c>
      <c r="O1448" s="1017" t="n">
        <f aca="false">H1448*N1448</f>
        <v>2756768.6</v>
      </c>
      <c r="P1448" s="838" t="s">
        <v>2193</v>
      </c>
      <c r="Q1448" s="839" t="s">
        <v>2436</v>
      </c>
      <c r="R1448" s="1139" t="n">
        <v>1821610</v>
      </c>
      <c r="S1448" s="886" t="n">
        <f aca="false">R1448/H1448</f>
        <v>18550</v>
      </c>
      <c r="T1448" s="841" t="n">
        <f aca="false">O1448-R1448-R1450-R1449</f>
        <v>0</v>
      </c>
      <c r="U1448" s="842" t="n">
        <f aca="false">N1448-S1448-S1450-S1449</f>
        <v>0</v>
      </c>
    </row>
    <row r="1449" customFormat="false" ht="15" hidden="false" customHeight="true" outlineLevel="0" collapsed="false">
      <c r="A1449" s="881"/>
      <c r="B1449" s="882"/>
      <c r="C1449" s="883"/>
      <c r="D1449" s="860" t="s">
        <v>6</v>
      </c>
      <c r="E1449" s="860" t="s">
        <v>2192</v>
      </c>
      <c r="F1449" s="832"/>
      <c r="G1449" s="833"/>
      <c r="H1449" s="834"/>
      <c r="I1449" s="835"/>
      <c r="J1449" s="835"/>
      <c r="K1449" s="836"/>
      <c r="L1449" s="837"/>
      <c r="M1449" s="1303"/>
      <c r="N1449" s="837"/>
      <c r="O1449" s="1017"/>
      <c r="P1449" s="868" t="s">
        <v>2193</v>
      </c>
      <c r="Q1449" s="869" t="s">
        <v>2679</v>
      </c>
      <c r="R1449" s="1018" t="n">
        <v>196596.4</v>
      </c>
      <c r="S1449" s="866" t="n">
        <f aca="false">R1449/H1448</f>
        <v>2002</v>
      </c>
      <c r="T1449" s="841"/>
      <c r="U1449" s="842"/>
    </row>
    <row r="1450" customFormat="false" ht="15" hidden="false" customHeight="true" outlineLevel="0" collapsed="false">
      <c r="A1450" s="881"/>
      <c r="B1450" s="882"/>
      <c r="C1450" s="883"/>
      <c r="D1450" s="887" t="s">
        <v>6</v>
      </c>
      <c r="E1450" s="887" t="s">
        <v>2192</v>
      </c>
      <c r="F1450" s="832"/>
      <c r="G1450" s="833"/>
      <c r="H1450" s="834"/>
      <c r="I1450" s="835"/>
      <c r="J1450" s="835"/>
      <c r="K1450" s="836"/>
      <c r="L1450" s="837"/>
      <c r="M1450" s="1303"/>
      <c r="N1450" s="837"/>
      <c r="O1450" s="1017"/>
      <c r="P1450" s="888" t="s">
        <v>2193</v>
      </c>
      <c r="Q1450" s="889" t="s">
        <v>2888</v>
      </c>
      <c r="R1450" s="1080" t="n">
        <v>738562.2</v>
      </c>
      <c r="S1450" s="890" t="n">
        <f aca="false">R1450/H1448</f>
        <v>7521</v>
      </c>
      <c r="T1450" s="841"/>
      <c r="U1450" s="842"/>
    </row>
    <row r="1451" customFormat="false" ht="15" hidden="false" customHeight="true" outlineLevel="0" collapsed="false">
      <c r="A1451" s="881"/>
      <c r="B1451" s="829" t="s">
        <v>86</v>
      </c>
      <c r="C1451" s="830" t="n">
        <v>2024</v>
      </c>
      <c r="D1451" s="831" t="s">
        <v>6</v>
      </c>
      <c r="E1451" s="831" t="s">
        <v>2203</v>
      </c>
      <c r="F1451" s="830"/>
      <c r="G1451" s="833"/>
      <c r="H1451" s="1059" t="n">
        <v>16.1</v>
      </c>
      <c r="I1451" s="835"/>
      <c r="J1451" s="835"/>
      <c r="K1451" s="836" t="n">
        <f aca="false">H1451*I1451/100</f>
        <v>0</v>
      </c>
      <c r="L1451" s="837" t="n">
        <v>6767</v>
      </c>
      <c r="M1451" s="1303" t="n">
        <v>1</v>
      </c>
      <c r="N1451" s="837" t="n">
        <f aca="false">L1451*M1451</f>
        <v>6767</v>
      </c>
      <c r="O1451" s="1017" t="n">
        <f aca="false">H1451*N1451</f>
        <v>108948.7</v>
      </c>
      <c r="P1451" s="838" t="s">
        <v>2204</v>
      </c>
      <c r="Q1451" s="839" t="n">
        <v>28022025</v>
      </c>
      <c r="R1451" s="1139" t="n">
        <v>42938.7</v>
      </c>
      <c r="S1451" s="886" t="n">
        <f aca="false">R1451/H1451</f>
        <v>2667</v>
      </c>
      <c r="T1451" s="841" t="n">
        <f aca="false">O1451-R1451-R1452</f>
        <v>0</v>
      </c>
      <c r="U1451" s="842" t="n">
        <f aca="false">N1451-S1451-S1452</f>
        <v>0</v>
      </c>
    </row>
    <row r="1452" customFormat="false" ht="15" hidden="false" customHeight="true" outlineLevel="0" collapsed="false">
      <c r="A1452" s="881"/>
      <c r="B1452" s="829"/>
      <c r="C1452" s="830"/>
      <c r="D1452" s="887" t="s">
        <v>6</v>
      </c>
      <c r="E1452" s="887" t="s">
        <v>2203</v>
      </c>
      <c r="F1452" s="830"/>
      <c r="G1452" s="833"/>
      <c r="H1452" s="1059"/>
      <c r="I1452" s="835"/>
      <c r="J1452" s="835"/>
      <c r="K1452" s="836"/>
      <c r="L1452" s="837"/>
      <c r="M1452" s="1303"/>
      <c r="N1452" s="837"/>
      <c r="O1452" s="1017"/>
      <c r="P1452" s="888" t="s">
        <v>2200</v>
      </c>
      <c r="Q1452" s="889" t="s">
        <v>2826</v>
      </c>
      <c r="R1452" s="1080" t="n">
        <v>66010</v>
      </c>
      <c r="S1452" s="846" t="n">
        <f aca="false">R1452/H1451</f>
        <v>4100</v>
      </c>
      <c r="T1452" s="841"/>
      <c r="U1452" s="842"/>
    </row>
    <row r="1453" customFormat="false" ht="15" hidden="false" customHeight="true" outlineLevel="0" collapsed="false">
      <c r="A1453" s="881"/>
      <c r="B1453" s="903" t="s">
        <v>86</v>
      </c>
      <c r="C1453" s="903" t="n">
        <v>2024</v>
      </c>
      <c r="D1453" s="904" t="s">
        <v>6</v>
      </c>
      <c r="E1453" s="904" t="s">
        <v>2241</v>
      </c>
      <c r="F1453" s="904"/>
      <c r="G1453" s="905"/>
      <c r="H1453" s="946" t="n">
        <v>35.6</v>
      </c>
      <c r="I1453" s="947"/>
      <c r="J1453" s="947"/>
      <c r="K1453" s="939" t="n">
        <f aca="false">H1453*I1453/100</f>
        <v>0</v>
      </c>
      <c r="L1453" s="942" t="n">
        <v>713</v>
      </c>
      <c r="M1453" s="1305" t="n">
        <v>1</v>
      </c>
      <c r="N1453" s="942" t="n">
        <f aca="false">L1453*M1453</f>
        <v>713</v>
      </c>
      <c r="O1453" s="941" t="n">
        <f aca="false">H1453*N1453</f>
        <v>25382.8</v>
      </c>
      <c r="P1453" s="910" t="s">
        <v>2200</v>
      </c>
      <c r="Q1453" s="911" t="s">
        <v>2826</v>
      </c>
      <c r="R1453" s="1025" t="n">
        <v>25382.8</v>
      </c>
      <c r="S1453" s="886" t="n">
        <f aca="false">R1453/H1453</f>
        <v>713</v>
      </c>
      <c r="T1453" s="1058" t="n">
        <f aca="false">O1453-R1453</f>
        <v>0</v>
      </c>
      <c r="U1453" s="1026" t="n">
        <f aca="false">N1453-S1453</f>
        <v>0</v>
      </c>
    </row>
    <row r="1454" customFormat="false" ht="15" hidden="false" customHeight="true" outlineLevel="0" collapsed="false">
      <c r="A1454" s="881"/>
      <c r="B1454" s="829" t="s">
        <v>86</v>
      </c>
      <c r="C1454" s="830" t="n">
        <v>2024</v>
      </c>
      <c r="D1454" s="1328" t="s">
        <v>6</v>
      </c>
      <c r="E1454" s="1328" t="s">
        <v>2205</v>
      </c>
      <c r="F1454" s="830"/>
      <c r="G1454" s="833"/>
      <c r="H1454" s="834" t="n">
        <v>9.2</v>
      </c>
      <c r="I1454" s="835"/>
      <c r="J1454" s="835"/>
      <c r="K1454" s="836" t="n">
        <f aca="false">H1454*I1454/100</f>
        <v>0</v>
      </c>
      <c r="L1454" s="837" t="n">
        <v>2326</v>
      </c>
      <c r="M1454" s="1303" t="n">
        <v>1</v>
      </c>
      <c r="N1454" s="837" t="n">
        <f aca="false">L1454*M1454</f>
        <v>2326</v>
      </c>
      <c r="O1454" s="1017" t="n">
        <f aca="false">H1454*N1454</f>
        <v>21399.2</v>
      </c>
      <c r="P1454" s="884"/>
      <c r="Q1454" s="885" t="s">
        <v>2889</v>
      </c>
      <c r="R1454" s="1016" t="n">
        <v>4094</v>
      </c>
      <c r="S1454" s="886" t="n">
        <f aca="false">R1454/H1454</f>
        <v>445</v>
      </c>
      <c r="T1454" s="841" t="n">
        <f aca="false">O1454-R1454-R1455</f>
        <v>0</v>
      </c>
      <c r="U1454" s="842" t="n">
        <f aca="false">N1454-S1454-S1455</f>
        <v>0</v>
      </c>
    </row>
    <row r="1455" customFormat="false" ht="15" hidden="false" customHeight="true" outlineLevel="0" collapsed="false">
      <c r="A1455" s="881"/>
      <c r="B1455" s="829"/>
      <c r="C1455" s="830"/>
      <c r="D1455" s="843" t="s">
        <v>6</v>
      </c>
      <c r="E1455" s="843" t="s">
        <v>2205</v>
      </c>
      <c r="F1455" s="830"/>
      <c r="G1455" s="833"/>
      <c r="H1455" s="834"/>
      <c r="I1455" s="835"/>
      <c r="J1455" s="835"/>
      <c r="K1455" s="836"/>
      <c r="L1455" s="837"/>
      <c r="M1455" s="1303"/>
      <c r="N1455" s="837"/>
      <c r="O1455" s="1017"/>
      <c r="P1455" s="844" t="s">
        <v>2204</v>
      </c>
      <c r="Q1455" s="845" t="n">
        <v>28022025</v>
      </c>
      <c r="R1455" s="901" t="n">
        <v>17305.2</v>
      </c>
      <c r="S1455" s="846" t="n">
        <f aca="false">R1455/H1454</f>
        <v>1881</v>
      </c>
      <c r="T1455" s="841"/>
      <c r="U1455" s="842"/>
    </row>
    <row r="1456" customFormat="false" ht="15" hidden="false" customHeight="true" outlineLevel="0" collapsed="false">
      <c r="A1456" s="1087" t="n">
        <v>152</v>
      </c>
      <c r="B1456" s="1072" t="s">
        <v>2207</v>
      </c>
      <c r="C1456" s="1072" t="n">
        <v>2024</v>
      </c>
      <c r="D1456" s="848" t="s">
        <v>6</v>
      </c>
      <c r="E1456" s="848" t="s">
        <v>2192</v>
      </c>
      <c r="F1456" s="887" t="s">
        <v>1652</v>
      </c>
      <c r="G1456" s="1062"/>
      <c r="H1456" s="1077" t="n">
        <v>47.2073</v>
      </c>
      <c r="I1456" s="1086"/>
      <c r="J1456" s="1086"/>
      <c r="K1456" s="1064" t="n">
        <f aca="false">H1456*I1456/100</f>
        <v>0</v>
      </c>
      <c r="L1456" s="1067" t="n">
        <v>23043</v>
      </c>
      <c r="M1456" s="1710" t="n">
        <v>1</v>
      </c>
      <c r="N1456" s="1067" t="n">
        <f aca="false">L1456*M1456</f>
        <v>23043</v>
      </c>
      <c r="O1456" s="1452" t="n">
        <f aca="false">H1456*N1456</f>
        <v>1087797.8139</v>
      </c>
      <c r="P1456" s="856" t="s">
        <v>2197</v>
      </c>
      <c r="Q1456" s="857" t="s">
        <v>2890</v>
      </c>
      <c r="R1456" s="1088" t="n">
        <v>471600.927</v>
      </c>
      <c r="S1456" s="854" t="n">
        <f aca="false">R1456/H1456</f>
        <v>9990</v>
      </c>
      <c r="T1456" s="1452" t="n">
        <f aca="false">O1456-R1456-R1457-R1458</f>
        <v>0</v>
      </c>
      <c r="U1456" s="1070" t="n">
        <f aca="false">N1456-S1456-S1457-S1458</f>
        <v>-3.63797880709171E-012</v>
      </c>
    </row>
    <row r="1457" customFormat="false" ht="15" hidden="false" customHeight="true" outlineLevel="0" collapsed="false">
      <c r="A1457" s="1087"/>
      <c r="B1457" s="1072"/>
      <c r="C1457" s="1072"/>
      <c r="D1457" s="848" t="s">
        <v>6</v>
      </c>
      <c r="E1457" s="848" t="s">
        <v>2192</v>
      </c>
      <c r="F1457" s="887"/>
      <c r="G1457" s="1062"/>
      <c r="H1457" s="1077"/>
      <c r="I1457" s="1086"/>
      <c r="J1457" s="1086"/>
      <c r="K1457" s="1064"/>
      <c r="L1457" s="1067"/>
      <c r="M1457" s="1710"/>
      <c r="N1457" s="1067"/>
      <c r="O1457" s="1452"/>
      <c r="P1457" s="856" t="s">
        <v>2197</v>
      </c>
      <c r="Q1457" s="857" t="s">
        <v>2891</v>
      </c>
      <c r="R1457" s="1088" t="n">
        <v>471600.927</v>
      </c>
      <c r="S1457" s="854" t="n">
        <f aca="false">R1457/H1456</f>
        <v>9990</v>
      </c>
      <c r="T1457" s="1452"/>
      <c r="U1457" s="1070"/>
    </row>
    <row r="1458" customFormat="false" ht="15" hidden="false" customHeight="true" outlineLevel="0" collapsed="false">
      <c r="A1458" s="1087"/>
      <c r="B1458" s="1072"/>
      <c r="C1458" s="1072"/>
      <c r="D1458" s="887" t="s">
        <v>6</v>
      </c>
      <c r="E1458" s="887" t="s">
        <v>2192</v>
      </c>
      <c r="F1458" s="887"/>
      <c r="G1458" s="1062"/>
      <c r="H1458" s="1077"/>
      <c r="I1458" s="1086"/>
      <c r="J1458" s="1086"/>
      <c r="K1458" s="1064"/>
      <c r="L1458" s="1067"/>
      <c r="M1458" s="1710"/>
      <c r="N1458" s="1067"/>
      <c r="O1458" s="1452"/>
      <c r="P1458" s="888" t="s">
        <v>2197</v>
      </c>
      <c r="Q1458" s="889" t="s">
        <v>2892</v>
      </c>
      <c r="R1458" s="1080" t="n">
        <v>144595.9599</v>
      </c>
      <c r="S1458" s="890" t="n">
        <f aca="false">R1458/H1456</f>
        <v>3063</v>
      </c>
      <c r="T1458" s="1452"/>
      <c r="U1458" s="1070"/>
    </row>
    <row r="1459" customFormat="false" ht="15" hidden="false" customHeight="true" outlineLevel="0" collapsed="false">
      <c r="A1459" s="903" t="n">
        <v>153</v>
      </c>
      <c r="B1459" s="903" t="s">
        <v>2207</v>
      </c>
      <c r="C1459" s="903" t="n">
        <v>2024</v>
      </c>
      <c r="D1459" s="904" t="s">
        <v>6</v>
      </c>
      <c r="E1459" s="904" t="s">
        <v>2192</v>
      </c>
      <c r="F1459" s="904" t="s">
        <v>1652</v>
      </c>
      <c r="G1459" s="905"/>
      <c r="H1459" s="946" t="n">
        <v>60.9236</v>
      </c>
      <c r="I1459" s="947"/>
      <c r="J1459" s="947"/>
      <c r="K1459" s="939" t="n">
        <f aca="false">H1459*I1459/100</f>
        <v>0</v>
      </c>
      <c r="L1459" s="942" t="n">
        <v>8445</v>
      </c>
      <c r="M1459" s="1305" t="n">
        <v>1</v>
      </c>
      <c r="N1459" s="942" t="n">
        <f aca="false">L1459*M1459</f>
        <v>8445</v>
      </c>
      <c r="O1459" s="948" t="n">
        <f aca="false">H1459*N1459</f>
        <v>514499.802</v>
      </c>
      <c r="P1459" s="910" t="s">
        <v>2197</v>
      </c>
      <c r="Q1459" s="911" t="s">
        <v>2893</v>
      </c>
      <c r="R1459" s="1025" t="n">
        <v>514499.802</v>
      </c>
      <c r="S1459" s="886" t="n">
        <f aca="false">R1459/H1459</f>
        <v>8445</v>
      </c>
      <c r="T1459" s="948" t="n">
        <f aca="false">O1459-R1459</f>
        <v>0</v>
      </c>
      <c r="U1459" s="942" t="n">
        <f aca="false">N1459-S1459</f>
        <v>0</v>
      </c>
    </row>
    <row r="1460" customFormat="false" ht="15" hidden="false" customHeight="true" outlineLevel="0" collapsed="false">
      <c r="A1460" s="829" t="n">
        <v>154</v>
      </c>
      <c r="B1460" s="830" t="s">
        <v>2207</v>
      </c>
      <c r="C1460" s="830" t="n">
        <v>2024</v>
      </c>
      <c r="D1460" s="831" t="s">
        <v>6</v>
      </c>
      <c r="E1460" s="831" t="s">
        <v>2192</v>
      </c>
      <c r="F1460" s="832" t="s">
        <v>1652</v>
      </c>
      <c r="G1460" s="833"/>
      <c r="H1460" s="834" t="n">
        <v>43.3244</v>
      </c>
      <c r="I1460" s="835"/>
      <c r="J1460" s="835"/>
      <c r="K1460" s="836" t="n">
        <f aca="false">H1460*I1460/100</f>
        <v>0</v>
      </c>
      <c r="L1460" s="837" t="n">
        <v>11310</v>
      </c>
      <c r="M1460" s="1303" t="n">
        <v>1</v>
      </c>
      <c r="N1460" s="837" t="n">
        <f aca="false">L1460*M1460</f>
        <v>11310</v>
      </c>
      <c r="O1460" s="943" t="n">
        <f aca="false">H1460*N1460</f>
        <v>489998.964</v>
      </c>
      <c r="P1460" s="838" t="s">
        <v>2197</v>
      </c>
      <c r="Q1460" s="839" t="s">
        <v>2894</v>
      </c>
      <c r="R1460" s="1139" t="n">
        <v>432810.756</v>
      </c>
      <c r="S1460" s="886" t="n">
        <f aca="false">R1460/H1460</f>
        <v>9990</v>
      </c>
      <c r="T1460" s="943" t="n">
        <f aca="false">O1460-R1460-R1461</f>
        <v>0</v>
      </c>
      <c r="U1460" s="842" t="n">
        <f aca="false">N1460-S1460-S1461</f>
        <v>0</v>
      </c>
    </row>
    <row r="1461" customFormat="false" ht="15" hidden="false" customHeight="true" outlineLevel="0" collapsed="false">
      <c r="A1461" s="829"/>
      <c r="B1461" s="830"/>
      <c r="C1461" s="830"/>
      <c r="D1461" s="843" t="s">
        <v>6</v>
      </c>
      <c r="E1461" s="843" t="s">
        <v>2192</v>
      </c>
      <c r="F1461" s="832"/>
      <c r="G1461" s="833"/>
      <c r="H1461" s="834"/>
      <c r="I1461" s="835"/>
      <c r="J1461" s="835"/>
      <c r="K1461" s="836"/>
      <c r="L1461" s="837"/>
      <c r="M1461" s="1303"/>
      <c r="N1461" s="837"/>
      <c r="O1461" s="943"/>
      <c r="P1461" s="844" t="s">
        <v>2197</v>
      </c>
      <c r="Q1461" s="845" t="s">
        <v>2895</v>
      </c>
      <c r="R1461" s="901" t="n">
        <v>57188.208</v>
      </c>
      <c r="S1461" s="846" t="n">
        <f aca="false">R1461/H1460</f>
        <v>1320</v>
      </c>
      <c r="T1461" s="943"/>
      <c r="U1461" s="842"/>
    </row>
    <row r="1462" customFormat="false" ht="15" hidden="false" customHeight="true" outlineLevel="0" collapsed="false">
      <c r="A1462" s="847" t="n">
        <v>155</v>
      </c>
      <c r="B1462" s="847" t="s">
        <v>2207</v>
      </c>
      <c r="C1462" s="847" t="n">
        <v>2024</v>
      </c>
      <c r="D1462" s="848" t="s">
        <v>6</v>
      </c>
      <c r="E1462" s="848" t="s">
        <v>2192</v>
      </c>
      <c r="F1462" s="848" t="s">
        <v>1652</v>
      </c>
      <c r="G1462" s="849"/>
      <c r="H1462" s="949" t="n">
        <v>50.909</v>
      </c>
      <c r="I1462" s="950"/>
      <c r="J1462" s="950"/>
      <c r="K1462" s="852" t="n">
        <f aca="false">H1462*I1462/100</f>
        <v>0</v>
      </c>
      <c r="L1462" s="537" t="n">
        <v>5775</v>
      </c>
      <c r="M1462" s="1304" t="n">
        <v>1</v>
      </c>
      <c r="N1462" s="537" t="n">
        <f aca="false">L1462*M1462</f>
        <v>5775</v>
      </c>
      <c r="O1462" s="953" t="n">
        <f aca="false">H1462*N1462</f>
        <v>293999.475</v>
      </c>
      <c r="P1462" s="856" t="s">
        <v>2197</v>
      </c>
      <c r="Q1462" s="857" t="s">
        <v>2896</v>
      </c>
      <c r="R1462" s="1088" t="n">
        <v>293999.475</v>
      </c>
      <c r="S1462" s="854" t="n">
        <f aca="false">R1462/H1462</f>
        <v>5775</v>
      </c>
      <c r="T1462" s="953" t="n">
        <f aca="false">O1462-R1462</f>
        <v>0</v>
      </c>
      <c r="U1462" s="537" t="n">
        <f aca="false">N1462-S1462</f>
        <v>0</v>
      </c>
    </row>
    <row r="1463" customFormat="false" ht="15" hidden="false" customHeight="true" outlineLevel="0" collapsed="false">
      <c r="A1463" s="870" t="n">
        <v>156</v>
      </c>
      <c r="B1463" s="870" t="s">
        <v>2207</v>
      </c>
      <c r="C1463" s="870" t="n">
        <v>2024</v>
      </c>
      <c r="D1463" s="871" t="s">
        <v>6</v>
      </c>
      <c r="E1463" s="871" t="s">
        <v>2192</v>
      </c>
      <c r="F1463" s="871" t="s">
        <v>1652</v>
      </c>
      <c r="G1463" s="872"/>
      <c r="H1463" s="1116" t="n">
        <v>41.8722</v>
      </c>
      <c r="I1463" s="1117"/>
      <c r="J1463" s="1117"/>
      <c r="K1463" s="875" t="n">
        <f aca="false">H1463*I1463/100</f>
        <v>0</v>
      </c>
      <c r="L1463" s="553" t="n">
        <v>9465</v>
      </c>
      <c r="M1463" s="1302" t="n">
        <v>1</v>
      </c>
      <c r="N1463" s="553" t="n">
        <f aca="false">L1463*M1463</f>
        <v>9465</v>
      </c>
      <c r="O1463" s="1403" t="n">
        <f aca="false">H1463*N1463</f>
        <v>396320.373</v>
      </c>
      <c r="P1463" s="879" t="s">
        <v>2197</v>
      </c>
      <c r="Q1463" s="880" t="s">
        <v>2897</v>
      </c>
      <c r="R1463" s="1038" t="n">
        <v>396320.373</v>
      </c>
      <c r="S1463" s="877" t="n">
        <f aca="false">R1463/H1463</f>
        <v>9465</v>
      </c>
      <c r="T1463" s="1403" t="n">
        <f aca="false">O1463-R1463</f>
        <v>0</v>
      </c>
      <c r="U1463" s="553" t="n">
        <f aca="false">N1463-S1463</f>
        <v>0</v>
      </c>
    </row>
    <row r="1464" customFormat="false" ht="15" hidden="false" customHeight="true" outlineLevel="0" collapsed="false">
      <c r="A1464" s="829" t="n">
        <v>157</v>
      </c>
      <c r="B1464" s="830" t="s">
        <v>2207</v>
      </c>
      <c r="C1464" s="830" t="n">
        <v>2024</v>
      </c>
      <c r="D1464" s="831" t="s">
        <v>6</v>
      </c>
      <c r="E1464" s="831" t="s">
        <v>2192</v>
      </c>
      <c r="F1464" s="832" t="s">
        <v>1652</v>
      </c>
      <c r="G1464" s="833"/>
      <c r="H1464" s="834" t="n">
        <v>46.7607</v>
      </c>
      <c r="I1464" s="835"/>
      <c r="J1464" s="835"/>
      <c r="K1464" s="836" t="n">
        <f aca="false">H1464*I1464/100</f>
        <v>0</v>
      </c>
      <c r="L1464" s="837" t="n">
        <v>38956</v>
      </c>
      <c r="M1464" s="1303" t="n">
        <v>1</v>
      </c>
      <c r="N1464" s="837" t="n">
        <f aca="false">L1464*M1464</f>
        <v>38956</v>
      </c>
      <c r="O1464" s="943" t="n">
        <f aca="false">H1464*N1464</f>
        <v>1821609.8292</v>
      </c>
      <c r="P1464" s="838" t="s">
        <v>2197</v>
      </c>
      <c r="Q1464" s="839" t="s">
        <v>2898</v>
      </c>
      <c r="R1464" s="1139" t="n">
        <v>467139.393</v>
      </c>
      <c r="S1464" s="840" t="n">
        <f aca="false">R1464/H1464</f>
        <v>9990</v>
      </c>
      <c r="T1464" s="943" t="n">
        <f aca="false">O1464-R1464-R1465-R1466-R1467</f>
        <v>0</v>
      </c>
      <c r="U1464" s="842" t="n">
        <f aca="false">N1464-S1464-S1465-S1466-S1467</f>
        <v>0</v>
      </c>
    </row>
    <row r="1465" customFormat="false" ht="15" hidden="false" customHeight="true" outlineLevel="0" collapsed="false">
      <c r="A1465" s="829"/>
      <c r="B1465" s="830"/>
      <c r="C1465" s="830"/>
      <c r="D1465" s="848" t="s">
        <v>6</v>
      </c>
      <c r="E1465" s="848" t="s">
        <v>2192</v>
      </c>
      <c r="F1465" s="832"/>
      <c r="G1465" s="833"/>
      <c r="H1465" s="834"/>
      <c r="I1465" s="835"/>
      <c r="J1465" s="835"/>
      <c r="K1465" s="836"/>
      <c r="L1465" s="837"/>
      <c r="M1465" s="1303"/>
      <c r="N1465" s="837"/>
      <c r="O1465" s="943"/>
      <c r="P1465" s="856" t="s">
        <v>2197</v>
      </c>
      <c r="Q1465" s="857" t="s">
        <v>2899</v>
      </c>
      <c r="R1465" s="1088" t="n">
        <v>467139.393</v>
      </c>
      <c r="S1465" s="866" t="n">
        <f aca="false">R1465/H1464</f>
        <v>9990</v>
      </c>
      <c r="T1465" s="943"/>
      <c r="U1465" s="842"/>
    </row>
    <row r="1466" customFormat="false" ht="15" hidden="false" customHeight="true" outlineLevel="0" collapsed="false">
      <c r="A1466" s="829"/>
      <c r="B1466" s="830"/>
      <c r="C1466" s="830"/>
      <c r="D1466" s="848" t="s">
        <v>6</v>
      </c>
      <c r="E1466" s="848" t="s">
        <v>2192</v>
      </c>
      <c r="F1466" s="832"/>
      <c r="G1466" s="833"/>
      <c r="H1466" s="834"/>
      <c r="I1466" s="835"/>
      <c r="J1466" s="835"/>
      <c r="K1466" s="836"/>
      <c r="L1466" s="837"/>
      <c r="M1466" s="1303"/>
      <c r="N1466" s="837"/>
      <c r="O1466" s="943"/>
      <c r="P1466" s="856" t="s">
        <v>2197</v>
      </c>
      <c r="Q1466" s="857" t="s">
        <v>2900</v>
      </c>
      <c r="R1466" s="1088" t="n">
        <v>467139.393</v>
      </c>
      <c r="S1466" s="866" t="n">
        <f aca="false">R1466/H1464</f>
        <v>9990</v>
      </c>
      <c r="T1466" s="943"/>
      <c r="U1466" s="842"/>
    </row>
    <row r="1467" customFormat="false" ht="15" hidden="false" customHeight="true" outlineLevel="0" collapsed="false">
      <c r="A1467" s="829"/>
      <c r="B1467" s="830"/>
      <c r="C1467" s="830"/>
      <c r="D1467" s="887" t="s">
        <v>6</v>
      </c>
      <c r="E1467" s="887" t="s">
        <v>2192</v>
      </c>
      <c r="F1467" s="832"/>
      <c r="G1467" s="833"/>
      <c r="H1467" s="834"/>
      <c r="I1467" s="835"/>
      <c r="J1467" s="835"/>
      <c r="K1467" s="836"/>
      <c r="L1467" s="837"/>
      <c r="M1467" s="1303"/>
      <c r="N1467" s="837"/>
      <c r="O1467" s="943"/>
      <c r="P1467" s="888" t="s">
        <v>2197</v>
      </c>
      <c r="Q1467" s="889" t="s">
        <v>2901</v>
      </c>
      <c r="R1467" s="1080" t="n">
        <v>420191.6502</v>
      </c>
      <c r="S1467" s="846" t="n">
        <f aca="false">R1467/H1464</f>
        <v>8986</v>
      </c>
      <c r="T1467" s="943"/>
      <c r="U1467" s="842"/>
    </row>
    <row r="1468" customFormat="false" ht="15" hidden="false" customHeight="true" outlineLevel="0" collapsed="false">
      <c r="A1468" s="882" t="n">
        <v>160</v>
      </c>
      <c r="B1468" s="883" t="s">
        <v>2207</v>
      </c>
      <c r="C1468" s="883" t="n">
        <v>2024</v>
      </c>
      <c r="D1468" s="831" t="s">
        <v>6</v>
      </c>
      <c r="E1468" s="831" t="s">
        <v>2192</v>
      </c>
      <c r="F1468" s="832" t="s">
        <v>1651</v>
      </c>
      <c r="G1468" s="833"/>
      <c r="H1468" s="834" t="n">
        <v>32.1281</v>
      </c>
      <c r="I1468" s="1624"/>
      <c r="J1468" s="835"/>
      <c r="K1468" s="836" t="n">
        <f aca="false">H1468*I1468/100</f>
        <v>0</v>
      </c>
      <c r="L1468" s="837" t="n">
        <v>22988</v>
      </c>
      <c r="M1468" s="1303" t="n">
        <v>1</v>
      </c>
      <c r="N1468" s="837" t="n">
        <f aca="false">L1468*M1468</f>
        <v>22988</v>
      </c>
      <c r="O1468" s="943" t="n">
        <f aca="false">H1468*N1468</f>
        <v>738560.7628</v>
      </c>
      <c r="P1468" s="838" t="s">
        <v>2197</v>
      </c>
      <c r="Q1468" s="839" t="s">
        <v>2902</v>
      </c>
      <c r="R1468" s="1139" t="n">
        <v>320959.719</v>
      </c>
      <c r="S1468" s="1719" t="n">
        <f aca="false">R1468/H1468</f>
        <v>9990</v>
      </c>
      <c r="T1468" s="943" t="n">
        <f aca="false">O1468-R1468-R1469-R1470</f>
        <v>0</v>
      </c>
      <c r="U1468" s="842" t="n">
        <f aca="false">N1468-S1468-S1469-S1470</f>
        <v>0</v>
      </c>
    </row>
    <row r="1469" customFormat="false" ht="15" hidden="false" customHeight="true" outlineLevel="0" collapsed="false">
      <c r="A1469" s="882"/>
      <c r="B1469" s="883"/>
      <c r="C1469" s="883"/>
      <c r="D1469" s="848" t="s">
        <v>6</v>
      </c>
      <c r="E1469" s="848" t="s">
        <v>2192</v>
      </c>
      <c r="F1469" s="832"/>
      <c r="G1469" s="833"/>
      <c r="H1469" s="834"/>
      <c r="I1469" s="1352"/>
      <c r="J1469" s="835"/>
      <c r="K1469" s="836"/>
      <c r="L1469" s="837"/>
      <c r="M1469" s="1303"/>
      <c r="N1469" s="837"/>
      <c r="O1469" s="943"/>
      <c r="P1469" s="856" t="s">
        <v>2197</v>
      </c>
      <c r="Q1469" s="857" t="s">
        <v>2903</v>
      </c>
      <c r="R1469" s="1088" t="n">
        <v>113090.912</v>
      </c>
      <c r="S1469" s="1178" t="n">
        <f aca="false">R1469/H1468</f>
        <v>3520</v>
      </c>
      <c r="T1469" s="943"/>
      <c r="U1469" s="842"/>
    </row>
    <row r="1470" customFormat="false" ht="15" hidden="false" customHeight="true" outlineLevel="0" collapsed="false">
      <c r="A1470" s="882"/>
      <c r="B1470" s="883"/>
      <c r="C1470" s="883"/>
      <c r="D1470" s="887" t="s">
        <v>6</v>
      </c>
      <c r="E1470" s="887" t="s">
        <v>2192</v>
      </c>
      <c r="F1470" s="832"/>
      <c r="G1470" s="833"/>
      <c r="H1470" s="834"/>
      <c r="I1470" s="1625"/>
      <c r="J1470" s="835"/>
      <c r="K1470" s="836"/>
      <c r="L1470" s="837"/>
      <c r="M1470" s="1303"/>
      <c r="N1470" s="837"/>
      <c r="O1470" s="943"/>
      <c r="P1470" s="888" t="s">
        <v>2197</v>
      </c>
      <c r="Q1470" s="889" t="s">
        <v>2904</v>
      </c>
      <c r="R1470" s="1080" t="n">
        <v>304510.1318</v>
      </c>
      <c r="S1470" s="1142" t="n">
        <f aca="false">R1470/H1468</f>
        <v>9478</v>
      </c>
      <c r="T1470" s="943"/>
      <c r="U1470" s="842"/>
    </row>
    <row r="1471" customFormat="false" ht="15" hidden="false" customHeight="true" outlineLevel="0" collapsed="false">
      <c r="A1471" s="829" t="n">
        <v>168</v>
      </c>
      <c r="B1471" s="830" t="s">
        <v>2207</v>
      </c>
      <c r="C1471" s="830" t="n">
        <v>2024</v>
      </c>
      <c r="D1471" s="831" t="s">
        <v>6</v>
      </c>
      <c r="E1471" s="831" t="s">
        <v>2192</v>
      </c>
      <c r="F1471" s="832" t="s">
        <v>1651</v>
      </c>
      <c r="G1471" s="833"/>
      <c r="H1471" s="834" t="n">
        <v>32.5978</v>
      </c>
      <c r="I1471" s="835"/>
      <c r="J1471" s="835"/>
      <c r="K1471" s="836" t="n">
        <f aca="false">H1471*I1471/100</f>
        <v>0</v>
      </c>
      <c r="L1471" s="837" t="n">
        <v>1260</v>
      </c>
      <c r="M1471" s="1303" t="n">
        <v>1</v>
      </c>
      <c r="N1471" s="837" t="n">
        <f aca="false">L1471*M1471</f>
        <v>1260</v>
      </c>
      <c r="O1471" s="943" t="n">
        <f aca="false">H1471*N1471</f>
        <v>41073.228</v>
      </c>
      <c r="P1471" s="838" t="s">
        <v>2197</v>
      </c>
      <c r="Q1471" s="839" t="s">
        <v>2905</v>
      </c>
      <c r="R1471" s="1139" t="n">
        <v>28164.4992</v>
      </c>
      <c r="S1471" s="1719" t="n">
        <f aca="false">R1471/H1471</f>
        <v>864</v>
      </c>
      <c r="T1471" s="943" t="n">
        <f aca="false">O1471-R1471-R1472</f>
        <v>0</v>
      </c>
      <c r="U1471" s="842" t="n">
        <f aca="false">N1471-S1471-S1472</f>
        <v>0</v>
      </c>
    </row>
    <row r="1472" customFormat="false" ht="15" hidden="false" customHeight="true" outlineLevel="0" collapsed="false">
      <c r="A1472" s="829"/>
      <c r="B1472" s="830"/>
      <c r="C1472" s="830"/>
      <c r="D1472" s="887" t="s">
        <v>6</v>
      </c>
      <c r="E1472" s="887" t="s">
        <v>2192</v>
      </c>
      <c r="F1472" s="832"/>
      <c r="G1472" s="833"/>
      <c r="H1472" s="834"/>
      <c r="I1472" s="835"/>
      <c r="J1472" s="835"/>
      <c r="K1472" s="836"/>
      <c r="L1472" s="837"/>
      <c r="M1472" s="1303"/>
      <c r="N1472" s="837"/>
      <c r="O1472" s="943"/>
      <c r="P1472" s="888" t="s">
        <v>2197</v>
      </c>
      <c r="Q1472" s="889" t="s">
        <v>2906</v>
      </c>
      <c r="R1472" s="1080" t="n">
        <v>12908.7288</v>
      </c>
      <c r="S1472" s="1179" t="n">
        <f aca="false">R1472/H1471</f>
        <v>396</v>
      </c>
      <c r="T1472" s="943"/>
      <c r="U1472" s="842"/>
    </row>
    <row r="1473" customFormat="false" ht="15" hidden="false" customHeight="true" outlineLevel="0" collapsed="false">
      <c r="A1473" s="847" t="n">
        <v>171</v>
      </c>
      <c r="B1473" s="847" t="s">
        <v>81</v>
      </c>
      <c r="C1473" s="847" t="n">
        <v>2024</v>
      </c>
      <c r="D1473" s="848" t="s">
        <v>6</v>
      </c>
      <c r="E1473" s="848" t="s">
        <v>2192</v>
      </c>
      <c r="F1473" s="848" t="s">
        <v>2199</v>
      </c>
      <c r="G1473" s="849"/>
      <c r="H1473" s="949" t="n">
        <v>77.9</v>
      </c>
      <c r="I1473" s="950"/>
      <c r="J1473" s="950"/>
      <c r="K1473" s="875" t="n">
        <f aca="false">H1473*I1473/100</f>
        <v>0</v>
      </c>
      <c r="L1473" s="537" t="n">
        <v>24720</v>
      </c>
      <c r="M1473" s="1304" t="n">
        <v>1</v>
      </c>
      <c r="N1473" s="537" t="n">
        <f aca="false">L1473*M1473</f>
        <v>24720</v>
      </c>
      <c r="O1473" s="1009" t="n">
        <f aca="false">H1473*N1473</f>
        <v>1925688</v>
      </c>
      <c r="P1473" s="856" t="s">
        <v>2232</v>
      </c>
      <c r="Q1473" s="857" t="s">
        <v>2840</v>
      </c>
      <c r="R1473" s="1088" t="n">
        <v>1925688</v>
      </c>
      <c r="S1473" s="1719" t="n">
        <f aca="false">R1473/H1473</f>
        <v>24720</v>
      </c>
      <c r="T1473" s="1009" t="n">
        <f aca="false">O1473-R1473</f>
        <v>0</v>
      </c>
      <c r="U1473" s="537" t="n">
        <f aca="false">N1473-S1473</f>
        <v>0</v>
      </c>
    </row>
    <row r="1474" customFormat="false" ht="15" hidden="false" customHeight="true" outlineLevel="0" collapsed="false">
      <c r="A1474" s="847" t="n">
        <v>172</v>
      </c>
      <c r="B1474" s="847" t="s">
        <v>81</v>
      </c>
      <c r="C1474" s="847" t="n">
        <v>2024</v>
      </c>
      <c r="D1474" s="848" t="s">
        <v>6</v>
      </c>
      <c r="E1474" s="848" t="s">
        <v>2192</v>
      </c>
      <c r="F1474" s="848" t="s">
        <v>2199</v>
      </c>
      <c r="G1474" s="849"/>
      <c r="H1474" s="949" t="n">
        <v>77.9</v>
      </c>
      <c r="I1474" s="950"/>
      <c r="J1474" s="950"/>
      <c r="K1474" s="875" t="n">
        <f aca="false">H1474*I1474/100</f>
        <v>0</v>
      </c>
      <c r="L1474" s="537" t="n">
        <v>18300</v>
      </c>
      <c r="M1474" s="1304" t="n">
        <v>1</v>
      </c>
      <c r="N1474" s="537" t="n">
        <f aca="false">L1474*M1474</f>
        <v>18300</v>
      </c>
      <c r="O1474" s="1009" t="n">
        <f aca="false">H1474*N1474</f>
        <v>1425570</v>
      </c>
      <c r="P1474" s="856" t="s">
        <v>2232</v>
      </c>
      <c r="Q1474" s="857" t="s">
        <v>2814</v>
      </c>
      <c r="R1474" s="1088" t="n">
        <v>1425570</v>
      </c>
      <c r="S1474" s="1178" t="n">
        <f aca="false">R1474/H1474</f>
        <v>18300</v>
      </c>
      <c r="T1474" s="1009" t="n">
        <f aca="false">O1474-R1474</f>
        <v>0</v>
      </c>
      <c r="U1474" s="537" t="n">
        <f aca="false">N1474-S1474</f>
        <v>0</v>
      </c>
    </row>
    <row r="1475" customFormat="false" ht="15" hidden="false" customHeight="true" outlineLevel="0" collapsed="false">
      <c r="A1475" s="847" t="s">
        <v>2840</v>
      </c>
      <c r="B1475" s="847" t="s">
        <v>2230</v>
      </c>
      <c r="C1475" s="847" t="n">
        <v>2024</v>
      </c>
      <c r="D1475" s="848" t="s">
        <v>6</v>
      </c>
      <c r="E1475" s="848" t="s">
        <v>2192</v>
      </c>
      <c r="F1475" s="848" t="s">
        <v>2199</v>
      </c>
      <c r="G1475" s="849"/>
      <c r="H1475" s="949" t="n">
        <v>78.3817</v>
      </c>
      <c r="I1475" s="950"/>
      <c r="J1475" s="950"/>
      <c r="K1475" s="875" t="n">
        <f aca="false">H1475*I1475/100</f>
        <v>0</v>
      </c>
      <c r="L1475" s="537" t="n">
        <v>26957</v>
      </c>
      <c r="M1475" s="1304" t="n">
        <v>1</v>
      </c>
      <c r="N1475" s="537" t="n">
        <f aca="false">L1475*M1475</f>
        <v>26957</v>
      </c>
      <c r="O1475" s="953" t="n">
        <f aca="false">H1475*N1475</f>
        <v>2112935.4869</v>
      </c>
      <c r="P1475" s="856" t="s">
        <v>2200</v>
      </c>
      <c r="Q1475" s="857" t="s">
        <v>2300</v>
      </c>
      <c r="R1475" s="1088" t="n">
        <v>2112935.4869</v>
      </c>
      <c r="S1475" s="1178" t="n">
        <f aca="false">R1475/H1475</f>
        <v>26957</v>
      </c>
      <c r="T1475" s="953" t="n">
        <f aca="false">O1475-R1475</f>
        <v>0</v>
      </c>
      <c r="U1475" s="537" t="n">
        <f aca="false">N1475-S1475</f>
        <v>0</v>
      </c>
    </row>
    <row r="1476" customFormat="false" ht="15" hidden="false" customHeight="true" outlineLevel="0" collapsed="false">
      <c r="A1476" s="847" t="n">
        <v>174</v>
      </c>
      <c r="B1476" s="847" t="s">
        <v>81</v>
      </c>
      <c r="C1476" s="847" t="n">
        <v>2024</v>
      </c>
      <c r="D1476" s="848" t="s">
        <v>6</v>
      </c>
      <c r="E1476" s="848" t="s">
        <v>2192</v>
      </c>
      <c r="F1476" s="848" t="s">
        <v>2199</v>
      </c>
      <c r="G1476" s="849"/>
      <c r="H1476" s="949" t="n">
        <v>80.3</v>
      </c>
      <c r="I1476" s="950"/>
      <c r="J1476" s="950"/>
      <c r="K1476" s="875" t="n">
        <f aca="false">H1476*I1476/100</f>
        <v>0</v>
      </c>
      <c r="L1476" s="537" t="n">
        <v>24140</v>
      </c>
      <c r="M1476" s="1304" t="n">
        <v>1</v>
      </c>
      <c r="N1476" s="537" t="n">
        <f aca="false">L1476*M1476</f>
        <v>24140</v>
      </c>
      <c r="O1476" s="953" t="n">
        <f aca="false">H1476*N1476</f>
        <v>1938442</v>
      </c>
      <c r="P1476" s="856" t="s">
        <v>2232</v>
      </c>
      <c r="Q1476" s="857" t="s">
        <v>2814</v>
      </c>
      <c r="R1476" s="1088" t="n">
        <v>1938442</v>
      </c>
      <c r="S1476" s="1178" t="n">
        <f aca="false">R1476/H1476</f>
        <v>24140</v>
      </c>
      <c r="T1476" s="953" t="n">
        <f aca="false">O1476-R1476</f>
        <v>0</v>
      </c>
      <c r="U1476" s="537" t="n">
        <f aca="false">N1476-S1476</f>
        <v>0</v>
      </c>
    </row>
    <row r="1477" customFormat="false" ht="15" hidden="false" customHeight="true" outlineLevel="0" collapsed="false">
      <c r="A1477" s="847" t="n">
        <v>175</v>
      </c>
      <c r="B1477" s="847" t="s">
        <v>81</v>
      </c>
      <c r="C1477" s="847" t="n">
        <v>2024</v>
      </c>
      <c r="D1477" s="848" t="s">
        <v>6</v>
      </c>
      <c r="E1477" s="848" t="s">
        <v>2192</v>
      </c>
      <c r="F1477" s="848" t="s">
        <v>2199</v>
      </c>
      <c r="G1477" s="849"/>
      <c r="H1477" s="949" t="n">
        <v>79.6</v>
      </c>
      <c r="I1477" s="950"/>
      <c r="J1477" s="950"/>
      <c r="K1477" s="875" t="n">
        <f aca="false">H1477*I1477/100</f>
        <v>0</v>
      </c>
      <c r="L1477" s="537" t="n">
        <v>9100</v>
      </c>
      <c r="M1477" s="1304" t="n">
        <v>1</v>
      </c>
      <c r="N1477" s="537" t="n">
        <f aca="false">L1477*M1477</f>
        <v>9100</v>
      </c>
      <c r="O1477" s="953" t="n">
        <f aca="false">H1477*N1477</f>
        <v>724360</v>
      </c>
      <c r="P1477" s="856" t="s">
        <v>2232</v>
      </c>
      <c r="Q1477" s="857" t="s">
        <v>2887</v>
      </c>
      <c r="R1477" s="1088" t="n">
        <v>724360</v>
      </c>
      <c r="S1477" s="1140" t="n">
        <f aca="false">R1477/H1477</f>
        <v>9100</v>
      </c>
      <c r="T1477" s="953" t="n">
        <f aca="false">O1477-R1477</f>
        <v>0</v>
      </c>
      <c r="U1477" s="537" t="n">
        <f aca="false">N1477-S1477</f>
        <v>0</v>
      </c>
    </row>
    <row r="1478" customFormat="false" ht="15" hidden="false" customHeight="true" outlineLevel="0" collapsed="false">
      <c r="A1478" s="903" t="s">
        <v>2814</v>
      </c>
      <c r="B1478" s="903" t="s">
        <v>2230</v>
      </c>
      <c r="C1478" s="903" t="n">
        <v>2024</v>
      </c>
      <c r="D1478" s="904" t="s">
        <v>6</v>
      </c>
      <c r="E1478" s="904" t="s">
        <v>2192</v>
      </c>
      <c r="F1478" s="904" t="s">
        <v>2199</v>
      </c>
      <c r="G1478" s="905"/>
      <c r="H1478" s="946" t="n">
        <v>81.5644</v>
      </c>
      <c r="I1478" s="947"/>
      <c r="J1478" s="947"/>
      <c r="K1478" s="875" t="n">
        <f aca="false">H1478*I1478/100</f>
        <v>0</v>
      </c>
      <c r="L1478" s="942" t="n">
        <v>26240</v>
      </c>
      <c r="M1478" s="1305" t="n">
        <v>1</v>
      </c>
      <c r="N1478" s="942" t="n">
        <f aca="false">L1478*M1478</f>
        <v>26240</v>
      </c>
      <c r="O1478" s="948" t="n">
        <f aca="false">H1478*N1478</f>
        <v>2140249.856</v>
      </c>
      <c r="P1478" s="910" t="s">
        <v>2200</v>
      </c>
      <c r="Q1478" s="911" t="s">
        <v>2331</v>
      </c>
      <c r="R1478" s="1025" t="n">
        <v>2140249.856</v>
      </c>
      <c r="S1478" s="1720" t="n">
        <f aca="false">R1478/H1478</f>
        <v>26240</v>
      </c>
      <c r="T1478" s="948" t="n">
        <f aca="false">O1478-R1478</f>
        <v>0</v>
      </c>
      <c r="U1478" s="942" t="n">
        <f aca="false">N1478-S1478</f>
        <v>0</v>
      </c>
    </row>
    <row r="1479" customFormat="false" ht="15" hidden="false" customHeight="true" outlineLevel="0" collapsed="false">
      <c r="A1479" s="881" t="n">
        <v>134</v>
      </c>
      <c r="B1479" s="882" t="s">
        <v>86</v>
      </c>
      <c r="C1479" s="883" t="n">
        <v>2024</v>
      </c>
      <c r="D1479" s="831" t="s">
        <v>6</v>
      </c>
      <c r="E1479" s="831" t="s">
        <v>2192</v>
      </c>
      <c r="F1479" s="832" t="s">
        <v>1650</v>
      </c>
      <c r="G1479" s="833"/>
      <c r="H1479" s="834" t="n">
        <v>96.6</v>
      </c>
      <c r="I1479" s="835"/>
      <c r="J1479" s="835"/>
      <c r="K1479" s="836" t="n">
        <f aca="false">H1479*I1479/100</f>
        <v>0</v>
      </c>
      <c r="L1479" s="837" t="n">
        <v>20153</v>
      </c>
      <c r="M1479" s="1303" t="n">
        <v>1</v>
      </c>
      <c r="N1479" s="837" t="n">
        <f aca="false">L1479*M1479</f>
        <v>20153</v>
      </c>
      <c r="O1479" s="943" t="n">
        <f aca="false">H1479*N1479</f>
        <v>1946779.8</v>
      </c>
      <c r="P1479" s="838" t="s">
        <v>2197</v>
      </c>
      <c r="Q1479" s="839" t="s">
        <v>2907</v>
      </c>
      <c r="R1479" s="1139" t="n">
        <v>205758</v>
      </c>
      <c r="S1479" s="1719" t="n">
        <f aca="false">R1479/H1479</f>
        <v>2130</v>
      </c>
      <c r="T1479" s="943" t="n">
        <f aca="false">O1479-R1479-R1481-R1480</f>
        <v>0</v>
      </c>
      <c r="U1479" s="842" t="n">
        <f aca="false">N1479-S1479-S1481-S1480</f>
        <v>0</v>
      </c>
    </row>
    <row r="1480" customFormat="false" ht="15" hidden="false" customHeight="true" outlineLevel="0" collapsed="false">
      <c r="A1480" s="881"/>
      <c r="B1480" s="882"/>
      <c r="C1480" s="883"/>
      <c r="D1480" s="860" t="s">
        <v>6</v>
      </c>
      <c r="E1480" s="860" t="s">
        <v>2192</v>
      </c>
      <c r="F1480" s="832"/>
      <c r="G1480" s="833"/>
      <c r="H1480" s="834"/>
      <c r="I1480" s="835"/>
      <c r="J1480" s="835"/>
      <c r="K1480" s="836"/>
      <c r="L1480" s="837"/>
      <c r="M1480" s="1303"/>
      <c r="N1480" s="837"/>
      <c r="O1480" s="943"/>
      <c r="P1480" s="868" t="s">
        <v>2193</v>
      </c>
      <c r="Q1480" s="869" t="s">
        <v>2342</v>
      </c>
      <c r="R1480" s="1018" t="n">
        <v>775987.8</v>
      </c>
      <c r="S1480" s="1178" t="n">
        <f aca="false">R1480/H1479</f>
        <v>8033</v>
      </c>
      <c r="T1480" s="943"/>
      <c r="U1480" s="842"/>
    </row>
    <row r="1481" customFormat="false" ht="15" hidden="false" customHeight="true" outlineLevel="0" collapsed="false">
      <c r="A1481" s="881"/>
      <c r="B1481" s="882"/>
      <c r="C1481" s="883"/>
      <c r="D1481" s="887" t="s">
        <v>6</v>
      </c>
      <c r="E1481" s="887" t="s">
        <v>2192</v>
      </c>
      <c r="F1481" s="832"/>
      <c r="G1481" s="833"/>
      <c r="H1481" s="834"/>
      <c r="I1481" s="835"/>
      <c r="J1481" s="835"/>
      <c r="K1481" s="836"/>
      <c r="L1481" s="837"/>
      <c r="M1481" s="1303"/>
      <c r="N1481" s="837"/>
      <c r="O1481" s="943"/>
      <c r="P1481" s="888" t="s">
        <v>2197</v>
      </c>
      <c r="Q1481" s="889" t="s">
        <v>2908</v>
      </c>
      <c r="R1481" s="1080" t="n">
        <v>965034</v>
      </c>
      <c r="S1481" s="1142" t="n">
        <f aca="false">R1481/H1479</f>
        <v>9990</v>
      </c>
      <c r="T1481" s="943"/>
      <c r="U1481" s="842"/>
    </row>
    <row r="1482" customFormat="false" ht="15" hidden="false" customHeight="true" outlineLevel="0" collapsed="false">
      <c r="A1482" s="881"/>
      <c r="B1482" s="847" t="s">
        <v>86</v>
      </c>
      <c r="C1482" s="847" t="n">
        <v>2024</v>
      </c>
      <c r="D1482" s="848" t="s">
        <v>6</v>
      </c>
      <c r="E1482" s="848" t="s">
        <v>2203</v>
      </c>
      <c r="F1482" s="848"/>
      <c r="G1482" s="849"/>
      <c r="H1482" s="949" t="n">
        <v>3.5</v>
      </c>
      <c r="I1482" s="950"/>
      <c r="J1482" s="950"/>
      <c r="K1482" s="852" t="n">
        <f aca="false">H1482*I1482/100</f>
        <v>0</v>
      </c>
      <c r="L1482" s="537" t="n">
        <v>3881</v>
      </c>
      <c r="M1482" s="1304" t="n">
        <v>1</v>
      </c>
      <c r="N1482" s="537" t="n">
        <f aca="false">L1482*M1482</f>
        <v>3881</v>
      </c>
      <c r="O1482" s="953" t="n">
        <f aca="false">H1482*N1482</f>
        <v>13583.5</v>
      </c>
      <c r="P1482" s="856" t="s">
        <v>2204</v>
      </c>
      <c r="Q1482" s="857" t="n">
        <v>28022025</v>
      </c>
      <c r="R1482" s="1088" t="n">
        <v>13583.5</v>
      </c>
      <c r="S1482" s="1719" t="n">
        <f aca="false">R1482/H1482</f>
        <v>3881</v>
      </c>
      <c r="T1482" s="953" t="n">
        <f aca="false">O1482-R1482</f>
        <v>0</v>
      </c>
      <c r="U1482" s="892" t="n">
        <f aca="false">N1482-S1482</f>
        <v>0</v>
      </c>
    </row>
    <row r="1483" customFormat="false" ht="15" hidden="false" customHeight="true" outlineLevel="0" collapsed="false">
      <c r="A1483" s="881"/>
      <c r="B1483" s="859" t="s">
        <v>86</v>
      </c>
      <c r="C1483" s="859" t="n">
        <v>2024</v>
      </c>
      <c r="D1483" s="860" t="s">
        <v>6</v>
      </c>
      <c r="E1483" s="860" t="s">
        <v>2241</v>
      </c>
      <c r="F1483" s="860"/>
      <c r="G1483" s="861"/>
      <c r="H1483" s="980" t="n">
        <v>43.9</v>
      </c>
      <c r="I1483" s="981"/>
      <c r="J1483" s="981"/>
      <c r="K1483" s="864" t="n">
        <f aca="false">H1483*I1483/100</f>
        <v>0</v>
      </c>
      <c r="L1483" s="543" t="n">
        <v>105</v>
      </c>
      <c r="M1483" s="1300" t="n">
        <v>1</v>
      </c>
      <c r="N1483" s="543" t="n">
        <f aca="false">L1483*M1483</f>
        <v>105</v>
      </c>
      <c r="O1483" s="1449" t="n">
        <f aca="false">H1483*N1483</f>
        <v>4609.5</v>
      </c>
      <c r="P1483" s="868" t="s">
        <v>2200</v>
      </c>
      <c r="Q1483" s="869" t="s">
        <v>2826</v>
      </c>
      <c r="R1483" s="1721" t="n">
        <v>4609.5</v>
      </c>
      <c r="S1483" s="1178" t="n">
        <f aca="false">R1483/H1483</f>
        <v>105</v>
      </c>
      <c r="T1483" s="1722" t="n">
        <f aca="false">O1483-R1483</f>
        <v>0</v>
      </c>
      <c r="U1483" s="892" t="n">
        <f aca="false">N1483-S1483</f>
        <v>0</v>
      </c>
    </row>
    <row r="1484" customFormat="false" ht="15" hidden="false" customHeight="true" outlineLevel="0" collapsed="false">
      <c r="A1484" s="881"/>
      <c r="B1484" s="893" t="s">
        <v>86</v>
      </c>
      <c r="C1484" s="893" t="n">
        <v>2024</v>
      </c>
      <c r="D1484" s="843" t="s">
        <v>6</v>
      </c>
      <c r="E1484" s="843" t="s">
        <v>2205</v>
      </c>
      <c r="F1484" s="843"/>
      <c r="G1484" s="894"/>
      <c r="H1484" s="1103" t="n">
        <v>15.4</v>
      </c>
      <c r="I1484" s="1104"/>
      <c r="J1484" s="1104"/>
      <c r="K1484" s="897" t="n">
        <f aca="false">H1484*I1484/100</f>
        <v>0</v>
      </c>
      <c r="L1484" s="589" t="n">
        <v>1646</v>
      </c>
      <c r="M1484" s="1713" t="n">
        <v>1</v>
      </c>
      <c r="N1484" s="589" t="n">
        <f aca="false">L1484*M1484</f>
        <v>1646</v>
      </c>
      <c r="O1484" s="1183" t="n">
        <f aca="false">H1484*N1484</f>
        <v>25348.4</v>
      </c>
      <c r="P1484" s="844" t="s">
        <v>2204</v>
      </c>
      <c r="Q1484" s="845" t="n">
        <v>28022025</v>
      </c>
      <c r="R1484" s="901" t="n">
        <v>25348.4</v>
      </c>
      <c r="S1484" s="1142" t="n">
        <f aca="false">R1484/H1484</f>
        <v>1646</v>
      </c>
      <c r="T1484" s="1452" t="n">
        <f aca="false">O1484-R1484</f>
        <v>0</v>
      </c>
      <c r="U1484" s="1070" t="n">
        <f aca="false">N1484-S1484</f>
        <v>0</v>
      </c>
    </row>
    <row r="1485" customFormat="false" ht="15" hidden="false" customHeight="true" outlineLevel="0" collapsed="false">
      <c r="A1485" s="903" t="s">
        <v>2824</v>
      </c>
      <c r="B1485" s="903" t="s">
        <v>2230</v>
      </c>
      <c r="C1485" s="903" t="n">
        <v>2024</v>
      </c>
      <c r="D1485" s="904" t="s">
        <v>6</v>
      </c>
      <c r="E1485" s="904" t="s">
        <v>2192</v>
      </c>
      <c r="F1485" s="904" t="s">
        <v>2199</v>
      </c>
      <c r="G1485" s="905"/>
      <c r="H1485" s="946" t="n">
        <v>78.2583</v>
      </c>
      <c r="I1485" s="947"/>
      <c r="J1485" s="947"/>
      <c r="K1485" s="939" t="n">
        <f aca="false">H1485*I1485/100</f>
        <v>0</v>
      </c>
      <c r="L1485" s="942" t="n">
        <v>19713</v>
      </c>
      <c r="M1485" s="1305" t="n">
        <v>1</v>
      </c>
      <c r="N1485" s="942" t="n">
        <f aca="false">L1485*M1485</f>
        <v>19713</v>
      </c>
      <c r="O1485" s="948" t="n">
        <f aca="false">H1485*N1485</f>
        <v>1542705.8679</v>
      </c>
      <c r="P1485" s="910" t="s">
        <v>2200</v>
      </c>
      <c r="Q1485" s="911" t="s">
        <v>2429</v>
      </c>
      <c r="R1485" s="1025" t="n">
        <v>1542705.8679</v>
      </c>
      <c r="S1485" s="1720" t="n">
        <f aca="false">R1485/H1485</f>
        <v>19713</v>
      </c>
      <c r="T1485" s="948" t="n">
        <f aca="false">O1485-R1485</f>
        <v>0</v>
      </c>
      <c r="U1485" s="942" t="n">
        <f aca="false">N1485-S1485</f>
        <v>0</v>
      </c>
    </row>
    <row r="1486" customFormat="false" ht="15" hidden="false" customHeight="true" outlineLevel="0" collapsed="false">
      <c r="A1486" s="881" t="n">
        <v>197</v>
      </c>
      <c r="B1486" s="883" t="s">
        <v>2207</v>
      </c>
      <c r="C1486" s="1723" t="n">
        <v>2024</v>
      </c>
      <c r="D1486" s="831" t="s">
        <v>6</v>
      </c>
      <c r="E1486" s="831" t="s">
        <v>2192</v>
      </c>
      <c r="F1486" s="832" t="s">
        <v>1652</v>
      </c>
      <c r="G1486" s="833"/>
      <c r="H1486" s="834" t="n">
        <v>44.8703</v>
      </c>
      <c r="I1486" s="835"/>
      <c r="J1486" s="835"/>
      <c r="K1486" s="836" t="n">
        <f aca="false">H1486*I1486/100</f>
        <v>0</v>
      </c>
      <c r="L1486" s="837" t="n">
        <v>17294</v>
      </c>
      <c r="M1486" s="1303" t="n">
        <v>1</v>
      </c>
      <c r="N1486" s="837" t="n">
        <f aca="false">L1486*M1486</f>
        <v>17294</v>
      </c>
      <c r="O1486" s="943" t="n">
        <f aca="false">H1486*N1486</f>
        <v>775986.9682</v>
      </c>
      <c r="P1486" s="838" t="s">
        <v>2197</v>
      </c>
      <c r="Q1486" s="839" t="s">
        <v>2909</v>
      </c>
      <c r="R1486" s="1139" t="n">
        <v>430754.88</v>
      </c>
      <c r="S1486" s="1719" t="n">
        <f aca="false">R1486/H1486</f>
        <v>9600</v>
      </c>
      <c r="T1486" s="943" t="n">
        <f aca="false">O1486-R1486-R1488-R1487</f>
        <v>0</v>
      </c>
      <c r="U1486" s="842" t="n">
        <f aca="false">N1486-S1486-S1488-S1487</f>
        <v>9.66338120633736E-013</v>
      </c>
    </row>
    <row r="1487" customFormat="false" ht="15" hidden="false" customHeight="true" outlineLevel="0" collapsed="false">
      <c r="A1487" s="881"/>
      <c r="B1487" s="883"/>
      <c r="C1487" s="1723"/>
      <c r="D1487" s="860" t="s">
        <v>6</v>
      </c>
      <c r="E1487" s="860" t="s">
        <v>2192</v>
      </c>
      <c r="F1487" s="832"/>
      <c r="G1487" s="833"/>
      <c r="H1487" s="834"/>
      <c r="I1487" s="835"/>
      <c r="J1487" s="835"/>
      <c r="K1487" s="836"/>
      <c r="L1487" s="837"/>
      <c r="M1487" s="1303"/>
      <c r="N1487" s="837"/>
      <c r="O1487" s="943"/>
      <c r="P1487" s="868" t="s">
        <v>2197</v>
      </c>
      <c r="Q1487" s="869" t="s">
        <v>2910</v>
      </c>
      <c r="R1487" s="1018" t="n">
        <v>22165.9282</v>
      </c>
      <c r="S1487" s="1178" t="n">
        <f aca="false">R1487/H1486</f>
        <v>494</v>
      </c>
      <c r="T1487" s="943"/>
      <c r="U1487" s="842"/>
    </row>
    <row r="1488" customFormat="false" ht="15" hidden="false" customHeight="true" outlineLevel="0" collapsed="false">
      <c r="A1488" s="881"/>
      <c r="B1488" s="883"/>
      <c r="C1488" s="1723"/>
      <c r="D1488" s="887" t="s">
        <v>6</v>
      </c>
      <c r="E1488" s="887" t="s">
        <v>2192</v>
      </c>
      <c r="F1488" s="832"/>
      <c r="G1488" s="833"/>
      <c r="H1488" s="834"/>
      <c r="I1488" s="835"/>
      <c r="J1488" s="835"/>
      <c r="K1488" s="836"/>
      <c r="L1488" s="837"/>
      <c r="M1488" s="1303"/>
      <c r="N1488" s="837"/>
      <c r="O1488" s="943"/>
      <c r="P1488" s="888" t="s">
        <v>2197</v>
      </c>
      <c r="Q1488" s="889" t="s">
        <v>2911</v>
      </c>
      <c r="R1488" s="1080" t="n">
        <v>323066.16</v>
      </c>
      <c r="S1488" s="1142" t="n">
        <f aca="false">R1488/H1486</f>
        <v>7200</v>
      </c>
      <c r="T1488" s="943"/>
      <c r="U1488" s="842"/>
    </row>
    <row r="1489" customFormat="false" ht="15" hidden="false" customHeight="true" outlineLevel="0" collapsed="false">
      <c r="A1489" s="903" t="s">
        <v>2887</v>
      </c>
      <c r="B1489" s="903" t="s">
        <v>2230</v>
      </c>
      <c r="C1489" s="903" t="n">
        <v>2024</v>
      </c>
      <c r="D1489" s="904" t="s">
        <v>6</v>
      </c>
      <c r="E1489" s="904" t="s">
        <v>2192</v>
      </c>
      <c r="F1489" s="904" t="s">
        <v>2199</v>
      </c>
      <c r="G1489" s="905"/>
      <c r="H1489" s="946" t="n">
        <v>83.7409</v>
      </c>
      <c r="I1489" s="947"/>
      <c r="J1489" s="947"/>
      <c r="K1489" s="939" t="n">
        <f aca="false">H1489*I1489/100</f>
        <v>0</v>
      </c>
      <c r="L1489" s="942" t="n">
        <v>12360</v>
      </c>
      <c r="M1489" s="1305" t="n">
        <v>1</v>
      </c>
      <c r="N1489" s="942" t="n">
        <f aca="false">L1489*M1489</f>
        <v>12360</v>
      </c>
      <c r="O1489" s="948" t="n">
        <f aca="false">H1489*N1489</f>
        <v>1035037.524</v>
      </c>
      <c r="P1489" s="910" t="s">
        <v>2200</v>
      </c>
      <c r="Q1489" s="911" t="s">
        <v>2559</v>
      </c>
      <c r="R1489" s="1025" t="n">
        <v>1035037.524</v>
      </c>
      <c r="S1489" s="1719" t="n">
        <f aca="false">R1489/H1489</f>
        <v>12360</v>
      </c>
      <c r="T1489" s="948" t="n">
        <f aca="false">O1489-R1489</f>
        <v>0</v>
      </c>
      <c r="U1489" s="942" t="n">
        <f aca="false">N1489-S1489</f>
        <v>0</v>
      </c>
    </row>
    <row r="1490" customFormat="false" ht="15" hidden="false" customHeight="true" outlineLevel="0" collapsed="false">
      <c r="A1490" s="881" t="n">
        <v>135</v>
      </c>
      <c r="B1490" s="829" t="s">
        <v>86</v>
      </c>
      <c r="C1490" s="830" t="n">
        <v>2024</v>
      </c>
      <c r="D1490" s="831" t="s">
        <v>6</v>
      </c>
      <c r="E1490" s="831" t="s">
        <v>2192</v>
      </c>
      <c r="F1490" s="832" t="s">
        <v>1650</v>
      </c>
      <c r="G1490" s="833"/>
      <c r="H1490" s="834" t="n">
        <v>94.7</v>
      </c>
      <c r="I1490" s="835"/>
      <c r="J1490" s="835"/>
      <c r="K1490" s="836" t="n">
        <f aca="false">H1490*I1490/100</f>
        <v>0</v>
      </c>
      <c r="L1490" s="837" t="n">
        <v>19778</v>
      </c>
      <c r="M1490" s="1303" t="n">
        <v>1</v>
      </c>
      <c r="N1490" s="837" t="n">
        <f aca="false">L1490*M1490</f>
        <v>19778</v>
      </c>
      <c r="O1490" s="943" t="n">
        <f aca="false">H1490*N1490</f>
        <v>1872976.6</v>
      </c>
      <c r="P1490" s="838" t="s">
        <v>2193</v>
      </c>
      <c r="Q1490" s="839" t="s">
        <v>2912</v>
      </c>
      <c r="R1490" s="1139" t="n">
        <v>1039616.6</v>
      </c>
      <c r="S1490" s="1719" t="n">
        <f aca="false">R1490/H1490</f>
        <v>10978</v>
      </c>
      <c r="T1490" s="841" t="n">
        <f aca="false">O1490-R1490-R1491</f>
        <v>0</v>
      </c>
      <c r="U1490" s="842" t="n">
        <f aca="false">N1490-S1490-S1491</f>
        <v>0</v>
      </c>
    </row>
    <row r="1491" customFormat="false" ht="15" hidden="false" customHeight="true" outlineLevel="0" collapsed="false">
      <c r="A1491" s="881"/>
      <c r="B1491" s="829"/>
      <c r="C1491" s="830"/>
      <c r="D1491" s="887" t="s">
        <v>6</v>
      </c>
      <c r="E1491" s="887" t="s">
        <v>2192</v>
      </c>
      <c r="F1491" s="832"/>
      <c r="G1491" s="833"/>
      <c r="H1491" s="834"/>
      <c r="I1491" s="835"/>
      <c r="J1491" s="835"/>
      <c r="K1491" s="836"/>
      <c r="L1491" s="837"/>
      <c r="M1491" s="1303"/>
      <c r="N1491" s="837"/>
      <c r="O1491" s="943"/>
      <c r="P1491" s="888" t="s">
        <v>2193</v>
      </c>
      <c r="Q1491" s="889" t="s">
        <v>2453</v>
      </c>
      <c r="R1491" s="1080" t="n">
        <v>833360</v>
      </c>
      <c r="S1491" s="1179" t="n">
        <f aca="false">R1491/H1490</f>
        <v>8800</v>
      </c>
      <c r="T1491" s="841"/>
      <c r="U1491" s="842"/>
    </row>
    <row r="1492" customFormat="false" ht="15" hidden="false" customHeight="true" outlineLevel="0" collapsed="false">
      <c r="A1492" s="881"/>
      <c r="B1492" s="903" t="s">
        <v>86</v>
      </c>
      <c r="C1492" s="903" t="n">
        <v>2024</v>
      </c>
      <c r="D1492" s="904" t="s">
        <v>6</v>
      </c>
      <c r="E1492" s="904" t="s">
        <v>2203</v>
      </c>
      <c r="F1492" s="904"/>
      <c r="G1492" s="905"/>
      <c r="H1492" s="946" t="n">
        <v>6.4</v>
      </c>
      <c r="I1492" s="947"/>
      <c r="J1492" s="947"/>
      <c r="K1492" s="939" t="n">
        <f aca="false">H1492*I1492/100</f>
        <v>0</v>
      </c>
      <c r="L1492" s="942" t="n">
        <v>3610</v>
      </c>
      <c r="M1492" s="1305" t="n">
        <v>1</v>
      </c>
      <c r="N1492" s="942" t="n">
        <f aca="false">L1492*M1492</f>
        <v>3610</v>
      </c>
      <c r="O1492" s="948" t="n">
        <f aca="false">H1492*N1492</f>
        <v>23104</v>
      </c>
      <c r="P1492" s="910" t="s">
        <v>2200</v>
      </c>
      <c r="Q1492" s="911" t="s">
        <v>2826</v>
      </c>
      <c r="R1492" s="1025" t="n">
        <v>23104</v>
      </c>
      <c r="S1492" s="1668" t="n">
        <f aca="false">R1492/H1492</f>
        <v>3610</v>
      </c>
      <c r="T1492" s="948" t="n">
        <f aca="false">O1492-R1492</f>
        <v>0</v>
      </c>
      <c r="U1492" s="1026" t="n">
        <f aca="false">N1492-S1492</f>
        <v>0</v>
      </c>
    </row>
    <row r="1493" customFormat="false" ht="15" hidden="false" customHeight="true" outlineLevel="0" collapsed="false">
      <c r="A1493" s="881"/>
      <c r="B1493" s="829" t="s">
        <v>86</v>
      </c>
      <c r="C1493" s="830" t="n">
        <v>2024</v>
      </c>
      <c r="D1493" s="1328" t="s">
        <v>6</v>
      </c>
      <c r="E1493" s="1328" t="s">
        <v>2205</v>
      </c>
      <c r="F1493" s="830"/>
      <c r="G1493" s="833"/>
      <c r="H1493" s="834" t="n">
        <v>4.8</v>
      </c>
      <c r="I1493" s="835"/>
      <c r="J1493" s="835"/>
      <c r="K1493" s="836" t="n">
        <f aca="false">H1493*I1493/100</f>
        <v>0</v>
      </c>
      <c r="L1493" s="837" t="n">
        <v>1950</v>
      </c>
      <c r="M1493" s="1303" t="n">
        <v>1</v>
      </c>
      <c r="N1493" s="837" t="n">
        <f aca="false">L1493*M1493</f>
        <v>1950</v>
      </c>
      <c r="O1493" s="943" t="n">
        <f aca="false">H1493*N1493</f>
        <v>9360</v>
      </c>
      <c r="P1493" s="884"/>
      <c r="Q1493" s="885" t="s">
        <v>2889</v>
      </c>
      <c r="R1493" s="1016" t="n">
        <v>2308.8</v>
      </c>
      <c r="S1493" s="1724" t="n">
        <f aca="false">R1493/H1493</f>
        <v>481</v>
      </c>
      <c r="T1493" s="943" t="n">
        <f aca="false">O1493-R1493-R1494</f>
        <v>0</v>
      </c>
      <c r="U1493" s="842" t="n">
        <f aca="false">N1493-S1493-S1494</f>
        <v>0</v>
      </c>
    </row>
    <row r="1494" customFormat="false" ht="15" hidden="false" customHeight="true" outlineLevel="0" collapsed="false">
      <c r="A1494" s="881"/>
      <c r="B1494" s="829"/>
      <c r="C1494" s="830"/>
      <c r="D1494" s="843" t="s">
        <v>6</v>
      </c>
      <c r="E1494" s="843" t="s">
        <v>2205</v>
      </c>
      <c r="F1494" s="830"/>
      <c r="G1494" s="833"/>
      <c r="H1494" s="834"/>
      <c r="I1494" s="835"/>
      <c r="J1494" s="835"/>
      <c r="K1494" s="836"/>
      <c r="L1494" s="837"/>
      <c r="M1494" s="1303"/>
      <c r="N1494" s="837"/>
      <c r="O1494" s="943"/>
      <c r="P1494" s="844" t="s">
        <v>2200</v>
      </c>
      <c r="Q1494" s="845" t="s">
        <v>2826</v>
      </c>
      <c r="R1494" s="901" t="n">
        <v>7051.2</v>
      </c>
      <c r="S1494" s="1179" t="n">
        <f aca="false">R1494/H1493</f>
        <v>1469</v>
      </c>
      <c r="T1494" s="943"/>
      <c r="U1494" s="842"/>
    </row>
    <row r="1495" customFormat="false" ht="15" hidden="false" customHeight="true" outlineLevel="0" collapsed="false">
      <c r="A1495" s="881" t="n">
        <v>136</v>
      </c>
      <c r="B1495" s="1609" t="s">
        <v>86</v>
      </c>
      <c r="C1495" s="1610" t="n">
        <v>2024</v>
      </c>
      <c r="D1495" s="848" t="s">
        <v>6</v>
      </c>
      <c r="E1495" s="848" t="s">
        <v>2192</v>
      </c>
      <c r="F1495" s="904" t="s">
        <v>1650</v>
      </c>
      <c r="G1495" s="905"/>
      <c r="H1495" s="946" t="n">
        <v>94.8</v>
      </c>
      <c r="I1495" s="947"/>
      <c r="J1495" s="947"/>
      <c r="K1495" s="939" t="n">
        <f aca="false">H1495*I1495/100</f>
        <v>0</v>
      </c>
      <c r="L1495" s="942" t="n">
        <v>14326</v>
      </c>
      <c r="M1495" s="1305" t="n">
        <v>1</v>
      </c>
      <c r="N1495" s="942" t="n">
        <f aca="false">L1495*M1495</f>
        <v>14326</v>
      </c>
      <c r="O1495" s="948" t="n">
        <f aca="false">H1495*N1495</f>
        <v>1358104.8</v>
      </c>
      <c r="P1495" s="856" t="s">
        <v>2193</v>
      </c>
      <c r="Q1495" s="857" t="s">
        <v>2455</v>
      </c>
      <c r="R1495" s="1088" t="n">
        <v>648432</v>
      </c>
      <c r="S1495" s="1140" t="n">
        <f aca="false">R1495/H1495</f>
        <v>6840</v>
      </c>
      <c r="T1495" s="1058" t="n">
        <f aca="false">O1495-R1495-R1496</f>
        <v>0</v>
      </c>
      <c r="U1495" s="1026" t="n">
        <f aca="false">N1495-S1495-S1496</f>
        <v>0</v>
      </c>
    </row>
    <row r="1496" customFormat="false" ht="15" hidden="false" customHeight="true" outlineLevel="0" collapsed="false">
      <c r="A1496" s="881"/>
      <c r="B1496" s="1609"/>
      <c r="C1496" s="1610"/>
      <c r="D1496" s="871" t="s">
        <v>6</v>
      </c>
      <c r="E1496" s="871" t="s">
        <v>2192</v>
      </c>
      <c r="F1496" s="904"/>
      <c r="G1496" s="905"/>
      <c r="H1496" s="946"/>
      <c r="I1496" s="947"/>
      <c r="J1496" s="947"/>
      <c r="K1496" s="939"/>
      <c r="L1496" s="942"/>
      <c r="M1496" s="1305"/>
      <c r="N1496" s="942"/>
      <c r="O1496" s="948"/>
      <c r="P1496" s="879" t="s">
        <v>2232</v>
      </c>
      <c r="Q1496" s="880" t="s">
        <v>2389</v>
      </c>
      <c r="R1496" s="1038" t="n">
        <v>709672.8</v>
      </c>
      <c r="S1496" s="1668" t="n">
        <f aca="false">R1496/H1495</f>
        <v>7486</v>
      </c>
      <c r="T1496" s="1058"/>
      <c r="U1496" s="1026"/>
    </row>
    <row r="1497" customFormat="false" ht="15" hidden="false" customHeight="true" outlineLevel="0" collapsed="false">
      <c r="A1497" s="881"/>
      <c r="B1497" s="829" t="s">
        <v>86</v>
      </c>
      <c r="C1497" s="830" t="n">
        <v>2024</v>
      </c>
      <c r="D1497" s="1365" t="s">
        <v>6</v>
      </c>
      <c r="E1497" s="1365" t="s">
        <v>2203</v>
      </c>
      <c r="F1497" s="830"/>
      <c r="G1497" s="833"/>
      <c r="H1497" s="834" t="n">
        <v>30.2</v>
      </c>
      <c r="I1497" s="835"/>
      <c r="J1497" s="835"/>
      <c r="K1497" s="836" t="n">
        <f aca="false">H1497*I1497/100</f>
        <v>0</v>
      </c>
      <c r="L1497" s="837" t="n">
        <v>3669</v>
      </c>
      <c r="M1497" s="1303" t="n">
        <v>1</v>
      </c>
      <c r="N1497" s="837" t="n">
        <f aca="false">L1497*M1497</f>
        <v>3669</v>
      </c>
      <c r="O1497" s="943" t="n">
        <f aca="false">H1497*N1497</f>
        <v>110803.8</v>
      </c>
      <c r="P1497" s="884" t="s">
        <v>2232</v>
      </c>
      <c r="Q1497" s="885" t="s">
        <v>2678</v>
      </c>
      <c r="R1497" s="1016" t="n">
        <v>6040</v>
      </c>
      <c r="S1497" s="1719" t="n">
        <f aca="false">R1497/H1497</f>
        <v>200</v>
      </c>
      <c r="T1497" s="943" t="n">
        <f aca="false">O1497-R1497-R1498</f>
        <v>0</v>
      </c>
      <c r="U1497" s="842" t="n">
        <f aca="false">N1497-S1497-S1498</f>
        <v>0</v>
      </c>
    </row>
    <row r="1498" customFormat="false" ht="15" hidden="false" customHeight="true" outlineLevel="0" collapsed="false">
      <c r="A1498" s="881"/>
      <c r="B1498" s="829"/>
      <c r="C1498" s="830"/>
      <c r="D1498" s="1357" t="s">
        <v>6</v>
      </c>
      <c r="E1498" s="1357" t="s">
        <v>2203</v>
      </c>
      <c r="F1498" s="830"/>
      <c r="G1498" s="833"/>
      <c r="H1498" s="834"/>
      <c r="I1498" s="835"/>
      <c r="J1498" s="835"/>
      <c r="K1498" s="836"/>
      <c r="L1498" s="837"/>
      <c r="M1498" s="1303"/>
      <c r="N1498" s="837"/>
      <c r="O1498" s="943"/>
      <c r="P1498" s="844" t="s">
        <v>2200</v>
      </c>
      <c r="Q1498" s="845" t="s">
        <v>2826</v>
      </c>
      <c r="R1498" s="901" t="n">
        <v>104763.8</v>
      </c>
      <c r="S1498" s="1179" t="n">
        <f aca="false">R1498/H1497</f>
        <v>3469</v>
      </c>
      <c r="T1498" s="943"/>
      <c r="U1498" s="842"/>
    </row>
    <row r="1499" customFormat="false" ht="15" hidden="false" customHeight="true" outlineLevel="0" collapsed="false">
      <c r="A1499" s="881"/>
      <c r="B1499" s="1072" t="s">
        <v>86</v>
      </c>
      <c r="C1499" s="1072" t="n">
        <v>2024</v>
      </c>
      <c r="D1499" s="887" t="s">
        <v>6</v>
      </c>
      <c r="E1499" s="887" t="s">
        <v>2205</v>
      </c>
      <c r="F1499" s="887"/>
      <c r="G1499" s="1062"/>
      <c r="H1499" s="1077" t="n">
        <v>10.3</v>
      </c>
      <c r="I1499" s="1086"/>
      <c r="J1499" s="1086"/>
      <c r="K1499" s="1064" t="n">
        <f aca="false">H1499*I1499/100</f>
        <v>0</v>
      </c>
      <c r="L1499" s="1067" t="n">
        <v>1489</v>
      </c>
      <c r="M1499" s="1710" t="n">
        <v>1</v>
      </c>
      <c r="N1499" s="1067" t="n">
        <f aca="false">L1499*M1499</f>
        <v>1489</v>
      </c>
      <c r="O1499" s="1452" t="n">
        <f aca="false">H1499*N1499</f>
        <v>15336.7</v>
      </c>
      <c r="P1499" s="888" t="s">
        <v>2204</v>
      </c>
      <c r="Q1499" s="889" t="n">
        <v>28022025</v>
      </c>
      <c r="R1499" s="1080" t="n">
        <v>15336.7</v>
      </c>
      <c r="S1499" s="1142" t="n">
        <f aca="false">R1499/H1499</f>
        <v>1489</v>
      </c>
      <c r="T1499" s="1452" t="n">
        <f aca="false">O1499-R1499</f>
        <v>0</v>
      </c>
      <c r="U1499" s="1070" t="n">
        <f aca="false">N1499-S1499</f>
        <v>0</v>
      </c>
    </row>
    <row r="1500" customFormat="false" ht="15" hidden="false" customHeight="true" outlineLevel="0" collapsed="false">
      <c r="A1500" s="881" t="n">
        <v>137</v>
      </c>
      <c r="B1500" s="882" t="s">
        <v>86</v>
      </c>
      <c r="C1500" s="883" t="n">
        <v>2024</v>
      </c>
      <c r="D1500" s="831" t="s">
        <v>6</v>
      </c>
      <c r="E1500" s="831" t="s">
        <v>2192</v>
      </c>
      <c r="F1500" s="832" t="s">
        <v>1650</v>
      </c>
      <c r="G1500" s="833"/>
      <c r="H1500" s="834" t="n">
        <v>96.3</v>
      </c>
      <c r="I1500" s="835"/>
      <c r="J1500" s="835"/>
      <c r="K1500" s="836" t="n">
        <f aca="false">H1500*I1500/100</f>
        <v>0</v>
      </c>
      <c r="L1500" s="837" t="n">
        <v>9293</v>
      </c>
      <c r="M1500" s="1303" t="n">
        <v>1</v>
      </c>
      <c r="N1500" s="837" t="n">
        <f aca="false">L1500*M1500</f>
        <v>9293</v>
      </c>
      <c r="O1500" s="943" t="n">
        <f aca="false">H1500*N1500</f>
        <v>894915.9</v>
      </c>
      <c r="P1500" s="884" t="s">
        <v>2193</v>
      </c>
      <c r="Q1500" s="885" t="s">
        <v>2913</v>
      </c>
      <c r="R1500" s="1016" t="n">
        <v>192600</v>
      </c>
      <c r="S1500" s="1719" t="n">
        <f aca="false">R1500/H1500</f>
        <v>2000</v>
      </c>
      <c r="T1500" s="841" t="n">
        <f aca="false">O1500-R1500-R1502-R1501</f>
        <v>0</v>
      </c>
      <c r="U1500" s="842" t="n">
        <f aca="false">N1500-S1500-S1502-S1501</f>
        <v>0</v>
      </c>
    </row>
    <row r="1501" customFormat="false" ht="15" hidden="false" customHeight="true" outlineLevel="0" collapsed="false">
      <c r="A1501" s="881"/>
      <c r="B1501" s="882"/>
      <c r="C1501" s="883"/>
      <c r="D1501" s="860" t="s">
        <v>6</v>
      </c>
      <c r="E1501" s="860" t="s">
        <v>2192</v>
      </c>
      <c r="F1501" s="832"/>
      <c r="G1501" s="833"/>
      <c r="H1501" s="834"/>
      <c r="I1501" s="835"/>
      <c r="J1501" s="835"/>
      <c r="K1501" s="836"/>
      <c r="L1501" s="837"/>
      <c r="M1501" s="1303"/>
      <c r="N1501" s="837"/>
      <c r="O1501" s="943"/>
      <c r="P1501" s="868" t="s">
        <v>2193</v>
      </c>
      <c r="Q1501" s="869" t="s">
        <v>2914</v>
      </c>
      <c r="R1501" s="1018" t="n">
        <v>634905.9</v>
      </c>
      <c r="S1501" s="1178" t="n">
        <f aca="false">R1501/H1500</f>
        <v>6593</v>
      </c>
      <c r="T1501" s="841"/>
      <c r="U1501" s="842"/>
    </row>
    <row r="1502" customFormat="false" ht="15" hidden="false" customHeight="true" outlineLevel="0" collapsed="false">
      <c r="A1502" s="881"/>
      <c r="B1502" s="882"/>
      <c r="C1502" s="883"/>
      <c r="D1502" s="887" t="s">
        <v>6</v>
      </c>
      <c r="E1502" s="887" t="s">
        <v>2192</v>
      </c>
      <c r="F1502" s="832"/>
      <c r="G1502" s="833"/>
      <c r="H1502" s="834"/>
      <c r="I1502" s="835"/>
      <c r="J1502" s="835"/>
      <c r="K1502" s="836"/>
      <c r="L1502" s="837"/>
      <c r="M1502" s="1303"/>
      <c r="N1502" s="837"/>
      <c r="O1502" s="943"/>
      <c r="P1502" s="888" t="s">
        <v>2232</v>
      </c>
      <c r="Q1502" s="889" t="s">
        <v>2678</v>
      </c>
      <c r="R1502" s="1080" t="n">
        <v>67410</v>
      </c>
      <c r="S1502" s="1142" t="n">
        <f aca="false">R1502/H1500</f>
        <v>700</v>
      </c>
      <c r="T1502" s="841"/>
      <c r="U1502" s="842"/>
    </row>
    <row r="1503" customFormat="false" ht="15" hidden="false" customHeight="true" outlineLevel="0" collapsed="false">
      <c r="A1503" s="881"/>
      <c r="B1503" s="847" t="s">
        <v>86</v>
      </c>
      <c r="C1503" s="847" t="n">
        <v>2024</v>
      </c>
      <c r="D1503" s="848" t="s">
        <v>6</v>
      </c>
      <c r="E1503" s="848" t="s">
        <v>2242</v>
      </c>
      <c r="F1503" s="848"/>
      <c r="G1503" s="849"/>
      <c r="H1503" s="949" t="n">
        <v>2.2</v>
      </c>
      <c r="I1503" s="950"/>
      <c r="J1503" s="950"/>
      <c r="K1503" s="852" t="n">
        <f aca="false">H1503*I1503/100</f>
        <v>0</v>
      </c>
      <c r="L1503" s="537" t="n">
        <v>280</v>
      </c>
      <c r="M1503" s="1304" t="n">
        <v>1</v>
      </c>
      <c r="N1503" s="537" t="n">
        <f aca="false">L1503*M1503</f>
        <v>280</v>
      </c>
      <c r="O1503" s="953" t="n">
        <f aca="false">H1503*N1503</f>
        <v>616</v>
      </c>
      <c r="P1503" s="856" t="s">
        <v>2200</v>
      </c>
      <c r="Q1503" s="857" t="s">
        <v>2826</v>
      </c>
      <c r="R1503" s="1088" t="n">
        <v>616</v>
      </c>
      <c r="S1503" s="1719" t="n">
        <f aca="false">R1503/H1503</f>
        <v>280</v>
      </c>
      <c r="T1503" s="858" t="n">
        <f aca="false">O1503-R1503</f>
        <v>0</v>
      </c>
      <c r="U1503" s="892" t="n">
        <f aca="false">N1503-S1503</f>
        <v>0</v>
      </c>
    </row>
    <row r="1504" customFormat="false" ht="15" hidden="false" customHeight="true" outlineLevel="0" collapsed="false">
      <c r="A1504" s="881"/>
      <c r="B1504" s="859" t="s">
        <v>86</v>
      </c>
      <c r="C1504" s="859" t="n">
        <v>2024</v>
      </c>
      <c r="D1504" s="860" t="s">
        <v>6</v>
      </c>
      <c r="E1504" s="860" t="s">
        <v>2203</v>
      </c>
      <c r="F1504" s="860"/>
      <c r="G1504" s="861"/>
      <c r="H1504" s="980" t="n">
        <v>1.5</v>
      </c>
      <c r="I1504" s="981"/>
      <c r="J1504" s="981"/>
      <c r="K1504" s="864" t="n">
        <f aca="false">H1504*I1504/100</f>
        <v>0</v>
      </c>
      <c r="L1504" s="543" t="n">
        <v>1626</v>
      </c>
      <c r="M1504" s="1300" t="n">
        <v>1</v>
      </c>
      <c r="N1504" s="543" t="n">
        <f aca="false">L1504*M1504</f>
        <v>1626</v>
      </c>
      <c r="O1504" s="1449" t="n">
        <f aca="false">H1504*N1504</f>
        <v>2439</v>
      </c>
      <c r="P1504" s="868" t="s">
        <v>2204</v>
      </c>
      <c r="Q1504" s="869" t="n">
        <v>28022025</v>
      </c>
      <c r="R1504" s="1018" t="n">
        <v>2439</v>
      </c>
      <c r="S1504" s="1178" t="n">
        <f aca="false">R1504/H1504</f>
        <v>1626</v>
      </c>
      <c r="T1504" s="985" t="n">
        <f aca="false">O1504-R1504</f>
        <v>0</v>
      </c>
      <c r="U1504" s="1135" t="n">
        <f aca="false">N1504-S1504</f>
        <v>0</v>
      </c>
    </row>
    <row r="1505" customFormat="false" ht="15" hidden="false" customHeight="true" outlineLevel="0" collapsed="false">
      <c r="A1505" s="881"/>
      <c r="B1505" s="859" t="s">
        <v>86</v>
      </c>
      <c r="C1505" s="859" t="n">
        <v>2024</v>
      </c>
      <c r="D1505" s="860" t="s">
        <v>6</v>
      </c>
      <c r="E1505" s="860" t="s">
        <v>2241</v>
      </c>
      <c r="F1505" s="860"/>
      <c r="G1505" s="861"/>
      <c r="H1505" s="980" t="n">
        <v>15.9</v>
      </c>
      <c r="I1505" s="981"/>
      <c r="J1505" s="981"/>
      <c r="K1505" s="864" t="n">
        <f aca="false">H1505*I1505/100</f>
        <v>0</v>
      </c>
      <c r="L1505" s="543" t="n">
        <v>230</v>
      </c>
      <c r="M1505" s="1300" t="n">
        <v>1</v>
      </c>
      <c r="N1505" s="543" t="n">
        <f aca="false">L1505*M1505</f>
        <v>230</v>
      </c>
      <c r="O1505" s="1449" t="n">
        <f aca="false">H1505*N1505</f>
        <v>3657</v>
      </c>
      <c r="P1505" s="868" t="s">
        <v>2200</v>
      </c>
      <c r="Q1505" s="869" t="s">
        <v>2826</v>
      </c>
      <c r="R1505" s="1018" t="n">
        <v>3657</v>
      </c>
      <c r="S1505" s="1178" t="n">
        <f aca="false">R1505/H1505</f>
        <v>230</v>
      </c>
      <c r="T1505" s="985" t="n">
        <f aca="false">O1505-R1505</f>
        <v>0</v>
      </c>
      <c r="U1505" s="1135" t="n">
        <f aca="false">N1505-S1505</f>
        <v>0</v>
      </c>
    </row>
    <row r="1506" customFormat="false" ht="15" hidden="false" customHeight="true" outlineLevel="0" collapsed="false">
      <c r="A1506" s="881"/>
      <c r="B1506" s="893" t="s">
        <v>86</v>
      </c>
      <c r="C1506" s="893" t="n">
        <v>2024</v>
      </c>
      <c r="D1506" s="843" t="s">
        <v>6</v>
      </c>
      <c r="E1506" s="843" t="s">
        <v>2205</v>
      </c>
      <c r="F1506" s="843"/>
      <c r="G1506" s="894"/>
      <c r="H1506" s="1103" t="n">
        <v>3</v>
      </c>
      <c r="I1506" s="1104"/>
      <c r="J1506" s="1104"/>
      <c r="K1506" s="897" t="n">
        <f aca="false">H1506*I1506/100</f>
        <v>0</v>
      </c>
      <c r="L1506" s="589" t="n">
        <v>533</v>
      </c>
      <c r="M1506" s="1713" t="n">
        <v>1</v>
      </c>
      <c r="N1506" s="589" t="n">
        <f aca="false">L1506*M1506</f>
        <v>533</v>
      </c>
      <c r="O1506" s="1183" t="n">
        <f aca="false">H1506*N1506</f>
        <v>1599</v>
      </c>
      <c r="P1506" s="844" t="s">
        <v>2200</v>
      </c>
      <c r="Q1506" s="845" t="s">
        <v>2826</v>
      </c>
      <c r="R1506" s="901" t="n">
        <v>1599</v>
      </c>
      <c r="S1506" s="1142" t="n">
        <f aca="false">R1506/H1506</f>
        <v>533</v>
      </c>
      <c r="T1506" s="1441" t="n">
        <f aca="false">O1506-R1506</f>
        <v>0</v>
      </c>
      <c r="U1506" s="902" t="n">
        <f aca="false">N1506-S1506</f>
        <v>0</v>
      </c>
    </row>
    <row r="1507" customFormat="false" ht="15" hidden="false" customHeight="true" outlineLevel="0" collapsed="false">
      <c r="A1507" s="1060" t="n">
        <v>199</v>
      </c>
      <c r="B1507" s="1061" t="s">
        <v>2207</v>
      </c>
      <c r="C1507" s="1061" t="n">
        <v>2024</v>
      </c>
      <c r="D1507" s="848" t="s">
        <v>6</v>
      </c>
      <c r="E1507" s="848" t="s">
        <v>2192</v>
      </c>
      <c r="F1507" s="887" t="s">
        <v>1652</v>
      </c>
      <c r="G1507" s="1062"/>
      <c r="H1507" s="1077" t="n">
        <v>40.61</v>
      </c>
      <c r="I1507" s="1086"/>
      <c r="J1507" s="1086"/>
      <c r="K1507" s="1064" t="n">
        <f aca="false">H1507*I1507/100</f>
        <v>0</v>
      </c>
      <c r="L1507" s="1067" t="n">
        <v>25600</v>
      </c>
      <c r="M1507" s="1710" t="n">
        <v>1</v>
      </c>
      <c r="N1507" s="1067" t="n">
        <f aca="false">L1507*M1507</f>
        <v>25600</v>
      </c>
      <c r="O1507" s="1452" t="n">
        <f aca="false">H1507*N1507</f>
        <v>1039616</v>
      </c>
      <c r="P1507" s="856" t="s">
        <v>2197</v>
      </c>
      <c r="Q1507" s="857" t="s">
        <v>2884</v>
      </c>
      <c r="R1507" s="1088" t="n">
        <v>389856</v>
      </c>
      <c r="S1507" s="1140" t="n">
        <f aca="false">R1507/H1507</f>
        <v>9600</v>
      </c>
      <c r="T1507" s="1069" t="n">
        <f aca="false">O1507-R1507-R1508-R1509-R1510</f>
        <v>0</v>
      </c>
      <c r="U1507" s="1070" t="n">
        <f aca="false">N1507-S1507-S1508-S1509-S1510</f>
        <v>0</v>
      </c>
    </row>
    <row r="1508" customFormat="false" ht="15" hidden="false" customHeight="true" outlineLevel="0" collapsed="false">
      <c r="A1508" s="1060"/>
      <c r="B1508" s="1061"/>
      <c r="C1508" s="1061"/>
      <c r="D1508" s="848" t="s">
        <v>6</v>
      </c>
      <c r="E1508" s="848" t="s">
        <v>2192</v>
      </c>
      <c r="F1508" s="887"/>
      <c r="G1508" s="1062"/>
      <c r="H1508" s="1077"/>
      <c r="I1508" s="1086"/>
      <c r="J1508" s="1086"/>
      <c r="K1508" s="1064"/>
      <c r="L1508" s="1067"/>
      <c r="M1508" s="1710"/>
      <c r="N1508" s="1067"/>
      <c r="O1508" s="1452"/>
      <c r="P1508" s="856" t="s">
        <v>2197</v>
      </c>
      <c r="Q1508" s="857" t="s">
        <v>121</v>
      </c>
      <c r="R1508" s="1088" t="n">
        <v>227416</v>
      </c>
      <c r="S1508" s="1178" t="n">
        <f aca="false">R1508/H1507</f>
        <v>5600</v>
      </c>
      <c r="T1508" s="1069"/>
      <c r="U1508" s="1070"/>
    </row>
    <row r="1509" customFormat="false" ht="15" hidden="false" customHeight="true" outlineLevel="0" collapsed="false">
      <c r="A1509" s="1060"/>
      <c r="B1509" s="1061"/>
      <c r="C1509" s="1061"/>
      <c r="D1509" s="848" t="s">
        <v>6</v>
      </c>
      <c r="E1509" s="848" t="s">
        <v>2192</v>
      </c>
      <c r="F1509" s="887"/>
      <c r="G1509" s="1062"/>
      <c r="H1509" s="1077"/>
      <c r="I1509" s="1086"/>
      <c r="J1509" s="1086"/>
      <c r="K1509" s="1064"/>
      <c r="L1509" s="1067"/>
      <c r="M1509" s="1710"/>
      <c r="N1509" s="1067"/>
      <c r="O1509" s="1452"/>
      <c r="P1509" s="856" t="s">
        <v>2197</v>
      </c>
      <c r="Q1509" s="857" t="s">
        <v>2915</v>
      </c>
      <c r="R1509" s="1088" t="n">
        <v>389856</v>
      </c>
      <c r="S1509" s="1178" t="n">
        <f aca="false">R1509/H1507</f>
        <v>9600</v>
      </c>
      <c r="T1509" s="1069"/>
      <c r="U1509" s="1070"/>
    </row>
    <row r="1510" customFormat="false" ht="15" hidden="false" customHeight="true" outlineLevel="0" collapsed="false">
      <c r="A1510" s="1060"/>
      <c r="B1510" s="1061"/>
      <c r="C1510" s="1061"/>
      <c r="D1510" s="887" t="s">
        <v>6</v>
      </c>
      <c r="E1510" s="887" t="s">
        <v>2192</v>
      </c>
      <c r="F1510" s="887"/>
      <c r="G1510" s="1062"/>
      <c r="H1510" s="1077"/>
      <c r="I1510" s="1086"/>
      <c r="J1510" s="1086"/>
      <c r="K1510" s="1064"/>
      <c r="L1510" s="1067"/>
      <c r="M1510" s="1710"/>
      <c r="N1510" s="1067"/>
      <c r="O1510" s="1452"/>
      <c r="P1510" s="888" t="s">
        <v>2197</v>
      </c>
      <c r="Q1510" s="889" t="s">
        <v>2769</v>
      </c>
      <c r="R1510" s="1080" t="n">
        <v>32488</v>
      </c>
      <c r="S1510" s="1179" t="n">
        <f aca="false">R1510/H1507</f>
        <v>800</v>
      </c>
      <c r="T1510" s="1069"/>
      <c r="U1510" s="1070"/>
    </row>
    <row r="1511" customFormat="false" ht="15" hidden="false" customHeight="true" outlineLevel="0" collapsed="false">
      <c r="A1511" s="1027" t="n">
        <v>200</v>
      </c>
      <c r="B1511" s="1028" t="s">
        <v>2207</v>
      </c>
      <c r="C1511" s="1028" t="n">
        <v>2024</v>
      </c>
      <c r="D1511" s="831" t="s">
        <v>6</v>
      </c>
      <c r="E1511" s="831" t="s">
        <v>2192</v>
      </c>
      <c r="F1511" s="1328" t="s">
        <v>1652</v>
      </c>
      <c r="G1511" s="1030"/>
      <c r="H1511" s="1031" t="n">
        <v>41.668</v>
      </c>
      <c r="I1511" s="1032"/>
      <c r="J1511" s="1032"/>
      <c r="K1511" s="1033" t="n">
        <f aca="false">H1511*I1511/100</f>
        <v>0</v>
      </c>
      <c r="L1511" s="1036" t="n">
        <v>20000</v>
      </c>
      <c r="M1511" s="1708" t="n">
        <v>1</v>
      </c>
      <c r="N1511" s="1036" t="n">
        <f aca="false">L1511*M1511</f>
        <v>20000</v>
      </c>
      <c r="O1511" s="1547" t="n">
        <f aca="false">H1511*N1511</f>
        <v>833360</v>
      </c>
      <c r="P1511" s="838" t="s">
        <v>2197</v>
      </c>
      <c r="Q1511" s="839" t="s">
        <v>2873</v>
      </c>
      <c r="R1511" s="1139" t="n">
        <v>400012.8</v>
      </c>
      <c r="S1511" s="1719" t="n">
        <f aca="false">R1511/H1511</f>
        <v>9600</v>
      </c>
      <c r="T1511" s="1534" t="n">
        <f aca="false">O1511-R1511-R1512-R1513</f>
        <v>0</v>
      </c>
      <c r="U1511" s="1037" t="n">
        <f aca="false">N1511-S1511-S1512-S1513</f>
        <v>0</v>
      </c>
    </row>
    <row r="1512" customFormat="false" ht="15" hidden="false" customHeight="true" outlineLevel="0" collapsed="false">
      <c r="A1512" s="1027"/>
      <c r="B1512" s="1028"/>
      <c r="C1512" s="1028"/>
      <c r="D1512" s="848" t="s">
        <v>6</v>
      </c>
      <c r="E1512" s="848" t="s">
        <v>2192</v>
      </c>
      <c r="F1512" s="1328"/>
      <c r="G1512" s="1030"/>
      <c r="H1512" s="1031"/>
      <c r="I1512" s="1032"/>
      <c r="J1512" s="1032"/>
      <c r="K1512" s="1033"/>
      <c r="L1512" s="1036"/>
      <c r="M1512" s="1708"/>
      <c r="N1512" s="1036"/>
      <c r="O1512" s="1547"/>
      <c r="P1512" s="856" t="s">
        <v>2197</v>
      </c>
      <c r="Q1512" s="857" t="s">
        <v>2742</v>
      </c>
      <c r="R1512" s="1088" t="n">
        <v>400012.8</v>
      </c>
      <c r="S1512" s="1178" t="n">
        <f aca="false">R1512/H1511</f>
        <v>9600</v>
      </c>
      <c r="T1512" s="1534"/>
      <c r="U1512" s="1037"/>
    </row>
    <row r="1513" customFormat="false" ht="15" hidden="false" customHeight="true" outlineLevel="0" collapsed="false">
      <c r="A1513" s="1027"/>
      <c r="B1513" s="1028"/>
      <c r="C1513" s="1028"/>
      <c r="D1513" s="904" t="s">
        <v>6</v>
      </c>
      <c r="E1513" s="904" t="s">
        <v>2192</v>
      </c>
      <c r="F1513" s="1328"/>
      <c r="G1513" s="1030"/>
      <c r="H1513" s="1031"/>
      <c r="I1513" s="1032"/>
      <c r="J1513" s="1032"/>
      <c r="K1513" s="1033"/>
      <c r="L1513" s="1036"/>
      <c r="M1513" s="1708"/>
      <c r="N1513" s="1036"/>
      <c r="O1513" s="1547"/>
      <c r="P1513" s="910" t="s">
        <v>2197</v>
      </c>
      <c r="Q1513" s="911" t="s">
        <v>2215</v>
      </c>
      <c r="R1513" s="1025" t="n">
        <v>33334.4</v>
      </c>
      <c r="S1513" s="1668" t="n">
        <f aca="false">R1513/H1511</f>
        <v>800</v>
      </c>
      <c r="T1513" s="1534"/>
      <c r="U1513" s="1037"/>
    </row>
    <row r="1514" customFormat="false" ht="15" hidden="false" customHeight="true" outlineLevel="0" collapsed="false">
      <c r="A1514" s="829" t="n">
        <v>201</v>
      </c>
      <c r="B1514" s="830" t="s">
        <v>2207</v>
      </c>
      <c r="C1514" s="830" t="n">
        <v>2024</v>
      </c>
      <c r="D1514" s="831" t="s">
        <v>6</v>
      </c>
      <c r="E1514" s="831" t="s">
        <v>2192</v>
      </c>
      <c r="F1514" s="832" t="s">
        <v>1652</v>
      </c>
      <c r="G1514" s="833"/>
      <c r="H1514" s="834" t="n">
        <v>40.527</v>
      </c>
      <c r="I1514" s="835"/>
      <c r="J1514" s="835"/>
      <c r="K1514" s="836" t="n">
        <f aca="false">H1514*I1514/100</f>
        <v>0</v>
      </c>
      <c r="L1514" s="837" t="n">
        <v>16000</v>
      </c>
      <c r="M1514" s="1303" t="n">
        <v>1</v>
      </c>
      <c r="N1514" s="837" t="n">
        <f aca="false">L1514*M1514</f>
        <v>16000</v>
      </c>
      <c r="O1514" s="841" t="n">
        <f aca="false">H1514*N1514</f>
        <v>648432</v>
      </c>
      <c r="P1514" s="838" t="s">
        <v>2197</v>
      </c>
      <c r="Q1514" s="839" t="s">
        <v>2916</v>
      </c>
      <c r="R1514" s="1139" t="n">
        <v>389059.2</v>
      </c>
      <c r="S1514" s="1724" t="n">
        <f aca="false">R1514/H1514</f>
        <v>9600</v>
      </c>
      <c r="T1514" s="841" t="n">
        <f aca="false">O1514-R1514-R1515</f>
        <v>0</v>
      </c>
      <c r="U1514" s="842" t="n">
        <f aca="false">N1514-S1514-S1515</f>
        <v>0</v>
      </c>
    </row>
    <row r="1515" customFormat="false" ht="15" hidden="false" customHeight="true" outlineLevel="0" collapsed="false">
      <c r="A1515" s="829"/>
      <c r="B1515" s="830"/>
      <c r="C1515" s="830"/>
      <c r="D1515" s="843" t="s">
        <v>6</v>
      </c>
      <c r="E1515" s="843" t="s">
        <v>2192</v>
      </c>
      <c r="F1515" s="832"/>
      <c r="G1515" s="833"/>
      <c r="H1515" s="834"/>
      <c r="I1515" s="835"/>
      <c r="J1515" s="835"/>
      <c r="K1515" s="836"/>
      <c r="L1515" s="837"/>
      <c r="M1515" s="1303"/>
      <c r="N1515" s="837"/>
      <c r="O1515" s="841"/>
      <c r="P1515" s="844" t="s">
        <v>2197</v>
      </c>
      <c r="Q1515" s="845" t="s">
        <v>2917</v>
      </c>
      <c r="R1515" s="901" t="n">
        <v>259372.8</v>
      </c>
      <c r="S1515" s="1179" t="n">
        <f aca="false">R1515/H1514</f>
        <v>6400</v>
      </c>
      <c r="T1515" s="841"/>
      <c r="U1515" s="842"/>
    </row>
    <row r="1516" customFormat="false" ht="15" hidden="false" customHeight="true" outlineLevel="0" collapsed="false">
      <c r="A1516" s="882" t="n">
        <v>67</v>
      </c>
      <c r="B1516" s="883" t="s">
        <v>2230</v>
      </c>
      <c r="C1516" s="883" t="n">
        <v>2024</v>
      </c>
      <c r="D1516" s="831" t="s">
        <v>6</v>
      </c>
      <c r="E1516" s="831" t="s">
        <v>2192</v>
      </c>
      <c r="F1516" s="832" t="s">
        <v>1650</v>
      </c>
      <c r="G1516" s="833"/>
      <c r="H1516" s="834" t="n">
        <v>99.1355</v>
      </c>
      <c r="I1516" s="835"/>
      <c r="J1516" s="835"/>
      <c r="K1516" s="836" t="n">
        <f aca="false">H1516*I1516/100</f>
        <v>0</v>
      </c>
      <c r="L1516" s="837" t="n">
        <v>14293</v>
      </c>
      <c r="M1516" s="1303" t="n">
        <v>1</v>
      </c>
      <c r="N1516" s="837" t="n">
        <f aca="false">L1516*M1516</f>
        <v>14293</v>
      </c>
      <c r="O1516" s="943" t="n">
        <f aca="false">H1516*N1516</f>
        <v>1416943.7015</v>
      </c>
      <c r="P1516" s="838" t="s">
        <v>2197</v>
      </c>
      <c r="Q1516" s="839" t="s">
        <v>2918</v>
      </c>
      <c r="R1516" s="1139" t="n">
        <v>270639.915</v>
      </c>
      <c r="S1516" s="886" t="n">
        <f aca="false">R1516/H1516</f>
        <v>2730</v>
      </c>
      <c r="T1516" s="943" t="n">
        <f aca="false">O1516-R1516-R1518-R1517</f>
        <v>0</v>
      </c>
      <c r="U1516" s="842" t="n">
        <f aca="false">N1516-S1516-S1518-S1517</f>
        <v>0</v>
      </c>
    </row>
    <row r="1517" customFormat="false" ht="15" hidden="false" customHeight="true" outlineLevel="0" collapsed="false">
      <c r="A1517" s="882"/>
      <c r="B1517" s="883"/>
      <c r="C1517" s="883"/>
      <c r="D1517" s="860" t="s">
        <v>6</v>
      </c>
      <c r="E1517" s="860" t="s">
        <v>2192</v>
      </c>
      <c r="F1517" s="832"/>
      <c r="G1517" s="833"/>
      <c r="H1517" s="834"/>
      <c r="I1517" s="835"/>
      <c r="J1517" s="835"/>
      <c r="K1517" s="836"/>
      <c r="L1517" s="837"/>
      <c r="M1517" s="1303"/>
      <c r="N1517" s="837"/>
      <c r="O1517" s="943"/>
      <c r="P1517" s="868" t="s">
        <v>2193</v>
      </c>
      <c r="Q1517" s="869" t="s">
        <v>2457</v>
      </c>
      <c r="R1517" s="1018" t="n">
        <v>914326.7165</v>
      </c>
      <c r="S1517" s="866" t="n">
        <f aca="false">R1517/H1516</f>
        <v>9223</v>
      </c>
      <c r="T1517" s="943"/>
      <c r="U1517" s="842"/>
    </row>
    <row r="1518" customFormat="false" ht="15" hidden="false" customHeight="true" outlineLevel="0" collapsed="false">
      <c r="A1518" s="882"/>
      <c r="B1518" s="883"/>
      <c r="C1518" s="883"/>
      <c r="D1518" s="887" t="s">
        <v>6</v>
      </c>
      <c r="E1518" s="887" t="s">
        <v>2192</v>
      </c>
      <c r="F1518" s="832"/>
      <c r="G1518" s="833"/>
      <c r="H1518" s="834"/>
      <c r="I1518" s="835"/>
      <c r="J1518" s="835"/>
      <c r="K1518" s="836"/>
      <c r="L1518" s="837"/>
      <c r="M1518" s="1303"/>
      <c r="N1518" s="837"/>
      <c r="O1518" s="943"/>
      <c r="P1518" s="888" t="s">
        <v>2197</v>
      </c>
      <c r="Q1518" s="889" t="s">
        <v>2919</v>
      </c>
      <c r="R1518" s="1080" t="n">
        <v>231977.07</v>
      </c>
      <c r="S1518" s="890" t="n">
        <f aca="false">R1518/H1516</f>
        <v>2340</v>
      </c>
      <c r="T1518" s="943"/>
      <c r="U1518" s="842"/>
    </row>
    <row r="1519" customFormat="false" ht="15" hidden="false" customHeight="true" outlineLevel="0" collapsed="false">
      <c r="A1519" s="829" t="n">
        <v>204</v>
      </c>
      <c r="B1519" s="830" t="s">
        <v>2207</v>
      </c>
      <c r="C1519" s="830" t="n">
        <v>2024</v>
      </c>
      <c r="D1519" s="831" t="s">
        <v>6</v>
      </c>
      <c r="E1519" s="831" t="s">
        <v>2192</v>
      </c>
      <c r="F1519" s="832" t="s">
        <v>1652</v>
      </c>
      <c r="G1519" s="833"/>
      <c r="H1519" s="834" t="n">
        <v>38.782</v>
      </c>
      <c r="I1519" s="835"/>
      <c r="J1519" s="835"/>
      <c r="K1519" s="836" t="n">
        <f aca="false">H1519*I1519/100</f>
        <v>0</v>
      </c>
      <c r="L1519" s="837" t="n">
        <v>23576</v>
      </c>
      <c r="M1519" s="1303" t="n">
        <v>1</v>
      </c>
      <c r="N1519" s="837" t="n">
        <f aca="false">L1519*M1519</f>
        <v>23576</v>
      </c>
      <c r="O1519" s="943" t="n">
        <f aca="false">H1519*N1519</f>
        <v>914324.432</v>
      </c>
      <c r="P1519" s="838" t="s">
        <v>2197</v>
      </c>
      <c r="Q1519" s="839" t="s">
        <v>2920</v>
      </c>
      <c r="R1519" s="1139" t="n">
        <v>155321.91</v>
      </c>
      <c r="S1519" s="840" t="n">
        <f aca="false">R1519/H1519</f>
        <v>4005</v>
      </c>
      <c r="T1519" s="837" t="n">
        <f aca="false">O1519-R1519-R1520-R1522-R1521</f>
        <v>-1.16415321826935E-010</v>
      </c>
      <c r="U1519" s="842" t="n">
        <f aca="false">N1519-S1519-S1520-S1522-S1521</f>
        <v>0</v>
      </c>
    </row>
    <row r="1520" customFormat="false" ht="15" hidden="false" customHeight="true" outlineLevel="0" collapsed="false">
      <c r="A1520" s="829"/>
      <c r="B1520" s="830"/>
      <c r="C1520" s="830"/>
      <c r="D1520" s="848" t="s">
        <v>6</v>
      </c>
      <c r="E1520" s="848" t="s">
        <v>2192</v>
      </c>
      <c r="F1520" s="832"/>
      <c r="G1520" s="833"/>
      <c r="H1520" s="834"/>
      <c r="I1520" s="835"/>
      <c r="J1520" s="835"/>
      <c r="K1520" s="836"/>
      <c r="L1520" s="837"/>
      <c r="M1520" s="1303"/>
      <c r="N1520" s="837"/>
      <c r="O1520" s="943"/>
      <c r="P1520" s="856" t="s">
        <v>2197</v>
      </c>
      <c r="Q1520" s="857" t="s">
        <v>2921</v>
      </c>
      <c r="R1520" s="1088" t="n">
        <v>349038</v>
      </c>
      <c r="S1520" s="854" t="n">
        <f aca="false">R1520/H1519</f>
        <v>9000</v>
      </c>
      <c r="T1520" s="837"/>
      <c r="U1520" s="842"/>
    </row>
    <row r="1521" customFormat="false" ht="15" hidden="false" customHeight="true" outlineLevel="0" collapsed="false">
      <c r="A1521" s="829"/>
      <c r="B1521" s="830"/>
      <c r="C1521" s="830"/>
      <c r="D1521" s="860" t="s">
        <v>6</v>
      </c>
      <c r="E1521" s="860" t="s">
        <v>2192</v>
      </c>
      <c r="F1521" s="832"/>
      <c r="G1521" s="833"/>
      <c r="H1521" s="834"/>
      <c r="I1521" s="835"/>
      <c r="J1521" s="835"/>
      <c r="K1521" s="836"/>
      <c r="L1521" s="837"/>
      <c r="M1521" s="1303"/>
      <c r="N1521" s="837"/>
      <c r="O1521" s="943"/>
      <c r="P1521" s="868" t="s">
        <v>2197</v>
      </c>
      <c r="Q1521" s="869" t="s">
        <v>2922</v>
      </c>
      <c r="R1521" s="1018" t="n">
        <v>126080.282</v>
      </c>
      <c r="S1521" s="854" t="n">
        <f aca="false">R1521/H1519</f>
        <v>3251</v>
      </c>
      <c r="T1521" s="837"/>
      <c r="U1521" s="842"/>
    </row>
    <row r="1522" customFormat="false" ht="15" hidden="false" customHeight="true" outlineLevel="0" collapsed="false">
      <c r="A1522" s="829"/>
      <c r="B1522" s="830"/>
      <c r="C1522" s="830"/>
      <c r="D1522" s="887" t="s">
        <v>6</v>
      </c>
      <c r="E1522" s="887" t="s">
        <v>2192</v>
      </c>
      <c r="F1522" s="832"/>
      <c r="G1522" s="833"/>
      <c r="H1522" s="834"/>
      <c r="I1522" s="835"/>
      <c r="J1522" s="835"/>
      <c r="K1522" s="836"/>
      <c r="L1522" s="837"/>
      <c r="M1522" s="1303"/>
      <c r="N1522" s="837"/>
      <c r="O1522" s="943"/>
      <c r="P1522" s="888" t="s">
        <v>2197</v>
      </c>
      <c r="Q1522" s="889" t="s">
        <v>2923</v>
      </c>
      <c r="R1522" s="1080" t="n">
        <v>283884.24</v>
      </c>
      <c r="S1522" s="890" t="n">
        <f aca="false">R1522/H1519</f>
        <v>7320</v>
      </c>
      <c r="T1522" s="837"/>
      <c r="U1522" s="842"/>
    </row>
    <row r="1523" customFormat="false" ht="15" hidden="false" customHeight="true" outlineLevel="0" collapsed="false">
      <c r="A1523" s="1027" t="n">
        <v>205</v>
      </c>
      <c r="B1523" s="1028" t="s">
        <v>2207</v>
      </c>
      <c r="C1523" s="1028" t="n">
        <v>2024</v>
      </c>
      <c r="D1523" s="831" t="s">
        <v>6</v>
      </c>
      <c r="E1523" s="831" t="s">
        <v>2192</v>
      </c>
      <c r="F1523" s="1328" t="s">
        <v>1652</v>
      </c>
      <c r="G1523" s="1030"/>
      <c r="H1523" s="1031" t="n">
        <v>40.8746</v>
      </c>
      <c r="I1523" s="1032"/>
      <c r="J1523" s="1032"/>
      <c r="K1523" s="1033" t="n">
        <f aca="false">H1523*I1523/100</f>
        <v>0</v>
      </c>
      <c r="L1523" s="1036" t="n">
        <v>15533</v>
      </c>
      <c r="M1523" s="1708" t="n">
        <v>1</v>
      </c>
      <c r="N1523" s="1036" t="n">
        <f aca="false">L1523*M1523</f>
        <v>15533</v>
      </c>
      <c r="O1523" s="1547" t="n">
        <f aca="false">H1523*N1523</f>
        <v>634905.1618</v>
      </c>
      <c r="P1523" s="838" t="s">
        <v>2197</v>
      </c>
      <c r="Q1523" s="839" t="s">
        <v>2924</v>
      </c>
      <c r="R1523" s="1139" t="n">
        <v>408337.254</v>
      </c>
      <c r="S1523" s="886" t="n">
        <f aca="false">R1523/H1523</f>
        <v>9990</v>
      </c>
      <c r="T1523" s="1547" t="n">
        <f aca="false">O1523-R1523-R1524</f>
        <v>0</v>
      </c>
      <c r="U1523" s="1037" t="n">
        <f aca="false">N1523-S1523-S1524</f>
        <v>0</v>
      </c>
    </row>
    <row r="1524" customFormat="false" ht="15" hidden="false" customHeight="true" outlineLevel="0" collapsed="false">
      <c r="A1524" s="1027"/>
      <c r="B1524" s="1028"/>
      <c r="C1524" s="1028"/>
      <c r="D1524" s="904" t="s">
        <v>6</v>
      </c>
      <c r="E1524" s="904" t="s">
        <v>2192</v>
      </c>
      <c r="F1524" s="1328"/>
      <c r="G1524" s="1030"/>
      <c r="H1524" s="1031"/>
      <c r="I1524" s="1032"/>
      <c r="J1524" s="1032"/>
      <c r="K1524" s="1033"/>
      <c r="L1524" s="1036"/>
      <c r="M1524" s="1708"/>
      <c r="N1524" s="1036"/>
      <c r="O1524" s="1547"/>
      <c r="P1524" s="910" t="s">
        <v>2197</v>
      </c>
      <c r="Q1524" s="911" t="s">
        <v>2925</v>
      </c>
      <c r="R1524" s="1025" t="n">
        <v>226567.9078</v>
      </c>
      <c r="S1524" s="877" t="n">
        <f aca="false">R1524/H1523</f>
        <v>5543</v>
      </c>
      <c r="T1524" s="1547"/>
      <c r="U1524" s="1037"/>
    </row>
    <row r="1525" customFormat="false" ht="15" hidden="false" customHeight="true" outlineLevel="0" collapsed="false">
      <c r="A1525" s="859" t="n">
        <v>210</v>
      </c>
      <c r="B1525" s="859" t="s">
        <v>2207</v>
      </c>
      <c r="C1525" s="859" t="n">
        <v>2024</v>
      </c>
      <c r="D1525" s="860" t="s">
        <v>6</v>
      </c>
      <c r="E1525" s="860" t="s">
        <v>2192</v>
      </c>
      <c r="F1525" s="860" t="s">
        <v>1651</v>
      </c>
      <c r="G1525" s="861"/>
      <c r="H1525" s="980" t="n">
        <v>31.368</v>
      </c>
      <c r="I1525" s="981"/>
      <c r="J1525" s="981"/>
      <c r="K1525" s="864" t="n">
        <f aca="false">H1525*I1525/100</f>
        <v>0</v>
      </c>
      <c r="L1525" s="543" t="n">
        <v>6140</v>
      </c>
      <c r="M1525" s="1300" t="n">
        <v>1</v>
      </c>
      <c r="N1525" s="543" t="n">
        <f aca="false">L1525*M1525</f>
        <v>6140</v>
      </c>
      <c r="O1525" s="1449" t="n">
        <f aca="false">H1525*N1525</f>
        <v>192599.52</v>
      </c>
      <c r="P1525" s="868" t="s">
        <v>2197</v>
      </c>
      <c r="Q1525" s="869" t="s">
        <v>2926</v>
      </c>
      <c r="R1525" s="1018" t="n">
        <v>192599.52</v>
      </c>
      <c r="S1525" s="866" t="n">
        <f aca="false">R1525/H1525</f>
        <v>6140</v>
      </c>
      <c r="T1525" s="1449" t="n">
        <f aca="false">O1525-R1525</f>
        <v>0</v>
      </c>
      <c r="U1525" s="543" t="n">
        <f aca="false">N1525-S1525</f>
        <v>0</v>
      </c>
    </row>
    <row r="1526" customFormat="false" ht="15" hidden="false" customHeight="true" outlineLevel="0" collapsed="false">
      <c r="A1526" s="847" t="n">
        <v>75</v>
      </c>
      <c r="B1526" s="847" t="s">
        <v>2230</v>
      </c>
      <c r="C1526" s="847" t="n">
        <v>2024</v>
      </c>
      <c r="D1526" s="848" t="s">
        <v>6</v>
      </c>
      <c r="E1526" s="848" t="s">
        <v>2192</v>
      </c>
      <c r="F1526" s="848" t="s">
        <v>2199</v>
      </c>
      <c r="G1526" s="849"/>
      <c r="H1526" s="949" t="n">
        <v>73.45</v>
      </c>
      <c r="I1526" s="950"/>
      <c r="J1526" s="950"/>
      <c r="K1526" s="864" t="n">
        <f aca="false">H1526*I1526/100</f>
        <v>0</v>
      </c>
      <c r="L1526" s="543" t="n">
        <v>1000</v>
      </c>
      <c r="M1526" s="1300" t="n">
        <v>1</v>
      </c>
      <c r="N1526" s="543" t="n">
        <f aca="false">L1526*M1526</f>
        <v>1000</v>
      </c>
      <c r="O1526" s="1449" t="n">
        <f aca="false">H1526*N1526</f>
        <v>73450</v>
      </c>
      <c r="P1526" s="856" t="s">
        <v>2197</v>
      </c>
      <c r="Q1526" s="857" t="s">
        <v>2925</v>
      </c>
      <c r="R1526" s="1088" t="n">
        <v>73450</v>
      </c>
      <c r="S1526" s="854" t="n">
        <f aca="false">R1526/H1526</f>
        <v>1000</v>
      </c>
      <c r="T1526" s="1449" t="n">
        <f aca="false">O1526-R1526</f>
        <v>0</v>
      </c>
      <c r="U1526" s="543" t="n">
        <f aca="false">N1526-S1526</f>
        <v>0</v>
      </c>
    </row>
    <row r="1527" customFormat="false" ht="15" hidden="false" customHeight="true" outlineLevel="0" collapsed="false">
      <c r="A1527" s="903" t="n">
        <v>190</v>
      </c>
      <c r="B1527" s="903" t="s">
        <v>81</v>
      </c>
      <c r="C1527" s="903" t="n">
        <v>2024</v>
      </c>
      <c r="D1527" s="904" t="s">
        <v>6</v>
      </c>
      <c r="E1527" s="904" t="s">
        <v>2192</v>
      </c>
      <c r="F1527" s="904" t="s">
        <v>2199</v>
      </c>
      <c r="G1527" s="905"/>
      <c r="H1527" s="946" t="n">
        <v>70.2</v>
      </c>
      <c r="I1527" s="947"/>
      <c r="J1527" s="947"/>
      <c r="K1527" s="875" t="n">
        <f aca="false">H1527*I1527/100</f>
        <v>0</v>
      </c>
      <c r="L1527" s="553" t="n">
        <v>2120</v>
      </c>
      <c r="M1527" s="1302" t="n">
        <v>1</v>
      </c>
      <c r="N1527" s="553" t="n">
        <f aca="false">L1527*M1527</f>
        <v>2120</v>
      </c>
      <c r="O1527" s="1403" t="n">
        <f aca="false">H1527*N1527</f>
        <v>148824</v>
      </c>
      <c r="P1527" s="910" t="s">
        <v>2200</v>
      </c>
      <c r="Q1527" s="911" t="s">
        <v>2927</v>
      </c>
      <c r="R1527" s="1025" t="n">
        <v>148824</v>
      </c>
      <c r="S1527" s="854" t="n">
        <f aca="false">R1527/H1527</f>
        <v>2120</v>
      </c>
      <c r="T1527" s="1403" t="n">
        <f aca="false">O1527-R1527</f>
        <v>0</v>
      </c>
      <c r="U1527" s="553" t="n">
        <f aca="false">N1527-S1527</f>
        <v>0</v>
      </c>
    </row>
    <row r="1528" customFormat="false" ht="15" hidden="false" customHeight="true" outlineLevel="0" collapsed="false">
      <c r="A1528" s="829" t="n">
        <v>148</v>
      </c>
      <c r="B1528" s="1173" t="s">
        <v>86</v>
      </c>
      <c r="C1528" s="1173" t="n">
        <v>2024</v>
      </c>
      <c r="D1528" s="831" t="s">
        <v>6</v>
      </c>
      <c r="E1528" s="831" t="s">
        <v>2192</v>
      </c>
      <c r="F1528" s="831" t="s">
        <v>1650</v>
      </c>
      <c r="G1528" s="1108"/>
      <c r="H1528" s="1109" t="n">
        <v>92.8</v>
      </c>
      <c r="I1528" s="1110"/>
      <c r="J1528" s="1110"/>
      <c r="K1528" s="1111" t="n">
        <f aca="false">H1528*I1528/100</f>
        <v>0</v>
      </c>
      <c r="L1528" s="1114" t="n">
        <v>1626</v>
      </c>
      <c r="M1528" s="1711" t="n">
        <v>1</v>
      </c>
      <c r="N1528" s="1114" t="n">
        <f aca="false">L1528*M1528</f>
        <v>1626</v>
      </c>
      <c r="O1528" s="1181" t="n">
        <f aca="false">H1528*N1528</f>
        <v>150892.8</v>
      </c>
      <c r="P1528" s="838" t="s">
        <v>2193</v>
      </c>
      <c r="Q1528" s="839" t="s">
        <v>2928</v>
      </c>
      <c r="R1528" s="1139" t="n">
        <v>150892.8</v>
      </c>
      <c r="S1528" s="840" t="n">
        <f aca="false">R1528/H1528</f>
        <v>1626</v>
      </c>
      <c r="T1528" s="1181" t="n">
        <f aca="false">O1528-R1528</f>
        <v>0</v>
      </c>
      <c r="U1528" s="1176" t="n">
        <f aca="false">N1528-S1528</f>
        <v>0</v>
      </c>
    </row>
    <row r="1529" customFormat="false" ht="15" hidden="false" customHeight="true" outlineLevel="0" collapsed="false">
      <c r="A1529" s="829"/>
      <c r="B1529" s="847" t="s">
        <v>86</v>
      </c>
      <c r="C1529" s="847" t="n">
        <v>2024</v>
      </c>
      <c r="D1529" s="848" t="s">
        <v>6</v>
      </c>
      <c r="E1529" s="848" t="s">
        <v>2203</v>
      </c>
      <c r="F1529" s="848"/>
      <c r="G1529" s="849"/>
      <c r="H1529" s="949" t="n">
        <v>0</v>
      </c>
      <c r="I1529" s="950"/>
      <c r="J1529" s="950"/>
      <c r="K1529" s="864" t="n">
        <f aca="false">H1529*I1529/100</f>
        <v>0</v>
      </c>
      <c r="L1529" s="543" t="n">
        <v>111</v>
      </c>
      <c r="M1529" s="1300" t="n">
        <v>1</v>
      </c>
      <c r="N1529" s="543" t="n">
        <f aca="false">L1529*M1529</f>
        <v>111</v>
      </c>
      <c r="O1529" s="1449" t="n">
        <f aca="false">H1529*N1529</f>
        <v>0</v>
      </c>
      <c r="P1529" s="856" t="s">
        <v>2200</v>
      </c>
      <c r="Q1529" s="857" t="s">
        <v>2826</v>
      </c>
      <c r="R1529" s="1088" t="n">
        <v>0</v>
      </c>
      <c r="S1529" s="854" t="n">
        <v>111</v>
      </c>
      <c r="T1529" s="1449" t="n">
        <f aca="false">O1529-R1529</f>
        <v>0</v>
      </c>
      <c r="U1529" s="1135" t="n">
        <f aca="false">N1529-S1529</f>
        <v>0</v>
      </c>
    </row>
    <row r="1530" customFormat="false" ht="15" hidden="false" customHeight="true" outlineLevel="0" collapsed="false">
      <c r="A1530" s="829"/>
      <c r="B1530" s="847" t="s">
        <v>86</v>
      </c>
      <c r="C1530" s="847" t="n">
        <v>2024</v>
      </c>
      <c r="D1530" s="848" t="s">
        <v>6</v>
      </c>
      <c r="E1530" s="848" t="s">
        <v>2241</v>
      </c>
      <c r="F1530" s="848"/>
      <c r="G1530" s="849"/>
      <c r="H1530" s="949" t="n">
        <v>4.3</v>
      </c>
      <c r="I1530" s="950"/>
      <c r="J1530" s="950"/>
      <c r="K1530" s="864" t="n">
        <f aca="false">H1530*I1530/100</f>
        <v>0</v>
      </c>
      <c r="L1530" s="543" t="n">
        <v>124</v>
      </c>
      <c r="M1530" s="1300" t="n">
        <v>1</v>
      </c>
      <c r="N1530" s="543" t="n">
        <f aca="false">L1530*M1530</f>
        <v>124</v>
      </c>
      <c r="O1530" s="1449" t="n">
        <f aca="false">H1530*N1530</f>
        <v>533.2</v>
      </c>
      <c r="P1530" s="856" t="s">
        <v>2200</v>
      </c>
      <c r="Q1530" s="857" t="s">
        <v>2826</v>
      </c>
      <c r="R1530" s="1088" t="n">
        <v>533.2</v>
      </c>
      <c r="S1530" s="854" t="n">
        <f aca="false">R1530/H1530</f>
        <v>124</v>
      </c>
      <c r="T1530" s="1449" t="n">
        <f aca="false">O1530-R1530</f>
        <v>0</v>
      </c>
      <c r="U1530" s="1135" t="n">
        <f aca="false">N1530-S1530</f>
        <v>0</v>
      </c>
    </row>
    <row r="1531" customFormat="false" ht="15" hidden="false" customHeight="true" outlineLevel="0" collapsed="false">
      <c r="A1531" s="829"/>
      <c r="B1531" s="1072" t="s">
        <v>86</v>
      </c>
      <c r="C1531" s="1072" t="n">
        <v>2024</v>
      </c>
      <c r="D1531" s="887" t="s">
        <v>6</v>
      </c>
      <c r="E1531" s="887" t="s">
        <v>2205</v>
      </c>
      <c r="F1531" s="887"/>
      <c r="G1531" s="1062"/>
      <c r="H1531" s="1077" t="n">
        <v>0.8</v>
      </c>
      <c r="I1531" s="1086"/>
      <c r="J1531" s="1086"/>
      <c r="K1531" s="897" t="n">
        <f aca="false">H1531*I1531/100</f>
        <v>0</v>
      </c>
      <c r="L1531" s="589" t="n">
        <v>231</v>
      </c>
      <c r="M1531" s="1713" t="n">
        <v>1</v>
      </c>
      <c r="N1531" s="589" t="n">
        <f aca="false">L1531*M1531</f>
        <v>231</v>
      </c>
      <c r="O1531" s="1183" t="n">
        <f aca="false">H1531*N1531</f>
        <v>184.8</v>
      </c>
      <c r="P1531" s="888" t="s">
        <v>2200</v>
      </c>
      <c r="Q1531" s="889" t="s">
        <v>2826</v>
      </c>
      <c r="R1531" s="1080" t="n">
        <v>184.8</v>
      </c>
      <c r="S1531" s="890" t="n">
        <f aca="false">R1531/H1531</f>
        <v>231</v>
      </c>
      <c r="T1531" s="1183" t="n">
        <f aca="false">O1531-R1531</f>
        <v>0</v>
      </c>
      <c r="U1531" s="902" t="n">
        <f aca="false">N1531-S1531</f>
        <v>0</v>
      </c>
    </row>
    <row r="1532" customFormat="false" ht="15" hidden="false" customHeight="true" outlineLevel="0" collapsed="false">
      <c r="A1532" s="903" t="n">
        <v>228</v>
      </c>
      <c r="B1532" s="903" t="s">
        <v>2207</v>
      </c>
      <c r="C1532" s="903" t="n">
        <v>2024</v>
      </c>
      <c r="D1532" s="904" t="s">
        <v>6</v>
      </c>
      <c r="E1532" s="904" t="s">
        <v>2192</v>
      </c>
      <c r="F1532" s="904" t="s">
        <v>1652</v>
      </c>
      <c r="G1532" s="905"/>
      <c r="H1532" s="946" t="n">
        <v>41.5682</v>
      </c>
      <c r="I1532" s="947"/>
      <c r="J1532" s="947"/>
      <c r="K1532" s="939" t="n">
        <f aca="false">H1532*I1532/100</f>
        <v>0</v>
      </c>
      <c r="L1532" s="942" t="n">
        <v>3630</v>
      </c>
      <c r="M1532" s="1305" t="n">
        <v>1</v>
      </c>
      <c r="N1532" s="942" t="n">
        <f aca="false">L1532*M1532</f>
        <v>3630</v>
      </c>
      <c r="O1532" s="948" t="n">
        <f aca="false">H1532*N1532</f>
        <v>150892.566</v>
      </c>
      <c r="P1532" s="910" t="s">
        <v>2197</v>
      </c>
      <c r="Q1532" s="911" t="s">
        <v>2929</v>
      </c>
      <c r="R1532" s="1025" t="n">
        <v>150892.566</v>
      </c>
      <c r="S1532" s="891" t="n">
        <f aca="false">R1532/H1532</f>
        <v>3630</v>
      </c>
      <c r="T1532" s="948" t="n">
        <f aca="false">O1532-R1532</f>
        <v>0</v>
      </c>
      <c r="U1532" s="942" t="n">
        <f aca="false">N1532-S1532</f>
        <v>0</v>
      </c>
    </row>
    <row r="1533" customFormat="false" ht="15" hidden="false" customHeight="true" outlineLevel="0" collapsed="false">
      <c r="A1533" s="882" t="n">
        <v>149</v>
      </c>
      <c r="B1533" s="1173" t="s">
        <v>86</v>
      </c>
      <c r="C1533" s="1173" t="n">
        <v>2024</v>
      </c>
      <c r="D1533" s="831" t="s">
        <v>6</v>
      </c>
      <c r="E1533" s="831" t="s">
        <v>2242</v>
      </c>
      <c r="F1533" s="831"/>
      <c r="G1533" s="1108"/>
      <c r="H1533" s="1109" t="n">
        <v>43</v>
      </c>
      <c r="I1533" s="1110"/>
      <c r="J1533" s="1110"/>
      <c r="K1533" s="1111" t="n">
        <f aca="false">H1533*I1533/100</f>
        <v>0</v>
      </c>
      <c r="L1533" s="1114" t="n">
        <v>15415</v>
      </c>
      <c r="M1533" s="1711" t="n">
        <v>1</v>
      </c>
      <c r="N1533" s="1114" t="n">
        <f aca="false">L1533*M1533</f>
        <v>15415</v>
      </c>
      <c r="O1533" s="1181" t="n">
        <f aca="false">H1533*N1533</f>
        <v>662845</v>
      </c>
      <c r="P1533" s="838" t="s">
        <v>2200</v>
      </c>
      <c r="Q1533" s="839" t="s">
        <v>2930</v>
      </c>
      <c r="R1533" s="1139" t="n">
        <v>662845</v>
      </c>
      <c r="S1533" s="840" t="n">
        <f aca="false">R1533/H1533</f>
        <v>15415</v>
      </c>
      <c r="T1533" s="1181" t="n">
        <f aca="false">O1533-R1533</f>
        <v>0</v>
      </c>
      <c r="U1533" s="1176" t="n">
        <f aca="false">N1533-S1533</f>
        <v>0</v>
      </c>
    </row>
    <row r="1534" customFormat="false" ht="15" hidden="false" customHeight="true" outlineLevel="0" collapsed="false">
      <c r="A1534" s="882"/>
      <c r="B1534" s="847" t="s">
        <v>86</v>
      </c>
      <c r="C1534" s="847" t="n">
        <v>2024</v>
      </c>
      <c r="D1534" s="848" t="s">
        <v>6</v>
      </c>
      <c r="E1534" s="848" t="s">
        <v>2203</v>
      </c>
      <c r="F1534" s="848"/>
      <c r="G1534" s="849"/>
      <c r="H1534" s="949" t="n">
        <v>0</v>
      </c>
      <c r="I1534" s="950"/>
      <c r="J1534" s="950"/>
      <c r="K1534" s="852" t="n">
        <f aca="false">H1534*I1534/100</f>
        <v>0</v>
      </c>
      <c r="L1534" s="537" t="n">
        <v>5513</v>
      </c>
      <c r="M1534" s="1304" t="n">
        <v>1</v>
      </c>
      <c r="N1534" s="537" t="n">
        <f aca="false">L1534*M1534</f>
        <v>5513</v>
      </c>
      <c r="O1534" s="953" t="n">
        <f aca="false">H1534*N1534</f>
        <v>0</v>
      </c>
      <c r="P1534" s="856" t="s">
        <v>2204</v>
      </c>
      <c r="Q1534" s="857" t="n">
        <v>24032025</v>
      </c>
      <c r="R1534" s="1088" t="n">
        <v>0</v>
      </c>
      <c r="S1534" s="854" t="n">
        <v>5513</v>
      </c>
      <c r="T1534" s="953" t="n">
        <f aca="false">O1534-R1534</f>
        <v>0</v>
      </c>
      <c r="U1534" s="892" t="n">
        <f aca="false">N1534-S1534</f>
        <v>0</v>
      </c>
    </row>
    <row r="1535" customFormat="false" ht="15" hidden="false" customHeight="true" outlineLevel="0" collapsed="false">
      <c r="A1535" s="882"/>
      <c r="B1535" s="1072" t="s">
        <v>86</v>
      </c>
      <c r="C1535" s="1072" t="n">
        <v>2024</v>
      </c>
      <c r="D1535" s="887" t="s">
        <v>6</v>
      </c>
      <c r="E1535" s="887" t="s">
        <v>2205</v>
      </c>
      <c r="F1535" s="887"/>
      <c r="G1535" s="1062"/>
      <c r="H1535" s="1077" t="n">
        <v>0</v>
      </c>
      <c r="I1535" s="1086"/>
      <c r="J1535" s="1086"/>
      <c r="K1535" s="1064" t="n">
        <f aca="false">H1535*I1535/100</f>
        <v>0</v>
      </c>
      <c r="L1535" s="1067" t="n">
        <v>11706</v>
      </c>
      <c r="M1535" s="1710" t="n">
        <v>1</v>
      </c>
      <c r="N1535" s="1067" t="n">
        <f aca="false">L1535*M1535</f>
        <v>11706</v>
      </c>
      <c r="O1535" s="1452" t="n">
        <f aca="false">H1535*N1535</f>
        <v>0</v>
      </c>
      <c r="P1535" s="888" t="s">
        <v>2204</v>
      </c>
      <c r="Q1535" s="889" t="n">
        <v>24032025</v>
      </c>
      <c r="R1535" s="1080" t="n">
        <v>0</v>
      </c>
      <c r="S1535" s="890" t="n">
        <v>11706</v>
      </c>
      <c r="T1535" s="1183" t="n">
        <f aca="false">O1535-R1535</f>
        <v>0</v>
      </c>
      <c r="U1535" s="902" t="n">
        <f aca="false">N1535-S1535</f>
        <v>0</v>
      </c>
    </row>
    <row r="1536" customFormat="false" ht="15" hidden="false" customHeight="true" outlineLevel="0" collapsed="false">
      <c r="A1536" s="847" t="n">
        <v>191</v>
      </c>
      <c r="B1536" s="847" t="s">
        <v>81</v>
      </c>
      <c r="C1536" s="847" t="n">
        <v>2024</v>
      </c>
      <c r="D1536" s="848" t="s">
        <v>6</v>
      </c>
      <c r="E1536" s="848" t="s">
        <v>2192</v>
      </c>
      <c r="F1536" s="848" t="s">
        <v>2199</v>
      </c>
      <c r="G1536" s="849"/>
      <c r="H1536" s="949" t="n">
        <v>87.4</v>
      </c>
      <c r="I1536" s="950"/>
      <c r="J1536" s="950"/>
      <c r="K1536" s="852" t="n">
        <f aca="false">H1536*I1536/100</f>
        <v>0</v>
      </c>
      <c r="L1536" s="537" t="n">
        <v>1450</v>
      </c>
      <c r="M1536" s="1304" t="n">
        <v>1</v>
      </c>
      <c r="N1536" s="537" t="n">
        <f aca="false">L1536*M1536</f>
        <v>1450</v>
      </c>
      <c r="O1536" s="953" t="n">
        <f aca="false">H1536*N1536</f>
        <v>126730</v>
      </c>
      <c r="P1536" s="856" t="s">
        <v>2200</v>
      </c>
      <c r="Q1536" s="857" t="s">
        <v>2931</v>
      </c>
      <c r="R1536" s="1088" t="n">
        <v>126730</v>
      </c>
      <c r="S1536" s="886" t="n">
        <f aca="false">R1536/H1536</f>
        <v>1450</v>
      </c>
      <c r="T1536" s="953" t="n">
        <f aca="false">O1536-R1536</f>
        <v>0</v>
      </c>
      <c r="U1536" s="537" t="n">
        <f aca="false">N1536-S1536</f>
        <v>0</v>
      </c>
    </row>
    <row r="1537" customFormat="false" ht="15" hidden="false" customHeight="true" outlineLevel="0" collapsed="false">
      <c r="A1537" s="859" t="n">
        <v>192</v>
      </c>
      <c r="B1537" s="859" t="s">
        <v>81</v>
      </c>
      <c r="C1537" s="859" t="n">
        <v>2024</v>
      </c>
      <c r="D1537" s="860" t="s">
        <v>6</v>
      </c>
      <c r="E1537" s="860" t="s">
        <v>2192</v>
      </c>
      <c r="F1537" s="860" t="s">
        <v>2199</v>
      </c>
      <c r="G1537" s="861"/>
      <c r="H1537" s="980" t="n">
        <v>87.9</v>
      </c>
      <c r="I1537" s="981"/>
      <c r="J1537" s="981"/>
      <c r="K1537" s="864" t="n">
        <f aca="false">H1537*I1537/100</f>
        <v>0</v>
      </c>
      <c r="L1537" s="543" t="n">
        <v>550</v>
      </c>
      <c r="M1537" s="1300" t="n">
        <v>1</v>
      </c>
      <c r="N1537" s="543" t="n">
        <f aca="false">L1537*M1537</f>
        <v>550</v>
      </c>
      <c r="O1537" s="1449" t="n">
        <f aca="false">H1537*N1537</f>
        <v>48345</v>
      </c>
      <c r="P1537" s="868" t="s">
        <v>2200</v>
      </c>
      <c r="Q1537" s="869" t="s">
        <v>2885</v>
      </c>
      <c r="R1537" s="1018" t="n">
        <v>48345</v>
      </c>
      <c r="S1537" s="866" t="n">
        <f aca="false">R1537/H1537</f>
        <v>550</v>
      </c>
      <c r="T1537" s="1449" t="n">
        <f aca="false">O1537-R1537</f>
        <v>0</v>
      </c>
      <c r="U1537" s="543" t="n">
        <f aca="false">N1537-S1537</f>
        <v>0</v>
      </c>
    </row>
    <row r="1538" customFormat="false" ht="15" hidden="false" customHeight="true" outlineLevel="0" collapsed="false">
      <c r="A1538" s="859" t="n">
        <v>150</v>
      </c>
      <c r="B1538" s="969" t="s">
        <v>86</v>
      </c>
      <c r="C1538" s="969" t="n">
        <v>2024</v>
      </c>
      <c r="D1538" s="929" t="s">
        <v>6</v>
      </c>
      <c r="E1538" s="929" t="s">
        <v>2192</v>
      </c>
      <c r="F1538" s="929" t="s">
        <v>2199</v>
      </c>
      <c r="G1538" s="970"/>
      <c r="H1538" s="1725" t="n">
        <v>67.2</v>
      </c>
      <c r="I1538" s="1726" t="n">
        <v>42</v>
      </c>
      <c r="J1538" s="1726"/>
      <c r="K1538" s="1296" t="n">
        <f aca="false">H1538*I1538/100</f>
        <v>28.224</v>
      </c>
      <c r="L1538" s="979" t="n">
        <v>11300</v>
      </c>
      <c r="M1538" s="1727" t="n">
        <v>1</v>
      </c>
      <c r="N1538" s="979" t="n">
        <f aca="false">L1538*M1538</f>
        <v>11300</v>
      </c>
      <c r="O1538" s="1728" t="n">
        <f aca="false">H1538*N1538</f>
        <v>759360</v>
      </c>
      <c r="P1538" s="930"/>
      <c r="Q1538" s="931"/>
      <c r="R1538" s="1729"/>
      <c r="S1538" s="933"/>
      <c r="T1538" s="1728" t="n">
        <f aca="false">O1538-R1538</f>
        <v>759360</v>
      </c>
      <c r="U1538" s="979" t="n">
        <f aca="false">N1538-S1538</f>
        <v>11300</v>
      </c>
    </row>
    <row r="1539" customFormat="false" ht="15" hidden="false" customHeight="true" outlineLevel="0" collapsed="false">
      <c r="A1539" s="859"/>
      <c r="B1539" s="859" t="s">
        <v>86</v>
      </c>
      <c r="C1539" s="859" t="n">
        <v>2024</v>
      </c>
      <c r="D1539" s="860" t="s">
        <v>6</v>
      </c>
      <c r="E1539" s="860" t="s">
        <v>2203</v>
      </c>
      <c r="F1539" s="860"/>
      <c r="G1539" s="861"/>
      <c r="H1539" s="980" t="n">
        <v>0</v>
      </c>
      <c r="I1539" s="981"/>
      <c r="J1539" s="981"/>
      <c r="K1539" s="864" t="n">
        <f aca="false">H1539*I1539/100</f>
        <v>0</v>
      </c>
      <c r="L1539" s="543" t="n">
        <v>2294</v>
      </c>
      <c r="M1539" s="1300" t="n">
        <v>1</v>
      </c>
      <c r="N1539" s="543" t="n">
        <f aca="false">L1539*M1539</f>
        <v>2294</v>
      </c>
      <c r="O1539" s="1449" t="n">
        <f aca="false">H1539*N1539</f>
        <v>0</v>
      </c>
      <c r="P1539" s="868"/>
      <c r="Q1539" s="869"/>
      <c r="R1539" s="1018"/>
      <c r="S1539" s="866"/>
      <c r="T1539" s="1449" t="n">
        <f aca="false">O1539-R1539</f>
        <v>0</v>
      </c>
      <c r="U1539" s="543" t="n">
        <f aca="false">N1539-S1539</f>
        <v>2294</v>
      </c>
    </row>
    <row r="1540" customFormat="false" ht="15" hidden="false" customHeight="true" outlineLevel="0" collapsed="false">
      <c r="A1540" s="859"/>
      <c r="B1540" s="859" t="s">
        <v>86</v>
      </c>
      <c r="C1540" s="859" t="n">
        <v>2024</v>
      </c>
      <c r="D1540" s="860" t="s">
        <v>6</v>
      </c>
      <c r="E1540" s="860" t="s">
        <v>2205</v>
      </c>
      <c r="F1540" s="860"/>
      <c r="G1540" s="861"/>
      <c r="H1540" s="980" t="n">
        <v>0</v>
      </c>
      <c r="I1540" s="981"/>
      <c r="J1540" s="981"/>
      <c r="K1540" s="864" t="n">
        <f aca="false">H1540*I1540/100</f>
        <v>0</v>
      </c>
      <c r="L1540" s="543" t="n">
        <v>1651</v>
      </c>
      <c r="M1540" s="1300" t="n">
        <v>1</v>
      </c>
      <c r="N1540" s="543" t="n">
        <f aca="false">L1540*M1540</f>
        <v>1651</v>
      </c>
      <c r="O1540" s="1449" t="n">
        <f aca="false">H1540*N1540</f>
        <v>0</v>
      </c>
      <c r="P1540" s="868"/>
      <c r="Q1540" s="869"/>
      <c r="R1540" s="1018"/>
      <c r="S1540" s="866"/>
      <c r="T1540" s="1449" t="n">
        <f aca="false">O1540-R1540</f>
        <v>0</v>
      </c>
      <c r="U1540" s="543" t="n">
        <f aca="false">N1540-S1540</f>
        <v>1651</v>
      </c>
    </row>
    <row r="1541" customFormat="false" ht="15" hidden="false" customHeight="true" outlineLevel="0" collapsed="false">
      <c r="A1541" s="1087" t="n">
        <v>151</v>
      </c>
      <c r="B1541" s="847" t="s">
        <v>86</v>
      </c>
      <c r="C1541" s="847" t="n">
        <v>2024</v>
      </c>
      <c r="D1541" s="848" t="s">
        <v>6</v>
      </c>
      <c r="E1541" s="848" t="s">
        <v>2192</v>
      </c>
      <c r="F1541" s="848" t="s">
        <v>1650</v>
      </c>
      <c r="G1541" s="849"/>
      <c r="H1541" s="949" t="n">
        <v>96.3</v>
      </c>
      <c r="I1541" s="950"/>
      <c r="J1541" s="950"/>
      <c r="K1541" s="852" t="n">
        <f aca="false">H1541*I1541/100</f>
        <v>0</v>
      </c>
      <c r="L1541" s="537" t="n">
        <v>1162</v>
      </c>
      <c r="M1541" s="1304" t="n">
        <v>1</v>
      </c>
      <c r="N1541" s="537" t="n">
        <f aca="false">L1541*M1541</f>
        <v>1162</v>
      </c>
      <c r="O1541" s="953" t="n">
        <f aca="false">H1541*N1541</f>
        <v>111900.6</v>
      </c>
      <c r="P1541" s="856" t="s">
        <v>2193</v>
      </c>
      <c r="Q1541" s="857" t="s">
        <v>2198</v>
      </c>
      <c r="R1541" s="1088" t="n">
        <v>111900.6</v>
      </c>
      <c r="S1541" s="891" t="n">
        <f aca="false">R1541/H1541</f>
        <v>1162</v>
      </c>
      <c r="T1541" s="953" t="n">
        <f aca="false">O1541-R1541</f>
        <v>0</v>
      </c>
      <c r="U1541" s="892" t="n">
        <f aca="false">N1541-S1541</f>
        <v>0</v>
      </c>
    </row>
    <row r="1542" customFormat="false" ht="15" hidden="false" customHeight="true" outlineLevel="0" collapsed="false">
      <c r="A1542" s="1087"/>
      <c r="B1542" s="1207" t="s">
        <v>86</v>
      </c>
      <c r="C1542" s="1207" t="n">
        <v>2024</v>
      </c>
      <c r="D1542" s="1208" t="s">
        <v>6</v>
      </c>
      <c r="E1542" s="1208" t="s">
        <v>2242</v>
      </c>
      <c r="F1542" s="1208"/>
      <c r="G1542" s="1209"/>
      <c r="H1542" s="1210" t="n">
        <v>53.6</v>
      </c>
      <c r="I1542" s="1211"/>
      <c r="J1542" s="1211"/>
      <c r="K1542" s="1212" t="n">
        <f aca="false">H1542*I1542/100</f>
        <v>0</v>
      </c>
      <c r="L1542" s="1219" t="n">
        <v>209</v>
      </c>
      <c r="M1542" s="1730" t="n">
        <v>1</v>
      </c>
      <c r="N1542" s="1219" t="n">
        <f aca="false">L1542*M1542</f>
        <v>209</v>
      </c>
      <c r="O1542" s="1731" t="n">
        <f aca="false">H1542*N1542</f>
        <v>11202.4</v>
      </c>
      <c r="P1542" s="1216"/>
      <c r="Q1542" s="1628"/>
      <c r="R1542" s="1732"/>
      <c r="S1542" s="1218"/>
      <c r="T1542" s="1731" t="n">
        <f aca="false">O1542-R1542</f>
        <v>11202.4</v>
      </c>
      <c r="U1542" s="1238" t="n">
        <f aca="false">N1542-S1542</f>
        <v>209</v>
      </c>
    </row>
    <row r="1543" customFormat="false" ht="15" hidden="false" customHeight="true" outlineLevel="0" collapsed="false">
      <c r="A1543" s="1087"/>
      <c r="B1543" s="1239" t="s">
        <v>86</v>
      </c>
      <c r="C1543" s="1239" t="n">
        <v>2024</v>
      </c>
      <c r="D1543" s="1240" t="s">
        <v>6</v>
      </c>
      <c r="E1543" s="1240" t="s">
        <v>2205</v>
      </c>
      <c r="F1543" s="1240"/>
      <c r="G1543" s="1241"/>
      <c r="H1543" s="1242" t="n">
        <v>6.5</v>
      </c>
      <c r="I1543" s="1243"/>
      <c r="J1543" s="1243"/>
      <c r="K1543" s="1244" t="n">
        <f aca="false">H1543*I1543/100</f>
        <v>0</v>
      </c>
      <c r="L1543" s="1251" t="n">
        <v>81</v>
      </c>
      <c r="M1543" s="1733" t="n">
        <v>1</v>
      </c>
      <c r="N1543" s="1251" t="n">
        <f aca="false">L1543*M1543</f>
        <v>81</v>
      </c>
      <c r="O1543" s="1734" t="n">
        <f aca="false">H1543*N1543</f>
        <v>526.5</v>
      </c>
      <c r="P1543" s="1248"/>
      <c r="Q1543" s="1735"/>
      <c r="R1543" s="1736"/>
      <c r="S1543" s="1250"/>
      <c r="T1543" s="1734" t="n">
        <f aca="false">O1543-R1543</f>
        <v>526.5</v>
      </c>
      <c r="U1543" s="1252" t="n">
        <f aca="false">N1543-S1543</f>
        <v>81</v>
      </c>
    </row>
    <row r="1544" customFormat="false" ht="15" hidden="false" customHeight="true" outlineLevel="0" collapsed="false">
      <c r="A1544" s="882" t="n">
        <v>152</v>
      </c>
      <c r="B1544" s="1173" t="s">
        <v>86</v>
      </c>
      <c r="C1544" s="1173" t="n">
        <v>2024</v>
      </c>
      <c r="D1544" s="831" t="s">
        <v>6</v>
      </c>
      <c r="E1544" s="831" t="s">
        <v>2192</v>
      </c>
      <c r="F1544" s="831" t="s">
        <v>1650</v>
      </c>
      <c r="G1544" s="1108"/>
      <c r="H1544" s="1109" t="n">
        <v>96.3</v>
      </c>
      <c r="I1544" s="1110"/>
      <c r="J1544" s="1110"/>
      <c r="K1544" s="1111" t="n">
        <f aca="false">H1544*I1544/100</f>
        <v>0</v>
      </c>
      <c r="L1544" s="1114" t="n">
        <v>441</v>
      </c>
      <c r="M1544" s="1711" t="n">
        <v>1</v>
      </c>
      <c r="N1544" s="1114" t="n">
        <f aca="false">L1544*M1544</f>
        <v>441</v>
      </c>
      <c r="O1544" s="1181" t="n">
        <f aca="false">H1544*N1544</f>
        <v>42468.3</v>
      </c>
      <c r="P1544" s="838" t="s">
        <v>2193</v>
      </c>
      <c r="Q1544" s="839" t="s">
        <v>2198</v>
      </c>
      <c r="R1544" s="1139" t="n">
        <v>42468.3</v>
      </c>
      <c r="S1544" s="886" t="n">
        <f aca="false">R1544/H1544</f>
        <v>441</v>
      </c>
      <c r="T1544" s="1181" t="n">
        <f aca="false">O1544-R1544</f>
        <v>0</v>
      </c>
      <c r="U1544" s="1176" t="n">
        <f aca="false">N1544-S1544</f>
        <v>0</v>
      </c>
    </row>
    <row r="1545" customFormat="false" ht="15" hidden="false" customHeight="true" outlineLevel="0" collapsed="false">
      <c r="A1545" s="882"/>
      <c r="B1545" s="1207" t="s">
        <v>86</v>
      </c>
      <c r="C1545" s="1207" t="n">
        <v>2024</v>
      </c>
      <c r="D1545" s="1208" t="s">
        <v>6</v>
      </c>
      <c r="E1545" s="1208" t="s">
        <v>2242</v>
      </c>
      <c r="F1545" s="1208"/>
      <c r="G1545" s="1209"/>
      <c r="H1545" s="1210" t="n">
        <v>53.6</v>
      </c>
      <c r="I1545" s="1211"/>
      <c r="J1545" s="1211"/>
      <c r="K1545" s="1212" t="n">
        <f aca="false">H1545*I1545/100</f>
        <v>0</v>
      </c>
      <c r="L1545" s="1219" t="n">
        <v>80</v>
      </c>
      <c r="M1545" s="1730" t="n">
        <v>1</v>
      </c>
      <c r="N1545" s="1219" t="n">
        <f aca="false">L1545*M1545</f>
        <v>80</v>
      </c>
      <c r="O1545" s="1731" t="n">
        <f aca="false">H1545*N1545</f>
        <v>4288</v>
      </c>
      <c r="P1545" s="1216"/>
      <c r="Q1545" s="1628"/>
      <c r="R1545" s="1732"/>
      <c r="S1545" s="1218"/>
      <c r="T1545" s="1731" t="n">
        <f aca="false">O1545-R1545</f>
        <v>4288</v>
      </c>
      <c r="U1545" s="1238" t="n">
        <f aca="false">N1545-S1545</f>
        <v>80</v>
      </c>
    </row>
    <row r="1546" customFormat="false" ht="15" hidden="false" customHeight="true" outlineLevel="0" collapsed="false">
      <c r="A1546" s="882"/>
      <c r="B1546" s="1239" t="s">
        <v>86</v>
      </c>
      <c r="C1546" s="1239" t="n">
        <v>2024</v>
      </c>
      <c r="D1546" s="1240" t="s">
        <v>6</v>
      </c>
      <c r="E1546" s="1240" t="s">
        <v>2205</v>
      </c>
      <c r="F1546" s="1240"/>
      <c r="G1546" s="1241"/>
      <c r="H1546" s="1242" t="n">
        <v>6.5</v>
      </c>
      <c r="I1546" s="1243"/>
      <c r="J1546" s="1243"/>
      <c r="K1546" s="1244" t="n">
        <f aca="false">H1546*I1546/100</f>
        <v>0</v>
      </c>
      <c r="L1546" s="1251" t="n">
        <v>31</v>
      </c>
      <c r="M1546" s="1733" t="n">
        <v>1</v>
      </c>
      <c r="N1546" s="1251" t="n">
        <f aca="false">L1546*M1546</f>
        <v>31</v>
      </c>
      <c r="O1546" s="1734" t="n">
        <f aca="false">H1546*N1546</f>
        <v>201.5</v>
      </c>
      <c r="P1546" s="1248"/>
      <c r="Q1546" s="1735"/>
      <c r="R1546" s="1736"/>
      <c r="S1546" s="1250"/>
      <c r="T1546" s="1734" t="n">
        <f aca="false">O1546-R1546</f>
        <v>201.5</v>
      </c>
      <c r="U1546" s="1252" t="n">
        <f aca="false">N1546-S1546</f>
        <v>31</v>
      </c>
    </row>
    <row r="1547" customFormat="false" ht="15" hidden="false" customHeight="true" outlineLevel="0" collapsed="false">
      <c r="A1547" s="847" t="n">
        <v>229</v>
      </c>
      <c r="B1547" s="847" t="s">
        <v>2207</v>
      </c>
      <c r="C1547" s="847" t="n">
        <v>2024</v>
      </c>
      <c r="D1547" s="848" t="s">
        <v>6</v>
      </c>
      <c r="E1547" s="848" t="s">
        <v>2192</v>
      </c>
      <c r="F1547" s="848" t="s">
        <v>1652</v>
      </c>
      <c r="G1547" s="849"/>
      <c r="H1547" s="949" t="n">
        <v>52.9931</v>
      </c>
      <c r="I1547" s="950"/>
      <c r="J1547" s="950"/>
      <c r="K1547" s="852" t="n">
        <f aca="false">H1547*I1547/100</f>
        <v>0</v>
      </c>
      <c r="L1547" s="537" t="n">
        <v>2913</v>
      </c>
      <c r="M1547" s="1304" t="n">
        <v>1</v>
      </c>
      <c r="N1547" s="537" t="n">
        <f aca="false">L1547*M1547</f>
        <v>2913</v>
      </c>
      <c r="O1547" s="953" t="n">
        <f aca="false">H1547*N1547</f>
        <v>154368.9003</v>
      </c>
      <c r="P1547" s="856" t="s">
        <v>2197</v>
      </c>
      <c r="Q1547" s="857" t="s">
        <v>2932</v>
      </c>
      <c r="R1547" s="1144" t="n">
        <v>154368.9003</v>
      </c>
      <c r="S1547" s="886" t="n">
        <f aca="false">R1547/H1547</f>
        <v>2913</v>
      </c>
      <c r="T1547" s="953" t="n">
        <f aca="false">O1547-R1547</f>
        <v>0</v>
      </c>
      <c r="U1547" s="537" t="n">
        <f aca="false">N1547-S1547</f>
        <v>0</v>
      </c>
    </row>
    <row r="1548" customFormat="false" ht="15" hidden="false" customHeight="true" outlineLevel="0" collapsed="false">
      <c r="A1548" s="1414" t="n">
        <v>209</v>
      </c>
      <c r="B1548" s="1414" t="s">
        <v>2191</v>
      </c>
      <c r="C1548" s="1414" t="n">
        <v>2024</v>
      </c>
      <c r="D1548" s="1415" t="s">
        <v>6</v>
      </c>
      <c r="E1548" s="1415" t="s">
        <v>2192</v>
      </c>
      <c r="F1548" s="1415" t="s">
        <v>1651</v>
      </c>
      <c r="G1548" s="1416"/>
      <c r="H1548" s="1737" t="n">
        <v>31.9588</v>
      </c>
      <c r="I1548" s="1418"/>
      <c r="J1548" s="1418"/>
      <c r="K1548" s="1419" t="n">
        <f aca="false">H1548*I1548/100</f>
        <v>0</v>
      </c>
      <c r="L1548" s="552" t="n">
        <v>8</v>
      </c>
      <c r="M1548" s="1738" t="n">
        <v>10</v>
      </c>
      <c r="N1548" s="552" t="n">
        <f aca="false">L1548*M1548</f>
        <v>80</v>
      </c>
      <c r="O1548" s="1422" t="n">
        <f aca="false">H1548*N1548</f>
        <v>2556.704</v>
      </c>
      <c r="P1548" s="1423"/>
      <c r="Q1548" s="1739"/>
      <c r="R1548" s="1740"/>
      <c r="S1548" s="1426"/>
      <c r="T1548" s="1422" t="n">
        <f aca="false">O1548-R1548</f>
        <v>2556.704</v>
      </c>
      <c r="U1548" s="552" t="n">
        <f aca="false">N1548-S1548</f>
        <v>80</v>
      </c>
    </row>
    <row r="1549" customFormat="false" ht="15" hidden="false" customHeight="true" outlineLevel="0" collapsed="false">
      <c r="A1549" s="1414" t="n">
        <v>433</v>
      </c>
      <c r="B1549" s="1414" t="s">
        <v>2191</v>
      </c>
      <c r="C1549" s="1414" t="n">
        <v>2024</v>
      </c>
      <c r="D1549" s="1415" t="s">
        <v>6</v>
      </c>
      <c r="E1549" s="1415" t="s">
        <v>2192</v>
      </c>
      <c r="F1549" s="1415" t="s">
        <v>1651</v>
      </c>
      <c r="G1549" s="1416"/>
      <c r="H1549" s="1737" t="n">
        <v>31.5465</v>
      </c>
      <c r="I1549" s="1418"/>
      <c r="J1549" s="1418"/>
      <c r="K1549" s="1419" t="n">
        <f aca="false">H1549*I1549/100</f>
        <v>0</v>
      </c>
      <c r="L1549" s="552" t="n">
        <v>32</v>
      </c>
      <c r="M1549" s="1738" t="n">
        <v>15</v>
      </c>
      <c r="N1549" s="552" t="n">
        <f aca="false">L1549*M1549</f>
        <v>480</v>
      </c>
      <c r="O1549" s="1422" t="n">
        <f aca="false">H1549*N1549</f>
        <v>15142.32</v>
      </c>
      <c r="P1549" s="1423"/>
      <c r="Q1549" s="1739"/>
      <c r="R1549" s="1740"/>
      <c r="S1549" s="1426"/>
      <c r="T1549" s="1422" t="n">
        <f aca="false">O1549-R1549</f>
        <v>15142.32</v>
      </c>
      <c r="U1549" s="552" t="n">
        <f aca="false">N1549-S1549</f>
        <v>480</v>
      </c>
    </row>
    <row r="1550" customFormat="false" ht="15" hidden="false" customHeight="true" outlineLevel="0" collapsed="false">
      <c r="A1550" s="859"/>
      <c r="B1550" s="859"/>
      <c r="C1550" s="859"/>
      <c r="D1550" s="860"/>
      <c r="E1550" s="860"/>
      <c r="F1550" s="860"/>
      <c r="G1550" s="861"/>
      <c r="H1550" s="980"/>
      <c r="I1550" s="981"/>
      <c r="J1550" s="981"/>
      <c r="K1550" s="864"/>
      <c r="L1550" s="543"/>
      <c r="M1550" s="1300"/>
      <c r="N1550" s="543"/>
      <c r="O1550" s="1449"/>
      <c r="P1550" s="868"/>
      <c r="Q1550" s="869"/>
      <c r="R1550" s="1018"/>
      <c r="S1550" s="866"/>
      <c r="T1550" s="1449"/>
      <c r="U1550" s="543"/>
    </row>
    <row r="1551" customFormat="false" ht="15" hidden="false" customHeight="true" outlineLevel="0" collapsed="false">
      <c r="A1551" s="1741" t="n">
        <v>33</v>
      </c>
      <c r="B1551" s="1741" t="s">
        <v>81</v>
      </c>
      <c r="C1551" s="1741" t="n">
        <v>2024</v>
      </c>
      <c r="D1551" s="1742" t="s">
        <v>22</v>
      </c>
      <c r="E1551" s="1742" t="s">
        <v>2192</v>
      </c>
      <c r="F1551" s="1742" t="s">
        <v>2199</v>
      </c>
      <c r="G1551" s="1743"/>
      <c r="H1551" s="1744" t="n">
        <v>36.9</v>
      </c>
      <c r="I1551" s="1745"/>
      <c r="J1551" s="1745"/>
      <c r="K1551" s="1746" t="n">
        <f aca="false">H1551*I1551/100</f>
        <v>0</v>
      </c>
      <c r="L1551" s="998" t="n">
        <v>648</v>
      </c>
      <c r="M1551" s="1747" t="n">
        <v>1</v>
      </c>
      <c r="N1551" s="998" t="n">
        <f aca="false">L1551*M1551</f>
        <v>648</v>
      </c>
      <c r="O1551" s="1748" t="n">
        <f aca="false">H1551*N1551</f>
        <v>23911.2</v>
      </c>
      <c r="P1551" s="1749"/>
      <c r="Q1551" s="1750"/>
      <c r="R1551" s="1751"/>
      <c r="S1551" s="1752"/>
      <c r="T1551" s="1748" t="n">
        <f aca="false">O1551-R1551</f>
        <v>23911.2</v>
      </c>
      <c r="U1551" s="998" t="n">
        <f aca="false">N1551-S1551</f>
        <v>648</v>
      </c>
    </row>
    <row r="1552" customFormat="false" ht="15" hidden="false" customHeight="true" outlineLevel="0" collapsed="false">
      <c r="A1552" s="1186" t="n">
        <v>37</v>
      </c>
      <c r="B1552" s="1187" t="s">
        <v>81</v>
      </c>
      <c r="C1552" s="1187" t="n">
        <v>2024</v>
      </c>
      <c r="D1552" s="915" t="s">
        <v>22</v>
      </c>
      <c r="E1552" s="915" t="s">
        <v>2192</v>
      </c>
      <c r="F1552" s="916" t="s">
        <v>1650</v>
      </c>
      <c r="G1552" s="917"/>
      <c r="H1552" s="918" t="n">
        <v>93.4</v>
      </c>
      <c r="I1552" s="919"/>
      <c r="J1552" s="919"/>
      <c r="K1552" s="920" t="n">
        <f aca="false">H1552*I1552/100</f>
        <v>0</v>
      </c>
      <c r="L1552" s="921" t="n">
        <v>4652</v>
      </c>
      <c r="M1552" s="1311" t="n">
        <v>1</v>
      </c>
      <c r="N1552" s="921" t="n">
        <f aca="false">L1552*M1552</f>
        <v>4652</v>
      </c>
      <c r="O1552" s="927" t="n">
        <f aca="false">H1552*N1552</f>
        <v>434496.8</v>
      </c>
      <c r="P1552" s="923" t="s">
        <v>2193</v>
      </c>
      <c r="Q1552" s="924" t="s">
        <v>2743</v>
      </c>
      <c r="R1552" s="1753" t="n">
        <v>23350</v>
      </c>
      <c r="S1552" s="926" t="n">
        <f aca="false">R1552/H1552</f>
        <v>250</v>
      </c>
      <c r="T1552" s="927" t="n">
        <f aca="false">O1552-R1552-R1556-R1555-R1553-R1554</f>
        <v>245922.2</v>
      </c>
      <c r="U1552" s="928" t="n">
        <f aca="false">N1552-S1552-S1556-S1555-S1553-S1554</f>
        <v>2633</v>
      </c>
    </row>
    <row r="1553" customFormat="false" ht="15" hidden="false" customHeight="true" outlineLevel="0" collapsed="false">
      <c r="A1553" s="1186"/>
      <c r="B1553" s="1187"/>
      <c r="C1553" s="1187"/>
      <c r="D1553" s="929" t="s">
        <v>22</v>
      </c>
      <c r="E1553" s="929" t="s">
        <v>2192</v>
      </c>
      <c r="F1553" s="916"/>
      <c r="G1553" s="917"/>
      <c r="H1553" s="918"/>
      <c r="I1553" s="919"/>
      <c r="J1553" s="919"/>
      <c r="K1553" s="920"/>
      <c r="L1553" s="921"/>
      <c r="M1553" s="1311"/>
      <c r="N1553" s="921"/>
      <c r="O1553" s="927"/>
      <c r="P1553" s="930" t="s">
        <v>2197</v>
      </c>
      <c r="Q1553" s="931" t="s">
        <v>2933</v>
      </c>
      <c r="R1553" s="1729" t="n">
        <v>25218</v>
      </c>
      <c r="S1553" s="933" t="n">
        <f aca="false">R1553/H1552</f>
        <v>270</v>
      </c>
      <c r="T1553" s="927"/>
      <c r="U1553" s="928"/>
    </row>
    <row r="1554" customFormat="false" ht="15" hidden="false" customHeight="true" outlineLevel="0" collapsed="false">
      <c r="A1554" s="1186"/>
      <c r="B1554" s="1187"/>
      <c r="C1554" s="1187"/>
      <c r="D1554" s="929" t="s">
        <v>22</v>
      </c>
      <c r="E1554" s="929" t="s">
        <v>2192</v>
      </c>
      <c r="F1554" s="916"/>
      <c r="G1554" s="917"/>
      <c r="H1554" s="918"/>
      <c r="I1554" s="919"/>
      <c r="J1554" s="919"/>
      <c r="K1554" s="920"/>
      <c r="L1554" s="921"/>
      <c r="M1554" s="1311"/>
      <c r="N1554" s="921"/>
      <c r="O1554" s="927"/>
      <c r="P1554" s="930" t="s">
        <v>2193</v>
      </c>
      <c r="Q1554" s="931" t="s">
        <v>2345</v>
      </c>
      <c r="R1554" s="1729" t="n">
        <v>66314</v>
      </c>
      <c r="S1554" s="933" t="n">
        <f aca="false">R1554/H1552</f>
        <v>710</v>
      </c>
      <c r="T1554" s="927"/>
      <c r="U1554" s="928"/>
    </row>
    <row r="1555" customFormat="false" ht="15" hidden="false" customHeight="true" outlineLevel="0" collapsed="false">
      <c r="A1555" s="1186"/>
      <c r="B1555" s="1187"/>
      <c r="C1555" s="1187"/>
      <c r="D1555" s="929" t="s">
        <v>22</v>
      </c>
      <c r="E1555" s="929" t="s">
        <v>2192</v>
      </c>
      <c r="F1555" s="916"/>
      <c r="G1555" s="917"/>
      <c r="H1555" s="918"/>
      <c r="I1555" s="919"/>
      <c r="J1555" s="919"/>
      <c r="K1555" s="920"/>
      <c r="L1555" s="921"/>
      <c r="M1555" s="1311"/>
      <c r="N1555" s="921"/>
      <c r="O1555" s="927"/>
      <c r="P1555" s="930" t="s">
        <v>2197</v>
      </c>
      <c r="Q1555" s="931" t="s">
        <v>2934</v>
      </c>
      <c r="R1555" s="1729" t="n">
        <v>11208</v>
      </c>
      <c r="S1555" s="933" t="n">
        <f aca="false">R1555/H1552</f>
        <v>120</v>
      </c>
      <c r="T1555" s="927"/>
      <c r="U1555" s="928"/>
    </row>
    <row r="1556" customFormat="false" ht="15" hidden="false" customHeight="true" outlineLevel="0" collapsed="false">
      <c r="A1556" s="1186"/>
      <c r="B1556" s="1187"/>
      <c r="C1556" s="1187"/>
      <c r="D1556" s="934" t="s">
        <v>22</v>
      </c>
      <c r="E1556" s="934" t="s">
        <v>2192</v>
      </c>
      <c r="F1556" s="916"/>
      <c r="G1556" s="917"/>
      <c r="H1556" s="918"/>
      <c r="I1556" s="919"/>
      <c r="J1556" s="919"/>
      <c r="K1556" s="920"/>
      <c r="L1556" s="921"/>
      <c r="M1556" s="1311"/>
      <c r="N1556" s="921"/>
      <c r="O1556" s="927"/>
      <c r="P1556" s="935" t="s">
        <v>2193</v>
      </c>
      <c r="Q1556" s="936" t="s">
        <v>2935</v>
      </c>
      <c r="R1556" s="1754" t="n">
        <v>62484.6</v>
      </c>
      <c r="S1556" s="938" t="n">
        <f aca="false">R1556/H1552</f>
        <v>669</v>
      </c>
      <c r="T1556" s="927"/>
      <c r="U1556" s="928"/>
    </row>
    <row r="1557" customFormat="false" ht="15" hidden="false" customHeight="true" outlineLevel="0" collapsed="false">
      <c r="A1557" s="847" t="n">
        <v>82</v>
      </c>
      <c r="B1557" s="847" t="s">
        <v>2207</v>
      </c>
      <c r="C1557" s="847" t="n">
        <v>2024</v>
      </c>
      <c r="D1557" s="848" t="s">
        <v>22</v>
      </c>
      <c r="E1557" s="848" t="s">
        <v>2192</v>
      </c>
      <c r="F1557" s="848" t="s">
        <v>1651</v>
      </c>
      <c r="G1557" s="849"/>
      <c r="H1557" s="949" t="n">
        <v>25.575</v>
      </c>
      <c r="I1557" s="950"/>
      <c r="J1557" s="950"/>
      <c r="K1557" s="852" t="n">
        <f aca="false">H1557*I1557/100</f>
        <v>0</v>
      </c>
      <c r="L1557" s="537" t="n">
        <v>913</v>
      </c>
      <c r="M1557" s="1304" t="n">
        <v>1</v>
      </c>
      <c r="N1557" s="537" t="n">
        <f aca="false">L1557*M1557</f>
        <v>913</v>
      </c>
      <c r="O1557" s="1009" t="n">
        <f aca="false">H1557*N1557</f>
        <v>23349.975</v>
      </c>
      <c r="P1557" s="856" t="s">
        <v>2197</v>
      </c>
      <c r="Q1557" s="857" t="s">
        <v>2936</v>
      </c>
      <c r="R1557" s="1088" t="n">
        <v>23349.975</v>
      </c>
      <c r="S1557" s="854" t="n">
        <f aca="false">R1557/H1557</f>
        <v>913</v>
      </c>
      <c r="T1557" s="1009" t="n">
        <f aca="false">O1557-R1557</f>
        <v>0</v>
      </c>
      <c r="U1557" s="537" t="n">
        <f aca="false">N1557-S1557</f>
        <v>0</v>
      </c>
    </row>
    <row r="1558" customFormat="false" ht="15" hidden="false" customHeight="true" outlineLevel="0" collapsed="false">
      <c r="A1558" s="847" t="n">
        <v>95</v>
      </c>
      <c r="B1558" s="847" t="s">
        <v>2207</v>
      </c>
      <c r="C1558" s="847" t="n">
        <v>2024</v>
      </c>
      <c r="D1558" s="848" t="s">
        <v>22</v>
      </c>
      <c r="E1558" s="848" t="s">
        <v>2192</v>
      </c>
      <c r="F1558" s="848" t="s">
        <v>1651</v>
      </c>
      <c r="G1558" s="849"/>
      <c r="H1558" s="949" t="n">
        <v>25.82</v>
      </c>
      <c r="I1558" s="950"/>
      <c r="J1558" s="950"/>
      <c r="K1558" s="852" t="n">
        <f aca="false">H1558*I1558/100</f>
        <v>0</v>
      </c>
      <c r="L1558" s="537" t="n">
        <v>2420</v>
      </c>
      <c r="M1558" s="1304" t="n">
        <v>1</v>
      </c>
      <c r="N1558" s="537" t="n">
        <f aca="false">L1558*M1558</f>
        <v>2420</v>
      </c>
      <c r="O1558" s="1009" t="n">
        <f aca="false">H1558*N1558</f>
        <v>62484.4</v>
      </c>
      <c r="P1558" s="856" t="s">
        <v>2197</v>
      </c>
      <c r="Q1558" s="857" t="s">
        <v>2937</v>
      </c>
      <c r="R1558" s="1088" t="n">
        <v>62484.4</v>
      </c>
      <c r="S1558" s="854" t="n">
        <f aca="false">R1558/H1558</f>
        <v>2420</v>
      </c>
      <c r="T1558" s="1009" t="n">
        <f aca="false">O1558-R1558</f>
        <v>0</v>
      </c>
      <c r="U1558" s="537" t="n">
        <f aca="false">N1558-S1558</f>
        <v>0</v>
      </c>
    </row>
    <row r="1559" customFormat="false" ht="15" hidden="false" customHeight="true" outlineLevel="0" collapsed="false">
      <c r="A1559" s="847" t="n">
        <v>193</v>
      </c>
      <c r="B1559" s="847" t="s">
        <v>2207</v>
      </c>
      <c r="C1559" s="847" t="n">
        <v>2024</v>
      </c>
      <c r="D1559" s="848" t="s">
        <v>22</v>
      </c>
      <c r="E1559" s="848" t="s">
        <v>2192</v>
      </c>
      <c r="F1559" s="848" t="s">
        <v>1651</v>
      </c>
      <c r="G1559" s="849"/>
      <c r="H1559" s="949" t="n">
        <v>29.4467</v>
      </c>
      <c r="I1559" s="950"/>
      <c r="J1559" s="950"/>
      <c r="K1559" s="852" t="n">
        <f aca="false">H1559*I1559/100</f>
        <v>0</v>
      </c>
      <c r="L1559" s="537" t="n">
        <v>2252</v>
      </c>
      <c r="M1559" s="1304" t="n">
        <v>1</v>
      </c>
      <c r="N1559" s="537" t="n">
        <f aca="false">L1559*M1559</f>
        <v>2252</v>
      </c>
      <c r="O1559" s="953" t="n">
        <f aca="false">H1559*N1559</f>
        <v>66313.9684</v>
      </c>
      <c r="P1559" s="856" t="s">
        <v>2197</v>
      </c>
      <c r="Q1559" s="857" t="s">
        <v>2938</v>
      </c>
      <c r="R1559" s="1088" t="n">
        <v>66313.9684</v>
      </c>
      <c r="S1559" s="854" t="n">
        <f aca="false">R1559/H1559</f>
        <v>2252</v>
      </c>
      <c r="T1559" s="1009" t="n">
        <f aca="false">O1559-R1559</f>
        <v>0</v>
      </c>
      <c r="U1559" s="537" t="n">
        <f aca="false">N1559-S1559</f>
        <v>0</v>
      </c>
    </row>
    <row r="1560" customFormat="false" ht="15" hidden="false" customHeight="true" outlineLevel="0" collapsed="false">
      <c r="A1560" s="859"/>
      <c r="B1560" s="1480"/>
      <c r="C1560" s="859"/>
      <c r="D1560" s="860"/>
      <c r="E1560" s="860"/>
      <c r="F1560" s="860"/>
      <c r="G1560" s="861"/>
      <c r="H1560" s="862"/>
      <c r="I1560" s="863"/>
      <c r="J1560" s="863"/>
      <c r="K1560" s="864"/>
      <c r="L1560" s="867"/>
      <c r="M1560" s="1755"/>
      <c r="N1560" s="865"/>
      <c r="O1560" s="865"/>
      <c r="P1560" s="868"/>
      <c r="Q1560" s="869"/>
      <c r="R1560" s="866"/>
      <c r="S1560" s="866"/>
      <c r="T1560" s="543"/>
      <c r="U1560" s="543"/>
    </row>
    <row r="1561" customFormat="false" ht="15" hidden="false" customHeight="true" outlineLevel="0" collapsed="false">
      <c r="A1561" s="859" t="n">
        <v>141</v>
      </c>
      <c r="B1561" s="859" t="s">
        <v>86</v>
      </c>
      <c r="C1561" s="859" t="n">
        <v>2023</v>
      </c>
      <c r="D1561" s="860" t="s">
        <v>10</v>
      </c>
      <c r="E1561" s="860" t="s">
        <v>2241</v>
      </c>
      <c r="F1561" s="859"/>
      <c r="G1561" s="861"/>
      <c r="H1561" s="1756" t="n">
        <v>28.2</v>
      </c>
      <c r="I1561" s="1429"/>
      <c r="J1561" s="1429"/>
      <c r="K1561" s="864" t="n">
        <f aca="false">H1561*I1561/100</f>
        <v>0</v>
      </c>
      <c r="L1561" s="543" t="n">
        <v>1865</v>
      </c>
      <c r="M1561" s="983" t="n">
        <v>1</v>
      </c>
      <c r="N1561" s="543" t="n">
        <f aca="false">L1561*M1561</f>
        <v>1865</v>
      </c>
      <c r="O1561" s="543" t="n">
        <f aca="false">H1561*N1561</f>
        <v>52593</v>
      </c>
      <c r="P1561" s="868" t="s">
        <v>2204</v>
      </c>
      <c r="Q1561" s="1012" t="s">
        <v>2308</v>
      </c>
      <c r="R1561" s="1018" t="n">
        <v>52593</v>
      </c>
      <c r="S1561" s="866" t="n">
        <f aca="false">R1561/H1561</f>
        <v>1865</v>
      </c>
      <c r="T1561" s="543" t="n">
        <f aca="false">O1561-R1561</f>
        <v>0</v>
      </c>
      <c r="U1561" s="543" t="n">
        <f aca="false">N1561-S1561</f>
        <v>0</v>
      </c>
    </row>
    <row r="1562" customFormat="false" ht="15" hidden="false" customHeight="true" outlineLevel="0" collapsed="false">
      <c r="A1562" s="870" t="n">
        <v>171</v>
      </c>
      <c r="B1562" s="870" t="s">
        <v>86</v>
      </c>
      <c r="C1562" s="870" t="n">
        <v>2023</v>
      </c>
      <c r="D1562" s="871" t="s">
        <v>10</v>
      </c>
      <c r="E1562" s="871" t="s">
        <v>2241</v>
      </c>
      <c r="F1562" s="870"/>
      <c r="G1562" s="872"/>
      <c r="H1562" s="1757" t="n">
        <v>5.3</v>
      </c>
      <c r="I1562" s="1433"/>
      <c r="J1562" s="1433"/>
      <c r="K1562" s="875" t="n">
        <f aca="false">H1562*I1562/100</f>
        <v>0</v>
      </c>
      <c r="L1562" s="553" t="n">
        <v>773</v>
      </c>
      <c r="M1562" s="1000" t="n">
        <v>1</v>
      </c>
      <c r="N1562" s="553" t="n">
        <f aca="false">L1562*M1562</f>
        <v>773</v>
      </c>
      <c r="O1562" s="1404" t="n">
        <f aca="false">H1562*N1562</f>
        <v>4096.9</v>
      </c>
      <c r="P1562" s="879" t="s">
        <v>2204</v>
      </c>
      <c r="Q1562" s="880" t="n">
        <v>14052024</v>
      </c>
      <c r="R1562" s="877" t="n">
        <v>4096.9</v>
      </c>
      <c r="S1562" s="891" t="n">
        <f aca="false">R1562/H1562</f>
        <v>773</v>
      </c>
      <c r="T1562" s="553" t="n">
        <f aca="false">O1562-R1562</f>
        <v>0</v>
      </c>
      <c r="U1562" s="553" t="n">
        <f aca="false">N1562-S1562</f>
        <v>0</v>
      </c>
    </row>
    <row r="1563" customFormat="false" ht="15" hidden="false" customHeight="true" outlineLevel="0" collapsed="false">
      <c r="A1563" s="829" t="n">
        <v>223</v>
      </c>
      <c r="B1563" s="830" t="s">
        <v>86</v>
      </c>
      <c r="C1563" s="830" t="n">
        <v>2023</v>
      </c>
      <c r="D1563" s="831" t="s">
        <v>10</v>
      </c>
      <c r="E1563" s="831" t="s">
        <v>2192</v>
      </c>
      <c r="F1563" s="832" t="s">
        <v>2199</v>
      </c>
      <c r="G1563" s="833"/>
      <c r="H1563" s="1527" t="n">
        <v>80.3</v>
      </c>
      <c r="I1563" s="836" t="n">
        <v>75</v>
      </c>
      <c r="J1563" s="1020"/>
      <c r="K1563" s="836" t="n">
        <f aca="false">H1563*I1563/100</f>
        <v>60.225</v>
      </c>
      <c r="L1563" s="837" t="n">
        <v>4416</v>
      </c>
      <c r="M1563" s="1003" t="n">
        <v>1</v>
      </c>
      <c r="N1563" s="837" t="n">
        <f aca="false">L1563*M1563</f>
        <v>4416</v>
      </c>
      <c r="O1563" s="837" t="n">
        <f aca="false">H1563*N1563</f>
        <v>354604.8</v>
      </c>
      <c r="P1563" s="838" t="s">
        <v>2193</v>
      </c>
      <c r="Q1563" s="839" t="s">
        <v>2388</v>
      </c>
      <c r="R1563" s="840" t="n">
        <v>33404.8</v>
      </c>
      <c r="S1563" s="840" t="n">
        <f aca="false">R1563/H1563</f>
        <v>416</v>
      </c>
      <c r="T1563" s="841" t="n">
        <f aca="false">O1563-R1563-R1564</f>
        <v>0</v>
      </c>
      <c r="U1563" s="842" t="n">
        <f aca="false">N1563-S1563-S1564</f>
        <v>0</v>
      </c>
    </row>
    <row r="1564" customFormat="false" ht="15" hidden="false" customHeight="true" outlineLevel="0" collapsed="false">
      <c r="A1564" s="829"/>
      <c r="B1564" s="830"/>
      <c r="C1564" s="830"/>
      <c r="D1564" s="843" t="s">
        <v>10</v>
      </c>
      <c r="E1564" s="843" t="s">
        <v>2192</v>
      </c>
      <c r="F1564" s="832"/>
      <c r="G1564" s="833"/>
      <c r="H1564" s="1527"/>
      <c r="I1564" s="836"/>
      <c r="J1564" s="1020"/>
      <c r="K1564" s="836"/>
      <c r="L1564" s="837"/>
      <c r="M1564" s="1003"/>
      <c r="N1564" s="837"/>
      <c r="O1564" s="837"/>
      <c r="P1564" s="844" t="s">
        <v>2200</v>
      </c>
      <c r="Q1564" s="845" t="s">
        <v>115</v>
      </c>
      <c r="R1564" s="846" t="n">
        <v>321200</v>
      </c>
      <c r="S1564" s="846" t="n">
        <f aca="false">R1564/H1563</f>
        <v>4000</v>
      </c>
      <c r="T1564" s="841"/>
      <c r="U1564" s="842"/>
    </row>
    <row r="1565" customFormat="false" ht="15" hidden="false" customHeight="true" outlineLevel="0" collapsed="false">
      <c r="A1565" s="1087" t="n">
        <v>55</v>
      </c>
      <c r="B1565" s="1072" t="s">
        <v>2230</v>
      </c>
      <c r="C1565" s="1072" t="n">
        <v>2023</v>
      </c>
      <c r="D1565" s="848" t="s">
        <v>10</v>
      </c>
      <c r="E1565" s="848" t="s">
        <v>2192</v>
      </c>
      <c r="F1565" s="887" t="s">
        <v>1650</v>
      </c>
      <c r="G1565" s="1062"/>
      <c r="H1565" s="1758" t="n">
        <v>96.9971</v>
      </c>
      <c r="I1565" s="1078" t="n">
        <v>84</v>
      </c>
      <c r="J1565" s="1078" t="n">
        <v>78</v>
      </c>
      <c r="K1565" s="1064" t="n">
        <f aca="false">H1565*I1565/100</f>
        <v>81.477564</v>
      </c>
      <c r="L1565" s="1067" t="n">
        <v>10105</v>
      </c>
      <c r="M1565" s="1066" t="n">
        <v>1</v>
      </c>
      <c r="N1565" s="1067" t="n">
        <f aca="false">L1565*M1565</f>
        <v>10105</v>
      </c>
      <c r="O1565" s="1069" t="n">
        <f aca="false">H1565*N1565</f>
        <v>980155.6955</v>
      </c>
      <c r="P1565" s="910" t="s">
        <v>2193</v>
      </c>
      <c r="Q1565" s="911" t="s">
        <v>2939</v>
      </c>
      <c r="R1565" s="891" t="n">
        <v>48886.5384</v>
      </c>
      <c r="S1565" s="891" t="n">
        <f aca="false">R1565/H1565</f>
        <v>504</v>
      </c>
      <c r="T1565" s="1452" t="n">
        <f aca="false">O1565-R1565-R1572-R1571-R1566-R1570-R1567-R1568-R1569</f>
        <v>0</v>
      </c>
      <c r="U1565" s="1070" t="n">
        <f aca="false">N1565-S1565-S1572-S1571-S1566-S1570-S1567-S1568-S1569</f>
        <v>0</v>
      </c>
    </row>
    <row r="1566" customFormat="false" ht="15" hidden="false" customHeight="true" outlineLevel="0" collapsed="false">
      <c r="A1566" s="1087"/>
      <c r="B1566" s="1072"/>
      <c r="C1566" s="1072"/>
      <c r="D1566" s="860" t="s">
        <v>10</v>
      </c>
      <c r="E1566" s="860" t="s">
        <v>2192</v>
      </c>
      <c r="F1566" s="887"/>
      <c r="G1566" s="1062"/>
      <c r="H1566" s="1758"/>
      <c r="I1566" s="1078"/>
      <c r="J1566" s="1078"/>
      <c r="K1566" s="1064"/>
      <c r="L1566" s="1067"/>
      <c r="M1566" s="1066"/>
      <c r="N1566" s="1067"/>
      <c r="O1566" s="1069"/>
      <c r="P1566" s="868" t="s">
        <v>2193</v>
      </c>
      <c r="Q1566" s="869" t="s">
        <v>2940</v>
      </c>
      <c r="R1566" s="866" t="n">
        <v>86909.4016</v>
      </c>
      <c r="S1566" s="866" t="n">
        <f aca="false">R1566/H1565</f>
        <v>896</v>
      </c>
      <c r="T1566" s="1452"/>
      <c r="U1566" s="1070"/>
    </row>
    <row r="1567" customFormat="false" ht="15" hidden="false" customHeight="true" outlineLevel="0" collapsed="false">
      <c r="A1567" s="1087"/>
      <c r="B1567" s="1072"/>
      <c r="C1567" s="1072"/>
      <c r="D1567" s="860" t="s">
        <v>10</v>
      </c>
      <c r="E1567" s="860" t="s">
        <v>2192</v>
      </c>
      <c r="F1567" s="887"/>
      <c r="G1567" s="1062"/>
      <c r="H1567" s="1758"/>
      <c r="I1567" s="1078"/>
      <c r="J1567" s="1078"/>
      <c r="K1567" s="1064"/>
      <c r="L1567" s="1067"/>
      <c r="M1567" s="1066"/>
      <c r="N1567" s="1067"/>
      <c r="O1567" s="1069"/>
      <c r="P1567" s="868" t="s">
        <v>2197</v>
      </c>
      <c r="Q1567" s="869" t="s">
        <v>2941</v>
      </c>
      <c r="R1567" s="866" t="n">
        <v>5819.826</v>
      </c>
      <c r="S1567" s="866" t="n">
        <f aca="false">R1567/H1565</f>
        <v>60</v>
      </c>
      <c r="T1567" s="1452"/>
      <c r="U1567" s="1070"/>
    </row>
    <row r="1568" customFormat="false" ht="15" hidden="false" customHeight="true" outlineLevel="0" collapsed="false">
      <c r="A1568" s="1087"/>
      <c r="B1568" s="1072"/>
      <c r="C1568" s="1072"/>
      <c r="D1568" s="860" t="s">
        <v>10</v>
      </c>
      <c r="E1568" s="860" t="s">
        <v>2192</v>
      </c>
      <c r="F1568" s="887"/>
      <c r="G1568" s="1062"/>
      <c r="H1568" s="1758"/>
      <c r="I1568" s="1078"/>
      <c r="J1568" s="1078"/>
      <c r="K1568" s="1064"/>
      <c r="L1568" s="1067"/>
      <c r="M1568" s="1066"/>
      <c r="N1568" s="1067"/>
      <c r="O1568" s="1069"/>
      <c r="P1568" s="868" t="s">
        <v>2200</v>
      </c>
      <c r="Q1568" s="869" t="s">
        <v>2833</v>
      </c>
      <c r="R1568" s="866" t="n">
        <v>1163.9652</v>
      </c>
      <c r="S1568" s="866" t="n">
        <f aca="false">R1568/H1565</f>
        <v>12</v>
      </c>
      <c r="T1568" s="1452"/>
      <c r="U1568" s="1070"/>
    </row>
    <row r="1569" customFormat="false" ht="15" hidden="false" customHeight="true" outlineLevel="0" collapsed="false">
      <c r="A1569" s="1087"/>
      <c r="B1569" s="1072"/>
      <c r="C1569" s="1072"/>
      <c r="D1569" s="860" t="s">
        <v>10</v>
      </c>
      <c r="E1569" s="860" t="s">
        <v>2192</v>
      </c>
      <c r="F1569" s="887"/>
      <c r="G1569" s="1062"/>
      <c r="H1569" s="1758"/>
      <c r="I1569" s="1078"/>
      <c r="J1569" s="1078"/>
      <c r="K1569" s="1064"/>
      <c r="L1569" s="1067"/>
      <c r="M1569" s="1066"/>
      <c r="N1569" s="1067"/>
      <c r="O1569" s="1069"/>
      <c r="P1569" s="868" t="s">
        <v>2193</v>
      </c>
      <c r="Q1569" s="869" t="s">
        <v>2392</v>
      </c>
      <c r="R1569" s="866" t="n">
        <v>585377.4985</v>
      </c>
      <c r="S1569" s="866" t="n">
        <f aca="false">R1569/H1565</f>
        <v>6035</v>
      </c>
      <c r="T1569" s="1452"/>
      <c r="U1569" s="1070"/>
    </row>
    <row r="1570" customFormat="false" ht="15" hidden="false" customHeight="true" outlineLevel="0" collapsed="false">
      <c r="A1570" s="1087"/>
      <c r="B1570" s="1072"/>
      <c r="C1570" s="1072"/>
      <c r="D1570" s="860" t="s">
        <v>10</v>
      </c>
      <c r="E1570" s="860" t="s">
        <v>2192</v>
      </c>
      <c r="F1570" s="887"/>
      <c r="G1570" s="1062"/>
      <c r="H1570" s="1758"/>
      <c r="I1570" s="1078"/>
      <c r="J1570" s="1078"/>
      <c r="K1570" s="1064"/>
      <c r="L1570" s="1067"/>
      <c r="M1570" s="1066"/>
      <c r="N1570" s="1067"/>
      <c r="O1570" s="1069"/>
      <c r="P1570" s="868" t="s">
        <v>2193</v>
      </c>
      <c r="Q1570" s="869" t="s">
        <v>2942</v>
      </c>
      <c r="R1570" s="866" t="n">
        <v>48498.55</v>
      </c>
      <c r="S1570" s="866" t="n">
        <f aca="false">R1570/H1565</f>
        <v>500</v>
      </c>
      <c r="T1570" s="1452"/>
      <c r="U1570" s="1070"/>
    </row>
    <row r="1571" customFormat="false" ht="15" hidden="false" customHeight="true" outlineLevel="0" collapsed="false">
      <c r="A1571" s="1087"/>
      <c r="B1571" s="1072"/>
      <c r="C1571" s="1072"/>
      <c r="D1571" s="860" t="s">
        <v>10</v>
      </c>
      <c r="E1571" s="860" t="s">
        <v>2192</v>
      </c>
      <c r="F1571" s="887"/>
      <c r="G1571" s="1062"/>
      <c r="H1571" s="1758"/>
      <c r="I1571" s="1078"/>
      <c r="J1571" s="1078"/>
      <c r="K1571" s="1064"/>
      <c r="L1571" s="1067"/>
      <c r="M1571" s="1066"/>
      <c r="N1571" s="1067"/>
      <c r="O1571" s="1069"/>
      <c r="P1571" s="868" t="s">
        <v>2193</v>
      </c>
      <c r="Q1571" s="869" t="s">
        <v>2943</v>
      </c>
      <c r="R1571" s="866" t="n">
        <v>75463.7438</v>
      </c>
      <c r="S1571" s="866" t="n">
        <f aca="false">R1571/H1565</f>
        <v>778</v>
      </c>
      <c r="T1571" s="1452"/>
      <c r="U1571" s="1070"/>
    </row>
    <row r="1572" customFormat="false" ht="15" hidden="false" customHeight="true" outlineLevel="0" collapsed="false">
      <c r="A1572" s="1087"/>
      <c r="B1572" s="1072"/>
      <c r="C1572" s="1072"/>
      <c r="D1572" s="843" t="s">
        <v>10</v>
      </c>
      <c r="E1572" s="843" t="s">
        <v>2192</v>
      </c>
      <c r="F1572" s="887"/>
      <c r="G1572" s="1062"/>
      <c r="H1572" s="1758"/>
      <c r="I1572" s="1078"/>
      <c r="J1572" s="1078"/>
      <c r="K1572" s="1064"/>
      <c r="L1572" s="1067"/>
      <c r="M1572" s="1066"/>
      <c r="N1572" s="1067"/>
      <c r="O1572" s="1069"/>
      <c r="P1572" s="844" t="s">
        <v>2193</v>
      </c>
      <c r="Q1572" s="845" t="s">
        <v>2944</v>
      </c>
      <c r="R1572" s="846" t="n">
        <v>128036.172</v>
      </c>
      <c r="S1572" s="1179" t="n">
        <f aca="false">R1572/H1565</f>
        <v>1320</v>
      </c>
      <c r="T1572" s="1452"/>
      <c r="U1572" s="1070"/>
    </row>
    <row r="1573" customFormat="false" ht="15" hidden="false" customHeight="true" outlineLevel="0" collapsed="false">
      <c r="A1573" s="847" t="n">
        <v>26</v>
      </c>
      <c r="B1573" s="847" t="s">
        <v>2191</v>
      </c>
      <c r="C1573" s="847" t="n">
        <v>2024</v>
      </c>
      <c r="D1573" s="848" t="s">
        <v>10</v>
      </c>
      <c r="E1573" s="848" t="s">
        <v>2192</v>
      </c>
      <c r="F1573" s="848" t="s">
        <v>1652</v>
      </c>
      <c r="G1573" s="849"/>
      <c r="H1573" s="1523" t="n">
        <v>37.1</v>
      </c>
      <c r="I1573" s="1397"/>
      <c r="J1573" s="1397"/>
      <c r="K1573" s="852" t="n">
        <f aca="false">H1573*I1573/100</f>
        <v>0</v>
      </c>
      <c r="L1573" s="537" t="n">
        <v>121</v>
      </c>
      <c r="M1573" s="1007" t="n">
        <v>15</v>
      </c>
      <c r="N1573" s="1143" t="n">
        <f aca="false">L1573*M1573</f>
        <v>1815</v>
      </c>
      <c r="O1573" s="1438" t="n">
        <f aca="false">H1573*N1573</f>
        <v>67336.5</v>
      </c>
      <c r="P1573" s="856" t="s">
        <v>2195</v>
      </c>
      <c r="Q1573" s="857" t="s">
        <v>1375</v>
      </c>
      <c r="R1573" s="854" t="n">
        <v>67336.5</v>
      </c>
      <c r="S1573" s="866" t="n">
        <f aca="false">R1573/H1573</f>
        <v>1815</v>
      </c>
      <c r="T1573" s="858" t="n">
        <f aca="false">O1573-R1573</f>
        <v>0</v>
      </c>
      <c r="U1573" s="537" t="n">
        <f aca="false">N1573-S1573</f>
        <v>0</v>
      </c>
    </row>
    <row r="1574" customFormat="false" ht="15" hidden="false" customHeight="true" outlineLevel="0" collapsed="false">
      <c r="A1574" s="903" t="n">
        <v>32</v>
      </c>
      <c r="B1574" s="903" t="s">
        <v>2191</v>
      </c>
      <c r="C1574" s="903" t="n">
        <v>2024</v>
      </c>
      <c r="D1574" s="904" t="s">
        <v>10</v>
      </c>
      <c r="E1574" s="904" t="s">
        <v>2192</v>
      </c>
      <c r="F1574" s="904" t="s">
        <v>1652</v>
      </c>
      <c r="G1574" s="905"/>
      <c r="H1574" s="1524" t="n">
        <v>38.3</v>
      </c>
      <c r="I1574" s="1055"/>
      <c r="J1574" s="1055"/>
      <c r="K1574" s="939" t="n">
        <f aca="false">H1574*I1574/100</f>
        <v>0</v>
      </c>
      <c r="L1574" s="942" t="n">
        <v>24</v>
      </c>
      <c r="M1574" s="1023" t="n">
        <v>15</v>
      </c>
      <c r="N1574" s="1137" t="n">
        <f aca="false">L1574*M1574</f>
        <v>360</v>
      </c>
      <c r="O1574" s="1443" t="n">
        <f aca="false">H1574*N1574</f>
        <v>13788</v>
      </c>
      <c r="P1574" s="910" t="s">
        <v>2195</v>
      </c>
      <c r="Q1574" s="911" t="s">
        <v>1375</v>
      </c>
      <c r="R1574" s="891" t="n">
        <v>13788</v>
      </c>
      <c r="S1574" s="877" t="n">
        <f aca="false">R1574/H1574</f>
        <v>360</v>
      </c>
      <c r="T1574" s="1058" t="n">
        <f aca="false">O1574-R1574</f>
        <v>0</v>
      </c>
      <c r="U1574" s="942" t="n">
        <f aca="false">N1574-S1574</f>
        <v>0</v>
      </c>
    </row>
    <row r="1575" customFormat="false" ht="15" hidden="false" customHeight="true" outlineLevel="0" collapsed="false">
      <c r="A1575" s="829" t="n">
        <v>39</v>
      </c>
      <c r="B1575" s="830" t="s">
        <v>2191</v>
      </c>
      <c r="C1575" s="830" t="n">
        <v>2024</v>
      </c>
      <c r="D1575" s="831" t="s">
        <v>10</v>
      </c>
      <c r="E1575" s="831" t="s">
        <v>2192</v>
      </c>
      <c r="F1575" s="832" t="s">
        <v>1652</v>
      </c>
      <c r="G1575" s="833"/>
      <c r="H1575" s="1526" t="n">
        <v>35.9</v>
      </c>
      <c r="I1575" s="1020"/>
      <c r="J1575" s="1020"/>
      <c r="K1575" s="836" t="n">
        <f aca="false">H1575*I1575/100</f>
        <v>0</v>
      </c>
      <c r="L1575" s="837" t="n">
        <v>212</v>
      </c>
      <c r="M1575" s="1003" t="n">
        <v>15</v>
      </c>
      <c r="N1575" s="837" t="n">
        <f aca="false">L1575*M1575</f>
        <v>3180</v>
      </c>
      <c r="O1575" s="841" t="n">
        <f aca="false">H1575*N1575</f>
        <v>114162</v>
      </c>
      <c r="P1575" s="838" t="s">
        <v>2193</v>
      </c>
      <c r="Q1575" s="839" t="s">
        <v>2945</v>
      </c>
      <c r="R1575" s="840" t="n">
        <v>15078</v>
      </c>
      <c r="S1575" s="840" t="n">
        <f aca="false">R1575/H1575</f>
        <v>420</v>
      </c>
      <c r="T1575" s="841" t="n">
        <f aca="false">O1575-R1575-R1576</f>
        <v>0</v>
      </c>
      <c r="U1575" s="842" t="n">
        <f aca="false">N1575-S1575-S1576</f>
        <v>0</v>
      </c>
    </row>
    <row r="1576" customFormat="false" ht="15" hidden="false" customHeight="true" outlineLevel="0" collapsed="false">
      <c r="A1576" s="829"/>
      <c r="B1576" s="830"/>
      <c r="C1576" s="830"/>
      <c r="D1576" s="843" t="s">
        <v>10</v>
      </c>
      <c r="E1576" s="843" t="s">
        <v>2192</v>
      </c>
      <c r="F1576" s="832"/>
      <c r="G1576" s="833"/>
      <c r="H1576" s="1526"/>
      <c r="I1576" s="1020"/>
      <c r="J1576" s="1020"/>
      <c r="K1576" s="836"/>
      <c r="L1576" s="837"/>
      <c r="M1576" s="1003"/>
      <c r="N1576" s="837"/>
      <c r="O1576" s="841"/>
      <c r="P1576" s="844" t="s">
        <v>2195</v>
      </c>
      <c r="Q1576" s="845" t="s">
        <v>1375</v>
      </c>
      <c r="R1576" s="846" t="n">
        <v>99084</v>
      </c>
      <c r="S1576" s="846" t="n">
        <f aca="false">R1576/H1575</f>
        <v>2760</v>
      </c>
      <c r="T1576" s="841"/>
      <c r="U1576" s="842"/>
    </row>
    <row r="1577" customFormat="false" ht="15" hidden="false" customHeight="true" outlineLevel="0" collapsed="false">
      <c r="A1577" s="903" t="n">
        <v>39</v>
      </c>
      <c r="B1577" s="903" t="s">
        <v>2191</v>
      </c>
      <c r="C1577" s="903" t="n">
        <v>2024</v>
      </c>
      <c r="D1577" s="904" t="s">
        <v>10</v>
      </c>
      <c r="E1577" s="904" t="s">
        <v>2192</v>
      </c>
      <c r="F1577" s="904" t="s">
        <v>1652</v>
      </c>
      <c r="G1577" s="905"/>
      <c r="H1577" s="1524" t="n">
        <v>38.3</v>
      </c>
      <c r="I1577" s="1055"/>
      <c r="J1577" s="1055"/>
      <c r="K1577" s="939" t="n">
        <f aca="false">H1577*I1577/100</f>
        <v>0</v>
      </c>
      <c r="L1577" s="942" t="n">
        <v>437</v>
      </c>
      <c r="M1577" s="1023" t="n">
        <v>15</v>
      </c>
      <c r="N1577" s="1137" t="n">
        <f aca="false">L1577*M1577</f>
        <v>6555</v>
      </c>
      <c r="O1577" s="1443" t="n">
        <f aca="false">H1577*N1577</f>
        <v>251056.5</v>
      </c>
      <c r="P1577" s="910" t="s">
        <v>2195</v>
      </c>
      <c r="Q1577" s="911" t="s">
        <v>1375</v>
      </c>
      <c r="R1577" s="891" t="n">
        <v>251056.5</v>
      </c>
      <c r="S1577" s="866" t="n">
        <f aca="false">R1577/H1577</f>
        <v>6555</v>
      </c>
      <c r="T1577" s="1058" t="n">
        <f aca="false">O1577-R1577</f>
        <v>0</v>
      </c>
      <c r="U1577" s="942" t="n">
        <f aca="false">N1577-S1577</f>
        <v>0</v>
      </c>
    </row>
    <row r="1578" customFormat="false" ht="15" hidden="false" customHeight="true" outlineLevel="0" collapsed="false">
      <c r="A1578" s="829" t="n">
        <v>11</v>
      </c>
      <c r="B1578" s="1173" t="s">
        <v>86</v>
      </c>
      <c r="C1578" s="1173" t="n">
        <v>2024</v>
      </c>
      <c r="D1578" s="831" t="s">
        <v>10</v>
      </c>
      <c r="E1578" s="831" t="s">
        <v>2192</v>
      </c>
      <c r="F1578" s="831" t="s">
        <v>2199</v>
      </c>
      <c r="G1578" s="1108"/>
      <c r="H1578" s="1759" t="n">
        <v>84.3</v>
      </c>
      <c r="I1578" s="1435"/>
      <c r="J1578" s="1435"/>
      <c r="K1578" s="1111" t="n">
        <f aca="false">H1578*I1578/100</f>
        <v>0</v>
      </c>
      <c r="L1578" s="1114" t="n">
        <v>117</v>
      </c>
      <c r="M1578" s="1113" t="n">
        <v>1</v>
      </c>
      <c r="N1578" s="1408" t="n">
        <f aca="false">L1578*M1578</f>
        <v>117</v>
      </c>
      <c r="O1578" s="1712" t="n">
        <f aca="false">H1578*N1578</f>
        <v>9863.1</v>
      </c>
      <c r="P1578" s="838" t="s">
        <v>2232</v>
      </c>
      <c r="Q1578" s="839" t="s">
        <v>2740</v>
      </c>
      <c r="R1578" s="840" t="n">
        <v>9863.1</v>
      </c>
      <c r="S1578" s="840" t="n">
        <f aca="false">R1578/H1578</f>
        <v>117</v>
      </c>
      <c r="T1578" s="1115" t="n">
        <f aca="false">O1578-R1578</f>
        <v>0</v>
      </c>
      <c r="U1578" s="1176" t="n">
        <f aca="false">N1578-S1578</f>
        <v>0</v>
      </c>
    </row>
    <row r="1579" customFormat="false" ht="15" hidden="false" customHeight="true" outlineLevel="0" collapsed="false">
      <c r="A1579" s="829"/>
      <c r="B1579" s="1072" t="s">
        <v>86</v>
      </c>
      <c r="C1579" s="1072" t="n">
        <v>2024</v>
      </c>
      <c r="D1579" s="887" t="s">
        <v>10</v>
      </c>
      <c r="E1579" s="887" t="s">
        <v>2203</v>
      </c>
      <c r="F1579" s="887"/>
      <c r="G1579" s="1062"/>
      <c r="H1579" s="1758" t="n">
        <v>0</v>
      </c>
      <c r="I1579" s="1078"/>
      <c r="J1579" s="1078"/>
      <c r="K1579" s="897" t="n">
        <f aca="false">H1579*I1579/100</f>
        <v>0</v>
      </c>
      <c r="L1579" s="1067" t="n">
        <v>223</v>
      </c>
      <c r="M1579" s="1066" t="n">
        <v>1</v>
      </c>
      <c r="N1579" s="1393" t="n">
        <f aca="false">L1579*M1579</f>
        <v>223</v>
      </c>
      <c r="O1579" s="1393" t="n">
        <f aca="false">H1579*N1579</f>
        <v>0</v>
      </c>
      <c r="P1579" s="888" t="s">
        <v>2195</v>
      </c>
      <c r="Q1579" s="889" t="s">
        <v>1375</v>
      </c>
      <c r="R1579" s="890" t="n">
        <v>0</v>
      </c>
      <c r="S1579" s="890" t="n">
        <v>223</v>
      </c>
      <c r="T1579" s="1441" t="n">
        <f aca="false">O1579-R1579</f>
        <v>0</v>
      </c>
      <c r="U1579" s="902" t="n">
        <f aca="false">N1579-S1579</f>
        <v>0</v>
      </c>
    </row>
    <row r="1580" customFormat="false" ht="15" hidden="false" customHeight="true" outlineLevel="0" collapsed="false">
      <c r="A1580" s="847" t="n">
        <v>60</v>
      </c>
      <c r="B1580" s="847" t="s">
        <v>2191</v>
      </c>
      <c r="C1580" s="847" t="n">
        <v>2024</v>
      </c>
      <c r="D1580" s="848" t="s">
        <v>10</v>
      </c>
      <c r="E1580" s="848" t="s">
        <v>2192</v>
      </c>
      <c r="F1580" s="848" t="s">
        <v>1652</v>
      </c>
      <c r="G1580" s="849"/>
      <c r="H1580" s="1523" t="n">
        <v>38.3</v>
      </c>
      <c r="I1580" s="1397"/>
      <c r="J1580" s="1397"/>
      <c r="K1580" s="852" t="n">
        <f aca="false">H1580*I1580/100</f>
        <v>0</v>
      </c>
      <c r="L1580" s="537" t="n">
        <v>34</v>
      </c>
      <c r="M1580" s="1007" t="n">
        <v>15</v>
      </c>
      <c r="N1580" s="1143" t="n">
        <f aca="false">L1580*M1580</f>
        <v>510</v>
      </c>
      <c r="O1580" s="1143" t="n">
        <f aca="false">H1580*N1580</f>
        <v>19533</v>
      </c>
      <c r="P1580" s="856" t="s">
        <v>2195</v>
      </c>
      <c r="Q1580" s="857" t="s">
        <v>1375</v>
      </c>
      <c r="R1580" s="854" t="n">
        <v>19533</v>
      </c>
      <c r="S1580" s="840" t="n">
        <f aca="false">R1580/H1580</f>
        <v>510</v>
      </c>
      <c r="T1580" s="537" t="n">
        <f aca="false">O1580-R1580</f>
        <v>0</v>
      </c>
      <c r="U1580" s="537" t="n">
        <f aca="false">N1580-S1580</f>
        <v>0</v>
      </c>
    </row>
    <row r="1581" customFormat="false" ht="15" hidden="false" customHeight="true" outlineLevel="0" collapsed="false">
      <c r="A1581" s="847" t="n">
        <v>91</v>
      </c>
      <c r="B1581" s="847" t="s">
        <v>2191</v>
      </c>
      <c r="C1581" s="847" t="n">
        <v>2024</v>
      </c>
      <c r="D1581" s="848" t="s">
        <v>10</v>
      </c>
      <c r="E1581" s="848" t="s">
        <v>2192</v>
      </c>
      <c r="F1581" s="848" t="s">
        <v>2133</v>
      </c>
      <c r="G1581" s="849"/>
      <c r="H1581" s="1523" t="n">
        <v>90</v>
      </c>
      <c r="I1581" s="1397"/>
      <c r="J1581" s="1397"/>
      <c r="K1581" s="864" t="n">
        <f aca="false">H1581*I1581/100</f>
        <v>0</v>
      </c>
      <c r="L1581" s="537" t="n">
        <v>4</v>
      </c>
      <c r="M1581" s="1007" t="n">
        <v>30</v>
      </c>
      <c r="N1581" s="1299" t="n">
        <f aca="false">L1581*M1581</f>
        <v>120</v>
      </c>
      <c r="O1581" s="1299" t="n">
        <f aca="false">H1581*N1581</f>
        <v>10800</v>
      </c>
      <c r="P1581" s="856" t="s">
        <v>2193</v>
      </c>
      <c r="Q1581" s="857" t="s">
        <v>2388</v>
      </c>
      <c r="R1581" s="854" t="n">
        <v>10800</v>
      </c>
      <c r="S1581" s="866" t="n">
        <f aca="false">R1581/H1581</f>
        <v>120</v>
      </c>
      <c r="T1581" s="543" t="n">
        <f aca="false">O1581-R1581</f>
        <v>0</v>
      </c>
      <c r="U1581" s="543" t="n">
        <f aca="false">N1581-S1581</f>
        <v>0</v>
      </c>
    </row>
    <row r="1582" customFormat="false" ht="15" hidden="false" customHeight="true" outlineLevel="0" collapsed="false">
      <c r="A1582" s="847" t="n">
        <v>133</v>
      </c>
      <c r="B1582" s="847" t="s">
        <v>2191</v>
      </c>
      <c r="C1582" s="847" t="n">
        <v>2024</v>
      </c>
      <c r="D1582" s="848" t="s">
        <v>10</v>
      </c>
      <c r="E1582" s="848" t="s">
        <v>2192</v>
      </c>
      <c r="F1582" s="848" t="s">
        <v>1651</v>
      </c>
      <c r="G1582" s="849"/>
      <c r="H1582" s="1523" t="n">
        <v>25.71</v>
      </c>
      <c r="I1582" s="1397"/>
      <c r="J1582" s="1397"/>
      <c r="K1582" s="864" t="n">
        <f aca="false">H1582*I1582/100</f>
        <v>0</v>
      </c>
      <c r="L1582" s="537" t="n">
        <v>1</v>
      </c>
      <c r="M1582" s="1007" t="n">
        <v>15</v>
      </c>
      <c r="N1582" s="1299" t="n">
        <f aca="false">L1582*M1582</f>
        <v>15</v>
      </c>
      <c r="O1582" s="1348" t="n">
        <f aca="false">H1582*N1582</f>
        <v>385.65</v>
      </c>
      <c r="P1582" s="856" t="s">
        <v>2195</v>
      </c>
      <c r="Q1582" s="857" t="s">
        <v>1375</v>
      </c>
      <c r="R1582" s="854" t="n">
        <v>385.65</v>
      </c>
      <c r="S1582" s="866" t="n">
        <f aca="false">R1582/H1582</f>
        <v>15</v>
      </c>
      <c r="T1582" s="1556" t="n">
        <f aca="false">O1582-R1582</f>
        <v>0</v>
      </c>
      <c r="U1582" s="543" t="n">
        <f aca="false">N1582-S1582</f>
        <v>0</v>
      </c>
    </row>
    <row r="1583" customFormat="false" ht="15" hidden="false" customHeight="true" outlineLevel="0" collapsed="false">
      <c r="A1583" s="847" t="n">
        <v>133</v>
      </c>
      <c r="B1583" s="847" t="s">
        <v>2191</v>
      </c>
      <c r="C1583" s="847" t="n">
        <v>2024</v>
      </c>
      <c r="D1583" s="848" t="s">
        <v>10</v>
      </c>
      <c r="E1583" s="848" t="s">
        <v>2192</v>
      </c>
      <c r="F1583" s="848" t="s">
        <v>1651</v>
      </c>
      <c r="G1583" s="849"/>
      <c r="H1583" s="1523" t="n">
        <v>29.7891</v>
      </c>
      <c r="I1583" s="1397"/>
      <c r="J1583" s="1397"/>
      <c r="K1583" s="864" t="n">
        <f aca="false">H1583*I1583/100</f>
        <v>0</v>
      </c>
      <c r="L1583" s="537" t="n">
        <v>1</v>
      </c>
      <c r="M1583" s="1007" t="n">
        <v>15</v>
      </c>
      <c r="N1583" s="1299" t="n">
        <f aca="false">L1583*M1583</f>
        <v>15</v>
      </c>
      <c r="O1583" s="1430" t="n">
        <f aca="false">H1583*N1583</f>
        <v>446.8365</v>
      </c>
      <c r="P1583" s="856" t="s">
        <v>2195</v>
      </c>
      <c r="Q1583" s="857" t="s">
        <v>1375</v>
      </c>
      <c r="R1583" s="854" t="n">
        <v>446.8365</v>
      </c>
      <c r="S1583" s="866" t="n">
        <f aca="false">R1583/H1583</f>
        <v>15</v>
      </c>
      <c r="T1583" s="543" t="n">
        <f aca="false">O1583-R1583</f>
        <v>0</v>
      </c>
      <c r="U1583" s="543" t="n">
        <f aca="false">N1583-S1583</f>
        <v>0</v>
      </c>
    </row>
    <row r="1584" customFormat="false" ht="15" hidden="false" customHeight="true" outlineLevel="0" collapsed="false">
      <c r="A1584" s="847" t="n">
        <v>20</v>
      </c>
      <c r="B1584" s="847" t="s">
        <v>81</v>
      </c>
      <c r="C1584" s="847" t="n">
        <v>2024</v>
      </c>
      <c r="D1584" s="848" t="s">
        <v>10</v>
      </c>
      <c r="E1584" s="848" t="s">
        <v>2192</v>
      </c>
      <c r="F1584" s="848" t="s">
        <v>2199</v>
      </c>
      <c r="G1584" s="849"/>
      <c r="H1584" s="1523" t="n">
        <v>86.2</v>
      </c>
      <c r="I1584" s="1397"/>
      <c r="J1584" s="1397"/>
      <c r="K1584" s="864" t="n">
        <f aca="false">H1584*I1584/100</f>
        <v>0</v>
      </c>
      <c r="L1584" s="537" t="n">
        <v>18860</v>
      </c>
      <c r="M1584" s="1007" t="n">
        <v>1</v>
      </c>
      <c r="N1584" s="1299" t="n">
        <f aca="false">L1584*M1584</f>
        <v>18860</v>
      </c>
      <c r="O1584" s="1348" t="n">
        <f aca="false">H1584*N1584</f>
        <v>1625732</v>
      </c>
      <c r="P1584" s="856" t="s">
        <v>2200</v>
      </c>
      <c r="Q1584" s="857" t="s">
        <v>2440</v>
      </c>
      <c r="R1584" s="854" t="n">
        <v>1625732</v>
      </c>
      <c r="S1584" s="866" t="n">
        <f aca="false">R1584/H1584</f>
        <v>18860</v>
      </c>
      <c r="T1584" s="1556" t="n">
        <f aca="false">O1584-R1584</f>
        <v>0</v>
      </c>
      <c r="U1584" s="543" t="n">
        <f aca="false">N1584-S1584</f>
        <v>0</v>
      </c>
    </row>
    <row r="1585" customFormat="false" ht="15" hidden="false" customHeight="true" outlineLevel="0" collapsed="false">
      <c r="A1585" s="903" t="n">
        <v>30</v>
      </c>
      <c r="B1585" s="903" t="s">
        <v>86</v>
      </c>
      <c r="C1585" s="903" t="n">
        <v>2024</v>
      </c>
      <c r="D1585" s="904" t="s">
        <v>10</v>
      </c>
      <c r="E1585" s="904" t="s">
        <v>2192</v>
      </c>
      <c r="F1585" s="904" t="s">
        <v>1650</v>
      </c>
      <c r="G1585" s="905"/>
      <c r="H1585" s="1524" t="n">
        <v>96.9971</v>
      </c>
      <c r="I1585" s="1055"/>
      <c r="J1585" s="1055"/>
      <c r="K1585" s="875" t="n">
        <f aca="false">H1585*I1585/100</f>
        <v>0</v>
      </c>
      <c r="L1585" s="942" t="n">
        <v>60</v>
      </c>
      <c r="M1585" s="1023" t="n">
        <v>1</v>
      </c>
      <c r="N1585" s="1301" t="n">
        <f aca="false">L1585*M1585</f>
        <v>60</v>
      </c>
      <c r="O1585" s="1402" t="n">
        <f aca="false">H1585*N1585</f>
        <v>5819.826</v>
      </c>
      <c r="P1585" s="910" t="s">
        <v>2197</v>
      </c>
      <c r="Q1585" s="911" t="s">
        <v>2913</v>
      </c>
      <c r="R1585" s="891" t="n">
        <v>5819.826</v>
      </c>
      <c r="S1585" s="877" t="n">
        <f aca="false">R1585/H1585</f>
        <v>60</v>
      </c>
      <c r="T1585" s="1496" t="n">
        <f aca="false">O1585-R1585</f>
        <v>0</v>
      </c>
      <c r="U1585" s="553" t="n">
        <f aca="false">N1585-S1585</f>
        <v>0</v>
      </c>
    </row>
    <row r="1586" customFormat="false" ht="15" hidden="false" customHeight="true" outlineLevel="0" collapsed="false">
      <c r="A1586" s="881" t="n">
        <v>31</v>
      </c>
      <c r="B1586" s="882" t="s">
        <v>86</v>
      </c>
      <c r="C1586" s="883" t="n">
        <v>2024</v>
      </c>
      <c r="D1586" s="831" t="s">
        <v>10</v>
      </c>
      <c r="E1586" s="831" t="s">
        <v>2192</v>
      </c>
      <c r="F1586" s="832" t="s">
        <v>1650</v>
      </c>
      <c r="G1586" s="833"/>
      <c r="H1586" s="1526" t="n">
        <v>95.4</v>
      </c>
      <c r="I1586" s="1020"/>
      <c r="J1586" s="1020"/>
      <c r="K1586" s="836" t="n">
        <f aca="false">H1586*I1586/100</f>
        <v>0</v>
      </c>
      <c r="L1586" s="837" t="n">
        <v>16740</v>
      </c>
      <c r="M1586" s="1003" t="n">
        <v>1</v>
      </c>
      <c r="N1586" s="837" t="n">
        <f aca="false">L1586*M1586</f>
        <v>16740</v>
      </c>
      <c r="O1586" s="943" t="n">
        <f aca="false">H1586*N1586</f>
        <v>1596996</v>
      </c>
      <c r="P1586" s="884" t="s">
        <v>2193</v>
      </c>
      <c r="Q1586" s="885" t="s">
        <v>2388</v>
      </c>
      <c r="R1586" s="886" t="n">
        <v>1335600</v>
      </c>
      <c r="S1586" s="886" t="n">
        <f aca="false">R1586/H1586</f>
        <v>14000</v>
      </c>
      <c r="T1586" s="1120" t="n">
        <f aca="false">O1586-R1586-R1588-R1587</f>
        <v>0</v>
      </c>
      <c r="U1586" s="842" t="n">
        <f aca="false">N1586-S1586-S1588-S1587</f>
        <v>0</v>
      </c>
    </row>
    <row r="1587" customFormat="false" ht="15" hidden="false" customHeight="true" outlineLevel="0" collapsed="false">
      <c r="A1587" s="881"/>
      <c r="B1587" s="882"/>
      <c r="C1587" s="883"/>
      <c r="D1587" s="860" t="s">
        <v>10</v>
      </c>
      <c r="E1587" s="860" t="s">
        <v>2192</v>
      </c>
      <c r="F1587" s="832"/>
      <c r="G1587" s="833"/>
      <c r="H1587" s="1526"/>
      <c r="I1587" s="1020"/>
      <c r="J1587" s="1020"/>
      <c r="K1587" s="836"/>
      <c r="L1587" s="837"/>
      <c r="M1587" s="1003"/>
      <c r="N1587" s="837"/>
      <c r="O1587" s="943"/>
      <c r="P1587" s="868" t="s">
        <v>2232</v>
      </c>
      <c r="Q1587" s="869" t="s">
        <v>2435</v>
      </c>
      <c r="R1587" s="866" t="n">
        <v>156456</v>
      </c>
      <c r="S1587" s="866" t="n">
        <f aca="false">R1587/H1586</f>
        <v>1640</v>
      </c>
      <c r="T1587" s="1120"/>
      <c r="U1587" s="842"/>
    </row>
    <row r="1588" customFormat="false" ht="15" hidden="false" customHeight="true" outlineLevel="0" collapsed="false">
      <c r="A1588" s="881"/>
      <c r="B1588" s="882"/>
      <c r="C1588" s="883"/>
      <c r="D1588" s="887" t="s">
        <v>10</v>
      </c>
      <c r="E1588" s="887" t="s">
        <v>2192</v>
      </c>
      <c r="F1588" s="832"/>
      <c r="G1588" s="833"/>
      <c r="H1588" s="1526"/>
      <c r="I1588" s="1020"/>
      <c r="J1588" s="1020"/>
      <c r="K1588" s="836"/>
      <c r="L1588" s="837"/>
      <c r="M1588" s="1003"/>
      <c r="N1588" s="837"/>
      <c r="O1588" s="943"/>
      <c r="P1588" s="888" t="s">
        <v>2255</v>
      </c>
      <c r="Q1588" s="889" t="s">
        <v>2439</v>
      </c>
      <c r="R1588" s="890" t="n">
        <v>104940</v>
      </c>
      <c r="S1588" s="890" t="n">
        <f aca="false">R1588/H1586</f>
        <v>1100</v>
      </c>
      <c r="T1588" s="1120"/>
      <c r="U1588" s="842"/>
    </row>
    <row r="1589" customFormat="false" ht="15" hidden="false" customHeight="true" outlineLevel="0" collapsed="false">
      <c r="A1589" s="881"/>
      <c r="B1589" s="847" t="s">
        <v>86</v>
      </c>
      <c r="C1589" s="847" t="n">
        <v>2024</v>
      </c>
      <c r="D1589" s="848" t="s">
        <v>10</v>
      </c>
      <c r="E1589" s="848" t="s">
        <v>2242</v>
      </c>
      <c r="F1589" s="848"/>
      <c r="G1589" s="849"/>
      <c r="H1589" s="1523" t="n">
        <v>55.7</v>
      </c>
      <c r="I1589" s="1397"/>
      <c r="J1589" s="1397"/>
      <c r="K1589" s="852" t="n">
        <f aca="false">H1589*I1589/100</f>
        <v>0</v>
      </c>
      <c r="L1589" s="537" t="n">
        <v>586</v>
      </c>
      <c r="M1589" s="1007" t="n">
        <v>1</v>
      </c>
      <c r="N1589" s="1143" t="n">
        <f aca="false">L1589*M1589</f>
        <v>586</v>
      </c>
      <c r="O1589" s="1386" t="n">
        <f aca="false">H1589*N1589</f>
        <v>32640.2</v>
      </c>
      <c r="P1589" s="856" t="s">
        <v>2200</v>
      </c>
      <c r="Q1589" s="857" t="s">
        <v>2946</v>
      </c>
      <c r="R1589" s="854" t="n">
        <v>32640.2</v>
      </c>
      <c r="S1589" s="866" t="n">
        <f aca="false">R1589/H1589</f>
        <v>586</v>
      </c>
      <c r="T1589" s="1347" t="n">
        <f aca="false">O1589-R1589</f>
        <v>0</v>
      </c>
      <c r="U1589" s="892" t="n">
        <f aca="false">N1589-S1589</f>
        <v>0</v>
      </c>
    </row>
    <row r="1590" customFormat="false" ht="15" hidden="false" customHeight="true" outlineLevel="0" collapsed="false">
      <c r="A1590" s="881"/>
      <c r="B1590" s="847" t="s">
        <v>86</v>
      </c>
      <c r="C1590" s="847" t="n">
        <v>2024</v>
      </c>
      <c r="D1590" s="848" t="s">
        <v>10</v>
      </c>
      <c r="E1590" s="848" t="s">
        <v>2203</v>
      </c>
      <c r="F1590" s="848"/>
      <c r="G1590" s="849"/>
      <c r="H1590" s="1523" t="n">
        <v>11.6</v>
      </c>
      <c r="I1590" s="1397"/>
      <c r="J1590" s="1397"/>
      <c r="K1590" s="864" t="n">
        <f aca="false">H1590*I1590/100</f>
        <v>0</v>
      </c>
      <c r="L1590" s="537" t="n">
        <v>1089</v>
      </c>
      <c r="M1590" s="1007" t="n">
        <v>1</v>
      </c>
      <c r="N1590" s="1299" t="n">
        <f aca="false">L1590*M1590</f>
        <v>1089</v>
      </c>
      <c r="O1590" s="1430" t="n">
        <f aca="false">H1590*N1590</f>
        <v>12632.4</v>
      </c>
      <c r="P1590" s="856" t="s">
        <v>2204</v>
      </c>
      <c r="Q1590" s="857" t="n">
        <v>31012025</v>
      </c>
      <c r="R1590" s="854" t="n">
        <v>12632.4</v>
      </c>
      <c r="S1590" s="866" t="n">
        <f aca="false">R1590/H1590</f>
        <v>1089</v>
      </c>
      <c r="T1590" s="1556" t="n">
        <f aca="false">O1590-R1590</f>
        <v>0</v>
      </c>
      <c r="U1590" s="1135" t="n">
        <f aca="false">N1590-S1590</f>
        <v>0</v>
      </c>
    </row>
    <row r="1591" customFormat="false" ht="15" hidden="false" customHeight="true" outlineLevel="0" collapsed="false">
      <c r="A1591" s="881"/>
      <c r="B1591" s="1072" t="s">
        <v>86</v>
      </c>
      <c r="C1591" s="1072" t="n">
        <v>2024</v>
      </c>
      <c r="D1591" s="887" t="s">
        <v>10</v>
      </c>
      <c r="E1591" s="887" t="s">
        <v>2205</v>
      </c>
      <c r="F1591" s="887"/>
      <c r="G1591" s="1062"/>
      <c r="H1591" s="1522" t="n">
        <v>9.6</v>
      </c>
      <c r="I1591" s="1078"/>
      <c r="J1591" s="1078"/>
      <c r="K1591" s="897" t="n">
        <f aca="false">H1591*I1591/100</f>
        <v>0</v>
      </c>
      <c r="L1591" s="1067" t="n">
        <v>670</v>
      </c>
      <c r="M1591" s="1066" t="n">
        <v>1</v>
      </c>
      <c r="N1591" s="1393" t="n">
        <f aca="false">L1591*M1591</f>
        <v>670</v>
      </c>
      <c r="O1591" s="1411" t="n">
        <f aca="false">H1591*N1591</f>
        <v>6432</v>
      </c>
      <c r="P1591" s="888" t="s">
        <v>2204</v>
      </c>
      <c r="Q1591" s="1320" t="s">
        <v>2206</v>
      </c>
      <c r="R1591" s="1080" t="n">
        <v>6432</v>
      </c>
      <c r="S1591" s="846" t="n">
        <f aca="false">R1591/H1591</f>
        <v>670</v>
      </c>
      <c r="T1591" s="1184" t="n">
        <f aca="false">O1591-R1591</f>
        <v>0</v>
      </c>
      <c r="U1591" s="902" t="n">
        <f aca="false">N1591-S1591</f>
        <v>0</v>
      </c>
    </row>
    <row r="1592" customFormat="false" ht="15" hidden="false" customHeight="true" outlineLevel="0" collapsed="false">
      <c r="A1592" s="1060" t="n">
        <v>33</v>
      </c>
      <c r="B1592" s="1061" t="s">
        <v>2207</v>
      </c>
      <c r="C1592" s="1061" t="n">
        <v>2024</v>
      </c>
      <c r="D1592" s="848" t="s">
        <v>10</v>
      </c>
      <c r="E1592" s="848" t="s">
        <v>2192</v>
      </c>
      <c r="F1592" s="887" t="s">
        <v>1651</v>
      </c>
      <c r="G1592" s="1062"/>
      <c r="H1592" s="1522" t="n">
        <v>26.6017</v>
      </c>
      <c r="I1592" s="1078"/>
      <c r="J1592" s="1078"/>
      <c r="K1592" s="1064" t="n">
        <f aca="false">H1592*I1592/100</f>
        <v>0</v>
      </c>
      <c r="L1592" s="1067" t="n">
        <v>51869</v>
      </c>
      <c r="M1592" s="1066" t="n">
        <v>1</v>
      </c>
      <c r="N1592" s="1067" t="n">
        <f aca="false">L1592*M1592</f>
        <v>51869</v>
      </c>
      <c r="O1592" s="1452" t="n">
        <f aca="false">H1592*N1592</f>
        <v>1379803.5773</v>
      </c>
      <c r="P1592" s="856" t="s">
        <v>2197</v>
      </c>
      <c r="Q1592" s="857" t="s">
        <v>2947</v>
      </c>
      <c r="R1592" s="854" t="n">
        <v>345556.083</v>
      </c>
      <c r="S1592" s="854" t="n">
        <f aca="false">R1592/H1592</f>
        <v>12990</v>
      </c>
      <c r="T1592" s="1452" t="n">
        <f aca="false">O1592-R1592-R1595-R1593-R1594</f>
        <v>0</v>
      </c>
      <c r="U1592" s="1070" t="n">
        <f aca="false">N1592-S1592-S1595-S1593-S1594</f>
        <v>0</v>
      </c>
    </row>
    <row r="1593" customFormat="false" ht="15" hidden="false" customHeight="true" outlineLevel="0" collapsed="false">
      <c r="A1593" s="1060"/>
      <c r="B1593" s="1061"/>
      <c r="C1593" s="1061"/>
      <c r="D1593" s="860" t="s">
        <v>10</v>
      </c>
      <c r="E1593" s="860" t="s">
        <v>2192</v>
      </c>
      <c r="F1593" s="887"/>
      <c r="G1593" s="1062"/>
      <c r="H1593" s="1522"/>
      <c r="I1593" s="1078"/>
      <c r="J1593" s="1078"/>
      <c r="K1593" s="1064"/>
      <c r="L1593" s="1067"/>
      <c r="M1593" s="1066"/>
      <c r="N1593" s="1067"/>
      <c r="O1593" s="1452"/>
      <c r="P1593" s="868" t="s">
        <v>2197</v>
      </c>
      <c r="Q1593" s="869" t="s">
        <v>2948</v>
      </c>
      <c r="R1593" s="866" t="n">
        <v>420173.8515</v>
      </c>
      <c r="S1593" s="866" t="n">
        <f aca="false">R1593/H1592</f>
        <v>15795</v>
      </c>
      <c r="T1593" s="1452"/>
      <c r="U1593" s="1070"/>
    </row>
    <row r="1594" customFormat="false" ht="15" hidden="false" customHeight="true" outlineLevel="0" collapsed="false">
      <c r="A1594" s="1060"/>
      <c r="B1594" s="1061"/>
      <c r="C1594" s="1061"/>
      <c r="D1594" s="860" t="s">
        <v>10</v>
      </c>
      <c r="E1594" s="860" t="s">
        <v>2192</v>
      </c>
      <c r="F1594" s="887"/>
      <c r="G1594" s="1062"/>
      <c r="H1594" s="1522"/>
      <c r="I1594" s="1078"/>
      <c r="J1594" s="1078"/>
      <c r="K1594" s="1064"/>
      <c r="L1594" s="1067"/>
      <c r="M1594" s="1066"/>
      <c r="N1594" s="1067"/>
      <c r="O1594" s="1452"/>
      <c r="P1594" s="868" t="s">
        <v>2197</v>
      </c>
      <c r="Q1594" s="869" t="s">
        <v>2949</v>
      </c>
      <c r="R1594" s="866" t="n">
        <v>82172.6513</v>
      </c>
      <c r="S1594" s="866" t="n">
        <f aca="false">R1594/H1592</f>
        <v>3089</v>
      </c>
      <c r="T1594" s="1452"/>
      <c r="U1594" s="1070"/>
    </row>
    <row r="1595" customFormat="false" ht="15" hidden="false" customHeight="true" outlineLevel="0" collapsed="false">
      <c r="A1595" s="1060"/>
      <c r="B1595" s="1061"/>
      <c r="C1595" s="1061"/>
      <c r="D1595" s="843" t="s">
        <v>10</v>
      </c>
      <c r="E1595" s="843" t="s">
        <v>2192</v>
      </c>
      <c r="F1595" s="887"/>
      <c r="G1595" s="1062"/>
      <c r="H1595" s="1522"/>
      <c r="I1595" s="1078"/>
      <c r="J1595" s="1078"/>
      <c r="K1595" s="1064"/>
      <c r="L1595" s="1067"/>
      <c r="M1595" s="1066"/>
      <c r="N1595" s="1067"/>
      <c r="O1595" s="1452"/>
      <c r="P1595" s="844" t="s">
        <v>2197</v>
      </c>
      <c r="Q1595" s="845" t="s">
        <v>2950</v>
      </c>
      <c r="R1595" s="846" t="n">
        <v>531900.9915</v>
      </c>
      <c r="S1595" s="846" t="n">
        <f aca="false">R1595/H1592</f>
        <v>19995</v>
      </c>
      <c r="T1595" s="1452"/>
      <c r="U1595" s="1070"/>
    </row>
    <row r="1596" customFormat="false" ht="15" hidden="false" customHeight="true" outlineLevel="0" collapsed="false">
      <c r="A1596" s="847" t="n">
        <v>35</v>
      </c>
      <c r="B1596" s="847" t="s">
        <v>2207</v>
      </c>
      <c r="C1596" s="847" t="n">
        <v>2024</v>
      </c>
      <c r="D1596" s="848" t="s">
        <v>10</v>
      </c>
      <c r="E1596" s="848" t="s">
        <v>2192</v>
      </c>
      <c r="F1596" s="848" t="s">
        <v>1652</v>
      </c>
      <c r="G1596" s="849"/>
      <c r="H1596" s="1523" t="n">
        <v>38.4206</v>
      </c>
      <c r="I1596" s="1397"/>
      <c r="J1596" s="1397"/>
      <c r="K1596" s="852" t="n">
        <f aca="false">H1596*I1596/100</f>
        <v>0</v>
      </c>
      <c r="L1596" s="537" t="n">
        <v>15236</v>
      </c>
      <c r="M1596" s="1007" t="n">
        <v>1</v>
      </c>
      <c r="N1596" s="1143" t="n">
        <f aca="false">L1596*M1596</f>
        <v>15236</v>
      </c>
      <c r="O1596" s="1386" t="n">
        <f aca="false">H1596*N1596</f>
        <v>585376.2616</v>
      </c>
      <c r="P1596" s="856" t="s">
        <v>2193</v>
      </c>
      <c r="Q1596" s="857" t="s">
        <v>2945</v>
      </c>
      <c r="R1596" s="854" t="n">
        <v>585376.2616</v>
      </c>
      <c r="S1596" s="854" t="n">
        <f aca="false">R1596/H1596</f>
        <v>15236</v>
      </c>
      <c r="T1596" s="1347" t="n">
        <f aca="false">O1596-R1596</f>
        <v>0</v>
      </c>
      <c r="U1596" s="537" t="n">
        <f aca="false">N1596-S1596</f>
        <v>0</v>
      </c>
    </row>
    <row r="1597" customFormat="false" ht="15" hidden="false" customHeight="true" outlineLevel="0" collapsed="false">
      <c r="A1597" s="859" t="s">
        <v>2951</v>
      </c>
      <c r="B1597" s="859" t="s">
        <v>2207</v>
      </c>
      <c r="C1597" s="859" t="n">
        <v>2024</v>
      </c>
      <c r="D1597" s="860" t="s">
        <v>10</v>
      </c>
      <c r="E1597" s="860" t="s">
        <v>2192</v>
      </c>
      <c r="F1597" s="860" t="s">
        <v>1652</v>
      </c>
      <c r="G1597" s="861"/>
      <c r="H1597" s="1760" t="n">
        <v>38.353</v>
      </c>
      <c r="I1597" s="1429"/>
      <c r="J1597" s="1429"/>
      <c r="K1597" s="864" t="n">
        <f aca="false">H1597*I1597/100</f>
        <v>0</v>
      </c>
      <c r="L1597" s="543" t="n">
        <v>15656</v>
      </c>
      <c r="M1597" s="983" t="n">
        <v>1</v>
      </c>
      <c r="N1597" s="1299" t="n">
        <f aca="false">L1597*M1597</f>
        <v>15656</v>
      </c>
      <c r="O1597" s="1430" t="n">
        <f aca="false">H1597*N1597</f>
        <v>600454.568</v>
      </c>
      <c r="P1597" s="868" t="s">
        <v>2197</v>
      </c>
      <c r="Q1597" s="869" t="s">
        <v>2952</v>
      </c>
      <c r="R1597" s="866" t="n">
        <v>600454.568</v>
      </c>
      <c r="S1597" s="854" t="n">
        <f aca="false">R1597/H1597</f>
        <v>15656</v>
      </c>
      <c r="T1597" s="968" t="n">
        <f aca="false">O1597-R1597</f>
        <v>0</v>
      </c>
      <c r="U1597" s="543" t="n">
        <f aca="false">N1597-S1597</f>
        <v>0</v>
      </c>
    </row>
    <row r="1598" customFormat="false" ht="15" hidden="false" customHeight="true" outlineLevel="0" collapsed="false">
      <c r="A1598" s="859" t="n">
        <v>54</v>
      </c>
      <c r="B1598" s="859" t="s">
        <v>81</v>
      </c>
      <c r="C1598" s="859" t="n">
        <v>2024</v>
      </c>
      <c r="D1598" s="860" t="s">
        <v>10</v>
      </c>
      <c r="E1598" s="860" t="s">
        <v>2192</v>
      </c>
      <c r="F1598" s="860" t="s">
        <v>2199</v>
      </c>
      <c r="G1598" s="861"/>
      <c r="H1598" s="1760" t="n">
        <v>82.6</v>
      </c>
      <c r="I1598" s="1429"/>
      <c r="J1598" s="1429"/>
      <c r="K1598" s="864" t="n">
        <f aca="false">H1598*I1598/100</f>
        <v>0</v>
      </c>
      <c r="L1598" s="543" t="n">
        <v>33680</v>
      </c>
      <c r="M1598" s="983" t="n">
        <v>1</v>
      </c>
      <c r="N1598" s="1299" t="n">
        <f aca="false">L1598*M1598</f>
        <v>33680</v>
      </c>
      <c r="O1598" s="1430" t="n">
        <f aca="false">H1598*N1598</f>
        <v>2781968</v>
      </c>
      <c r="P1598" s="868" t="s">
        <v>2200</v>
      </c>
      <c r="Q1598" s="869" t="s">
        <v>2257</v>
      </c>
      <c r="R1598" s="866" t="n">
        <v>2781968</v>
      </c>
      <c r="S1598" s="854" t="n">
        <f aca="false">R1598/H1598</f>
        <v>33680</v>
      </c>
      <c r="T1598" s="968" t="n">
        <f aca="false">O1598-R1598</f>
        <v>0</v>
      </c>
      <c r="U1598" s="543" t="n">
        <f aca="false">N1598-S1598</f>
        <v>0</v>
      </c>
    </row>
    <row r="1599" customFormat="false" ht="15" hidden="false" customHeight="true" outlineLevel="0" collapsed="false">
      <c r="A1599" s="859" t="n">
        <v>1</v>
      </c>
      <c r="B1599" s="859" t="s">
        <v>2278</v>
      </c>
      <c r="C1599" s="859" t="n">
        <v>2024</v>
      </c>
      <c r="D1599" s="860" t="s">
        <v>10</v>
      </c>
      <c r="E1599" s="860" t="s">
        <v>2192</v>
      </c>
      <c r="F1599" s="860" t="s">
        <v>1650</v>
      </c>
      <c r="G1599" s="861"/>
      <c r="H1599" s="1760" t="n">
        <v>96.0109</v>
      </c>
      <c r="I1599" s="1429"/>
      <c r="J1599" s="1429"/>
      <c r="K1599" s="864" t="n">
        <f aca="false">H1599*I1599/100</f>
        <v>0</v>
      </c>
      <c r="L1599" s="543" t="n">
        <v>1093</v>
      </c>
      <c r="M1599" s="983" t="n">
        <v>1</v>
      </c>
      <c r="N1599" s="1299" t="n">
        <f aca="false">L1599*M1599</f>
        <v>1093</v>
      </c>
      <c r="O1599" s="1430" t="n">
        <f aca="false">H1599*N1599</f>
        <v>104939.9137</v>
      </c>
      <c r="P1599" s="868" t="s">
        <v>2197</v>
      </c>
      <c r="Q1599" s="869" t="s">
        <v>2953</v>
      </c>
      <c r="R1599" s="866" t="n">
        <v>104939.9137</v>
      </c>
      <c r="S1599" s="854" t="n">
        <f aca="false">R1599/H1599</f>
        <v>1093</v>
      </c>
      <c r="T1599" s="1449" t="n">
        <f aca="false">O1599-R1599</f>
        <v>0</v>
      </c>
      <c r="U1599" s="543" t="n">
        <f aca="false">N1599-S1599</f>
        <v>0</v>
      </c>
    </row>
    <row r="1600" customFormat="false" ht="15" hidden="false" customHeight="true" outlineLevel="0" collapsed="false">
      <c r="A1600" s="870" t="n">
        <v>60</v>
      </c>
      <c r="B1600" s="870" t="s">
        <v>81</v>
      </c>
      <c r="C1600" s="870" t="n">
        <v>2024</v>
      </c>
      <c r="D1600" s="871" t="s">
        <v>10</v>
      </c>
      <c r="E1600" s="871" t="s">
        <v>2192</v>
      </c>
      <c r="F1600" s="871" t="s">
        <v>2199</v>
      </c>
      <c r="G1600" s="872"/>
      <c r="H1600" s="1525" t="n">
        <v>81.3</v>
      </c>
      <c r="I1600" s="1433"/>
      <c r="J1600" s="1433"/>
      <c r="K1600" s="875" t="n">
        <f aca="false">H1600*I1600/100</f>
        <v>0</v>
      </c>
      <c r="L1600" s="553" t="n">
        <v>37880</v>
      </c>
      <c r="M1600" s="1000" t="n">
        <v>1</v>
      </c>
      <c r="N1600" s="1301" t="n">
        <f aca="false">L1600*M1600</f>
        <v>37880</v>
      </c>
      <c r="O1600" s="1402" t="n">
        <f aca="false">H1600*N1600</f>
        <v>3079644</v>
      </c>
      <c r="P1600" s="879" t="s">
        <v>2200</v>
      </c>
      <c r="Q1600" s="1013" t="s">
        <v>2693</v>
      </c>
      <c r="R1600" s="877" t="n">
        <v>3079644</v>
      </c>
      <c r="S1600" s="891" t="n">
        <f aca="false">R1600/H1600</f>
        <v>37880</v>
      </c>
      <c r="T1600" s="1403" t="n">
        <f aca="false">O1600-R1600</f>
        <v>0</v>
      </c>
      <c r="U1600" s="553" t="n">
        <f aca="false">N1600-S1600</f>
        <v>0</v>
      </c>
    </row>
    <row r="1601" customFormat="false" ht="15" hidden="false" customHeight="true" outlineLevel="0" collapsed="false">
      <c r="A1601" s="1533" t="n">
        <v>49</v>
      </c>
      <c r="B1601" s="882" t="s">
        <v>86</v>
      </c>
      <c r="C1601" s="883" t="n">
        <v>2024</v>
      </c>
      <c r="D1601" s="831" t="s">
        <v>10</v>
      </c>
      <c r="E1601" s="831" t="s">
        <v>2192</v>
      </c>
      <c r="F1601" s="832" t="s">
        <v>1650</v>
      </c>
      <c r="G1601" s="833"/>
      <c r="H1601" s="1527" t="n">
        <v>91.4</v>
      </c>
      <c r="I1601" s="1020" t="n">
        <v>54</v>
      </c>
      <c r="J1601" s="1020"/>
      <c r="K1601" s="836" t="n">
        <f aca="false">H1601*I1601/100</f>
        <v>49.356</v>
      </c>
      <c r="L1601" s="837" t="n">
        <v>28000</v>
      </c>
      <c r="M1601" s="1445" t="n">
        <v>1</v>
      </c>
      <c r="N1601" s="837" t="n">
        <f aca="false">L1601*M1601</f>
        <v>28000</v>
      </c>
      <c r="O1601" s="943" t="n">
        <f aca="false">H1601*N1601</f>
        <v>2559200</v>
      </c>
      <c r="P1601" s="838" t="s">
        <v>2232</v>
      </c>
      <c r="Q1601" s="839" t="s">
        <v>2435</v>
      </c>
      <c r="R1601" s="840" t="n">
        <v>982184.4</v>
      </c>
      <c r="S1601" s="886" t="n">
        <f aca="false">R1601/H1601</f>
        <v>10746</v>
      </c>
      <c r="T1601" s="943" t="n">
        <f aca="false">O1601-R1601-R1603-R1602</f>
        <v>0</v>
      </c>
      <c r="U1601" s="842" t="n">
        <f aca="false">N1601-S1601-S1603-S1602</f>
        <v>0</v>
      </c>
    </row>
    <row r="1602" customFormat="false" ht="15" hidden="false" customHeight="true" outlineLevel="0" collapsed="false">
      <c r="A1602" s="1533"/>
      <c r="B1602" s="882"/>
      <c r="C1602" s="883"/>
      <c r="D1602" s="848" t="s">
        <v>10</v>
      </c>
      <c r="E1602" s="848" t="s">
        <v>2192</v>
      </c>
      <c r="F1602" s="832"/>
      <c r="G1602" s="833"/>
      <c r="H1602" s="1527"/>
      <c r="I1602" s="1020"/>
      <c r="J1602" s="1020"/>
      <c r="K1602" s="836"/>
      <c r="L1602" s="837"/>
      <c r="M1602" s="1445"/>
      <c r="N1602" s="837"/>
      <c r="O1602" s="943"/>
      <c r="P1602" s="856" t="s">
        <v>2232</v>
      </c>
      <c r="Q1602" s="857" t="s">
        <v>114</v>
      </c>
      <c r="R1602" s="854" t="n">
        <v>899741.6</v>
      </c>
      <c r="S1602" s="866" t="n">
        <f aca="false">R1602/H1601</f>
        <v>9844</v>
      </c>
      <c r="T1602" s="943"/>
      <c r="U1602" s="842"/>
    </row>
    <row r="1603" customFormat="false" ht="15" hidden="false" customHeight="true" outlineLevel="0" collapsed="false">
      <c r="A1603" s="1533"/>
      <c r="B1603" s="882"/>
      <c r="C1603" s="883"/>
      <c r="D1603" s="887" t="s">
        <v>10</v>
      </c>
      <c r="E1603" s="887" t="s">
        <v>2192</v>
      </c>
      <c r="F1603" s="832"/>
      <c r="G1603" s="833"/>
      <c r="H1603" s="1527"/>
      <c r="I1603" s="1020"/>
      <c r="J1603" s="1020"/>
      <c r="K1603" s="836"/>
      <c r="L1603" s="837"/>
      <c r="M1603" s="1445"/>
      <c r="N1603" s="837"/>
      <c r="O1603" s="943"/>
      <c r="P1603" s="888" t="s">
        <v>2232</v>
      </c>
      <c r="Q1603" s="889" t="s">
        <v>2462</v>
      </c>
      <c r="R1603" s="890" t="n">
        <v>677274</v>
      </c>
      <c r="S1603" s="846" t="n">
        <f aca="false">R1603/H1601</f>
        <v>7410</v>
      </c>
      <c r="T1603" s="943"/>
      <c r="U1603" s="842"/>
    </row>
    <row r="1604" customFormat="false" ht="15" hidden="false" customHeight="true" outlineLevel="0" collapsed="false">
      <c r="A1604" s="1533"/>
      <c r="B1604" s="847" t="s">
        <v>86</v>
      </c>
      <c r="C1604" s="847" t="n">
        <v>2024</v>
      </c>
      <c r="D1604" s="848" t="s">
        <v>10</v>
      </c>
      <c r="E1604" s="848" t="s">
        <v>2242</v>
      </c>
      <c r="F1604" s="848"/>
      <c r="G1604" s="849"/>
      <c r="H1604" s="1523" t="n">
        <v>62.2</v>
      </c>
      <c r="I1604" s="1397"/>
      <c r="J1604" s="1397"/>
      <c r="K1604" s="852" t="n">
        <f aca="false">H1604*I1604/100</f>
        <v>0</v>
      </c>
      <c r="L1604" s="537" t="n">
        <v>453</v>
      </c>
      <c r="M1604" s="1007" t="n">
        <v>1</v>
      </c>
      <c r="N1604" s="1143" t="n">
        <f aca="false">L1604*M1604</f>
        <v>453</v>
      </c>
      <c r="O1604" s="1386" t="n">
        <f aca="false">H1604*N1604</f>
        <v>28176.6</v>
      </c>
      <c r="P1604" s="856" t="s">
        <v>2200</v>
      </c>
      <c r="Q1604" s="857" t="s">
        <v>2946</v>
      </c>
      <c r="R1604" s="854" t="n">
        <v>28176.6</v>
      </c>
      <c r="S1604" s="854" t="n">
        <f aca="false">R1604/H1604</f>
        <v>453</v>
      </c>
      <c r="T1604" s="953" t="n">
        <f aca="false">O1604-R1604</f>
        <v>0</v>
      </c>
      <c r="U1604" s="892" t="n">
        <f aca="false">N1604-S1604</f>
        <v>0</v>
      </c>
    </row>
    <row r="1605" customFormat="false" ht="15" hidden="false" customHeight="true" outlineLevel="0" collapsed="false">
      <c r="A1605" s="1533"/>
      <c r="B1605" s="859" t="s">
        <v>86</v>
      </c>
      <c r="C1605" s="859" t="n">
        <v>2024</v>
      </c>
      <c r="D1605" s="860" t="s">
        <v>10</v>
      </c>
      <c r="E1605" s="860" t="s">
        <v>2203</v>
      </c>
      <c r="F1605" s="860"/>
      <c r="G1605" s="861"/>
      <c r="H1605" s="1760" t="n">
        <v>0</v>
      </c>
      <c r="I1605" s="1429"/>
      <c r="J1605" s="1429"/>
      <c r="K1605" s="864" t="n">
        <f aca="false">H1605*I1605/100</f>
        <v>0</v>
      </c>
      <c r="L1605" s="543" t="n">
        <v>2196</v>
      </c>
      <c r="M1605" s="983" t="n">
        <v>1</v>
      </c>
      <c r="N1605" s="1299" t="n">
        <f aca="false">L1605*M1605</f>
        <v>2196</v>
      </c>
      <c r="O1605" s="1430" t="n">
        <f aca="false">H1605*N1605</f>
        <v>0</v>
      </c>
      <c r="P1605" s="868" t="s">
        <v>2204</v>
      </c>
      <c r="Q1605" s="869" t="n">
        <v>31012025</v>
      </c>
      <c r="R1605" s="866"/>
      <c r="S1605" s="854" t="n">
        <v>2196</v>
      </c>
      <c r="T1605" s="1449" t="n">
        <f aca="false">O1605-R1605</f>
        <v>0</v>
      </c>
      <c r="U1605" s="1135" t="n">
        <f aca="false">N1605-S1605</f>
        <v>0</v>
      </c>
    </row>
    <row r="1606" customFormat="false" ht="15" hidden="false" customHeight="true" outlineLevel="0" collapsed="false">
      <c r="A1606" s="1533"/>
      <c r="B1606" s="870" t="s">
        <v>86</v>
      </c>
      <c r="C1606" s="870" t="n">
        <v>2024</v>
      </c>
      <c r="D1606" s="871" t="s">
        <v>10</v>
      </c>
      <c r="E1606" s="871" t="s">
        <v>2241</v>
      </c>
      <c r="F1606" s="871"/>
      <c r="G1606" s="872"/>
      <c r="H1606" s="1757" t="n">
        <v>40.2</v>
      </c>
      <c r="I1606" s="1433"/>
      <c r="J1606" s="1433"/>
      <c r="K1606" s="875" t="n">
        <f aca="false">H1606*I1606/100</f>
        <v>0</v>
      </c>
      <c r="L1606" s="553" t="n">
        <v>944</v>
      </c>
      <c r="M1606" s="1000" t="n">
        <v>1</v>
      </c>
      <c r="N1606" s="1301" t="n">
        <f aca="false">L1606*M1606</f>
        <v>944</v>
      </c>
      <c r="O1606" s="1402" t="n">
        <f aca="false">H1606*N1606</f>
        <v>37948.8</v>
      </c>
      <c r="P1606" s="879" t="s">
        <v>2195</v>
      </c>
      <c r="Q1606" s="880" t="s">
        <v>1375</v>
      </c>
      <c r="R1606" s="877" t="n">
        <v>37948.8</v>
      </c>
      <c r="S1606" s="866" t="n">
        <f aca="false">R1606/H1606</f>
        <v>944</v>
      </c>
      <c r="T1606" s="1403" t="n">
        <f aca="false">O1606-R1606</f>
        <v>0</v>
      </c>
      <c r="U1606" s="1293" t="n">
        <f aca="false">N1606-S1606</f>
        <v>0</v>
      </c>
    </row>
    <row r="1607" customFormat="false" ht="15" hidden="false" customHeight="true" outlineLevel="0" collapsed="false">
      <c r="A1607" s="1533"/>
      <c r="B1607" s="829" t="s">
        <v>86</v>
      </c>
      <c r="C1607" s="830" t="n">
        <v>2024</v>
      </c>
      <c r="D1607" s="831" t="s">
        <v>10</v>
      </c>
      <c r="E1607" s="831" t="s">
        <v>2205</v>
      </c>
      <c r="F1607" s="830"/>
      <c r="G1607" s="833"/>
      <c r="H1607" s="1526" t="n">
        <v>0</v>
      </c>
      <c r="I1607" s="1020"/>
      <c r="J1607" s="1020"/>
      <c r="K1607" s="836" t="n">
        <f aca="false">H1607*I1607/100</f>
        <v>0</v>
      </c>
      <c r="L1607" s="837" t="n">
        <v>2082</v>
      </c>
      <c r="M1607" s="1003" t="n">
        <v>1</v>
      </c>
      <c r="N1607" s="837" t="n">
        <f aca="false">L1607*M1607</f>
        <v>2082</v>
      </c>
      <c r="O1607" s="943" t="n">
        <f aca="false">H1607*N1607</f>
        <v>0</v>
      </c>
      <c r="P1607" s="838" t="s">
        <v>2204</v>
      </c>
      <c r="Q1607" s="1761" t="s">
        <v>2398</v>
      </c>
      <c r="R1607" s="840" t="n">
        <v>0</v>
      </c>
      <c r="S1607" s="840" t="n">
        <v>1655</v>
      </c>
      <c r="T1607" s="943" t="n">
        <f aca="false">O1607-R1607</f>
        <v>0</v>
      </c>
      <c r="U1607" s="842" t="n">
        <f aca="false">N1607-S1607-S1608</f>
        <v>0</v>
      </c>
    </row>
    <row r="1608" customFormat="false" ht="15" hidden="false" customHeight="true" outlineLevel="0" collapsed="false">
      <c r="A1608" s="1605"/>
      <c r="B1608" s="829"/>
      <c r="C1608" s="830"/>
      <c r="D1608" s="843" t="s">
        <v>10</v>
      </c>
      <c r="E1608" s="843" t="s">
        <v>2205</v>
      </c>
      <c r="F1608" s="830"/>
      <c r="G1608" s="833"/>
      <c r="H1608" s="1526"/>
      <c r="I1608" s="1020"/>
      <c r="J1608" s="1020"/>
      <c r="K1608" s="836"/>
      <c r="L1608" s="837"/>
      <c r="M1608" s="1003"/>
      <c r="N1608" s="837"/>
      <c r="O1608" s="943"/>
      <c r="P1608" s="844" t="s">
        <v>2204</v>
      </c>
      <c r="Q1608" s="900" t="s">
        <v>2843</v>
      </c>
      <c r="R1608" s="846" t="n">
        <v>0</v>
      </c>
      <c r="S1608" s="846" t="n">
        <v>427</v>
      </c>
      <c r="T1608" s="943"/>
      <c r="U1608" s="842"/>
    </row>
    <row r="1609" customFormat="false" ht="15" hidden="false" customHeight="true" outlineLevel="0" collapsed="false">
      <c r="A1609" s="882" t="n">
        <v>55</v>
      </c>
      <c r="B1609" s="1089" t="s">
        <v>86</v>
      </c>
      <c r="C1609" s="1089" t="n">
        <v>2024</v>
      </c>
      <c r="D1609" s="1090" t="s">
        <v>10</v>
      </c>
      <c r="E1609" s="1090" t="s">
        <v>2192</v>
      </c>
      <c r="F1609" s="1090" t="s">
        <v>1650</v>
      </c>
      <c r="G1609" s="1091"/>
      <c r="H1609" s="1762" t="n">
        <v>92.7</v>
      </c>
      <c r="I1609" s="1763" t="n">
        <v>54</v>
      </c>
      <c r="J1609" s="1763"/>
      <c r="K1609" s="1094" t="n">
        <f aca="false">H1609*I1609/100</f>
        <v>50.058</v>
      </c>
      <c r="L1609" s="1101" t="n">
        <v>31780</v>
      </c>
      <c r="M1609" s="1096" t="n">
        <v>1</v>
      </c>
      <c r="N1609" s="1764" t="n">
        <f aca="false">L1609*M1609</f>
        <v>31780</v>
      </c>
      <c r="O1609" s="1765" t="n">
        <f aca="false">H1609*N1609</f>
        <v>2946006</v>
      </c>
      <c r="P1609" s="1098"/>
      <c r="Q1609" s="1694"/>
      <c r="R1609" s="1100"/>
      <c r="S1609" s="1100"/>
      <c r="T1609" s="1379" t="n">
        <f aca="false">O1609-R1609</f>
        <v>2946006</v>
      </c>
      <c r="U1609" s="1102" t="n">
        <f aca="false">N1609-S1609</f>
        <v>31780</v>
      </c>
    </row>
    <row r="1610" customFormat="false" ht="15" hidden="false" customHeight="true" outlineLevel="0" collapsed="false">
      <c r="A1610" s="882"/>
      <c r="B1610" s="859" t="s">
        <v>86</v>
      </c>
      <c r="C1610" s="859" t="n">
        <v>2024</v>
      </c>
      <c r="D1610" s="860" t="s">
        <v>10</v>
      </c>
      <c r="E1610" s="860" t="s">
        <v>2242</v>
      </c>
      <c r="F1610" s="860"/>
      <c r="G1610" s="861"/>
      <c r="H1610" s="1760" t="n">
        <v>51.3</v>
      </c>
      <c r="I1610" s="1429"/>
      <c r="J1610" s="1429"/>
      <c r="K1610" s="864" t="n">
        <f aca="false">H1610*I1610/100</f>
        <v>0</v>
      </c>
      <c r="L1610" s="543" t="n">
        <v>453</v>
      </c>
      <c r="M1610" s="983" t="n">
        <v>1</v>
      </c>
      <c r="N1610" s="1299" t="n">
        <f aca="false">L1610*M1610</f>
        <v>453</v>
      </c>
      <c r="O1610" s="1430" t="n">
        <f aca="false">H1610*N1610</f>
        <v>23238.9</v>
      </c>
      <c r="P1610" s="868" t="s">
        <v>2200</v>
      </c>
      <c r="Q1610" s="869" t="s">
        <v>2946</v>
      </c>
      <c r="R1610" s="866" t="n">
        <v>23238.9</v>
      </c>
      <c r="S1610" s="866" t="n">
        <f aca="false">R1610/H1610</f>
        <v>453</v>
      </c>
      <c r="T1610" s="1449" t="n">
        <f aca="false">O1610-R1610</f>
        <v>0</v>
      </c>
      <c r="U1610" s="1135" t="n">
        <f aca="false">N1610-S1610</f>
        <v>0</v>
      </c>
    </row>
    <row r="1611" customFormat="false" ht="15" hidden="false" customHeight="true" outlineLevel="0" collapsed="false">
      <c r="A1611" s="882"/>
      <c r="B1611" s="859" t="s">
        <v>86</v>
      </c>
      <c r="C1611" s="859" t="n">
        <v>2024</v>
      </c>
      <c r="D1611" s="860" t="s">
        <v>10</v>
      </c>
      <c r="E1611" s="860" t="s">
        <v>2203</v>
      </c>
      <c r="F1611" s="860"/>
      <c r="G1611" s="861"/>
      <c r="H1611" s="1760" t="n">
        <v>7.3</v>
      </c>
      <c r="I1611" s="1429"/>
      <c r="J1611" s="1429"/>
      <c r="K1611" s="864" t="n">
        <f aca="false">H1611*I1611/100</f>
        <v>0</v>
      </c>
      <c r="L1611" s="543" t="n">
        <v>2243</v>
      </c>
      <c r="M1611" s="983" t="n">
        <v>1</v>
      </c>
      <c r="N1611" s="1299" t="n">
        <f aca="false">L1611*M1611</f>
        <v>2243</v>
      </c>
      <c r="O1611" s="1430" t="n">
        <f aca="false">H1611*N1611</f>
        <v>16373.9</v>
      </c>
      <c r="P1611" s="868" t="s">
        <v>2204</v>
      </c>
      <c r="Q1611" s="869" t="n">
        <v>31012025</v>
      </c>
      <c r="R1611" s="866" t="n">
        <v>16373.9</v>
      </c>
      <c r="S1611" s="866" t="n">
        <f aca="false">R1611/H1611</f>
        <v>2243</v>
      </c>
      <c r="T1611" s="1449" t="n">
        <f aca="false">O1611-R1611</f>
        <v>0</v>
      </c>
      <c r="U1611" s="1135" t="n">
        <f aca="false">N1611-S1611</f>
        <v>0</v>
      </c>
    </row>
    <row r="1612" customFormat="false" ht="15" hidden="false" customHeight="true" outlineLevel="0" collapsed="false">
      <c r="A1612" s="882"/>
      <c r="B1612" s="870" t="s">
        <v>86</v>
      </c>
      <c r="C1612" s="870" t="n">
        <v>2024</v>
      </c>
      <c r="D1612" s="871" t="s">
        <v>10</v>
      </c>
      <c r="E1612" s="871" t="s">
        <v>2241</v>
      </c>
      <c r="F1612" s="871"/>
      <c r="G1612" s="872"/>
      <c r="H1612" s="1525" t="n">
        <v>28.9</v>
      </c>
      <c r="I1612" s="1433"/>
      <c r="J1612" s="1433"/>
      <c r="K1612" s="875" t="n">
        <f aca="false">H1612*I1612/100</f>
        <v>0</v>
      </c>
      <c r="L1612" s="553" t="n">
        <v>820</v>
      </c>
      <c r="M1612" s="1000" t="n">
        <v>1</v>
      </c>
      <c r="N1612" s="1301" t="n">
        <f aca="false">L1612*M1612</f>
        <v>820</v>
      </c>
      <c r="O1612" s="1402" t="n">
        <f aca="false">H1612*N1612</f>
        <v>23698</v>
      </c>
      <c r="P1612" s="879" t="s">
        <v>2200</v>
      </c>
      <c r="Q1612" s="880" t="s">
        <v>2946</v>
      </c>
      <c r="R1612" s="877" t="n">
        <v>23698</v>
      </c>
      <c r="S1612" s="866" t="n">
        <f aca="false">R1612/H1612</f>
        <v>820</v>
      </c>
      <c r="T1612" s="1403" t="n">
        <f aca="false">O1612-R1612</f>
        <v>0</v>
      </c>
      <c r="U1612" s="1293" t="n">
        <f aca="false">N1612-S1612</f>
        <v>0</v>
      </c>
    </row>
    <row r="1613" customFormat="false" ht="15" hidden="false" customHeight="true" outlineLevel="0" collapsed="false">
      <c r="A1613" s="882"/>
      <c r="B1613" s="829" t="s">
        <v>86</v>
      </c>
      <c r="C1613" s="830" t="n">
        <v>2024</v>
      </c>
      <c r="D1613" s="1328" t="s">
        <v>10</v>
      </c>
      <c r="E1613" s="1328" t="s">
        <v>2205</v>
      </c>
      <c r="F1613" s="830"/>
      <c r="G1613" s="833"/>
      <c r="H1613" s="1526" t="n">
        <v>0</v>
      </c>
      <c r="I1613" s="1020"/>
      <c r="J1613" s="1020"/>
      <c r="K1613" s="836" t="n">
        <f aca="false">H1613*I1613/100</f>
        <v>0</v>
      </c>
      <c r="L1613" s="837" t="n">
        <v>1931</v>
      </c>
      <c r="M1613" s="1003" t="n">
        <v>1</v>
      </c>
      <c r="N1613" s="837" t="n">
        <f aca="false">L1613*M1613</f>
        <v>1931</v>
      </c>
      <c r="O1613" s="943" t="n">
        <f aca="false">H1613*N1613</f>
        <v>0</v>
      </c>
      <c r="P1613" s="884" t="s">
        <v>2204</v>
      </c>
      <c r="Q1613" s="1540" t="s">
        <v>2398</v>
      </c>
      <c r="R1613" s="886" t="n">
        <v>0</v>
      </c>
      <c r="S1613" s="886" t="n">
        <v>1793</v>
      </c>
      <c r="T1613" s="943" t="n">
        <f aca="false">O1613-R1613-R1614</f>
        <v>0</v>
      </c>
      <c r="U1613" s="842" t="n">
        <f aca="false">N1613-S1613-S1614</f>
        <v>0</v>
      </c>
    </row>
    <row r="1614" customFormat="false" ht="15" hidden="false" customHeight="true" outlineLevel="0" collapsed="false">
      <c r="A1614" s="882"/>
      <c r="B1614" s="829"/>
      <c r="C1614" s="830"/>
      <c r="D1614" s="843" t="s">
        <v>10</v>
      </c>
      <c r="E1614" s="843" t="s">
        <v>2205</v>
      </c>
      <c r="F1614" s="830"/>
      <c r="G1614" s="833"/>
      <c r="H1614" s="1526"/>
      <c r="I1614" s="1020"/>
      <c r="J1614" s="1020"/>
      <c r="K1614" s="836"/>
      <c r="L1614" s="837"/>
      <c r="M1614" s="1003"/>
      <c r="N1614" s="837"/>
      <c r="O1614" s="943"/>
      <c r="P1614" s="844" t="s">
        <v>2204</v>
      </c>
      <c r="Q1614" s="900" t="s">
        <v>2496</v>
      </c>
      <c r="R1614" s="846" t="n">
        <v>0</v>
      </c>
      <c r="S1614" s="846" t="n">
        <v>138</v>
      </c>
      <c r="T1614" s="943"/>
      <c r="U1614" s="842"/>
    </row>
    <row r="1615" customFormat="false" ht="15" hidden="false" customHeight="true" outlineLevel="0" collapsed="false">
      <c r="A1615" s="847" t="n">
        <v>69</v>
      </c>
      <c r="B1615" s="847" t="s">
        <v>81</v>
      </c>
      <c r="C1615" s="847" t="n">
        <v>2024</v>
      </c>
      <c r="D1615" s="848" t="s">
        <v>10</v>
      </c>
      <c r="E1615" s="848" t="s">
        <v>2192</v>
      </c>
      <c r="F1615" s="848" t="s">
        <v>1650</v>
      </c>
      <c r="G1615" s="849"/>
      <c r="H1615" s="1523" t="n">
        <v>98.3</v>
      </c>
      <c r="I1615" s="1397"/>
      <c r="J1615" s="1397"/>
      <c r="K1615" s="852" t="n">
        <f aca="false">H1615*I1615/100</f>
        <v>0</v>
      </c>
      <c r="L1615" s="537" t="n">
        <v>22920</v>
      </c>
      <c r="M1615" s="1007" t="n">
        <v>1</v>
      </c>
      <c r="N1615" s="1143" t="n">
        <f aca="false">L1615*M1615</f>
        <v>22920</v>
      </c>
      <c r="O1615" s="1386" t="n">
        <f aca="false">H1615*N1615</f>
        <v>2253036</v>
      </c>
      <c r="P1615" s="856" t="s">
        <v>2232</v>
      </c>
      <c r="Q1615" s="857" t="s">
        <v>2462</v>
      </c>
      <c r="R1615" s="854" t="n">
        <v>2253036</v>
      </c>
      <c r="S1615" s="854" t="n">
        <f aca="false">R1615/H1615</f>
        <v>22920</v>
      </c>
      <c r="T1615" s="953" t="n">
        <f aca="false">O1615-R1615</f>
        <v>0</v>
      </c>
      <c r="U1615" s="537" t="n">
        <f aca="false">N1615-S1615</f>
        <v>0</v>
      </c>
    </row>
    <row r="1616" customFormat="false" ht="15" hidden="false" customHeight="true" outlineLevel="0" collapsed="false">
      <c r="A1616" s="870" t="n">
        <v>70</v>
      </c>
      <c r="B1616" s="870" t="s">
        <v>81</v>
      </c>
      <c r="C1616" s="870" t="n">
        <v>2024</v>
      </c>
      <c r="D1616" s="871" t="s">
        <v>10</v>
      </c>
      <c r="E1616" s="871" t="s">
        <v>2192</v>
      </c>
      <c r="F1616" s="871" t="s">
        <v>1650</v>
      </c>
      <c r="G1616" s="872"/>
      <c r="H1616" s="1525" t="n">
        <v>95.8</v>
      </c>
      <c r="I1616" s="1433"/>
      <c r="J1616" s="1433"/>
      <c r="K1616" s="875" t="n">
        <f aca="false">H1616*I1616/100</f>
        <v>0</v>
      </c>
      <c r="L1616" s="553" t="n">
        <v>29860</v>
      </c>
      <c r="M1616" s="1000" t="n">
        <v>1</v>
      </c>
      <c r="N1616" s="1301" t="n">
        <f aca="false">L1616*M1616</f>
        <v>29860</v>
      </c>
      <c r="O1616" s="1402" t="n">
        <f aca="false">H1616*N1616</f>
        <v>2860588</v>
      </c>
      <c r="P1616" s="879" t="s">
        <v>2200</v>
      </c>
      <c r="Q1616" s="880" t="s">
        <v>115</v>
      </c>
      <c r="R1616" s="877" t="n">
        <v>2860588</v>
      </c>
      <c r="S1616" s="877" t="n">
        <f aca="false">R1616/H1616</f>
        <v>29860</v>
      </c>
      <c r="T1616" s="1403" t="n">
        <f aca="false">O1616-R1616</f>
        <v>0</v>
      </c>
      <c r="U1616" s="553" t="n">
        <f aca="false">N1616-S1616</f>
        <v>0</v>
      </c>
    </row>
    <row r="1617" customFormat="false" ht="15" hidden="false" customHeight="true" outlineLevel="0" collapsed="false">
      <c r="A1617" s="881" t="n">
        <v>64</v>
      </c>
      <c r="B1617" s="829" t="s">
        <v>86</v>
      </c>
      <c r="C1617" s="830" t="n">
        <v>2024</v>
      </c>
      <c r="D1617" s="831" t="s">
        <v>10</v>
      </c>
      <c r="E1617" s="831" t="s">
        <v>2192</v>
      </c>
      <c r="F1617" s="832" t="s">
        <v>1650</v>
      </c>
      <c r="G1617" s="833"/>
      <c r="H1617" s="1527" t="n">
        <v>98.6</v>
      </c>
      <c r="I1617" s="1020"/>
      <c r="J1617" s="1020"/>
      <c r="K1617" s="836" t="n">
        <f aca="false">H1617*I1617/100</f>
        <v>0</v>
      </c>
      <c r="L1617" s="837" t="n">
        <v>31150</v>
      </c>
      <c r="M1617" s="1003" t="n">
        <v>1</v>
      </c>
      <c r="N1617" s="837" t="n">
        <f aca="false">L1617*M1617</f>
        <v>31150</v>
      </c>
      <c r="O1617" s="943" t="n">
        <f aca="false">H1617*N1617</f>
        <v>3071390</v>
      </c>
      <c r="P1617" s="838" t="s">
        <v>2197</v>
      </c>
      <c r="Q1617" s="839" t="s">
        <v>2954</v>
      </c>
      <c r="R1617" s="840" t="n">
        <v>275094</v>
      </c>
      <c r="S1617" s="886" t="n">
        <f aca="false">R1617/H1617</f>
        <v>2790</v>
      </c>
      <c r="T1617" s="943" t="n">
        <f aca="false">O1617-R1617-R1620-R1619-R1618</f>
        <v>0</v>
      </c>
      <c r="U1617" s="842" t="n">
        <f aca="false">N1617-S1617-S1620-S1619-S1618</f>
        <v>0</v>
      </c>
    </row>
    <row r="1618" customFormat="false" ht="15" hidden="false" customHeight="true" outlineLevel="0" collapsed="false">
      <c r="A1618" s="881"/>
      <c r="B1618" s="829"/>
      <c r="C1618" s="830"/>
      <c r="D1618" s="848" t="s">
        <v>10</v>
      </c>
      <c r="E1618" s="848" t="s">
        <v>2192</v>
      </c>
      <c r="F1618" s="832"/>
      <c r="G1618" s="833"/>
      <c r="H1618" s="1527"/>
      <c r="I1618" s="1020"/>
      <c r="J1618" s="1020"/>
      <c r="K1618" s="836"/>
      <c r="L1618" s="837"/>
      <c r="M1618" s="1003"/>
      <c r="N1618" s="837"/>
      <c r="O1618" s="943"/>
      <c r="P1618" s="856" t="s">
        <v>2232</v>
      </c>
      <c r="Q1618" s="857" t="s">
        <v>2435</v>
      </c>
      <c r="R1618" s="854" t="n">
        <v>637350.4</v>
      </c>
      <c r="S1618" s="866" t="n">
        <f aca="false">R1618/H1617</f>
        <v>6464</v>
      </c>
      <c r="T1618" s="943"/>
      <c r="U1618" s="842"/>
    </row>
    <row r="1619" customFormat="false" ht="15" hidden="false" customHeight="true" outlineLevel="0" collapsed="false">
      <c r="A1619" s="881"/>
      <c r="B1619" s="829"/>
      <c r="C1619" s="830"/>
      <c r="D1619" s="848" t="s">
        <v>10</v>
      </c>
      <c r="E1619" s="848" t="s">
        <v>2192</v>
      </c>
      <c r="F1619" s="832"/>
      <c r="G1619" s="833"/>
      <c r="H1619" s="1527"/>
      <c r="I1619" s="1020"/>
      <c r="J1619" s="1020"/>
      <c r="K1619" s="836"/>
      <c r="L1619" s="837"/>
      <c r="M1619" s="1003"/>
      <c r="N1619" s="837"/>
      <c r="O1619" s="943"/>
      <c r="P1619" s="856" t="s">
        <v>2193</v>
      </c>
      <c r="Q1619" s="857" t="s">
        <v>2299</v>
      </c>
      <c r="R1619" s="854" t="n">
        <v>844410.4</v>
      </c>
      <c r="S1619" s="866" t="n">
        <f aca="false">R1619/H1617</f>
        <v>8564</v>
      </c>
      <c r="T1619" s="943"/>
      <c r="U1619" s="842"/>
    </row>
    <row r="1620" customFormat="false" ht="15" hidden="false" customHeight="true" outlineLevel="0" collapsed="false">
      <c r="A1620" s="881"/>
      <c r="B1620" s="829"/>
      <c r="C1620" s="830"/>
      <c r="D1620" s="887" t="s">
        <v>10</v>
      </c>
      <c r="E1620" s="887" t="s">
        <v>2192</v>
      </c>
      <c r="F1620" s="832"/>
      <c r="G1620" s="833"/>
      <c r="H1620" s="1527"/>
      <c r="I1620" s="1020"/>
      <c r="J1620" s="1020"/>
      <c r="K1620" s="836"/>
      <c r="L1620" s="837"/>
      <c r="M1620" s="1003"/>
      <c r="N1620" s="837"/>
      <c r="O1620" s="943"/>
      <c r="P1620" s="888" t="s">
        <v>2193</v>
      </c>
      <c r="Q1620" s="889" t="s">
        <v>2406</v>
      </c>
      <c r="R1620" s="890" t="n">
        <v>1314535.2</v>
      </c>
      <c r="S1620" s="846" t="n">
        <f aca="false">R1620/H1617</f>
        <v>13332</v>
      </c>
      <c r="T1620" s="943"/>
      <c r="U1620" s="842"/>
    </row>
    <row r="1621" customFormat="false" ht="15" hidden="false" customHeight="true" outlineLevel="0" collapsed="false">
      <c r="A1621" s="881"/>
      <c r="B1621" s="847" t="s">
        <v>86</v>
      </c>
      <c r="C1621" s="847" t="n">
        <v>2024</v>
      </c>
      <c r="D1621" s="848" t="s">
        <v>10</v>
      </c>
      <c r="E1621" s="848" t="s">
        <v>2242</v>
      </c>
      <c r="F1621" s="848"/>
      <c r="G1621" s="849"/>
      <c r="H1621" s="1523" t="n">
        <v>81.6</v>
      </c>
      <c r="I1621" s="1397"/>
      <c r="J1621" s="1397"/>
      <c r="K1621" s="852" t="n">
        <f aca="false">H1621*I1621/100</f>
        <v>0</v>
      </c>
      <c r="L1621" s="537" t="n">
        <v>295</v>
      </c>
      <c r="M1621" s="1007" t="n">
        <v>1</v>
      </c>
      <c r="N1621" s="1143" t="n">
        <f aca="false">L1621*M1621</f>
        <v>295</v>
      </c>
      <c r="O1621" s="1386" t="n">
        <f aca="false">H1621*N1621</f>
        <v>24072</v>
      </c>
      <c r="P1621" s="856" t="s">
        <v>2200</v>
      </c>
      <c r="Q1621" s="857" t="s">
        <v>2946</v>
      </c>
      <c r="R1621" s="854" t="n">
        <v>24072</v>
      </c>
      <c r="S1621" s="854" t="n">
        <f aca="false">R1621/H1621</f>
        <v>295</v>
      </c>
      <c r="T1621" s="953" t="n">
        <f aca="false">O1621-R1621</f>
        <v>0</v>
      </c>
      <c r="U1621" s="537" t="n">
        <f aca="false">N1621-S1621</f>
        <v>0</v>
      </c>
    </row>
    <row r="1622" customFormat="false" ht="15" hidden="false" customHeight="true" outlineLevel="0" collapsed="false">
      <c r="A1622" s="881"/>
      <c r="B1622" s="859" t="s">
        <v>86</v>
      </c>
      <c r="C1622" s="859" t="n">
        <v>2024</v>
      </c>
      <c r="D1622" s="860" t="s">
        <v>10</v>
      </c>
      <c r="E1622" s="860" t="s">
        <v>2203</v>
      </c>
      <c r="F1622" s="860"/>
      <c r="G1622" s="861"/>
      <c r="H1622" s="1760" t="n">
        <v>65.2</v>
      </c>
      <c r="I1622" s="1429"/>
      <c r="J1622" s="1429"/>
      <c r="K1622" s="864" t="n">
        <f aca="false">H1622*I1622/100</f>
        <v>0</v>
      </c>
      <c r="L1622" s="543" t="n">
        <v>1934</v>
      </c>
      <c r="M1622" s="983" t="n">
        <v>1</v>
      </c>
      <c r="N1622" s="1299" t="n">
        <f aca="false">L1622*M1622</f>
        <v>1934</v>
      </c>
      <c r="O1622" s="1430" t="n">
        <f aca="false">H1622*N1622</f>
        <v>126096.8</v>
      </c>
      <c r="P1622" s="868" t="s">
        <v>2200</v>
      </c>
      <c r="Q1622" s="869" t="s">
        <v>2946</v>
      </c>
      <c r="R1622" s="866" t="n">
        <v>126096.8</v>
      </c>
      <c r="S1622" s="866" t="n">
        <f aca="false">R1622/H1622</f>
        <v>1934</v>
      </c>
      <c r="T1622" s="1449" t="n">
        <f aca="false">O1622-R1622</f>
        <v>0</v>
      </c>
      <c r="U1622" s="543" t="n">
        <f aca="false">N1622-S1622</f>
        <v>0</v>
      </c>
    </row>
    <row r="1623" customFormat="false" ht="15" hidden="false" customHeight="true" outlineLevel="0" collapsed="false">
      <c r="A1623" s="881"/>
      <c r="B1623" s="1072" t="s">
        <v>86</v>
      </c>
      <c r="C1623" s="1072" t="n">
        <v>2024</v>
      </c>
      <c r="D1623" s="887" t="s">
        <v>10</v>
      </c>
      <c r="E1623" s="887" t="s">
        <v>2205</v>
      </c>
      <c r="F1623" s="887"/>
      <c r="G1623" s="1062"/>
      <c r="H1623" s="1522" t="n">
        <v>5.8</v>
      </c>
      <c r="I1623" s="1078"/>
      <c r="J1623" s="1078"/>
      <c r="K1623" s="1064" t="n">
        <f aca="false">H1623*I1623/100</f>
        <v>0</v>
      </c>
      <c r="L1623" s="1067" t="n">
        <v>703</v>
      </c>
      <c r="M1623" s="1066" t="n">
        <v>1</v>
      </c>
      <c r="N1623" s="1082" t="n">
        <f aca="false">L1623*M1623</f>
        <v>703</v>
      </c>
      <c r="O1623" s="1394" t="n">
        <f aca="false">H1623*N1623</f>
        <v>4077.4</v>
      </c>
      <c r="P1623" s="888" t="s">
        <v>2204</v>
      </c>
      <c r="Q1623" s="889" t="n">
        <v>22112024</v>
      </c>
      <c r="R1623" s="890" t="n">
        <v>4077.4</v>
      </c>
      <c r="S1623" s="890" t="n">
        <f aca="false">R1623/H1623</f>
        <v>703</v>
      </c>
      <c r="T1623" s="1452" t="n">
        <f aca="false">O1623-R1623</f>
        <v>0</v>
      </c>
      <c r="U1623" s="1070" t="n">
        <f aca="false">N1623-S1623</f>
        <v>0</v>
      </c>
    </row>
    <row r="1624" customFormat="false" ht="15" hidden="false" customHeight="true" outlineLevel="0" collapsed="false">
      <c r="A1624" s="847" t="n">
        <v>84</v>
      </c>
      <c r="B1624" s="847" t="s">
        <v>81</v>
      </c>
      <c r="C1624" s="847" t="n">
        <v>2024</v>
      </c>
      <c r="D1624" s="848" t="s">
        <v>10</v>
      </c>
      <c r="E1624" s="848" t="s">
        <v>2192</v>
      </c>
      <c r="F1624" s="848" t="s">
        <v>2199</v>
      </c>
      <c r="G1624" s="849"/>
      <c r="H1624" s="1523" t="n">
        <v>67.5</v>
      </c>
      <c r="I1624" s="1397"/>
      <c r="J1624" s="1397"/>
      <c r="K1624" s="852" t="n">
        <f aca="false">H1624*I1624/100</f>
        <v>0</v>
      </c>
      <c r="L1624" s="537" t="n">
        <v>41760</v>
      </c>
      <c r="M1624" s="1007" t="n">
        <v>1</v>
      </c>
      <c r="N1624" s="1143" t="n">
        <f aca="false">L1624*M1624</f>
        <v>41760</v>
      </c>
      <c r="O1624" s="1386" t="n">
        <f aca="false">H1624*N1624</f>
        <v>2818800</v>
      </c>
      <c r="P1624" s="856" t="s">
        <v>2200</v>
      </c>
      <c r="Q1624" s="857" t="s">
        <v>2389</v>
      </c>
      <c r="R1624" s="854" t="n">
        <v>2818800</v>
      </c>
      <c r="S1624" s="891" t="n">
        <f aca="false">R1624/H1624</f>
        <v>41760</v>
      </c>
      <c r="T1624" s="953" t="n">
        <f aca="false">O1624-R1624</f>
        <v>0</v>
      </c>
      <c r="U1624" s="537" t="n">
        <f aca="false">N1624-S1624</f>
        <v>0</v>
      </c>
    </row>
    <row r="1625" customFormat="false" ht="15" hidden="false" customHeight="true" outlineLevel="0" collapsed="false">
      <c r="A1625" s="859" t="n">
        <v>86</v>
      </c>
      <c r="B1625" s="859" t="s">
        <v>81</v>
      </c>
      <c r="C1625" s="859" t="n">
        <v>2024</v>
      </c>
      <c r="D1625" s="860" t="s">
        <v>10</v>
      </c>
      <c r="E1625" s="860" t="s">
        <v>2192</v>
      </c>
      <c r="F1625" s="860" t="s">
        <v>2199</v>
      </c>
      <c r="G1625" s="861"/>
      <c r="H1625" s="1760" t="n">
        <v>69.1</v>
      </c>
      <c r="I1625" s="1429"/>
      <c r="J1625" s="1429"/>
      <c r="K1625" s="864" t="n">
        <f aca="false">H1625*I1625/100</f>
        <v>0</v>
      </c>
      <c r="L1625" s="543" t="n">
        <v>44440</v>
      </c>
      <c r="M1625" s="983" t="n">
        <v>1</v>
      </c>
      <c r="N1625" s="1299" t="n">
        <f aca="false">L1625*M1625</f>
        <v>44440</v>
      </c>
      <c r="O1625" s="1430" t="n">
        <f aca="false">H1625*N1625</f>
        <v>3070804</v>
      </c>
      <c r="P1625" s="868" t="s">
        <v>2200</v>
      </c>
      <c r="Q1625" s="869" t="s">
        <v>2955</v>
      </c>
      <c r="R1625" s="866" t="n">
        <v>3070804</v>
      </c>
      <c r="S1625" s="877" t="n">
        <f aca="false">R1625/H1625</f>
        <v>44440</v>
      </c>
      <c r="T1625" s="1449" t="n">
        <f aca="false">O1625-R1625</f>
        <v>0</v>
      </c>
      <c r="U1625" s="543" t="n">
        <f aca="false">N1625-S1625</f>
        <v>0</v>
      </c>
    </row>
    <row r="1626" customFormat="false" ht="15" hidden="false" customHeight="true" outlineLevel="0" collapsed="false">
      <c r="A1626" s="870" t="n">
        <v>90</v>
      </c>
      <c r="B1626" s="870" t="s">
        <v>81</v>
      </c>
      <c r="C1626" s="870" t="n">
        <v>2024</v>
      </c>
      <c r="D1626" s="871" t="s">
        <v>10</v>
      </c>
      <c r="E1626" s="871" t="s">
        <v>2192</v>
      </c>
      <c r="F1626" s="871" t="s">
        <v>2199</v>
      </c>
      <c r="G1626" s="872"/>
      <c r="H1626" s="1525" t="n">
        <v>68.7</v>
      </c>
      <c r="I1626" s="1433"/>
      <c r="J1626" s="1433"/>
      <c r="K1626" s="875" t="n">
        <f aca="false">H1626*I1626/100</f>
        <v>0</v>
      </c>
      <c r="L1626" s="553" t="n">
        <v>43800</v>
      </c>
      <c r="M1626" s="1000" t="n">
        <v>1</v>
      </c>
      <c r="N1626" s="1301" t="n">
        <f aca="false">L1626*M1626</f>
        <v>43800</v>
      </c>
      <c r="O1626" s="1402" t="n">
        <f aca="false">H1626*N1626</f>
        <v>3009060</v>
      </c>
      <c r="P1626" s="879" t="s">
        <v>2200</v>
      </c>
      <c r="Q1626" s="880" t="s">
        <v>2495</v>
      </c>
      <c r="R1626" s="877" t="n">
        <v>3009060</v>
      </c>
      <c r="S1626" s="877" t="n">
        <f aca="false">R1626/H1626</f>
        <v>43800</v>
      </c>
      <c r="T1626" s="1403" t="n">
        <f aca="false">O1626-R1626</f>
        <v>0</v>
      </c>
      <c r="U1626" s="553" t="n">
        <f aca="false">N1626-S1626</f>
        <v>0</v>
      </c>
    </row>
    <row r="1627" customFormat="false" ht="15" hidden="false" customHeight="true" outlineLevel="0" collapsed="false">
      <c r="A1627" s="1465" t="n">
        <v>93</v>
      </c>
      <c r="B1627" s="1546" t="s">
        <v>2207</v>
      </c>
      <c r="C1627" s="1546" t="n">
        <v>2024</v>
      </c>
      <c r="D1627" s="831" t="s">
        <v>10</v>
      </c>
      <c r="E1627" s="831" t="s">
        <v>2192</v>
      </c>
      <c r="F1627" s="1328" t="s">
        <v>1652</v>
      </c>
      <c r="G1627" s="1030"/>
      <c r="H1627" s="1592" t="n">
        <v>43.4513</v>
      </c>
      <c r="I1627" s="1517"/>
      <c r="J1627" s="1517"/>
      <c r="K1627" s="1033" t="n">
        <f aca="false">H1627*I1627/100</f>
        <v>0</v>
      </c>
      <c r="L1627" s="1036" t="n">
        <v>30253</v>
      </c>
      <c r="M1627" s="1035" t="n">
        <v>1</v>
      </c>
      <c r="N1627" s="1036" t="n">
        <f aca="false">L1627*M1627</f>
        <v>30253</v>
      </c>
      <c r="O1627" s="1547" t="n">
        <f aca="false">H1627*N1627</f>
        <v>1314532.1789</v>
      </c>
      <c r="P1627" s="838" t="s">
        <v>2197</v>
      </c>
      <c r="Q1627" s="839" t="s">
        <v>2956</v>
      </c>
      <c r="R1627" s="840" t="n">
        <v>282216.1935</v>
      </c>
      <c r="S1627" s="840" t="n">
        <f aca="false">R1627/H1627</f>
        <v>6495</v>
      </c>
      <c r="T1627" s="1547" t="n">
        <f aca="false">O1627-R1627-R1628-R1629-R1630</f>
        <v>0</v>
      </c>
      <c r="U1627" s="1037" t="n">
        <f aca="false">N1627-S1627-S1628-S1629-S1630</f>
        <v>0</v>
      </c>
    </row>
    <row r="1628" customFormat="false" ht="15" hidden="false" customHeight="true" outlineLevel="0" collapsed="false">
      <c r="A1628" s="1465"/>
      <c r="B1628" s="1546"/>
      <c r="C1628" s="1546"/>
      <c r="D1628" s="860" t="s">
        <v>10</v>
      </c>
      <c r="E1628" s="860" t="s">
        <v>2192</v>
      </c>
      <c r="F1628" s="1328"/>
      <c r="G1628" s="1030"/>
      <c r="H1628" s="1592"/>
      <c r="I1628" s="1517"/>
      <c r="J1628" s="1517"/>
      <c r="K1628" s="1033"/>
      <c r="L1628" s="1036"/>
      <c r="M1628" s="1035"/>
      <c r="N1628" s="1036"/>
      <c r="O1628" s="1547"/>
      <c r="P1628" s="868" t="s">
        <v>2197</v>
      </c>
      <c r="Q1628" s="869" t="s">
        <v>2957</v>
      </c>
      <c r="R1628" s="866" t="n">
        <v>434078.487</v>
      </c>
      <c r="S1628" s="866" t="n">
        <f aca="false">R1628/H1627</f>
        <v>9990</v>
      </c>
      <c r="T1628" s="1547"/>
      <c r="U1628" s="1037"/>
    </row>
    <row r="1629" customFormat="false" ht="15" hidden="false" customHeight="true" outlineLevel="0" collapsed="false">
      <c r="A1629" s="1465"/>
      <c r="B1629" s="1546"/>
      <c r="C1629" s="1546"/>
      <c r="D1629" s="860" t="s">
        <v>10</v>
      </c>
      <c r="E1629" s="860" t="s">
        <v>2192</v>
      </c>
      <c r="F1629" s="1328"/>
      <c r="G1629" s="1030"/>
      <c r="H1629" s="1592"/>
      <c r="I1629" s="1517"/>
      <c r="J1629" s="1517"/>
      <c r="K1629" s="1033"/>
      <c r="L1629" s="1036"/>
      <c r="M1629" s="1035"/>
      <c r="N1629" s="1036"/>
      <c r="O1629" s="1547"/>
      <c r="P1629" s="868" t="s">
        <v>2197</v>
      </c>
      <c r="Q1629" s="869" t="s">
        <v>2958</v>
      </c>
      <c r="R1629" s="866" t="n">
        <v>434078.487</v>
      </c>
      <c r="S1629" s="866" t="n">
        <f aca="false">R1629/H1627</f>
        <v>9990</v>
      </c>
      <c r="T1629" s="1547"/>
      <c r="U1629" s="1037"/>
    </row>
    <row r="1630" customFormat="false" ht="15" hidden="false" customHeight="true" outlineLevel="0" collapsed="false">
      <c r="A1630" s="1465"/>
      <c r="B1630" s="1546"/>
      <c r="C1630" s="1546"/>
      <c r="D1630" s="871" t="s">
        <v>10</v>
      </c>
      <c r="E1630" s="871" t="s">
        <v>2192</v>
      </c>
      <c r="F1630" s="1328"/>
      <c r="G1630" s="1030"/>
      <c r="H1630" s="1592"/>
      <c r="I1630" s="1517"/>
      <c r="J1630" s="1517"/>
      <c r="K1630" s="1033"/>
      <c r="L1630" s="1036"/>
      <c r="M1630" s="1035"/>
      <c r="N1630" s="1036"/>
      <c r="O1630" s="1547"/>
      <c r="P1630" s="879" t="s">
        <v>2197</v>
      </c>
      <c r="Q1630" s="880" t="s">
        <v>2959</v>
      </c>
      <c r="R1630" s="877" t="n">
        <v>164159.0114</v>
      </c>
      <c r="S1630" s="877" t="n">
        <f aca="false">R1630/H1627</f>
        <v>3778</v>
      </c>
      <c r="T1630" s="1547"/>
      <c r="U1630" s="1037"/>
    </row>
    <row r="1631" customFormat="false" ht="15" hidden="false" customHeight="true" outlineLevel="0" collapsed="false">
      <c r="A1631" s="1027" t="n">
        <v>94</v>
      </c>
      <c r="B1631" s="1028" t="s">
        <v>2207</v>
      </c>
      <c r="C1631" s="1028" t="n">
        <v>2024</v>
      </c>
      <c r="D1631" s="831" t="s">
        <v>10</v>
      </c>
      <c r="E1631" s="831" t="s">
        <v>2192</v>
      </c>
      <c r="F1631" s="1607" t="s">
        <v>1651</v>
      </c>
      <c r="G1631" s="1030"/>
      <c r="H1631" s="1592" t="n">
        <v>27.8876</v>
      </c>
      <c r="I1631" s="1517"/>
      <c r="J1631" s="1517"/>
      <c r="K1631" s="1033" t="n">
        <f aca="false">H1631*I1631/100</f>
        <v>0</v>
      </c>
      <c r="L1631" s="1036" t="n">
        <v>30279</v>
      </c>
      <c r="M1631" s="1035" t="n">
        <v>1</v>
      </c>
      <c r="N1631" s="1036" t="n">
        <f aca="false">L1631*M1631</f>
        <v>30279</v>
      </c>
      <c r="O1631" s="1547" t="n">
        <f aca="false">H1631*N1631</f>
        <v>844408.6404</v>
      </c>
      <c r="P1631" s="838" t="s">
        <v>2197</v>
      </c>
      <c r="Q1631" s="839" t="s">
        <v>2960</v>
      </c>
      <c r="R1631" s="840" t="n">
        <v>139430</v>
      </c>
      <c r="S1631" s="840" t="n">
        <f aca="false">R1631/H1631</f>
        <v>4999.71313415281</v>
      </c>
      <c r="T1631" s="1547" t="n">
        <f aca="false">O1631-R1631-R1632-R1633</f>
        <v>0</v>
      </c>
      <c r="U1631" s="1037" t="n">
        <f aca="false">N1631-S1631-S1632-S1633</f>
        <v>0</v>
      </c>
    </row>
    <row r="1632" customFormat="false" ht="15" hidden="false" customHeight="true" outlineLevel="0" collapsed="false">
      <c r="A1632" s="1027"/>
      <c r="B1632" s="1028"/>
      <c r="C1632" s="1028"/>
      <c r="D1632" s="848" t="s">
        <v>10</v>
      </c>
      <c r="E1632" s="848" t="s">
        <v>2192</v>
      </c>
      <c r="F1632" s="1607"/>
      <c r="G1632" s="1030"/>
      <c r="H1632" s="1592"/>
      <c r="I1632" s="1517"/>
      <c r="J1632" s="1517"/>
      <c r="K1632" s="1033"/>
      <c r="L1632" s="1036"/>
      <c r="M1632" s="1035"/>
      <c r="N1632" s="1036"/>
      <c r="O1632" s="1547"/>
      <c r="P1632" s="856" t="s">
        <v>2197</v>
      </c>
      <c r="Q1632" s="857" t="s">
        <v>2961</v>
      </c>
      <c r="R1632" s="854" t="n">
        <v>557612.562</v>
      </c>
      <c r="S1632" s="866" t="n">
        <f aca="false">R1632/H1631</f>
        <v>19995</v>
      </c>
      <c r="T1632" s="1547"/>
      <c r="U1632" s="1037"/>
    </row>
    <row r="1633" customFormat="false" ht="15" hidden="false" customHeight="true" outlineLevel="0" collapsed="false">
      <c r="A1633" s="1027"/>
      <c r="B1633" s="1028"/>
      <c r="C1633" s="1028"/>
      <c r="D1633" s="904" t="s">
        <v>10</v>
      </c>
      <c r="E1633" s="904" t="s">
        <v>2192</v>
      </c>
      <c r="F1633" s="1607"/>
      <c r="G1633" s="1030"/>
      <c r="H1633" s="1592"/>
      <c r="I1633" s="1517"/>
      <c r="J1633" s="1517"/>
      <c r="K1633" s="1033"/>
      <c r="L1633" s="1036"/>
      <c r="M1633" s="1035"/>
      <c r="N1633" s="1036"/>
      <c r="O1633" s="1547"/>
      <c r="P1633" s="910" t="s">
        <v>2197</v>
      </c>
      <c r="Q1633" s="911" t="s">
        <v>2962</v>
      </c>
      <c r="R1633" s="891" t="n">
        <v>147366.0784</v>
      </c>
      <c r="S1633" s="877" t="n">
        <f aca="false">R1633/H1631</f>
        <v>5284.28686584719</v>
      </c>
      <c r="T1633" s="1547"/>
      <c r="U1633" s="1037"/>
    </row>
    <row r="1634" customFormat="false" ht="15" hidden="false" customHeight="true" outlineLevel="0" collapsed="false">
      <c r="A1634" s="881" t="n">
        <v>67</v>
      </c>
      <c r="B1634" s="829" t="s">
        <v>86</v>
      </c>
      <c r="C1634" s="830" t="n">
        <v>2024</v>
      </c>
      <c r="D1634" s="831" t="s">
        <v>10</v>
      </c>
      <c r="E1634" s="831" t="s">
        <v>2192</v>
      </c>
      <c r="F1634" s="832" t="s">
        <v>1650</v>
      </c>
      <c r="G1634" s="833"/>
      <c r="H1634" s="1527" t="n">
        <v>91.7</v>
      </c>
      <c r="I1634" s="1020"/>
      <c r="J1634" s="1020"/>
      <c r="K1634" s="836" t="n">
        <f aca="false">H1634*I1634/100</f>
        <v>0</v>
      </c>
      <c r="L1634" s="837" t="n">
        <v>30000</v>
      </c>
      <c r="M1634" s="1003" t="n">
        <v>1</v>
      </c>
      <c r="N1634" s="837" t="n">
        <f aca="false">L1634*M1634</f>
        <v>30000</v>
      </c>
      <c r="O1634" s="837" t="n">
        <f aca="false">H1634*N1634</f>
        <v>2751000</v>
      </c>
      <c r="P1634" s="838" t="s">
        <v>2232</v>
      </c>
      <c r="Q1634" s="839" t="s">
        <v>2435</v>
      </c>
      <c r="R1634" s="840" t="n">
        <v>2237480</v>
      </c>
      <c r="S1634" s="886" t="n">
        <f aca="false">R1634/H1634</f>
        <v>24400</v>
      </c>
      <c r="T1634" s="841" t="n">
        <f aca="false">O1634-R1634-R1635</f>
        <v>0</v>
      </c>
      <c r="U1634" s="842" t="n">
        <f aca="false">N1634-S1634-S1635</f>
        <v>0</v>
      </c>
    </row>
    <row r="1635" customFormat="false" ht="15" hidden="false" customHeight="true" outlineLevel="0" collapsed="false">
      <c r="A1635" s="881"/>
      <c r="B1635" s="829"/>
      <c r="C1635" s="830"/>
      <c r="D1635" s="887" t="s">
        <v>10</v>
      </c>
      <c r="E1635" s="887" t="s">
        <v>2192</v>
      </c>
      <c r="F1635" s="832"/>
      <c r="G1635" s="833"/>
      <c r="H1635" s="1527"/>
      <c r="I1635" s="1020"/>
      <c r="J1635" s="1020"/>
      <c r="K1635" s="836"/>
      <c r="L1635" s="837"/>
      <c r="M1635" s="1003"/>
      <c r="N1635" s="837"/>
      <c r="O1635" s="837"/>
      <c r="P1635" s="888" t="s">
        <v>2197</v>
      </c>
      <c r="Q1635" s="889" t="s">
        <v>2963</v>
      </c>
      <c r="R1635" s="890" t="n">
        <v>513520</v>
      </c>
      <c r="S1635" s="846" t="n">
        <f aca="false">R1635/H1634</f>
        <v>5600</v>
      </c>
      <c r="T1635" s="841"/>
      <c r="U1635" s="842"/>
    </row>
    <row r="1636" customFormat="false" ht="15" hidden="false" customHeight="true" outlineLevel="0" collapsed="false">
      <c r="A1636" s="881"/>
      <c r="B1636" s="847" t="s">
        <v>86</v>
      </c>
      <c r="C1636" s="847" t="n">
        <v>2024</v>
      </c>
      <c r="D1636" s="848" t="s">
        <v>10</v>
      </c>
      <c r="E1636" s="848" t="s">
        <v>2203</v>
      </c>
      <c r="F1636" s="1479"/>
      <c r="G1636" s="849"/>
      <c r="H1636" s="1766" t="n">
        <v>33.3</v>
      </c>
      <c r="I1636" s="1397"/>
      <c r="J1636" s="1397"/>
      <c r="K1636" s="852" t="n">
        <f aca="false">H1636*I1636/100</f>
        <v>0</v>
      </c>
      <c r="L1636" s="537" t="n">
        <v>4114</v>
      </c>
      <c r="M1636" s="1007" t="n">
        <v>1</v>
      </c>
      <c r="N1636" s="1143" t="n">
        <f aca="false">L1636*M1636</f>
        <v>4114</v>
      </c>
      <c r="O1636" s="858" t="n">
        <f aca="false">H1636*N1636</f>
        <v>136996.2</v>
      </c>
      <c r="P1636" s="856" t="s">
        <v>2200</v>
      </c>
      <c r="Q1636" s="857" t="s">
        <v>2946</v>
      </c>
      <c r="R1636" s="854" t="n">
        <v>136996.2</v>
      </c>
      <c r="S1636" s="877" t="n">
        <f aca="false">R1636/H1636</f>
        <v>4114</v>
      </c>
      <c r="T1636" s="858" t="n">
        <f aca="false">O1636-R1636</f>
        <v>0</v>
      </c>
      <c r="U1636" s="892" t="n">
        <f aca="false">N1636-S1636</f>
        <v>0</v>
      </c>
    </row>
    <row r="1637" customFormat="false" ht="15" hidden="false" customHeight="true" outlineLevel="0" collapsed="false">
      <c r="A1637" s="881"/>
      <c r="B1637" s="859" t="s">
        <v>86</v>
      </c>
      <c r="C1637" s="859" t="n">
        <v>2024</v>
      </c>
      <c r="D1637" s="860" t="s">
        <v>10</v>
      </c>
      <c r="E1637" s="860" t="s">
        <v>2205</v>
      </c>
      <c r="F1637" s="1480"/>
      <c r="G1637" s="861"/>
      <c r="H1637" s="1756" t="n">
        <v>34.1</v>
      </c>
      <c r="I1637" s="1429"/>
      <c r="J1637" s="1429"/>
      <c r="K1637" s="864" t="n">
        <f aca="false">H1637*I1637/100</f>
        <v>0</v>
      </c>
      <c r="L1637" s="543" t="n">
        <v>3495</v>
      </c>
      <c r="M1637" s="983" t="n">
        <v>1</v>
      </c>
      <c r="N1637" s="1299" t="n">
        <f aca="false">L1637*M1637</f>
        <v>3495</v>
      </c>
      <c r="O1637" s="1439" t="n">
        <f aca="false">H1637*N1637</f>
        <v>119179.5</v>
      </c>
      <c r="P1637" s="868" t="s">
        <v>2195</v>
      </c>
      <c r="Q1637" s="869" t="s">
        <v>1375</v>
      </c>
      <c r="R1637" s="866" t="n">
        <v>119179.5</v>
      </c>
      <c r="S1637" s="877" t="n">
        <f aca="false">R1637/H1637</f>
        <v>3495</v>
      </c>
      <c r="T1637" s="985" t="n">
        <f aca="false">O1637-R1637</f>
        <v>0</v>
      </c>
      <c r="U1637" s="1135" t="n">
        <f aca="false">N1637-S1637</f>
        <v>0</v>
      </c>
    </row>
    <row r="1638" customFormat="false" ht="15" hidden="false" customHeight="true" outlineLevel="0" collapsed="false">
      <c r="A1638" s="881"/>
      <c r="B1638" s="893" t="s">
        <v>86</v>
      </c>
      <c r="C1638" s="893" t="n">
        <v>2024</v>
      </c>
      <c r="D1638" s="843" t="s">
        <v>10</v>
      </c>
      <c r="E1638" s="843" t="s">
        <v>2241</v>
      </c>
      <c r="F1638" s="1357"/>
      <c r="G1638" s="894"/>
      <c r="H1638" s="1767" t="n">
        <v>0.9</v>
      </c>
      <c r="I1638" s="1532"/>
      <c r="J1638" s="1532"/>
      <c r="K1638" s="897" t="n">
        <f aca="false">H1638*I1638/100</f>
        <v>0</v>
      </c>
      <c r="L1638" s="589" t="n">
        <v>3284</v>
      </c>
      <c r="M1638" s="1106" t="n">
        <v>1</v>
      </c>
      <c r="N1638" s="1393" t="n">
        <f aca="false">L1638*M1638</f>
        <v>3284</v>
      </c>
      <c r="O1638" s="1500" t="n">
        <f aca="false">H1638*N1638</f>
        <v>2955.6</v>
      </c>
      <c r="P1638" s="844" t="s">
        <v>2204</v>
      </c>
      <c r="Q1638" s="845" t="n">
        <v>22112024</v>
      </c>
      <c r="R1638" s="846" t="n">
        <v>2955.6</v>
      </c>
      <c r="S1638" s="846" t="n">
        <f aca="false">R1638/H1638</f>
        <v>3284</v>
      </c>
      <c r="T1638" s="1441" t="n">
        <f aca="false">O1638-R1638</f>
        <v>0</v>
      </c>
      <c r="U1638" s="902" t="n">
        <f aca="false">N1638-S1638</f>
        <v>0</v>
      </c>
    </row>
    <row r="1639" customFormat="false" ht="15" hidden="false" customHeight="true" outlineLevel="0" collapsed="false">
      <c r="A1639" s="903" t="n">
        <v>96</v>
      </c>
      <c r="B1639" s="903" t="s">
        <v>81</v>
      </c>
      <c r="C1639" s="903" t="n">
        <v>2024</v>
      </c>
      <c r="D1639" s="904" t="s">
        <v>10</v>
      </c>
      <c r="E1639" s="904" t="s">
        <v>2192</v>
      </c>
      <c r="F1639" s="1351" t="s">
        <v>2199</v>
      </c>
      <c r="G1639" s="905"/>
      <c r="H1639" s="1768" t="n">
        <v>83</v>
      </c>
      <c r="I1639" s="1055"/>
      <c r="J1639" s="1055"/>
      <c r="K1639" s="939" t="n">
        <f aca="false">H1639*I1639/100</f>
        <v>0</v>
      </c>
      <c r="L1639" s="942" t="n">
        <v>41940</v>
      </c>
      <c r="M1639" s="1023" t="n">
        <v>1</v>
      </c>
      <c r="N1639" s="1137" t="n">
        <f aca="false">L1639*M1639</f>
        <v>41940</v>
      </c>
      <c r="O1639" s="1551" t="n">
        <f aca="false">H1639*N1639</f>
        <v>3481020</v>
      </c>
      <c r="P1639" s="910" t="s">
        <v>2200</v>
      </c>
      <c r="Q1639" s="911" t="s">
        <v>2964</v>
      </c>
      <c r="R1639" s="891" t="n">
        <v>3481020</v>
      </c>
      <c r="S1639" s="854" t="n">
        <f aca="false">R1639/H1639</f>
        <v>41940</v>
      </c>
      <c r="T1639" s="1058" t="n">
        <f aca="false">O1639-R1639</f>
        <v>0</v>
      </c>
      <c r="U1639" s="942" t="n">
        <f aca="false">N1639-S1639</f>
        <v>0</v>
      </c>
    </row>
    <row r="1640" customFormat="false" ht="15" hidden="false" customHeight="true" outlineLevel="0" collapsed="false">
      <c r="A1640" s="1533" t="n">
        <v>69</v>
      </c>
      <c r="B1640" s="829" t="s">
        <v>86</v>
      </c>
      <c r="C1640" s="830" t="n">
        <v>2024</v>
      </c>
      <c r="D1640" s="831" t="s">
        <v>10</v>
      </c>
      <c r="E1640" s="831" t="s">
        <v>2192</v>
      </c>
      <c r="F1640" s="832" t="s">
        <v>1650</v>
      </c>
      <c r="G1640" s="833"/>
      <c r="H1640" s="1527" t="n">
        <v>91.5</v>
      </c>
      <c r="I1640" s="1020" t="n">
        <v>65</v>
      </c>
      <c r="J1640" s="1020"/>
      <c r="K1640" s="836" t="n">
        <f aca="false">H1640*I1640/100</f>
        <v>59.475</v>
      </c>
      <c r="L1640" s="837" t="n">
        <v>29060</v>
      </c>
      <c r="M1640" s="1003" t="n">
        <v>1</v>
      </c>
      <c r="N1640" s="837" t="n">
        <f aca="false">L1640*M1640</f>
        <v>29060</v>
      </c>
      <c r="O1640" s="1120" t="n">
        <f aca="false">H1640*N1640</f>
        <v>2658990</v>
      </c>
      <c r="P1640" s="838" t="s">
        <v>2232</v>
      </c>
      <c r="Q1640" s="839" t="s">
        <v>2435</v>
      </c>
      <c r="R1640" s="840" t="n">
        <v>91500</v>
      </c>
      <c r="S1640" s="886" t="n">
        <f aca="false">R1640/H1640</f>
        <v>1000</v>
      </c>
      <c r="T1640" s="841" t="n">
        <f aca="false">O1640-R1640-R1646-R1647-R1641-R1645-R1642-R1644-R1643</f>
        <v>0</v>
      </c>
      <c r="U1640" s="842" t="n">
        <f aca="false">N1640-S1640-S1646-S1647-S1641-S1645-S1642-S1644-S1643</f>
        <v>0</v>
      </c>
    </row>
    <row r="1641" customFormat="false" ht="15" hidden="false" customHeight="true" outlineLevel="0" collapsed="false">
      <c r="A1641" s="1533"/>
      <c r="B1641" s="829"/>
      <c r="C1641" s="830"/>
      <c r="D1641" s="848" t="s">
        <v>10</v>
      </c>
      <c r="E1641" s="848" t="s">
        <v>2192</v>
      </c>
      <c r="F1641" s="832"/>
      <c r="G1641" s="833"/>
      <c r="H1641" s="1527"/>
      <c r="I1641" s="1020"/>
      <c r="J1641" s="1020"/>
      <c r="K1641" s="836"/>
      <c r="L1641" s="837"/>
      <c r="M1641" s="1003"/>
      <c r="N1641" s="837"/>
      <c r="O1641" s="1120"/>
      <c r="P1641" s="856" t="s">
        <v>2232</v>
      </c>
      <c r="Q1641" s="857" t="s">
        <v>107</v>
      </c>
      <c r="R1641" s="854" t="n">
        <v>76219.5</v>
      </c>
      <c r="S1641" s="866" t="n">
        <f aca="false">R1641/H1640</f>
        <v>833</v>
      </c>
      <c r="T1641" s="841"/>
      <c r="U1641" s="842"/>
    </row>
    <row r="1642" customFormat="false" ht="15" hidden="false" customHeight="true" outlineLevel="0" collapsed="false">
      <c r="A1642" s="1533"/>
      <c r="B1642" s="829"/>
      <c r="C1642" s="830"/>
      <c r="D1642" s="848" t="s">
        <v>10</v>
      </c>
      <c r="E1642" s="848" t="s">
        <v>2192</v>
      </c>
      <c r="F1642" s="832"/>
      <c r="G1642" s="833"/>
      <c r="H1642" s="1527"/>
      <c r="I1642" s="1020"/>
      <c r="J1642" s="1020"/>
      <c r="K1642" s="836"/>
      <c r="L1642" s="837"/>
      <c r="M1642" s="1003"/>
      <c r="N1642" s="837"/>
      <c r="O1642" s="1120"/>
      <c r="P1642" s="856" t="s">
        <v>2232</v>
      </c>
      <c r="Q1642" s="857" t="s">
        <v>2613</v>
      </c>
      <c r="R1642" s="854" t="n">
        <v>1006500</v>
      </c>
      <c r="S1642" s="866" t="n">
        <f aca="false">R1642/H1640</f>
        <v>11000</v>
      </c>
      <c r="T1642" s="841"/>
      <c r="U1642" s="842"/>
    </row>
    <row r="1643" customFormat="false" ht="15" hidden="false" customHeight="true" outlineLevel="0" collapsed="false">
      <c r="A1643" s="1533"/>
      <c r="B1643" s="829"/>
      <c r="C1643" s="830"/>
      <c r="D1643" s="848" t="s">
        <v>10</v>
      </c>
      <c r="E1643" s="848" t="s">
        <v>2192</v>
      </c>
      <c r="F1643" s="832"/>
      <c r="G1643" s="833"/>
      <c r="H1643" s="1527"/>
      <c r="I1643" s="1020"/>
      <c r="J1643" s="1020"/>
      <c r="K1643" s="836"/>
      <c r="L1643" s="837"/>
      <c r="M1643" s="1003"/>
      <c r="N1643" s="837"/>
      <c r="O1643" s="1120"/>
      <c r="P1643" s="856" t="s">
        <v>2232</v>
      </c>
      <c r="Q1643" s="857" t="s">
        <v>115</v>
      </c>
      <c r="R1643" s="854" t="n">
        <v>457500</v>
      </c>
      <c r="S1643" s="866" t="n">
        <f aca="false">R1643/H1640</f>
        <v>5000</v>
      </c>
      <c r="T1643" s="841"/>
      <c r="U1643" s="842"/>
    </row>
    <row r="1644" customFormat="false" ht="15" hidden="false" customHeight="true" outlineLevel="0" collapsed="false">
      <c r="A1644" s="1533"/>
      <c r="B1644" s="829"/>
      <c r="C1644" s="830"/>
      <c r="D1644" s="848" t="s">
        <v>10</v>
      </c>
      <c r="E1644" s="848" t="s">
        <v>2192</v>
      </c>
      <c r="F1644" s="832"/>
      <c r="G1644" s="833"/>
      <c r="H1644" s="1527"/>
      <c r="I1644" s="1020"/>
      <c r="J1644" s="1020"/>
      <c r="K1644" s="836"/>
      <c r="L1644" s="837"/>
      <c r="M1644" s="1003"/>
      <c r="N1644" s="837"/>
      <c r="O1644" s="1120"/>
      <c r="P1644" s="856" t="s">
        <v>2232</v>
      </c>
      <c r="Q1644" s="857" t="s">
        <v>108</v>
      </c>
      <c r="R1644" s="854" t="n">
        <v>585051</v>
      </c>
      <c r="S1644" s="866" t="n">
        <f aca="false">R1644/H1640</f>
        <v>6394</v>
      </c>
      <c r="T1644" s="841"/>
      <c r="U1644" s="842"/>
    </row>
    <row r="1645" customFormat="false" ht="15" hidden="false" customHeight="true" outlineLevel="0" collapsed="false">
      <c r="A1645" s="1533"/>
      <c r="B1645" s="829"/>
      <c r="C1645" s="830"/>
      <c r="D1645" s="848" t="s">
        <v>10</v>
      </c>
      <c r="E1645" s="848" t="s">
        <v>2192</v>
      </c>
      <c r="F1645" s="832"/>
      <c r="G1645" s="833"/>
      <c r="H1645" s="1527"/>
      <c r="I1645" s="1020"/>
      <c r="J1645" s="1020"/>
      <c r="K1645" s="836"/>
      <c r="L1645" s="837"/>
      <c r="M1645" s="1003"/>
      <c r="N1645" s="837"/>
      <c r="O1645" s="1120"/>
      <c r="P1645" s="856" t="s">
        <v>2232</v>
      </c>
      <c r="Q1645" s="857" t="s">
        <v>2396</v>
      </c>
      <c r="R1645" s="854" t="n">
        <v>76219.5</v>
      </c>
      <c r="S1645" s="866" t="n">
        <f aca="false">R1645/H1640</f>
        <v>833</v>
      </c>
      <c r="T1645" s="841"/>
      <c r="U1645" s="842"/>
    </row>
    <row r="1646" customFormat="false" ht="15" hidden="false" customHeight="true" outlineLevel="0" collapsed="false">
      <c r="A1646" s="1533"/>
      <c r="B1646" s="829"/>
      <c r="C1646" s="830"/>
      <c r="D1646" s="848" t="s">
        <v>10</v>
      </c>
      <c r="E1646" s="848" t="s">
        <v>2192</v>
      </c>
      <c r="F1646" s="832"/>
      <c r="G1646" s="833"/>
      <c r="H1646" s="1527"/>
      <c r="I1646" s="1020"/>
      <c r="J1646" s="1020"/>
      <c r="K1646" s="836"/>
      <c r="L1646" s="837"/>
      <c r="M1646" s="1003"/>
      <c r="N1646" s="837"/>
      <c r="O1646" s="1120"/>
      <c r="P1646" s="856" t="s">
        <v>2193</v>
      </c>
      <c r="Q1646" s="857" t="s">
        <v>2965</v>
      </c>
      <c r="R1646" s="854" t="n">
        <v>183000</v>
      </c>
      <c r="S1646" s="866" t="n">
        <f aca="false">R1646/H1640</f>
        <v>2000</v>
      </c>
      <c r="T1646" s="841"/>
      <c r="U1646" s="842"/>
    </row>
    <row r="1647" customFormat="false" ht="15" hidden="false" customHeight="true" outlineLevel="0" collapsed="false">
      <c r="A1647" s="1533"/>
      <c r="B1647" s="829"/>
      <c r="C1647" s="830"/>
      <c r="D1647" s="887" t="s">
        <v>10</v>
      </c>
      <c r="E1647" s="887" t="s">
        <v>2192</v>
      </c>
      <c r="F1647" s="832"/>
      <c r="G1647" s="833"/>
      <c r="H1647" s="1527"/>
      <c r="I1647" s="1020"/>
      <c r="J1647" s="1020"/>
      <c r="K1647" s="836"/>
      <c r="L1647" s="837"/>
      <c r="M1647" s="1003"/>
      <c r="N1647" s="837"/>
      <c r="O1647" s="1120"/>
      <c r="P1647" s="888" t="s">
        <v>2193</v>
      </c>
      <c r="Q1647" s="889" t="s">
        <v>2966</v>
      </c>
      <c r="R1647" s="890" t="n">
        <v>183000</v>
      </c>
      <c r="S1647" s="846" t="n">
        <f aca="false">R1647/H1640</f>
        <v>2000</v>
      </c>
      <c r="T1647" s="841"/>
      <c r="U1647" s="842"/>
    </row>
    <row r="1648" customFormat="false" ht="15" hidden="false" customHeight="true" outlineLevel="0" collapsed="false">
      <c r="A1648" s="1533"/>
      <c r="B1648" s="847" t="s">
        <v>86</v>
      </c>
      <c r="C1648" s="847" t="n">
        <v>2024</v>
      </c>
      <c r="D1648" s="848" t="s">
        <v>10</v>
      </c>
      <c r="E1648" s="848" t="s">
        <v>2203</v>
      </c>
      <c r="F1648" s="1479"/>
      <c r="G1648" s="849"/>
      <c r="H1648" s="1766" t="n">
        <v>30.6</v>
      </c>
      <c r="I1648" s="1397"/>
      <c r="J1648" s="1397"/>
      <c r="K1648" s="852" t="n">
        <f aca="false">H1648*I1648/100</f>
        <v>0</v>
      </c>
      <c r="L1648" s="537" t="n">
        <v>2758</v>
      </c>
      <c r="M1648" s="1007" t="n">
        <v>1</v>
      </c>
      <c r="N1648" s="1143" t="n">
        <f aca="false">L1648*M1648</f>
        <v>2758</v>
      </c>
      <c r="O1648" s="1551" t="n">
        <f aca="false">H1648*N1648</f>
        <v>84394.8</v>
      </c>
      <c r="P1648" s="856" t="s">
        <v>2200</v>
      </c>
      <c r="Q1648" s="857" t="s">
        <v>2946</v>
      </c>
      <c r="R1648" s="854" t="n">
        <v>84394.8</v>
      </c>
      <c r="S1648" s="886" t="n">
        <f aca="false">R1648/H1648</f>
        <v>2758</v>
      </c>
      <c r="T1648" s="1058" t="n">
        <f aca="false">O1648-R1648</f>
        <v>0</v>
      </c>
      <c r="U1648" s="892" t="n">
        <f aca="false">N1648-S1648</f>
        <v>0</v>
      </c>
    </row>
    <row r="1649" customFormat="false" ht="15" hidden="false" customHeight="true" outlineLevel="0" collapsed="false">
      <c r="A1649" s="1533"/>
      <c r="B1649" s="859" t="s">
        <v>86</v>
      </c>
      <c r="C1649" s="859" t="n">
        <v>2024</v>
      </c>
      <c r="D1649" s="860" t="s">
        <v>10</v>
      </c>
      <c r="E1649" s="860" t="s">
        <v>2205</v>
      </c>
      <c r="F1649" s="1480"/>
      <c r="G1649" s="861"/>
      <c r="H1649" s="1756" t="n">
        <v>29.4</v>
      </c>
      <c r="I1649" s="1429"/>
      <c r="J1649" s="1429"/>
      <c r="K1649" s="864" t="n">
        <f aca="false">H1649*I1649/100</f>
        <v>0</v>
      </c>
      <c r="L1649" s="543" t="n">
        <v>743</v>
      </c>
      <c r="M1649" s="983" t="n">
        <v>1</v>
      </c>
      <c r="N1649" s="1299" t="n">
        <f aca="false">L1649*M1649</f>
        <v>743</v>
      </c>
      <c r="O1649" s="1349" t="n">
        <f aca="false">H1649*N1649</f>
        <v>21844.2</v>
      </c>
      <c r="P1649" s="868" t="s">
        <v>2200</v>
      </c>
      <c r="Q1649" s="869" t="s">
        <v>2946</v>
      </c>
      <c r="R1649" s="866" t="n">
        <v>21844.2</v>
      </c>
      <c r="S1649" s="866" t="n">
        <f aca="false">R1649/H1649</f>
        <v>743</v>
      </c>
      <c r="T1649" s="1404" t="n">
        <f aca="false">O1649-R1649</f>
        <v>0</v>
      </c>
      <c r="U1649" s="1135" t="n">
        <f aca="false">N1649-S1649</f>
        <v>0</v>
      </c>
    </row>
    <row r="1650" customFormat="false" ht="15" hidden="false" customHeight="true" outlineLevel="0" collapsed="false">
      <c r="A1650" s="1533"/>
      <c r="B1650" s="870" t="s">
        <v>86</v>
      </c>
      <c r="C1650" s="870" t="n">
        <v>2024</v>
      </c>
      <c r="D1650" s="871" t="s">
        <v>10</v>
      </c>
      <c r="E1650" s="871" t="s">
        <v>2241</v>
      </c>
      <c r="F1650" s="1478"/>
      <c r="G1650" s="872"/>
      <c r="H1650" s="1757" t="n">
        <v>14.5</v>
      </c>
      <c r="I1650" s="1433"/>
      <c r="J1650" s="1433"/>
      <c r="K1650" s="875" t="n">
        <f aca="false">H1650*I1650/100</f>
        <v>0</v>
      </c>
      <c r="L1650" s="553" t="n">
        <v>9967</v>
      </c>
      <c r="M1650" s="1000" t="n">
        <v>1</v>
      </c>
      <c r="N1650" s="1301" t="n">
        <f aca="false">L1650*M1650</f>
        <v>9967</v>
      </c>
      <c r="O1650" s="1349" t="n">
        <f aca="false">H1650*N1650</f>
        <v>144521.5</v>
      </c>
      <c r="P1650" s="879" t="s">
        <v>2200</v>
      </c>
      <c r="Q1650" s="880" t="s">
        <v>2946</v>
      </c>
      <c r="R1650" s="877" t="n">
        <v>144521.5</v>
      </c>
      <c r="S1650" s="891" t="n">
        <f aca="false">R1650/H1650</f>
        <v>9967</v>
      </c>
      <c r="T1650" s="1404" t="n">
        <f aca="false">O1650-R1650</f>
        <v>0</v>
      </c>
      <c r="U1650" s="1293" t="n">
        <f aca="false">N1650-S1650</f>
        <v>0</v>
      </c>
    </row>
    <row r="1651" customFormat="false" ht="15" hidden="false" customHeight="true" outlineLevel="0" collapsed="false">
      <c r="A1651" s="882" t="n">
        <v>32</v>
      </c>
      <c r="B1651" s="883" t="s">
        <v>2230</v>
      </c>
      <c r="C1651" s="883" t="n">
        <v>2024</v>
      </c>
      <c r="D1651" s="831" t="s">
        <v>10</v>
      </c>
      <c r="E1651" s="831" t="s">
        <v>2192</v>
      </c>
      <c r="F1651" s="832" t="s">
        <v>1650</v>
      </c>
      <c r="G1651" s="833"/>
      <c r="H1651" s="1526" t="n">
        <v>92.7677</v>
      </c>
      <c r="I1651" s="1020"/>
      <c r="J1651" s="1020"/>
      <c r="K1651" s="836" t="n">
        <f aca="false">H1651*I1651/100</f>
        <v>0</v>
      </c>
      <c r="L1651" s="837" t="n">
        <v>44250</v>
      </c>
      <c r="M1651" s="1003" t="n">
        <v>1</v>
      </c>
      <c r="N1651" s="837" t="n">
        <f aca="false">L1651*M1651</f>
        <v>44250</v>
      </c>
      <c r="O1651" s="1120" t="n">
        <f aca="false">H1651*N1651</f>
        <v>4104970.725</v>
      </c>
      <c r="P1651" s="838" t="s">
        <v>2197</v>
      </c>
      <c r="Q1651" s="839" t="s">
        <v>2967</v>
      </c>
      <c r="R1651" s="840" t="n">
        <v>1853498.646</v>
      </c>
      <c r="S1651" s="886" t="n">
        <f aca="false">R1651/H1651</f>
        <v>19980</v>
      </c>
      <c r="T1651" s="841" t="n">
        <f aca="false">O1651-R1651-R1652-R1653</f>
        <v>0</v>
      </c>
      <c r="U1651" s="842" t="n">
        <f aca="false">N1651-S1651-S1652-S1653</f>
        <v>0</v>
      </c>
    </row>
    <row r="1652" customFormat="false" ht="15" hidden="false" customHeight="true" outlineLevel="0" collapsed="false">
      <c r="A1652" s="882"/>
      <c r="B1652" s="883"/>
      <c r="C1652" s="883"/>
      <c r="D1652" s="860" t="s">
        <v>10</v>
      </c>
      <c r="E1652" s="860" t="s">
        <v>2192</v>
      </c>
      <c r="F1652" s="832"/>
      <c r="G1652" s="833"/>
      <c r="H1652" s="1526"/>
      <c r="I1652" s="1020"/>
      <c r="J1652" s="1020"/>
      <c r="K1652" s="836"/>
      <c r="L1652" s="837"/>
      <c r="M1652" s="1003"/>
      <c r="N1652" s="837"/>
      <c r="O1652" s="1120"/>
      <c r="P1652" s="868" t="s">
        <v>2197</v>
      </c>
      <c r="Q1652" s="869" t="s">
        <v>2968</v>
      </c>
      <c r="R1652" s="866" t="n">
        <v>1853498.646</v>
      </c>
      <c r="S1652" s="866" t="n">
        <f aca="false">R1652/H1651</f>
        <v>19980</v>
      </c>
      <c r="T1652" s="841"/>
      <c r="U1652" s="842"/>
    </row>
    <row r="1653" customFormat="false" ht="15" hidden="false" customHeight="true" outlineLevel="0" collapsed="false">
      <c r="A1653" s="882"/>
      <c r="B1653" s="883"/>
      <c r="C1653" s="883"/>
      <c r="D1653" s="843" t="s">
        <v>10</v>
      </c>
      <c r="E1653" s="843" t="s">
        <v>2192</v>
      </c>
      <c r="F1653" s="832"/>
      <c r="G1653" s="833"/>
      <c r="H1653" s="1526"/>
      <c r="I1653" s="1020"/>
      <c r="J1653" s="1020"/>
      <c r="K1653" s="836"/>
      <c r="L1653" s="837"/>
      <c r="M1653" s="1003"/>
      <c r="N1653" s="837"/>
      <c r="O1653" s="1120"/>
      <c r="P1653" s="844" t="s">
        <v>2197</v>
      </c>
      <c r="Q1653" s="845" t="s">
        <v>2871</v>
      </c>
      <c r="R1653" s="846" t="n">
        <v>397973.433</v>
      </c>
      <c r="S1653" s="890" t="n">
        <f aca="false">R1653/H1651</f>
        <v>4290</v>
      </c>
      <c r="T1653" s="841"/>
      <c r="U1653" s="842"/>
    </row>
    <row r="1654" customFormat="false" ht="15" hidden="false" customHeight="true" outlineLevel="0" collapsed="false">
      <c r="A1654" s="847" t="n">
        <v>99</v>
      </c>
      <c r="B1654" s="847" t="s">
        <v>81</v>
      </c>
      <c r="C1654" s="847" t="n">
        <v>2024</v>
      </c>
      <c r="D1654" s="848" t="s">
        <v>10</v>
      </c>
      <c r="E1654" s="848" t="s">
        <v>2192</v>
      </c>
      <c r="F1654" s="848" t="s">
        <v>2199</v>
      </c>
      <c r="G1654" s="849"/>
      <c r="H1654" s="1523" t="n">
        <v>65.7</v>
      </c>
      <c r="I1654" s="1397"/>
      <c r="J1654" s="1397"/>
      <c r="K1654" s="852" t="n">
        <f aca="false">H1654*I1654/100</f>
        <v>0</v>
      </c>
      <c r="L1654" s="537" t="n">
        <v>25780</v>
      </c>
      <c r="M1654" s="1007" t="n">
        <v>1</v>
      </c>
      <c r="N1654" s="537" t="n">
        <f aca="false">L1654*M1654</f>
        <v>25780</v>
      </c>
      <c r="O1654" s="1347" t="n">
        <f aca="false">H1654*N1654</f>
        <v>1693746</v>
      </c>
      <c r="P1654" s="856" t="s">
        <v>2200</v>
      </c>
      <c r="Q1654" s="857" t="s">
        <v>2494</v>
      </c>
      <c r="R1654" s="854" t="n">
        <v>1693746</v>
      </c>
      <c r="S1654" s="886" t="n">
        <f aca="false">R1654/H1654</f>
        <v>25780</v>
      </c>
      <c r="T1654" s="858" t="n">
        <f aca="false">O1654-R1654</f>
        <v>0</v>
      </c>
      <c r="U1654" s="537" t="n">
        <f aca="false">N1654-S1654</f>
        <v>0</v>
      </c>
    </row>
    <row r="1655" customFormat="false" ht="15" hidden="false" customHeight="true" outlineLevel="0" collapsed="false">
      <c r="A1655" s="870" t="n">
        <v>101</v>
      </c>
      <c r="B1655" s="870" t="s">
        <v>81</v>
      </c>
      <c r="C1655" s="870" t="n">
        <v>2024</v>
      </c>
      <c r="D1655" s="871" t="s">
        <v>10</v>
      </c>
      <c r="E1655" s="871" t="s">
        <v>2192</v>
      </c>
      <c r="F1655" s="871" t="s">
        <v>2199</v>
      </c>
      <c r="G1655" s="872"/>
      <c r="H1655" s="1525" t="n">
        <v>77.3</v>
      </c>
      <c r="I1655" s="1433"/>
      <c r="J1655" s="1433"/>
      <c r="K1655" s="875" t="n">
        <f aca="false">H1655*I1655/100</f>
        <v>0</v>
      </c>
      <c r="L1655" s="553" t="n">
        <v>40380</v>
      </c>
      <c r="M1655" s="1000" t="n">
        <v>1</v>
      </c>
      <c r="N1655" s="553" t="n">
        <f aca="false">L1655*M1655</f>
        <v>40380</v>
      </c>
      <c r="O1655" s="1496" t="n">
        <f aca="false">H1655*N1655</f>
        <v>3121374</v>
      </c>
      <c r="P1655" s="879" t="s">
        <v>2200</v>
      </c>
      <c r="Q1655" s="880" t="s">
        <v>2969</v>
      </c>
      <c r="R1655" s="877" t="n">
        <v>3121374</v>
      </c>
      <c r="S1655" s="877" t="n">
        <f aca="false">R1655/H1655</f>
        <v>40380</v>
      </c>
      <c r="T1655" s="1404" t="n">
        <f aca="false">O1655-R1655</f>
        <v>0</v>
      </c>
      <c r="U1655" s="553" t="n">
        <f aca="false">N1655-S1655</f>
        <v>0</v>
      </c>
    </row>
    <row r="1656" customFormat="false" ht="15" hidden="false" customHeight="true" outlineLevel="0" collapsed="false">
      <c r="A1656" s="881" t="n">
        <v>72</v>
      </c>
      <c r="B1656" s="882" t="s">
        <v>86</v>
      </c>
      <c r="C1656" s="883" t="n">
        <v>2024</v>
      </c>
      <c r="D1656" s="831" t="s">
        <v>10</v>
      </c>
      <c r="E1656" s="831" t="s">
        <v>2192</v>
      </c>
      <c r="F1656" s="832" t="s">
        <v>1650</v>
      </c>
      <c r="G1656" s="833"/>
      <c r="H1656" s="1527" t="n">
        <v>92.7</v>
      </c>
      <c r="I1656" s="1020"/>
      <c r="J1656" s="1020"/>
      <c r="K1656" s="836" t="n">
        <f aca="false">H1656*I1656/100</f>
        <v>0</v>
      </c>
      <c r="L1656" s="837" t="n">
        <v>32256</v>
      </c>
      <c r="M1656" s="1003" t="n">
        <v>1</v>
      </c>
      <c r="N1656" s="837" t="n">
        <f aca="false">L1656*M1656</f>
        <v>32256</v>
      </c>
      <c r="O1656" s="1120" t="n">
        <f aca="false">H1656*N1656</f>
        <v>2990131.2</v>
      </c>
      <c r="P1656" s="838" t="s">
        <v>2193</v>
      </c>
      <c r="Q1656" s="839" t="s">
        <v>2965</v>
      </c>
      <c r="R1656" s="840" t="n">
        <v>648900</v>
      </c>
      <c r="S1656" s="886" t="n">
        <f aca="false">R1656/H1656</f>
        <v>7000</v>
      </c>
      <c r="T1656" s="841" t="n">
        <f aca="false">O1656-R1656-R1658-R1657</f>
        <v>0</v>
      </c>
      <c r="U1656" s="842" t="n">
        <f aca="false">N1656-S1656-S1658-S1657</f>
        <v>0</v>
      </c>
    </row>
    <row r="1657" customFormat="false" ht="15" hidden="false" customHeight="true" outlineLevel="0" collapsed="false">
      <c r="A1657" s="881"/>
      <c r="B1657" s="882"/>
      <c r="C1657" s="883"/>
      <c r="D1657" s="860" t="s">
        <v>10</v>
      </c>
      <c r="E1657" s="860" t="s">
        <v>2192</v>
      </c>
      <c r="F1657" s="832"/>
      <c r="G1657" s="833"/>
      <c r="H1657" s="1527"/>
      <c r="I1657" s="1020"/>
      <c r="J1657" s="1020"/>
      <c r="K1657" s="836"/>
      <c r="L1657" s="837"/>
      <c r="M1657" s="1003"/>
      <c r="N1657" s="837"/>
      <c r="O1657" s="1120"/>
      <c r="P1657" s="868" t="s">
        <v>2197</v>
      </c>
      <c r="Q1657" s="869" t="s">
        <v>2970</v>
      </c>
      <c r="R1657" s="866" t="n">
        <v>1530106.2</v>
      </c>
      <c r="S1657" s="866" t="n">
        <f aca="false">R1657/H1656</f>
        <v>16506</v>
      </c>
      <c r="T1657" s="841"/>
      <c r="U1657" s="842"/>
    </row>
    <row r="1658" customFormat="false" ht="15" hidden="false" customHeight="true" outlineLevel="0" collapsed="false">
      <c r="A1658" s="881"/>
      <c r="B1658" s="882"/>
      <c r="C1658" s="883"/>
      <c r="D1658" s="887" t="s">
        <v>10</v>
      </c>
      <c r="E1658" s="887" t="s">
        <v>2192</v>
      </c>
      <c r="F1658" s="832"/>
      <c r="G1658" s="833"/>
      <c r="H1658" s="1527"/>
      <c r="I1658" s="1020"/>
      <c r="J1658" s="1020"/>
      <c r="K1658" s="836"/>
      <c r="L1658" s="837"/>
      <c r="M1658" s="1003"/>
      <c r="N1658" s="837"/>
      <c r="O1658" s="1120"/>
      <c r="P1658" s="888" t="s">
        <v>2193</v>
      </c>
      <c r="Q1658" s="889" t="s">
        <v>2966</v>
      </c>
      <c r="R1658" s="890" t="n">
        <v>811125</v>
      </c>
      <c r="S1658" s="890" t="n">
        <f aca="false">R1658/H1656</f>
        <v>8750</v>
      </c>
      <c r="T1658" s="841"/>
      <c r="U1658" s="842"/>
    </row>
    <row r="1659" customFormat="false" ht="15" hidden="false" customHeight="true" outlineLevel="0" collapsed="false">
      <c r="A1659" s="881"/>
      <c r="B1659" s="847" t="s">
        <v>86</v>
      </c>
      <c r="C1659" s="847" t="n">
        <v>2024</v>
      </c>
      <c r="D1659" s="848" t="s">
        <v>10</v>
      </c>
      <c r="E1659" s="848" t="s">
        <v>2203</v>
      </c>
      <c r="F1659" s="848"/>
      <c r="G1659" s="849"/>
      <c r="H1659" s="1523" t="n">
        <v>22.2</v>
      </c>
      <c r="I1659" s="1397"/>
      <c r="J1659" s="1397"/>
      <c r="K1659" s="852" t="n">
        <f aca="false">H1659*I1659/100</f>
        <v>0</v>
      </c>
      <c r="L1659" s="537" t="n">
        <v>2063</v>
      </c>
      <c r="M1659" s="1007" t="n">
        <v>1</v>
      </c>
      <c r="N1659" s="537" t="n">
        <f aca="false">L1659*M1659</f>
        <v>2063</v>
      </c>
      <c r="O1659" s="1347" t="n">
        <f aca="false">H1659*N1659</f>
        <v>45798.6</v>
      </c>
      <c r="P1659" s="856" t="s">
        <v>2200</v>
      </c>
      <c r="Q1659" s="857" t="s">
        <v>2946</v>
      </c>
      <c r="R1659" s="854" t="n">
        <v>45798.6</v>
      </c>
      <c r="S1659" s="877" t="n">
        <f aca="false">R1659/H1659</f>
        <v>2063</v>
      </c>
      <c r="T1659" s="858" t="n">
        <f aca="false">O1659-R1659</f>
        <v>0</v>
      </c>
      <c r="U1659" s="892" t="n">
        <f aca="false">N1659-S1659</f>
        <v>0</v>
      </c>
    </row>
    <row r="1660" customFormat="false" ht="15" hidden="false" customHeight="true" outlineLevel="0" collapsed="false">
      <c r="A1660" s="881"/>
      <c r="B1660" s="859" t="s">
        <v>86</v>
      </c>
      <c r="C1660" s="859" t="n">
        <v>2024</v>
      </c>
      <c r="D1660" s="860" t="s">
        <v>10</v>
      </c>
      <c r="E1660" s="860" t="s">
        <v>2241</v>
      </c>
      <c r="F1660" s="860"/>
      <c r="G1660" s="861"/>
      <c r="H1660" s="1760" t="n">
        <v>53.3</v>
      </c>
      <c r="I1660" s="1429"/>
      <c r="J1660" s="1429"/>
      <c r="K1660" s="864" t="n">
        <f aca="false">H1660*I1660/100</f>
        <v>0</v>
      </c>
      <c r="L1660" s="543" t="n">
        <v>1809</v>
      </c>
      <c r="M1660" s="983" t="n">
        <v>1</v>
      </c>
      <c r="N1660" s="543" t="n">
        <f aca="false">L1660*M1660</f>
        <v>1809</v>
      </c>
      <c r="O1660" s="1556" t="n">
        <f aca="false">H1660*N1660</f>
        <v>96419.7</v>
      </c>
      <c r="P1660" s="868" t="s">
        <v>2200</v>
      </c>
      <c r="Q1660" s="869" t="s">
        <v>2946</v>
      </c>
      <c r="R1660" s="866" t="n">
        <v>96419.7</v>
      </c>
      <c r="S1660" s="866" t="n">
        <f aca="false">R1660/H1660</f>
        <v>1809</v>
      </c>
      <c r="T1660" s="985" t="n">
        <f aca="false">O1660-R1660</f>
        <v>0</v>
      </c>
      <c r="U1660" s="1135" t="n">
        <f aca="false">N1660-S1660</f>
        <v>0</v>
      </c>
    </row>
    <row r="1661" customFormat="false" ht="15" hidden="false" customHeight="true" outlineLevel="0" collapsed="false">
      <c r="A1661" s="881"/>
      <c r="B1661" s="893" t="s">
        <v>86</v>
      </c>
      <c r="C1661" s="893" t="n">
        <v>2024</v>
      </c>
      <c r="D1661" s="843" t="s">
        <v>10</v>
      </c>
      <c r="E1661" s="843" t="s">
        <v>2205</v>
      </c>
      <c r="F1661" s="843"/>
      <c r="G1661" s="894"/>
      <c r="H1661" s="1769" t="n">
        <v>3.9</v>
      </c>
      <c r="I1661" s="1532"/>
      <c r="J1661" s="1532"/>
      <c r="K1661" s="897" t="n">
        <f aca="false">H1661*I1661/100</f>
        <v>0</v>
      </c>
      <c r="L1661" s="589" t="n">
        <v>7682</v>
      </c>
      <c r="M1661" s="1106" t="n">
        <v>1</v>
      </c>
      <c r="N1661" s="589" t="n">
        <f aca="false">L1661*M1661</f>
        <v>7682</v>
      </c>
      <c r="O1661" s="1184" t="n">
        <f aca="false">H1661*N1661</f>
        <v>29959.8</v>
      </c>
      <c r="P1661" s="844" t="s">
        <v>2204</v>
      </c>
      <c r="Q1661" s="845" t="n">
        <v>22112024</v>
      </c>
      <c r="R1661" s="846" t="n">
        <v>29959.8</v>
      </c>
      <c r="S1661" s="890" t="n">
        <f aca="false">R1661/H1661</f>
        <v>7682</v>
      </c>
      <c r="T1661" s="1441" t="n">
        <f aca="false">O1661-R1661</f>
        <v>0</v>
      </c>
      <c r="U1661" s="902" t="n">
        <f aca="false">N1661-S1661</f>
        <v>0</v>
      </c>
    </row>
    <row r="1662" customFormat="false" ht="15" hidden="false" customHeight="true" outlineLevel="0" collapsed="false">
      <c r="A1662" s="1087" t="n">
        <v>109</v>
      </c>
      <c r="B1662" s="1072" t="s">
        <v>2207</v>
      </c>
      <c r="C1662" s="1072" t="n">
        <v>2024</v>
      </c>
      <c r="D1662" s="848" t="s">
        <v>10</v>
      </c>
      <c r="E1662" s="848" t="s">
        <v>2192</v>
      </c>
      <c r="F1662" s="887" t="s">
        <v>1651</v>
      </c>
      <c r="G1662" s="1062"/>
      <c r="H1662" s="1522" t="n">
        <v>26.5697</v>
      </c>
      <c r="I1662" s="1078"/>
      <c r="J1662" s="1078"/>
      <c r="K1662" s="1064" t="n">
        <f aca="false">H1662*I1662/100</f>
        <v>0</v>
      </c>
      <c r="L1662" s="1067" t="n">
        <v>31310</v>
      </c>
      <c r="M1662" s="1066" t="n">
        <v>1</v>
      </c>
      <c r="N1662" s="1067" t="n">
        <f aca="false">L1662*M1662</f>
        <v>31310</v>
      </c>
      <c r="O1662" s="1452" t="n">
        <f aca="false">H1662*N1662</f>
        <v>831897.307</v>
      </c>
      <c r="P1662" s="856" t="s">
        <v>2197</v>
      </c>
      <c r="Q1662" s="857" t="s">
        <v>2971</v>
      </c>
      <c r="R1662" s="854" t="n">
        <v>185722.203</v>
      </c>
      <c r="S1662" s="854" t="n">
        <f aca="false">R1662/H1662</f>
        <v>6990</v>
      </c>
      <c r="T1662" s="1067" t="n">
        <f aca="false">O1662-R1662-R1663-R1664</f>
        <v>-0.00049999998009298</v>
      </c>
      <c r="U1662" s="1070" t="n">
        <f aca="false">N1662-S1663-S1664-S1662</f>
        <v>-1.88184285434545E-005</v>
      </c>
    </row>
    <row r="1663" customFormat="false" ht="15" hidden="false" customHeight="true" outlineLevel="0" collapsed="false">
      <c r="A1663" s="1087"/>
      <c r="B1663" s="1072"/>
      <c r="C1663" s="1072"/>
      <c r="D1663" s="860" t="s">
        <v>10</v>
      </c>
      <c r="E1663" s="860" t="s">
        <v>2192</v>
      </c>
      <c r="F1663" s="887"/>
      <c r="G1663" s="1062"/>
      <c r="H1663" s="1522"/>
      <c r="I1663" s="1078"/>
      <c r="J1663" s="1078"/>
      <c r="K1663" s="1064"/>
      <c r="L1663" s="1067"/>
      <c r="M1663" s="1066"/>
      <c r="N1663" s="1067"/>
      <c r="O1663" s="1452"/>
      <c r="P1663" s="868" t="s">
        <v>2197</v>
      </c>
      <c r="Q1663" s="869" t="s">
        <v>2972</v>
      </c>
      <c r="R1663" s="866" t="n">
        <v>531261.1515</v>
      </c>
      <c r="S1663" s="866" t="n">
        <f aca="false">R1663/H1662</f>
        <v>19995</v>
      </c>
      <c r="T1663" s="1067"/>
      <c r="U1663" s="1070"/>
    </row>
    <row r="1664" customFormat="false" ht="15" hidden="false" customHeight="true" outlineLevel="0" collapsed="false">
      <c r="A1664" s="1087"/>
      <c r="B1664" s="1072"/>
      <c r="C1664" s="1072"/>
      <c r="D1664" s="843" t="s">
        <v>10</v>
      </c>
      <c r="E1664" s="843" t="s">
        <v>2192</v>
      </c>
      <c r="F1664" s="887"/>
      <c r="G1664" s="1062"/>
      <c r="H1664" s="1522"/>
      <c r="I1664" s="1078"/>
      <c r="J1664" s="1078"/>
      <c r="K1664" s="1064"/>
      <c r="L1664" s="1067"/>
      <c r="M1664" s="1066"/>
      <c r="N1664" s="1067"/>
      <c r="O1664" s="1452"/>
      <c r="P1664" s="844" t="s">
        <v>2197</v>
      </c>
      <c r="Q1664" s="845" t="s">
        <v>2973</v>
      </c>
      <c r="R1664" s="846" t="n">
        <v>114913.953</v>
      </c>
      <c r="S1664" s="846" t="n">
        <f aca="false">R1664/H1662</f>
        <v>4325.00001881843</v>
      </c>
      <c r="T1664" s="1067"/>
      <c r="U1664" s="1070"/>
    </row>
    <row r="1665" customFormat="false" ht="15" hidden="false" customHeight="true" outlineLevel="0" collapsed="false">
      <c r="A1665" s="829" t="n">
        <v>110</v>
      </c>
      <c r="B1665" s="830" t="s">
        <v>2207</v>
      </c>
      <c r="C1665" s="830" t="n">
        <v>2024</v>
      </c>
      <c r="D1665" s="1328" t="s">
        <v>10</v>
      </c>
      <c r="E1665" s="1328" t="s">
        <v>2192</v>
      </c>
      <c r="F1665" s="832" t="s">
        <v>1652</v>
      </c>
      <c r="G1665" s="833"/>
      <c r="H1665" s="1526" t="n">
        <v>39.1356</v>
      </c>
      <c r="I1665" s="1020"/>
      <c r="J1665" s="1020"/>
      <c r="K1665" s="836" t="n">
        <f aca="false">H1665*I1665/100</f>
        <v>0</v>
      </c>
      <c r="L1665" s="837" t="n">
        <v>25402</v>
      </c>
      <c r="M1665" s="1003" t="n">
        <v>1</v>
      </c>
      <c r="N1665" s="837" t="n">
        <f aca="false">L1665*M1665</f>
        <v>25402</v>
      </c>
      <c r="O1665" s="943" t="n">
        <f aca="false">H1665*N1665</f>
        <v>994122.5112</v>
      </c>
      <c r="P1665" s="884" t="s">
        <v>2197</v>
      </c>
      <c r="Q1665" s="885" t="s">
        <v>2974</v>
      </c>
      <c r="R1665" s="886" t="n">
        <v>782516.322</v>
      </c>
      <c r="S1665" s="840" t="n">
        <f aca="false">R1665/H1665</f>
        <v>19995</v>
      </c>
      <c r="T1665" s="943" t="n">
        <f aca="false">O1665-R1665-R1666</f>
        <v>0</v>
      </c>
      <c r="U1665" s="842" t="n">
        <f aca="false">N1665-S1665-S1666</f>
        <v>0</v>
      </c>
    </row>
    <row r="1666" customFormat="false" ht="15" hidden="false" customHeight="true" outlineLevel="0" collapsed="false">
      <c r="A1666" s="829"/>
      <c r="B1666" s="830"/>
      <c r="C1666" s="830"/>
      <c r="D1666" s="843" t="s">
        <v>10</v>
      </c>
      <c r="E1666" s="843" t="s">
        <v>2192</v>
      </c>
      <c r="F1666" s="832"/>
      <c r="G1666" s="833"/>
      <c r="H1666" s="1526"/>
      <c r="I1666" s="1020"/>
      <c r="J1666" s="1020"/>
      <c r="K1666" s="836"/>
      <c r="L1666" s="837"/>
      <c r="M1666" s="1003"/>
      <c r="N1666" s="837"/>
      <c r="O1666" s="943"/>
      <c r="P1666" s="844" t="s">
        <v>2197</v>
      </c>
      <c r="Q1666" s="845" t="s">
        <v>2975</v>
      </c>
      <c r="R1666" s="846" t="n">
        <v>211606.1892</v>
      </c>
      <c r="S1666" s="846" t="n">
        <f aca="false">R1666/H1665</f>
        <v>5407</v>
      </c>
      <c r="T1666" s="943"/>
      <c r="U1666" s="842"/>
    </row>
    <row r="1667" customFormat="false" ht="15" hidden="false" customHeight="true" outlineLevel="0" collapsed="false">
      <c r="A1667" s="1027" t="n">
        <v>36</v>
      </c>
      <c r="B1667" s="1028" t="s">
        <v>2230</v>
      </c>
      <c r="C1667" s="1028" t="n">
        <v>2024</v>
      </c>
      <c r="D1667" s="831" t="s">
        <v>10</v>
      </c>
      <c r="E1667" s="831" t="s">
        <v>2192</v>
      </c>
      <c r="F1667" s="1328" t="s">
        <v>1650</v>
      </c>
      <c r="G1667" s="1030"/>
      <c r="H1667" s="1528" t="n">
        <v>96.3917</v>
      </c>
      <c r="I1667" s="1517"/>
      <c r="J1667" s="1517"/>
      <c r="K1667" s="1033" t="n">
        <f aca="false">H1667*I1667/100</f>
        <v>0</v>
      </c>
      <c r="L1667" s="1036" t="n">
        <v>30400</v>
      </c>
      <c r="M1667" s="1035" t="n">
        <v>1</v>
      </c>
      <c r="N1667" s="1036" t="n">
        <f aca="false">L1667*M1667</f>
        <v>30400</v>
      </c>
      <c r="O1667" s="1547" t="n">
        <f aca="false">H1667*N1667</f>
        <v>2930307.68</v>
      </c>
      <c r="P1667" s="838" t="s">
        <v>2197</v>
      </c>
      <c r="Q1667" s="839" t="s">
        <v>2976</v>
      </c>
      <c r="R1667" s="840" t="n">
        <v>1927834</v>
      </c>
      <c r="S1667" s="840" t="n">
        <f aca="false">R1667/H1667</f>
        <v>20000</v>
      </c>
      <c r="T1667" s="1534" t="n">
        <f aca="false">O1667-R1667-R1668</f>
        <v>0</v>
      </c>
      <c r="U1667" s="1037" t="n">
        <f aca="false">N1667-S1667-S1668</f>
        <v>0</v>
      </c>
    </row>
    <row r="1668" customFormat="false" ht="15" hidden="false" customHeight="true" outlineLevel="0" collapsed="false">
      <c r="A1668" s="1027"/>
      <c r="B1668" s="1028"/>
      <c r="C1668" s="1028"/>
      <c r="D1668" s="871" t="s">
        <v>10</v>
      </c>
      <c r="E1668" s="871" t="s">
        <v>2192</v>
      </c>
      <c r="F1668" s="1328"/>
      <c r="G1668" s="1030"/>
      <c r="H1668" s="1528"/>
      <c r="I1668" s="1517"/>
      <c r="J1668" s="1517"/>
      <c r="K1668" s="1033"/>
      <c r="L1668" s="1036"/>
      <c r="M1668" s="1035"/>
      <c r="N1668" s="1036"/>
      <c r="O1668" s="1547"/>
      <c r="P1668" s="879" t="s">
        <v>2197</v>
      </c>
      <c r="Q1668" s="880" t="s">
        <v>2977</v>
      </c>
      <c r="R1668" s="877" t="n">
        <v>1002473.68</v>
      </c>
      <c r="S1668" s="877" t="n">
        <f aca="false">R1668/H1667</f>
        <v>10400</v>
      </c>
      <c r="T1668" s="1534"/>
      <c r="U1668" s="1037"/>
    </row>
    <row r="1669" customFormat="false" ht="15" hidden="false" customHeight="true" outlineLevel="0" collapsed="false">
      <c r="A1669" s="881" t="n">
        <v>74</v>
      </c>
      <c r="B1669" s="882" t="s">
        <v>86</v>
      </c>
      <c r="C1669" s="883" t="n">
        <v>2024</v>
      </c>
      <c r="D1669" s="831" t="s">
        <v>10</v>
      </c>
      <c r="E1669" s="831" t="s">
        <v>2192</v>
      </c>
      <c r="F1669" s="832" t="s">
        <v>1650</v>
      </c>
      <c r="G1669" s="833"/>
      <c r="H1669" s="1526" t="n">
        <v>94.4</v>
      </c>
      <c r="I1669" s="1020"/>
      <c r="J1669" s="1020"/>
      <c r="K1669" s="836" t="n">
        <f aca="false">H1669*I1669/100</f>
        <v>0</v>
      </c>
      <c r="L1669" s="837" t="n">
        <v>31319</v>
      </c>
      <c r="M1669" s="1003" t="n">
        <v>1</v>
      </c>
      <c r="N1669" s="837" t="n">
        <f aca="false">L1669*M1669</f>
        <v>31319</v>
      </c>
      <c r="O1669" s="837" t="n">
        <f aca="false">H1669*N1669</f>
        <v>2956513.6</v>
      </c>
      <c r="P1669" s="838" t="s">
        <v>2197</v>
      </c>
      <c r="Q1669" s="839" t="s">
        <v>2970</v>
      </c>
      <c r="R1669" s="840" t="n">
        <v>329833.6</v>
      </c>
      <c r="S1669" s="886" t="n">
        <f aca="false">R1669/H1669</f>
        <v>3494</v>
      </c>
      <c r="T1669" s="841" t="n">
        <f aca="false">O1669-R1669-R1671-R1670</f>
        <v>0</v>
      </c>
      <c r="U1669" s="842" t="n">
        <f aca="false">N1669-S1669-S1671-S1670</f>
        <v>0</v>
      </c>
    </row>
    <row r="1670" customFormat="false" ht="15" hidden="false" customHeight="true" outlineLevel="0" collapsed="false">
      <c r="A1670" s="881"/>
      <c r="B1670" s="882"/>
      <c r="C1670" s="883"/>
      <c r="D1670" s="848" t="s">
        <v>10</v>
      </c>
      <c r="E1670" s="848" t="s">
        <v>2192</v>
      </c>
      <c r="F1670" s="832"/>
      <c r="G1670" s="833"/>
      <c r="H1670" s="1526"/>
      <c r="I1670" s="1020"/>
      <c r="J1670" s="1020"/>
      <c r="K1670" s="836"/>
      <c r="L1670" s="837"/>
      <c r="M1670" s="1003"/>
      <c r="N1670" s="837"/>
      <c r="O1670" s="837"/>
      <c r="P1670" s="856" t="s">
        <v>2197</v>
      </c>
      <c r="Q1670" s="857" t="s">
        <v>2978</v>
      </c>
      <c r="R1670" s="854" t="n">
        <v>738680</v>
      </c>
      <c r="S1670" s="866" t="n">
        <f aca="false">R1670/H1669</f>
        <v>7825</v>
      </c>
      <c r="T1670" s="841"/>
      <c r="U1670" s="842"/>
    </row>
    <row r="1671" customFormat="false" ht="15" hidden="false" customHeight="true" outlineLevel="0" collapsed="false">
      <c r="A1671" s="881"/>
      <c r="B1671" s="882"/>
      <c r="C1671" s="883"/>
      <c r="D1671" s="887" t="s">
        <v>10</v>
      </c>
      <c r="E1671" s="887" t="s">
        <v>2192</v>
      </c>
      <c r="F1671" s="832"/>
      <c r="G1671" s="833"/>
      <c r="H1671" s="1526"/>
      <c r="I1671" s="1020"/>
      <c r="J1671" s="1020"/>
      <c r="K1671" s="836"/>
      <c r="L1671" s="837"/>
      <c r="M1671" s="1003"/>
      <c r="N1671" s="837"/>
      <c r="O1671" s="837"/>
      <c r="P1671" s="888" t="s">
        <v>2197</v>
      </c>
      <c r="Q1671" s="889" t="s">
        <v>2979</v>
      </c>
      <c r="R1671" s="890" t="n">
        <v>1888000</v>
      </c>
      <c r="S1671" s="846" t="n">
        <f aca="false">R1671/H1669</f>
        <v>20000</v>
      </c>
      <c r="T1671" s="841"/>
      <c r="U1671" s="842"/>
    </row>
    <row r="1672" customFormat="false" ht="15" hidden="false" customHeight="true" outlineLevel="0" collapsed="false">
      <c r="A1672" s="881"/>
      <c r="B1672" s="847" t="s">
        <v>86</v>
      </c>
      <c r="C1672" s="847" t="n">
        <v>2024</v>
      </c>
      <c r="D1672" s="848" t="s">
        <v>10</v>
      </c>
      <c r="E1672" s="848" t="s">
        <v>2203</v>
      </c>
      <c r="F1672" s="848"/>
      <c r="G1672" s="849"/>
      <c r="H1672" s="1523" t="n">
        <v>22.3</v>
      </c>
      <c r="I1672" s="1397"/>
      <c r="J1672" s="1397"/>
      <c r="K1672" s="852" t="n">
        <f aca="false">H1672*I1672/100</f>
        <v>0</v>
      </c>
      <c r="L1672" s="537" t="n">
        <v>2549</v>
      </c>
      <c r="M1672" s="1007" t="n">
        <v>1</v>
      </c>
      <c r="N1672" s="1143" t="n">
        <f aca="false">L1672*M1672</f>
        <v>2549</v>
      </c>
      <c r="O1672" s="1143" t="n">
        <f aca="false">H1672*N1672</f>
        <v>56842.7</v>
      </c>
      <c r="P1672" s="856" t="s">
        <v>2200</v>
      </c>
      <c r="Q1672" s="857" t="s">
        <v>2946</v>
      </c>
      <c r="R1672" s="854" t="n">
        <v>56842.7</v>
      </c>
      <c r="S1672" s="891" t="n">
        <f aca="false">R1672/H1672</f>
        <v>2549</v>
      </c>
      <c r="T1672" s="858" t="n">
        <f aca="false">O1672-R1672</f>
        <v>0</v>
      </c>
      <c r="U1672" s="892" t="n">
        <f aca="false">N1672-S1672</f>
        <v>0</v>
      </c>
    </row>
    <row r="1673" customFormat="false" ht="15" hidden="false" customHeight="true" outlineLevel="0" collapsed="false">
      <c r="A1673" s="881"/>
      <c r="B1673" s="859" t="s">
        <v>86</v>
      </c>
      <c r="C1673" s="859" t="n">
        <v>2024</v>
      </c>
      <c r="D1673" s="860" t="s">
        <v>10</v>
      </c>
      <c r="E1673" s="860" t="s">
        <v>2205</v>
      </c>
      <c r="F1673" s="860"/>
      <c r="G1673" s="861"/>
      <c r="H1673" s="1760" t="n">
        <v>32.1</v>
      </c>
      <c r="I1673" s="1429"/>
      <c r="J1673" s="1429"/>
      <c r="K1673" s="864" t="n">
        <f aca="false">H1673*I1673/100</f>
        <v>0</v>
      </c>
      <c r="L1673" s="543" t="n">
        <v>3078</v>
      </c>
      <c r="M1673" s="983" t="n">
        <v>1</v>
      </c>
      <c r="N1673" s="1299" t="n">
        <f aca="false">L1673*M1673</f>
        <v>3078</v>
      </c>
      <c r="O1673" s="1299" t="n">
        <f aca="false">H1673*N1673</f>
        <v>98803.8</v>
      </c>
      <c r="P1673" s="868" t="s">
        <v>2200</v>
      </c>
      <c r="Q1673" s="869" t="s">
        <v>2946</v>
      </c>
      <c r="R1673" s="866" t="n">
        <v>98803.8</v>
      </c>
      <c r="S1673" s="866" t="n">
        <f aca="false">R1673/H1673</f>
        <v>3078</v>
      </c>
      <c r="T1673" s="985" t="n">
        <f aca="false">O1673-R1673</f>
        <v>0</v>
      </c>
      <c r="U1673" s="1135" t="n">
        <f aca="false">N1673-S1673</f>
        <v>0</v>
      </c>
    </row>
    <row r="1674" customFormat="false" ht="15" hidden="false" customHeight="true" outlineLevel="0" collapsed="false">
      <c r="A1674" s="881"/>
      <c r="B1674" s="893" t="s">
        <v>86</v>
      </c>
      <c r="C1674" s="893" t="n">
        <v>2024</v>
      </c>
      <c r="D1674" s="843" t="s">
        <v>10</v>
      </c>
      <c r="E1674" s="843" t="s">
        <v>2241</v>
      </c>
      <c r="F1674" s="843"/>
      <c r="G1674" s="894"/>
      <c r="H1674" s="1769" t="n">
        <v>23.4</v>
      </c>
      <c r="I1674" s="1532"/>
      <c r="J1674" s="1532"/>
      <c r="K1674" s="897" t="n">
        <f aca="false">H1674*I1674/100</f>
        <v>0</v>
      </c>
      <c r="L1674" s="589" t="n">
        <v>4917</v>
      </c>
      <c r="M1674" s="1106" t="n">
        <v>1</v>
      </c>
      <c r="N1674" s="1393" t="n">
        <f aca="false">L1674*M1674</f>
        <v>4917</v>
      </c>
      <c r="O1674" s="1393" t="n">
        <f aca="false">H1674*N1674</f>
        <v>115057.8</v>
      </c>
      <c r="P1674" s="844" t="s">
        <v>2200</v>
      </c>
      <c r="Q1674" s="845" t="s">
        <v>2946</v>
      </c>
      <c r="R1674" s="846" t="n">
        <v>115057.8</v>
      </c>
      <c r="S1674" s="846" t="n">
        <f aca="false">R1674/H1674</f>
        <v>4917</v>
      </c>
      <c r="T1674" s="1441" t="n">
        <f aca="false">O1674-R1674</f>
        <v>0</v>
      </c>
      <c r="U1674" s="902" t="n">
        <f aca="false">N1674-S1674</f>
        <v>0</v>
      </c>
    </row>
    <row r="1675" customFormat="false" ht="15" hidden="false" customHeight="true" outlineLevel="0" collapsed="false">
      <c r="A1675" s="903" t="n">
        <v>107</v>
      </c>
      <c r="B1675" s="903" t="s">
        <v>81</v>
      </c>
      <c r="C1675" s="903" t="n">
        <v>2024</v>
      </c>
      <c r="D1675" s="904" t="s">
        <v>10</v>
      </c>
      <c r="E1675" s="904" t="s">
        <v>2192</v>
      </c>
      <c r="F1675" s="904" t="s">
        <v>2199</v>
      </c>
      <c r="G1675" s="905"/>
      <c r="H1675" s="1524" t="n">
        <v>68.2</v>
      </c>
      <c r="I1675" s="1055"/>
      <c r="J1675" s="1055"/>
      <c r="K1675" s="939" t="n">
        <f aca="false">H1675*I1675/100</f>
        <v>0</v>
      </c>
      <c r="L1675" s="942" t="n">
        <v>10820</v>
      </c>
      <c r="M1675" s="1023" t="n">
        <v>1</v>
      </c>
      <c r="N1675" s="1137" t="n">
        <f aca="false">L1675*M1675</f>
        <v>10820</v>
      </c>
      <c r="O1675" s="1443" t="n">
        <f aca="false">H1675*N1675</f>
        <v>737924</v>
      </c>
      <c r="P1675" s="910" t="s">
        <v>2200</v>
      </c>
      <c r="Q1675" s="911" t="s">
        <v>2935</v>
      </c>
      <c r="R1675" s="891" t="n">
        <v>737924</v>
      </c>
      <c r="S1675" s="891" t="n">
        <f aca="false">R1675/H1675</f>
        <v>10820</v>
      </c>
      <c r="T1675" s="1058" t="n">
        <f aca="false">O1675-R1675</f>
        <v>0</v>
      </c>
      <c r="U1675" s="1026" t="n">
        <f aca="false">N1675-S1675</f>
        <v>0</v>
      </c>
    </row>
    <row r="1676" customFormat="false" ht="15" hidden="false" customHeight="true" outlineLevel="0" collapsed="false">
      <c r="A1676" s="881" t="n">
        <v>76</v>
      </c>
      <c r="B1676" s="829" t="s">
        <v>86</v>
      </c>
      <c r="C1676" s="830" t="n">
        <v>2024</v>
      </c>
      <c r="D1676" s="831" t="s">
        <v>10</v>
      </c>
      <c r="E1676" s="831" t="s">
        <v>2192</v>
      </c>
      <c r="F1676" s="832" t="s">
        <v>1650</v>
      </c>
      <c r="G1676" s="833"/>
      <c r="H1676" s="1526" t="n">
        <v>93</v>
      </c>
      <c r="I1676" s="1020"/>
      <c r="J1676" s="1020"/>
      <c r="K1676" s="1020" t="n">
        <f aca="false">H1676*I1676/100</f>
        <v>0</v>
      </c>
      <c r="L1676" s="837" t="n">
        <v>18187</v>
      </c>
      <c r="M1676" s="1003" t="n">
        <v>1</v>
      </c>
      <c r="N1676" s="837" t="n">
        <f aca="false">L1676*M1676</f>
        <v>18187</v>
      </c>
      <c r="O1676" s="837" t="n">
        <f aca="false">H1676*N1676</f>
        <v>1691391</v>
      </c>
      <c r="P1676" s="838" t="s">
        <v>2197</v>
      </c>
      <c r="Q1676" s="839" t="s">
        <v>2980</v>
      </c>
      <c r="R1676" s="840" t="n">
        <v>66960</v>
      </c>
      <c r="S1676" s="886" t="n">
        <f aca="false">R1676/H1676</f>
        <v>720</v>
      </c>
      <c r="T1676" s="1017" t="n">
        <f aca="false">O1676-R1676-R1679-R1680-R1677-R1678</f>
        <v>0</v>
      </c>
      <c r="U1676" s="842" t="n">
        <f aca="false">N1676-S1676-S1679-S1680-S1677-S1678</f>
        <v>0</v>
      </c>
    </row>
    <row r="1677" customFormat="false" ht="15" hidden="false" customHeight="true" outlineLevel="0" collapsed="false">
      <c r="A1677" s="881"/>
      <c r="B1677" s="829"/>
      <c r="C1677" s="830"/>
      <c r="D1677" s="848" t="s">
        <v>10</v>
      </c>
      <c r="E1677" s="848" t="s">
        <v>2192</v>
      </c>
      <c r="F1677" s="832"/>
      <c r="G1677" s="833"/>
      <c r="H1677" s="1526"/>
      <c r="I1677" s="1020"/>
      <c r="J1677" s="1020"/>
      <c r="K1677" s="1020"/>
      <c r="L1677" s="837"/>
      <c r="M1677" s="1003"/>
      <c r="N1677" s="837"/>
      <c r="O1677" s="837"/>
      <c r="P1677" s="856" t="s">
        <v>2197</v>
      </c>
      <c r="Q1677" s="857" t="s">
        <v>2978</v>
      </c>
      <c r="R1677" s="854" t="n">
        <v>165075</v>
      </c>
      <c r="S1677" s="866" t="n">
        <f aca="false">R1677/H1676</f>
        <v>1775</v>
      </c>
      <c r="T1677" s="1017"/>
      <c r="U1677" s="842"/>
    </row>
    <row r="1678" customFormat="false" ht="15" hidden="false" customHeight="true" outlineLevel="0" collapsed="false">
      <c r="A1678" s="881"/>
      <c r="B1678" s="829"/>
      <c r="C1678" s="830"/>
      <c r="D1678" s="848" t="s">
        <v>10</v>
      </c>
      <c r="E1678" s="848" t="s">
        <v>2192</v>
      </c>
      <c r="F1678" s="832"/>
      <c r="G1678" s="833"/>
      <c r="H1678" s="1526"/>
      <c r="I1678" s="1020"/>
      <c r="J1678" s="1020"/>
      <c r="K1678" s="1020"/>
      <c r="L1678" s="837"/>
      <c r="M1678" s="1003"/>
      <c r="N1678" s="837"/>
      <c r="O1678" s="837"/>
      <c r="P1678" s="856" t="s">
        <v>2193</v>
      </c>
      <c r="Q1678" s="857" t="s">
        <v>2981</v>
      </c>
      <c r="R1678" s="854" t="n">
        <v>465558</v>
      </c>
      <c r="S1678" s="866" t="n">
        <f aca="false">R1678/H1676</f>
        <v>5006</v>
      </c>
      <c r="T1678" s="1017"/>
      <c r="U1678" s="842"/>
    </row>
    <row r="1679" customFormat="false" ht="15" hidden="false" customHeight="true" outlineLevel="0" collapsed="false">
      <c r="A1679" s="881"/>
      <c r="B1679" s="829"/>
      <c r="C1679" s="830"/>
      <c r="D1679" s="848" t="s">
        <v>10</v>
      </c>
      <c r="E1679" s="848" t="s">
        <v>2192</v>
      </c>
      <c r="F1679" s="832"/>
      <c r="G1679" s="833"/>
      <c r="H1679" s="1526"/>
      <c r="I1679" s="1020"/>
      <c r="J1679" s="1020"/>
      <c r="K1679" s="1020"/>
      <c r="L1679" s="837"/>
      <c r="M1679" s="1003"/>
      <c r="N1679" s="837"/>
      <c r="O1679" s="837"/>
      <c r="P1679" s="856" t="s">
        <v>2193</v>
      </c>
      <c r="Q1679" s="857" t="s">
        <v>121</v>
      </c>
      <c r="R1679" s="854" t="n">
        <v>134850</v>
      </c>
      <c r="S1679" s="866" t="n">
        <f aca="false">R1679/H1676</f>
        <v>1450</v>
      </c>
      <c r="T1679" s="1017"/>
      <c r="U1679" s="842"/>
    </row>
    <row r="1680" customFormat="false" ht="15" hidden="false" customHeight="true" outlineLevel="0" collapsed="false">
      <c r="A1680" s="881"/>
      <c r="B1680" s="829"/>
      <c r="C1680" s="830"/>
      <c r="D1680" s="887" t="s">
        <v>10</v>
      </c>
      <c r="E1680" s="887" t="s">
        <v>2192</v>
      </c>
      <c r="F1680" s="832"/>
      <c r="G1680" s="833"/>
      <c r="H1680" s="1526"/>
      <c r="I1680" s="1020"/>
      <c r="J1680" s="1020"/>
      <c r="K1680" s="1020"/>
      <c r="L1680" s="837"/>
      <c r="M1680" s="1003"/>
      <c r="N1680" s="837"/>
      <c r="O1680" s="837"/>
      <c r="P1680" s="888" t="s">
        <v>2193</v>
      </c>
      <c r="Q1680" s="889" t="s">
        <v>2915</v>
      </c>
      <c r="R1680" s="890" t="n">
        <v>858948</v>
      </c>
      <c r="S1680" s="846" t="n">
        <f aca="false">R1680/H1676</f>
        <v>9236</v>
      </c>
      <c r="T1680" s="1017"/>
      <c r="U1680" s="842"/>
    </row>
    <row r="1681" customFormat="false" ht="15" hidden="false" customHeight="true" outlineLevel="0" collapsed="false">
      <c r="A1681" s="881"/>
      <c r="B1681" s="847" t="s">
        <v>86</v>
      </c>
      <c r="C1681" s="847" t="n">
        <v>2024</v>
      </c>
      <c r="D1681" s="848" t="s">
        <v>10</v>
      </c>
      <c r="E1681" s="848" t="s">
        <v>2242</v>
      </c>
      <c r="F1681" s="848"/>
      <c r="G1681" s="849"/>
      <c r="H1681" s="1523" t="n">
        <v>61.1</v>
      </c>
      <c r="I1681" s="1397"/>
      <c r="J1681" s="1397"/>
      <c r="K1681" s="852" t="n">
        <f aca="false">H1681*I1681/100</f>
        <v>0</v>
      </c>
      <c r="L1681" s="537" t="n">
        <v>352</v>
      </c>
      <c r="M1681" s="1007" t="n">
        <v>1</v>
      </c>
      <c r="N1681" s="1137" t="n">
        <f aca="false">L1681*M1681</f>
        <v>352</v>
      </c>
      <c r="O1681" s="1137" t="n">
        <f aca="false">H1681*N1681</f>
        <v>21507.2</v>
      </c>
      <c r="P1681" s="856" t="s">
        <v>2200</v>
      </c>
      <c r="Q1681" s="857" t="s">
        <v>2946</v>
      </c>
      <c r="R1681" s="854" t="n">
        <v>21507.2</v>
      </c>
      <c r="S1681" s="854" t="n">
        <f aca="false">R1681/H1681</f>
        <v>352</v>
      </c>
      <c r="T1681" s="1058" t="n">
        <f aca="false">O1681-R1681</f>
        <v>0</v>
      </c>
      <c r="U1681" s="1026" t="n">
        <f aca="false">N1681-S1681</f>
        <v>0</v>
      </c>
    </row>
    <row r="1682" customFormat="false" ht="15" hidden="false" customHeight="true" outlineLevel="0" collapsed="false">
      <c r="A1682" s="881"/>
      <c r="B1682" s="859" t="s">
        <v>86</v>
      </c>
      <c r="C1682" s="859" t="n">
        <v>2024</v>
      </c>
      <c r="D1682" s="860" t="s">
        <v>10</v>
      </c>
      <c r="E1682" s="860" t="s">
        <v>2203</v>
      </c>
      <c r="F1682" s="860"/>
      <c r="G1682" s="861"/>
      <c r="H1682" s="1760" t="n">
        <v>36.2</v>
      </c>
      <c r="I1682" s="1429"/>
      <c r="J1682" s="1429"/>
      <c r="K1682" s="864" t="n">
        <f aca="false">H1682*I1682/100</f>
        <v>0</v>
      </c>
      <c r="L1682" s="543" t="n">
        <v>2089</v>
      </c>
      <c r="M1682" s="983" t="n">
        <v>1</v>
      </c>
      <c r="N1682" s="1301" t="n">
        <f aca="false">L1682*M1682</f>
        <v>2089</v>
      </c>
      <c r="O1682" s="1301" t="n">
        <f aca="false">H1682*N1682</f>
        <v>75621.8</v>
      </c>
      <c r="P1682" s="868" t="s">
        <v>2200</v>
      </c>
      <c r="Q1682" s="869" t="s">
        <v>2946</v>
      </c>
      <c r="R1682" s="866" t="n">
        <v>75621.8</v>
      </c>
      <c r="S1682" s="866" t="n">
        <f aca="false">R1682/H1682</f>
        <v>2089</v>
      </c>
      <c r="T1682" s="1404" t="n">
        <f aca="false">O1682-R1682</f>
        <v>0</v>
      </c>
      <c r="U1682" s="1293" t="n">
        <f aca="false">N1682-S1682</f>
        <v>0</v>
      </c>
    </row>
    <row r="1683" customFormat="false" ht="15" hidden="false" customHeight="true" outlineLevel="0" collapsed="false">
      <c r="A1683" s="881"/>
      <c r="B1683" s="859" t="s">
        <v>86</v>
      </c>
      <c r="C1683" s="859" t="n">
        <v>2024</v>
      </c>
      <c r="D1683" s="860" t="s">
        <v>10</v>
      </c>
      <c r="E1683" s="860" t="s">
        <v>2241</v>
      </c>
      <c r="F1683" s="860"/>
      <c r="G1683" s="861"/>
      <c r="H1683" s="1760" t="n">
        <v>6</v>
      </c>
      <c r="I1683" s="1429"/>
      <c r="J1683" s="1429"/>
      <c r="K1683" s="864" t="n">
        <f aca="false">H1683*I1683/100</f>
        <v>0</v>
      </c>
      <c r="L1683" s="543" t="n">
        <v>1376</v>
      </c>
      <c r="M1683" s="983" t="n">
        <v>1</v>
      </c>
      <c r="N1683" s="1301" t="n">
        <f aca="false">L1683*M1683</f>
        <v>1376</v>
      </c>
      <c r="O1683" s="1301" t="n">
        <f aca="false">H1683*N1683</f>
        <v>8256</v>
      </c>
      <c r="P1683" s="868" t="s">
        <v>2204</v>
      </c>
      <c r="Q1683" s="869" t="n">
        <v>22112024</v>
      </c>
      <c r="R1683" s="866" t="n">
        <v>8256</v>
      </c>
      <c r="S1683" s="866" t="n">
        <f aca="false">R1683/H1683</f>
        <v>1376</v>
      </c>
      <c r="T1683" s="1404" t="n">
        <f aca="false">O1683-R1683</f>
        <v>0</v>
      </c>
      <c r="U1683" s="1293" t="n">
        <f aca="false">N1683-S1683</f>
        <v>0</v>
      </c>
    </row>
    <row r="1684" customFormat="false" ht="15" hidden="false" customHeight="true" outlineLevel="0" collapsed="false">
      <c r="A1684" s="881"/>
      <c r="B1684" s="893" t="s">
        <v>86</v>
      </c>
      <c r="C1684" s="893" t="n">
        <v>2024</v>
      </c>
      <c r="D1684" s="843" t="s">
        <v>10</v>
      </c>
      <c r="E1684" s="843" t="s">
        <v>2205</v>
      </c>
      <c r="F1684" s="843"/>
      <c r="G1684" s="894"/>
      <c r="H1684" s="1769" t="n">
        <v>1.3</v>
      </c>
      <c r="I1684" s="1532"/>
      <c r="J1684" s="1532"/>
      <c r="K1684" s="897" t="n">
        <f aca="false">H1684*I1684/100</f>
        <v>0</v>
      </c>
      <c r="L1684" s="589" t="n">
        <v>3971</v>
      </c>
      <c r="M1684" s="1106" t="n">
        <v>1</v>
      </c>
      <c r="N1684" s="1393" t="n">
        <f aca="false">L1684*M1684</f>
        <v>3971</v>
      </c>
      <c r="O1684" s="1393" t="n">
        <f aca="false">H1684*N1684</f>
        <v>5162.3</v>
      </c>
      <c r="P1684" s="844" t="s">
        <v>2204</v>
      </c>
      <c r="Q1684" s="845" t="n">
        <v>22112024</v>
      </c>
      <c r="R1684" s="846" t="n">
        <v>5162.3</v>
      </c>
      <c r="S1684" s="866" t="n">
        <f aca="false">R1684/H1684</f>
        <v>3971</v>
      </c>
      <c r="T1684" s="1441" t="n">
        <f aca="false">O1684-R1684</f>
        <v>0</v>
      </c>
      <c r="U1684" s="902" t="n">
        <f aca="false">N1684-S1684</f>
        <v>0</v>
      </c>
    </row>
    <row r="1685" customFormat="false" ht="15" hidden="false" customHeight="true" outlineLevel="0" collapsed="false">
      <c r="A1685" s="829" t="n">
        <v>116</v>
      </c>
      <c r="B1685" s="830" t="s">
        <v>2207</v>
      </c>
      <c r="C1685" s="830" t="n">
        <v>2024</v>
      </c>
      <c r="D1685" s="831" t="s">
        <v>10</v>
      </c>
      <c r="E1685" s="831" t="s">
        <v>2192</v>
      </c>
      <c r="F1685" s="832" t="s">
        <v>1651</v>
      </c>
      <c r="G1685" s="1530"/>
      <c r="H1685" s="1526" t="n">
        <v>26.343</v>
      </c>
      <c r="I1685" s="1020"/>
      <c r="J1685" s="1020"/>
      <c r="K1685" s="836" t="n">
        <f aca="false">H1685*I1685/100</f>
        <v>0</v>
      </c>
      <c r="L1685" s="837" t="n">
        <v>5119</v>
      </c>
      <c r="M1685" s="1003" t="n">
        <v>1</v>
      </c>
      <c r="N1685" s="837" t="n">
        <f aca="false">L1685*M1685</f>
        <v>5119</v>
      </c>
      <c r="O1685" s="943" t="n">
        <f aca="false">H1685*N1685</f>
        <v>134849.817</v>
      </c>
      <c r="P1685" s="838" t="s">
        <v>2197</v>
      </c>
      <c r="Q1685" s="839" t="s">
        <v>2982</v>
      </c>
      <c r="R1685" s="840" t="n">
        <v>26474.715</v>
      </c>
      <c r="S1685" s="840" t="n">
        <f aca="false">R1685/H1685</f>
        <v>1005</v>
      </c>
      <c r="T1685" s="943" t="n">
        <f aca="false">O1685-R1685-R1686</f>
        <v>0</v>
      </c>
      <c r="U1685" s="842" t="n">
        <f aca="false">N1685-S1685-S1686</f>
        <v>0</v>
      </c>
    </row>
    <row r="1686" customFormat="false" ht="15" hidden="false" customHeight="true" outlineLevel="0" collapsed="false">
      <c r="A1686" s="829"/>
      <c r="B1686" s="830"/>
      <c r="C1686" s="830"/>
      <c r="D1686" s="887" t="s">
        <v>10</v>
      </c>
      <c r="E1686" s="887" t="s">
        <v>2192</v>
      </c>
      <c r="F1686" s="832"/>
      <c r="G1686" s="1531"/>
      <c r="H1686" s="1526"/>
      <c r="I1686" s="1020"/>
      <c r="J1686" s="1020"/>
      <c r="K1686" s="836"/>
      <c r="L1686" s="837"/>
      <c r="M1686" s="1003"/>
      <c r="N1686" s="837"/>
      <c r="O1686" s="943"/>
      <c r="P1686" s="888" t="s">
        <v>2197</v>
      </c>
      <c r="Q1686" s="889" t="s">
        <v>2983</v>
      </c>
      <c r="R1686" s="890" t="n">
        <v>108375.102</v>
      </c>
      <c r="S1686" s="846" t="n">
        <f aca="false">R1686/H1685</f>
        <v>4114</v>
      </c>
      <c r="T1686" s="943"/>
      <c r="U1686" s="842"/>
    </row>
    <row r="1687" customFormat="false" ht="15" hidden="false" customHeight="true" outlineLevel="0" collapsed="false">
      <c r="A1687" s="829" t="n">
        <v>117</v>
      </c>
      <c r="B1687" s="830" t="s">
        <v>2207</v>
      </c>
      <c r="C1687" s="830" t="n">
        <v>2024</v>
      </c>
      <c r="D1687" s="831" t="s">
        <v>10</v>
      </c>
      <c r="E1687" s="831" t="s">
        <v>2192</v>
      </c>
      <c r="F1687" s="832" t="s">
        <v>1652</v>
      </c>
      <c r="G1687" s="833"/>
      <c r="H1687" s="1526" t="n">
        <v>42.2191</v>
      </c>
      <c r="I1687" s="1020"/>
      <c r="J1687" s="1020"/>
      <c r="K1687" s="836" t="n">
        <f aca="false">H1687*I1687/100</f>
        <v>0</v>
      </c>
      <c r="L1687" s="837" t="n">
        <v>20345</v>
      </c>
      <c r="M1687" s="1003" t="n">
        <v>1</v>
      </c>
      <c r="N1687" s="837" t="n">
        <f aca="false">L1687*M1687</f>
        <v>20345</v>
      </c>
      <c r="O1687" s="943" t="n">
        <f aca="false">H1687*N1687</f>
        <v>858947.5895</v>
      </c>
      <c r="P1687" s="838" t="s">
        <v>2197</v>
      </c>
      <c r="Q1687" s="839" t="s">
        <v>2984</v>
      </c>
      <c r="R1687" s="840" t="n">
        <v>844170.9045</v>
      </c>
      <c r="S1687" s="840" t="n">
        <f aca="false">R1687/H1687</f>
        <v>19995</v>
      </c>
      <c r="T1687" s="837" t="n">
        <f aca="false">O1687-R1687-R1688</f>
        <v>5.63886715099216E-011</v>
      </c>
      <c r="U1687" s="842" t="n">
        <f aca="false">N1687-S1687-S1688</f>
        <v>0</v>
      </c>
    </row>
    <row r="1688" customFormat="false" ht="15" hidden="false" customHeight="true" outlineLevel="0" collapsed="false">
      <c r="A1688" s="829"/>
      <c r="B1688" s="830"/>
      <c r="C1688" s="830"/>
      <c r="D1688" s="887" t="s">
        <v>10</v>
      </c>
      <c r="E1688" s="887" t="s">
        <v>2192</v>
      </c>
      <c r="F1688" s="832"/>
      <c r="G1688" s="833"/>
      <c r="H1688" s="1526"/>
      <c r="I1688" s="1020"/>
      <c r="J1688" s="1020"/>
      <c r="K1688" s="836"/>
      <c r="L1688" s="837"/>
      <c r="M1688" s="1003"/>
      <c r="N1688" s="837"/>
      <c r="O1688" s="943"/>
      <c r="P1688" s="888" t="s">
        <v>2197</v>
      </c>
      <c r="Q1688" s="889" t="s">
        <v>2985</v>
      </c>
      <c r="R1688" s="890" t="n">
        <v>14776.685</v>
      </c>
      <c r="S1688" s="846" t="n">
        <f aca="false">R1688/H1687</f>
        <v>350</v>
      </c>
      <c r="T1688" s="837"/>
      <c r="U1688" s="842"/>
    </row>
    <row r="1689" customFormat="false" ht="15" hidden="false" customHeight="true" outlineLevel="0" collapsed="false">
      <c r="A1689" s="847" t="n">
        <v>122</v>
      </c>
      <c r="B1689" s="847" t="s">
        <v>2207</v>
      </c>
      <c r="C1689" s="847" t="n">
        <v>2024</v>
      </c>
      <c r="D1689" s="848" t="s">
        <v>10</v>
      </c>
      <c r="E1689" s="848" t="s">
        <v>2192</v>
      </c>
      <c r="F1689" s="848" t="s">
        <v>1652</v>
      </c>
      <c r="G1689" s="849"/>
      <c r="H1689" s="1523" t="n">
        <v>40.434</v>
      </c>
      <c r="I1689" s="1397"/>
      <c r="J1689" s="1397"/>
      <c r="K1689" s="852" t="n">
        <f aca="false">H1689*I1689/100</f>
        <v>0</v>
      </c>
      <c r="L1689" s="537" t="n">
        <v>11514</v>
      </c>
      <c r="M1689" s="1007" t="n">
        <v>1</v>
      </c>
      <c r="N1689" s="1143" t="n">
        <f aca="false">L1689*M1689</f>
        <v>11514</v>
      </c>
      <c r="O1689" s="1386" t="n">
        <f aca="false">H1689*N1689</f>
        <v>465557.076</v>
      </c>
      <c r="P1689" s="856" t="s">
        <v>2197</v>
      </c>
      <c r="Q1689" s="857" t="s">
        <v>2986</v>
      </c>
      <c r="R1689" s="854" t="n">
        <v>465557.076</v>
      </c>
      <c r="S1689" s="866" t="n">
        <f aca="false">R1689/H1689</f>
        <v>11514</v>
      </c>
      <c r="T1689" s="1009" t="n">
        <f aca="false">O1689-R1689</f>
        <v>0</v>
      </c>
      <c r="U1689" s="537" t="n">
        <f aca="false">N1689-S1689</f>
        <v>0</v>
      </c>
    </row>
    <row r="1690" customFormat="false" ht="15" hidden="false" customHeight="true" outlineLevel="0" collapsed="false">
      <c r="A1690" s="903" t="n">
        <v>116</v>
      </c>
      <c r="B1690" s="903" t="s">
        <v>81</v>
      </c>
      <c r="C1690" s="903" t="n">
        <v>2024</v>
      </c>
      <c r="D1690" s="904" t="s">
        <v>10</v>
      </c>
      <c r="E1690" s="904" t="s">
        <v>2192</v>
      </c>
      <c r="F1690" s="904" t="s">
        <v>2199</v>
      </c>
      <c r="G1690" s="905"/>
      <c r="H1690" s="1524" t="n">
        <v>69.1</v>
      </c>
      <c r="I1690" s="1055"/>
      <c r="J1690" s="1055"/>
      <c r="K1690" s="939" t="n">
        <f aca="false">H1690*I1690/100</f>
        <v>0</v>
      </c>
      <c r="L1690" s="942" t="n">
        <v>14160</v>
      </c>
      <c r="M1690" s="1023" t="n">
        <v>1</v>
      </c>
      <c r="N1690" s="1137" t="n">
        <f aca="false">L1690*M1690</f>
        <v>14160</v>
      </c>
      <c r="O1690" s="1384" t="n">
        <f aca="false">H1690*N1690</f>
        <v>978456</v>
      </c>
      <c r="P1690" s="910" t="s">
        <v>2200</v>
      </c>
      <c r="Q1690" s="911" t="s">
        <v>2742</v>
      </c>
      <c r="R1690" s="891" t="n">
        <v>978456</v>
      </c>
      <c r="S1690" s="877" t="n">
        <f aca="false">R1690/H1690</f>
        <v>14160</v>
      </c>
      <c r="T1690" s="941" t="n">
        <f aca="false">O1690-R1690</f>
        <v>0</v>
      </c>
      <c r="U1690" s="942" t="n">
        <f aca="false">N1690-S1690</f>
        <v>0</v>
      </c>
    </row>
    <row r="1691" customFormat="false" ht="15" hidden="false" customHeight="true" outlineLevel="0" collapsed="false">
      <c r="A1691" s="881" t="n">
        <v>80</v>
      </c>
      <c r="B1691" s="913" t="s">
        <v>86</v>
      </c>
      <c r="C1691" s="914" t="n">
        <v>2024</v>
      </c>
      <c r="D1691" s="915" t="s">
        <v>10</v>
      </c>
      <c r="E1691" s="915" t="s">
        <v>2192</v>
      </c>
      <c r="F1691" s="916" t="s">
        <v>1650</v>
      </c>
      <c r="G1691" s="917"/>
      <c r="H1691" s="1770" t="n">
        <v>93</v>
      </c>
      <c r="I1691" s="1307" t="n">
        <v>54</v>
      </c>
      <c r="J1691" s="1307"/>
      <c r="K1691" s="1309" t="n">
        <f aca="false">H1691*I1691/100</f>
        <v>50.22</v>
      </c>
      <c r="L1691" s="921" t="n">
        <v>29761</v>
      </c>
      <c r="M1691" s="1191" t="n">
        <v>1</v>
      </c>
      <c r="N1691" s="921" t="n">
        <f aca="false">L1691*M1691</f>
        <v>29761</v>
      </c>
      <c r="O1691" s="1192" t="n">
        <f aca="false">H1691*N1691</f>
        <v>2767773</v>
      </c>
      <c r="P1691" s="1193" t="s">
        <v>2232</v>
      </c>
      <c r="Q1691" s="1312" t="s">
        <v>111</v>
      </c>
      <c r="R1691" s="1196" t="n">
        <v>744000</v>
      </c>
      <c r="S1691" s="926" t="n">
        <f aca="false">R1691/H1691</f>
        <v>8000</v>
      </c>
      <c r="T1691" s="1691" t="n">
        <f aca="false">O1691-R1691-R1693-R1692</f>
        <v>1465773</v>
      </c>
      <c r="U1691" s="928" t="n">
        <f aca="false">N1691-S1691-S1693-S1692</f>
        <v>15761</v>
      </c>
    </row>
    <row r="1692" customFormat="false" ht="15" hidden="false" customHeight="true" outlineLevel="0" collapsed="false">
      <c r="A1692" s="881"/>
      <c r="B1692" s="913"/>
      <c r="C1692" s="914"/>
      <c r="D1692" s="1090" t="s">
        <v>10</v>
      </c>
      <c r="E1692" s="1090" t="s">
        <v>2192</v>
      </c>
      <c r="F1692" s="916"/>
      <c r="G1692" s="917"/>
      <c r="H1692" s="1770"/>
      <c r="I1692" s="1307"/>
      <c r="J1692" s="1307"/>
      <c r="K1692" s="1309"/>
      <c r="L1692" s="921"/>
      <c r="M1692" s="1191"/>
      <c r="N1692" s="921"/>
      <c r="O1692" s="1192"/>
      <c r="P1692" s="1098" t="s">
        <v>2232</v>
      </c>
      <c r="Q1692" s="1694" t="s">
        <v>2969</v>
      </c>
      <c r="R1692" s="1100" t="n">
        <v>279000</v>
      </c>
      <c r="S1692" s="933" t="n">
        <f aca="false">R1692/H1691</f>
        <v>3000</v>
      </c>
      <c r="T1692" s="1691"/>
      <c r="U1692" s="928"/>
    </row>
    <row r="1693" customFormat="false" ht="15" hidden="false" customHeight="true" outlineLevel="0" collapsed="false">
      <c r="A1693" s="881"/>
      <c r="B1693" s="913"/>
      <c r="C1693" s="914"/>
      <c r="D1693" s="1671" t="s">
        <v>10</v>
      </c>
      <c r="E1693" s="1671" t="s">
        <v>2192</v>
      </c>
      <c r="F1693" s="916"/>
      <c r="G1693" s="917"/>
      <c r="H1693" s="1770"/>
      <c r="I1693" s="1307"/>
      <c r="J1693" s="1307"/>
      <c r="K1693" s="1309"/>
      <c r="L1693" s="921"/>
      <c r="M1693" s="1191"/>
      <c r="N1693" s="921"/>
      <c r="O1693" s="1192"/>
      <c r="P1693" s="1672" t="s">
        <v>2232</v>
      </c>
      <c r="Q1693" s="1698" t="s">
        <v>2740</v>
      </c>
      <c r="R1693" s="1700" t="n">
        <v>279000</v>
      </c>
      <c r="S1693" s="938" t="n">
        <f aca="false">R1693/H1691</f>
        <v>3000</v>
      </c>
      <c r="T1693" s="1691"/>
      <c r="U1693" s="928"/>
    </row>
    <row r="1694" customFormat="false" ht="15" hidden="false" customHeight="true" outlineLevel="0" collapsed="false">
      <c r="A1694" s="881"/>
      <c r="B1694" s="847" t="s">
        <v>86</v>
      </c>
      <c r="C1694" s="847" t="n">
        <v>2024</v>
      </c>
      <c r="D1694" s="848" t="s">
        <v>10</v>
      </c>
      <c r="E1694" s="848" t="s">
        <v>2242</v>
      </c>
      <c r="F1694" s="848"/>
      <c r="G1694" s="849"/>
      <c r="H1694" s="1766" t="n">
        <v>61</v>
      </c>
      <c r="I1694" s="1397"/>
      <c r="J1694" s="1397"/>
      <c r="K1694" s="852" t="n">
        <f aca="false">H1694*I1694/100</f>
        <v>0</v>
      </c>
      <c r="L1694" s="537" t="n">
        <v>834</v>
      </c>
      <c r="M1694" s="1007" t="n">
        <v>1</v>
      </c>
      <c r="N1694" s="1143" t="n">
        <f aca="false">L1694*M1694</f>
        <v>834</v>
      </c>
      <c r="O1694" s="1386" t="n">
        <f aca="false">H1694*N1694</f>
        <v>50874</v>
      </c>
      <c r="P1694" s="856" t="s">
        <v>2195</v>
      </c>
      <c r="Q1694" s="857" t="s">
        <v>1375</v>
      </c>
      <c r="R1694" s="854" t="n">
        <v>50874</v>
      </c>
      <c r="S1694" s="854" t="n">
        <f aca="false">R1694/H1694</f>
        <v>834</v>
      </c>
      <c r="T1694" s="1009" t="n">
        <f aca="false">O1694-R1694</f>
        <v>0</v>
      </c>
      <c r="U1694" s="892" t="n">
        <f aca="false">N1694-S1694</f>
        <v>0</v>
      </c>
    </row>
    <row r="1695" customFormat="false" ht="15" hidden="false" customHeight="true" outlineLevel="0" collapsed="false">
      <c r="A1695" s="881"/>
      <c r="B1695" s="847" t="s">
        <v>86</v>
      </c>
      <c r="C1695" s="847" t="n">
        <v>2024</v>
      </c>
      <c r="D1695" s="848" t="s">
        <v>10</v>
      </c>
      <c r="E1695" s="848" t="s">
        <v>2203</v>
      </c>
      <c r="F1695" s="848"/>
      <c r="G1695" s="849"/>
      <c r="H1695" s="1523" t="n">
        <v>5.8</v>
      </c>
      <c r="I1695" s="1397"/>
      <c r="J1695" s="1397"/>
      <c r="K1695" s="852" t="n">
        <f aca="false">H1695*I1695/100</f>
        <v>0</v>
      </c>
      <c r="L1695" s="537" t="n">
        <v>2574</v>
      </c>
      <c r="M1695" s="1007" t="n">
        <v>1</v>
      </c>
      <c r="N1695" s="1143" t="n">
        <f aca="false">L1695*M1695</f>
        <v>2574</v>
      </c>
      <c r="O1695" s="1386" t="n">
        <f aca="false">H1695*N1695</f>
        <v>14929.2</v>
      </c>
      <c r="P1695" s="856" t="s">
        <v>2204</v>
      </c>
      <c r="Q1695" s="857" t="n">
        <v>31012025</v>
      </c>
      <c r="R1695" s="854" t="n">
        <v>14929.2</v>
      </c>
      <c r="S1695" s="866" t="n">
        <f aca="false">R1695/H1695</f>
        <v>2574</v>
      </c>
      <c r="T1695" s="1009" t="n">
        <f aca="false">O1695-R1695</f>
        <v>0</v>
      </c>
      <c r="U1695" s="892" t="n">
        <f aca="false">N1695-S1695</f>
        <v>0</v>
      </c>
    </row>
    <row r="1696" customFormat="false" ht="15" hidden="false" customHeight="true" outlineLevel="0" collapsed="false">
      <c r="A1696" s="881"/>
      <c r="B1696" s="847" t="s">
        <v>86</v>
      </c>
      <c r="C1696" s="847" t="n">
        <v>2024</v>
      </c>
      <c r="D1696" s="848" t="s">
        <v>10</v>
      </c>
      <c r="E1696" s="848" t="s">
        <v>2205</v>
      </c>
      <c r="F1696" s="848"/>
      <c r="G1696" s="849"/>
      <c r="H1696" s="1523" t="n">
        <v>55.7</v>
      </c>
      <c r="I1696" s="1397"/>
      <c r="J1696" s="1397"/>
      <c r="K1696" s="852" t="n">
        <f aca="false">H1696*I1696/100</f>
        <v>0</v>
      </c>
      <c r="L1696" s="537" t="n">
        <v>845</v>
      </c>
      <c r="M1696" s="1007" t="n">
        <v>1</v>
      </c>
      <c r="N1696" s="1143" t="n">
        <f aca="false">L1696*M1696</f>
        <v>845</v>
      </c>
      <c r="O1696" s="1386" t="n">
        <f aca="false">H1696*N1696</f>
        <v>47066.5</v>
      </c>
      <c r="P1696" s="856" t="s">
        <v>2200</v>
      </c>
      <c r="Q1696" s="857" t="s">
        <v>2946</v>
      </c>
      <c r="R1696" s="854" t="n">
        <v>47066.5</v>
      </c>
      <c r="S1696" s="866" t="n">
        <f aca="false">R1696/H1696</f>
        <v>845</v>
      </c>
      <c r="T1696" s="1009" t="n">
        <f aca="false">O1696-R1696</f>
        <v>0</v>
      </c>
      <c r="U1696" s="892" t="n">
        <f aca="false">N1696-S1696</f>
        <v>0</v>
      </c>
    </row>
    <row r="1697" customFormat="false" ht="15" hidden="false" customHeight="true" outlineLevel="0" collapsed="false">
      <c r="A1697" s="881"/>
      <c r="B1697" s="1072" t="s">
        <v>86</v>
      </c>
      <c r="C1697" s="1072" t="n">
        <v>2024</v>
      </c>
      <c r="D1697" s="887" t="s">
        <v>10</v>
      </c>
      <c r="E1697" s="887" t="s">
        <v>2241</v>
      </c>
      <c r="F1697" s="887"/>
      <c r="G1697" s="1062"/>
      <c r="H1697" s="1522" t="n">
        <v>1</v>
      </c>
      <c r="I1697" s="1078"/>
      <c r="J1697" s="1078"/>
      <c r="K1697" s="1064" t="n">
        <f aca="false">H1697*I1697/100</f>
        <v>0</v>
      </c>
      <c r="L1697" s="1067" t="n">
        <v>4894</v>
      </c>
      <c r="M1697" s="1066" t="n">
        <v>1</v>
      </c>
      <c r="N1697" s="1082" t="n">
        <f aca="false">L1697*M1697</f>
        <v>4894</v>
      </c>
      <c r="O1697" s="1394" t="n">
        <f aca="false">H1697*N1697</f>
        <v>4894</v>
      </c>
      <c r="P1697" s="888" t="s">
        <v>2204</v>
      </c>
      <c r="Q1697" s="889" t="n">
        <v>31012025</v>
      </c>
      <c r="R1697" s="890" t="n">
        <v>4894</v>
      </c>
      <c r="S1697" s="846" t="n">
        <f aca="false">R1697/H1697</f>
        <v>4894</v>
      </c>
      <c r="T1697" s="1172" t="n">
        <f aca="false">O1697-R1697</f>
        <v>0</v>
      </c>
      <c r="U1697" s="1070" t="n">
        <f aca="false">N1697-S1697</f>
        <v>0</v>
      </c>
    </row>
    <row r="1698" customFormat="false" ht="15" hidden="false" customHeight="true" outlineLevel="0" collapsed="false">
      <c r="A1698" s="847" t="n">
        <v>125</v>
      </c>
      <c r="B1698" s="847" t="s">
        <v>81</v>
      </c>
      <c r="C1698" s="847" t="n">
        <v>2024</v>
      </c>
      <c r="D1698" s="848" t="s">
        <v>10</v>
      </c>
      <c r="E1698" s="848" t="s">
        <v>2192</v>
      </c>
      <c r="F1698" s="848" t="s">
        <v>2199</v>
      </c>
      <c r="G1698" s="849"/>
      <c r="H1698" s="1523" t="n">
        <v>85.6</v>
      </c>
      <c r="I1698" s="1397"/>
      <c r="J1698" s="1397"/>
      <c r="K1698" s="852" t="n">
        <f aca="false">H1698*I1698/100</f>
        <v>0</v>
      </c>
      <c r="L1698" s="537" t="n">
        <v>35880</v>
      </c>
      <c r="M1698" s="1007" t="n">
        <v>1</v>
      </c>
      <c r="N1698" s="1143" t="n">
        <f aca="false">L1698*M1698</f>
        <v>35880</v>
      </c>
      <c r="O1698" s="1386" t="n">
        <f aca="false">H1698*N1698</f>
        <v>3071328</v>
      </c>
      <c r="P1698" s="856" t="s">
        <v>2200</v>
      </c>
      <c r="Q1698" s="857" t="s">
        <v>2987</v>
      </c>
      <c r="R1698" s="854" t="n">
        <v>3071328</v>
      </c>
      <c r="S1698" s="891" t="n">
        <f aca="false">R1698/H1698</f>
        <v>35880</v>
      </c>
      <c r="T1698" s="1009" t="n">
        <f aca="false">O1698-R1698</f>
        <v>0</v>
      </c>
      <c r="U1698" s="537" t="n">
        <f aca="false">N1698-S1698</f>
        <v>0</v>
      </c>
    </row>
    <row r="1699" customFormat="false" ht="15" hidden="false" customHeight="true" outlineLevel="0" collapsed="false">
      <c r="A1699" s="870" t="n">
        <v>126</v>
      </c>
      <c r="B1699" s="870" t="s">
        <v>81</v>
      </c>
      <c r="C1699" s="870" t="n">
        <v>2024</v>
      </c>
      <c r="D1699" s="871" t="s">
        <v>10</v>
      </c>
      <c r="E1699" s="871" t="s">
        <v>2192</v>
      </c>
      <c r="F1699" s="871" t="s">
        <v>2199</v>
      </c>
      <c r="G1699" s="872"/>
      <c r="H1699" s="1525" t="n">
        <v>86.6</v>
      </c>
      <c r="I1699" s="1433"/>
      <c r="J1699" s="1433"/>
      <c r="K1699" s="875" t="n">
        <f aca="false">H1699*I1699/100</f>
        <v>0</v>
      </c>
      <c r="L1699" s="553" t="n">
        <v>34380</v>
      </c>
      <c r="M1699" s="1000" t="n">
        <v>1</v>
      </c>
      <c r="N1699" s="1301" t="n">
        <f aca="false">L1699*M1699</f>
        <v>34380</v>
      </c>
      <c r="O1699" s="1402" t="n">
        <f aca="false">H1699*N1699</f>
        <v>2977308</v>
      </c>
      <c r="P1699" s="879" t="s">
        <v>2200</v>
      </c>
      <c r="Q1699" s="880" t="s">
        <v>2988</v>
      </c>
      <c r="R1699" s="877" t="n">
        <v>2977308</v>
      </c>
      <c r="S1699" s="877" t="n">
        <f aca="false">R1699/H1699</f>
        <v>34380</v>
      </c>
      <c r="T1699" s="1014" t="n">
        <f aca="false">O1699-R1699</f>
        <v>0</v>
      </c>
      <c r="U1699" s="553" t="n">
        <f aca="false">N1699-S1699</f>
        <v>0</v>
      </c>
    </row>
    <row r="1700" customFormat="false" ht="15" hidden="false" customHeight="true" outlineLevel="0" collapsed="false">
      <c r="A1700" s="881" t="n">
        <v>97</v>
      </c>
      <c r="B1700" s="882" t="s">
        <v>86</v>
      </c>
      <c r="C1700" s="883" t="n">
        <v>2024</v>
      </c>
      <c r="D1700" s="831" t="s">
        <v>10</v>
      </c>
      <c r="E1700" s="831" t="s">
        <v>2192</v>
      </c>
      <c r="F1700" s="832" t="s">
        <v>1650</v>
      </c>
      <c r="G1700" s="833"/>
      <c r="H1700" s="1526" t="n">
        <v>95.7</v>
      </c>
      <c r="I1700" s="1020"/>
      <c r="J1700" s="1020"/>
      <c r="K1700" s="836" t="n">
        <f aca="false">H1700*I1700/100</f>
        <v>0</v>
      </c>
      <c r="L1700" s="837" t="n">
        <v>29069</v>
      </c>
      <c r="M1700" s="1003" t="n">
        <v>1</v>
      </c>
      <c r="N1700" s="837" t="n">
        <f aca="false">L1700*M1700</f>
        <v>29069</v>
      </c>
      <c r="O1700" s="943" t="n">
        <f aca="false">H1700*N1700</f>
        <v>2781903.3</v>
      </c>
      <c r="P1700" s="838" t="s">
        <v>2232</v>
      </c>
      <c r="Q1700" s="839" t="s">
        <v>107</v>
      </c>
      <c r="R1700" s="1145" t="n">
        <v>438114.6</v>
      </c>
      <c r="S1700" s="886" t="n">
        <f aca="false">R1700/H1700</f>
        <v>4578</v>
      </c>
      <c r="T1700" s="1017" t="n">
        <f aca="false">O1700-R1700-R1702-R1701</f>
        <v>0</v>
      </c>
      <c r="U1700" s="842" t="n">
        <f aca="false">N1700-S1700-S1702-S1701</f>
        <v>0</v>
      </c>
    </row>
    <row r="1701" customFormat="false" ht="15" hidden="false" customHeight="true" outlineLevel="0" collapsed="false">
      <c r="A1701" s="881"/>
      <c r="B1701" s="882"/>
      <c r="C1701" s="883"/>
      <c r="D1701" s="848" t="s">
        <v>10</v>
      </c>
      <c r="E1701" s="848" t="s">
        <v>2192</v>
      </c>
      <c r="F1701" s="832"/>
      <c r="G1701" s="833"/>
      <c r="H1701" s="1526"/>
      <c r="I1701" s="1020"/>
      <c r="J1701" s="1020"/>
      <c r="K1701" s="836"/>
      <c r="L1701" s="837"/>
      <c r="M1701" s="1003"/>
      <c r="N1701" s="837"/>
      <c r="O1701" s="943"/>
      <c r="P1701" s="856" t="s">
        <v>2232</v>
      </c>
      <c r="Q1701" s="857" t="s">
        <v>2407</v>
      </c>
      <c r="R1701" s="1144" t="n">
        <v>1905674.1</v>
      </c>
      <c r="S1701" s="866" t="n">
        <f aca="false">R1701/H1700</f>
        <v>19913</v>
      </c>
      <c r="T1701" s="1017"/>
      <c r="U1701" s="842"/>
    </row>
    <row r="1702" customFormat="false" ht="15" hidden="false" customHeight="true" outlineLevel="0" collapsed="false">
      <c r="A1702" s="881"/>
      <c r="B1702" s="882"/>
      <c r="C1702" s="883"/>
      <c r="D1702" s="887" t="s">
        <v>10</v>
      </c>
      <c r="E1702" s="887" t="s">
        <v>2192</v>
      </c>
      <c r="F1702" s="832"/>
      <c r="G1702" s="833"/>
      <c r="H1702" s="1526"/>
      <c r="I1702" s="1020"/>
      <c r="J1702" s="1020"/>
      <c r="K1702" s="836"/>
      <c r="L1702" s="837"/>
      <c r="M1702" s="1003"/>
      <c r="N1702" s="837"/>
      <c r="O1702" s="943"/>
      <c r="P1702" s="888" t="s">
        <v>2232</v>
      </c>
      <c r="Q1702" s="889" t="s">
        <v>2396</v>
      </c>
      <c r="R1702" s="1146" t="n">
        <v>438114.6</v>
      </c>
      <c r="S1702" s="846" t="n">
        <f aca="false">R1702/H1700</f>
        <v>4578</v>
      </c>
      <c r="T1702" s="1017"/>
      <c r="U1702" s="842"/>
    </row>
    <row r="1703" customFormat="false" ht="15" hidden="false" customHeight="true" outlineLevel="0" collapsed="false">
      <c r="A1703" s="881"/>
      <c r="B1703" s="847" t="s">
        <v>86</v>
      </c>
      <c r="C1703" s="847" t="n">
        <v>2024</v>
      </c>
      <c r="D1703" s="848" t="s">
        <v>10</v>
      </c>
      <c r="E1703" s="848" t="s">
        <v>2242</v>
      </c>
      <c r="F1703" s="848"/>
      <c r="G1703" s="849"/>
      <c r="H1703" s="1766" t="n">
        <v>59.3</v>
      </c>
      <c r="I1703" s="1397"/>
      <c r="J1703" s="1397"/>
      <c r="K1703" s="852" t="n">
        <f aca="false">H1703*I1703/100</f>
        <v>0</v>
      </c>
      <c r="L1703" s="537" t="n">
        <v>274</v>
      </c>
      <c r="M1703" s="1007" t="n">
        <v>1</v>
      </c>
      <c r="N1703" s="1143" t="n">
        <f aca="false">L1703*M1703</f>
        <v>274</v>
      </c>
      <c r="O1703" s="1386" t="n">
        <f aca="false">H1703*N1703</f>
        <v>16248.2</v>
      </c>
      <c r="P1703" s="856" t="s">
        <v>2195</v>
      </c>
      <c r="Q1703" s="857" t="s">
        <v>1375</v>
      </c>
      <c r="R1703" s="854" t="n">
        <v>16248.2</v>
      </c>
      <c r="S1703" s="891" t="n">
        <f aca="false">R1703/H1703</f>
        <v>274</v>
      </c>
      <c r="T1703" s="1009" t="n">
        <f aca="false">O1703-R1703</f>
        <v>0</v>
      </c>
      <c r="U1703" s="892" t="n">
        <f aca="false">N1703-S1703</f>
        <v>0</v>
      </c>
    </row>
    <row r="1704" customFormat="false" ht="15" hidden="false" customHeight="true" outlineLevel="0" collapsed="false">
      <c r="A1704" s="881"/>
      <c r="B1704" s="859" t="s">
        <v>86</v>
      </c>
      <c r="C1704" s="859" t="n">
        <v>2024</v>
      </c>
      <c r="D1704" s="860" t="s">
        <v>10</v>
      </c>
      <c r="E1704" s="860" t="s">
        <v>2203</v>
      </c>
      <c r="F1704" s="860"/>
      <c r="G1704" s="861"/>
      <c r="H1704" s="1760" t="n">
        <v>21.3</v>
      </c>
      <c r="I1704" s="1429"/>
      <c r="J1704" s="1429"/>
      <c r="K1704" s="864" t="n">
        <f aca="false">H1704*I1704/100</f>
        <v>0</v>
      </c>
      <c r="L1704" s="543" t="n">
        <v>1454</v>
      </c>
      <c r="M1704" s="983" t="n">
        <v>1</v>
      </c>
      <c r="N1704" s="1143" t="n">
        <f aca="false">L1704*M1704</f>
        <v>1454</v>
      </c>
      <c r="O1704" s="1386" t="n">
        <f aca="false">H1704*N1704</f>
        <v>30970.2</v>
      </c>
      <c r="P1704" s="868" t="s">
        <v>2200</v>
      </c>
      <c r="Q1704" s="869" t="s">
        <v>2946</v>
      </c>
      <c r="R1704" s="866" t="n">
        <v>30970.2</v>
      </c>
      <c r="S1704" s="877" t="n">
        <f aca="false">R1704/H1704</f>
        <v>1454</v>
      </c>
      <c r="T1704" s="1009" t="n">
        <f aca="false">O1704-R1704</f>
        <v>0</v>
      </c>
      <c r="U1704" s="892" t="n">
        <f aca="false">N1704-S1704</f>
        <v>0</v>
      </c>
    </row>
    <row r="1705" customFormat="false" ht="15" hidden="false" customHeight="true" outlineLevel="0" collapsed="false">
      <c r="A1705" s="881"/>
      <c r="B1705" s="859" t="s">
        <v>86</v>
      </c>
      <c r="C1705" s="859" t="n">
        <v>2024</v>
      </c>
      <c r="D1705" s="860" t="s">
        <v>10</v>
      </c>
      <c r="E1705" s="860" t="s">
        <v>2241</v>
      </c>
      <c r="F1705" s="860"/>
      <c r="G1705" s="861"/>
      <c r="H1705" s="1760" t="n">
        <v>64.8</v>
      </c>
      <c r="I1705" s="1429"/>
      <c r="J1705" s="1429"/>
      <c r="K1705" s="864" t="n">
        <f aca="false">H1705*I1705/100</f>
        <v>0</v>
      </c>
      <c r="L1705" s="543" t="n">
        <v>2680</v>
      </c>
      <c r="M1705" s="983" t="n">
        <v>1</v>
      </c>
      <c r="N1705" s="1143" t="n">
        <f aca="false">L1705*M1705</f>
        <v>2680</v>
      </c>
      <c r="O1705" s="1386" t="n">
        <f aca="false">H1705*N1705</f>
        <v>173664</v>
      </c>
      <c r="P1705" s="868" t="s">
        <v>2200</v>
      </c>
      <c r="Q1705" s="869" t="s">
        <v>2946</v>
      </c>
      <c r="R1705" s="866" t="n">
        <v>173664</v>
      </c>
      <c r="S1705" s="866" t="n">
        <f aca="false">R1705/H1705</f>
        <v>2680</v>
      </c>
      <c r="T1705" s="1009" t="n">
        <f aca="false">O1705-R1705</f>
        <v>0</v>
      </c>
      <c r="U1705" s="892" t="n">
        <f aca="false">N1705-S1705</f>
        <v>0</v>
      </c>
    </row>
    <row r="1706" customFormat="false" ht="15" hidden="false" customHeight="true" outlineLevel="0" collapsed="false">
      <c r="A1706" s="881"/>
      <c r="B1706" s="893" t="s">
        <v>86</v>
      </c>
      <c r="C1706" s="893" t="n">
        <v>2024</v>
      </c>
      <c r="D1706" s="843" t="s">
        <v>10</v>
      </c>
      <c r="E1706" s="843" t="s">
        <v>2205</v>
      </c>
      <c r="F1706" s="843"/>
      <c r="G1706" s="894"/>
      <c r="H1706" s="1769" t="n">
        <v>2.1</v>
      </c>
      <c r="I1706" s="1532"/>
      <c r="J1706" s="1532"/>
      <c r="K1706" s="897" t="n">
        <f aca="false">H1706*I1706/100</f>
        <v>0</v>
      </c>
      <c r="L1706" s="589" t="n">
        <v>255</v>
      </c>
      <c r="M1706" s="1106" t="n">
        <v>1</v>
      </c>
      <c r="N1706" s="1082" t="n">
        <f aca="false">L1706*M1706</f>
        <v>255</v>
      </c>
      <c r="O1706" s="1394" t="n">
        <f aca="false">H1706*N1706</f>
        <v>535.5</v>
      </c>
      <c r="P1706" s="844" t="s">
        <v>2204</v>
      </c>
      <c r="Q1706" s="845" t="n">
        <v>31012025</v>
      </c>
      <c r="R1706" s="846" t="n">
        <v>535.5</v>
      </c>
      <c r="S1706" s="890" t="n">
        <f aca="false">R1706/H1706</f>
        <v>255</v>
      </c>
      <c r="T1706" s="1172" t="n">
        <f aca="false">O1706-R1706</f>
        <v>0</v>
      </c>
      <c r="U1706" s="1070" t="n">
        <f aca="false">N1706-S1706</f>
        <v>0</v>
      </c>
    </row>
    <row r="1707" customFormat="false" ht="15" hidden="false" customHeight="true" outlineLevel="0" collapsed="false">
      <c r="A1707" s="847" t="n">
        <v>43</v>
      </c>
      <c r="B1707" s="847" t="s">
        <v>2230</v>
      </c>
      <c r="C1707" s="847" t="n">
        <v>2024</v>
      </c>
      <c r="D1707" s="848" t="s">
        <v>10</v>
      </c>
      <c r="E1707" s="848" t="s">
        <v>2192</v>
      </c>
      <c r="F1707" s="848" t="s">
        <v>1650</v>
      </c>
      <c r="G1707" s="849"/>
      <c r="H1707" s="1523" t="n">
        <v>91.3495</v>
      </c>
      <c r="I1707" s="1397"/>
      <c r="J1707" s="1397"/>
      <c r="K1707" s="939" t="n">
        <f aca="false">H1707*I1707/100</f>
        <v>0</v>
      </c>
      <c r="L1707" s="537" t="n">
        <v>14150</v>
      </c>
      <c r="M1707" s="1007" t="n">
        <v>1</v>
      </c>
      <c r="N1707" s="1143" t="n">
        <f aca="false">L1707*M1707</f>
        <v>14150</v>
      </c>
      <c r="O1707" s="1386" t="n">
        <f aca="false">H1707*N1707</f>
        <v>1292595.425</v>
      </c>
      <c r="P1707" s="856" t="s">
        <v>2193</v>
      </c>
      <c r="Q1707" s="857" t="s">
        <v>2989</v>
      </c>
      <c r="R1707" s="854" t="n">
        <v>1292595.425</v>
      </c>
      <c r="S1707" s="854" t="n">
        <f aca="false">R1707/H1707</f>
        <v>14150</v>
      </c>
      <c r="T1707" s="1009" t="n">
        <f aca="false">O1707-R1707</f>
        <v>0</v>
      </c>
      <c r="U1707" s="537" t="n">
        <f aca="false">N1707-S1707</f>
        <v>0</v>
      </c>
    </row>
    <row r="1708" customFormat="false" ht="15" hidden="false" customHeight="true" outlineLevel="0" collapsed="false">
      <c r="A1708" s="870" t="n">
        <v>44</v>
      </c>
      <c r="B1708" s="870" t="s">
        <v>2230</v>
      </c>
      <c r="C1708" s="870" t="n">
        <v>2024</v>
      </c>
      <c r="D1708" s="871" t="s">
        <v>10</v>
      </c>
      <c r="E1708" s="871" t="s">
        <v>2192</v>
      </c>
      <c r="F1708" s="871" t="s">
        <v>1650</v>
      </c>
      <c r="G1708" s="872"/>
      <c r="H1708" s="1525" t="n">
        <v>91.7325</v>
      </c>
      <c r="I1708" s="1433"/>
      <c r="J1708" s="1433"/>
      <c r="K1708" s="875" t="n">
        <f aca="false">H1708*I1708/100</f>
        <v>0</v>
      </c>
      <c r="L1708" s="553" t="n">
        <v>12917</v>
      </c>
      <c r="M1708" s="1000" t="n">
        <v>1</v>
      </c>
      <c r="N1708" s="1301" t="n">
        <f aca="false">L1708*M1708</f>
        <v>12917</v>
      </c>
      <c r="O1708" s="1402" t="n">
        <f aca="false">H1708*N1708</f>
        <v>1184908.7025</v>
      </c>
      <c r="P1708" s="879" t="s">
        <v>2193</v>
      </c>
      <c r="Q1708" s="880" t="s">
        <v>2946</v>
      </c>
      <c r="R1708" s="877" t="n">
        <v>1184908.7025</v>
      </c>
      <c r="S1708" s="866" t="n">
        <f aca="false">R1708/H1708</f>
        <v>12917</v>
      </c>
      <c r="T1708" s="1014" t="n">
        <f aca="false">O1708-R1708</f>
        <v>0</v>
      </c>
      <c r="U1708" s="553" t="n">
        <f aca="false">N1708-S1708</f>
        <v>0</v>
      </c>
    </row>
    <row r="1709" customFormat="false" ht="15" hidden="false" customHeight="true" outlineLevel="0" collapsed="false">
      <c r="A1709" s="882" t="n">
        <v>137</v>
      </c>
      <c r="B1709" s="883" t="s">
        <v>2207</v>
      </c>
      <c r="C1709" s="883" t="n">
        <v>2024</v>
      </c>
      <c r="D1709" s="831" t="s">
        <v>10</v>
      </c>
      <c r="E1709" s="831" t="s">
        <v>2192</v>
      </c>
      <c r="F1709" s="832" t="s">
        <v>1652</v>
      </c>
      <c r="G1709" s="833"/>
      <c r="H1709" s="1526" t="n">
        <v>36.5315</v>
      </c>
      <c r="I1709" s="1020"/>
      <c r="J1709" s="1317"/>
      <c r="K1709" s="836" t="n">
        <f aca="false">H1709*I1709/100</f>
        <v>0</v>
      </c>
      <c r="L1709" s="837" t="n">
        <v>35383</v>
      </c>
      <c r="M1709" s="1003" t="n">
        <v>1</v>
      </c>
      <c r="N1709" s="837" t="n">
        <f aca="false">L1709*M1709</f>
        <v>35383</v>
      </c>
      <c r="O1709" s="943" t="n">
        <f aca="false">H1709*N1709</f>
        <v>1292594.0645</v>
      </c>
      <c r="P1709" s="838" t="s">
        <v>2197</v>
      </c>
      <c r="Q1709" s="839" t="s">
        <v>2990</v>
      </c>
      <c r="R1709" s="840" t="n">
        <v>438378</v>
      </c>
      <c r="S1709" s="840" t="n">
        <f aca="false">R1709/H1709</f>
        <v>12000</v>
      </c>
      <c r="T1709" s="943" t="n">
        <f aca="false">O1709-R1709-R1710-R1711</f>
        <v>0</v>
      </c>
      <c r="U1709" s="842" t="n">
        <f aca="false">N1709-S1709-S1710-S1711</f>
        <v>0</v>
      </c>
    </row>
    <row r="1710" customFormat="false" ht="15" hidden="false" customHeight="true" outlineLevel="0" collapsed="false">
      <c r="A1710" s="882"/>
      <c r="B1710" s="883"/>
      <c r="C1710" s="883"/>
      <c r="D1710" s="860" t="s">
        <v>10</v>
      </c>
      <c r="E1710" s="860" t="s">
        <v>2192</v>
      </c>
      <c r="F1710" s="832"/>
      <c r="G1710" s="833"/>
      <c r="H1710" s="1526"/>
      <c r="I1710" s="1020"/>
      <c r="J1710" s="1372"/>
      <c r="K1710" s="836"/>
      <c r="L1710" s="837"/>
      <c r="M1710" s="1003"/>
      <c r="N1710" s="837"/>
      <c r="O1710" s="943"/>
      <c r="P1710" s="868" t="s">
        <v>2197</v>
      </c>
      <c r="Q1710" s="869" t="s">
        <v>2991</v>
      </c>
      <c r="R1710" s="866" t="n">
        <v>730447.3425</v>
      </c>
      <c r="S1710" s="866" t="n">
        <f aca="false">R1710/H1709</f>
        <v>19995</v>
      </c>
      <c r="T1710" s="943"/>
      <c r="U1710" s="842"/>
    </row>
    <row r="1711" customFormat="false" ht="15" hidden="false" customHeight="true" outlineLevel="0" collapsed="false">
      <c r="A1711" s="882"/>
      <c r="B1711" s="883"/>
      <c r="C1711" s="883"/>
      <c r="D1711" s="843" t="s">
        <v>10</v>
      </c>
      <c r="E1711" s="843" t="s">
        <v>2192</v>
      </c>
      <c r="F1711" s="832"/>
      <c r="G1711" s="833"/>
      <c r="H1711" s="1526"/>
      <c r="I1711" s="1020"/>
      <c r="J1711" s="1319"/>
      <c r="K1711" s="836"/>
      <c r="L1711" s="837"/>
      <c r="M1711" s="1003"/>
      <c r="N1711" s="837"/>
      <c r="O1711" s="943"/>
      <c r="P1711" s="844" t="s">
        <v>2197</v>
      </c>
      <c r="Q1711" s="845" t="s">
        <v>2992</v>
      </c>
      <c r="R1711" s="846" t="n">
        <v>123768.722</v>
      </c>
      <c r="S1711" s="846" t="n">
        <f aca="false">R1711/H1709</f>
        <v>3388</v>
      </c>
      <c r="T1711" s="943"/>
      <c r="U1711" s="842"/>
    </row>
    <row r="1712" customFormat="false" ht="15" hidden="false" customHeight="true" outlineLevel="0" collapsed="false">
      <c r="A1712" s="847" t="n">
        <v>133</v>
      </c>
      <c r="B1712" s="847" t="s">
        <v>81</v>
      </c>
      <c r="C1712" s="847" t="n">
        <v>2024</v>
      </c>
      <c r="D1712" s="848" t="s">
        <v>10</v>
      </c>
      <c r="E1712" s="848" t="s">
        <v>2192</v>
      </c>
      <c r="F1712" s="848" t="s">
        <v>2199</v>
      </c>
      <c r="G1712" s="849"/>
      <c r="H1712" s="1523" t="n">
        <v>95.1</v>
      </c>
      <c r="I1712" s="1397"/>
      <c r="J1712" s="1353"/>
      <c r="K1712" s="852" t="n">
        <f aca="false">H1712*I1712/100</f>
        <v>0</v>
      </c>
      <c r="L1712" s="537" t="n">
        <v>32600</v>
      </c>
      <c r="M1712" s="1007" t="n">
        <v>1</v>
      </c>
      <c r="N1712" s="1143" t="n">
        <f aca="false">L1712*M1712</f>
        <v>32600</v>
      </c>
      <c r="O1712" s="1143" t="n">
        <f aca="false">H1712*N1712</f>
        <v>3100260</v>
      </c>
      <c r="P1712" s="856" t="s">
        <v>2200</v>
      </c>
      <c r="Q1712" s="857" t="s">
        <v>2993</v>
      </c>
      <c r="R1712" s="854" t="n">
        <v>3100260</v>
      </c>
      <c r="S1712" s="866" t="n">
        <f aca="false">R1712/H1712</f>
        <v>32600</v>
      </c>
      <c r="T1712" s="858" t="n">
        <f aca="false">O1712-R1712</f>
        <v>0</v>
      </c>
      <c r="U1712" s="537" t="n">
        <f aca="false">N1712-S1712</f>
        <v>0</v>
      </c>
    </row>
    <row r="1713" customFormat="false" ht="15" hidden="false" customHeight="true" outlineLevel="0" collapsed="false">
      <c r="A1713" s="847" t="n">
        <v>136</v>
      </c>
      <c r="B1713" s="847" t="s">
        <v>81</v>
      </c>
      <c r="C1713" s="847" t="n">
        <v>2024</v>
      </c>
      <c r="D1713" s="848" t="s">
        <v>10</v>
      </c>
      <c r="E1713" s="848" t="s">
        <v>2192</v>
      </c>
      <c r="F1713" s="848" t="s">
        <v>2199</v>
      </c>
      <c r="G1713" s="849"/>
      <c r="H1713" s="1523" t="n">
        <v>90.2</v>
      </c>
      <c r="I1713" s="1397"/>
      <c r="J1713" s="1353"/>
      <c r="K1713" s="852" t="n">
        <f aca="false">H1713*I1713/100</f>
        <v>0</v>
      </c>
      <c r="L1713" s="537" t="n">
        <v>39980</v>
      </c>
      <c r="M1713" s="1007" t="n">
        <v>1</v>
      </c>
      <c r="N1713" s="1143" t="n">
        <f aca="false">L1713*M1713</f>
        <v>39980</v>
      </c>
      <c r="O1713" s="1143" t="n">
        <f aca="false">H1713*N1713</f>
        <v>3606196</v>
      </c>
      <c r="P1713" s="856" t="s">
        <v>2200</v>
      </c>
      <c r="Q1713" s="857" t="s">
        <v>2378</v>
      </c>
      <c r="R1713" s="854" t="n">
        <v>3606196</v>
      </c>
      <c r="S1713" s="866" t="n">
        <f aca="false">R1713/H1713</f>
        <v>39980</v>
      </c>
      <c r="T1713" s="858" t="n">
        <f aca="false">O1713-R1713</f>
        <v>0</v>
      </c>
      <c r="U1713" s="537" t="n">
        <f aca="false">N1713-S1713</f>
        <v>0</v>
      </c>
    </row>
    <row r="1714" customFormat="false" ht="15" hidden="false" customHeight="true" outlineLevel="0" collapsed="false">
      <c r="A1714" s="847" t="n">
        <v>140</v>
      </c>
      <c r="B1714" s="847" t="s">
        <v>81</v>
      </c>
      <c r="C1714" s="847" t="n">
        <v>2024</v>
      </c>
      <c r="D1714" s="848" t="s">
        <v>10</v>
      </c>
      <c r="E1714" s="848" t="s">
        <v>2192</v>
      </c>
      <c r="F1714" s="848" t="s">
        <v>2199</v>
      </c>
      <c r="G1714" s="849"/>
      <c r="H1714" s="1523" t="n">
        <v>88</v>
      </c>
      <c r="I1714" s="1397"/>
      <c r="J1714" s="1353"/>
      <c r="K1714" s="852" t="n">
        <f aca="false">H1714*I1714/100</f>
        <v>0</v>
      </c>
      <c r="L1714" s="537" t="n">
        <v>30060</v>
      </c>
      <c r="M1714" s="1007" t="n">
        <v>1</v>
      </c>
      <c r="N1714" s="1143" t="n">
        <f aca="false">L1714*M1714</f>
        <v>30060</v>
      </c>
      <c r="O1714" s="1143" t="n">
        <f aca="false">H1714*N1714</f>
        <v>2645280</v>
      </c>
      <c r="P1714" s="856" t="s">
        <v>2200</v>
      </c>
      <c r="Q1714" s="857" t="s">
        <v>2643</v>
      </c>
      <c r="R1714" s="854" t="n">
        <v>2645280</v>
      </c>
      <c r="S1714" s="866" t="n">
        <f aca="false">R1714/H1714</f>
        <v>30060</v>
      </c>
      <c r="T1714" s="858" t="n">
        <f aca="false">O1714-R1714</f>
        <v>0</v>
      </c>
      <c r="U1714" s="537" t="n">
        <f aca="false">N1714-S1714</f>
        <v>0</v>
      </c>
    </row>
    <row r="1715" customFormat="false" ht="15" hidden="false" customHeight="true" outlineLevel="0" collapsed="false">
      <c r="A1715" s="847" t="n">
        <v>141</v>
      </c>
      <c r="B1715" s="847" t="s">
        <v>81</v>
      </c>
      <c r="C1715" s="847" t="n">
        <v>2024</v>
      </c>
      <c r="D1715" s="848" t="s">
        <v>10</v>
      </c>
      <c r="E1715" s="848" t="s">
        <v>2192</v>
      </c>
      <c r="F1715" s="848" t="s">
        <v>2199</v>
      </c>
      <c r="G1715" s="849"/>
      <c r="H1715" s="1523" t="n">
        <v>85.3</v>
      </c>
      <c r="I1715" s="1397"/>
      <c r="J1715" s="1353"/>
      <c r="K1715" s="852" t="n">
        <f aca="false">H1715*I1715/100</f>
        <v>0</v>
      </c>
      <c r="L1715" s="537" t="n">
        <v>30820</v>
      </c>
      <c r="M1715" s="1007" t="n">
        <v>1</v>
      </c>
      <c r="N1715" s="1143" t="n">
        <f aca="false">L1715*M1715</f>
        <v>30820</v>
      </c>
      <c r="O1715" s="1143" t="n">
        <f aca="false">H1715*N1715</f>
        <v>2628946</v>
      </c>
      <c r="P1715" s="856" t="s">
        <v>2200</v>
      </c>
      <c r="Q1715" s="857" t="s">
        <v>2873</v>
      </c>
      <c r="R1715" s="854" t="n">
        <v>2628946</v>
      </c>
      <c r="S1715" s="866" t="n">
        <f aca="false">R1715/H1715</f>
        <v>30820</v>
      </c>
      <c r="T1715" s="858" t="n">
        <f aca="false">O1715-R1715</f>
        <v>0</v>
      </c>
      <c r="U1715" s="537" t="n">
        <f aca="false">N1715-S1715</f>
        <v>0</v>
      </c>
    </row>
    <row r="1716" customFormat="false" ht="15" hidden="false" customHeight="true" outlineLevel="0" collapsed="false">
      <c r="A1716" s="847" t="n">
        <v>142</v>
      </c>
      <c r="B1716" s="847" t="s">
        <v>81</v>
      </c>
      <c r="C1716" s="847" t="n">
        <v>2024</v>
      </c>
      <c r="D1716" s="848" t="s">
        <v>10</v>
      </c>
      <c r="E1716" s="848" t="s">
        <v>2192</v>
      </c>
      <c r="F1716" s="848" t="s">
        <v>2199</v>
      </c>
      <c r="G1716" s="849"/>
      <c r="H1716" s="1523" t="n">
        <v>88.9</v>
      </c>
      <c r="I1716" s="1397"/>
      <c r="J1716" s="1353"/>
      <c r="K1716" s="852" t="n">
        <f aca="false">H1716*I1716/100</f>
        <v>0</v>
      </c>
      <c r="L1716" s="537" t="n">
        <v>9960</v>
      </c>
      <c r="M1716" s="1007" t="n">
        <v>1</v>
      </c>
      <c r="N1716" s="1143" t="n">
        <f aca="false">L1716*M1716</f>
        <v>9960</v>
      </c>
      <c r="O1716" s="1143" t="n">
        <f aca="false">H1716*N1716</f>
        <v>885444</v>
      </c>
      <c r="P1716" s="856" t="s">
        <v>2200</v>
      </c>
      <c r="Q1716" s="857" t="s">
        <v>2215</v>
      </c>
      <c r="R1716" s="854" t="n">
        <v>885444</v>
      </c>
      <c r="S1716" s="854" t="n">
        <f aca="false">R1716/H1716</f>
        <v>9960</v>
      </c>
      <c r="T1716" s="858" t="n">
        <f aca="false">O1716-R1716</f>
        <v>0</v>
      </c>
      <c r="U1716" s="537" t="n">
        <f aca="false">N1716-S1716</f>
        <v>0</v>
      </c>
    </row>
    <row r="1717" customFormat="false" ht="15" hidden="false" customHeight="true" outlineLevel="0" collapsed="false">
      <c r="A1717" s="847" t="n">
        <v>143</v>
      </c>
      <c r="B1717" s="847" t="s">
        <v>81</v>
      </c>
      <c r="C1717" s="847" t="n">
        <v>2024</v>
      </c>
      <c r="D1717" s="848" t="s">
        <v>10</v>
      </c>
      <c r="E1717" s="848" t="s">
        <v>2192</v>
      </c>
      <c r="F1717" s="848" t="s">
        <v>2199</v>
      </c>
      <c r="G1717" s="849"/>
      <c r="H1717" s="1523" t="n">
        <v>92.5</v>
      </c>
      <c r="I1717" s="1397"/>
      <c r="J1717" s="1353"/>
      <c r="K1717" s="852" t="n">
        <f aca="false">H1717*I1717/100</f>
        <v>0</v>
      </c>
      <c r="L1717" s="537" t="n">
        <v>30520</v>
      </c>
      <c r="M1717" s="1007" t="n">
        <v>1</v>
      </c>
      <c r="N1717" s="1143" t="n">
        <f aca="false">L1717*M1717</f>
        <v>30520</v>
      </c>
      <c r="O1717" s="1143" t="n">
        <f aca="false">H1717*N1717</f>
        <v>2823100</v>
      </c>
      <c r="P1717" s="856" t="s">
        <v>2200</v>
      </c>
      <c r="Q1717" s="857" t="s">
        <v>118</v>
      </c>
      <c r="R1717" s="854" t="n">
        <v>2823100</v>
      </c>
      <c r="S1717" s="866" t="n">
        <f aca="false">R1717/H1717</f>
        <v>30520</v>
      </c>
      <c r="T1717" s="858" t="n">
        <f aca="false">O1717-R1717</f>
        <v>0</v>
      </c>
      <c r="U1717" s="537" t="n">
        <f aca="false">N1717-S1717</f>
        <v>0</v>
      </c>
    </row>
    <row r="1718" customFormat="false" ht="15" hidden="false" customHeight="true" outlineLevel="0" collapsed="false">
      <c r="A1718" s="903" t="n">
        <v>144</v>
      </c>
      <c r="B1718" s="903" t="s">
        <v>81</v>
      </c>
      <c r="C1718" s="903" t="n">
        <v>2024</v>
      </c>
      <c r="D1718" s="904" t="s">
        <v>10</v>
      </c>
      <c r="E1718" s="904" t="s">
        <v>2192</v>
      </c>
      <c r="F1718" s="904" t="s">
        <v>2199</v>
      </c>
      <c r="G1718" s="905"/>
      <c r="H1718" s="1524" t="n">
        <v>91</v>
      </c>
      <c r="I1718" s="1055"/>
      <c r="J1718" s="1372"/>
      <c r="K1718" s="939" t="n">
        <f aca="false">H1718*I1718/100</f>
        <v>0</v>
      </c>
      <c r="L1718" s="942" t="n">
        <v>7540</v>
      </c>
      <c r="M1718" s="1023" t="n">
        <v>1</v>
      </c>
      <c r="N1718" s="1137" t="n">
        <f aca="false">L1718*M1718</f>
        <v>7540</v>
      </c>
      <c r="O1718" s="1137" t="n">
        <f aca="false">H1718*N1718</f>
        <v>686140</v>
      </c>
      <c r="P1718" s="910" t="s">
        <v>2200</v>
      </c>
      <c r="Q1718" s="911" t="s">
        <v>2210</v>
      </c>
      <c r="R1718" s="891" t="n">
        <v>686140</v>
      </c>
      <c r="S1718" s="877" t="n">
        <f aca="false">R1718/H1718</f>
        <v>7540</v>
      </c>
      <c r="T1718" s="1058" t="n">
        <f aca="false">O1718-R1718</f>
        <v>0</v>
      </c>
      <c r="U1718" s="942" t="n">
        <f aca="false">N1718-S1718</f>
        <v>0</v>
      </c>
    </row>
    <row r="1719" customFormat="false" ht="15" hidden="false" customHeight="true" outlineLevel="0" collapsed="false">
      <c r="A1719" s="829" t="n">
        <v>95</v>
      </c>
      <c r="B1719" s="1173" t="s">
        <v>86</v>
      </c>
      <c r="C1719" s="1173" t="n">
        <v>2024</v>
      </c>
      <c r="D1719" s="831" t="s">
        <v>10</v>
      </c>
      <c r="E1719" s="831" t="s">
        <v>2192</v>
      </c>
      <c r="F1719" s="831" t="s">
        <v>1650</v>
      </c>
      <c r="G1719" s="1108"/>
      <c r="H1719" s="1759" t="n">
        <v>90.3</v>
      </c>
      <c r="I1719" s="1435"/>
      <c r="J1719" s="1367"/>
      <c r="K1719" s="1111" t="n">
        <f aca="false">H1719*I1719/100</f>
        <v>0</v>
      </c>
      <c r="L1719" s="1114" t="n">
        <v>7003</v>
      </c>
      <c r="M1719" s="1113" t="n">
        <v>1</v>
      </c>
      <c r="N1719" s="1408" t="n">
        <f aca="false">L1719*M1719</f>
        <v>7003</v>
      </c>
      <c r="O1719" s="1553" t="n">
        <f aca="false">H1719*N1719</f>
        <v>632370.9</v>
      </c>
      <c r="P1719" s="838" t="s">
        <v>2232</v>
      </c>
      <c r="Q1719" s="839" t="s">
        <v>2311</v>
      </c>
      <c r="R1719" s="840" t="n">
        <v>632370.9</v>
      </c>
      <c r="S1719" s="840" t="n">
        <f aca="false">R1719/H1719</f>
        <v>7003</v>
      </c>
      <c r="T1719" s="1115" t="n">
        <f aca="false">O1719-R1719</f>
        <v>0</v>
      </c>
      <c r="U1719" s="1176" t="n">
        <f aca="false">N1719-S1719</f>
        <v>0</v>
      </c>
    </row>
    <row r="1720" customFormat="false" ht="15" hidden="false" customHeight="true" outlineLevel="0" collapsed="false">
      <c r="A1720" s="829"/>
      <c r="B1720" s="859" t="s">
        <v>86</v>
      </c>
      <c r="C1720" s="859" t="n">
        <v>2024</v>
      </c>
      <c r="D1720" s="860" t="s">
        <v>10</v>
      </c>
      <c r="E1720" s="860" t="s">
        <v>2242</v>
      </c>
      <c r="F1720" s="860"/>
      <c r="G1720" s="861"/>
      <c r="H1720" s="1760" t="n">
        <v>0</v>
      </c>
      <c r="I1720" s="1429"/>
      <c r="J1720" s="1771"/>
      <c r="K1720" s="864" t="n">
        <f aca="false">H1720*I1720/100</f>
        <v>0</v>
      </c>
      <c r="L1720" s="543" t="n">
        <v>261</v>
      </c>
      <c r="M1720" s="983" t="n">
        <v>1</v>
      </c>
      <c r="N1720" s="1299" t="n">
        <f aca="false">L1720*M1720</f>
        <v>261</v>
      </c>
      <c r="O1720" s="1348" t="n">
        <f aca="false">H1720*N1720</f>
        <v>0</v>
      </c>
      <c r="P1720" s="868" t="s">
        <v>2204</v>
      </c>
      <c r="Q1720" s="869" t="n">
        <v>31012025</v>
      </c>
      <c r="R1720" s="866"/>
      <c r="S1720" s="866" t="n">
        <v>261</v>
      </c>
      <c r="T1720" s="985" t="n">
        <f aca="false">O1720-R1720</f>
        <v>0</v>
      </c>
      <c r="U1720" s="1135" t="n">
        <f aca="false">N1720-S1720</f>
        <v>0</v>
      </c>
    </row>
    <row r="1721" customFormat="false" ht="15" hidden="false" customHeight="true" outlineLevel="0" collapsed="false">
      <c r="A1721" s="829"/>
      <c r="B1721" s="859" t="s">
        <v>86</v>
      </c>
      <c r="C1721" s="859" t="n">
        <v>2024</v>
      </c>
      <c r="D1721" s="860" t="s">
        <v>10</v>
      </c>
      <c r="E1721" s="860" t="s">
        <v>2203</v>
      </c>
      <c r="F1721" s="860"/>
      <c r="G1721" s="861"/>
      <c r="H1721" s="1760" t="n">
        <v>3</v>
      </c>
      <c r="I1721" s="1429"/>
      <c r="J1721" s="1771"/>
      <c r="K1721" s="864" t="n">
        <f aca="false">H1721*I1721/100</f>
        <v>0</v>
      </c>
      <c r="L1721" s="543" t="n">
        <v>1453</v>
      </c>
      <c r="M1721" s="983" t="n">
        <v>1</v>
      </c>
      <c r="N1721" s="1299" t="n">
        <f aca="false">L1721*M1721</f>
        <v>1453</v>
      </c>
      <c r="O1721" s="1348" t="n">
        <f aca="false">H1721*N1721</f>
        <v>4359</v>
      </c>
      <c r="P1721" s="868" t="s">
        <v>2204</v>
      </c>
      <c r="Q1721" s="869" t="n">
        <v>31012025</v>
      </c>
      <c r="R1721" s="866" t="n">
        <v>4359</v>
      </c>
      <c r="S1721" s="866" t="n">
        <f aca="false">R1721/H1721</f>
        <v>1453</v>
      </c>
      <c r="T1721" s="985" t="n">
        <f aca="false">O1721-R1721</f>
        <v>0</v>
      </c>
      <c r="U1721" s="1135" t="n">
        <f aca="false">N1721-S1721</f>
        <v>0</v>
      </c>
    </row>
    <row r="1722" customFormat="false" ht="15" hidden="false" customHeight="true" outlineLevel="0" collapsed="false">
      <c r="A1722" s="829"/>
      <c r="B1722" s="859" t="s">
        <v>86</v>
      </c>
      <c r="C1722" s="859" t="n">
        <v>2024</v>
      </c>
      <c r="D1722" s="860" t="s">
        <v>10</v>
      </c>
      <c r="E1722" s="860" t="s">
        <v>2241</v>
      </c>
      <c r="F1722" s="860"/>
      <c r="G1722" s="861"/>
      <c r="H1722" s="1760" t="n">
        <v>12.7</v>
      </c>
      <c r="I1722" s="1429"/>
      <c r="J1722" s="1771"/>
      <c r="K1722" s="864" t="n">
        <f aca="false">H1722*I1722/100</f>
        <v>0</v>
      </c>
      <c r="L1722" s="543" t="n">
        <v>637</v>
      </c>
      <c r="M1722" s="983" t="n">
        <v>1</v>
      </c>
      <c r="N1722" s="1299" t="n">
        <f aca="false">L1722*M1722</f>
        <v>637</v>
      </c>
      <c r="O1722" s="1348" t="n">
        <f aca="false">H1722*N1722</f>
        <v>8089.9</v>
      </c>
      <c r="P1722" s="868" t="s">
        <v>2204</v>
      </c>
      <c r="Q1722" s="869" t="n">
        <v>31012025</v>
      </c>
      <c r="R1722" s="866" t="n">
        <v>8089.9</v>
      </c>
      <c r="S1722" s="866" t="n">
        <f aca="false">R1722/H1722</f>
        <v>637</v>
      </c>
      <c r="T1722" s="985" t="n">
        <f aca="false">O1722-R1722</f>
        <v>0</v>
      </c>
      <c r="U1722" s="1135" t="n">
        <f aca="false">N1722-S1722</f>
        <v>0</v>
      </c>
    </row>
    <row r="1723" customFormat="false" ht="15" hidden="false" customHeight="true" outlineLevel="0" collapsed="false">
      <c r="A1723" s="829"/>
      <c r="B1723" s="893" t="s">
        <v>86</v>
      </c>
      <c r="C1723" s="893" t="n">
        <v>2024</v>
      </c>
      <c r="D1723" s="843" t="s">
        <v>10</v>
      </c>
      <c r="E1723" s="843" t="s">
        <v>2205</v>
      </c>
      <c r="F1723" s="843"/>
      <c r="G1723" s="894"/>
      <c r="H1723" s="1769" t="n">
        <v>0</v>
      </c>
      <c r="I1723" s="1532"/>
      <c r="J1723" s="1360"/>
      <c r="K1723" s="897" t="n">
        <f aca="false">H1723*I1723/100</f>
        <v>0</v>
      </c>
      <c r="L1723" s="589" t="n">
        <v>713</v>
      </c>
      <c r="M1723" s="1106" t="n">
        <v>1</v>
      </c>
      <c r="N1723" s="1393" t="n">
        <f aca="false">L1723*M1723</f>
        <v>713</v>
      </c>
      <c r="O1723" s="1500" t="n">
        <f aca="false">H1723*N1723</f>
        <v>0</v>
      </c>
      <c r="P1723" s="844" t="s">
        <v>2204</v>
      </c>
      <c r="Q1723" s="845" t="n">
        <v>31012025</v>
      </c>
      <c r="R1723" s="846"/>
      <c r="S1723" s="846" t="n">
        <v>713</v>
      </c>
      <c r="T1723" s="1441" t="n">
        <f aca="false">O1723-R1723</f>
        <v>0</v>
      </c>
      <c r="U1723" s="902" t="n">
        <f aca="false">N1723-S1723</f>
        <v>0</v>
      </c>
    </row>
    <row r="1724" customFormat="false" ht="15" hidden="false" customHeight="true" outlineLevel="0" collapsed="false">
      <c r="A1724" s="881" t="n">
        <v>96</v>
      </c>
      <c r="B1724" s="829" t="s">
        <v>86</v>
      </c>
      <c r="C1724" s="830" t="n">
        <v>2024</v>
      </c>
      <c r="D1724" s="831" t="s">
        <v>10</v>
      </c>
      <c r="E1724" s="831" t="s">
        <v>2192</v>
      </c>
      <c r="F1724" s="832" t="s">
        <v>1650</v>
      </c>
      <c r="G1724" s="833"/>
      <c r="H1724" s="1526" t="n">
        <v>96</v>
      </c>
      <c r="I1724" s="1020"/>
      <c r="J1724" s="1020"/>
      <c r="K1724" s="836" t="n">
        <f aca="false">H1724*I1724/100</f>
        <v>0</v>
      </c>
      <c r="L1724" s="837" t="n">
        <v>31079</v>
      </c>
      <c r="M1724" s="1003" t="n">
        <v>1</v>
      </c>
      <c r="N1724" s="837" t="n">
        <f aca="false">L1724*M1724</f>
        <v>31079</v>
      </c>
      <c r="O1724" s="1120" t="n">
        <f aca="false">H1724*N1724</f>
        <v>2983584</v>
      </c>
      <c r="P1724" s="838" t="s">
        <v>2197</v>
      </c>
      <c r="Q1724" s="839" t="s">
        <v>2994</v>
      </c>
      <c r="R1724" s="840" t="n">
        <v>1920000</v>
      </c>
      <c r="S1724" s="840" t="n">
        <f aca="false">R1724/H1724</f>
        <v>20000</v>
      </c>
      <c r="T1724" s="841" t="n">
        <f aca="false">O1724-R1724-R1725</f>
        <v>0</v>
      </c>
      <c r="U1724" s="842" t="n">
        <f aca="false">N1724-S1724-S1725</f>
        <v>0</v>
      </c>
    </row>
    <row r="1725" customFormat="false" ht="15" hidden="false" customHeight="true" outlineLevel="0" collapsed="false">
      <c r="A1725" s="881"/>
      <c r="B1725" s="829"/>
      <c r="C1725" s="830"/>
      <c r="D1725" s="887" t="s">
        <v>10</v>
      </c>
      <c r="E1725" s="887" t="s">
        <v>2192</v>
      </c>
      <c r="F1725" s="832"/>
      <c r="G1725" s="833"/>
      <c r="H1725" s="1526"/>
      <c r="I1725" s="1020"/>
      <c r="J1725" s="1020"/>
      <c r="K1725" s="836"/>
      <c r="L1725" s="837"/>
      <c r="M1725" s="1003"/>
      <c r="N1725" s="837"/>
      <c r="O1725" s="1120"/>
      <c r="P1725" s="888" t="s">
        <v>2197</v>
      </c>
      <c r="Q1725" s="889" t="s">
        <v>2995</v>
      </c>
      <c r="R1725" s="890" t="n">
        <v>1063584</v>
      </c>
      <c r="S1725" s="846" t="n">
        <f aca="false">R1725/H1724</f>
        <v>11079</v>
      </c>
      <c r="T1725" s="841"/>
      <c r="U1725" s="842"/>
    </row>
    <row r="1726" customFormat="false" ht="15" hidden="false" customHeight="true" outlineLevel="0" collapsed="false">
      <c r="A1726" s="881"/>
      <c r="B1726" s="847" t="s">
        <v>86</v>
      </c>
      <c r="C1726" s="847" t="n">
        <v>2024</v>
      </c>
      <c r="D1726" s="848" t="s">
        <v>10</v>
      </c>
      <c r="E1726" s="848" t="s">
        <v>2203</v>
      </c>
      <c r="F1726" s="848"/>
      <c r="G1726" s="849"/>
      <c r="H1726" s="1523" t="n">
        <v>22.7</v>
      </c>
      <c r="I1726" s="1397"/>
      <c r="J1726" s="1397"/>
      <c r="K1726" s="852" t="n">
        <f aca="false">H1726*I1726/100</f>
        <v>0</v>
      </c>
      <c r="L1726" s="537" t="n">
        <v>1666</v>
      </c>
      <c r="M1726" s="1007" t="n">
        <v>1</v>
      </c>
      <c r="N1726" s="537" t="n">
        <f aca="false">L1726*M1726</f>
        <v>1666</v>
      </c>
      <c r="O1726" s="1347" t="n">
        <f aca="false">H1726*N1726</f>
        <v>37818.2</v>
      </c>
      <c r="P1726" s="856" t="s">
        <v>2200</v>
      </c>
      <c r="Q1726" s="857" t="s">
        <v>2946</v>
      </c>
      <c r="R1726" s="854" t="n">
        <v>37818.2</v>
      </c>
      <c r="S1726" s="854" t="n">
        <f aca="false">R1726/H1726</f>
        <v>1666</v>
      </c>
      <c r="T1726" s="858" t="n">
        <f aca="false">O1726-R1726</f>
        <v>0</v>
      </c>
      <c r="U1726" s="892" t="n">
        <f aca="false">N1726-S1726</f>
        <v>0</v>
      </c>
    </row>
    <row r="1727" customFormat="false" ht="15" hidden="false" customHeight="true" outlineLevel="0" collapsed="false">
      <c r="A1727" s="881"/>
      <c r="B1727" s="893" t="s">
        <v>86</v>
      </c>
      <c r="C1727" s="893" t="n">
        <v>2024</v>
      </c>
      <c r="D1727" s="843" t="s">
        <v>10</v>
      </c>
      <c r="E1727" s="843" t="s">
        <v>2205</v>
      </c>
      <c r="F1727" s="843"/>
      <c r="G1727" s="894"/>
      <c r="H1727" s="1769" t="n">
        <v>0</v>
      </c>
      <c r="I1727" s="1532"/>
      <c r="J1727" s="1532"/>
      <c r="K1727" s="897" t="n">
        <f aca="false">H1727*I1727/100</f>
        <v>0</v>
      </c>
      <c r="L1727" s="589" t="n">
        <v>2758</v>
      </c>
      <c r="M1727" s="1106" t="n">
        <v>1</v>
      </c>
      <c r="N1727" s="589" t="n">
        <f aca="false">L1727*M1727</f>
        <v>2758</v>
      </c>
      <c r="O1727" s="1184" t="n">
        <f aca="false">H1727*N1727</f>
        <v>0</v>
      </c>
      <c r="P1727" s="844" t="s">
        <v>2204</v>
      </c>
      <c r="Q1727" s="845" t="n">
        <v>31012025</v>
      </c>
      <c r="R1727" s="846"/>
      <c r="S1727" s="846" t="n">
        <v>2758</v>
      </c>
      <c r="T1727" s="1441" t="n">
        <f aca="false">O1727-R1727</f>
        <v>0</v>
      </c>
      <c r="U1727" s="902" t="n">
        <f aca="false">N1727-S1727</f>
        <v>0</v>
      </c>
    </row>
    <row r="1728" customFormat="false" ht="15" hidden="false" customHeight="true" outlineLevel="0" collapsed="false">
      <c r="A1728" s="881" t="n">
        <v>104</v>
      </c>
      <c r="B1728" s="882" t="s">
        <v>86</v>
      </c>
      <c r="C1728" s="883" t="n">
        <v>2024</v>
      </c>
      <c r="D1728" s="831" t="s">
        <v>10</v>
      </c>
      <c r="E1728" s="831" t="s">
        <v>2192</v>
      </c>
      <c r="F1728" s="832" t="s">
        <v>1650</v>
      </c>
      <c r="G1728" s="833"/>
      <c r="H1728" s="1526" t="n">
        <v>98.9</v>
      </c>
      <c r="I1728" s="1020"/>
      <c r="J1728" s="1020"/>
      <c r="K1728" s="836" t="n">
        <f aca="false">H1728*I1728/100</f>
        <v>0</v>
      </c>
      <c r="L1728" s="837" t="n">
        <v>29650</v>
      </c>
      <c r="M1728" s="1003" t="n">
        <v>1</v>
      </c>
      <c r="N1728" s="837" t="n">
        <f aca="false">L1728*M1728</f>
        <v>29650</v>
      </c>
      <c r="O1728" s="1120" t="n">
        <f aca="false">H1728*N1728</f>
        <v>2932385</v>
      </c>
      <c r="P1728" s="838" t="s">
        <v>2232</v>
      </c>
      <c r="Q1728" s="839" t="s">
        <v>2393</v>
      </c>
      <c r="R1728" s="944" t="n">
        <v>969220</v>
      </c>
      <c r="S1728" s="840" t="n">
        <f aca="false">R1728/H1728</f>
        <v>9800</v>
      </c>
      <c r="T1728" s="841" t="n">
        <f aca="false">O1728-R1728-R1729-R1730</f>
        <v>0</v>
      </c>
      <c r="U1728" s="842" t="n">
        <f aca="false">N1728-S1728-S1729-S1730</f>
        <v>0</v>
      </c>
    </row>
    <row r="1729" customFormat="false" ht="15" hidden="false" customHeight="true" outlineLevel="0" collapsed="false">
      <c r="A1729" s="881"/>
      <c r="B1729" s="882"/>
      <c r="C1729" s="883"/>
      <c r="D1729" s="860" t="s">
        <v>10</v>
      </c>
      <c r="E1729" s="860" t="s">
        <v>2192</v>
      </c>
      <c r="F1729" s="832"/>
      <c r="G1729" s="833"/>
      <c r="H1729" s="1526"/>
      <c r="I1729" s="1020"/>
      <c r="J1729" s="1020"/>
      <c r="K1729" s="836"/>
      <c r="L1729" s="837"/>
      <c r="M1729" s="1003"/>
      <c r="N1729" s="837"/>
      <c r="O1729" s="1120"/>
      <c r="P1729" s="868" t="s">
        <v>2232</v>
      </c>
      <c r="Q1729" s="869" t="s">
        <v>2394</v>
      </c>
      <c r="R1729" s="1448" t="n">
        <v>969220</v>
      </c>
      <c r="S1729" s="866" t="n">
        <f aca="false">R1729/H1728</f>
        <v>9800</v>
      </c>
      <c r="T1729" s="841"/>
      <c r="U1729" s="842"/>
    </row>
    <row r="1730" customFormat="false" ht="15" hidden="false" customHeight="true" outlineLevel="0" collapsed="false">
      <c r="A1730" s="881"/>
      <c r="B1730" s="882"/>
      <c r="C1730" s="883"/>
      <c r="D1730" s="843" t="s">
        <v>10</v>
      </c>
      <c r="E1730" s="843" t="s">
        <v>2192</v>
      </c>
      <c r="F1730" s="832"/>
      <c r="G1730" s="833"/>
      <c r="H1730" s="1526"/>
      <c r="I1730" s="1020"/>
      <c r="J1730" s="1020"/>
      <c r="K1730" s="836"/>
      <c r="L1730" s="837"/>
      <c r="M1730" s="1003"/>
      <c r="N1730" s="837"/>
      <c r="O1730" s="1120"/>
      <c r="P1730" s="844" t="s">
        <v>2232</v>
      </c>
      <c r="Q1730" s="845" t="s">
        <v>2395</v>
      </c>
      <c r="R1730" s="1350" t="n">
        <v>993945</v>
      </c>
      <c r="S1730" s="846" t="n">
        <f aca="false">R1730/H1728</f>
        <v>10050</v>
      </c>
      <c r="T1730" s="841"/>
      <c r="U1730" s="842"/>
    </row>
    <row r="1731" customFormat="false" ht="15" hidden="false" customHeight="true" outlineLevel="0" collapsed="false">
      <c r="A1731" s="881"/>
      <c r="B1731" s="847" t="s">
        <v>86</v>
      </c>
      <c r="C1731" s="847" t="n">
        <v>2024</v>
      </c>
      <c r="D1731" s="848" t="s">
        <v>10</v>
      </c>
      <c r="E1731" s="848" t="s">
        <v>2203</v>
      </c>
      <c r="F1731" s="848"/>
      <c r="G1731" s="849"/>
      <c r="H1731" s="1523" t="n">
        <v>52.1</v>
      </c>
      <c r="I1731" s="1397"/>
      <c r="J1731" s="1397"/>
      <c r="K1731" s="852" t="n">
        <f aca="false">H1731*I1731/100</f>
        <v>0</v>
      </c>
      <c r="L1731" s="537" t="n">
        <v>653</v>
      </c>
      <c r="M1731" s="1007" t="n">
        <v>1</v>
      </c>
      <c r="N1731" s="1143" t="n">
        <f aca="false">L1731*M1731</f>
        <v>653</v>
      </c>
      <c r="O1731" s="1143" t="n">
        <f aca="false">H1731*N1731</f>
        <v>34021.3</v>
      </c>
      <c r="P1731" s="856" t="s">
        <v>2200</v>
      </c>
      <c r="Q1731" s="857" t="s">
        <v>2946</v>
      </c>
      <c r="R1731" s="952" t="n">
        <v>34021.3</v>
      </c>
      <c r="S1731" s="840" t="n">
        <f aca="false">R1731/H1731</f>
        <v>653</v>
      </c>
      <c r="T1731" s="858" t="n">
        <f aca="false">O1731-R1731</f>
        <v>0</v>
      </c>
      <c r="U1731" s="892" t="n">
        <f aca="false">N1731-S1731</f>
        <v>0</v>
      </c>
    </row>
    <row r="1732" customFormat="false" ht="15" hidden="false" customHeight="true" outlineLevel="0" collapsed="false">
      <c r="A1732" s="881"/>
      <c r="B1732" s="893" t="s">
        <v>86</v>
      </c>
      <c r="C1732" s="893" t="n">
        <v>2024</v>
      </c>
      <c r="D1732" s="843" t="s">
        <v>10</v>
      </c>
      <c r="E1732" s="843" t="s">
        <v>2205</v>
      </c>
      <c r="F1732" s="843"/>
      <c r="G1732" s="894"/>
      <c r="H1732" s="1769" t="n">
        <v>0</v>
      </c>
      <c r="I1732" s="1532"/>
      <c r="J1732" s="1532"/>
      <c r="K1732" s="897" t="n">
        <f aca="false">H1732*I1732/100</f>
        <v>0</v>
      </c>
      <c r="L1732" s="589" t="n">
        <v>672</v>
      </c>
      <c r="M1732" s="1106" t="n">
        <v>1</v>
      </c>
      <c r="N1732" s="1393" t="n">
        <f aca="false">L1732*M1732</f>
        <v>672</v>
      </c>
      <c r="O1732" s="1393" t="n">
        <f aca="false">H1732*N1732</f>
        <v>0</v>
      </c>
      <c r="P1732" s="844" t="s">
        <v>2204</v>
      </c>
      <c r="Q1732" s="845" t="n">
        <v>31012025</v>
      </c>
      <c r="R1732" s="1350"/>
      <c r="S1732" s="846" t="n">
        <v>672</v>
      </c>
      <c r="T1732" s="1441" t="n">
        <f aca="false">O1732-R1732</f>
        <v>0</v>
      </c>
      <c r="U1732" s="902" t="n">
        <f aca="false">N1732-S1732</f>
        <v>0</v>
      </c>
    </row>
    <row r="1733" customFormat="false" ht="15" hidden="false" customHeight="true" outlineLevel="0" collapsed="false">
      <c r="A1733" s="881" t="n">
        <v>105</v>
      </c>
      <c r="B1733" s="882" t="s">
        <v>86</v>
      </c>
      <c r="C1733" s="883" t="n">
        <v>2024</v>
      </c>
      <c r="D1733" s="831" t="s">
        <v>10</v>
      </c>
      <c r="E1733" s="831" t="s">
        <v>2192</v>
      </c>
      <c r="F1733" s="832" t="s">
        <v>1650</v>
      </c>
      <c r="G1733" s="833"/>
      <c r="H1733" s="1526" t="n">
        <v>94.3</v>
      </c>
      <c r="I1733" s="1020"/>
      <c r="J1733" s="1317"/>
      <c r="K1733" s="836" t="n">
        <f aca="false">H1733*I1733/100</f>
        <v>0</v>
      </c>
      <c r="L1733" s="837" t="n">
        <v>32626</v>
      </c>
      <c r="M1733" s="1003" t="n">
        <v>1</v>
      </c>
      <c r="N1733" s="837" t="n">
        <f aca="false">L1733*M1733</f>
        <v>32626</v>
      </c>
      <c r="O1733" s="1120" t="n">
        <f aca="false">H1733*N1733</f>
        <v>3076631.8</v>
      </c>
      <c r="P1733" s="838" t="s">
        <v>2232</v>
      </c>
      <c r="Q1733" s="839" t="s">
        <v>2393</v>
      </c>
      <c r="R1733" s="1537" t="n">
        <v>1018440</v>
      </c>
      <c r="S1733" s="840" t="n">
        <f aca="false">R1733/H1733</f>
        <v>10800</v>
      </c>
      <c r="T1733" s="841" t="n">
        <f aca="false">O1733-R1733-R1734-R1735</f>
        <v>0</v>
      </c>
      <c r="U1733" s="842" t="n">
        <f aca="false">N1733-S1733-S1734-S1735</f>
        <v>0</v>
      </c>
    </row>
    <row r="1734" customFormat="false" ht="15" hidden="false" customHeight="true" outlineLevel="0" collapsed="false">
      <c r="A1734" s="881"/>
      <c r="B1734" s="882"/>
      <c r="C1734" s="883"/>
      <c r="D1734" s="860" t="s">
        <v>10</v>
      </c>
      <c r="E1734" s="860" t="s">
        <v>2192</v>
      </c>
      <c r="F1734" s="832"/>
      <c r="G1734" s="833"/>
      <c r="H1734" s="1526"/>
      <c r="I1734" s="1020"/>
      <c r="J1734" s="1372"/>
      <c r="K1734" s="836"/>
      <c r="L1734" s="837"/>
      <c r="M1734" s="1003"/>
      <c r="N1734" s="837"/>
      <c r="O1734" s="1120"/>
      <c r="P1734" s="868" t="s">
        <v>2232</v>
      </c>
      <c r="Q1734" s="869" t="s">
        <v>2394</v>
      </c>
      <c r="R1734" s="1383" t="n">
        <v>1018440</v>
      </c>
      <c r="S1734" s="866" t="n">
        <f aca="false">R1734/H1733</f>
        <v>10800</v>
      </c>
      <c r="T1734" s="841"/>
      <c r="U1734" s="842"/>
    </row>
    <row r="1735" customFormat="false" ht="15" hidden="false" customHeight="true" outlineLevel="0" collapsed="false">
      <c r="A1735" s="881"/>
      <c r="B1735" s="882"/>
      <c r="C1735" s="883"/>
      <c r="D1735" s="843" t="s">
        <v>10</v>
      </c>
      <c r="E1735" s="843" t="s">
        <v>2192</v>
      </c>
      <c r="F1735" s="832"/>
      <c r="G1735" s="833"/>
      <c r="H1735" s="1526"/>
      <c r="I1735" s="1020"/>
      <c r="J1735" s="1319"/>
      <c r="K1735" s="836"/>
      <c r="L1735" s="837"/>
      <c r="M1735" s="1003"/>
      <c r="N1735" s="837"/>
      <c r="O1735" s="1120"/>
      <c r="P1735" s="844" t="s">
        <v>2232</v>
      </c>
      <c r="Q1735" s="845" t="s">
        <v>2395</v>
      </c>
      <c r="R1735" s="1539" t="n">
        <v>1039751.8</v>
      </c>
      <c r="S1735" s="846" t="n">
        <f aca="false">R1735/H1733</f>
        <v>11026</v>
      </c>
      <c r="T1735" s="841"/>
      <c r="U1735" s="842"/>
    </row>
    <row r="1736" customFormat="false" ht="15" hidden="false" customHeight="true" outlineLevel="0" collapsed="false">
      <c r="A1736" s="881"/>
      <c r="B1736" s="847" t="s">
        <v>86</v>
      </c>
      <c r="C1736" s="847" t="n">
        <v>2024</v>
      </c>
      <c r="D1736" s="848" t="s">
        <v>10</v>
      </c>
      <c r="E1736" s="848" t="s">
        <v>2242</v>
      </c>
      <c r="F1736" s="848"/>
      <c r="G1736" s="849"/>
      <c r="H1736" s="1523" t="n">
        <v>48</v>
      </c>
      <c r="I1736" s="1397"/>
      <c r="J1736" s="1353"/>
      <c r="K1736" s="852" t="n">
        <f aca="false">H1736*I1736/100</f>
        <v>0</v>
      </c>
      <c r="L1736" s="537" t="n">
        <v>415</v>
      </c>
      <c r="M1736" s="1007" t="n">
        <v>1</v>
      </c>
      <c r="N1736" s="1143" t="n">
        <f aca="false">L1736*M1736</f>
        <v>415</v>
      </c>
      <c r="O1736" s="1143" t="n">
        <f aca="false">H1736*N1736</f>
        <v>19920</v>
      </c>
      <c r="P1736" s="856" t="s">
        <v>2200</v>
      </c>
      <c r="Q1736" s="857" t="s">
        <v>2946</v>
      </c>
      <c r="R1736" s="1512" t="n">
        <v>19920</v>
      </c>
      <c r="S1736" s="886" t="n">
        <f aca="false">R1736/H1736</f>
        <v>415</v>
      </c>
      <c r="T1736" s="858" t="n">
        <f aca="false">O1736-R1736</f>
        <v>0</v>
      </c>
      <c r="U1736" s="892" t="n">
        <f aca="false">N1736-S1736</f>
        <v>0</v>
      </c>
    </row>
    <row r="1737" customFormat="false" ht="15" hidden="false" customHeight="true" outlineLevel="0" collapsed="false">
      <c r="A1737" s="881"/>
      <c r="B1737" s="859" t="s">
        <v>86</v>
      </c>
      <c r="C1737" s="859" t="n">
        <v>2024</v>
      </c>
      <c r="D1737" s="860" t="s">
        <v>10</v>
      </c>
      <c r="E1737" s="860" t="s">
        <v>2203</v>
      </c>
      <c r="F1737" s="860"/>
      <c r="G1737" s="861"/>
      <c r="H1737" s="1760" t="n">
        <v>35.4</v>
      </c>
      <c r="I1737" s="1429"/>
      <c r="J1737" s="1771"/>
      <c r="K1737" s="864" t="n">
        <f aca="false">H1737*I1737/100</f>
        <v>0</v>
      </c>
      <c r="L1737" s="543" t="n">
        <v>2126</v>
      </c>
      <c r="M1737" s="983" t="n">
        <v>1</v>
      </c>
      <c r="N1737" s="1299" t="n">
        <f aca="false">L1737*M1737</f>
        <v>2126</v>
      </c>
      <c r="O1737" s="1299" t="n">
        <f aca="false">H1737*N1737</f>
        <v>75260.4</v>
      </c>
      <c r="P1737" s="868" t="s">
        <v>2200</v>
      </c>
      <c r="Q1737" s="869" t="s">
        <v>2946</v>
      </c>
      <c r="R1737" s="1383" t="n">
        <v>75260.4</v>
      </c>
      <c r="S1737" s="866" t="n">
        <f aca="false">R1737/H1737</f>
        <v>2126</v>
      </c>
      <c r="T1737" s="985" t="n">
        <f aca="false">O1737-R1737</f>
        <v>0</v>
      </c>
      <c r="U1737" s="1135" t="n">
        <f aca="false">N1737-S1737</f>
        <v>0</v>
      </c>
    </row>
    <row r="1738" customFormat="false" ht="15" hidden="false" customHeight="true" outlineLevel="0" collapsed="false">
      <c r="A1738" s="881"/>
      <c r="B1738" s="859" t="s">
        <v>86</v>
      </c>
      <c r="C1738" s="859" t="n">
        <v>2024</v>
      </c>
      <c r="D1738" s="860" t="s">
        <v>10</v>
      </c>
      <c r="E1738" s="860" t="s">
        <v>2241</v>
      </c>
      <c r="F1738" s="860"/>
      <c r="G1738" s="861"/>
      <c r="H1738" s="1760" t="n">
        <v>53.4</v>
      </c>
      <c r="I1738" s="1429"/>
      <c r="J1738" s="1771"/>
      <c r="K1738" s="864" t="n">
        <f aca="false">H1738*I1738/100</f>
        <v>0</v>
      </c>
      <c r="L1738" s="543" t="n">
        <v>3035</v>
      </c>
      <c r="M1738" s="983" t="n">
        <v>1</v>
      </c>
      <c r="N1738" s="1299" t="n">
        <f aca="false">L1738*M1738</f>
        <v>3035</v>
      </c>
      <c r="O1738" s="1299" t="n">
        <f aca="false">H1738*N1738</f>
        <v>162069</v>
      </c>
      <c r="P1738" s="868" t="s">
        <v>2200</v>
      </c>
      <c r="Q1738" s="869" t="s">
        <v>2946</v>
      </c>
      <c r="R1738" s="1383" t="n">
        <v>162069</v>
      </c>
      <c r="S1738" s="854" t="n">
        <f aca="false">R1738/H1738</f>
        <v>3035</v>
      </c>
      <c r="T1738" s="985" t="n">
        <f aca="false">O1738-R1738</f>
        <v>0</v>
      </c>
      <c r="U1738" s="1135" t="n">
        <f aca="false">N1738-S1738</f>
        <v>0</v>
      </c>
    </row>
    <row r="1739" customFormat="false" ht="15" hidden="false" customHeight="true" outlineLevel="0" collapsed="false">
      <c r="A1739" s="881"/>
      <c r="B1739" s="893" t="s">
        <v>86</v>
      </c>
      <c r="C1739" s="893" t="n">
        <v>2024</v>
      </c>
      <c r="D1739" s="843" t="s">
        <v>10</v>
      </c>
      <c r="E1739" s="843" t="s">
        <v>2205</v>
      </c>
      <c r="F1739" s="843"/>
      <c r="G1739" s="894"/>
      <c r="H1739" s="1769" t="n">
        <v>10</v>
      </c>
      <c r="I1739" s="1532"/>
      <c r="J1739" s="1360"/>
      <c r="K1739" s="897" t="n">
        <f aca="false">H1739*I1739/100</f>
        <v>0</v>
      </c>
      <c r="L1739" s="589" t="n">
        <v>1679</v>
      </c>
      <c r="M1739" s="1106" t="n">
        <v>1</v>
      </c>
      <c r="N1739" s="1393" t="n">
        <f aca="false">L1739*M1739</f>
        <v>1679</v>
      </c>
      <c r="O1739" s="1393" t="n">
        <f aca="false">H1739*N1739</f>
        <v>16790</v>
      </c>
      <c r="P1739" s="844" t="s">
        <v>2204</v>
      </c>
      <c r="Q1739" s="845" t="n">
        <v>31012025</v>
      </c>
      <c r="R1739" s="1539" t="n">
        <v>16790</v>
      </c>
      <c r="S1739" s="890" t="n">
        <f aca="false">R1739/H1739</f>
        <v>1679</v>
      </c>
      <c r="T1739" s="1441" t="n">
        <f aca="false">O1739-R1739</f>
        <v>0</v>
      </c>
      <c r="U1739" s="902" t="n">
        <f aca="false">N1739-S1739</f>
        <v>0</v>
      </c>
    </row>
    <row r="1740" customFormat="false" ht="15" hidden="false" customHeight="true" outlineLevel="0" collapsed="false">
      <c r="A1740" s="1087" t="n">
        <v>45</v>
      </c>
      <c r="B1740" s="1061" t="s">
        <v>2230</v>
      </c>
      <c r="C1740" s="1061" t="n">
        <v>2024</v>
      </c>
      <c r="D1740" s="848" t="s">
        <v>10</v>
      </c>
      <c r="E1740" s="848" t="s">
        <v>2192</v>
      </c>
      <c r="F1740" s="887" t="s">
        <v>1650</v>
      </c>
      <c r="G1740" s="1062"/>
      <c r="H1740" s="1522" t="n">
        <v>93.9242</v>
      </c>
      <c r="I1740" s="1078"/>
      <c r="J1740" s="1078"/>
      <c r="K1740" s="1064" t="n">
        <f aca="false">H1740*I1740/100</f>
        <v>0</v>
      </c>
      <c r="L1740" s="1067" t="n">
        <v>30400</v>
      </c>
      <c r="M1740" s="1066" t="n">
        <v>1</v>
      </c>
      <c r="N1740" s="1067" t="n">
        <f aca="false">L1740*M1740</f>
        <v>30400</v>
      </c>
      <c r="O1740" s="1345" t="n">
        <f aca="false">H1740*N1740</f>
        <v>2855295.68</v>
      </c>
      <c r="P1740" s="856" t="s">
        <v>2197</v>
      </c>
      <c r="Q1740" s="857" t="s">
        <v>2996</v>
      </c>
      <c r="R1740" s="854" t="n">
        <v>1878484</v>
      </c>
      <c r="S1740" s="854" t="n">
        <f aca="false">R1740/H1740</f>
        <v>20000</v>
      </c>
      <c r="T1740" s="1069" t="n">
        <f aca="false">O1740-R1740-R1741</f>
        <v>0</v>
      </c>
      <c r="U1740" s="1070" t="n">
        <f aca="false">N1740-S1740-S1741</f>
        <v>0</v>
      </c>
    </row>
    <row r="1741" customFormat="false" ht="15" hidden="false" customHeight="true" outlineLevel="0" collapsed="false">
      <c r="A1741" s="1087"/>
      <c r="B1741" s="1061"/>
      <c r="C1741" s="1061"/>
      <c r="D1741" s="887" t="s">
        <v>10</v>
      </c>
      <c r="E1741" s="887" t="s">
        <v>2192</v>
      </c>
      <c r="F1741" s="887"/>
      <c r="G1741" s="1062"/>
      <c r="H1741" s="1522"/>
      <c r="I1741" s="1078"/>
      <c r="J1741" s="1078"/>
      <c r="K1741" s="1064"/>
      <c r="L1741" s="1067"/>
      <c r="M1741" s="1066"/>
      <c r="N1741" s="1067"/>
      <c r="O1741" s="1345"/>
      <c r="P1741" s="888" t="s">
        <v>2197</v>
      </c>
      <c r="Q1741" s="889" t="s">
        <v>2997</v>
      </c>
      <c r="R1741" s="890" t="n">
        <v>976811.68</v>
      </c>
      <c r="S1741" s="846" t="n">
        <f aca="false">R1741/H1740</f>
        <v>10400</v>
      </c>
      <c r="T1741" s="1069"/>
      <c r="U1741" s="1070"/>
    </row>
    <row r="1742" customFormat="false" ht="15" hidden="false" customHeight="true" outlineLevel="0" collapsed="false">
      <c r="A1742" s="847" t="n">
        <v>148</v>
      </c>
      <c r="B1742" s="847" t="s">
        <v>81</v>
      </c>
      <c r="C1742" s="847" t="n">
        <v>2024</v>
      </c>
      <c r="D1742" s="848" t="s">
        <v>10</v>
      </c>
      <c r="E1742" s="848" t="s">
        <v>2192</v>
      </c>
      <c r="F1742" s="848" t="s">
        <v>2199</v>
      </c>
      <c r="G1742" s="849"/>
      <c r="H1742" s="1523" t="n">
        <v>85.7</v>
      </c>
      <c r="I1742" s="1397"/>
      <c r="J1742" s="1397"/>
      <c r="K1742" s="852" t="n">
        <f aca="false">H1742*I1742/100</f>
        <v>0</v>
      </c>
      <c r="L1742" s="537" t="n">
        <v>38740</v>
      </c>
      <c r="M1742" s="1007" t="n">
        <v>1</v>
      </c>
      <c r="N1742" s="1143" t="n">
        <f aca="false">L1742*M1742</f>
        <v>38740</v>
      </c>
      <c r="O1742" s="1143" t="n">
        <f aca="false">H1742*N1742</f>
        <v>3320018</v>
      </c>
      <c r="P1742" s="856" t="s">
        <v>2200</v>
      </c>
      <c r="Q1742" s="857" t="s">
        <v>2965</v>
      </c>
      <c r="R1742" s="854" t="n">
        <v>3320018</v>
      </c>
      <c r="S1742" s="891" t="n">
        <f aca="false">R1742/H1742</f>
        <v>38740</v>
      </c>
      <c r="T1742" s="858" t="n">
        <f aca="false">O1742-R1742</f>
        <v>0</v>
      </c>
      <c r="U1742" s="537" t="n">
        <f aca="false">N1742-S1742</f>
        <v>0</v>
      </c>
    </row>
    <row r="1743" customFormat="false" ht="15" hidden="false" customHeight="true" outlineLevel="0" collapsed="false">
      <c r="A1743" s="859" t="n">
        <v>150</v>
      </c>
      <c r="B1743" s="859" t="s">
        <v>81</v>
      </c>
      <c r="C1743" s="859" t="n">
        <v>2024</v>
      </c>
      <c r="D1743" s="860" t="s">
        <v>10</v>
      </c>
      <c r="E1743" s="860" t="s">
        <v>2192</v>
      </c>
      <c r="F1743" s="860" t="s">
        <v>2199</v>
      </c>
      <c r="G1743" s="861"/>
      <c r="H1743" s="1760" t="n">
        <v>83.4</v>
      </c>
      <c r="I1743" s="1429"/>
      <c r="J1743" s="1429"/>
      <c r="K1743" s="864" t="n">
        <f aca="false">H1743*I1743/100</f>
        <v>0</v>
      </c>
      <c r="L1743" s="543" t="n">
        <v>39960</v>
      </c>
      <c r="M1743" s="983" t="n">
        <v>1</v>
      </c>
      <c r="N1743" s="1299" t="n">
        <f aca="false">L1743*M1743</f>
        <v>39960</v>
      </c>
      <c r="O1743" s="1299" t="n">
        <f aca="false">H1743*N1743</f>
        <v>3332664</v>
      </c>
      <c r="P1743" s="868" t="s">
        <v>2200</v>
      </c>
      <c r="Q1743" s="869" t="s">
        <v>2966</v>
      </c>
      <c r="R1743" s="866" t="n">
        <v>3332664</v>
      </c>
      <c r="S1743" s="866" t="n">
        <f aca="false">R1743/H1743</f>
        <v>39960</v>
      </c>
      <c r="T1743" s="985" t="n">
        <f aca="false">O1743-R1743</f>
        <v>0</v>
      </c>
      <c r="U1743" s="543" t="n">
        <f aca="false">N1743-S1743</f>
        <v>0</v>
      </c>
    </row>
    <row r="1744" customFormat="false" ht="15" hidden="false" customHeight="true" outlineLevel="0" collapsed="false">
      <c r="A1744" s="870" t="n">
        <v>151</v>
      </c>
      <c r="B1744" s="870" t="s">
        <v>81</v>
      </c>
      <c r="C1744" s="870" t="n">
        <v>2024</v>
      </c>
      <c r="D1744" s="871" t="s">
        <v>10</v>
      </c>
      <c r="E1744" s="871" t="s">
        <v>2192</v>
      </c>
      <c r="F1744" s="871" t="s">
        <v>2199</v>
      </c>
      <c r="G1744" s="872"/>
      <c r="H1744" s="1525" t="n">
        <v>71.3</v>
      </c>
      <c r="I1744" s="1433"/>
      <c r="J1744" s="1433"/>
      <c r="K1744" s="875" t="n">
        <f aca="false">H1744*I1744/100</f>
        <v>0</v>
      </c>
      <c r="L1744" s="553" t="n">
        <v>49980</v>
      </c>
      <c r="M1744" s="1000" t="n">
        <v>1</v>
      </c>
      <c r="N1744" s="1301" t="n">
        <f aca="false">L1744*M1744</f>
        <v>49980</v>
      </c>
      <c r="O1744" s="1301" t="n">
        <f aca="false">H1744*N1744</f>
        <v>3563574</v>
      </c>
      <c r="P1744" s="879" t="s">
        <v>2200</v>
      </c>
      <c r="Q1744" s="880" t="s">
        <v>2998</v>
      </c>
      <c r="R1744" s="877" t="n">
        <v>3563574</v>
      </c>
      <c r="S1744" s="891" t="n">
        <f aca="false">R1744/H1744</f>
        <v>49980</v>
      </c>
      <c r="T1744" s="1404" t="n">
        <f aca="false">O1744-R1744</f>
        <v>0</v>
      </c>
      <c r="U1744" s="553" t="n">
        <f aca="false">N1744-S1744</f>
        <v>0</v>
      </c>
    </row>
    <row r="1745" customFormat="false" ht="15" hidden="false" customHeight="true" outlineLevel="0" collapsed="false">
      <c r="A1745" s="1027" t="n">
        <v>142</v>
      </c>
      <c r="B1745" s="1546" t="s">
        <v>2207</v>
      </c>
      <c r="C1745" s="1546" t="n">
        <v>2024</v>
      </c>
      <c r="D1745" s="831" t="s">
        <v>10</v>
      </c>
      <c r="E1745" s="831" t="s">
        <v>2192</v>
      </c>
      <c r="F1745" s="1328" t="s">
        <v>1651</v>
      </c>
      <c r="G1745" s="1030"/>
      <c r="H1745" s="1528" t="n">
        <v>26.9438</v>
      </c>
      <c r="I1745" s="1517"/>
      <c r="J1745" s="1517"/>
      <c r="K1745" s="1033" t="n">
        <f aca="false">H1745*I1745/100</f>
        <v>0</v>
      </c>
      <c r="L1745" s="1036" t="n">
        <v>43977</v>
      </c>
      <c r="M1745" s="1035" t="n">
        <v>1</v>
      </c>
      <c r="N1745" s="1036" t="n">
        <f aca="false">L1745*M1745</f>
        <v>43977</v>
      </c>
      <c r="O1745" s="1547" t="n">
        <f aca="false">H1745*N1745</f>
        <v>1184907.4926</v>
      </c>
      <c r="P1745" s="838" t="s">
        <v>2197</v>
      </c>
      <c r="Q1745" s="839" t="s">
        <v>2999</v>
      </c>
      <c r="R1745" s="840" t="n">
        <v>13471.9</v>
      </c>
      <c r="S1745" s="886" t="n">
        <f aca="false">R1745/H1745</f>
        <v>500</v>
      </c>
      <c r="T1745" s="1036" t="n">
        <f aca="false">O1745-R1745-R1750-R1746-R1747-R1748-R1749</f>
        <v>3.05590219795704E-010</v>
      </c>
      <c r="U1745" s="1037" t="n">
        <f aca="false">N1745-S1745-S1750-S1746-S1747-S1748-S1749</f>
        <v>0</v>
      </c>
    </row>
    <row r="1746" customFormat="false" ht="15" hidden="false" customHeight="true" outlineLevel="0" collapsed="false">
      <c r="A1746" s="1027"/>
      <c r="B1746" s="1546"/>
      <c r="C1746" s="1546"/>
      <c r="D1746" s="860" t="s">
        <v>10</v>
      </c>
      <c r="E1746" s="860" t="s">
        <v>2192</v>
      </c>
      <c r="F1746" s="1328"/>
      <c r="G1746" s="1030"/>
      <c r="H1746" s="1528"/>
      <c r="I1746" s="1517"/>
      <c r="J1746" s="1517"/>
      <c r="K1746" s="1033"/>
      <c r="L1746" s="1036"/>
      <c r="M1746" s="1035"/>
      <c r="N1746" s="1036"/>
      <c r="O1746" s="1547"/>
      <c r="P1746" s="868" t="s">
        <v>2197</v>
      </c>
      <c r="Q1746" s="869" t="s">
        <v>3000</v>
      </c>
      <c r="R1746" s="866" t="n">
        <v>269168.562</v>
      </c>
      <c r="S1746" s="866" t="n">
        <f aca="false">R1746/H1745</f>
        <v>9990</v>
      </c>
      <c r="T1746" s="1036"/>
      <c r="U1746" s="1037"/>
    </row>
    <row r="1747" customFormat="false" ht="15" hidden="false" customHeight="true" outlineLevel="0" collapsed="false">
      <c r="A1747" s="1027"/>
      <c r="B1747" s="1546"/>
      <c r="C1747" s="1546"/>
      <c r="D1747" s="860" t="s">
        <v>10</v>
      </c>
      <c r="E1747" s="860" t="s">
        <v>2192</v>
      </c>
      <c r="F1747" s="1328"/>
      <c r="G1747" s="1030"/>
      <c r="H1747" s="1528"/>
      <c r="I1747" s="1517"/>
      <c r="J1747" s="1517"/>
      <c r="K1747" s="1033"/>
      <c r="L1747" s="1036"/>
      <c r="M1747" s="1035"/>
      <c r="N1747" s="1036"/>
      <c r="O1747" s="1547"/>
      <c r="P1747" s="868" t="s">
        <v>2197</v>
      </c>
      <c r="Q1747" s="869" t="s">
        <v>3001</v>
      </c>
      <c r="R1747" s="866" t="n">
        <v>269168.562</v>
      </c>
      <c r="S1747" s="866" t="n">
        <f aca="false">R1747/H1745</f>
        <v>9990</v>
      </c>
      <c r="T1747" s="1036"/>
      <c r="U1747" s="1037"/>
    </row>
    <row r="1748" customFormat="false" ht="15" hidden="false" customHeight="true" outlineLevel="0" collapsed="false">
      <c r="A1748" s="1027"/>
      <c r="B1748" s="1546"/>
      <c r="C1748" s="1546"/>
      <c r="D1748" s="860" t="s">
        <v>10</v>
      </c>
      <c r="E1748" s="860" t="s">
        <v>2192</v>
      </c>
      <c r="F1748" s="1328"/>
      <c r="G1748" s="1030"/>
      <c r="H1748" s="1528"/>
      <c r="I1748" s="1517"/>
      <c r="J1748" s="1517"/>
      <c r="K1748" s="1033"/>
      <c r="L1748" s="1036"/>
      <c r="M1748" s="1035"/>
      <c r="N1748" s="1036"/>
      <c r="O1748" s="1547"/>
      <c r="P1748" s="868" t="s">
        <v>2197</v>
      </c>
      <c r="Q1748" s="869" t="s">
        <v>3002</v>
      </c>
      <c r="R1748" s="866" t="n">
        <v>269168.562</v>
      </c>
      <c r="S1748" s="866" t="n">
        <f aca="false">R1748/H1745</f>
        <v>9990</v>
      </c>
      <c r="T1748" s="1036"/>
      <c r="U1748" s="1037"/>
    </row>
    <row r="1749" customFormat="false" ht="15" hidden="false" customHeight="true" outlineLevel="0" collapsed="false">
      <c r="A1749" s="1027"/>
      <c r="B1749" s="1546"/>
      <c r="C1749" s="1546"/>
      <c r="D1749" s="860" t="s">
        <v>10</v>
      </c>
      <c r="E1749" s="860" t="s">
        <v>2192</v>
      </c>
      <c r="F1749" s="1328"/>
      <c r="G1749" s="1030"/>
      <c r="H1749" s="1528"/>
      <c r="I1749" s="1517"/>
      <c r="J1749" s="1517"/>
      <c r="K1749" s="1033"/>
      <c r="L1749" s="1036"/>
      <c r="M1749" s="1035"/>
      <c r="N1749" s="1036"/>
      <c r="O1749" s="1547"/>
      <c r="P1749" s="868" t="s">
        <v>2197</v>
      </c>
      <c r="Q1749" s="869" t="s">
        <v>3003</v>
      </c>
      <c r="R1749" s="866" t="n">
        <v>94761.3446</v>
      </c>
      <c r="S1749" s="866" t="n">
        <f aca="false">R1749/H1745</f>
        <v>3517</v>
      </c>
      <c r="T1749" s="1036"/>
      <c r="U1749" s="1037"/>
    </row>
    <row r="1750" customFormat="false" ht="15" hidden="false" customHeight="true" outlineLevel="0" collapsed="false">
      <c r="A1750" s="1027"/>
      <c r="B1750" s="1546"/>
      <c r="C1750" s="1546"/>
      <c r="D1750" s="871" t="s">
        <v>10</v>
      </c>
      <c r="E1750" s="871" t="s">
        <v>2192</v>
      </c>
      <c r="F1750" s="1328"/>
      <c r="G1750" s="1030"/>
      <c r="H1750" s="1528"/>
      <c r="I1750" s="1517"/>
      <c r="J1750" s="1517"/>
      <c r="K1750" s="1033"/>
      <c r="L1750" s="1036"/>
      <c r="M1750" s="1035"/>
      <c r="N1750" s="1036"/>
      <c r="O1750" s="1547"/>
      <c r="P1750" s="879" t="s">
        <v>2197</v>
      </c>
      <c r="Q1750" s="880" t="s">
        <v>3004</v>
      </c>
      <c r="R1750" s="877" t="n">
        <v>269168.562</v>
      </c>
      <c r="S1750" s="877" t="n">
        <f aca="false">R1750/H1745</f>
        <v>9990</v>
      </c>
      <c r="T1750" s="1036"/>
      <c r="U1750" s="1037"/>
    </row>
    <row r="1751" customFormat="false" ht="15" hidden="false" customHeight="true" outlineLevel="0" collapsed="false">
      <c r="A1751" s="829" t="n">
        <v>106</v>
      </c>
      <c r="B1751" s="1173" t="s">
        <v>86</v>
      </c>
      <c r="C1751" s="1173" t="n">
        <v>2024</v>
      </c>
      <c r="D1751" s="831" t="s">
        <v>10</v>
      </c>
      <c r="E1751" s="831" t="s">
        <v>2192</v>
      </c>
      <c r="F1751" s="831" t="s">
        <v>1650</v>
      </c>
      <c r="G1751" s="1108"/>
      <c r="H1751" s="1759" t="n">
        <v>94.9</v>
      </c>
      <c r="I1751" s="1435"/>
      <c r="J1751" s="1435"/>
      <c r="K1751" s="1111" t="n">
        <f aca="false">H1751*I1751/100</f>
        <v>0</v>
      </c>
      <c r="L1751" s="1114" t="n">
        <v>24279</v>
      </c>
      <c r="M1751" s="1113" t="n">
        <v>1</v>
      </c>
      <c r="N1751" s="1408" t="n">
        <f aca="false">L1751*M1751</f>
        <v>24279</v>
      </c>
      <c r="O1751" s="1409" t="n">
        <f aca="false">H1751*N1751</f>
        <v>2304077.1</v>
      </c>
      <c r="P1751" s="838" t="s">
        <v>2232</v>
      </c>
      <c r="Q1751" s="839" t="s">
        <v>2257</v>
      </c>
      <c r="R1751" s="1537" t="n">
        <v>2304077.1</v>
      </c>
      <c r="S1751" s="886" t="n">
        <f aca="false">R1751/H1751</f>
        <v>24279</v>
      </c>
      <c r="T1751" s="1181" t="n">
        <f aca="false">O1751-R1751</f>
        <v>0</v>
      </c>
      <c r="U1751" s="1176" t="n">
        <f aca="false">N1751-S1751</f>
        <v>0</v>
      </c>
    </row>
    <row r="1752" customFormat="false" ht="15" hidden="false" customHeight="true" outlineLevel="0" collapsed="false">
      <c r="A1752" s="829"/>
      <c r="B1752" s="859" t="s">
        <v>86</v>
      </c>
      <c r="C1752" s="859" t="n">
        <v>2024</v>
      </c>
      <c r="D1752" s="860" t="s">
        <v>10</v>
      </c>
      <c r="E1752" s="860" t="s">
        <v>2203</v>
      </c>
      <c r="F1752" s="860"/>
      <c r="G1752" s="861"/>
      <c r="H1752" s="1756" t="n">
        <v>55.5</v>
      </c>
      <c r="I1752" s="1429"/>
      <c r="J1752" s="1429"/>
      <c r="K1752" s="864" t="n">
        <f aca="false">H1752*I1752/100</f>
        <v>0</v>
      </c>
      <c r="L1752" s="543" t="n">
        <v>1408</v>
      </c>
      <c r="M1752" s="983" t="n">
        <v>1</v>
      </c>
      <c r="N1752" s="1299" t="n">
        <f aca="false">L1752*M1752</f>
        <v>1408</v>
      </c>
      <c r="O1752" s="1430" t="n">
        <f aca="false">H1752*N1752</f>
        <v>78144</v>
      </c>
      <c r="P1752" s="868" t="s">
        <v>2195</v>
      </c>
      <c r="Q1752" s="869" t="s">
        <v>1375</v>
      </c>
      <c r="R1752" s="866" t="n">
        <v>78144</v>
      </c>
      <c r="S1752" s="866" t="n">
        <f aca="false">R1752/H1752</f>
        <v>1408</v>
      </c>
      <c r="T1752" s="1449" t="n">
        <f aca="false">O1752-R1752</f>
        <v>0</v>
      </c>
      <c r="U1752" s="1135" t="n">
        <f aca="false">N1752-S1752</f>
        <v>0</v>
      </c>
    </row>
    <row r="1753" customFormat="false" ht="15" hidden="false" customHeight="true" outlineLevel="0" collapsed="false">
      <c r="A1753" s="829"/>
      <c r="B1753" s="859" t="s">
        <v>86</v>
      </c>
      <c r="C1753" s="859" t="n">
        <v>2024</v>
      </c>
      <c r="D1753" s="860" t="s">
        <v>10</v>
      </c>
      <c r="E1753" s="860" t="s">
        <v>2241</v>
      </c>
      <c r="F1753" s="860"/>
      <c r="G1753" s="861"/>
      <c r="H1753" s="1760" t="n">
        <v>62.9</v>
      </c>
      <c r="I1753" s="1429"/>
      <c r="J1753" s="1429"/>
      <c r="K1753" s="864" t="n">
        <f aca="false">H1753*I1753/100</f>
        <v>0</v>
      </c>
      <c r="L1753" s="543" t="n">
        <v>3025</v>
      </c>
      <c r="M1753" s="983" t="n">
        <v>1</v>
      </c>
      <c r="N1753" s="1299" t="n">
        <f aca="false">L1753*M1753</f>
        <v>3025</v>
      </c>
      <c r="O1753" s="1430" t="n">
        <f aca="false">H1753*N1753</f>
        <v>190272.5</v>
      </c>
      <c r="P1753" s="868" t="s">
        <v>2200</v>
      </c>
      <c r="Q1753" s="869" t="s">
        <v>2946</v>
      </c>
      <c r="R1753" s="1383" t="n">
        <v>190272.5</v>
      </c>
      <c r="S1753" s="866" t="n">
        <f aca="false">R1753/H1753</f>
        <v>3025</v>
      </c>
      <c r="T1753" s="1449" t="n">
        <f aca="false">O1753-R1753</f>
        <v>0</v>
      </c>
      <c r="U1753" s="1135" t="n">
        <f aca="false">N1753-S1753</f>
        <v>0</v>
      </c>
    </row>
    <row r="1754" customFormat="false" ht="15" hidden="false" customHeight="true" outlineLevel="0" collapsed="false">
      <c r="A1754" s="829"/>
      <c r="B1754" s="893" t="s">
        <v>86</v>
      </c>
      <c r="C1754" s="893" t="n">
        <v>2024</v>
      </c>
      <c r="D1754" s="843" t="s">
        <v>10</v>
      </c>
      <c r="E1754" s="843" t="s">
        <v>2205</v>
      </c>
      <c r="F1754" s="843"/>
      <c r="G1754" s="894"/>
      <c r="H1754" s="1769" t="n">
        <v>37.7</v>
      </c>
      <c r="I1754" s="1532"/>
      <c r="J1754" s="1532"/>
      <c r="K1754" s="897" t="n">
        <f aca="false">H1754*I1754/100</f>
        <v>0</v>
      </c>
      <c r="L1754" s="589" t="n">
        <v>705</v>
      </c>
      <c r="M1754" s="1106" t="n">
        <v>1</v>
      </c>
      <c r="N1754" s="1393" t="n">
        <f aca="false">L1754*M1754</f>
        <v>705</v>
      </c>
      <c r="O1754" s="1411" t="n">
        <f aca="false">H1754*N1754</f>
        <v>26578.5</v>
      </c>
      <c r="P1754" s="844" t="s">
        <v>2200</v>
      </c>
      <c r="Q1754" s="845" t="s">
        <v>2946</v>
      </c>
      <c r="R1754" s="1539" t="n">
        <v>26578.5</v>
      </c>
      <c r="S1754" s="890" t="n">
        <f aca="false">R1754/H1754</f>
        <v>705</v>
      </c>
      <c r="T1754" s="1183" t="n">
        <f aca="false">O1754-R1754</f>
        <v>0</v>
      </c>
      <c r="U1754" s="902" t="n">
        <f aca="false">N1754-S1754</f>
        <v>0</v>
      </c>
    </row>
    <row r="1755" customFormat="false" ht="15" hidden="false" customHeight="true" outlineLevel="0" collapsed="false">
      <c r="A1755" s="1087" t="n">
        <v>46</v>
      </c>
      <c r="B1755" s="1061" t="s">
        <v>2230</v>
      </c>
      <c r="C1755" s="1061" t="n">
        <v>2024</v>
      </c>
      <c r="D1755" s="848" t="s">
        <v>10</v>
      </c>
      <c r="E1755" s="848" t="s">
        <v>2192</v>
      </c>
      <c r="F1755" s="887" t="s">
        <v>1650</v>
      </c>
      <c r="G1755" s="1062"/>
      <c r="H1755" s="1522" t="n">
        <v>94.177</v>
      </c>
      <c r="I1755" s="1078"/>
      <c r="J1755" s="1078"/>
      <c r="K1755" s="1064" t="n">
        <f aca="false">H1755*I1755/100</f>
        <v>0</v>
      </c>
      <c r="L1755" s="1067" t="n">
        <v>29600</v>
      </c>
      <c r="M1755" s="1066" t="n">
        <v>1</v>
      </c>
      <c r="N1755" s="1067" t="n">
        <f aca="false">L1755*M1755</f>
        <v>29600</v>
      </c>
      <c r="O1755" s="1452" t="n">
        <f aca="false">H1755*N1755</f>
        <v>2787639.2</v>
      </c>
      <c r="P1755" s="856" t="s">
        <v>2197</v>
      </c>
      <c r="Q1755" s="857" t="s">
        <v>3005</v>
      </c>
      <c r="R1755" s="854" t="n">
        <v>1883540</v>
      </c>
      <c r="S1755" s="854" t="n">
        <f aca="false">R1755/H1755</f>
        <v>20000</v>
      </c>
      <c r="T1755" s="1452" t="n">
        <f aca="false">O1755-R1755-R1756</f>
        <v>0</v>
      </c>
      <c r="U1755" s="1070" t="n">
        <f aca="false">N1755-S1755-S1756</f>
        <v>0</v>
      </c>
    </row>
    <row r="1756" customFormat="false" ht="15" hidden="false" customHeight="true" outlineLevel="0" collapsed="false">
      <c r="A1756" s="1087"/>
      <c r="B1756" s="1061"/>
      <c r="C1756" s="1061"/>
      <c r="D1756" s="843" t="s">
        <v>10</v>
      </c>
      <c r="E1756" s="843" t="s">
        <v>2192</v>
      </c>
      <c r="F1756" s="887"/>
      <c r="G1756" s="1062"/>
      <c r="H1756" s="1522"/>
      <c r="I1756" s="1078"/>
      <c r="J1756" s="1078"/>
      <c r="K1756" s="1064"/>
      <c r="L1756" s="1067"/>
      <c r="M1756" s="1066"/>
      <c r="N1756" s="1067"/>
      <c r="O1756" s="1452"/>
      <c r="P1756" s="844" t="s">
        <v>2197</v>
      </c>
      <c r="Q1756" s="845" t="s">
        <v>3006</v>
      </c>
      <c r="R1756" s="846" t="n">
        <v>904099.2</v>
      </c>
      <c r="S1756" s="846" t="n">
        <f aca="false">R1756/H1755</f>
        <v>9600</v>
      </c>
      <c r="T1756" s="1452"/>
      <c r="U1756" s="1070"/>
    </row>
    <row r="1757" customFormat="false" ht="15" hidden="false" customHeight="true" outlineLevel="0" collapsed="false">
      <c r="A1757" s="829" t="n">
        <v>47</v>
      </c>
      <c r="B1757" s="830" t="s">
        <v>2230</v>
      </c>
      <c r="C1757" s="830" t="n">
        <v>2024</v>
      </c>
      <c r="D1757" s="831" t="s">
        <v>10</v>
      </c>
      <c r="E1757" s="831" t="s">
        <v>2192</v>
      </c>
      <c r="F1757" s="832" t="s">
        <v>1650</v>
      </c>
      <c r="G1757" s="833"/>
      <c r="H1757" s="1526" t="n">
        <v>94.177</v>
      </c>
      <c r="I1757" s="1020"/>
      <c r="J1757" s="1020"/>
      <c r="K1757" s="836" t="n">
        <f aca="false">H1757*I1757/100</f>
        <v>0</v>
      </c>
      <c r="L1757" s="837" t="n">
        <v>29600</v>
      </c>
      <c r="M1757" s="1003" t="n">
        <v>1</v>
      </c>
      <c r="N1757" s="837" t="n">
        <f aca="false">L1757*M1757</f>
        <v>29600</v>
      </c>
      <c r="O1757" s="943" t="n">
        <f aca="false">H1757*N1757</f>
        <v>2787639.2</v>
      </c>
      <c r="P1757" s="838" t="s">
        <v>2197</v>
      </c>
      <c r="Q1757" s="839" t="s">
        <v>3007</v>
      </c>
      <c r="R1757" s="840" t="n">
        <v>1883540</v>
      </c>
      <c r="S1757" s="840" t="n">
        <f aca="false">R1757/H1757</f>
        <v>20000</v>
      </c>
      <c r="T1757" s="943" t="n">
        <f aca="false">O1757-R1757-R1758</f>
        <v>0</v>
      </c>
      <c r="U1757" s="842" t="n">
        <f aca="false">N1757-S1757-S1758</f>
        <v>0</v>
      </c>
    </row>
    <row r="1758" customFormat="false" ht="15" hidden="false" customHeight="true" outlineLevel="0" collapsed="false">
      <c r="A1758" s="829"/>
      <c r="B1758" s="830"/>
      <c r="C1758" s="830"/>
      <c r="D1758" s="887" t="s">
        <v>10</v>
      </c>
      <c r="E1758" s="887" t="s">
        <v>2192</v>
      </c>
      <c r="F1758" s="832"/>
      <c r="G1758" s="833"/>
      <c r="H1758" s="1526"/>
      <c r="I1758" s="1020"/>
      <c r="J1758" s="1020"/>
      <c r="K1758" s="836"/>
      <c r="L1758" s="837"/>
      <c r="M1758" s="1003"/>
      <c r="N1758" s="837"/>
      <c r="O1758" s="943"/>
      <c r="P1758" s="888" t="s">
        <v>2197</v>
      </c>
      <c r="Q1758" s="889" t="s">
        <v>3008</v>
      </c>
      <c r="R1758" s="890" t="n">
        <v>904099.2</v>
      </c>
      <c r="S1758" s="846" t="n">
        <f aca="false">R1758/H1757</f>
        <v>9600</v>
      </c>
      <c r="T1758" s="943"/>
      <c r="U1758" s="842"/>
    </row>
    <row r="1759" customFormat="false" ht="15" hidden="false" customHeight="true" outlineLevel="0" collapsed="false">
      <c r="A1759" s="829" t="n">
        <v>48</v>
      </c>
      <c r="B1759" s="830" t="s">
        <v>2230</v>
      </c>
      <c r="C1759" s="830" t="n">
        <v>2024</v>
      </c>
      <c r="D1759" s="831" t="s">
        <v>10</v>
      </c>
      <c r="E1759" s="831" t="s">
        <v>2192</v>
      </c>
      <c r="F1759" s="832" t="s">
        <v>1650</v>
      </c>
      <c r="G1759" s="833"/>
      <c r="H1759" s="1526" t="n">
        <v>93.9915</v>
      </c>
      <c r="I1759" s="1020"/>
      <c r="J1759" s="1020"/>
      <c r="K1759" s="836" t="n">
        <f aca="false">H1759*I1759/100</f>
        <v>0</v>
      </c>
      <c r="L1759" s="837" t="n">
        <v>31182</v>
      </c>
      <c r="M1759" s="1003" t="n">
        <v>1</v>
      </c>
      <c r="N1759" s="837" t="n">
        <f aca="false">L1759*M1759</f>
        <v>31182</v>
      </c>
      <c r="O1759" s="943" t="n">
        <f aca="false">H1759*N1759</f>
        <v>2930842.953</v>
      </c>
      <c r="P1759" s="838" t="s">
        <v>2197</v>
      </c>
      <c r="Q1759" s="839" t="s">
        <v>3009</v>
      </c>
      <c r="R1759" s="840" t="n">
        <v>1879830</v>
      </c>
      <c r="S1759" s="886" t="n">
        <f aca="false">R1759/H1759</f>
        <v>20000</v>
      </c>
      <c r="T1759" s="943" t="n">
        <f aca="false">O1759-R1759-R1760</f>
        <v>0</v>
      </c>
      <c r="U1759" s="842" t="n">
        <f aca="false">N1759-S1759-S1760</f>
        <v>0</v>
      </c>
    </row>
    <row r="1760" customFormat="false" ht="15" hidden="false" customHeight="true" outlineLevel="0" collapsed="false">
      <c r="A1760" s="829"/>
      <c r="B1760" s="830"/>
      <c r="C1760" s="830"/>
      <c r="D1760" s="887" t="s">
        <v>10</v>
      </c>
      <c r="E1760" s="887" t="s">
        <v>2192</v>
      </c>
      <c r="F1760" s="832"/>
      <c r="G1760" s="833"/>
      <c r="H1760" s="1526"/>
      <c r="I1760" s="1020"/>
      <c r="J1760" s="1020"/>
      <c r="K1760" s="836"/>
      <c r="L1760" s="837"/>
      <c r="M1760" s="1003"/>
      <c r="N1760" s="837"/>
      <c r="O1760" s="943"/>
      <c r="P1760" s="888" t="s">
        <v>2197</v>
      </c>
      <c r="Q1760" s="889" t="s">
        <v>3010</v>
      </c>
      <c r="R1760" s="890" t="n">
        <v>1051012.953</v>
      </c>
      <c r="S1760" s="846" t="n">
        <f aca="false">R1760/H1759</f>
        <v>11182</v>
      </c>
      <c r="T1760" s="943"/>
      <c r="U1760" s="842"/>
    </row>
    <row r="1761" customFormat="false" ht="15" hidden="false" customHeight="true" outlineLevel="0" collapsed="false">
      <c r="A1761" s="1027" t="n">
        <v>49</v>
      </c>
      <c r="B1761" s="1028" t="s">
        <v>2230</v>
      </c>
      <c r="C1761" s="1028" t="n">
        <v>2024</v>
      </c>
      <c r="D1761" s="831" t="s">
        <v>10</v>
      </c>
      <c r="E1761" s="831" t="s">
        <v>2192</v>
      </c>
      <c r="F1761" s="1328" t="s">
        <v>1650</v>
      </c>
      <c r="G1761" s="1030"/>
      <c r="H1761" s="1528" t="n">
        <v>93.6357</v>
      </c>
      <c r="I1761" s="1517"/>
      <c r="J1761" s="1517"/>
      <c r="K1761" s="1033" t="n">
        <f aca="false">H1761*I1761/100</f>
        <v>0</v>
      </c>
      <c r="L1761" s="1036" t="n">
        <v>38650</v>
      </c>
      <c r="M1761" s="1035" t="n">
        <v>1</v>
      </c>
      <c r="N1761" s="1036" t="n">
        <f aca="false">L1761*M1761</f>
        <v>38650</v>
      </c>
      <c r="O1761" s="1547" t="n">
        <f aca="false">H1761*N1761</f>
        <v>3619019.805</v>
      </c>
      <c r="P1761" s="838" t="s">
        <v>2197</v>
      </c>
      <c r="Q1761" s="839" t="s">
        <v>3011</v>
      </c>
      <c r="R1761" s="840" t="n">
        <v>1872714</v>
      </c>
      <c r="S1761" s="840" t="n">
        <f aca="false">R1761/H1761</f>
        <v>20000</v>
      </c>
      <c r="T1761" s="1547" t="n">
        <f aca="false">O1761-R1761-R1762</f>
        <v>0</v>
      </c>
      <c r="U1761" s="1037" t="n">
        <f aca="false">N1761-S1761-S1762</f>
        <v>0</v>
      </c>
    </row>
    <row r="1762" customFormat="false" ht="15" hidden="false" customHeight="true" outlineLevel="0" collapsed="false">
      <c r="A1762" s="1027"/>
      <c r="B1762" s="1028"/>
      <c r="C1762" s="1028"/>
      <c r="D1762" s="904" t="s">
        <v>10</v>
      </c>
      <c r="E1762" s="904" t="s">
        <v>2192</v>
      </c>
      <c r="F1762" s="1328"/>
      <c r="G1762" s="1030"/>
      <c r="H1762" s="1528"/>
      <c r="I1762" s="1517"/>
      <c r="J1762" s="1517"/>
      <c r="K1762" s="1033"/>
      <c r="L1762" s="1036"/>
      <c r="M1762" s="1035"/>
      <c r="N1762" s="1036"/>
      <c r="O1762" s="1547"/>
      <c r="P1762" s="910" t="s">
        <v>2197</v>
      </c>
      <c r="Q1762" s="911" t="s">
        <v>3012</v>
      </c>
      <c r="R1762" s="891" t="n">
        <v>1746305.805</v>
      </c>
      <c r="S1762" s="877" t="n">
        <f aca="false">R1762/H1761</f>
        <v>18650</v>
      </c>
      <c r="T1762" s="1547"/>
      <c r="U1762" s="1037"/>
    </row>
    <row r="1763" customFormat="false" ht="15" hidden="false" customHeight="true" outlineLevel="0" collapsed="false">
      <c r="A1763" s="881" t="n">
        <v>107</v>
      </c>
      <c r="B1763" s="1186" t="s">
        <v>86</v>
      </c>
      <c r="C1763" s="1187" t="n">
        <v>2024</v>
      </c>
      <c r="D1763" s="915" t="s">
        <v>10</v>
      </c>
      <c r="E1763" s="915" t="s">
        <v>2192</v>
      </c>
      <c r="F1763" s="916" t="s">
        <v>1650</v>
      </c>
      <c r="G1763" s="917"/>
      <c r="H1763" s="1770" t="n">
        <v>97.1</v>
      </c>
      <c r="I1763" s="1307" t="n">
        <v>62</v>
      </c>
      <c r="J1763" s="1307"/>
      <c r="K1763" s="1309" t="n">
        <f aca="false">H1763*I1763/100</f>
        <v>60.202</v>
      </c>
      <c r="L1763" s="921" t="n">
        <v>26810</v>
      </c>
      <c r="M1763" s="1191" t="n">
        <v>1</v>
      </c>
      <c r="N1763" s="921" t="n">
        <f aca="false">L1763*M1763</f>
        <v>26810</v>
      </c>
      <c r="O1763" s="1192" t="n">
        <f aca="false">H1763*N1763</f>
        <v>2603251</v>
      </c>
      <c r="P1763" s="1193" t="s">
        <v>2232</v>
      </c>
      <c r="Q1763" s="1312" t="s">
        <v>2399</v>
      </c>
      <c r="R1763" s="1196" t="n">
        <v>825350</v>
      </c>
      <c r="S1763" s="926" t="n">
        <f aca="false">R1763/H1763</f>
        <v>8500</v>
      </c>
      <c r="T1763" s="1192" t="n">
        <f aca="false">O1763-R1763-R1766-R1765-R1764</f>
        <v>1234141</v>
      </c>
      <c r="U1763" s="928" t="n">
        <f aca="false">N1763-S1763-S1766-S1765-S1764</f>
        <v>12710</v>
      </c>
    </row>
    <row r="1764" customFormat="false" ht="15" hidden="false" customHeight="true" outlineLevel="0" collapsed="false">
      <c r="A1764" s="881"/>
      <c r="B1764" s="1186"/>
      <c r="C1764" s="1187"/>
      <c r="D1764" s="1090" t="s">
        <v>10</v>
      </c>
      <c r="E1764" s="1090" t="s">
        <v>2192</v>
      </c>
      <c r="F1764" s="916"/>
      <c r="G1764" s="917"/>
      <c r="H1764" s="1770"/>
      <c r="I1764" s="1307"/>
      <c r="J1764" s="1307"/>
      <c r="K1764" s="1309"/>
      <c r="L1764" s="921"/>
      <c r="M1764" s="1191"/>
      <c r="N1764" s="921"/>
      <c r="O1764" s="1192"/>
      <c r="P1764" s="1098" t="s">
        <v>2232</v>
      </c>
      <c r="Q1764" s="1694" t="s">
        <v>2493</v>
      </c>
      <c r="R1764" s="1100" t="n">
        <v>252460</v>
      </c>
      <c r="S1764" s="933" t="n">
        <f aca="false">R1764/H1763</f>
        <v>2600</v>
      </c>
      <c r="T1764" s="1192"/>
      <c r="U1764" s="928"/>
    </row>
    <row r="1765" customFormat="false" ht="15" hidden="false" customHeight="true" outlineLevel="0" collapsed="false">
      <c r="A1765" s="881"/>
      <c r="B1765" s="1186"/>
      <c r="C1765" s="1187"/>
      <c r="D1765" s="929" t="s">
        <v>10</v>
      </c>
      <c r="E1765" s="929" t="s">
        <v>2192</v>
      </c>
      <c r="F1765" s="916"/>
      <c r="G1765" s="917"/>
      <c r="H1765" s="1770"/>
      <c r="I1765" s="1307"/>
      <c r="J1765" s="1307"/>
      <c r="K1765" s="1309"/>
      <c r="L1765" s="921"/>
      <c r="M1765" s="1191"/>
      <c r="N1765" s="921"/>
      <c r="O1765" s="1192"/>
      <c r="P1765" s="930" t="s">
        <v>2232</v>
      </c>
      <c r="Q1765" s="931" t="s">
        <v>111</v>
      </c>
      <c r="R1765" s="933" t="n">
        <v>145650</v>
      </c>
      <c r="S1765" s="933" t="n">
        <f aca="false">R1765/H1763</f>
        <v>1500</v>
      </c>
      <c r="T1765" s="1192"/>
      <c r="U1765" s="928"/>
    </row>
    <row r="1766" customFormat="false" ht="15" hidden="false" customHeight="true" outlineLevel="0" collapsed="false">
      <c r="A1766" s="881"/>
      <c r="B1766" s="1186"/>
      <c r="C1766" s="1187"/>
      <c r="D1766" s="934" t="s">
        <v>10</v>
      </c>
      <c r="E1766" s="934" t="s">
        <v>2192</v>
      </c>
      <c r="F1766" s="916"/>
      <c r="G1766" s="917"/>
      <c r="H1766" s="1770"/>
      <c r="I1766" s="1307"/>
      <c r="J1766" s="1307"/>
      <c r="K1766" s="1309"/>
      <c r="L1766" s="921"/>
      <c r="M1766" s="1191"/>
      <c r="N1766" s="921"/>
      <c r="O1766" s="1192"/>
      <c r="P1766" s="935" t="s">
        <v>2232</v>
      </c>
      <c r="Q1766" s="936" t="s">
        <v>2842</v>
      </c>
      <c r="R1766" s="938" t="n">
        <v>145650</v>
      </c>
      <c r="S1766" s="938" t="n">
        <f aca="false">R1766/H1763</f>
        <v>1500</v>
      </c>
      <c r="T1766" s="1192"/>
      <c r="U1766" s="928"/>
    </row>
    <row r="1767" customFormat="false" ht="15" hidden="false" customHeight="true" outlineLevel="0" collapsed="false">
      <c r="A1767" s="881"/>
      <c r="B1767" s="847" t="s">
        <v>86</v>
      </c>
      <c r="C1767" s="847" t="n">
        <v>2024</v>
      </c>
      <c r="D1767" s="848" t="s">
        <v>10</v>
      </c>
      <c r="E1767" s="848" t="s">
        <v>2203</v>
      </c>
      <c r="F1767" s="848"/>
      <c r="G1767" s="849"/>
      <c r="H1767" s="1766" t="n">
        <v>34</v>
      </c>
      <c r="I1767" s="1397"/>
      <c r="J1767" s="1397"/>
      <c r="K1767" s="852" t="n">
        <f aca="false">H1767*I1767/100</f>
        <v>0</v>
      </c>
      <c r="L1767" s="537" t="n">
        <v>989</v>
      </c>
      <c r="M1767" s="1007" t="n">
        <v>1</v>
      </c>
      <c r="N1767" s="1143" t="n">
        <f aca="false">L1767*M1767</f>
        <v>989</v>
      </c>
      <c r="O1767" s="1386" t="n">
        <f aca="false">H1767*N1767</f>
        <v>33626</v>
      </c>
      <c r="P1767" s="856" t="s">
        <v>2195</v>
      </c>
      <c r="Q1767" s="857" t="s">
        <v>1375</v>
      </c>
      <c r="R1767" s="854" t="n">
        <v>33626</v>
      </c>
      <c r="S1767" s="866" t="n">
        <f aca="false">R1767/H1767</f>
        <v>989</v>
      </c>
      <c r="T1767" s="953" t="n">
        <f aca="false">O1767-R1767</f>
        <v>0</v>
      </c>
      <c r="U1767" s="892" t="n">
        <f aca="false">N1767-S1767</f>
        <v>0</v>
      </c>
    </row>
    <row r="1768" customFormat="false" ht="15" hidden="false" customHeight="true" outlineLevel="0" collapsed="false">
      <c r="A1768" s="881"/>
      <c r="B1768" s="859" t="s">
        <v>86</v>
      </c>
      <c r="C1768" s="859" t="n">
        <v>2024</v>
      </c>
      <c r="D1768" s="860" t="s">
        <v>10</v>
      </c>
      <c r="E1768" s="860" t="s">
        <v>2205</v>
      </c>
      <c r="F1768" s="860"/>
      <c r="G1768" s="861"/>
      <c r="H1768" s="1760" t="n">
        <v>58.8</v>
      </c>
      <c r="I1768" s="1429"/>
      <c r="J1768" s="1429"/>
      <c r="K1768" s="864" t="n">
        <f aca="false">H1768*I1768/100</f>
        <v>0</v>
      </c>
      <c r="L1768" s="543" t="n">
        <v>630</v>
      </c>
      <c r="M1768" s="983" t="n">
        <v>1</v>
      </c>
      <c r="N1768" s="1299" t="n">
        <f aca="false">L1768*M1768</f>
        <v>630</v>
      </c>
      <c r="O1768" s="1430" t="n">
        <f aca="false">H1768*N1768</f>
        <v>37044</v>
      </c>
      <c r="P1768" s="868" t="s">
        <v>2200</v>
      </c>
      <c r="Q1768" s="869" t="s">
        <v>2946</v>
      </c>
      <c r="R1768" s="866" t="n">
        <v>37044</v>
      </c>
      <c r="S1768" s="866" t="n">
        <f aca="false">R1768/H1768</f>
        <v>630</v>
      </c>
      <c r="T1768" s="1449" t="n">
        <f aca="false">O1768-R1768</f>
        <v>0</v>
      </c>
      <c r="U1768" s="1135" t="n">
        <f aca="false">N1768-S1768</f>
        <v>0</v>
      </c>
    </row>
    <row r="1769" customFormat="false" ht="15" hidden="false" customHeight="true" outlineLevel="0" collapsed="false">
      <c r="A1769" s="881"/>
      <c r="B1769" s="893" t="s">
        <v>86</v>
      </c>
      <c r="C1769" s="893" t="n">
        <v>2024</v>
      </c>
      <c r="D1769" s="843" t="s">
        <v>10</v>
      </c>
      <c r="E1769" s="843" t="s">
        <v>2241</v>
      </c>
      <c r="F1769" s="843"/>
      <c r="G1769" s="894"/>
      <c r="H1769" s="1769" t="n">
        <v>44.8</v>
      </c>
      <c r="I1769" s="1532"/>
      <c r="J1769" s="1532"/>
      <c r="K1769" s="897" t="n">
        <f aca="false">H1769*I1769/100</f>
        <v>0</v>
      </c>
      <c r="L1769" s="589" t="n">
        <v>1836</v>
      </c>
      <c r="M1769" s="1106" t="n">
        <v>1</v>
      </c>
      <c r="N1769" s="1393" t="n">
        <f aca="false">L1769*M1769</f>
        <v>1836</v>
      </c>
      <c r="O1769" s="1411" t="n">
        <f aca="false">H1769*N1769</f>
        <v>82252.8</v>
      </c>
      <c r="P1769" s="844" t="s">
        <v>2200</v>
      </c>
      <c r="Q1769" s="845" t="s">
        <v>2946</v>
      </c>
      <c r="R1769" s="846" t="n">
        <v>82252.8</v>
      </c>
      <c r="S1769" s="866" t="n">
        <f aca="false">R1769/H1769</f>
        <v>1836</v>
      </c>
      <c r="T1769" s="1183" t="n">
        <f aca="false">O1769-R1769</f>
        <v>0</v>
      </c>
      <c r="U1769" s="902" t="n">
        <f aca="false">N1769-S1769</f>
        <v>0</v>
      </c>
    </row>
    <row r="1770" customFormat="false" ht="15" hidden="false" customHeight="true" outlineLevel="0" collapsed="false">
      <c r="A1770" s="881" t="n">
        <v>109</v>
      </c>
      <c r="B1770" s="829" t="s">
        <v>86</v>
      </c>
      <c r="C1770" s="830" t="n">
        <v>2024</v>
      </c>
      <c r="D1770" s="831" t="s">
        <v>10</v>
      </c>
      <c r="E1770" s="831" t="s">
        <v>2192</v>
      </c>
      <c r="F1770" s="832" t="s">
        <v>1650</v>
      </c>
      <c r="G1770" s="833"/>
      <c r="H1770" s="1526" t="n">
        <v>92.7</v>
      </c>
      <c r="I1770" s="1020"/>
      <c r="J1770" s="1020"/>
      <c r="K1770" s="836" t="n">
        <f aca="false">H1770*I1770/100</f>
        <v>0</v>
      </c>
      <c r="L1770" s="837" t="n">
        <v>30250</v>
      </c>
      <c r="M1770" s="1003" t="n">
        <v>1</v>
      </c>
      <c r="N1770" s="837" t="n">
        <f aca="false">L1770*M1770</f>
        <v>30250</v>
      </c>
      <c r="O1770" s="943" t="n">
        <f aca="false">H1770*N1770</f>
        <v>2804175</v>
      </c>
      <c r="P1770" s="838" t="s">
        <v>2232</v>
      </c>
      <c r="Q1770" s="839" t="s">
        <v>2311</v>
      </c>
      <c r="R1770" s="840" t="n">
        <v>2720745</v>
      </c>
      <c r="S1770" s="840" t="n">
        <f aca="false">R1770/H1770</f>
        <v>29350</v>
      </c>
      <c r="T1770" s="943" t="n">
        <f aca="false">O1770-R1770-R1771</f>
        <v>0</v>
      </c>
      <c r="U1770" s="842" t="n">
        <f aca="false">N1770-S1770-S1771</f>
        <v>0</v>
      </c>
    </row>
    <row r="1771" customFormat="false" ht="15" hidden="false" customHeight="true" outlineLevel="0" collapsed="false">
      <c r="A1771" s="881"/>
      <c r="B1771" s="829"/>
      <c r="C1771" s="830"/>
      <c r="D1771" s="843" t="s">
        <v>10</v>
      </c>
      <c r="E1771" s="843" t="s">
        <v>2192</v>
      </c>
      <c r="F1771" s="832"/>
      <c r="G1771" s="833"/>
      <c r="H1771" s="1526"/>
      <c r="I1771" s="1020"/>
      <c r="J1771" s="1020"/>
      <c r="K1771" s="836"/>
      <c r="L1771" s="837"/>
      <c r="M1771" s="1003"/>
      <c r="N1771" s="837"/>
      <c r="O1771" s="943"/>
      <c r="P1771" s="844" t="s">
        <v>2193</v>
      </c>
      <c r="Q1771" s="845" t="s">
        <v>2931</v>
      </c>
      <c r="R1771" s="846" t="n">
        <v>83430</v>
      </c>
      <c r="S1771" s="846" t="n">
        <f aca="false">R1771/H1770</f>
        <v>900</v>
      </c>
      <c r="T1771" s="943"/>
      <c r="U1771" s="842"/>
    </row>
    <row r="1772" customFormat="false" ht="15" hidden="false" customHeight="true" outlineLevel="0" collapsed="false">
      <c r="A1772" s="881"/>
      <c r="B1772" s="847" t="s">
        <v>86</v>
      </c>
      <c r="C1772" s="847" t="n">
        <v>2024</v>
      </c>
      <c r="D1772" s="848" t="s">
        <v>10</v>
      </c>
      <c r="E1772" s="848" t="s">
        <v>2242</v>
      </c>
      <c r="F1772" s="848"/>
      <c r="G1772" s="849"/>
      <c r="H1772" s="1523" t="n">
        <v>69.2</v>
      </c>
      <c r="I1772" s="1397"/>
      <c r="J1772" s="1397"/>
      <c r="K1772" s="852" t="n">
        <f aca="false">H1772*I1772/100</f>
        <v>0</v>
      </c>
      <c r="L1772" s="537" t="n">
        <v>520</v>
      </c>
      <c r="M1772" s="1007" t="n">
        <v>1</v>
      </c>
      <c r="N1772" s="1143" t="n">
        <f aca="false">L1772*M1772</f>
        <v>520</v>
      </c>
      <c r="O1772" s="1386" t="n">
        <f aca="false">H1772*N1772</f>
        <v>35984</v>
      </c>
      <c r="P1772" s="856" t="s">
        <v>2200</v>
      </c>
      <c r="Q1772" s="857" t="s">
        <v>2946</v>
      </c>
      <c r="R1772" s="854" t="n">
        <v>35984</v>
      </c>
      <c r="S1772" s="866" t="n">
        <f aca="false">R1772/H1772</f>
        <v>520</v>
      </c>
      <c r="T1772" s="953" t="n">
        <f aca="false">O1772-R1772</f>
        <v>0</v>
      </c>
      <c r="U1772" s="892" t="n">
        <f aca="false">N1772-S1772</f>
        <v>0</v>
      </c>
    </row>
    <row r="1773" customFormat="false" ht="15" hidden="false" customHeight="true" outlineLevel="0" collapsed="false">
      <c r="A1773" s="881"/>
      <c r="B1773" s="859" t="s">
        <v>86</v>
      </c>
      <c r="C1773" s="859" t="n">
        <v>2024</v>
      </c>
      <c r="D1773" s="860" t="s">
        <v>10</v>
      </c>
      <c r="E1773" s="860" t="s">
        <v>2203</v>
      </c>
      <c r="F1773" s="860"/>
      <c r="G1773" s="861"/>
      <c r="H1773" s="1760" t="n">
        <v>45.2</v>
      </c>
      <c r="I1773" s="1429"/>
      <c r="J1773" s="1429"/>
      <c r="K1773" s="864" t="n">
        <f aca="false">H1773*I1773/100</f>
        <v>0</v>
      </c>
      <c r="L1773" s="543" t="n">
        <v>2051</v>
      </c>
      <c r="M1773" s="983" t="n">
        <v>1</v>
      </c>
      <c r="N1773" s="1299" t="n">
        <f aca="false">L1773*M1773</f>
        <v>2051</v>
      </c>
      <c r="O1773" s="1430" t="n">
        <f aca="false">H1773*N1773</f>
        <v>92705.2</v>
      </c>
      <c r="P1773" s="868" t="s">
        <v>2200</v>
      </c>
      <c r="Q1773" s="869" t="s">
        <v>2946</v>
      </c>
      <c r="R1773" s="866" t="n">
        <v>92705.2</v>
      </c>
      <c r="S1773" s="866" t="n">
        <f aca="false">R1773/H1773</f>
        <v>2051</v>
      </c>
      <c r="T1773" s="1449" t="n">
        <f aca="false">O1773-R1773</f>
        <v>0</v>
      </c>
      <c r="U1773" s="1135" t="n">
        <f aca="false">N1773-S1773</f>
        <v>0</v>
      </c>
    </row>
    <row r="1774" customFormat="false" ht="15" hidden="false" customHeight="true" outlineLevel="0" collapsed="false">
      <c r="A1774" s="881"/>
      <c r="B1774" s="859" t="s">
        <v>86</v>
      </c>
      <c r="C1774" s="859" t="n">
        <v>2024</v>
      </c>
      <c r="D1774" s="860" t="s">
        <v>10</v>
      </c>
      <c r="E1774" s="860" t="s">
        <v>2241</v>
      </c>
      <c r="F1774" s="860"/>
      <c r="G1774" s="861"/>
      <c r="H1774" s="1760" t="n">
        <v>68.1</v>
      </c>
      <c r="I1774" s="1429"/>
      <c r="J1774" s="1429"/>
      <c r="K1774" s="864" t="n">
        <f aca="false">H1774*I1774/100</f>
        <v>0</v>
      </c>
      <c r="L1774" s="543" t="n">
        <v>3106</v>
      </c>
      <c r="M1774" s="983" t="n">
        <v>1</v>
      </c>
      <c r="N1774" s="1299" t="n">
        <f aca="false">L1774*M1774</f>
        <v>3106</v>
      </c>
      <c r="O1774" s="1430" t="n">
        <f aca="false">H1774*N1774</f>
        <v>211518.6</v>
      </c>
      <c r="P1774" s="868" t="s">
        <v>2200</v>
      </c>
      <c r="Q1774" s="869" t="s">
        <v>2946</v>
      </c>
      <c r="R1774" s="866" t="n">
        <v>211518.6</v>
      </c>
      <c r="S1774" s="866" t="n">
        <f aca="false">R1774/H1774</f>
        <v>3106</v>
      </c>
      <c r="T1774" s="1449" t="n">
        <f aca="false">O1774-R1774</f>
        <v>0</v>
      </c>
      <c r="U1774" s="1135" t="n">
        <f aca="false">N1774-S1774</f>
        <v>0</v>
      </c>
    </row>
    <row r="1775" customFormat="false" ht="15" hidden="false" customHeight="true" outlineLevel="0" collapsed="false">
      <c r="A1775" s="881"/>
      <c r="B1775" s="893" t="s">
        <v>86</v>
      </c>
      <c r="C1775" s="893" t="n">
        <v>2024</v>
      </c>
      <c r="D1775" s="843" t="s">
        <v>10</v>
      </c>
      <c r="E1775" s="843" t="s">
        <v>2205</v>
      </c>
      <c r="F1775" s="843"/>
      <c r="G1775" s="894"/>
      <c r="H1775" s="1769" t="n">
        <v>2.4</v>
      </c>
      <c r="I1775" s="1532"/>
      <c r="J1775" s="1532"/>
      <c r="K1775" s="897" t="n">
        <f aca="false">H1775*I1775/100</f>
        <v>0</v>
      </c>
      <c r="L1775" s="589" t="n">
        <v>1220</v>
      </c>
      <c r="M1775" s="1106" t="n">
        <v>1</v>
      </c>
      <c r="N1775" s="1393" t="n">
        <f aca="false">L1775*M1775</f>
        <v>1220</v>
      </c>
      <c r="O1775" s="1411" t="n">
        <f aca="false">H1775*N1775</f>
        <v>2928</v>
      </c>
      <c r="P1775" s="844" t="s">
        <v>2204</v>
      </c>
      <c r="Q1775" s="845" t="n">
        <v>31012025</v>
      </c>
      <c r="R1775" s="846" t="n">
        <v>2928</v>
      </c>
      <c r="S1775" s="846" t="n">
        <f aca="false">R1775/H1775</f>
        <v>1220</v>
      </c>
      <c r="T1775" s="1183" t="n">
        <f aca="false">O1775-R1775</f>
        <v>0</v>
      </c>
      <c r="U1775" s="902" t="n">
        <f aca="false">N1775-S1775</f>
        <v>0</v>
      </c>
    </row>
    <row r="1776" customFormat="false" ht="15" hidden="false" customHeight="true" outlineLevel="0" collapsed="false">
      <c r="A1776" s="1060" t="n">
        <v>110</v>
      </c>
      <c r="B1776" s="847" t="s">
        <v>86</v>
      </c>
      <c r="C1776" s="847" t="n">
        <v>2024</v>
      </c>
      <c r="D1776" s="848" t="s">
        <v>10</v>
      </c>
      <c r="E1776" s="848" t="s">
        <v>2192</v>
      </c>
      <c r="F1776" s="848" t="s">
        <v>1650</v>
      </c>
      <c r="G1776" s="849"/>
      <c r="H1776" s="1523" t="n">
        <v>95.1</v>
      </c>
      <c r="I1776" s="1397"/>
      <c r="J1776" s="1397"/>
      <c r="K1776" s="852" t="n">
        <f aca="false">H1776*I1776/100</f>
        <v>0</v>
      </c>
      <c r="L1776" s="537" t="n">
        <v>31945</v>
      </c>
      <c r="M1776" s="1007" t="n">
        <v>1</v>
      </c>
      <c r="N1776" s="1143" t="n">
        <f aca="false">L1776*M1776</f>
        <v>31945</v>
      </c>
      <c r="O1776" s="1386" t="n">
        <f aca="false">H1776*N1776</f>
        <v>3037969.5</v>
      </c>
      <c r="P1776" s="856" t="s">
        <v>2232</v>
      </c>
      <c r="Q1776" s="857" t="s">
        <v>108</v>
      </c>
      <c r="R1776" s="854" t="n">
        <v>3037969.5</v>
      </c>
      <c r="S1776" s="854" t="n">
        <f aca="false">R1776/H1776</f>
        <v>31945</v>
      </c>
      <c r="T1776" s="953" t="n">
        <f aca="false">O1776-R1776</f>
        <v>0</v>
      </c>
      <c r="U1776" s="892" t="n">
        <f aca="false">N1776-S1776</f>
        <v>0</v>
      </c>
    </row>
    <row r="1777" customFormat="false" ht="15" hidden="false" customHeight="true" outlineLevel="0" collapsed="false">
      <c r="A1777" s="1060"/>
      <c r="B1777" s="859" t="s">
        <v>86</v>
      </c>
      <c r="C1777" s="859" t="n">
        <v>2024</v>
      </c>
      <c r="D1777" s="860" t="s">
        <v>10</v>
      </c>
      <c r="E1777" s="860" t="s">
        <v>2203</v>
      </c>
      <c r="F1777" s="860"/>
      <c r="G1777" s="861"/>
      <c r="H1777" s="1760" t="n">
        <v>32.7</v>
      </c>
      <c r="I1777" s="1429"/>
      <c r="J1777" s="1429"/>
      <c r="K1777" s="864" t="n">
        <f aca="false">H1777*I1777/100</f>
        <v>0</v>
      </c>
      <c r="L1777" s="543" t="n">
        <v>4044</v>
      </c>
      <c r="M1777" s="983" t="n">
        <v>1</v>
      </c>
      <c r="N1777" s="1299" t="n">
        <f aca="false">L1777*M1777</f>
        <v>4044</v>
      </c>
      <c r="O1777" s="1430" t="n">
        <f aca="false">H1777*N1777</f>
        <v>132238.8</v>
      </c>
      <c r="P1777" s="868" t="s">
        <v>2200</v>
      </c>
      <c r="Q1777" s="869" t="s">
        <v>2946</v>
      </c>
      <c r="R1777" s="866" t="n">
        <v>132238.8</v>
      </c>
      <c r="S1777" s="877" t="n">
        <f aca="false">R1777/H1777</f>
        <v>4044</v>
      </c>
      <c r="T1777" s="1449" t="n">
        <f aca="false">O1777-R1777</f>
        <v>0</v>
      </c>
      <c r="U1777" s="1135" t="n">
        <f aca="false">N1777-S1777</f>
        <v>0</v>
      </c>
    </row>
    <row r="1778" customFormat="false" ht="15" hidden="false" customHeight="true" outlineLevel="0" collapsed="false">
      <c r="A1778" s="1060"/>
      <c r="B1778" s="859" t="s">
        <v>86</v>
      </c>
      <c r="C1778" s="859" t="n">
        <v>2024</v>
      </c>
      <c r="D1778" s="860" t="s">
        <v>10</v>
      </c>
      <c r="E1778" s="860" t="s">
        <v>2241</v>
      </c>
      <c r="F1778" s="860"/>
      <c r="G1778" s="861"/>
      <c r="H1778" s="1760" t="n">
        <v>2.4</v>
      </c>
      <c r="I1778" s="1429"/>
      <c r="J1778" s="1429"/>
      <c r="K1778" s="864" t="n">
        <f aca="false">H1778*I1778/100</f>
        <v>0</v>
      </c>
      <c r="L1778" s="543" t="n">
        <v>1176</v>
      </c>
      <c r="M1778" s="983" t="n">
        <v>1</v>
      </c>
      <c r="N1778" s="1299" t="n">
        <f aca="false">L1778*M1778</f>
        <v>1176</v>
      </c>
      <c r="O1778" s="1430" t="n">
        <f aca="false">H1778*N1778</f>
        <v>2822.4</v>
      </c>
      <c r="P1778" s="868" t="s">
        <v>2204</v>
      </c>
      <c r="Q1778" s="869" t="n">
        <v>31012025</v>
      </c>
      <c r="R1778" s="866" t="n">
        <v>2822.4</v>
      </c>
      <c r="S1778" s="866" t="n">
        <f aca="false">R1778/H1778</f>
        <v>1176</v>
      </c>
      <c r="T1778" s="1449" t="n">
        <f aca="false">O1778-R1778</f>
        <v>0</v>
      </c>
      <c r="U1778" s="1135" t="n">
        <f aca="false">N1778-S1778</f>
        <v>0</v>
      </c>
    </row>
    <row r="1779" customFormat="false" ht="15" hidden="false" customHeight="true" outlineLevel="0" collapsed="false">
      <c r="A1779" s="1060"/>
      <c r="B1779" s="893" t="s">
        <v>86</v>
      </c>
      <c r="C1779" s="893" t="n">
        <v>2024</v>
      </c>
      <c r="D1779" s="843" t="s">
        <v>10</v>
      </c>
      <c r="E1779" s="843" t="s">
        <v>2205</v>
      </c>
      <c r="F1779" s="843"/>
      <c r="G1779" s="894"/>
      <c r="H1779" s="1769" t="n">
        <v>27.3</v>
      </c>
      <c r="I1779" s="1532"/>
      <c r="J1779" s="1532"/>
      <c r="K1779" s="897" t="n">
        <f aca="false">H1779*I1779/100</f>
        <v>0</v>
      </c>
      <c r="L1779" s="589" t="n">
        <v>2289</v>
      </c>
      <c r="M1779" s="1106" t="n">
        <v>1</v>
      </c>
      <c r="N1779" s="1393" t="n">
        <f aca="false">L1779*M1779</f>
        <v>2289</v>
      </c>
      <c r="O1779" s="1411" t="n">
        <f aca="false">H1779*N1779</f>
        <v>62489.7</v>
      </c>
      <c r="P1779" s="844" t="s">
        <v>2200</v>
      </c>
      <c r="Q1779" s="845" t="s">
        <v>2946</v>
      </c>
      <c r="R1779" s="846" t="n">
        <v>62489.7</v>
      </c>
      <c r="S1779" s="846" t="n">
        <f aca="false">R1779/H1779</f>
        <v>2289</v>
      </c>
      <c r="T1779" s="1183" t="n">
        <f aca="false">O1779-R1779</f>
        <v>0</v>
      </c>
      <c r="U1779" s="902" t="n">
        <f aca="false">N1779-S1779</f>
        <v>0</v>
      </c>
    </row>
    <row r="1780" customFormat="false" ht="15" hidden="false" customHeight="true" outlineLevel="0" collapsed="false">
      <c r="A1780" s="1465" t="n">
        <v>111</v>
      </c>
      <c r="B1780" s="1173" t="s">
        <v>86</v>
      </c>
      <c r="C1780" s="1173" t="n">
        <v>2024</v>
      </c>
      <c r="D1780" s="831" t="s">
        <v>10</v>
      </c>
      <c r="E1780" s="831" t="s">
        <v>2192</v>
      </c>
      <c r="F1780" s="831" t="s">
        <v>1650</v>
      </c>
      <c r="G1780" s="1108"/>
      <c r="H1780" s="1759" t="n">
        <v>95.2</v>
      </c>
      <c r="I1780" s="1435"/>
      <c r="J1780" s="1435"/>
      <c r="K1780" s="1111" t="n">
        <f aca="false">H1780*I1780/100</f>
        <v>0</v>
      </c>
      <c r="L1780" s="1114" t="n">
        <v>7120</v>
      </c>
      <c r="M1780" s="1113" t="n">
        <v>1</v>
      </c>
      <c r="N1780" s="1408" t="n">
        <f aca="false">L1780*M1780</f>
        <v>7120</v>
      </c>
      <c r="O1780" s="1409" t="n">
        <f aca="false">H1780*N1780</f>
        <v>677824</v>
      </c>
      <c r="P1780" s="838" t="s">
        <v>2232</v>
      </c>
      <c r="Q1780" s="839" t="s">
        <v>2399</v>
      </c>
      <c r="R1780" s="840" t="n">
        <v>677824</v>
      </c>
      <c r="S1780" s="840" t="n">
        <f aca="false">R1780/H1780</f>
        <v>7120</v>
      </c>
      <c r="T1780" s="1181" t="n">
        <f aca="false">O1780-R1780</f>
        <v>0</v>
      </c>
      <c r="U1780" s="1176" t="n">
        <f aca="false">N1780-S1780</f>
        <v>0</v>
      </c>
    </row>
    <row r="1781" customFormat="false" ht="15" hidden="false" customHeight="true" outlineLevel="0" collapsed="false">
      <c r="A1781" s="1465"/>
      <c r="B1781" s="859" t="s">
        <v>86</v>
      </c>
      <c r="C1781" s="859" t="n">
        <v>2024</v>
      </c>
      <c r="D1781" s="860" t="s">
        <v>10</v>
      </c>
      <c r="E1781" s="860" t="s">
        <v>2203</v>
      </c>
      <c r="F1781" s="860"/>
      <c r="G1781" s="861"/>
      <c r="H1781" s="1760" t="n">
        <v>30.5</v>
      </c>
      <c r="I1781" s="1429"/>
      <c r="J1781" s="1429"/>
      <c r="K1781" s="864" t="n">
        <f aca="false">H1781*I1781/100</f>
        <v>0</v>
      </c>
      <c r="L1781" s="543" t="n">
        <v>655</v>
      </c>
      <c r="M1781" s="983" t="n">
        <v>1</v>
      </c>
      <c r="N1781" s="1299" t="n">
        <f aca="false">L1781*M1781</f>
        <v>655</v>
      </c>
      <c r="O1781" s="1430" t="n">
        <f aca="false">H1781*N1781</f>
        <v>19977.5</v>
      </c>
      <c r="P1781" s="868" t="s">
        <v>2200</v>
      </c>
      <c r="Q1781" s="869" t="s">
        <v>2946</v>
      </c>
      <c r="R1781" s="866" t="n">
        <v>19977.5</v>
      </c>
      <c r="S1781" s="866" t="n">
        <f aca="false">R1781/H1781</f>
        <v>655</v>
      </c>
      <c r="T1781" s="953" t="n">
        <f aca="false">O1781-R1781</f>
        <v>0</v>
      </c>
      <c r="U1781" s="892" t="n">
        <f aca="false">N1781-S1781</f>
        <v>0</v>
      </c>
    </row>
    <row r="1782" customFormat="false" ht="15" hidden="false" customHeight="true" outlineLevel="0" collapsed="false">
      <c r="A1782" s="1465"/>
      <c r="B1782" s="859" t="s">
        <v>86</v>
      </c>
      <c r="C1782" s="859" t="n">
        <v>2024</v>
      </c>
      <c r="D1782" s="860" t="s">
        <v>10</v>
      </c>
      <c r="E1782" s="860" t="s">
        <v>2241</v>
      </c>
      <c r="F1782" s="860"/>
      <c r="G1782" s="861"/>
      <c r="H1782" s="1760" t="n">
        <v>41</v>
      </c>
      <c r="I1782" s="1429"/>
      <c r="J1782" s="1429"/>
      <c r="K1782" s="864" t="n">
        <f aca="false">H1782*I1782/100</f>
        <v>0</v>
      </c>
      <c r="L1782" s="543" t="n">
        <v>160</v>
      </c>
      <c r="M1782" s="983" t="n">
        <v>1</v>
      </c>
      <c r="N1782" s="1299" t="n">
        <f aca="false">L1782*M1782</f>
        <v>160</v>
      </c>
      <c r="O1782" s="1430" t="n">
        <f aca="false">H1782*N1782</f>
        <v>6560</v>
      </c>
      <c r="P1782" s="868" t="s">
        <v>2200</v>
      </c>
      <c r="Q1782" s="869" t="s">
        <v>2946</v>
      </c>
      <c r="R1782" s="866" t="n">
        <v>6560</v>
      </c>
      <c r="S1782" s="866" t="n">
        <f aca="false">R1782/H1782</f>
        <v>160</v>
      </c>
      <c r="T1782" s="953" t="n">
        <f aca="false">O1782-R1782</f>
        <v>0</v>
      </c>
      <c r="U1782" s="892" t="n">
        <f aca="false">N1782-S1782</f>
        <v>0</v>
      </c>
    </row>
    <row r="1783" customFormat="false" ht="15" hidden="false" customHeight="true" outlineLevel="0" collapsed="false">
      <c r="A1783" s="1465"/>
      <c r="B1783" s="870" t="s">
        <v>86</v>
      </c>
      <c r="C1783" s="870" t="n">
        <v>2024</v>
      </c>
      <c r="D1783" s="871" t="s">
        <v>10</v>
      </c>
      <c r="E1783" s="871" t="s">
        <v>2205</v>
      </c>
      <c r="F1783" s="871"/>
      <c r="G1783" s="872"/>
      <c r="H1783" s="1525" t="n">
        <v>0</v>
      </c>
      <c r="I1783" s="1433"/>
      <c r="J1783" s="1433"/>
      <c r="K1783" s="875" t="n">
        <f aca="false">H1783*I1783/100</f>
        <v>0</v>
      </c>
      <c r="L1783" s="553" t="n">
        <v>430</v>
      </c>
      <c r="M1783" s="1000" t="n">
        <v>1</v>
      </c>
      <c r="N1783" s="1301" t="n">
        <f aca="false">L1783*M1783</f>
        <v>430</v>
      </c>
      <c r="O1783" s="1402" t="n">
        <f aca="false">H1783*N1783</f>
        <v>0</v>
      </c>
      <c r="P1783" s="879" t="s">
        <v>2204</v>
      </c>
      <c r="Q1783" s="880" t="n">
        <v>31012025</v>
      </c>
      <c r="R1783" s="877"/>
      <c r="S1783" s="877" t="n">
        <v>430</v>
      </c>
      <c r="T1783" s="948" t="n">
        <f aca="false">O1783-R1783</f>
        <v>0</v>
      </c>
      <c r="U1783" s="1026" t="n">
        <f aca="false">N1783-S1783</f>
        <v>0</v>
      </c>
    </row>
    <row r="1784" customFormat="false" ht="15" hidden="false" customHeight="true" outlineLevel="0" collapsed="false">
      <c r="A1784" s="829" t="n">
        <v>112</v>
      </c>
      <c r="B1784" s="1173" t="s">
        <v>86</v>
      </c>
      <c r="C1784" s="1173" t="n">
        <v>2024</v>
      </c>
      <c r="D1784" s="831" t="s">
        <v>10</v>
      </c>
      <c r="E1784" s="831" t="s">
        <v>2192</v>
      </c>
      <c r="F1784" s="831" t="s">
        <v>1650</v>
      </c>
      <c r="G1784" s="1108"/>
      <c r="H1784" s="1759" t="n">
        <v>94</v>
      </c>
      <c r="I1784" s="1435"/>
      <c r="J1784" s="1435"/>
      <c r="K1784" s="1111" t="n">
        <f aca="false">H1784*I1784/100</f>
        <v>0</v>
      </c>
      <c r="L1784" s="1114" t="n">
        <v>32350</v>
      </c>
      <c r="M1784" s="1113" t="n">
        <v>1</v>
      </c>
      <c r="N1784" s="1408" t="n">
        <f aca="false">L1784*M1784</f>
        <v>32350</v>
      </c>
      <c r="O1784" s="1409" t="n">
        <f aca="false">H1784*N1784</f>
        <v>3040900</v>
      </c>
      <c r="P1784" s="838" t="s">
        <v>2232</v>
      </c>
      <c r="Q1784" s="839" t="s">
        <v>2613</v>
      </c>
      <c r="R1784" s="840" t="n">
        <v>3040900</v>
      </c>
      <c r="S1784" s="840" t="n">
        <f aca="false">R1784/H1784</f>
        <v>32350</v>
      </c>
      <c r="T1784" s="1181" t="n">
        <f aca="false">O1784-R1784</f>
        <v>0</v>
      </c>
      <c r="U1784" s="1176" t="n">
        <f aca="false">N1784-S1784</f>
        <v>0</v>
      </c>
    </row>
    <row r="1785" customFormat="false" ht="15" hidden="false" customHeight="true" outlineLevel="0" collapsed="false">
      <c r="A1785" s="829"/>
      <c r="B1785" s="859" t="s">
        <v>3013</v>
      </c>
      <c r="C1785" s="859" t="n">
        <v>2024</v>
      </c>
      <c r="D1785" s="860" t="s">
        <v>10</v>
      </c>
      <c r="E1785" s="860" t="s">
        <v>2203</v>
      </c>
      <c r="F1785" s="860"/>
      <c r="G1785" s="861"/>
      <c r="H1785" s="1760" t="n">
        <v>34.5</v>
      </c>
      <c r="I1785" s="1429"/>
      <c r="J1785" s="1429"/>
      <c r="K1785" s="864" t="n">
        <f aca="false">H1785*I1785/100</f>
        <v>0</v>
      </c>
      <c r="L1785" s="543" t="n">
        <v>4257</v>
      </c>
      <c r="M1785" s="983" t="n">
        <v>1</v>
      </c>
      <c r="N1785" s="1299" t="n">
        <f aca="false">L1785*M1785</f>
        <v>4257</v>
      </c>
      <c r="O1785" s="1430" t="n">
        <f aca="false">H1785*N1785</f>
        <v>146866.5</v>
      </c>
      <c r="P1785" s="868" t="s">
        <v>2200</v>
      </c>
      <c r="Q1785" s="869" t="s">
        <v>2946</v>
      </c>
      <c r="R1785" s="866" t="n">
        <v>146866.5</v>
      </c>
      <c r="S1785" s="866" t="n">
        <f aca="false">R1785/H1785</f>
        <v>4257</v>
      </c>
      <c r="T1785" s="1449" t="n">
        <f aca="false">O1785-R1785</f>
        <v>0</v>
      </c>
      <c r="U1785" s="1135" t="n">
        <f aca="false">N1785-S1785</f>
        <v>0</v>
      </c>
    </row>
    <row r="1786" customFormat="false" ht="15" hidden="false" customHeight="true" outlineLevel="0" collapsed="false">
      <c r="A1786" s="829"/>
      <c r="B1786" s="859" t="s">
        <v>86</v>
      </c>
      <c r="C1786" s="859" t="n">
        <v>2024</v>
      </c>
      <c r="D1786" s="860" t="s">
        <v>10</v>
      </c>
      <c r="E1786" s="860" t="s">
        <v>2241</v>
      </c>
      <c r="F1786" s="860"/>
      <c r="G1786" s="861"/>
      <c r="H1786" s="1760" t="n">
        <v>7.3</v>
      </c>
      <c r="I1786" s="1429"/>
      <c r="J1786" s="1429"/>
      <c r="K1786" s="864" t="n">
        <f aca="false">H1786*I1786/100</f>
        <v>0</v>
      </c>
      <c r="L1786" s="543" t="n">
        <v>9595</v>
      </c>
      <c r="M1786" s="983" t="n">
        <v>1</v>
      </c>
      <c r="N1786" s="1299" t="n">
        <f aca="false">L1786*M1786</f>
        <v>9595</v>
      </c>
      <c r="O1786" s="1430" t="n">
        <f aca="false">H1786*N1786</f>
        <v>70043.5</v>
      </c>
      <c r="P1786" s="868" t="s">
        <v>2204</v>
      </c>
      <c r="Q1786" s="869" t="n">
        <v>31012025</v>
      </c>
      <c r="R1786" s="866" t="n">
        <v>70043.5</v>
      </c>
      <c r="S1786" s="866" t="n">
        <f aca="false">R1786/H1786</f>
        <v>9595</v>
      </c>
      <c r="T1786" s="1449" t="n">
        <f aca="false">O1786-R1786</f>
        <v>0</v>
      </c>
      <c r="U1786" s="1135" t="n">
        <f aca="false">N1786-S1786</f>
        <v>0</v>
      </c>
    </row>
    <row r="1787" customFormat="false" ht="15" hidden="false" customHeight="true" outlineLevel="0" collapsed="false">
      <c r="A1787" s="829"/>
      <c r="B1787" s="893" t="s">
        <v>86</v>
      </c>
      <c r="C1787" s="893" t="n">
        <v>2024</v>
      </c>
      <c r="D1787" s="843" t="s">
        <v>10</v>
      </c>
      <c r="E1787" s="843" t="s">
        <v>2205</v>
      </c>
      <c r="F1787" s="843"/>
      <c r="G1787" s="894"/>
      <c r="H1787" s="1769" t="n">
        <v>37.4</v>
      </c>
      <c r="I1787" s="1532"/>
      <c r="J1787" s="1532"/>
      <c r="K1787" s="897" t="n">
        <f aca="false">H1787*I1787/100</f>
        <v>0</v>
      </c>
      <c r="L1787" s="589" t="n">
        <v>2755</v>
      </c>
      <c r="M1787" s="1106" t="n">
        <v>1</v>
      </c>
      <c r="N1787" s="1393" t="n">
        <f aca="false">L1787*M1787</f>
        <v>2755</v>
      </c>
      <c r="O1787" s="1411" t="n">
        <f aca="false">H1787*N1787</f>
        <v>103037</v>
      </c>
      <c r="P1787" s="844" t="s">
        <v>2200</v>
      </c>
      <c r="Q1787" s="845" t="s">
        <v>2946</v>
      </c>
      <c r="R1787" s="846" t="n">
        <v>103037</v>
      </c>
      <c r="S1787" s="846" t="n">
        <f aca="false">R1787/H1787</f>
        <v>2755</v>
      </c>
      <c r="T1787" s="1183" t="n">
        <f aca="false">O1787-R1787</f>
        <v>0</v>
      </c>
      <c r="U1787" s="902" t="n">
        <f aca="false">N1787-S1787</f>
        <v>0</v>
      </c>
    </row>
    <row r="1788" customFormat="false" ht="15" hidden="false" customHeight="true" outlineLevel="0" collapsed="false">
      <c r="A1788" s="1087" t="n">
        <v>50</v>
      </c>
      <c r="B1788" s="1061" t="s">
        <v>2230</v>
      </c>
      <c r="C1788" s="1061" t="n">
        <v>2024</v>
      </c>
      <c r="D1788" s="848" t="s">
        <v>10</v>
      </c>
      <c r="E1788" s="848" t="s">
        <v>2192</v>
      </c>
      <c r="F1788" s="887" t="s">
        <v>1650</v>
      </c>
      <c r="G1788" s="1062"/>
      <c r="H1788" s="1522" t="n">
        <v>92.2376</v>
      </c>
      <c r="I1788" s="1078"/>
      <c r="J1788" s="1078"/>
      <c r="K1788" s="1064" t="n">
        <f aca="false">H1788*I1788/100</f>
        <v>0</v>
      </c>
      <c r="L1788" s="1067" t="n">
        <v>36353</v>
      </c>
      <c r="M1788" s="1066" t="n">
        <v>1</v>
      </c>
      <c r="N1788" s="1067" t="n">
        <f aca="false">L1788*M1788</f>
        <v>36353</v>
      </c>
      <c r="O1788" s="1452" t="n">
        <f aca="false">H1788*N1788</f>
        <v>3353113.4728</v>
      </c>
      <c r="P1788" s="856" t="s">
        <v>2197</v>
      </c>
      <c r="Q1788" s="857" t="s">
        <v>3014</v>
      </c>
      <c r="R1788" s="854" t="n">
        <v>166027.68</v>
      </c>
      <c r="S1788" s="854" t="n">
        <f aca="false">R1788/H1788</f>
        <v>1800</v>
      </c>
      <c r="T1788" s="1452" t="n">
        <f aca="false">O1788-R1788-R1789-R1790-R1791-R1792</f>
        <v>0</v>
      </c>
      <c r="U1788" s="1070" t="n">
        <f aca="false">N1788-S1788-S1789-S1790-S1791-S1792</f>
        <v>0</v>
      </c>
    </row>
    <row r="1789" customFormat="false" ht="15" hidden="false" customHeight="true" outlineLevel="0" collapsed="false">
      <c r="A1789" s="1087"/>
      <c r="B1789" s="1061"/>
      <c r="C1789" s="1061"/>
      <c r="D1789" s="860" t="s">
        <v>10</v>
      </c>
      <c r="E1789" s="860" t="s">
        <v>2192</v>
      </c>
      <c r="F1789" s="887"/>
      <c r="G1789" s="1062"/>
      <c r="H1789" s="1522"/>
      <c r="I1789" s="1078"/>
      <c r="J1789" s="1078"/>
      <c r="K1789" s="1064"/>
      <c r="L1789" s="1067"/>
      <c r="M1789" s="1066"/>
      <c r="N1789" s="1067"/>
      <c r="O1789" s="1452"/>
      <c r="P1789" s="868" t="s">
        <v>2197</v>
      </c>
      <c r="Q1789" s="869" t="s">
        <v>3015</v>
      </c>
      <c r="R1789" s="866" t="n">
        <v>36895.04</v>
      </c>
      <c r="S1789" s="1178" t="n">
        <f aca="false">R1789/H1788</f>
        <v>400</v>
      </c>
      <c r="T1789" s="1452"/>
      <c r="U1789" s="1070"/>
    </row>
    <row r="1790" customFormat="false" ht="15" hidden="false" customHeight="true" outlineLevel="0" collapsed="false">
      <c r="A1790" s="1087"/>
      <c r="B1790" s="1061"/>
      <c r="C1790" s="1061"/>
      <c r="D1790" s="860" t="s">
        <v>10</v>
      </c>
      <c r="E1790" s="860" t="s">
        <v>2192</v>
      </c>
      <c r="F1790" s="887"/>
      <c r="G1790" s="1062"/>
      <c r="H1790" s="1522"/>
      <c r="I1790" s="1078"/>
      <c r="J1790" s="1078"/>
      <c r="K1790" s="1064"/>
      <c r="L1790" s="1067"/>
      <c r="M1790" s="1066"/>
      <c r="N1790" s="1067"/>
      <c r="O1790" s="1452"/>
      <c r="P1790" s="868" t="s">
        <v>2197</v>
      </c>
      <c r="Q1790" s="869" t="s">
        <v>3016</v>
      </c>
      <c r="R1790" s="866" t="n">
        <v>18447.52</v>
      </c>
      <c r="S1790" s="866" t="n">
        <f aca="false">R1790/H1788</f>
        <v>200</v>
      </c>
      <c r="T1790" s="1452"/>
      <c r="U1790" s="1070"/>
    </row>
    <row r="1791" customFormat="false" ht="15" hidden="false" customHeight="true" outlineLevel="0" collapsed="false">
      <c r="A1791" s="1087"/>
      <c r="B1791" s="1061"/>
      <c r="C1791" s="1061"/>
      <c r="D1791" s="860" t="s">
        <v>10</v>
      </c>
      <c r="E1791" s="860" t="s">
        <v>2192</v>
      </c>
      <c r="F1791" s="887"/>
      <c r="G1791" s="1062"/>
      <c r="H1791" s="1522"/>
      <c r="I1791" s="1078"/>
      <c r="J1791" s="1078"/>
      <c r="K1791" s="1064"/>
      <c r="L1791" s="1067"/>
      <c r="M1791" s="1066"/>
      <c r="N1791" s="1067"/>
      <c r="O1791" s="1452"/>
      <c r="P1791" s="868" t="s">
        <v>2197</v>
      </c>
      <c r="Q1791" s="869" t="s">
        <v>3017</v>
      </c>
      <c r="R1791" s="866" t="n">
        <v>1844752</v>
      </c>
      <c r="S1791" s="866" t="n">
        <f aca="false">R1791/H1788</f>
        <v>20000</v>
      </c>
      <c r="T1791" s="1452"/>
      <c r="U1791" s="1070"/>
    </row>
    <row r="1792" customFormat="false" ht="15" hidden="false" customHeight="true" outlineLevel="0" collapsed="false">
      <c r="A1792" s="1087"/>
      <c r="B1792" s="1061"/>
      <c r="C1792" s="1061"/>
      <c r="D1792" s="843" t="s">
        <v>10</v>
      </c>
      <c r="E1792" s="843" t="s">
        <v>2192</v>
      </c>
      <c r="F1792" s="887"/>
      <c r="G1792" s="1062"/>
      <c r="H1792" s="1522"/>
      <c r="I1792" s="1078"/>
      <c r="J1792" s="1078"/>
      <c r="K1792" s="1064"/>
      <c r="L1792" s="1067"/>
      <c r="M1792" s="1066"/>
      <c r="N1792" s="1067"/>
      <c r="O1792" s="1452"/>
      <c r="P1792" s="844" t="s">
        <v>2197</v>
      </c>
      <c r="Q1792" s="845" t="s">
        <v>3018</v>
      </c>
      <c r="R1792" s="846" t="n">
        <v>1286991.2328</v>
      </c>
      <c r="S1792" s="846" t="n">
        <f aca="false">R1792/H1788</f>
        <v>13953</v>
      </c>
      <c r="T1792" s="1452"/>
      <c r="U1792" s="1070"/>
    </row>
    <row r="1793" customFormat="false" ht="15" hidden="false" customHeight="true" outlineLevel="0" collapsed="false">
      <c r="A1793" s="882" t="n">
        <v>51</v>
      </c>
      <c r="B1793" s="883" t="s">
        <v>2230</v>
      </c>
      <c r="C1793" s="883" t="n">
        <v>2024</v>
      </c>
      <c r="D1793" s="831" t="s">
        <v>10</v>
      </c>
      <c r="E1793" s="831" t="s">
        <v>2192</v>
      </c>
      <c r="F1793" s="832" t="s">
        <v>1650</v>
      </c>
      <c r="G1793" s="833"/>
      <c r="H1793" s="1526" t="n">
        <v>93.3656</v>
      </c>
      <c r="I1793" s="1020"/>
      <c r="J1793" s="1020"/>
      <c r="K1793" s="836" t="n">
        <f aca="false">H1793*I1793/100</f>
        <v>0</v>
      </c>
      <c r="L1793" s="837" t="n">
        <v>43350</v>
      </c>
      <c r="M1793" s="1003" t="n">
        <v>1</v>
      </c>
      <c r="N1793" s="837" t="n">
        <f aca="false">L1793*M1793</f>
        <v>43350</v>
      </c>
      <c r="O1793" s="943" t="n">
        <f aca="false">H1793*N1793</f>
        <v>4047398.76</v>
      </c>
      <c r="P1793" s="838" t="s">
        <v>2197</v>
      </c>
      <c r="Q1793" s="839" t="s">
        <v>3019</v>
      </c>
      <c r="R1793" s="840" t="n">
        <v>1867312</v>
      </c>
      <c r="S1793" s="840" t="n">
        <f aca="false">R1793/H1793</f>
        <v>20000</v>
      </c>
      <c r="T1793" s="943" t="n">
        <f aca="false">O1793-R1793-R1794-R1795</f>
        <v>0</v>
      </c>
      <c r="U1793" s="842" t="n">
        <f aca="false">N1793-S1793-S1794-S1795</f>
        <v>0</v>
      </c>
    </row>
    <row r="1794" customFormat="false" ht="15" hidden="false" customHeight="true" outlineLevel="0" collapsed="false">
      <c r="A1794" s="882"/>
      <c r="B1794" s="883"/>
      <c r="C1794" s="883"/>
      <c r="D1794" s="848" t="s">
        <v>10</v>
      </c>
      <c r="E1794" s="848" t="s">
        <v>2192</v>
      </c>
      <c r="F1794" s="832"/>
      <c r="G1794" s="833"/>
      <c r="H1794" s="1526"/>
      <c r="I1794" s="1020"/>
      <c r="J1794" s="1020"/>
      <c r="K1794" s="836"/>
      <c r="L1794" s="837"/>
      <c r="M1794" s="1003"/>
      <c r="N1794" s="837"/>
      <c r="O1794" s="943"/>
      <c r="P1794" s="856" t="s">
        <v>2197</v>
      </c>
      <c r="Q1794" s="857" t="s">
        <v>3020</v>
      </c>
      <c r="R1794" s="854" t="n">
        <v>1867312</v>
      </c>
      <c r="S1794" s="866" t="n">
        <f aca="false">R1794/H1793</f>
        <v>20000</v>
      </c>
      <c r="T1794" s="943"/>
      <c r="U1794" s="842"/>
    </row>
    <row r="1795" customFormat="false" ht="15" hidden="false" customHeight="true" outlineLevel="0" collapsed="false">
      <c r="A1795" s="882"/>
      <c r="B1795" s="883"/>
      <c r="C1795" s="883"/>
      <c r="D1795" s="887" t="s">
        <v>10</v>
      </c>
      <c r="E1795" s="887" t="s">
        <v>2192</v>
      </c>
      <c r="F1795" s="832"/>
      <c r="G1795" s="833"/>
      <c r="H1795" s="1526"/>
      <c r="I1795" s="1020"/>
      <c r="J1795" s="1020"/>
      <c r="K1795" s="836"/>
      <c r="L1795" s="837"/>
      <c r="M1795" s="1003"/>
      <c r="N1795" s="837"/>
      <c r="O1795" s="943"/>
      <c r="P1795" s="888" t="s">
        <v>2197</v>
      </c>
      <c r="Q1795" s="889" t="s">
        <v>3021</v>
      </c>
      <c r="R1795" s="890" t="n">
        <v>312774.76</v>
      </c>
      <c r="S1795" s="846" t="n">
        <f aca="false">R1795/H1793</f>
        <v>3350</v>
      </c>
      <c r="T1795" s="943"/>
      <c r="U1795" s="842"/>
    </row>
    <row r="1796" customFormat="false" ht="15" hidden="false" customHeight="true" outlineLevel="0" collapsed="false">
      <c r="A1796" s="829" t="n">
        <v>52</v>
      </c>
      <c r="B1796" s="830" t="s">
        <v>2230</v>
      </c>
      <c r="C1796" s="830" t="n">
        <v>2024</v>
      </c>
      <c r="D1796" s="831" t="s">
        <v>10</v>
      </c>
      <c r="E1796" s="831" t="s">
        <v>2192</v>
      </c>
      <c r="F1796" s="832" t="s">
        <v>1650</v>
      </c>
      <c r="G1796" s="833"/>
      <c r="H1796" s="1526" t="n">
        <v>98.1529</v>
      </c>
      <c r="I1796" s="1020"/>
      <c r="J1796" s="1317"/>
      <c r="K1796" s="836" t="n">
        <f aca="false">H1796*I1796/100</f>
        <v>0</v>
      </c>
      <c r="L1796" s="837" t="n">
        <v>36912</v>
      </c>
      <c r="M1796" s="1003" t="n">
        <v>1</v>
      </c>
      <c r="N1796" s="837" t="n">
        <f aca="false">L1796*M1796</f>
        <v>36912</v>
      </c>
      <c r="O1796" s="943" t="n">
        <f aca="false">H1796*N1796</f>
        <v>3623019.8448</v>
      </c>
      <c r="P1796" s="838" t="s">
        <v>2197</v>
      </c>
      <c r="Q1796" s="839" t="s">
        <v>3022</v>
      </c>
      <c r="R1796" s="840" t="n">
        <v>1963058</v>
      </c>
      <c r="S1796" s="886" t="n">
        <f aca="false">R1796/H1796</f>
        <v>20000</v>
      </c>
      <c r="T1796" s="837" t="n">
        <f aca="false">O1796-R1796-R1797-R1799-R1800-R1798</f>
        <v>1.70985003933311E-010</v>
      </c>
      <c r="U1796" s="842" t="n">
        <f aca="false">N1796-S1796-S1797-S1799-S1800-S1798</f>
        <v>1.81898940354586E-012</v>
      </c>
    </row>
    <row r="1797" customFormat="false" ht="15" hidden="false" customHeight="true" outlineLevel="0" collapsed="false">
      <c r="A1797" s="829"/>
      <c r="B1797" s="830"/>
      <c r="C1797" s="830"/>
      <c r="D1797" s="848" t="s">
        <v>10</v>
      </c>
      <c r="E1797" s="848" t="s">
        <v>2192</v>
      </c>
      <c r="F1797" s="832"/>
      <c r="G1797" s="833"/>
      <c r="H1797" s="1526"/>
      <c r="I1797" s="1020"/>
      <c r="J1797" s="1372"/>
      <c r="K1797" s="836"/>
      <c r="L1797" s="837"/>
      <c r="M1797" s="1003"/>
      <c r="N1797" s="837"/>
      <c r="O1797" s="943"/>
      <c r="P1797" s="856" t="s">
        <v>2197</v>
      </c>
      <c r="Q1797" s="857" t="s">
        <v>3023</v>
      </c>
      <c r="R1797" s="854" t="n">
        <v>1570446.4</v>
      </c>
      <c r="S1797" s="866" t="n">
        <f aca="false">R1797/H1796</f>
        <v>16000</v>
      </c>
      <c r="T1797" s="837"/>
      <c r="U1797" s="842"/>
    </row>
    <row r="1798" customFormat="false" ht="15" hidden="false" customHeight="true" outlineLevel="0" collapsed="false">
      <c r="A1798" s="829"/>
      <c r="B1798" s="830"/>
      <c r="C1798" s="830"/>
      <c r="D1798" s="848" t="s">
        <v>10</v>
      </c>
      <c r="E1798" s="848" t="s">
        <v>2192</v>
      </c>
      <c r="F1798" s="832"/>
      <c r="G1798" s="833"/>
      <c r="H1798" s="1526"/>
      <c r="I1798" s="1020"/>
      <c r="J1798" s="1372"/>
      <c r="K1798" s="836"/>
      <c r="L1798" s="837"/>
      <c r="M1798" s="1003"/>
      <c r="N1798" s="837"/>
      <c r="O1798" s="943"/>
      <c r="P1798" s="856" t="s">
        <v>2232</v>
      </c>
      <c r="Q1798" s="857" t="s">
        <v>111</v>
      </c>
      <c r="R1798" s="854" t="n">
        <v>27679.1178</v>
      </c>
      <c r="S1798" s="866" t="n">
        <f aca="false">R1798/H1796</f>
        <v>282</v>
      </c>
      <c r="T1798" s="837"/>
      <c r="U1798" s="842"/>
    </row>
    <row r="1799" customFormat="false" ht="15" hidden="false" customHeight="true" outlineLevel="0" collapsed="false">
      <c r="A1799" s="829"/>
      <c r="B1799" s="830"/>
      <c r="C1799" s="830"/>
      <c r="D1799" s="848" t="s">
        <v>10</v>
      </c>
      <c r="E1799" s="848" t="s">
        <v>2192</v>
      </c>
      <c r="F1799" s="832"/>
      <c r="G1799" s="833"/>
      <c r="H1799" s="1526"/>
      <c r="I1799" s="1020"/>
      <c r="J1799" s="1372"/>
      <c r="K1799" s="836"/>
      <c r="L1799" s="837"/>
      <c r="M1799" s="1003"/>
      <c r="N1799" s="837"/>
      <c r="O1799" s="943"/>
      <c r="P1799" s="856" t="s">
        <v>2197</v>
      </c>
      <c r="Q1799" s="857" t="s">
        <v>3024</v>
      </c>
      <c r="R1799" s="854" t="n">
        <v>60854.798</v>
      </c>
      <c r="S1799" s="866" t="n">
        <f aca="false">R1799/H1796</f>
        <v>620</v>
      </c>
      <c r="T1799" s="837"/>
      <c r="U1799" s="842"/>
    </row>
    <row r="1800" customFormat="false" ht="15" hidden="false" customHeight="true" outlineLevel="0" collapsed="false">
      <c r="A1800" s="829"/>
      <c r="B1800" s="830"/>
      <c r="C1800" s="830"/>
      <c r="D1800" s="887" t="s">
        <v>10</v>
      </c>
      <c r="E1800" s="887" t="s">
        <v>2192</v>
      </c>
      <c r="F1800" s="832"/>
      <c r="G1800" s="833"/>
      <c r="H1800" s="1526"/>
      <c r="I1800" s="1020"/>
      <c r="J1800" s="1319"/>
      <c r="K1800" s="836"/>
      <c r="L1800" s="837"/>
      <c r="M1800" s="1003"/>
      <c r="N1800" s="837"/>
      <c r="O1800" s="943"/>
      <c r="P1800" s="888" t="s">
        <v>2197</v>
      </c>
      <c r="Q1800" s="889" t="s">
        <v>3025</v>
      </c>
      <c r="R1800" s="890" t="n">
        <v>981.529</v>
      </c>
      <c r="S1800" s="846" t="n">
        <f aca="false">R1800/H1796</f>
        <v>10</v>
      </c>
      <c r="T1800" s="837"/>
      <c r="U1800" s="842"/>
    </row>
    <row r="1801" customFormat="false" ht="15" hidden="false" customHeight="true" outlineLevel="0" collapsed="false">
      <c r="A1801" s="847" t="n">
        <v>156</v>
      </c>
      <c r="B1801" s="847" t="s">
        <v>81</v>
      </c>
      <c r="C1801" s="847" t="n">
        <v>2024</v>
      </c>
      <c r="D1801" s="848" t="s">
        <v>10</v>
      </c>
      <c r="E1801" s="848" t="s">
        <v>2192</v>
      </c>
      <c r="F1801" s="848" t="s">
        <v>2199</v>
      </c>
      <c r="G1801" s="849"/>
      <c r="H1801" s="1523" t="n">
        <v>81.9</v>
      </c>
      <c r="I1801" s="1397"/>
      <c r="J1801" s="1353"/>
      <c r="K1801" s="852" t="n">
        <f aca="false">H1801*I1801/100</f>
        <v>0</v>
      </c>
      <c r="L1801" s="537" t="n">
        <v>39970</v>
      </c>
      <c r="M1801" s="1007" t="n">
        <v>1</v>
      </c>
      <c r="N1801" s="1143" t="n">
        <f aca="false">L1801*M1801</f>
        <v>39970</v>
      </c>
      <c r="O1801" s="1143" t="n">
        <f aca="false">H1801*N1801</f>
        <v>3273543</v>
      </c>
      <c r="P1801" s="856" t="s">
        <v>2200</v>
      </c>
      <c r="Q1801" s="857" t="s">
        <v>2981</v>
      </c>
      <c r="R1801" s="854" t="n">
        <v>3273543</v>
      </c>
      <c r="S1801" s="866" t="n">
        <f aca="false">R1801/H1801</f>
        <v>39970</v>
      </c>
      <c r="T1801" s="537" t="n">
        <f aca="false">O1801-R1801</f>
        <v>0</v>
      </c>
      <c r="U1801" s="537" t="n">
        <f aca="false">N1801-S1801</f>
        <v>0</v>
      </c>
    </row>
    <row r="1802" customFormat="false" ht="15" hidden="false" customHeight="true" outlineLevel="0" collapsed="false">
      <c r="A1802" s="870" t="n">
        <v>157</v>
      </c>
      <c r="B1802" s="870" t="s">
        <v>81</v>
      </c>
      <c r="C1802" s="870" t="n">
        <v>2024</v>
      </c>
      <c r="D1802" s="871" t="s">
        <v>10</v>
      </c>
      <c r="E1802" s="871" t="s">
        <v>2192</v>
      </c>
      <c r="F1802" s="871" t="s">
        <v>2199</v>
      </c>
      <c r="G1802" s="872"/>
      <c r="H1802" s="1525" t="n">
        <v>88.6</v>
      </c>
      <c r="I1802" s="1433"/>
      <c r="J1802" s="1772"/>
      <c r="K1802" s="875" t="n">
        <f aca="false">H1802*I1802/100</f>
        <v>0</v>
      </c>
      <c r="L1802" s="553" t="n">
        <v>50030</v>
      </c>
      <c r="M1802" s="1000" t="n">
        <v>1</v>
      </c>
      <c r="N1802" s="1301" t="n">
        <f aca="false">L1802*M1802</f>
        <v>50030</v>
      </c>
      <c r="O1802" s="1301" t="n">
        <f aca="false">H1802*N1802</f>
        <v>4432658</v>
      </c>
      <c r="P1802" s="879" t="s">
        <v>2200</v>
      </c>
      <c r="Q1802" s="880" t="s">
        <v>2750</v>
      </c>
      <c r="R1802" s="877" t="n">
        <v>4432658</v>
      </c>
      <c r="S1802" s="877" t="n">
        <f aca="false">R1802/H1802</f>
        <v>50030</v>
      </c>
      <c r="T1802" s="553" t="n">
        <f aca="false">O1802-R1802</f>
        <v>0</v>
      </c>
      <c r="U1802" s="553" t="n">
        <f aca="false">N1802-S1802</f>
        <v>0</v>
      </c>
    </row>
    <row r="1803" customFormat="false" ht="15" hidden="false" customHeight="true" outlineLevel="0" collapsed="false">
      <c r="A1803" s="881" t="n">
        <v>119</v>
      </c>
      <c r="B1803" s="829" t="s">
        <v>86</v>
      </c>
      <c r="C1803" s="830" t="n">
        <v>2024</v>
      </c>
      <c r="D1803" s="831" t="s">
        <v>10</v>
      </c>
      <c r="E1803" s="831" t="s">
        <v>2192</v>
      </c>
      <c r="F1803" s="832" t="s">
        <v>1650</v>
      </c>
      <c r="G1803" s="833"/>
      <c r="H1803" s="1526" t="n">
        <v>95.2</v>
      </c>
      <c r="I1803" s="1020" t="n">
        <v>70</v>
      </c>
      <c r="J1803" s="1020"/>
      <c r="K1803" s="836" t="n">
        <f aca="false">H1803*I1803/100</f>
        <v>66.64</v>
      </c>
      <c r="L1803" s="837" t="n">
        <v>25720</v>
      </c>
      <c r="M1803" s="1003" t="n">
        <v>1</v>
      </c>
      <c r="N1803" s="837" t="n">
        <f aca="false">L1803*M1803</f>
        <v>25720</v>
      </c>
      <c r="O1803" s="837" t="n">
        <f aca="false">H1803*N1803</f>
        <v>2448544</v>
      </c>
      <c r="P1803" s="838" t="s">
        <v>2232</v>
      </c>
      <c r="Q1803" s="839" t="s">
        <v>2955</v>
      </c>
      <c r="R1803" s="840" t="n">
        <v>1224272</v>
      </c>
      <c r="S1803" s="886" t="n">
        <f aca="false">R1803/H1803</f>
        <v>12860</v>
      </c>
      <c r="T1803" s="837" t="n">
        <f aca="false">O1803-R1803-R1804</f>
        <v>0</v>
      </c>
      <c r="U1803" s="842" t="n">
        <f aca="false">N1803-S1803-S1804</f>
        <v>0</v>
      </c>
    </row>
    <row r="1804" customFormat="false" ht="15" hidden="false" customHeight="true" outlineLevel="0" collapsed="false">
      <c r="A1804" s="881"/>
      <c r="B1804" s="829"/>
      <c r="C1804" s="830"/>
      <c r="D1804" s="887" t="s">
        <v>10</v>
      </c>
      <c r="E1804" s="887" t="s">
        <v>2192</v>
      </c>
      <c r="F1804" s="832"/>
      <c r="G1804" s="833"/>
      <c r="H1804" s="1526"/>
      <c r="I1804" s="1020"/>
      <c r="J1804" s="1020"/>
      <c r="K1804" s="836"/>
      <c r="L1804" s="837"/>
      <c r="M1804" s="1003"/>
      <c r="N1804" s="837"/>
      <c r="O1804" s="837"/>
      <c r="P1804" s="888" t="s">
        <v>2232</v>
      </c>
      <c r="Q1804" s="889" t="s">
        <v>3026</v>
      </c>
      <c r="R1804" s="890" t="n">
        <v>1224272</v>
      </c>
      <c r="S1804" s="846" t="n">
        <f aca="false">R1804/H1803</f>
        <v>12860</v>
      </c>
      <c r="T1804" s="837"/>
      <c r="U1804" s="842"/>
    </row>
    <row r="1805" customFormat="false" ht="15" hidden="false" customHeight="true" outlineLevel="0" collapsed="false">
      <c r="A1805" s="881"/>
      <c r="B1805" s="847" t="s">
        <v>86</v>
      </c>
      <c r="C1805" s="847" t="n">
        <v>2024</v>
      </c>
      <c r="D1805" s="848" t="s">
        <v>10</v>
      </c>
      <c r="E1805" s="848" t="s">
        <v>2242</v>
      </c>
      <c r="F1805" s="848"/>
      <c r="G1805" s="849"/>
      <c r="H1805" s="1523" t="n">
        <v>71.1</v>
      </c>
      <c r="I1805" s="1397"/>
      <c r="J1805" s="1353"/>
      <c r="K1805" s="852" t="n">
        <f aca="false">H1805*I1805/100</f>
        <v>0</v>
      </c>
      <c r="L1805" s="537" t="n">
        <v>817</v>
      </c>
      <c r="M1805" s="1007" t="n">
        <v>1</v>
      </c>
      <c r="N1805" s="1143" t="n">
        <f aca="false">L1805*M1805</f>
        <v>817</v>
      </c>
      <c r="O1805" s="1143" t="n">
        <f aca="false">H1805*N1805</f>
        <v>58088.7</v>
      </c>
      <c r="P1805" s="856" t="s">
        <v>2200</v>
      </c>
      <c r="Q1805" s="857" t="s">
        <v>2946</v>
      </c>
      <c r="R1805" s="854" t="n">
        <v>58088.7</v>
      </c>
      <c r="S1805" s="840" t="n">
        <f aca="false">R1805/H1805</f>
        <v>817</v>
      </c>
      <c r="T1805" s="537" t="n">
        <f aca="false">O1805-R1805</f>
        <v>0</v>
      </c>
      <c r="U1805" s="892" t="n">
        <f aca="false">N1805-S1805</f>
        <v>0</v>
      </c>
    </row>
    <row r="1806" customFormat="false" ht="15" hidden="false" customHeight="true" outlineLevel="0" collapsed="false">
      <c r="A1806" s="881"/>
      <c r="B1806" s="859" t="s">
        <v>86</v>
      </c>
      <c r="C1806" s="859" t="n">
        <v>2024</v>
      </c>
      <c r="D1806" s="860" t="s">
        <v>10</v>
      </c>
      <c r="E1806" s="860" t="s">
        <v>2203</v>
      </c>
      <c r="F1806" s="860"/>
      <c r="G1806" s="861"/>
      <c r="H1806" s="1760" t="n">
        <v>58.8</v>
      </c>
      <c r="I1806" s="1429"/>
      <c r="J1806" s="1771"/>
      <c r="K1806" s="864" t="n">
        <f aca="false">H1806*I1806/100</f>
        <v>0</v>
      </c>
      <c r="L1806" s="543" t="n">
        <v>2511</v>
      </c>
      <c r="M1806" s="983" t="n">
        <v>1</v>
      </c>
      <c r="N1806" s="1299" t="n">
        <f aca="false">L1806*M1806</f>
        <v>2511</v>
      </c>
      <c r="O1806" s="1299" t="n">
        <f aca="false">H1806*N1806</f>
        <v>147646.8</v>
      </c>
      <c r="P1806" s="868" t="s">
        <v>2200</v>
      </c>
      <c r="Q1806" s="869" t="s">
        <v>2946</v>
      </c>
      <c r="R1806" s="866" t="n">
        <v>147646.8</v>
      </c>
      <c r="S1806" s="866" t="n">
        <f aca="false">R1806/H1806</f>
        <v>2511</v>
      </c>
      <c r="T1806" s="543" t="n">
        <f aca="false">O1806-R1806</f>
        <v>0</v>
      </c>
      <c r="U1806" s="1135" t="n">
        <f aca="false">N1806-S1806</f>
        <v>0</v>
      </c>
    </row>
    <row r="1807" customFormat="false" ht="15" hidden="false" customHeight="true" outlineLevel="0" collapsed="false">
      <c r="A1807" s="881"/>
      <c r="B1807" s="893" t="s">
        <v>86</v>
      </c>
      <c r="C1807" s="893" t="n">
        <v>2024</v>
      </c>
      <c r="D1807" s="843" t="s">
        <v>10</v>
      </c>
      <c r="E1807" s="843" t="s">
        <v>2205</v>
      </c>
      <c r="F1807" s="843"/>
      <c r="G1807" s="894"/>
      <c r="H1807" s="1769" t="n">
        <v>8</v>
      </c>
      <c r="I1807" s="1532"/>
      <c r="J1807" s="1360"/>
      <c r="K1807" s="897" t="n">
        <f aca="false">H1807*I1807/100</f>
        <v>0</v>
      </c>
      <c r="L1807" s="589" t="n">
        <v>1105</v>
      </c>
      <c r="M1807" s="1106" t="n">
        <v>1</v>
      </c>
      <c r="N1807" s="1393" t="n">
        <f aca="false">L1807*M1807</f>
        <v>1105</v>
      </c>
      <c r="O1807" s="1393" t="n">
        <f aca="false">H1807*N1807</f>
        <v>8840</v>
      </c>
      <c r="P1807" s="844" t="s">
        <v>2204</v>
      </c>
      <c r="Q1807" s="845" t="n">
        <v>28022025</v>
      </c>
      <c r="R1807" s="846" t="n">
        <v>8840</v>
      </c>
      <c r="S1807" s="846" t="n">
        <f aca="false">R1807/H1807</f>
        <v>1105</v>
      </c>
      <c r="T1807" s="589" t="n">
        <f aca="false">O1807-R1807</f>
        <v>0</v>
      </c>
      <c r="U1807" s="902" t="n">
        <f aca="false">N1807-S1807</f>
        <v>0</v>
      </c>
    </row>
    <row r="1808" customFormat="false" ht="15" hidden="false" customHeight="true" outlineLevel="0" collapsed="false">
      <c r="A1808" s="829" t="n">
        <v>120</v>
      </c>
      <c r="B1808" s="1173" t="s">
        <v>86</v>
      </c>
      <c r="C1808" s="1173" t="n">
        <v>2024</v>
      </c>
      <c r="D1808" s="831" t="s">
        <v>10</v>
      </c>
      <c r="E1808" s="831" t="s">
        <v>2192</v>
      </c>
      <c r="F1808" s="831" t="s">
        <v>1650</v>
      </c>
      <c r="G1808" s="1108"/>
      <c r="H1808" s="1759" t="n">
        <v>93.5</v>
      </c>
      <c r="I1808" s="1435" t="n">
        <v>54</v>
      </c>
      <c r="J1808" s="1367"/>
      <c r="K1808" s="1111" t="n">
        <f aca="false">H1808*I1808/100</f>
        <v>50.49</v>
      </c>
      <c r="L1808" s="1114" t="n">
        <v>7184</v>
      </c>
      <c r="M1808" s="1113" t="n">
        <v>1</v>
      </c>
      <c r="N1808" s="1408" t="n">
        <f aca="false">L1808*M1808</f>
        <v>7184</v>
      </c>
      <c r="O1808" s="1712" t="n">
        <f aca="false">H1808*N1808</f>
        <v>671704</v>
      </c>
      <c r="P1808" s="838" t="s">
        <v>2232</v>
      </c>
      <c r="Q1808" s="839" t="s">
        <v>2964</v>
      </c>
      <c r="R1808" s="840" t="n">
        <v>671704</v>
      </c>
      <c r="S1808" s="840" t="n">
        <f aca="false">R1808/H1808</f>
        <v>7184</v>
      </c>
      <c r="T1808" s="1114" t="n">
        <f aca="false">O1808-R1808</f>
        <v>0</v>
      </c>
      <c r="U1808" s="1176" t="n">
        <f aca="false">N1808-S1808</f>
        <v>0</v>
      </c>
    </row>
    <row r="1809" customFormat="false" ht="15" hidden="false" customHeight="true" outlineLevel="0" collapsed="false">
      <c r="A1809" s="829"/>
      <c r="B1809" s="870" t="s">
        <v>86</v>
      </c>
      <c r="C1809" s="870" t="n">
        <v>2024</v>
      </c>
      <c r="D1809" s="871" t="s">
        <v>10</v>
      </c>
      <c r="E1809" s="871" t="s">
        <v>2203</v>
      </c>
      <c r="F1809" s="871"/>
      <c r="G1809" s="872"/>
      <c r="H1809" s="1525" t="n">
        <v>17.8</v>
      </c>
      <c r="I1809" s="1433"/>
      <c r="J1809" s="1772"/>
      <c r="K1809" s="864" t="n">
        <f aca="false">H1809*I1809/100</f>
        <v>0</v>
      </c>
      <c r="L1809" s="553" t="n">
        <v>1772</v>
      </c>
      <c r="M1809" s="1000" t="n">
        <v>1</v>
      </c>
      <c r="N1809" s="1301" t="n">
        <f aca="false">L1809*M1809</f>
        <v>1772</v>
      </c>
      <c r="O1809" s="1301" t="n">
        <f aca="false">H1809*N1809</f>
        <v>31541.6</v>
      </c>
      <c r="P1809" s="879" t="s">
        <v>2204</v>
      </c>
      <c r="Q1809" s="880" t="n">
        <v>28022025</v>
      </c>
      <c r="R1809" s="877" t="n">
        <v>31541.6</v>
      </c>
      <c r="S1809" s="877" t="n">
        <f aca="false">R1809/H1809</f>
        <v>1772</v>
      </c>
      <c r="T1809" s="553" t="n">
        <f aca="false">O1809-R1809</f>
        <v>0</v>
      </c>
      <c r="U1809" s="1293" t="n">
        <f aca="false">N1809-S1809</f>
        <v>0</v>
      </c>
    </row>
    <row r="1810" customFormat="false" ht="15" hidden="false" customHeight="true" outlineLevel="0" collapsed="false">
      <c r="A1810" s="829"/>
      <c r="B1810" s="870" t="s">
        <v>86</v>
      </c>
      <c r="C1810" s="870" t="n">
        <v>2024</v>
      </c>
      <c r="D1810" s="871" t="s">
        <v>10</v>
      </c>
      <c r="E1810" s="871" t="s">
        <v>2241</v>
      </c>
      <c r="F1810" s="871"/>
      <c r="G1810" s="872"/>
      <c r="H1810" s="1525" t="n">
        <v>42.3</v>
      </c>
      <c r="I1810" s="1433"/>
      <c r="J1810" s="1772"/>
      <c r="K1810" s="864" t="n">
        <f aca="false">H1810*I1810/100</f>
        <v>0</v>
      </c>
      <c r="L1810" s="553" t="n">
        <v>948</v>
      </c>
      <c r="M1810" s="1000" t="n">
        <v>1</v>
      </c>
      <c r="N1810" s="1301" t="n">
        <f aca="false">L1810*M1810</f>
        <v>948</v>
      </c>
      <c r="O1810" s="1301" t="n">
        <f aca="false">H1810*N1810</f>
        <v>40100.4</v>
      </c>
      <c r="P1810" s="879" t="s">
        <v>2200</v>
      </c>
      <c r="Q1810" s="880" t="s">
        <v>2946</v>
      </c>
      <c r="R1810" s="877" t="n">
        <v>40100.4</v>
      </c>
      <c r="S1810" s="866" t="n">
        <f aca="false">R1810/H1810</f>
        <v>948</v>
      </c>
      <c r="T1810" s="553" t="n">
        <f aca="false">O1810-R1810</f>
        <v>0</v>
      </c>
      <c r="U1810" s="1293" t="n">
        <f aca="false">N1810-S1810</f>
        <v>0</v>
      </c>
    </row>
    <row r="1811" customFormat="false" ht="15" hidden="false" customHeight="true" outlineLevel="0" collapsed="false">
      <c r="A1811" s="829"/>
      <c r="B1811" s="893" t="s">
        <v>86</v>
      </c>
      <c r="C1811" s="893" t="n">
        <v>2024</v>
      </c>
      <c r="D1811" s="843" t="s">
        <v>10</v>
      </c>
      <c r="E1811" s="843" t="s">
        <v>2205</v>
      </c>
      <c r="F1811" s="843"/>
      <c r="G1811" s="894"/>
      <c r="H1811" s="1769" t="n">
        <v>6.7</v>
      </c>
      <c r="I1811" s="1532"/>
      <c r="J1811" s="1360"/>
      <c r="K1811" s="897" t="n">
        <f aca="false">H1811*I1811/100</f>
        <v>0</v>
      </c>
      <c r="L1811" s="589" t="n">
        <v>2185</v>
      </c>
      <c r="M1811" s="1106" t="n">
        <v>1</v>
      </c>
      <c r="N1811" s="1393" t="n">
        <f aca="false">L1811*M1811</f>
        <v>2185</v>
      </c>
      <c r="O1811" s="1393" t="n">
        <f aca="false">H1811*N1811</f>
        <v>14639.5</v>
      </c>
      <c r="P1811" s="844" t="s">
        <v>2204</v>
      </c>
      <c r="Q1811" s="845" t="n">
        <v>28022025</v>
      </c>
      <c r="R1811" s="846" t="n">
        <v>14639.5</v>
      </c>
      <c r="S1811" s="846" t="n">
        <f aca="false">R1811/H1811</f>
        <v>2185</v>
      </c>
      <c r="T1811" s="589" t="n">
        <f aca="false">O1811-R1811</f>
        <v>0</v>
      </c>
      <c r="U1811" s="902" t="n">
        <f aca="false">N1811-S1811</f>
        <v>0</v>
      </c>
    </row>
    <row r="1812" customFormat="false" ht="14.25" hidden="false" customHeight="false" outlineLevel="0" collapsed="false">
      <c r="A1812" s="881" t="n">
        <v>121</v>
      </c>
      <c r="B1812" s="829" t="s">
        <v>86</v>
      </c>
      <c r="C1812" s="830" t="n">
        <v>2024</v>
      </c>
      <c r="D1812" s="831" t="s">
        <v>10</v>
      </c>
      <c r="E1812" s="831" t="s">
        <v>2192</v>
      </c>
      <c r="F1812" s="832" t="s">
        <v>1650</v>
      </c>
      <c r="G1812" s="833"/>
      <c r="H1812" s="1526" t="n">
        <v>96.6</v>
      </c>
      <c r="I1812" s="1020" t="n">
        <v>57</v>
      </c>
      <c r="J1812" s="1020"/>
      <c r="K1812" s="836" t="n">
        <f aca="false">H1812*I1812/100</f>
        <v>55.062</v>
      </c>
      <c r="L1812" s="837" t="n">
        <v>7300</v>
      </c>
      <c r="M1812" s="1003" t="n">
        <v>1</v>
      </c>
      <c r="N1812" s="837" t="n">
        <f aca="false">L1812*M1812</f>
        <v>7300</v>
      </c>
      <c r="O1812" s="837" t="n">
        <f aca="false">H1812*N1812</f>
        <v>705180</v>
      </c>
      <c r="P1812" s="838" t="s">
        <v>2232</v>
      </c>
      <c r="Q1812" s="839" t="s">
        <v>2493</v>
      </c>
      <c r="R1812" s="886" t="n">
        <v>580759.2</v>
      </c>
      <c r="S1812" s="886" t="n">
        <f aca="false">R1812/H1812</f>
        <v>6012</v>
      </c>
      <c r="T1812" s="837" t="n">
        <f aca="false">O1812-R1812-R1813</f>
        <v>-0.199999999953434</v>
      </c>
      <c r="U1812" s="842" t="n">
        <f aca="false">N1812-S1812-S1813</f>
        <v>-0.00207039337487913</v>
      </c>
    </row>
    <row r="1813" customFormat="false" ht="15" hidden="false" customHeight="true" outlineLevel="0" collapsed="false">
      <c r="A1813" s="881"/>
      <c r="B1813" s="829"/>
      <c r="C1813" s="830"/>
      <c r="D1813" s="887" t="s">
        <v>10</v>
      </c>
      <c r="E1813" s="887" t="s">
        <v>2192</v>
      </c>
      <c r="F1813" s="832"/>
      <c r="G1813" s="833"/>
      <c r="H1813" s="1526"/>
      <c r="I1813" s="1020"/>
      <c r="J1813" s="1020"/>
      <c r="K1813" s="836"/>
      <c r="L1813" s="837"/>
      <c r="M1813" s="1003"/>
      <c r="N1813" s="837"/>
      <c r="O1813" s="837"/>
      <c r="P1813" s="888" t="s">
        <v>2232</v>
      </c>
      <c r="Q1813" s="889" t="s">
        <v>2740</v>
      </c>
      <c r="R1813" s="846" t="n">
        <v>124421</v>
      </c>
      <c r="S1813" s="846" t="n">
        <f aca="false">R1813/H1812</f>
        <v>1288.00207039337</v>
      </c>
      <c r="T1813" s="837"/>
      <c r="U1813" s="842"/>
    </row>
    <row r="1814" customFormat="false" ht="15" hidden="false" customHeight="true" outlineLevel="0" collapsed="false">
      <c r="A1814" s="881"/>
      <c r="B1814" s="847" t="s">
        <v>86</v>
      </c>
      <c r="C1814" s="847" t="n">
        <v>2024</v>
      </c>
      <c r="D1814" s="848" t="s">
        <v>10</v>
      </c>
      <c r="E1814" s="848" t="s">
        <v>2242</v>
      </c>
      <c r="F1814" s="848"/>
      <c r="G1814" s="849"/>
      <c r="H1814" s="1523" t="n">
        <v>81.4</v>
      </c>
      <c r="I1814" s="1397"/>
      <c r="J1814" s="1353"/>
      <c r="K1814" s="852" t="n">
        <f aca="false">H1814*I1814/100</f>
        <v>0</v>
      </c>
      <c r="L1814" s="537" t="n">
        <v>467</v>
      </c>
      <c r="M1814" s="1007" t="n">
        <v>1</v>
      </c>
      <c r="N1814" s="1143" t="n">
        <f aca="false">L1814*M1814</f>
        <v>467</v>
      </c>
      <c r="O1814" s="1143" t="n">
        <f aca="false">H1814*N1814</f>
        <v>38013.8</v>
      </c>
      <c r="P1814" s="856" t="s">
        <v>2200</v>
      </c>
      <c r="Q1814" s="857" t="s">
        <v>2946</v>
      </c>
      <c r="R1814" s="854" t="n">
        <v>38013.8</v>
      </c>
      <c r="S1814" s="886" t="n">
        <f aca="false">R1814/H1814</f>
        <v>467</v>
      </c>
      <c r="T1814" s="537" t="n">
        <f aca="false">O1814-R1814</f>
        <v>0</v>
      </c>
      <c r="U1814" s="892" t="n">
        <f aca="false">N1814-S1814</f>
        <v>0</v>
      </c>
    </row>
    <row r="1815" customFormat="false" ht="15" hidden="false" customHeight="true" outlineLevel="0" collapsed="false">
      <c r="A1815" s="881"/>
      <c r="B1815" s="859" t="s">
        <v>86</v>
      </c>
      <c r="C1815" s="859" t="n">
        <v>2024</v>
      </c>
      <c r="D1815" s="860" t="s">
        <v>10</v>
      </c>
      <c r="E1815" s="860" t="s">
        <v>2203</v>
      </c>
      <c r="F1815" s="860"/>
      <c r="G1815" s="861"/>
      <c r="H1815" s="1760" t="n">
        <v>44.6</v>
      </c>
      <c r="I1815" s="1429"/>
      <c r="J1815" s="1771"/>
      <c r="K1815" s="864" t="n">
        <f aca="false">H1815*I1815/100</f>
        <v>0</v>
      </c>
      <c r="L1815" s="543" t="n">
        <v>1034</v>
      </c>
      <c r="M1815" s="983" t="n">
        <v>1</v>
      </c>
      <c r="N1815" s="1299" t="n">
        <f aca="false">L1815*M1815</f>
        <v>1034</v>
      </c>
      <c r="O1815" s="1299" t="n">
        <f aca="false">H1815*N1815</f>
        <v>46116.4</v>
      </c>
      <c r="P1815" s="868" t="s">
        <v>2200</v>
      </c>
      <c r="Q1815" s="869" t="s">
        <v>2946</v>
      </c>
      <c r="R1815" s="866" t="n">
        <v>46116.4</v>
      </c>
      <c r="S1815" s="866" t="n">
        <f aca="false">R1815/H1815</f>
        <v>1034</v>
      </c>
      <c r="T1815" s="543" t="n">
        <f aca="false">O1815-R1815</f>
        <v>0</v>
      </c>
      <c r="U1815" s="1135" t="n">
        <f aca="false">N1815-S1815</f>
        <v>0</v>
      </c>
    </row>
    <row r="1816" customFormat="false" ht="15" hidden="false" customHeight="true" outlineLevel="0" collapsed="false">
      <c r="A1816" s="881"/>
      <c r="B1816" s="893" t="s">
        <v>86</v>
      </c>
      <c r="C1816" s="893" t="n">
        <v>2024</v>
      </c>
      <c r="D1816" s="843" t="s">
        <v>10</v>
      </c>
      <c r="E1816" s="843" t="s">
        <v>2205</v>
      </c>
      <c r="F1816" s="843"/>
      <c r="G1816" s="894"/>
      <c r="H1816" s="1769" t="n">
        <v>16.1</v>
      </c>
      <c r="I1816" s="1532"/>
      <c r="J1816" s="1360"/>
      <c r="K1816" s="897" t="n">
        <f aca="false">H1816*I1816/100</f>
        <v>0</v>
      </c>
      <c r="L1816" s="589" t="n">
        <v>460</v>
      </c>
      <c r="M1816" s="1106" t="n">
        <v>1</v>
      </c>
      <c r="N1816" s="1393" t="n">
        <f aca="false">L1816*M1816</f>
        <v>460</v>
      </c>
      <c r="O1816" s="1393" t="n">
        <f aca="false">H1816*N1816</f>
        <v>7406</v>
      </c>
      <c r="P1816" s="844" t="s">
        <v>2204</v>
      </c>
      <c r="Q1816" s="845" t="n">
        <v>28022025</v>
      </c>
      <c r="R1816" s="846" t="n">
        <v>7406</v>
      </c>
      <c r="S1816" s="846" t="n">
        <f aca="false">R1816/H1816</f>
        <v>460</v>
      </c>
      <c r="T1816" s="589" t="n">
        <f aca="false">O1816-R1816</f>
        <v>0</v>
      </c>
      <c r="U1816" s="902" t="n">
        <f aca="false">N1816-S1816</f>
        <v>0</v>
      </c>
    </row>
    <row r="1817" customFormat="false" ht="15" hidden="false" customHeight="true" outlineLevel="0" collapsed="false">
      <c r="A1817" s="881" t="n">
        <v>122</v>
      </c>
      <c r="B1817" s="829" t="s">
        <v>86</v>
      </c>
      <c r="C1817" s="830" t="n">
        <v>2024</v>
      </c>
      <c r="D1817" s="831" t="s">
        <v>10</v>
      </c>
      <c r="E1817" s="831" t="s">
        <v>2192</v>
      </c>
      <c r="F1817" s="832" t="s">
        <v>1650</v>
      </c>
      <c r="G1817" s="833"/>
      <c r="H1817" s="1526" t="n">
        <v>95.5</v>
      </c>
      <c r="I1817" s="1020"/>
      <c r="J1817" s="1020"/>
      <c r="K1817" s="836" t="n">
        <f aca="false">H1817*I1817/100</f>
        <v>0</v>
      </c>
      <c r="L1817" s="837" t="n">
        <v>30706</v>
      </c>
      <c r="M1817" s="1003" t="n">
        <v>1</v>
      </c>
      <c r="N1817" s="837" t="n">
        <f aca="false">L1817*M1817</f>
        <v>30706</v>
      </c>
      <c r="O1817" s="1120" t="n">
        <f aca="false">H1817*N1817</f>
        <v>2932423</v>
      </c>
      <c r="P1817" s="838" t="s">
        <v>2197</v>
      </c>
      <c r="Q1817" s="839" t="s">
        <v>3027</v>
      </c>
      <c r="R1817" s="840" t="n">
        <v>1910000</v>
      </c>
      <c r="S1817" s="840" t="n">
        <f aca="false">R1817/H1817</f>
        <v>20000</v>
      </c>
      <c r="T1817" s="837" t="n">
        <f aca="false">O1817-R1817-R1818</f>
        <v>0</v>
      </c>
      <c r="U1817" s="842" t="n">
        <f aca="false">N1817-S1817-S1818</f>
        <v>0</v>
      </c>
    </row>
    <row r="1818" customFormat="false" ht="15" hidden="false" customHeight="true" outlineLevel="0" collapsed="false">
      <c r="A1818" s="881"/>
      <c r="B1818" s="829"/>
      <c r="C1818" s="830"/>
      <c r="D1818" s="843" t="s">
        <v>10</v>
      </c>
      <c r="E1818" s="843" t="s">
        <v>2192</v>
      </c>
      <c r="F1818" s="832"/>
      <c r="G1818" s="833"/>
      <c r="H1818" s="1526"/>
      <c r="I1818" s="1020"/>
      <c r="J1818" s="1020"/>
      <c r="K1818" s="836"/>
      <c r="L1818" s="837"/>
      <c r="M1818" s="1003"/>
      <c r="N1818" s="837"/>
      <c r="O1818" s="1120"/>
      <c r="P1818" s="844" t="s">
        <v>2197</v>
      </c>
      <c r="Q1818" s="845" t="s">
        <v>3028</v>
      </c>
      <c r="R1818" s="846" t="n">
        <v>1022423</v>
      </c>
      <c r="S1818" s="1179" t="n">
        <f aca="false">R1818/H1817</f>
        <v>10706</v>
      </c>
      <c r="T1818" s="837"/>
      <c r="U1818" s="842"/>
    </row>
    <row r="1819" customFormat="false" ht="15" hidden="false" customHeight="true" outlineLevel="0" collapsed="false">
      <c r="A1819" s="881"/>
      <c r="B1819" s="847" t="s">
        <v>86</v>
      </c>
      <c r="C1819" s="847" t="n">
        <v>2024</v>
      </c>
      <c r="D1819" s="848" t="s">
        <v>10</v>
      </c>
      <c r="E1819" s="848" t="s">
        <v>2203</v>
      </c>
      <c r="F1819" s="848"/>
      <c r="G1819" s="849"/>
      <c r="H1819" s="1523" t="n">
        <v>43.1</v>
      </c>
      <c r="I1819" s="1397"/>
      <c r="J1819" s="1397"/>
      <c r="K1819" s="852" t="n">
        <f aca="false">H1819*I1819/100</f>
        <v>0</v>
      </c>
      <c r="L1819" s="537" t="n">
        <v>3262</v>
      </c>
      <c r="M1819" s="1007" t="n">
        <v>1</v>
      </c>
      <c r="N1819" s="537" t="n">
        <f aca="false">L1819*M1819</f>
        <v>3262</v>
      </c>
      <c r="O1819" s="1347" t="n">
        <f aca="false">H1819*N1819</f>
        <v>140592.2</v>
      </c>
      <c r="P1819" s="856" t="s">
        <v>2200</v>
      </c>
      <c r="Q1819" s="857" t="s">
        <v>2946</v>
      </c>
      <c r="R1819" s="854" t="n">
        <v>140592.2</v>
      </c>
      <c r="S1819" s="891" t="n">
        <f aca="false">R1819/H1819</f>
        <v>3262</v>
      </c>
      <c r="T1819" s="537" t="n">
        <f aca="false">O1819-R1819</f>
        <v>0</v>
      </c>
      <c r="U1819" s="892" t="n">
        <f aca="false">N1819-S1819</f>
        <v>0</v>
      </c>
    </row>
    <row r="1820" customFormat="false" ht="15" hidden="false" customHeight="true" outlineLevel="0" collapsed="false">
      <c r="A1820" s="881"/>
      <c r="B1820" s="859" t="s">
        <v>86</v>
      </c>
      <c r="C1820" s="859" t="n">
        <v>2024</v>
      </c>
      <c r="D1820" s="860" t="s">
        <v>10</v>
      </c>
      <c r="E1820" s="860" t="s">
        <v>2241</v>
      </c>
      <c r="F1820" s="860"/>
      <c r="G1820" s="861"/>
      <c r="H1820" s="1760" t="n">
        <v>32.4</v>
      </c>
      <c r="I1820" s="1429"/>
      <c r="J1820" s="1429"/>
      <c r="K1820" s="864" t="n">
        <f aca="false">H1820*I1820/100</f>
        <v>0</v>
      </c>
      <c r="L1820" s="543" t="n">
        <v>1749</v>
      </c>
      <c r="M1820" s="983" t="n">
        <v>1</v>
      </c>
      <c r="N1820" s="543" t="n">
        <f aca="false">L1820*M1820</f>
        <v>1749</v>
      </c>
      <c r="O1820" s="1556" t="n">
        <f aca="false">H1820*N1820</f>
        <v>56667.6</v>
      </c>
      <c r="P1820" s="868" t="s">
        <v>2200</v>
      </c>
      <c r="Q1820" s="869" t="s">
        <v>2946</v>
      </c>
      <c r="R1820" s="866" t="n">
        <v>56667.6</v>
      </c>
      <c r="S1820" s="866" t="n">
        <f aca="false">R1820/H1820</f>
        <v>1749</v>
      </c>
      <c r="T1820" s="537" t="n">
        <f aca="false">O1820-R1820</f>
        <v>0</v>
      </c>
      <c r="U1820" s="892" t="n">
        <f aca="false">N1820-S1820</f>
        <v>0</v>
      </c>
    </row>
    <row r="1821" customFormat="false" ht="15" hidden="false" customHeight="true" outlineLevel="0" collapsed="false">
      <c r="A1821" s="881"/>
      <c r="B1821" s="893" t="s">
        <v>86</v>
      </c>
      <c r="C1821" s="893" t="n">
        <v>2024</v>
      </c>
      <c r="D1821" s="843" t="s">
        <v>10</v>
      </c>
      <c r="E1821" s="843" t="s">
        <v>2205</v>
      </c>
      <c r="F1821" s="843"/>
      <c r="G1821" s="894"/>
      <c r="H1821" s="1769" t="n">
        <v>23.5</v>
      </c>
      <c r="I1821" s="1532"/>
      <c r="J1821" s="1532"/>
      <c r="K1821" s="897" t="n">
        <f aca="false">H1821*I1821/100</f>
        <v>0</v>
      </c>
      <c r="L1821" s="589" t="n">
        <v>3710</v>
      </c>
      <c r="M1821" s="1106" t="n">
        <v>1</v>
      </c>
      <c r="N1821" s="589" t="n">
        <f aca="false">L1821*M1821</f>
        <v>3710</v>
      </c>
      <c r="O1821" s="1184" t="n">
        <f aca="false">H1821*N1821</f>
        <v>87185</v>
      </c>
      <c r="P1821" s="844" t="s">
        <v>2200</v>
      </c>
      <c r="Q1821" s="845" t="s">
        <v>2946</v>
      </c>
      <c r="R1821" s="846" t="n">
        <v>87185</v>
      </c>
      <c r="S1821" s="890" t="n">
        <f aca="false">R1821/H1821</f>
        <v>3710</v>
      </c>
      <c r="T1821" s="1067" t="n">
        <f aca="false">O1821-R1821</f>
        <v>0</v>
      </c>
      <c r="U1821" s="1070" t="n">
        <f aca="false">N1821-S1821</f>
        <v>0</v>
      </c>
    </row>
    <row r="1822" customFormat="false" ht="15" hidden="false" customHeight="true" outlineLevel="0" collapsed="false">
      <c r="A1822" s="847" t="n">
        <v>158</v>
      </c>
      <c r="B1822" s="847" t="s">
        <v>81</v>
      </c>
      <c r="C1822" s="847" t="n">
        <v>2024</v>
      </c>
      <c r="D1822" s="848" t="s">
        <v>10</v>
      </c>
      <c r="E1822" s="848" t="s">
        <v>2192</v>
      </c>
      <c r="F1822" s="848" t="s">
        <v>2199</v>
      </c>
      <c r="G1822" s="849"/>
      <c r="H1822" s="1523" t="n">
        <v>74.2</v>
      </c>
      <c r="I1822" s="1397"/>
      <c r="J1822" s="1353"/>
      <c r="K1822" s="852" t="n">
        <f aca="false">H1822*I1822/100</f>
        <v>0</v>
      </c>
      <c r="L1822" s="537" t="n">
        <v>39960</v>
      </c>
      <c r="M1822" s="1007" t="n">
        <v>1</v>
      </c>
      <c r="N1822" s="1143" t="n">
        <f aca="false">L1822*M1822</f>
        <v>39960</v>
      </c>
      <c r="O1822" s="1143" t="n">
        <f aca="false">H1822*N1822</f>
        <v>2965032</v>
      </c>
      <c r="P1822" s="856" t="s">
        <v>2200</v>
      </c>
      <c r="Q1822" s="857" t="s">
        <v>2751</v>
      </c>
      <c r="R1822" s="854" t="n">
        <v>2965032</v>
      </c>
      <c r="S1822" s="854" t="n">
        <f aca="false">R1822/H1822</f>
        <v>39960</v>
      </c>
      <c r="T1822" s="537" t="n">
        <f aca="false">O1822-R1822</f>
        <v>0</v>
      </c>
      <c r="U1822" s="537" t="n">
        <f aca="false">N1822-S1822</f>
        <v>0</v>
      </c>
    </row>
    <row r="1823" customFormat="false" ht="15" hidden="false" customHeight="true" outlineLevel="0" collapsed="false">
      <c r="A1823" s="870" t="n">
        <v>151</v>
      </c>
      <c r="B1823" s="870" t="s">
        <v>2207</v>
      </c>
      <c r="C1823" s="870" t="n">
        <v>2024</v>
      </c>
      <c r="D1823" s="871" t="s">
        <v>10</v>
      </c>
      <c r="E1823" s="871" t="s">
        <v>2192</v>
      </c>
      <c r="F1823" s="871" t="s">
        <v>1652</v>
      </c>
      <c r="G1823" s="872"/>
      <c r="H1823" s="1525" t="n">
        <v>39.8043</v>
      </c>
      <c r="I1823" s="1433"/>
      <c r="J1823" s="1772"/>
      <c r="K1823" s="875" t="n">
        <f aca="false">H1823*I1823/100</f>
        <v>0</v>
      </c>
      <c r="L1823" s="553" t="n">
        <v>2096</v>
      </c>
      <c r="M1823" s="1000" t="n">
        <v>1</v>
      </c>
      <c r="N1823" s="1301" t="n">
        <f aca="false">L1823*M1823</f>
        <v>2096</v>
      </c>
      <c r="O1823" s="1402" t="n">
        <f aca="false">H1823*N1823</f>
        <v>83429.8128</v>
      </c>
      <c r="P1823" s="879" t="s">
        <v>2197</v>
      </c>
      <c r="Q1823" s="880" t="s">
        <v>3029</v>
      </c>
      <c r="R1823" s="877" t="n">
        <v>83429.8128</v>
      </c>
      <c r="S1823" s="877" t="n">
        <f aca="false">R1823/H1823</f>
        <v>2096</v>
      </c>
      <c r="T1823" s="553" t="n">
        <f aca="false">O1823-R1823</f>
        <v>0</v>
      </c>
      <c r="U1823" s="553" t="n">
        <f aca="false">N1823-S1823</f>
        <v>0</v>
      </c>
    </row>
    <row r="1824" customFormat="false" ht="15" hidden="false" customHeight="true" outlineLevel="0" collapsed="false">
      <c r="A1824" s="829" t="n">
        <v>57</v>
      </c>
      <c r="B1824" s="830" t="s">
        <v>2230</v>
      </c>
      <c r="C1824" s="830" t="n">
        <v>2024</v>
      </c>
      <c r="D1824" s="831" t="s">
        <v>10</v>
      </c>
      <c r="E1824" s="831" t="s">
        <v>2192</v>
      </c>
      <c r="F1824" s="832" t="s">
        <v>1650</v>
      </c>
      <c r="G1824" s="833"/>
      <c r="H1824" s="1526" t="n">
        <v>96.5729</v>
      </c>
      <c r="I1824" s="1020"/>
      <c r="J1824" s="1020"/>
      <c r="K1824" s="836" t="n">
        <f aca="false">H1824*I1824/100</f>
        <v>0</v>
      </c>
      <c r="L1824" s="837" t="n">
        <v>45930</v>
      </c>
      <c r="M1824" s="1003" t="n">
        <v>1</v>
      </c>
      <c r="N1824" s="837" t="n">
        <f aca="false">L1824*M1824</f>
        <v>45930</v>
      </c>
      <c r="O1824" s="943" t="n">
        <f aca="false">H1824*N1824</f>
        <v>4435593.297</v>
      </c>
      <c r="P1824" s="838" t="s">
        <v>2193</v>
      </c>
      <c r="Q1824" s="839" t="s">
        <v>2443</v>
      </c>
      <c r="R1824" s="840" t="n">
        <v>101111.8263</v>
      </c>
      <c r="S1824" s="840" t="n">
        <f aca="false">R1824/H1824</f>
        <v>1047</v>
      </c>
      <c r="T1824" s="837" t="n">
        <f aca="false">O1824-R1824-R1828-R1827-R1825-R1826</f>
        <v>5.23868948221207E-010</v>
      </c>
      <c r="U1824" s="842" t="n">
        <f aca="false">N1824-S1824-S1828-S1827-S1825-S1826</f>
        <v>0</v>
      </c>
    </row>
    <row r="1825" customFormat="false" ht="15" hidden="false" customHeight="true" outlineLevel="0" collapsed="false">
      <c r="A1825" s="829"/>
      <c r="B1825" s="830"/>
      <c r="C1825" s="830"/>
      <c r="D1825" s="860" t="s">
        <v>10</v>
      </c>
      <c r="E1825" s="860" t="s">
        <v>2192</v>
      </c>
      <c r="F1825" s="832"/>
      <c r="G1825" s="833"/>
      <c r="H1825" s="1526"/>
      <c r="I1825" s="1020"/>
      <c r="J1825" s="1020"/>
      <c r="K1825" s="836"/>
      <c r="L1825" s="837"/>
      <c r="M1825" s="1003"/>
      <c r="N1825" s="837"/>
      <c r="O1825" s="943"/>
      <c r="P1825" s="868" t="s">
        <v>2193</v>
      </c>
      <c r="Q1825" s="869" t="s">
        <v>2444</v>
      </c>
      <c r="R1825" s="866" t="n">
        <v>424920.76</v>
      </c>
      <c r="S1825" s="866" t="n">
        <f aca="false">R1825/H1824</f>
        <v>4400</v>
      </c>
      <c r="T1825" s="837"/>
      <c r="U1825" s="842"/>
    </row>
    <row r="1826" customFormat="false" ht="15" hidden="false" customHeight="true" outlineLevel="0" collapsed="false">
      <c r="A1826" s="829"/>
      <c r="B1826" s="830"/>
      <c r="C1826" s="830"/>
      <c r="D1826" s="860" t="s">
        <v>10</v>
      </c>
      <c r="E1826" s="860" t="s">
        <v>2192</v>
      </c>
      <c r="F1826" s="832"/>
      <c r="G1826" s="833"/>
      <c r="H1826" s="1526"/>
      <c r="I1826" s="1020"/>
      <c r="J1826" s="1020"/>
      <c r="K1826" s="836"/>
      <c r="L1826" s="837"/>
      <c r="M1826" s="1003"/>
      <c r="N1826" s="837"/>
      <c r="O1826" s="943"/>
      <c r="P1826" s="868" t="s">
        <v>2193</v>
      </c>
      <c r="Q1826" s="869" t="s">
        <v>2260</v>
      </c>
      <c r="R1826" s="866" t="n">
        <v>432936.3107</v>
      </c>
      <c r="S1826" s="866" t="n">
        <f aca="false">R1826/H1824</f>
        <v>4483</v>
      </c>
      <c r="T1826" s="837"/>
      <c r="U1826" s="842"/>
    </row>
    <row r="1827" customFormat="false" ht="15" hidden="false" customHeight="true" outlineLevel="0" collapsed="false">
      <c r="A1827" s="829"/>
      <c r="B1827" s="830"/>
      <c r="C1827" s="830"/>
      <c r="D1827" s="860" t="s">
        <v>10</v>
      </c>
      <c r="E1827" s="860" t="s">
        <v>2192</v>
      </c>
      <c r="F1827" s="832"/>
      <c r="G1827" s="833"/>
      <c r="H1827" s="1526"/>
      <c r="I1827" s="1020"/>
      <c r="J1827" s="1020"/>
      <c r="K1827" s="836"/>
      <c r="L1827" s="837"/>
      <c r="M1827" s="1003"/>
      <c r="N1827" s="837"/>
      <c r="O1827" s="943"/>
      <c r="P1827" s="868" t="s">
        <v>2197</v>
      </c>
      <c r="Q1827" s="869" t="s">
        <v>3030</v>
      </c>
      <c r="R1827" s="866" t="n">
        <v>1545166.4</v>
      </c>
      <c r="S1827" s="866" t="n">
        <f aca="false">R1827/H1824</f>
        <v>16000</v>
      </c>
      <c r="T1827" s="837"/>
      <c r="U1827" s="842"/>
    </row>
    <row r="1828" customFormat="false" ht="15" hidden="false" customHeight="true" outlineLevel="0" collapsed="false">
      <c r="A1828" s="829"/>
      <c r="B1828" s="830"/>
      <c r="C1828" s="830"/>
      <c r="D1828" s="843" t="s">
        <v>10</v>
      </c>
      <c r="E1828" s="843" t="s">
        <v>2192</v>
      </c>
      <c r="F1828" s="832"/>
      <c r="G1828" s="833"/>
      <c r="H1828" s="1526"/>
      <c r="I1828" s="1020"/>
      <c r="J1828" s="1020"/>
      <c r="K1828" s="836"/>
      <c r="L1828" s="837"/>
      <c r="M1828" s="1003"/>
      <c r="N1828" s="837"/>
      <c r="O1828" s="943"/>
      <c r="P1828" s="844" t="s">
        <v>2197</v>
      </c>
      <c r="Q1828" s="845" t="s">
        <v>3031</v>
      </c>
      <c r="R1828" s="846" t="n">
        <v>1931458</v>
      </c>
      <c r="S1828" s="846" t="n">
        <f aca="false">R1828/H1824</f>
        <v>20000</v>
      </c>
      <c r="T1828" s="837"/>
      <c r="U1828" s="842"/>
    </row>
    <row r="1829" customFormat="false" ht="15" hidden="false" customHeight="true" outlineLevel="0" collapsed="false">
      <c r="A1829" s="903" t="n">
        <v>173</v>
      </c>
      <c r="B1829" s="903" t="s">
        <v>2207</v>
      </c>
      <c r="C1829" s="903" t="n">
        <v>2024</v>
      </c>
      <c r="D1829" s="904" t="s">
        <v>10</v>
      </c>
      <c r="E1829" s="904" t="s">
        <v>2192</v>
      </c>
      <c r="F1829" s="904" t="s">
        <v>1652</v>
      </c>
      <c r="G1829" s="905"/>
      <c r="H1829" s="1524" t="n">
        <v>34.8902</v>
      </c>
      <c r="I1829" s="1055"/>
      <c r="J1829" s="1372"/>
      <c r="K1829" s="939" t="n">
        <f aca="false">H1829*I1829/100</f>
        <v>0</v>
      </c>
      <c r="L1829" s="942" t="n">
        <v>2898</v>
      </c>
      <c r="M1829" s="1023" t="n">
        <v>1</v>
      </c>
      <c r="N1829" s="1137" t="n">
        <f aca="false">L1829*M1829</f>
        <v>2898</v>
      </c>
      <c r="O1829" s="1384" t="n">
        <f aca="false">H1829*N1829</f>
        <v>101111.7996</v>
      </c>
      <c r="P1829" s="910" t="s">
        <v>2197</v>
      </c>
      <c r="Q1829" s="911" t="s">
        <v>3032</v>
      </c>
      <c r="R1829" s="891" t="n">
        <v>101111.7996</v>
      </c>
      <c r="S1829" s="891" t="n">
        <f aca="false">R1829/H1829</f>
        <v>2898</v>
      </c>
      <c r="T1829" s="948" t="n">
        <f aca="false">O1829-R1829</f>
        <v>0</v>
      </c>
      <c r="U1829" s="942" t="n">
        <f aca="false">N1829-S1829</f>
        <v>0</v>
      </c>
    </row>
    <row r="1830" customFormat="false" ht="15" hidden="false" customHeight="true" outlineLevel="0" collapsed="false">
      <c r="A1830" s="881" t="n">
        <v>123</v>
      </c>
      <c r="B1830" s="829" t="s">
        <v>86</v>
      </c>
      <c r="C1830" s="830" t="n">
        <v>2024</v>
      </c>
      <c r="D1830" s="831" t="s">
        <v>10</v>
      </c>
      <c r="E1830" s="831" t="s">
        <v>2192</v>
      </c>
      <c r="F1830" s="832" t="s">
        <v>1650</v>
      </c>
      <c r="G1830" s="833"/>
      <c r="H1830" s="1527" t="n">
        <v>93.3</v>
      </c>
      <c r="I1830" s="1020"/>
      <c r="J1830" s="1020"/>
      <c r="K1830" s="836" t="n">
        <f aca="false">H1830*I1830/100</f>
        <v>0</v>
      </c>
      <c r="L1830" s="837" t="n">
        <v>42591</v>
      </c>
      <c r="M1830" s="1003" t="n">
        <v>1</v>
      </c>
      <c r="N1830" s="837" t="n">
        <f aca="false">L1830*M1830</f>
        <v>42591</v>
      </c>
      <c r="O1830" s="943" t="n">
        <f aca="false">H1830*N1830</f>
        <v>3973740.3</v>
      </c>
      <c r="P1830" s="884" t="s">
        <v>2232</v>
      </c>
      <c r="Q1830" s="885" t="s">
        <v>2842</v>
      </c>
      <c r="R1830" s="886" t="n">
        <v>793050</v>
      </c>
      <c r="S1830" s="886" t="n">
        <f aca="false">R1830/H1830</f>
        <v>8500</v>
      </c>
      <c r="T1830" s="943" t="n">
        <f aca="false">O1830-R1830-R1833-R1832-R1831</f>
        <v>0</v>
      </c>
      <c r="U1830" s="842" t="n">
        <f aca="false">N1830-S1830-S1833-S1832-S1831</f>
        <v>0</v>
      </c>
    </row>
    <row r="1831" customFormat="false" ht="15" hidden="false" customHeight="true" outlineLevel="0" collapsed="false">
      <c r="A1831" s="881"/>
      <c r="B1831" s="829"/>
      <c r="C1831" s="830"/>
      <c r="D1831" s="860" t="s">
        <v>10</v>
      </c>
      <c r="E1831" s="860" t="s">
        <v>2192</v>
      </c>
      <c r="F1831" s="832"/>
      <c r="G1831" s="833"/>
      <c r="H1831" s="1527"/>
      <c r="I1831" s="1020"/>
      <c r="J1831" s="1020"/>
      <c r="K1831" s="836"/>
      <c r="L1831" s="837"/>
      <c r="M1831" s="1003"/>
      <c r="N1831" s="837"/>
      <c r="O1831" s="943"/>
      <c r="P1831" s="868" t="s">
        <v>2193</v>
      </c>
      <c r="Q1831" s="869" t="s">
        <v>2451</v>
      </c>
      <c r="R1831" s="866" t="n">
        <v>539367.3</v>
      </c>
      <c r="S1831" s="866" t="n">
        <f aca="false">R1831/H1830</f>
        <v>5781</v>
      </c>
      <c r="T1831" s="943"/>
      <c r="U1831" s="842"/>
    </row>
    <row r="1832" customFormat="false" ht="15" hidden="false" customHeight="true" outlineLevel="0" collapsed="false">
      <c r="A1832" s="881"/>
      <c r="B1832" s="829"/>
      <c r="C1832" s="830"/>
      <c r="D1832" s="860" t="s">
        <v>10</v>
      </c>
      <c r="E1832" s="860" t="s">
        <v>2192</v>
      </c>
      <c r="F1832" s="832"/>
      <c r="G1832" s="833"/>
      <c r="H1832" s="1527"/>
      <c r="I1832" s="1020"/>
      <c r="J1832" s="1020"/>
      <c r="K1832" s="836"/>
      <c r="L1832" s="837"/>
      <c r="M1832" s="1003"/>
      <c r="N1832" s="837"/>
      <c r="O1832" s="943"/>
      <c r="P1832" s="868" t="s">
        <v>2197</v>
      </c>
      <c r="Q1832" s="869" t="s">
        <v>3033</v>
      </c>
      <c r="R1832" s="866" t="n">
        <v>915273</v>
      </c>
      <c r="S1832" s="866" t="n">
        <f aca="false">R1832/H1830</f>
        <v>9810</v>
      </c>
      <c r="T1832" s="943"/>
      <c r="U1832" s="842"/>
    </row>
    <row r="1833" customFormat="false" ht="15" hidden="false" customHeight="true" outlineLevel="0" collapsed="false">
      <c r="A1833" s="881"/>
      <c r="B1833" s="829"/>
      <c r="C1833" s="830"/>
      <c r="D1833" s="843" t="s">
        <v>10</v>
      </c>
      <c r="E1833" s="843" t="s">
        <v>2192</v>
      </c>
      <c r="F1833" s="832"/>
      <c r="G1833" s="833"/>
      <c r="H1833" s="1527"/>
      <c r="I1833" s="1020"/>
      <c r="J1833" s="1020"/>
      <c r="K1833" s="836"/>
      <c r="L1833" s="837"/>
      <c r="M1833" s="1003"/>
      <c r="N1833" s="837"/>
      <c r="O1833" s="943"/>
      <c r="P1833" s="844" t="s">
        <v>2232</v>
      </c>
      <c r="Q1833" s="845" t="s">
        <v>111</v>
      </c>
      <c r="R1833" s="846" t="n">
        <v>1726050</v>
      </c>
      <c r="S1833" s="846" t="n">
        <f aca="false">R1833/H1830</f>
        <v>18500</v>
      </c>
      <c r="T1833" s="943"/>
      <c r="U1833" s="842"/>
    </row>
    <row r="1834" customFormat="false" ht="15" hidden="false" customHeight="true" outlineLevel="0" collapsed="false">
      <c r="A1834" s="881"/>
      <c r="B1834" s="847" t="s">
        <v>86</v>
      </c>
      <c r="C1834" s="847" t="n">
        <v>2024</v>
      </c>
      <c r="D1834" s="848" t="s">
        <v>10</v>
      </c>
      <c r="E1834" s="848" t="s">
        <v>2203</v>
      </c>
      <c r="F1834" s="848"/>
      <c r="G1834" s="849"/>
      <c r="H1834" s="1766" t="n">
        <v>58</v>
      </c>
      <c r="I1834" s="1397"/>
      <c r="J1834" s="1397"/>
      <c r="K1834" s="852" t="n">
        <f aca="false">H1834*I1834/100</f>
        <v>0</v>
      </c>
      <c r="L1834" s="537" t="n">
        <v>2927</v>
      </c>
      <c r="M1834" s="1007" t="n">
        <v>1</v>
      </c>
      <c r="N1834" s="1143" t="n">
        <f aca="false">L1834*M1834</f>
        <v>2927</v>
      </c>
      <c r="O1834" s="1386" t="n">
        <f aca="false">H1834*N1834</f>
        <v>169766</v>
      </c>
      <c r="P1834" s="856" t="s">
        <v>2200</v>
      </c>
      <c r="Q1834" s="857" t="s">
        <v>2946</v>
      </c>
      <c r="R1834" s="854" t="n">
        <v>169766</v>
      </c>
      <c r="S1834" s="854" t="n">
        <f aca="false">R1834/H1834</f>
        <v>2927</v>
      </c>
      <c r="T1834" s="953" t="n">
        <f aca="false">O1834-R1834</f>
        <v>0</v>
      </c>
      <c r="U1834" s="892" t="n">
        <f aca="false">N1834-S1834</f>
        <v>0</v>
      </c>
    </row>
    <row r="1835" customFormat="false" ht="15" hidden="false" customHeight="true" outlineLevel="0" collapsed="false">
      <c r="A1835" s="881"/>
      <c r="B1835" s="859" t="s">
        <v>86</v>
      </c>
      <c r="C1835" s="859" t="n">
        <v>2024</v>
      </c>
      <c r="D1835" s="860" t="s">
        <v>10</v>
      </c>
      <c r="E1835" s="860" t="s">
        <v>2241</v>
      </c>
      <c r="F1835" s="860"/>
      <c r="G1835" s="861"/>
      <c r="H1835" s="1756" t="n">
        <v>56.8</v>
      </c>
      <c r="I1835" s="1429"/>
      <c r="J1835" s="1429"/>
      <c r="K1835" s="864" t="n">
        <f aca="false">H1835*I1835/100</f>
        <v>0</v>
      </c>
      <c r="L1835" s="543" t="n">
        <v>2075</v>
      </c>
      <c r="M1835" s="983" t="n">
        <v>1</v>
      </c>
      <c r="N1835" s="1299" t="n">
        <f aca="false">L1835*M1835</f>
        <v>2075</v>
      </c>
      <c r="O1835" s="1430" t="n">
        <f aca="false">H1835*N1835</f>
        <v>117860</v>
      </c>
      <c r="P1835" s="868" t="s">
        <v>2200</v>
      </c>
      <c r="Q1835" s="869" t="s">
        <v>2946</v>
      </c>
      <c r="R1835" s="866" t="n">
        <v>117860</v>
      </c>
      <c r="S1835" s="866" t="n">
        <f aca="false">R1835/H1835</f>
        <v>2075</v>
      </c>
      <c r="T1835" s="1449" t="n">
        <f aca="false">O1835-R1835</f>
        <v>0</v>
      </c>
      <c r="U1835" s="1135" t="n">
        <f aca="false">N1835-S1835</f>
        <v>0</v>
      </c>
    </row>
    <row r="1836" customFormat="false" ht="15" hidden="false" customHeight="true" outlineLevel="0" collapsed="false">
      <c r="A1836" s="881"/>
      <c r="B1836" s="893" t="s">
        <v>86</v>
      </c>
      <c r="C1836" s="893" t="n">
        <v>2024</v>
      </c>
      <c r="D1836" s="843" t="s">
        <v>10</v>
      </c>
      <c r="E1836" s="843" t="s">
        <v>2205</v>
      </c>
      <c r="F1836" s="843"/>
      <c r="G1836" s="894"/>
      <c r="H1836" s="1767" t="n">
        <v>1.1</v>
      </c>
      <c r="I1836" s="1532"/>
      <c r="J1836" s="1532"/>
      <c r="K1836" s="897" t="n">
        <f aca="false">H1836*I1836/100</f>
        <v>0</v>
      </c>
      <c r="L1836" s="589" t="n">
        <v>3295</v>
      </c>
      <c r="M1836" s="1106" t="n">
        <v>1</v>
      </c>
      <c r="N1836" s="1393" t="n">
        <f aca="false">L1836*M1836</f>
        <v>3295</v>
      </c>
      <c r="O1836" s="1411" t="n">
        <f aca="false">H1836*N1836</f>
        <v>3624.5</v>
      </c>
      <c r="P1836" s="844" t="s">
        <v>2204</v>
      </c>
      <c r="Q1836" s="845" t="n">
        <v>28022025</v>
      </c>
      <c r="R1836" s="846" t="n">
        <v>3624.5</v>
      </c>
      <c r="S1836" s="846" t="n">
        <f aca="false">R1836/H1836</f>
        <v>3295</v>
      </c>
      <c r="T1836" s="1183" t="n">
        <f aca="false">O1836-R1836</f>
        <v>0</v>
      </c>
      <c r="U1836" s="902" t="n">
        <f aca="false">N1836-S1836</f>
        <v>0</v>
      </c>
    </row>
    <row r="1837" customFormat="false" ht="15" hidden="false" customHeight="true" outlineLevel="0" collapsed="false">
      <c r="A1837" s="847" t="n">
        <v>160</v>
      </c>
      <c r="B1837" s="847" t="s">
        <v>81</v>
      </c>
      <c r="C1837" s="847" t="n">
        <v>2024</v>
      </c>
      <c r="D1837" s="848" t="s">
        <v>10</v>
      </c>
      <c r="E1837" s="848" t="s">
        <v>2192</v>
      </c>
      <c r="F1837" s="848" t="s">
        <v>2199</v>
      </c>
      <c r="G1837" s="849"/>
      <c r="H1837" s="1523" t="n">
        <v>92.7</v>
      </c>
      <c r="I1837" s="1397"/>
      <c r="J1837" s="1353"/>
      <c r="K1837" s="852" t="n">
        <f aca="false">H1837*I1837/100</f>
        <v>0</v>
      </c>
      <c r="L1837" s="537" t="n">
        <v>40660</v>
      </c>
      <c r="M1837" s="1007" t="n">
        <v>1</v>
      </c>
      <c r="N1837" s="1143" t="n">
        <f aca="false">L1837*M1837</f>
        <v>40660</v>
      </c>
      <c r="O1837" s="1386" t="n">
        <f aca="false">H1837*N1837</f>
        <v>3769182</v>
      </c>
      <c r="P1837" s="856" t="s">
        <v>2200</v>
      </c>
      <c r="Q1837" s="857" t="s">
        <v>2529</v>
      </c>
      <c r="R1837" s="854" t="n">
        <v>3769182</v>
      </c>
      <c r="S1837" s="854" t="n">
        <f aca="false">R1837/H1837</f>
        <v>40660</v>
      </c>
      <c r="T1837" s="953" t="n">
        <f aca="false">O1837-R1837</f>
        <v>0</v>
      </c>
      <c r="U1837" s="537" t="n">
        <f aca="false">N1837-S1837</f>
        <v>0</v>
      </c>
    </row>
    <row r="1838" customFormat="false" ht="15" hidden="false" customHeight="true" outlineLevel="0" collapsed="false">
      <c r="A1838" s="870" t="n">
        <v>59</v>
      </c>
      <c r="B1838" s="870" t="s">
        <v>2230</v>
      </c>
      <c r="C1838" s="870" t="n">
        <v>2024</v>
      </c>
      <c r="D1838" s="871" t="s">
        <v>10</v>
      </c>
      <c r="E1838" s="871" t="s">
        <v>2192</v>
      </c>
      <c r="F1838" s="871" t="s">
        <v>1650</v>
      </c>
      <c r="G1838" s="872"/>
      <c r="H1838" s="1525" t="n">
        <v>93.3844</v>
      </c>
      <c r="I1838" s="1433"/>
      <c r="J1838" s="1772"/>
      <c r="K1838" s="875" t="n">
        <f aca="false">H1838*I1838/100</f>
        <v>0</v>
      </c>
      <c r="L1838" s="553" t="n">
        <v>10052</v>
      </c>
      <c r="M1838" s="1000" t="n">
        <v>1</v>
      </c>
      <c r="N1838" s="1301" t="n">
        <f aca="false">L1838*M1838</f>
        <v>10052</v>
      </c>
      <c r="O1838" s="1402" t="n">
        <f aca="false">H1838*N1838</f>
        <v>938699.9888</v>
      </c>
      <c r="P1838" s="879" t="s">
        <v>2193</v>
      </c>
      <c r="Q1838" s="880" t="s">
        <v>3034</v>
      </c>
      <c r="R1838" s="877" t="n">
        <v>938699.9888</v>
      </c>
      <c r="S1838" s="877" t="n">
        <f aca="false">R1838/H1838</f>
        <v>10052</v>
      </c>
      <c r="T1838" s="1403" t="n">
        <f aca="false">O1838-R1838</f>
        <v>0</v>
      </c>
      <c r="U1838" s="553" t="n">
        <f aca="false">N1838-S1838</f>
        <v>0</v>
      </c>
    </row>
    <row r="1839" customFormat="false" ht="15" hidden="false" customHeight="true" outlineLevel="0" collapsed="false">
      <c r="A1839" s="829" t="n">
        <v>60</v>
      </c>
      <c r="B1839" s="830" t="s">
        <v>2230</v>
      </c>
      <c r="C1839" s="830" t="n">
        <v>2024</v>
      </c>
      <c r="D1839" s="831" t="s">
        <v>10</v>
      </c>
      <c r="E1839" s="831" t="s">
        <v>2192</v>
      </c>
      <c r="F1839" s="832" t="s">
        <v>1650</v>
      </c>
      <c r="G1839" s="833"/>
      <c r="H1839" s="1526" t="n">
        <v>89.2129</v>
      </c>
      <c r="I1839" s="1020"/>
      <c r="J1839" s="1020"/>
      <c r="K1839" s="836" t="n">
        <f aca="false">H1839*I1839/100</f>
        <v>0</v>
      </c>
      <c r="L1839" s="837" t="n">
        <v>34911</v>
      </c>
      <c r="M1839" s="1003" t="n">
        <v>1</v>
      </c>
      <c r="N1839" s="837" t="n">
        <f aca="false">L1839*M1839</f>
        <v>34911</v>
      </c>
      <c r="O1839" s="943" t="n">
        <f aca="false">H1839*N1839</f>
        <v>3114511.5519</v>
      </c>
      <c r="P1839" s="838" t="s">
        <v>2193</v>
      </c>
      <c r="Q1839" s="839" t="s">
        <v>3035</v>
      </c>
      <c r="R1839" s="840" t="n">
        <v>1437933.5222</v>
      </c>
      <c r="S1839" s="886" t="n">
        <f aca="false">R1839/H1839</f>
        <v>16118</v>
      </c>
      <c r="T1839" s="943" t="n">
        <f aca="false">O1839-R1839-R1842-R1840-R1841</f>
        <v>0</v>
      </c>
      <c r="U1839" s="842" t="n">
        <f aca="false">N1839-S1839-S1842-S1840-S1841</f>
        <v>0</v>
      </c>
    </row>
    <row r="1840" customFormat="false" ht="15" hidden="false" customHeight="true" outlineLevel="0" collapsed="false">
      <c r="A1840" s="829"/>
      <c r="B1840" s="830"/>
      <c r="C1840" s="830"/>
      <c r="D1840" s="860" t="s">
        <v>10</v>
      </c>
      <c r="E1840" s="860" t="s">
        <v>2192</v>
      </c>
      <c r="F1840" s="832"/>
      <c r="G1840" s="833"/>
      <c r="H1840" s="1526"/>
      <c r="I1840" s="1020"/>
      <c r="J1840" s="1020"/>
      <c r="K1840" s="836"/>
      <c r="L1840" s="837"/>
      <c r="M1840" s="1003"/>
      <c r="N1840" s="837"/>
      <c r="O1840" s="943"/>
      <c r="P1840" s="868" t="s">
        <v>2193</v>
      </c>
      <c r="Q1840" s="869" t="s">
        <v>2338</v>
      </c>
      <c r="R1840" s="866" t="n">
        <v>428221.92</v>
      </c>
      <c r="S1840" s="866" t="n">
        <f aca="false">R1840/H1839</f>
        <v>4800</v>
      </c>
      <c r="T1840" s="943"/>
      <c r="U1840" s="842"/>
    </row>
    <row r="1841" customFormat="false" ht="15" hidden="false" customHeight="true" outlineLevel="0" collapsed="false">
      <c r="A1841" s="829"/>
      <c r="B1841" s="830"/>
      <c r="C1841" s="830"/>
      <c r="D1841" s="860" t="s">
        <v>10</v>
      </c>
      <c r="E1841" s="860" t="s">
        <v>2192</v>
      </c>
      <c r="F1841" s="832"/>
      <c r="G1841" s="833"/>
      <c r="H1841" s="1526"/>
      <c r="I1841" s="1020"/>
      <c r="J1841" s="1020"/>
      <c r="K1841" s="836"/>
      <c r="L1841" s="837"/>
      <c r="M1841" s="1003"/>
      <c r="N1841" s="837"/>
      <c r="O1841" s="943"/>
      <c r="P1841" s="868" t="s">
        <v>2193</v>
      </c>
      <c r="Q1841" s="869" t="s">
        <v>3036</v>
      </c>
      <c r="R1841" s="866" t="n">
        <v>357119.2387</v>
      </c>
      <c r="S1841" s="854" t="n">
        <f aca="false">R1841/H1839</f>
        <v>4003</v>
      </c>
      <c r="T1841" s="943"/>
      <c r="U1841" s="842"/>
    </row>
    <row r="1842" customFormat="false" ht="15" hidden="false" customHeight="true" outlineLevel="0" collapsed="false">
      <c r="A1842" s="829"/>
      <c r="B1842" s="830"/>
      <c r="C1842" s="830"/>
      <c r="D1842" s="843" t="s">
        <v>10</v>
      </c>
      <c r="E1842" s="843" t="s">
        <v>2192</v>
      </c>
      <c r="F1842" s="832"/>
      <c r="G1842" s="833"/>
      <c r="H1842" s="1526"/>
      <c r="I1842" s="1020"/>
      <c r="J1842" s="1020"/>
      <c r="K1842" s="836"/>
      <c r="L1842" s="837"/>
      <c r="M1842" s="1003"/>
      <c r="N1842" s="837"/>
      <c r="O1842" s="943"/>
      <c r="P1842" s="844" t="s">
        <v>2197</v>
      </c>
      <c r="Q1842" s="845" t="s">
        <v>3037</v>
      </c>
      <c r="R1842" s="846" t="n">
        <v>891236.871</v>
      </c>
      <c r="S1842" s="846" t="n">
        <f aca="false">R1842/H1839</f>
        <v>9990</v>
      </c>
      <c r="T1842" s="943"/>
      <c r="U1842" s="842"/>
    </row>
    <row r="1843" customFormat="false" ht="15" hidden="false" customHeight="true" outlineLevel="0" collapsed="false">
      <c r="A1843" s="847" t="n">
        <v>174</v>
      </c>
      <c r="B1843" s="847" t="s">
        <v>2207</v>
      </c>
      <c r="C1843" s="847" t="n">
        <v>2024</v>
      </c>
      <c r="D1843" s="848" t="s">
        <v>10</v>
      </c>
      <c r="E1843" s="848" t="s">
        <v>2192</v>
      </c>
      <c r="F1843" s="848" t="s">
        <v>1652</v>
      </c>
      <c r="G1843" s="849"/>
      <c r="H1843" s="1523" t="n">
        <v>38.4891</v>
      </c>
      <c r="I1843" s="1397"/>
      <c r="J1843" s="1353"/>
      <c r="K1843" s="852" t="n">
        <f aca="false">H1843*I1843/100</f>
        <v>0</v>
      </c>
      <c r="L1843" s="537" t="n">
        <v>11040</v>
      </c>
      <c r="M1843" s="1007" t="n">
        <v>1</v>
      </c>
      <c r="N1843" s="1143" t="n">
        <f aca="false">L1843*M1843</f>
        <v>11040</v>
      </c>
      <c r="O1843" s="1386" t="n">
        <f aca="false">H1843*N1843</f>
        <v>424919.664</v>
      </c>
      <c r="P1843" s="856" t="s">
        <v>2197</v>
      </c>
      <c r="Q1843" s="857" t="s">
        <v>3038</v>
      </c>
      <c r="R1843" s="854" t="n">
        <v>424919.664</v>
      </c>
      <c r="S1843" s="854" t="n">
        <f aca="false">R1843/H1843</f>
        <v>11040</v>
      </c>
      <c r="T1843" s="953" t="n">
        <f aca="false">O1843-R1843</f>
        <v>0</v>
      </c>
      <c r="U1843" s="537" t="n">
        <f aca="false">N1843-S1843</f>
        <v>0</v>
      </c>
    </row>
    <row r="1844" customFormat="false" ht="15" hidden="false" customHeight="true" outlineLevel="0" collapsed="false">
      <c r="A1844" s="870" t="n">
        <v>175</v>
      </c>
      <c r="B1844" s="870" t="s">
        <v>2207</v>
      </c>
      <c r="C1844" s="870" t="n">
        <v>2024</v>
      </c>
      <c r="D1844" s="871" t="s">
        <v>10</v>
      </c>
      <c r="E1844" s="871" t="s">
        <v>2192</v>
      </c>
      <c r="F1844" s="871" t="s">
        <v>1652</v>
      </c>
      <c r="G1844" s="872"/>
      <c r="H1844" s="1525" t="n">
        <v>43.1426</v>
      </c>
      <c r="I1844" s="1433"/>
      <c r="J1844" s="1772"/>
      <c r="K1844" s="875" t="n">
        <f aca="false">H1844*I1844/100</f>
        <v>0</v>
      </c>
      <c r="L1844" s="553" t="n">
        <v>10035</v>
      </c>
      <c r="M1844" s="1000" t="n">
        <v>1</v>
      </c>
      <c r="N1844" s="1301" t="n">
        <f aca="false">L1844*M1844</f>
        <v>10035</v>
      </c>
      <c r="O1844" s="1402" t="n">
        <f aca="false">H1844*N1844</f>
        <v>432935.991</v>
      </c>
      <c r="P1844" s="879" t="s">
        <v>2197</v>
      </c>
      <c r="Q1844" s="880" t="s">
        <v>3039</v>
      </c>
      <c r="R1844" s="877" t="n">
        <v>432935.991</v>
      </c>
      <c r="S1844" s="877" t="n">
        <f aca="false">R1844/H1844</f>
        <v>10035</v>
      </c>
      <c r="T1844" s="1403" t="n">
        <f aca="false">O1844-R1844</f>
        <v>0</v>
      </c>
      <c r="U1844" s="553" t="n">
        <f aca="false">N1844-S1844</f>
        <v>0</v>
      </c>
    </row>
    <row r="1845" customFormat="false" ht="15" hidden="false" customHeight="true" outlineLevel="0" collapsed="false">
      <c r="A1845" s="829" t="n">
        <v>177</v>
      </c>
      <c r="B1845" s="830" t="s">
        <v>2207</v>
      </c>
      <c r="C1845" s="830" t="n">
        <v>2024</v>
      </c>
      <c r="D1845" s="831" t="s">
        <v>10</v>
      </c>
      <c r="E1845" s="831" t="s">
        <v>2192</v>
      </c>
      <c r="F1845" s="832" t="s">
        <v>1652</v>
      </c>
      <c r="G1845" s="833"/>
      <c r="H1845" s="1526" t="n">
        <v>40.6282</v>
      </c>
      <c r="I1845" s="1020"/>
      <c r="J1845" s="1020"/>
      <c r="K1845" s="836" t="n">
        <f aca="false">H1845*I1845/100</f>
        <v>0</v>
      </c>
      <c r="L1845" s="837" t="n">
        <v>10540</v>
      </c>
      <c r="M1845" s="1003" t="n">
        <v>1</v>
      </c>
      <c r="N1845" s="837" t="n">
        <f aca="false">L1845*M1845</f>
        <v>10540</v>
      </c>
      <c r="O1845" s="943" t="n">
        <f aca="false">H1845*N1845</f>
        <v>428221.228</v>
      </c>
      <c r="P1845" s="838" t="s">
        <v>2197</v>
      </c>
      <c r="Q1845" s="839" t="s">
        <v>3040</v>
      </c>
      <c r="R1845" s="840" t="n">
        <v>162512.8</v>
      </c>
      <c r="S1845" s="840" t="n">
        <f aca="false">R1845/H1845</f>
        <v>4000</v>
      </c>
      <c r="T1845" s="943" t="n">
        <f aca="false">O1845-R1845-R1846</f>
        <v>0</v>
      </c>
      <c r="U1845" s="842" t="n">
        <f aca="false">N1845-S1845-S1846</f>
        <v>0</v>
      </c>
    </row>
    <row r="1846" customFormat="false" ht="15" hidden="false" customHeight="true" outlineLevel="0" collapsed="false">
      <c r="A1846" s="829"/>
      <c r="B1846" s="830"/>
      <c r="C1846" s="830"/>
      <c r="D1846" s="843" t="s">
        <v>10</v>
      </c>
      <c r="E1846" s="843" t="s">
        <v>2192</v>
      </c>
      <c r="F1846" s="832"/>
      <c r="G1846" s="833"/>
      <c r="H1846" s="1526"/>
      <c r="I1846" s="1020"/>
      <c r="J1846" s="1020"/>
      <c r="K1846" s="836"/>
      <c r="L1846" s="837"/>
      <c r="M1846" s="1003"/>
      <c r="N1846" s="837"/>
      <c r="O1846" s="943"/>
      <c r="P1846" s="844" t="s">
        <v>2197</v>
      </c>
      <c r="Q1846" s="845" t="s">
        <v>3041</v>
      </c>
      <c r="R1846" s="846" t="n">
        <v>265708.428</v>
      </c>
      <c r="S1846" s="846" t="n">
        <f aca="false">R1846/H1845</f>
        <v>6540</v>
      </c>
      <c r="T1846" s="943"/>
      <c r="U1846" s="842"/>
    </row>
    <row r="1847" customFormat="false" ht="15" hidden="false" customHeight="true" outlineLevel="0" collapsed="false">
      <c r="A1847" s="1087" t="n">
        <v>178</v>
      </c>
      <c r="B1847" s="1061" t="s">
        <v>2207</v>
      </c>
      <c r="C1847" s="1061" t="n">
        <v>2024</v>
      </c>
      <c r="D1847" s="848" t="s">
        <v>10</v>
      </c>
      <c r="E1847" s="848" t="s">
        <v>2192</v>
      </c>
      <c r="F1847" s="887" t="s">
        <v>1652</v>
      </c>
      <c r="G1847" s="1062"/>
      <c r="H1847" s="1522" t="n">
        <v>31.2713</v>
      </c>
      <c r="I1847" s="1078"/>
      <c r="J1847" s="1078"/>
      <c r="K1847" s="1064" t="n">
        <f aca="false">H1847*I1847/100</f>
        <v>0</v>
      </c>
      <c r="L1847" s="1067" t="n">
        <v>11420</v>
      </c>
      <c r="M1847" s="1066" t="n">
        <v>1</v>
      </c>
      <c r="N1847" s="1067" t="n">
        <f aca="false">L1847*M1847</f>
        <v>11420</v>
      </c>
      <c r="O1847" s="1452" t="n">
        <f aca="false">H1847*N1847</f>
        <v>357118.246</v>
      </c>
      <c r="P1847" s="856" t="s">
        <v>2197</v>
      </c>
      <c r="Q1847" s="857" t="s">
        <v>3042</v>
      </c>
      <c r="R1847" s="854" t="n">
        <v>174024.7845</v>
      </c>
      <c r="S1847" s="854" t="n">
        <f aca="false">R1847/H1847</f>
        <v>5565</v>
      </c>
      <c r="T1847" s="1452" t="n">
        <f aca="false">O1847-R1847-R1848</f>
        <v>0</v>
      </c>
      <c r="U1847" s="1070" t="n">
        <f aca="false">N1847-S1847-S1848</f>
        <v>0</v>
      </c>
    </row>
    <row r="1848" customFormat="false" ht="15" hidden="false" customHeight="true" outlineLevel="0" collapsed="false">
      <c r="A1848" s="1087"/>
      <c r="B1848" s="1061"/>
      <c r="C1848" s="1061"/>
      <c r="D1848" s="843" t="s">
        <v>10</v>
      </c>
      <c r="E1848" s="843" t="s">
        <v>2192</v>
      </c>
      <c r="F1848" s="887"/>
      <c r="G1848" s="1062"/>
      <c r="H1848" s="1522"/>
      <c r="I1848" s="1078"/>
      <c r="J1848" s="1078"/>
      <c r="K1848" s="1064"/>
      <c r="L1848" s="1067"/>
      <c r="M1848" s="1066"/>
      <c r="N1848" s="1067"/>
      <c r="O1848" s="1452"/>
      <c r="P1848" s="844" t="s">
        <v>2197</v>
      </c>
      <c r="Q1848" s="845" t="s">
        <v>3043</v>
      </c>
      <c r="R1848" s="846" t="n">
        <v>183093.4615</v>
      </c>
      <c r="S1848" s="846" t="n">
        <f aca="false">R1848/H1847</f>
        <v>5855</v>
      </c>
      <c r="T1848" s="1452"/>
      <c r="U1848" s="1070"/>
    </row>
    <row r="1849" customFormat="false" ht="15" hidden="false" customHeight="true" outlineLevel="0" collapsed="false">
      <c r="A1849" s="1087" t="n">
        <v>179</v>
      </c>
      <c r="B1849" s="1061" t="s">
        <v>2207</v>
      </c>
      <c r="C1849" s="1061" t="n">
        <v>2024</v>
      </c>
      <c r="D1849" s="848" t="s">
        <v>10</v>
      </c>
      <c r="E1849" s="848" t="s">
        <v>2192</v>
      </c>
      <c r="F1849" s="887" t="s">
        <v>1652</v>
      </c>
      <c r="G1849" s="1062"/>
      <c r="H1849" s="1522" t="n">
        <v>38.6063</v>
      </c>
      <c r="I1849" s="1078"/>
      <c r="J1849" s="1078"/>
      <c r="K1849" s="1064" t="n">
        <f aca="false">H1849*I1849/100</f>
        <v>0</v>
      </c>
      <c r="L1849" s="1067" t="n">
        <v>37246</v>
      </c>
      <c r="M1849" s="1066" t="n">
        <v>1</v>
      </c>
      <c r="N1849" s="1067" t="n">
        <f aca="false">L1849*M1849</f>
        <v>37246</v>
      </c>
      <c r="O1849" s="1452" t="n">
        <f aca="false">H1849*N1849</f>
        <v>1437930.2498</v>
      </c>
      <c r="P1849" s="856" t="s">
        <v>2197</v>
      </c>
      <c r="Q1849" s="857" t="s">
        <v>3044</v>
      </c>
      <c r="R1849" s="854" t="n">
        <v>771932.9685</v>
      </c>
      <c r="S1849" s="854" t="n">
        <f aca="false">R1849/H1849</f>
        <v>19995</v>
      </c>
      <c r="T1849" s="1452" t="n">
        <f aca="false">O1849-R1849-R1850</f>
        <v>0</v>
      </c>
      <c r="U1849" s="1070" t="n">
        <f aca="false">N1849-S1849-S1850</f>
        <v>0</v>
      </c>
    </row>
    <row r="1850" customFormat="false" ht="15" hidden="false" customHeight="true" outlineLevel="0" collapsed="false">
      <c r="A1850" s="1087"/>
      <c r="B1850" s="1061"/>
      <c r="C1850" s="1061"/>
      <c r="D1850" s="843" t="s">
        <v>10</v>
      </c>
      <c r="E1850" s="843" t="s">
        <v>2192</v>
      </c>
      <c r="F1850" s="887"/>
      <c r="G1850" s="1062"/>
      <c r="H1850" s="1522"/>
      <c r="I1850" s="1078"/>
      <c r="J1850" s="1078"/>
      <c r="K1850" s="1064"/>
      <c r="L1850" s="1067"/>
      <c r="M1850" s="1066"/>
      <c r="N1850" s="1067"/>
      <c r="O1850" s="1452"/>
      <c r="P1850" s="844" t="s">
        <v>2197</v>
      </c>
      <c r="Q1850" s="845" t="s">
        <v>3045</v>
      </c>
      <c r="R1850" s="846" t="n">
        <v>665997.2813</v>
      </c>
      <c r="S1850" s="846" t="n">
        <f aca="false">R1850/H1849</f>
        <v>17251</v>
      </c>
      <c r="T1850" s="1452"/>
      <c r="U1850" s="1070"/>
    </row>
    <row r="1851" customFormat="false" ht="15" hidden="false" customHeight="true" outlineLevel="0" collapsed="false">
      <c r="A1851" s="829" t="n">
        <v>180</v>
      </c>
      <c r="B1851" s="830" t="s">
        <v>2207</v>
      </c>
      <c r="C1851" s="830" t="n">
        <v>2024</v>
      </c>
      <c r="D1851" s="831" t="s">
        <v>10</v>
      </c>
      <c r="E1851" s="831" t="s">
        <v>2192</v>
      </c>
      <c r="F1851" s="832" t="s">
        <v>1651</v>
      </c>
      <c r="G1851" s="833"/>
      <c r="H1851" s="1526" t="n">
        <v>28.5431</v>
      </c>
      <c r="I1851" s="1020"/>
      <c r="J1851" s="1020"/>
      <c r="K1851" s="836" t="n">
        <f aca="false">H1851*I1851/100</f>
        <v>0</v>
      </c>
      <c r="L1851" s="837" t="n">
        <v>32887</v>
      </c>
      <c r="M1851" s="1003" t="n">
        <v>1</v>
      </c>
      <c r="N1851" s="837" t="n">
        <f aca="false">L1851*M1851</f>
        <v>32887</v>
      </c>
      <c r="O1851" s="943" t="n">
        <f aca="false">H1851*N1851</f>
        <v>938696.9297</v>
      </c>
      <c r="P1851" s="838" t="s">
        <v>2197</v>
      </c>
      <c r="Q1851" s="839" t="s">
        <v>3046</v>
      </c>
      <c r="R1851" s="840" t="n">
        <v>570719.2845</v>
      </c>
      <c r="S1851" s="886" t="n">
        <f aca="false">R1851/H1851</f>
        <v>19995</v>
      </c>
      <c r="T1851" s="943" t="n">
        <f aca="false">O1851-R1851-R1852</f>
        <v>0</v>
      </c>
      <c r="U1851" s="842" t="n">
        <f aca="false">N1851-S1851-S1852</f>
        <v>0</v>
      </c>
    </row>
    <row r="1852" customFormat="false" ht="15" hidden="false" customHeight="true" outlineLevel="0" collapsed="false">
      <c r="A1852" s="829"/>
      <c r="B1852" s="830"/>
      <c r="C1852" s="830"/>
      <c r="D1852" s="887" t="s">
        <v>10</v>
      </c>
      <c r="E1852" s="887" t="s">
        <v>2192</v>
      </c>
      <c r="F1852" s="832"/>
      <c r="G1852" s="833"/>
      <c r="H1852" s="1526"/>
      <c r="I1852" s="1020"/>
      <c r="J1852" s="1020"/>
      <c r="K1852" s="836"/>
      <c r="L1852" s="837"/>
      <c r="M1852" s="1003"/>
      <c r="N1852" s="837"/>
      <c r="O1852" s="943"/>
      <c r="P1852" s="888" t="s">
        <v>2197</v>
      </c>
      <c r="Q1852" s="889" t="s">
        <v>3047</v>
      </c>
      <c r="R1852" s="890" t="n">
        <v>367977.6452</v>
      </c>
      <c r="S1852" s="846" t="n">
        <f aca="false">R1852/H1851</f>
        <v>12892</v>
      </c>
      <c r="T1852" s="943"/>
      <c r="U1852" s="842"/>
    </row>
    <row r="1853" customFormat="false" ht="15" hidden="false" customHeight="true" outlineLevel="0" collapsed="false">
      <c r="A1853" s="847" t="n">
        <v>161</v>
      </c>
      <c r="B1853" s="847" t="s">
        <v>81</v>
      </c>
      <c r="C1853" s="847" t="n">
        <v>2024</v>
      </c>
      <c r="D1853" s="848" t="s">
        <v>10</v>
      </c>
      <c r="E1853" s="848" t="s">
        <v>2192</v>
      </c>
      <c r="F1853" s="848" t="s">
        <v>2199</v>
      </c>
      <c r="G1853" s="849"/>
      <c r="H1853" s="1523" t="n">
        <v>78.4</v>
      </c>
      <c r="I1853" s="1397"/>
      <c r="J1853" s="1353"/>
      <c r="K1853" s="852" t="n">
        <f aca="false">H1853*I1853/100</f>
        <v>0</v>
      </c>
      <c r="L1853" s="537" t="n">
        <v>39280</v>
      </c>
      <c r="M1853" s="1007" t="n">
        <v>1</v>
      </c>
      <c r="N1853" s="1143" t="n">
        <f aca="false">L1853*M1853</f>
        <v>39280</v>
      </c>
      <c r="O1853" s="1386" t="n">
        <f aca="false">H1853*N1853</f>
        <v>3079552</v>
      </c>
      <c r="P1853" s="856" t="s">
        <v>2200</v>
      </c>
      <c r="Q1853" s="857" t="s">
        <v>122</v>
      </c>
      <c r="R1853" s="854" t="n">
        <v>3079552</v>
      </c>
      <c r="S1853" s="866" t="n">
        <f aca="false">R1853/H1853</f>
        <v>39280</v>
      </c>
      <c r="T1853" s="953" t="n">
        <f aca="false">O1853-R1853</f>
        <v>0</v>
      </c>
      <c r="U1853" s="537" t="n">
        <f aca="false">N1853-S1853</f>
        <v>0</v>
      </c>
    </row>
    <row r="1854" customFormat="false" ht="15" hidden="false" customHeight="true" outlineLevel="0" collapsed="false">
      <c r="A1854" s="903" t="n">
        <v>181</v>
      </c>
      <c r="B1854" s="903" t="s">
        <v>2207</v>
      </c>
      <c r="C1854" s="903" t="n">
        <v>2024</v>
      </c>
      <c r="D1854" s="904" t="s">
        <v>10</v>
      </c>
      <c r="E1854" s="904" t="s">
        <v>2192</v>
      </c>
      <c r="F1854" s="904" t="s">
        <v>1651</v>
      </c>
      <c r="G1854" s="905"/>
      <c r="H1854" s="1524" t="n">
        <v>34.608</v>
      </c>
      <c r="I1854" s="1055"/>
      <c r="J1854" s="1372"/>
      <c r="K1854" s="939" t="n">
        <f aca="false">H1854*I1854/100</f>
        <v>0</v>
      </c>
      <c r="L1854" s="942" t="n">
        <v>15585</v>
      </c>
      <c r="M1854" s="1023" t="n">
        <v>1</v>
      </c>
      <c r="N1854" s="1137" t="n">
        <f aca="false">L1854*M1854</f>
        <v>15585</v>
      </c>
      <c r="O1854" s="1384" t="n">
        <f aca="false">H1854*N1854</f>
        <v>539365.68</v>
      </c>
      <c r="P1854" s="910" t="s">
        <v>2197</v>
      </c>
      <c r="Q1854" s="911" t="s">
        <v>3048</v>
      </c>
      <c r="R1854" s="891" t="n">
        <v>539365.68</v>
      </c>
      <c r="S1854" s="877" t="n">
        <f aca="false">R1854/H1854</f>
        <v>15585</v>
      </c>
      <c r="T1854" s="948" t="n">
        <f aca="false">O1854-R1854</f>
        <v>0</v>
      </c>
      <c r="U1854" s="942" t="n">
        <f aca="false">N1854-S1854</f>
        <v>0</v>
      </c>
    </row>
    <row r="1855" customFormat="false" ht="15" hidden="false" customHeight="true" outlineLevel="0" collapsed="false">
      <c r="A1855" s="881" t="n">
        <v>124</v>
      </c>
      <c r="B1855" s="829" t="s">
        <v>86</v>
      </c>
      <c r="C1855" s="830" t="n">
        <v>2024</v>
      </c>
      <c r="D1855" s="831" t="s">
        <v>10</v>
      </c>
      <c r="E1855" s="831" t="s">
        <v>2192</v>
      </c>
      <c r="F1855" s="832" t="s">
        <v>1650</v>
      </c>
      <c r="G1855" s="833"/>
      <c r="H1855" s="1526" t="n">
        <v>92.1</v>
      </c>
      <c r="I1855" s="1020" t="n">
        <v>73</v>
      </c>
      <c r="J1855" s="1020"/>
      <c r="K1855" s="836" t="n">
        <f aca="false">H1855*I1855/100</f>
        <v>67.233</v>
      </c>
      <c r="L1855" s="837" t="n">
        <v>31400</v>
      </c>
      <c r="M1855" s="1003" t="n">
        <v>1</v>
      </c>
      <c r="N1855" s="837" t="n">
        <f aca="false">L1855*M1855</f>
        <v>31400</v>
      </c>
      <c r="O1855" s="943" t="n">
        <f aca="false">H1855*N1855</f>
        <v>2891940</v>
      </c>
      <c r="P1855" s="838" t="s">
        <v>2193</v>
      </c>
      <c r="Q1855" s="839" t="s">
        <v>2452</v>
      </c>
      <c r="R1855" s="840" t="n">
        <v>2376180</v>
      </c>
      <c r="S1855" s="840" t="n">
        <f aca="false">R1855/H1855</f>
        <v>25800</v>
      </c>
      <c r="T1855" s="943" t="n">
        <f aca="false">O1855-R1855-R1856</f>
        <v>0</v>
      </c>
      <c r="U1855" s="842" t="n">
        <f aca="false">N1855-S1855-S1856</f>
        <v>0</v>
      </c>
    </row>
    <row r="1856" customFormat="false" ht="15" hidden="false" customHeight="true" outlineLevel="0" collapsed="false">
      <c r="A1856" s="881"/>
      <c r="B1856" s="829"/>
      <c r="C1856" s="830"/>
      <c r="D1856" s="843" t="s">
        <v>10</v>
      </c>
      <c r="E1856" s="843" t="s">
        <v>2192</v>
      </c>
      <c r="F1856" s="832"/>
      <c r="G1856" s="833"/>
      <c r="H1856" s="1526"/>
      <c r="I1856" s="1020"/>
      <c r="J1856" s="1020"/>
      <c r="K1856" s="836"/>
      <c r="L1856" s="837"/>
      <c r="M1856" s="1003"/>
      <c r="N1856" s="837"/>
      <c r="O1856" s="943"/>
      <c r="P1856" s="844" t="s">
        <v>2193</v>
      </c>
      <c r="Q1856" s="845" t="s">
        <v>2623</v>
      </c>
      <c r="R1856" s="846" t="n">
        <v>515760</v>
      </c>
      <c r="S1856" s="846" t="n">
        <f aca="false">R1856/H1855</f>
        <v>5600</v>
      </c>
      <c r="T1856" s="943"/>
      <c r="U1856" s="842"/>
    </row>
    <row r="1857" customFormat="false" ht="15" hidden="false" customHeight="true" outlineLevel="0" collapsed="false">
      <c r="A1857" s="881"/>
      <c r="B1857" s="847" t="s">
        <v>86</v>
      </c>
      <c r="C1857" s="847" t="n">
        <v>2024</v>
      </c>
      <c r="D1857" s="848" t="s">
        <v>10</v>
      </c>
      <c r="E1857" s="848" t="s">
        <v>2203</v>
      </c>
      <c r="F1857" s="848"/>
      <c r="G1857" s="849"/>
      <c r="H1857" s="1523" t="n">
        <v>47.8</v>
      </c>
      <c r="I1857" s="1397"/>
      <c r="J1857" s="1397"/>
      <c r="K1857" s="852" t="n">
        <f aca="false">H1857*I1857/100</f>
        <v>0</v>
      </c>
      <c r="L1857" s="537" t="n">
        <v>2953</v>
      </c>
      <c r="M1857" s="1007" t="n">
        <v>1</v>
      </c>
      <c r="N1857" s="1143" t="n">
        <f aca="false">L1857*M1857</f>
        <v>2953</v>
      </c>
      <c r="O1857" s="1386" t="n">
        <f aca="false">H1857*N1857</f>
        <v>141153.4</v>
      </c>
      <c r="P1857" s="856" t="s">
        <v>2200</v>
      </c>
      <c r="Q1857" s="857" t="s">
        <v>2946</v>
      </c>
      <c r="R1857" s="854" t="n">
        <v>141153.4</v>
      </c>
      <c r="S1857" s="854" t="n">
        <f aca="false">R1857/H1857</f>
        <v>2953</v>
      </c>
      <c r="T1857" s="953" t="n">
        <f aca="false">O1857-R1857</f>
        <v>0</v>
      </c>
      <c r="U1857" s="892" t="n">
        <f aca="false">N1857-S1857</f>
        <v>0</v>
      </c>
    </row>
    <row r="1858" customFormat="false" ht="15" hidden="false" customHeight="true" outlineLevel="0" collapsed="false">
      <c r="A1858" s="881"/>
      <c r="B1858" s="859" t="s">
        <v>86</v>
      </c>
      <c r="C1858" s="859" t="n">
        <v>2024</v>
      </c>
      <c r="D1858" s="860" t="s">
        <v>10</v>
      </c>
      <c r="E1858" s="860" t="s">
        <v>2241</v>
      </c>
      <c r="F1858" s="860"/>
      <c r="G1858" s="861"/>
      <c r="H1858" s="1760" t="n">
        <v>55.2</v>
      </c>
      <c r="I1858" s="1429"/>
      <c r="J1858" s="1429"/>
      <c r="K1858" s="864" t="n">
        <f aca="false">H1858*I1858/100</f>
        <v>0</v>
      </c>
      <c r="L1858" s="543" t="n">
        <v>2272</v>
      </c>
      <c r="M1858" s="983" t="n">
        <v>1</v>
      </c>
      <c r="N1858" s="1143" t="n">
        <f aca="false">L1858*M1858</f>
        <v>2272</v>
      </c>
      <c r="O1858" s="1386" t="n">
        <f aca="false">H1858*N1858</f>
        <v>125414.4</v>
      </c>
      <c r="P1858" s="868" t="s">
        <v>2200</v>
      </c>
      <c r="Q1858" s="869" t="s">
        <v>2946</v>
      </c>
      <c r="R1858" s="866" t="n">
        <v>125414.4</v>
      </c>
      <c r="S1858" s="866" t="n">
        <f aca="false">R1858/H1858</f>
        <v>2272</v>
      </c>
      <c r="T1858" s="1449" t="n">
        <f aca="false">O1858-R1858</f>
        <v>0</v>
      </c>
      <c r="U1858" s="1135" t="n">
        <f aca="false">N1858-S1858</f>
        <v>0</v>
      </c>
    </row>
    <row r="1859" customFormat="false" ht="15" hidden="false" customHeight="true" outlineLevel="0" collapsed="false">
      <c r="A1859" s="881"/>
      <c r="B1859" s="893" t="s">
        <v>86</v>
      </c>
      <c r="C1859" s="893" t="n">
        <v>2024</v>
      </c>
      <c r="D1859" s="843" t="s">
        <v>10</v>
      </c>
      <c r="E1859" s="843" t="s">
        <v>2205</v>
      </c>
      <c r="F1859" s="843"/>
      <c r="G1859" s="894"/>
      <c r="H1859" s="1769" t="n">
        <v>25.8</v>
      </c>
      <c r="I1859" s="1532"/>
      <c r="J1859" s="1532"/>
      <c r="K1859" s="897" t="n">
        <f aca="false">H1859*I1859/100</f>
        <v>0</v>
      </c>
      <c r="L1859" s="589" t="n">
        <v>3613</v>
      </c>
      <c r="M1859" s="1106" t="n">
        <v>1</v>
      </c>
      <c r="N1859" s="1082" t="n">
        <f aca="false">L1859*M1859</f>
        <v>3613</v>
      </c>
      <c r="O1859" s="1394" t="n">
        <f aca="false">H1859*N1859</f>
        <v>93215.4</v>
      </c>
      <c r="P1859" s="844" t="s">
        <v>2200</v>
      </c>
      <c r="Q1859" s="845" t="s">
        <v>2946</v>
      </c>
      <c r="R1859" s="846" t="n">
        <v>93215.4</v>
      </c>
      <c r="S1859" s="846" t="n">
        <f aca="false">R1859/H1859</f>
        <v>3613</v>
      </c>
      <c r="T1859" s="1183" t="n">
        <f aca="false">O1859-R1859</f>
        <v>0</v>
      </c>
      <c r="U1859" s="902" t="n">
        <f aca="false">N1859-S1859</f>
        <v>0</v>
      </c>
    </row>
    <row r="1860" customFormat="false" ht="15" hidden="false" customHeight="true" outlineLevel="0" collapsed="false">
      <c r="A1860" s="1060" t="n">
        <v>182</v>
      </c>
      <c r="B1860" s="1061" t="s">
        <v>2207</v>
      </c>
      <c r="C1860" s="1061" t="n">
        <v>2024</v>
      </c>
      <c r="D1860" s="848" t="s">
        <v>10</v>
      </c>
      <c r="E1860" s="848" t="s">
        <v>2192</v>
      </c>
      <c r="F1860" s="887" t="s">
        <v>1652</v>
      </c>
      <c r="G1860" s="1062"/>
      <c r="H1860" s="1522" t="n">
        <v>36.9545</v>
      </c>
      <c r="I1860" s="1078"/>
      <c r="J1860" s="1078"/>
      <c r="K1860" s="1064" t="n">
        <f aca="false">H1860*I1860/100</f>
        <v>0</v>
      </c>
      <c r="L1860" s="1067" t="n">
        <v>64300</v>
      </c>
      <c r="M1860" s="1066" t="n">
        <v>1</v>
      </c>
      <c r="N1860" s="1067" t="n">
        <f aca="false">L1860*M1860</f>
        <v>64300</v>
      </c>
      <c r="O1860" s="1452" t="n">
        <f aca="false">H1860*N1860</f>
        <v>2376174.35</v>
      </c>
      <c r="P1860" s="856" t="s">
        <v>2197</v>
      </c>
      <c r="Q1860" s="857" t="s">
        <v>3049</v>
      </c>
      <c r="R1860" s="854" t="n">
        <v>738905.2275</v>
      </c>
      <c r="S1860" s="891" t="n">
        <f aca="false">R1860/H1860</f>
        <v>19995</v>
      </c>
      <c r="T1860" s="1452" t="n">
        <f aca="false">O1860-R1860-R1863-R1861-R1862</f>
        <v>0</v>
      </c>
      <c r="U1860" s="1070" t="n">
        <f aca="false">N1860-S1860-S1863-S1861-S1862</f>
        <v>0</v>
      </c>
    </row>
    <row r="1861" customFormat="false" ht="15" hidden="false" customHeight="true" outlineLevel="0" collapsed="false">
      <c r="A1861" s="1060"/>
      <c r="B1861" s="1061"/>
      <c r="C1861" s="1061"/>
      <c r="D1861" s="860" t="s">
        <v>10</v>
      </c>
      <c r="E1861" s="860" t="s">
        <v>2192</v>
      </c>
      <c r="F1861" s="887"/>
      <c r="G1861" s="1062"/>
      <c r="H1861" s="1522"/>
      <c r="I1861" s="1078"/>
      <c r="J1861" s="1078"/>
      <c r="K1861" s="1064"/>
      <c r="L1861" s="1067"/>
      <c r="M1861" s="1066"/>
      <c r="N1861" s="1067"/>
      <c r="O1861" s="1452"/>
      <c r="P1861" s="868" t="s">
        <v>2197</v>
      </c>
      <c r="Q1861" s="869" t="s">
        <v>3050</v>
      </c>
      <c r="R1861" s="866" t="n">
        <v>738905.2275</v>
      </c>
      <c r="S1861" s="866" t="n">
        <f aca="false">R1861/H1860</f>
        <v>19995</v>
      </c>
      <c r="T1861" s="1452"/>
      <c r="U1861" s="1070"/>
    </row>
    <row r="1862" customFormat="false" ht="15" hidden="false" customHeight="true" outlineLevel="0" collapsed="false">
      <c r="A1862" s="1060"/>
      <c r="B1862" s="1061"/>
      <c r="C1862" s="1061"/>
      <c r="D1862" s="860" t="s">
        <v>10</v>
      </c>
      <c r="E1862" s="860" t="s">
        <v>2192</v>
      </c>
      <c r="F1862" s="887"/>
      <c r="G1862" s="1062"/>
      <c r="H1862" s="1522"/>
      <c r="I1862" s="1078"/>
      <c r="J1862" s="1078"/>
      <c r="K1862" s="1064"/>
      <c r="L1862" s="1067"/>
      <c r="M1862" s="1066"/>
      <c r="N1862" s="1067"/>
      <c r="O1862" s="1452"/>
      <c r="P1862" s="868" t="s">
        <v>2197</v>
      </c>
      <c r="Q1862" s="869" t="s">
        <v>3051</v>
      </c>
      <c r="R1862" s="866" t="n">
        <v>159458.6675</v>
      </c>
      <c r="S1862" s="854" t="n">
        <f aca="false">R1862/H1860</f>
        <v>4315</v>
      </c>
      <c r="T1862" s="1452"/>
      <c r="U1862" s="1070"/>
    </row>
    <row r="1863" customFormat="false" ht="15" hidden="false" customHeight="true" outlineLevel="0" collapsed="false">
      <c r="A1863" s="1060"/>
      <c r="B1863" s="1061"/>
      <c r="C1863" s="1061"/>
      <c r="D1863" s="887" t="s">
        <v>10</v>
      </c>
      <c r="E1863" s="887" t="s">
        <v>2192</v>
      </c>
      <c r="F1863" s="887"/>
      <c r="G1863" s="1062"/>
      <c r="H1863" s="1522"/>
      <c r="I1863" s="1078"/>
      <c r="J1863" s="1078"/>
      <c r="K1863" s="1064"/>
      <c r="L1863" s="1067"/>
      <c r="M1863" s="1066"/>
      <c r="N1863" s="1067"/>
      <c r="O1863" s="1452"/>
      <c r="P1863" s="888" t="s">
        <v>2197</v>
      </c>
      <c r="Q1863" s="889" t="s">
        <v>3052</v>
      </c>
      <c r="R1863" s="890" t="n">
        <v>738905.2275</v>
      </c>
      <c r="S1863" s="890" t="n">
        <f aca="false">R1863/H1860</f>
        <v>19995</v>
      </c>
      <c r="T1863" s="1452"/>
      <c r="U1863" s="1070"/>
    </row>
    <row r="1864" customFormat="false" ht="15" hidden="false" customHeight="true" outlineLevel="0" collapsed="false">
      <c r="A1864" s="847" t="n">
        <v>162</v>
      </c>
      <c r="B1864" s="847" t="s">
        <v>81</v>
      </c>
      <c r="C1864" s="847" t="n">
        <v>2024</v>
      </c>
      <c r="D1864" s="848" t="s">
        <v>10</v>
      </c>
      <c r="E1864" s="848" t="s">
        <v>2192</v>
      </c>
      <c r="F1864" s="848" t="s">
        <v>2199</v>
      </c>
      <c r="G1864" s="849"/>
      <c r="H1864" s="1523" t="n">
        <v>90.3</v>
      </c>
      <c r="I1864" s="1397"/>
      <c r="J1864" s="1353"/>
      <c r="K1864" s="852" t="n">
        <f aca="false">H1864*I1864/100</f>
        <v>0</v>
      </c>
      <c r="L1864" s="537" t="n">
        <v>39240</v>
      </c>
      <c r="M1864" s="1007" t="n">
        <v>1</v>
      </c>
      <c r="N1864" s="1143" t="n">
        <f aca="false">L1864*M1864</f>
        <v>39240</v>
      </c>
      <c r="O1864" s="1386" t="n">
        <f aca="false">H1864*N1864</f>
        <v>3543372</v>
      </c>
      <c r="P1864" s="856" t="s">
        <v>2200</v>
      </c>
      <c r="Q1864" s="857" t="s">
        <v>2535</v>
      </c>
      <c r="R1864" s="854" t="n">
        <v>3543372</v>
      </c>
      <c r="S1864" s="866" t="n">
        <f aca="false">R1864/H1864</f>
        <v>39240</v>
      </c>
      <c r="T1864" s="953" t="n">
        <f aca="false">O1864-R1864</f>
        <v>0</v>
      </c>
      <c r="U1864" s="537" t="n">
        <f aca="false">N1864-S1864</f>
        <v>0</v>
      </c>
    </row>
    <row r="1865" customFormat="false" ht="15" hidden="false" customHeight="true" outlineLevel="0" collapsed="false">
      <c r="A1865" s="903" t="n">
        <v>163</v>
      </c>
      <c r="B1865" s="903" t="s">
        <v>81</v>
      </c>
      <c r="C1865" s="903" t="n">
        <v>2024</v>
      </c>
      <c r="D1865" s="904" t="s">
        <v>10</v>
      </c>
      <c r="E1865" s="904" t="s">
        <v>2192</v>
      </c>
      <c r="F1865" s="904" t="s">
        <v>2199</v>
      </c>
      <c r="G1865" s="905"/>
      <c r="H1865" s="1524" t="n">
        <v>75.4</v>
      </c>
      <c r="I1865" s="1055"/>
      <c r="J1865" s="1372"/>
      <c r="K1865" s="939" t="n">
        <f aca="false">H1865*I1865/100</f>
        <v>0</v>
      </c>
      <c r="L1865" s="942" t="n">
        <v>20080</v>
      </c>
      <c r="M1865" s="1023" t="n">
        <v>1</v>
      </c>
      <c r="N1865" s="1137" t="n">
        <f aca="false">L1865*M1865</f>
        <v>20080</v>
      </c>
      <c r="O1865" s="1384" t="n">
        <f aca="false">H1865*N1865</f>
        <v>1514032</v>
      </c>
      <c r="P1865" s="910" t="s">
        <v>2200</v>
      </c>
      <c r="Q1865" s="911" t="s">
        <v>2564</v>
      </c>
      <c r="R1865" s="891" t="n">
        <v>1514032</v>
      </c>
      <c r="S1865" s="866" t="n">
        <f aca="false">R1865/H1865</f>
        <v>20080</v>
      </c>
      <c r="T1865" s="948" t="n">
        <f aca="false">O1865-R1865</f>
        <v>0</v>
      </c>
      <c r="U1865" s="942" t="n">
        <f aca="false">N1865-S1865</f>
        <v>0</v>
      </c>
    </row>
    <row r="1866" customFormat="false" ht="15" hidden="false" customHeight="true" outlineLevel="0" collapsed="false">
      <c r="A1866" s="1533" t="n">
        <v>126</v>
      </c>
      <c r="B1866" s="829" t="s">
        <v>86</v>
      </c>
      <c r="C1866" s="830" t="n">
        <v>2024</v>
      </c>
      <c r="D1866" s="831" t="s">
        <v>10</v>
      </c>
      <c r="E1866" s="831" t="s">
        <v>2192</v>
      </c>
      <c r="F1866" s="832" t="s">
        <v>1650</v>
      </c>
      <c r="G1866" s="833"/>
      <c r="H1866" s="1526" t="n">
        <v>93.5</v>
      </c>
      <c r="I1866" s="1020" t="n">
        <v>89</v>
      </c>
      <c r="J1866" s="1020"/>
      <c r="K1866" s="836" t="n">
        <f aca="false">H1866*I1866/100</f>
        <v>83.215</v>
      </c>
      <c r="L1866" s="837" t="n">
        <v>33118</v>
      </c>
      <c r="M1866" s="1003" t="n">
        <v>1</v>
      </c>
      <c r="N1866" s="837" t="n">
        <f aca="false">L1866*M1866</f>
        <v>33118</v>
      </c>
      <c r="O1866" s="943" t="n">
        <f aca="false">H1866*N1866</f>
        <v>3096533</v>
      </c>
      <c r="P1866" s="838" t="s">
        <v>2193</v>
      </c>
      <c r="Q1866" s="839" t="s">
        <v>3053</v>
      </c>
      <c r="R1866" s="840" t="n">
        <v>650760</v>
      </c>
      <c r="S1866" s="840" t="n">
        <f aca="false">R1866/H1866</f>
        <v>6960</v>
      </c>
      <c r="T1866" s="943" t="n">
        <f aca="false">O1866-R1866-R1867</f>
        <v>0</v>
      </c>
      <c r="U1866" s="842" t="n">
        <f aca="false">N1866-S1866-S1867</f>
        <v>0</v>
      </c>
    </row>
    <row r="1867" customFormat="false" ht="15" hidden="false" customHeight="true" outlineLevel="0" collapsed="false">
      <c r="A1867" s="1533"/>
      <c r="B1867" s="829"/>
      <c r="C1867" s="830"/>
      <c r="D1867" s="887" t="s">
        <v>10</v>
      </c>
      <c r="E1867" s="887" t="s">
        <v>2192</v>
      </c>
      <c r="F1867" s="832"/>
      <c r="G1867" s="833"/>
      <c r="H1867" s="1526"/>
      <c r="I1867" s="1020"/>
      <c r="J1867" s="1020"/>
      <c r="K1867" s="836"/>
      <c r="L1867" s="837"/>
      <c r="M1867" s="1003"/>
      <c r="N1867" s="837"/>
      <c r="O1867" s="943"/>
      <c r="P1867" s="888" t="s">
        <v>2232</v>
      </c>
      <c r="Q1867" s="889" t="s">
        <v>114</v>
      </c>
      <c r="R1867" s="890" t="n">
        <v>2445773</v>
      </c>
      <c r="S1867" s="846" t="n">
        <f aca="false">R1867/H1866</f>
        <v>26158</v>
      </c>
      <c r="T1867" s="943"/>
      <c r="U1867" s="842"/>
    </row>
    <row r="1868" customFormat="false" ht="15" hidden="false" customHeight="true" outlineLevel="0" collapsed="false">
      <c r="A1868" s="1533"/>
      <c r="B1868" s="847" t="s">
        <v>86</v>
      </c>
      <c r="C1868" s="847" t="n">
        <v>2024</v>
      </c>
      <c r="D1868" s="848" t="s">
        <v>10</v>
      </c>
      <c r="E1868" s="848" t="s">
        <v>2203</v>
      </c>
      <c r="F1868" s="848"/>
      <c r="G1868" s="849"/>
      <c r="H1868" s="1523" t="n">
        <v>65.3</v>
      </c>
      <c r="I1868" s="1397"/>
      <c r="J1868" s="1397"/>
      <c r="K1868" s="852" t="n">
        <f aca="false">H1868*I1868/100</f>
        <v>0</v>
      </c>
      <c r="L1868" s="537" t="n">
        <v>2773</v>
      </c>
      <c r="M1868" s="1007" t="n">
        <v>1</v>
      </c>
      <c r="N1868" s="1143" t="n">
        <f aca="false">L1868*M1868</f>
        <v>2773</v>
      </c>
      <c r="O1868" s="1386" t="n">
        <f aca="false">H1868*N1868</f>
        <v>181076.9</v>
      </c>
      <c r="P1868" s="856" t="s">
        <v>2200</v>
      </c>
      <c r="Q1868" s="857" t="s">
        <v>2946</v>
      </c>
      <c r="R1868" s="854" t="n">
        <v>181076.9</v>
      </c>
      <c r="S1868" s="854" t="n">
        <f aca="false">R1868/H1868</f>
        <v>2773</v>
      </c>
      <c r="T1868" s="953" t="n">
        <f aca="false">O1868-R1868</f>
        <v>0</v>
      </c>
      <c r="U1868" s="892" t="n">
        <f aca="false">N1868-S1868</f>
        <v>0</v>
      </c>
    </row>
    <row r="1869" customFormat="false" ht="15" hidden="false" customHeight="true" outlineLevel="0" collapsed="false">
      <c r="A1869" s="1533"/>
      <c r="B1869" s="859" t="s">
        <v>86</v>
      </c>
      <c r="C1869" s="859" t="n">
        <v>2024</v>
      </c>
      <c r="D1869" s="860" t="s">
        <v>10</v>
      </c>
      <c r="E1869" s="860" t="s">
        <v>2241</v>
      </c>
      <c r="F1869" s="860"/>
      <c r="G1869" s="861"/>
      <c r="H1869" s="1760" t="n">
        <v>25.2</v>
      </c>
      <c r="I1869" s="1429"/>
      <c r="J1869" s="1429"/>
      <c r="K1869" s="864" t="n">
        <f aca="false">H1869*I1869/100</f>
        <v>0</v>
      </c>
      <c r="L1869" s="543" t="n">
        <v>1382</v>
      </c>
      <c r="M1869" s="983" t="n">
        <v>1</v>
      </c>
      <c r="N1869" s="1299" t="n">
        <f aca="false">L1869*M1869</f>
        <v>1382</v>
      </c>
      <c r="O1869" s="1430" t="n">
        <f aca="false">H1869*N1869</f>
        <v>34826.4</v>
      </c>
      <c r="P1869" s="868" t="s">
        <v>2200</v>
      </c>
      <c r="Q1869" s="869" t="s">
        <v>2946</v>
      </c>
      <c r="R1869" s="866" t="n">
        <v>34826.4</v>
      </c>
      <c r="S1869" s="866" t="n">
        <f aca="false">R1869/H1869</f>
        <v>1382</v>
      </c>
      <c r="T1869" s="1449" t="n">
        <f aca="false">O1869-R1869</f>
        <v>0</v>
      </c>
      <c r="U1869" s="1135" t="n">
        <f aca="false">N1869-S1869</f>
        <v>0</v>
      </c>
    </row>
    <row r="1870" customFormat="false" ht="15" hidden="false" customHeight="true" outlineLevel="0" collapsed="false">
      <c r="A1870" s="1533"/>
      <c r="B1870" s="870" t="s">
        <v>86</v>
      </c>
      <c r="C1870" s="870" t="n">
        <v>2024</v>
      </c>
      <c r="D1870" s="871" t="s">
        <v>10</v>
      </c>
      <c r="E1870" s="871" t="s">
        <v>2205</v>
      </c>
      <c r="F1870" s="871"/>
      <c r="G1870" s="872"/>
      <c r="H1870" s="1525" t="n">
        <v>6.5</v>
      </c>
      <c r="I1870" s="1433"/>
      <c r="J1870" s="1433"/>
      <c r="K1870" s="875" t="n">
        <f aca="false">H1870*I1870/100</f>
        <v>0</v>
      </c>
      <c r="L1870" s="553" t="n">
        <v>1747</v>
      </c>
      <c r="M1870" s="1000" t="n">
        <v>1</v>
      </c>
      <c r="N1870" s="1301" t="n">
        <f aca="false">L1870*M1870</f>
        <v>1747</v>
      </c>
      <c r="O1870" s="1402" t="n">
        <f aca="false">H1870*N1870</f>
        <v>11355.5</v>
      </c>
      <c r="P1870" s="879" t="s">
        <v>2204</v>
      </c>
      <c r="Q1870" s="880" t="n">
        <v>28022025</v>
      </c>
      <c r="R1870" s="877" t="n">
        <v>11355.5</v>
      </c>
      <c r="S1870" s="877" t="n">
        <f aca="false">R1870/H1870</f>
        <v>1747</v>
      </c>
      <c r="T1870" s="1403" t="n">
        <f aca="false">O1870-R1870</f>
        <v>0</v>
      </c>
      <c r="U1870" s="1293" t="n">
        <f aca="false">N1870-S1870</f>
        <v>0</v>
      </c>
    </row>
    <row r="1871" customFormat="false" ht="15" hidden="false" customHeight="true" outlineLevel="0" collapsed="false">
      <c r="A1871" s="829" t="n">
        <v>127</v>
      </c>
      <c r="B1871" s="1173" t="s">
        <v>86</v>
      </c>
      <c r="C1871" s="1173" t="n">
        <v>2024</v>
      </c>
      <c r="D1871" s="831" t="s">
        <v>10</v>
      </c>
      <c r="E1871" s="831" t="s">
        <v>2192</v>
      </c>
      <c r="F1871" s="831" t="s">
        <v>1650</v>
      </c>
      <c r="G1871" s="1108"/>
      <c r="H1871" s="1759" t="n">
        <v>92.1</v>
      </c>
      <c r="I1871" s="1435" t="n">
        <v>86</v>
      </c>
      <c r="J1871" s="1367"/>
      <c r="K1871" s="1111" t="n">
        <f aca="false">H1871*I1871/100</f>
        <v>79.206</v>
      </c>
      <c r="L1871" s="1114" t="n">
        <v>29208</v>
      </c>
      <c r="M1871" s="1113" t="n">
        <v>1</v>
      </c>
      <c r="N1871" s="1408" t="n">
        <f aca="false">L1871*M1871</f>
        <v>29208</v>
      </c>
      <c r="O1871" s="1409" t="n">
        <f aca="false">H1871*N1871</f>
        <v>2690056.8</v>
      </c>
      <c r="P1871" s="838" t="s">
        <v>2232</v>
      </c>
      <c r="Q1871" s="839" t="s">
        <v>115</v>
      </c>
      <c r="R1871" s="840" t="n">
        <v>2690056.8</v>
      </c>
      <c r="S1871" s="886" t="n">
        <f aca="false">R1871/H1871</f>
        <v>29208</v>
      </c>
      <c r="T1871" s="1181" t="n">
        <f aca="false">O1871-R1871</f>
        <v>0</v>
      </c>
      <c r="U1871" s="1176" t="n">
        <f aca="false">N1871-S1871</f>
        <v>0</v>
      </c>
    </row>
    <row r="1872" customFormat="false" ht="15" hidden="false" customHeight="true" outlineLevel="0" collapsed="false">
      <c r="A1872" s="829"/>
      <c r="B1872" s="859" t="s">
        <v>86</v>
      </c>
      <c r="C1872" s="859" t="n">
        <v>2024</v>
      </c>
      <c r="D1872" s="860" t="s">
        <v>10</v>
      </c>
      <c r="E1872" s="860" t="s">
        <v>2203</v>
      </c>
      <c r="F1872" s="860"/>
      <c r="G1872" s="861"/>
      <c r="H1872" s="1760" t="n">
        <v>36.5</v>
      </c>
      <c r="I1872" s="1429"/>
      <c r="J1872" s="1771"/>
      <c r="K1872" s="864" t="n">
        <f aca="false">H1872*I1872/100</f>
        <v>0</v>
      </c>
      <c r="L1872" s="543" t="n">
        <v>2565</v>
      </c>
      <c r="M1872" s="983" t="n">
        <v>1</v>
      </c>
      <c r="N1872" s="1299" t="n">
        <f aca="false">L1872*M1872</f>
        <v>2565</v>
      </c>
      <c r="O1872" s="1430" t="n">
        <f aca="false">H1872*N1872</f>
        <v>93622.5</v>
      </c>
      <c r="P1872" s="868" t="s">
        <v>2200</v>
      </c>
      <c r="Q1872" s="869" t="s">
        <v>2946</v>
      </c>
      <c r="R1872" s="866" t="n">
        <v>93622.5</v>
      </c>
      <c r="S1872" s="866" t="n">
        <f aca="false">R1872/H1872</f>
        <v>2565</v>
      </c>
      <c r="T1872" s="1449" t="n">
        <f aca="false">O1872-R1872</f>
        <v>0</v>
      </c>
      <c r="U1872" s="1135" t="n">
        <f aca="false">N1872-S1872</f>
        <v>0</v>
      </c>
    </row>
    <row r="1873" customFormat="false" ht="15" hidden="false" customHeight="true" outlineLevel="0" collapsed="false">
      <c r="A1873" s="829"/>
      <c r="B1873" s="859" t="s">
        <v>86</v>
      </c>
      <c r="C1873" s="859" t="n">
        <v>2024</v>
      </c>
      <c r="D1873" s="860" t="s">
        <v>10</v>
      </c>
      <c r="E1873" s="860" t="s">
        <v>2241</v>
      </c>
      <c r="F1873" s="860"/>
      <c r="G1873" s="861"/>
      <c r="H1873" s="1760" t="n">
        <v>11.8</v>
      </c>
      <c r="I1873" s="1429"/>
      <c r="J1873" s="1771"/>
      <c r="K1873" s="864" t="n">
        <f aca="false">H1873*I1873/100</f>
        <v>0</v>
      </c>
      <c r="L1873" s="543" t="n">
        <v>2098</v>
      </c>
      <c r="M1873" s="983" t="n">
        <v>1</v>
      </c>
      <c r="N1873" s="1299" t="n">
        <f aca="false">L1873*M1873</f>
        <v>2098</v>
      </c>
      <c r="O1873" s="1430" t="n">
        <f aca="false">H1873*N1873</f>
        <v>24756.4</v>
      </c>
      <c r="P1873" s="868" t="s">
        <v>2204</v>
      </c>
      <c r="Q1873" s="869" t="n">
        <v>28022025</v>
      </c>
      <c r="R1873" s="866" t="n">
        <v>24756.4</v>
      </c>
      <c r="S1873" s="866" t="n">
        <f aca="false">R1873/H1873</f>
        <v>2098</v>
      </c>
      <c r="T1873" s="1449" t="n">
        <f aca="false">O1873-R1873</f>
        <v>0</v>
      </c>
      <c r="U1873" s="1135" t="n">
        <f aca="false">N1873-S1873</f>
        <v>0</v>
      </c>
    </row>
    <row r="1874" customFormat="false" ht="15" hidden="false" customHeight="true" outlineLevel="0" collapsed="false">
      <c r="A1874" s="829"/>
      <c r="B1874" s="893" t="s">
        <v>86</v>
      </c>
      <c r="C1874" s="893" t="n">
        <v>2024</v>
      </c>
      <c r="D1874" s="843" t="s">
        <v>10</v>
      </c>
      <c r="E1874" s="843" t="s">
        <v>2205</v>
      </c>
      <c r="F1874" s="843"/>
      <c r="G1874" s="894"/>
      <c r="H1874" s="1769" t="n">
        <v>10</v>
      </c>
      <c r="I1874" s="1532"/>
      <c r="J1874" s="1360"/>
      <c r="K1874" s="897" t="n">
        <f aca="false">H1874*I1874/100</f>
        <v>0</v>
      </c>
      <c r="L1874" s="589" t="n">
        <v>3456</v>
      </c>
      <c r="M1874" s="1106" t="n">
        <v>1</v>
      </c>
      <c r="N1874" s="1393" t="n">
        <f aca="false">L1874*M1874</f>
        <v>3456</v>
      </c>
      <c r="O1874" s="1411" t="n">
        <f aca="false">H1874*N1874</f>
        <v>34560</v>
      </c>
      <c r="P1874" s="844" t="s">
        <v>2204</v>
      </c>
      <c r="Q1874" s="845" t="n">
        <v>28022025</v>
      </c>
      <c r="R1874" s="846" t="n">
        <v>34560</v>
      </c>
      <c r="S1874" s="846" t="n">
        <f aca="false">R1874/H1874</f>
        <v>3456</v>
      </c>
      <c r="T1874" s="1183" t="n">
        <f aca="false">O1874-R1874</f>
        <v>0</v>
      </c>
      <c r="U1874" s="902" t="n">
        <f aca="false">N1874-S1874</f>
        <v>0</v>
      </c>
    </row>
    <row r="1875" customFormat="false" ht="15" hidden="false" customHeight="true" outlineLevel="0" collapsed="false">
      <c r="A1875" s="903" t="n">
        <v>167</v>
      </c>
      <c r="B1875" s="903" t="s">
        <v>81</v>
      </c>
      <c r="C1875" s="903" t="n">
        <v>2024</v>
      </c>
      <c r="D1875" s="904" t="s">
        <v>10</v>
      </c>
      <c r="E1875" s="904" t="s">
        <v>2192</v>
      </c>
      <c r="F1875" s="904" t="s">
        <v>2199</v>
      </c>
      <c r="G1875" s="905"/>
      <c r="H1875" s="1524" t="n">
        <v>96.9</v>
      </c>
      <c r="I1875" s="1055"/>
      <c r="J1875" s="1372"/>
      <c r="K1875" s="939" t="n">
        <f aca="false">H1875*I1875/100</f>
        <v>0</v>
      </c>
      <c r="L1875" s="942" t="n">
        <v>25340</v>
      </c>
      <c r="M1875" s="1023" t="n">
        <v>1</v>
      </c>
      <c r="N1875" s="1137" t="n">
        <f aca="false">L1875*M1875</f>
        <v>25340</v>
      </c>
      <c r="O1875" s="1384" t="n">
        <f aca="false">H1875*N1875</f>
        <v>2455446</v>
      </c>
      <c r="P1875" s="910"/>
      <c r="Q1875" s="911" t="s">
        <v>995</v>
      </c>
      <c r="R1875" s="891" t="n">
        <v>2455446</v>
      </c>
      <c r="S1875" s="891" t="n">
        <f aca="false">R1875/H1875</f>
        <v>25340</v>
      </c>
      <c r="T1875" s="948" t="n">
        <f aca="false">O1875-R1875</f>
        <v>0</v>
      </c>
      <c r="U1875" s="942" t="n">
        <f aca="false">N1875-S1875</f>
        <v>0</v>
      </c>
    </row>
    <row r="1876" customFormat="false" ht="15" hidden="false" customHeight="true" outlineLevel="0" collapsed="false">
      <c r="A1876" s="829" t="n">
        <v>183</v>
      </c>
      <c r="B1876" s="830" t="s">
        <v>2207</v>
      </c>
      <c r="C1876" s="830" t="n">
        <v>2024</v>
      </c>
      <c r="D1876" s="831" t="s">
        <v>10</v>
      </c>
      <c r="E1876" s="831" t="s">
        <v>2192</v>
      </c>
      <c r="F1876" s="832" t="s">
        <v>1651</v>
      </c>
      <c r="G1876" s="833"/>
      <c r="H1876" s="1526" t="n">
        <v>28.8944</v>
      </c>
      <c r="I1876" s="1020"/>
      <c r="J1876" s="1020"/>
      <c r="K1876" s="836" t="n">
        <f aca="false">H1876*I1876/100</f>
        <v>0</v>
      </c>
      <c r="L1876" s="837" t="n">
        <v>22522</v>
      </c>
      <c r="M1876" s="1003" t="n">
        <v>1</v>
      </c>
      <c r="N1876" s="837" t="n">
        <f aca="false">L1876*M1876</f>
        <v>22522</v>
      </c>
      <c r="O1876" s="943" t="n">
        <f aca="false">H1876*N1876</f>
        <v>650759.6768</v>
      </c>
      <c r="P1876" s="838" t="s">
        <v>2197</v>
      </c>
      <c r="Q1876" s="839" t="s">
        <v>3054</v>
      </c>
      <c r="R1876" s="840" t="n">
        <v>577743.528</v>
      </c>
      <c r="S1876" s="886" t="n">
        <f aca="false">R1876/H1876</f>
        <v>19995</v>
      </c>
      <c r="T1876" s="943" t="n">
        <f aca="false">O1876-R1876-R1877</f>
        <v>0</v>
      </c>
      <c r="U1876" s="842" t="n">
        <f aca="false">N1876-S1876-S1877</f>
        <v>0</v>
      </c>
    </row>
    <row r="1877" customFormat="false" ht="15" hidden="false" customHeight="true" outlineLevel="0" collapsed="false">
      <c r="A1877" s="829"/>
      <c r="B1877" s="830"/>
      <c r="C1877" s="830"/>
      <c r="D1877" s="887" t="s">
        <v>10</v>
      </c>
      <c r="E1877" s="887" t="s">
        <v>2192</v>
      </c>
      <c r="F1877" s="832"/>
      <c r="G1877" s="833"/>
      <c r="H1877" s="1526"/>
      <c r="I1877" s="1020"/>
      <c r="J1877" s="1020"/>
      <c r="K1877" s="836"/>
      <c r="L1877" s="837"/>
      <c r="M1877" s="1003"/>
      <c r="N1877" s="837"/>
      <c r="O1877" s="943"/>
      <c r="P1877" s="888" t="s">
        <v>2197</v>
      </c>
      <c r="Q1877" s="889" t="s">
        <v>3055</v>
      </c>
      <c r="R1877" s="890" t="n">
        <v>73016.1488</v>
      </c>
      <c r="S1877" s="846" t="n">
        <f aca="false">R1877/H1876</f>
        <v>2527</v>
      </c>
      <c r="T1877" s="943"/>
      <c r="U1877" s="842"/>
    </row>
    <row r="1878" customFormat="false" ht="15" hidden="false" customHeight="true" outlineLevel="0" collapsed="false">
      <c r="A1878" s="903" t="n">
        <v>169</v>
      </c>
      <c r="B1878" s="903" t="s">
        <v>81</v>
      </c>
      <c r="C1878" s="903" t="n">
        <v>2024</v>
      </c>
      <c r="D1878" s="904" t="s">
        <v>10</v>
      </c>
      <c r="E1878" s="904" t="s">
        <v>2192</v>
      </c>
      <c r="F1878" s="904" t="s">
        <v>2199</v>
      </c>
      <c r="G1878" s="905"/>
      <c r="H1878" s="1524" t="n">
        <v>98</v>
      </c>
      <c r="I1878" s="1055"/>
      <c r="J1878" s="1372"/>
      <c r="K1878" s="939" t="n">
        <f aca="false">H1878*I1878/100</f>
        <v>0</v>
      </c>
      <c r="L1878" s="942" t="n">
        <v>24200</v>
      </c>
      <c r="M1878" s="1023" t="n">
        <v>1</v>
      </c>
      <c r="N1878" s="1137" t="n">
        <f aca="false">L1878*M1878</f>
        <v>24200</v>
      </c>
      <c r="O1878" s="1384" t="n">
        <f aca="false">H1878*N1878</f>
        <v>2371600</v>
      </c>
      <c r="P1878" s="910" t="s">
        <v>2200</v>
      </c>
      <c r="Q1878" s="911" t="s">
        <v>2553</v>
      </c>
      <c r="R1878" s="891" t="n">
        <v>2371600</v>
      </c>
      <c r="S1878" s="886" t="n">
        <f aca="false">R1878/H1878</f>
        <v>24200</v>
      </c>
      <c r="T1878" s="948" t="n">
        <f aca="false">O1878-R1878</f>
        <v>0</v>
      </c>
      <c r="U1878" s="942" t="n">
        <f aca="false">N1878-S1878</f>
        <v>0</v>
      </c>
    </row>
    <row r="1879" customFormat="false" ht="15" hidden="false" customHeight="true" outlineLevel="0" collapsed="false">
      <c r="A1879" s="829" t="n">
        <v>128</v>
      </c>
      <c r="B1879" s="1173" t="s">
        <v>86</v>
      </c>
      <c r="C1879" s="1173" t="n">
        <v>2024</v>
      </c>
      <c r="D1879" s="831" t="s">
        <v>10</v>
      </c>
      <c r="E1879" s="831" t="s">
        <v>2192</v>
      </c>
      <c r="F1879" s="831" t="s">
        <v>1650</v>
      </c>
      <c r="G1879" s="1108"/>
      <c r="H1879" s="1759" t="n">
        <v>95.3</v>
      </c>
      <c r="I1879" s="1435" t="n">
        <v>88</v>
      </c>
      <c r="J1879" s="1367"/>
      <c r="K1879" s="1111" t="n">
        <f aca="false">H1879*I1879/100</f>
        <v>83.864</v>
      </c>
      <c r="L1879" s="1114" t="n">
        <v>35175</v>
      </c>
      <c r="M1879" s="1113" t="n">
        <v>1</v>
      </c>
      <c r="N1879" s="1408" t="n">
        <f aca="false">L1879*M1879</f>
        <v>35175</v>
      </c>
      <c r="O1879" s="1409" t="n">
        <f aca="false">H1879*N1879</f>
        <v>3352177.5</v>
      </c>
      <c r="P1879" s="838" t="s">
        <v>2232</v>
      </c>
      <c r="Q1879" s="839" t="s">
        <v>2385</v>
      </c>
      <c r="R1879" s="840" t="n">
        <v>3352177.5</v>
      </c>
      <c r="S1879" s="840" t="n">
        <f aca="false">R1879/H1879</f>
        <v>35175</v>
      </c>
      <c r="T1879" s="1181" t="n">
        <f aca="false">O1879-R1879</f>
        <v>0</v>
      </c>
      <c r="U1879" s="1176" t="n">
        <f aca="false">N1879-S1879</f>
        <v>0</v>
      </c>
    </row>
    <row r="1880" customFormat="false" ht="15" hidden="false" customHeight="true" outlineLevel="0" collapsed="false">
      <c r="A1880" s="829"/>
      <c r="B1880" s="859" t="s">
        <v>86</v>
      </c>
      <c r="C1880" s="859" t="n">
        <v>2024</v>
      </c>
      <c r="D1880" s="860" t="s">
        <v>10</v>
      </c>
      <c r="E1880" s="860" t="s">
        <v>2242</v>
      </c>
      <c r="F1880" s="860"/>
      <c r="G1880" s="861"/>
      <c r="H1880" s="1760" t="n">
        <v>72.3</v>
      </c>
      <c r="I1880" s="1429"/>
      <c r="J1880" s="1771"/>
      <c r="K1880" s="864" t="n">
        <f aca="false">H1880*I1880/100</f>
        <v>0</v>
      </c>
      <c r="L1880" s="543" t="n">
        <v>426</v>
      </c>
      <c r="M1880" s="983" t="n">
        <v>1</v>
      </c>
      <c r="N1880" s="1299" t="n">
        <f aca="false">L1880*M1880</f>
        <v>426</v>
      </c>
      <c r="O1880" s="1430" t="n">
        <f aca="false">H1880*N1880</f>
        <v>30799.8</v>
      </c>
      <c r="P1880" s="868" t="s">
        <v>2200</v>
      </c>
      <c r="Q1880" s="869" t="s">
        <v>2946</v>
      </c>
      <c r="R1880" s="866" t="n">
        <v>30799.8</v>
      </c>
      <c r="S1880" s="866" t="n">
        <f aca="false">R1880/H1880</f>
        <v>426</v>
      </c>
      <c r="T1880" s="1449" t="n">
        <f aca="false">O1880-R1880</f>
        <v>0</v>
      </c>
      <c r="U1880" s="1135" t="n">
        <f aca="false">N1880-S1880</f>
        <v>0</v>
      </c>
    </row>
    <row r="1881" customFormat="false" ht="15" hidden="false" customHeight="true" outlineLevel="0" collapsed="false">
      <c r="A1881" s="829"/>
      <c r="B1881" s="859" t="s">
        <v>86</v>
      </c>
      <c r="C1881" s="859" t="n">
        <v>2024</v>
      </c>
      <c r="D1881" s="860" t="s">
        <v>10</v>
      </c>
      <c r="E1881" s="860" t="s">
        <v>2203</v>
      </c>
      <c r="F1881" s="860"/>
      <c r="G1881" s="861"/>
      <c r="H1881" s="1760" t="n">
        <v>55.8</v>
      </c>
      <c r="I1881" s="1429"/>
      <c r="J1881" s="1771"/>
      <c r="K1881" s="864" t="n">
        <f aca="false">H1881*I1881/100</f>
        <v>0</v>
      </c>
      <c r="L1881" s="543" t="n">
        <v>1823</v>
      </c>
      <c r="M1881" s="983" t="n">
        <v>1</v>
      </c>
      <c r="N1881" s="1299" t="n">
        <f aca="false">L1881*M1881</f>
        <v>1823</v>
      </c>
      <c r="O1881" s="1430" t="n">
        <f aca="false">H1881*N1881</f>
        <v>101723.4</v>
      </c>
      <c r="P1881" s="868" t="s">
        <v>2200</v>
      </c>
      <c r="Q1881" s="869" t="s">
        <v>2946</v>
      </c>
      <c r="R1881" s="866" t="n">
        <v>101723.4</v>
      </c>
      <c r="S1881" s="866" t="n">
        <f aca="false">R1881/H1881</f>
        <v>1823</v>
      </c>
      <c r="T1881" s="1449" t="n">
        <f aca="false">O1881-R1881</f>
        <v>0</v>
      </c>
      <c r="U1881" s="1135" t="n">
        <f aca="false">N1881-S1881</f>
        <v>0</v>
      </c>
    </row>
    <row r="1882" customFormat="false" ht="15" hidden="false" customHeight="true" outlineLevel="0" collapsed="false">
      <c r="A1882" s="829"/>
      <c r="B1882" s="859" t="s">
        <v>86</v>
      </c>
      <c r="C1882" s="859" t="n">
        <v>2024</v>
      </c>
      <c r="D1882" s="860" t="s">
        <v>10</v>
      </c>
      <c r="E1882" s="860" t="s">
        <v>2241</v>
      </c>
      <c r="F1882" s="860"/>
      <c r="G1882" s="861"/>
      <c r="H1882" s="1760" t="n">
        <v>45.7</v>
      </c>
      <c r="I1882" s="1429"/>
      <c r="J1882" s="1771"/>
      <c r="K1882" s="864" t="n">
        <f aca="false">H1882*I1882/100</f>
        <v>0</v>
      </c>
      <c r="L1882" s="543" t="n">
        <v>637</v>
      </c>
      <c r="M1882" s="983" t="n">
        <v>1</v>
      </c>
      <c r="N1882" s="1299" t="n">
        <f aca="false">L1882*M1882</f>
        <v>637</v>
      </c>
      <c r="O1882" s="1430" t="n">
        <f aca="false">H1882*N1882</f>
        <v>29110.9</v>
      </c>
      <c r="P1882" s="868" t="s">
        <v>2200</v>
      </c>
      <c r="Q1882" s="869" t="s">
        <v>2946</v>
      </c>
      <c r="R1882" s="866" t="n">
        <v>29110.9</v>
      </c>
      <c r="S1882" s="866" t="n">
        <f aca="false">R1882/H1882</f>
        <v>637</v>
      </c>
      <c r="T1882" s="1449" t="n">
        <f aca="false">O1882-R1882</f>
        <v>0</v>
      </c>
      <c r="U1882" s="1135" t="n">
        <f aca="false">N1882-S1882</f>
        <v>0</v>
      </c>
    </row>
    <row r="1883" customFormat="false" ht="15" hidden="false" customHeight="true" outlineLevel="0" collapsed="false">
      <c r="A1883" s="829"/>
      <c r="B1883" s="893" t="s">
        <v>86</v>
      </c>
      <c r="C1883" s="893" t="n">
        <v>2024</v>
      </c>
      <c r="D1883" s="843" t="s">
        <v>10</v>
      </c>
      <c r="E1883" s="843" t="s">
        <v>2205</v>
      </c>
      <c r="F1883" s="843"/>
      <c r="G1883" s="894"/>
      <c r="H1883" s="1769" t="n">
        <v>18.7</v>
      </c>
      <c r="I1883" s="1532"/>
      <c r="J1883" s="1360"/>
      <c r="K1883" s="897" t="n">
        <f aca="false">H1883*I1883/100</f>
        <v>0</v>
      </c>
      <c r="L1883" s="589" t="n">
        <v>1504</v>
      </c>
      <c r="M1883" s="1106" t="n">
        <v>1</v>
      </c>
      <c r="N1883" s="1393" t="n">
        <f aca="false">L1883*M1883</f>
        <v>1504</v>
      </c>
      <c r="O1883" s="1411" t="n">
        <f aca="false">H1883*N1883</f>
        <v>28124.8</v>
      </c>
      <c r="P1883" s="844" t="s">
        <v>2200</v>
      </c>
      <c r="Q1883" s="845" t="s">
        <v>2946</v>
      </c>
      <c r="R1883" s="846" t="n">
        <v>28124.8</v>
      </c>
      <c r="S1883" s="846" t="n">
        <f aca="false">R1883/H1883</f>
        <v>1504</v>
      </c>
      <c r="T1883" s="1183" t="n">
        <f aca="false">O1883-R1883</f>
        <v>0</v>
      </c>
      <c r="U1883" s="902" t="n">
        <f aca="false">N1883-S1883</f>
        <v>0</v>
      </c>
    </row>
    <row r="1884" customFormat="false" ht="15" hidden="false" customHeight="true" outlineLevel="0" collapsed="false">
      <c r="A1884" s="1087" t="n">
        <v>63</v>
      </c>
      <c r="B1884" s="1072" t="s">
        <v>2230</v>
      </c>
      <c r="C1884" s="1072" t="n">
        <v>2024</v>
      </c>
      <c r="D1884" s="848" t="s">
        <v>10</v>
      </c>
      <c r="E1884" s="848" t="s">
        <v>2192</v>
      </c>
      <c r="F1884" s="887" t="s">
        <v>1650</v>
      </c>
      <c r="G1884" s="1062"/>
      <c r="H1884" s="1522" t="n">
        <v>93.607</v>
      </c>
      <c r="I1884" s="1078"/>
      <c r="J1884" s="1372"/>
      <c r="K1884" s="1064" t="n">
        <f aca="false">H1884*I1884/100</f>
        <v>0</v>
      </c>
      <c r="L1884" s="1067" t="n">
        <v>35740</v>
      </c>
      <c r="M1884" s="1066" t="n">
        <v>1</v>
      </c>
      <c r="N1884" s="1067" t="n">
        <f aca="false">L1884*M1884</f>
        <v>35740</v>
      </c>
      <c r="O1884" s="1452" t="n">
        <f aca="false">H1884*N1884</f>
        <v>3345514.18</v>
      </c>
      <c r="P1884" s="856" t="s">
        <v>2193</v>
      </c>
      <c r="Q1884" s="857" t="s">
        <v>3056</v>
      </c>
      <c r="R1884" s="854" t="n">
        <v>1006275.25</v>
      </c>
      <c r="S1884" s="854" t="n">
        <f aca="false">R1884/H1884</f>
        <v>10750</v>
      </c>
      <c r="T1884" s="1452" t="n">
        <f aca="false">O1884-R1884-R1885-R1886</f>
        <v>0</v>
      </c>
      <c r="U1884" s="1070" t="n">
        <f aca="false">N1884-S1884-S1885-S1886</f>
        <v>0</v>
      </c>
    </row>
    <row r="1885" customFormat="false" ht="15" hidden="false" customHeight="true" outlineLevel="0" collapsed="false">
      <c r="A1885" s="1087"/>
      <c r="B1885" s="1072"/>
      <c r="C1885" s="1072"/>
      <c r="D1885" s="848" t="s">
        <v>10</v>
      </c>
      <c r="E1885" s="848" t="s">
        <v>2192</v>
      </c>
      <c r="F1885" s="887"/>
      <c r="G1885" s="1062"/>
      <c r="H1885" s="1522"/>
      <c r="I1885" s="1078"/>
      <c r="J1885" s="1372"/>
      <c r="K1885" s="1064"/>
      <c r="L1885" s="1067"/>
      <c r="M1885" s="1066"/>
      <c r="N1885" s="1067"/>
      <c r="O1885" s="1452"/>
      <c r="P1885" s="856" t="s">
        <v>2197</v>
      </c>
      <c r="Q1885" s="857" t="s">
        <v>3057</v>
      </c>
      <c r="R1885" s="854" t="n">
        <v>1870267.86</v>
      </c>
      <c r="S1885" s="866" t="n">
        <f aca="false">R1885/H1884</f>
        <v>19980</v>
      </c>
      <c r="T1885" s="1452"/>
      <c r="U1885" s="1070"/>
    </row>
    <row r="1886" customFormat="false" ht="15" hidden="false" customHeight="true" outlineLevel="0" collapsed="false">
      <c r="A1886" s="1087"/>
      <c r="B1886" s="1072"/>
      <c r="C1886" s="1072"/>
      <c r="D1886" s="887" t="s">
        <v>10</v>
      </c>
      <c r="E1886" s="887" t="s">
        <v>2192</v>
      </c>
      <c r="F1886" s="887"/>
      <c r="G1886" s="1062"/>
      <c r="H1886" s="1522"/>
      <c r="I1886" s="1078"/>
      <c r="J1886" s="1319"/>
      <c r="K1886" s="1064"/>
      <c r="L1886" s="1067"/>
      <c r="M1886" s="1066"/>
      <c r="N1886" s="1067"/>
      <c r="O1886" s="1452"/>
      <c r="P1886" s="888" t="s">
        <v>2197</v>
      </c>
      <c r="Q1886" s="889" t="s">
        <v>3058</v>
      </c>
      <c r="R1886" s="890" t="n">
        <v>468971.07</v>
      </c>
      <c r="S1886" s="846" t="n">
        <f aca="false">R1886/H1884</f>
        <v>5010</v>
      </c>
      <c r="T1886" s="1452"/>
      <c r="U1886" s="1070"/>
    </row>
    <row r="1887" customFormat="false" ht="15" hidden="false" customHeight="true" outlineLevel="0" collapsed="false">
      <c r="A1887" s="829" t="n">
        <v>191</v>
      </c>
      <c r="B1887" s="830" t="s">
        <v>2207</v>
      </c>
      <c r="C1887" s="830" t="n">
        <v>2024</v>
      </c>
      <c r="D1887" s="831" t="s">
        <v>10</v>
      </c>
      <c r="E1887" s="831" t="s">
        <v>2192</v>
      </c>
      <c r="F1887" s="832" t="s">
        <v>1652</v>
      </c>
      <c r="G1887" s="833"/>
      <c r="H1887" s="1526" t="n">
        <v>38.141</v>
      </c>
      <c r="I1887" s="1020"/>
      <c r="J1887" s="1317"/>
      <c r="K1887" s="836" t="n">
        <f aca="false">H1887*I1887/100</f>
        <v>0</v>
      </c>
      <c r="L1887" s="837" t="n">
        <v>26383</v>
      </c>
      <c r="M1887" s="1003" t="n">
        <v>1</v>
      </c>
      <c r="N1887" s="837" t="n">
        <f aca="false">L1887*M1887</f>
        <v>26383</v>
      </c>
      <c r="O1887" s="943" t="n">
        <f aca="false">H1887*N1887</f>
        <v>1006274.003</v>
      </c>
      <c r="P1887" s="838" t="s">
        <v>2197</v>
      </c>
      <c r="Q1887" s="839" t="s">
        <v>3059</v>
      </c>
      <c r="R1887" s="840" t="n">
        <v>762629.295</v>
      </c>
      <c r="S1887" s="886" t="n">
        <f aca="false">R1887/H1887</f>
        <v>19995</v>
      </c>
      <c r="T1887" s="943" t="n">
        <f aca="false">O1887-R1887-R1888</f>
        <v>0</v>
      </c>
      <c r="U1887" s="842" t="n">
        <f aca="false">N1887-S1887-S1888</f>
        <v>0</v>
      </c>
    </row>
    <row r="1888" customFormat="false" ht="15" hidden="false" customHeight="true" outlineLevel="0" collapsed="false">
      <c r="A1888" s="829"/>
      <c r="B1888" s="830"/>
      <c r="C1888" s="830"/>
      <c r="D1888" s="887" t="s">
        <v>10</v>
      </c>
      <c r="E1888" s="887" t="s">
        <v>2192</v>
      </c>
      <c r="F1888" s="832"/>
      <c r="G1888" s="833"/>
      <c r="H1888" s="1526"/>
      <c r="I1888" s="1020"/>
      <c r="J1888" s="1319"/>
      <c r="K1888" s="836"/>
      <c r="L1888" s="837"/>
      <c r="M1888" s="1003"/>
      <c r="N1888" s="837"/>
      <c r="O1888" s="943"/>
      <c r="P1888" s="888" t="s">
        <v>2197</v>
      </c>
      <c r="Q1888" s="889" t="s">
        <v>3060</v>
      </c>
      <c r="R1888" s="890" t="n">
        <v>243644.708</v>
      </c>
      <c r="S1888" s="846" t="n">
        <f aca="false">R1888/H1887</f>
        <v>6388</v>
      </c>
      <c r="T1888" s="943"/>
      <c r="U1888" s="842"/>
    </row>
    <row r="1889" customFormat="false" ht="15" hidden="false" customHeight="true" outlineLevel="0" collapsed="false">
      <c r="A1889" s="1027" t="n">
        <v>64</v>
      </c>
      <c r="B1889" s="1028" t="s">
        <v>2230</v>
      </c>
      <c r="C1889" s="1028" t="n">
        <v>2024</v>
      </c>
      <c r="D1889" s="1607" t="s">
        <v>10</v>
      </c>
      <c r="E1889" s="1607" t="s">
        <v>2192</v>
      </c>
      <c r="F1889" s="1328" t="s">
        <v>1650</v>
      </c>
      <c r="G1889" s="1030"/>
      <c r="H1889" s="1528" t="n">
        <v>91.3129</v>
      </c>
      <c r="I1889" s="1517"/>
      <c r="J1889" s="1517"/>
      <c r="K1889" s="1033" t="n">
        <f aca="false">H1889*I1889/100</f>
        <v>0</v>
      </c>
      <c r="L1889" s="1036" t="n">
        <v>34470</v>
      </c>
      <c r="M1889" s="1035" t="n">
        <v>1</v>
      </c>
      <c r="N1889" s="1036" t="n">
        <f aca="false">L1889*M1889</f>
        <v>34470</v>
      </c>
      <c r="O1889" s="1547" t="n">
        <f aca="false">H1889*N1889</f>
        <v>3147555.663</v>
      </c>
      <c r="P1889" s="838" t="s">
        <v>2197</v>
      </c>
      <c r="Q1889" s="839" t="s">
        <v>3061</v>
      </c>
      <c r="R1889" s="840" t="n">
        <v>1824431.742</v>
      </c>
      <c r="S1889" s="886" t="n">
        <f aca="false">R1889/H1889</f>
        <v>19980</v>
      </c>
      <c r="T1889" s="1036" t="n">
        <f aca="false">O1889-R1889-R1891-R1890</f>
        <v>3.27418092638254E-011</v>
      </c>
      <c r="U1889" s="1037" t="n">
        <f aca="false">N1889-S1889-S1891-S1890</f>
        <v>0</v>
      </c>
    </row>
    <row r="1890" customFormat="false" ht="15" hidden="false" customHeight="true" outlineLevel="0" collapsed="false">
      <c r="A1890" s="1027"/>
      <c r="B1890" s="1028"/>
      <c r="C1890" s="1028"/>
      <c r="D1890" s="1480" t="s">
        <v>10</v>
      </c>
      <c r="E1890" s="1480" t="s">
        <v>2192</v>
      </c>
      <c r="F1890" s="1328"/>
      <c r="G1890" s="1030"/>
      <c r="H1890" s="1528"/>
      <c r="I1890" s="1517"/>
      <c r="J1890" s="1517"/>
      <c r="K1890" s="1033"/>
      <c r="L1890" s="1036"/>
      <c r="M1890" s="1035"/>
      <c r="N1890" s="1036"/>
      <c r="O1890" s="1547"/>
      <c r="P1890" s="910" t="s">
        <v>2197</v>
      </c>
      <c r="Q1890" s="911" t="s">
        <v>3062</v>
      </c>
      <c r="R1890" s="891" t="n">
        <v>19175.709</v>
      </c>
      <c r="S1890" s="866" t="n">
        <f aca="false">R1890/H1889</f>
        <v>210</v>
      </c>
      <c r="T1890" s="1036"/>
      <c r="U1890" s="1037"/>
    </row>
    <row r="1891" customFormat="false" ht="15" hidden="false" customHeight="true" outlineLevel="0" collapsed="false">
      <c r="A1891" s="1027"/>
      <c r="B1891" s="1028"/>
      <c r="C1891" s="1028"/>
      <c r="D1891" s="1351" t="s">
        <v>10</v>
      </c>
      <c r="E1891" s="1351" t="s">
        <v>2192</v>
      </c>
      <c r="F1891" s="1328"/>
      <c r="G1891" s="1030"/>
      <c r="H1891" s="1528"/>
      <c r="I1891" s="1517"/>
      <c r="J1891" s="1517"/>
      <c r="K1891" s="1033"/>
      <c r="L1891" s="1036"/>
      <c r="M1891" s="1035"/>
      <c r="N1891" s="1036"/>
      <c r="O1891" s="1547"/>
      <c r="P1891" s="879" t="s">
        <v>2197</v>
      </c>
      <c r="Q1891" s="880" t="s">
        <v>3063</v>
      </c>
      <c r="R1891" s="877" t="n">
        <v>1303948.212</v>
      </c>
      <c r="S1891" s="1668" t="n">
        <f aca="false">R1891/H1889</f>
        <v>14280</v>
      </c>
      <c r="T1891" s="1036"/>
      <c r="U1891" s="1037"/>
    </row>
    <row r="1892" customFormat="false" ht="15" hidden="false" customHeight="true" outlineLevel="0" collapsed="false">
      <c r="A1892" s="829" t="n">
        <v>132</v>
      </c>
      <c r="B1892" s="1173" t="s">
        <v>86</v>
      </c>
      <c r="C1892" s="1173" t="n">
        <v>2024</v>
      </c>
      <c r="D1892" s="831" t="s">
        <v>10</v>
      </c>
      <c r="E1892" s="831" t="s">
        <v>2192</v>
      </c>
      <c r="F1892" s="831" t="s">
        <v>1650</v>
      </c>
      <c r="G1892" s="1108"/>
      <c r="H1892" s="1759" t="n">
        <v>99.4</v>
      </c>
      <c r="I1892" s="1435"/>
      <c r="J1892" s="1435"/>
      <c r="K1892" s="1111" t="n">
        <f aca="false">H1892*I1892/100</f>
        <v>0</v>
      </c>
      <c r="L1892" s="1114" t="n">
        <v>23211</v>
      </c>
      <c r="M1892" s="1113" t="n">
        <v>1</v>
      </c>
      <c r="N1892" s="1408" t="n">
        <f aca="false">L1892*M1892</f>
        <v>23211</v>
      </c>
      <c r="O1892" s="1553" t="n">
        <f aca="false">H1892*N1892</f>
        <v>2307173.4</v>
      </c>
      <c r="P1892" s="838" t="s">
        <v>2232</v>
      </c>
      <c r="Q1892" s="839" t="s">
        <v>2404</v>
      </c>
      <c r="R1892" s="840" t="n">
        <v>2307173.4</v>
      </c>
      <c r="S1892" s="886" t="n">
        <f aca="false">R1892/H1892</f>
        <v>23211</v>
      </c>
      <c r="T1892" s="1115" t="n">
        <f aca="false">O1892-R1892</f>
        <v>0</v>
      </c>
      <c r="U1892" s="1176" t="n">
        <f aca="false">N1892-S1892</f>
        <v>0</v>
      </c>
    </row>
    <row r="1893" customFormat="false" ht="15" hidden="false" customHeight="true" outlineLevel="0" collapsed="false">
      <c r="A1893" s="829"/>
      <c r="B1893" s="870" t="s">
        <v>86</v>
      </c>
      <c r="C1893" s="870" t="n">
        <v>2024</v>
      </c>
      <c r="D1893" s="871" t="s">
        <v>10</v>
      </c>
      <c r="E1893" s="871" t="s">
        <v>2242</v>
      </c>
      <c r="F1893" s="871"/>
      <c r="G1893" s="872"/>
      <c r="H1893" s="1525" t="n">
        <v>85.5</v>
      </c>
      <c r="I1893" s="1433"/>
      <c r="J1893" s="1433"/>
      <c r="K1893" s="864" t="n">
        <f aca="false">H1893*I1893/100</f>
        <v>0</v>
      </c>
      <c r="L1893" s="553" t="n">
        <v>169</v>
      </c>
      <c r="M1893" s="1000" t="n">
        <v>1</v>
      </c>
      <c r="N1893" s="1299" t="n">
        <f aca="false">L1893*M1893</f>
        <v>169</v>
      </c>
      <c r="O1893" s="1348" t="n">
        <f aca="false">H1893*N1893</f>
        <v>14449.5</v>
      </c>
      <c r="P1893" s="879" t="s">
        <v>2200</v>
      </c>
      <c r="Q1893" s="880" t="s">
        <v>2946</v>
      </c>
      <c r="R1893" s="877" t="n">
        <v>14449.5</v>
      </c>
      <c r="S1893" s="866" t="n">
        <f aca="false">R1893/H1893</f>
        <v>169</v>
      </c>
      <c r="T1893" s="985" t="n">
        <f aca="false">O1893-R1893</f>
        <v>0</v>
      </c>
      <c r="U1893" s="1135" t="n">
        <f aca="false">N1893-S1893</f>
        <v>0</v>
      </c>
    </row>
    <row r="1894" customFormat="false" ht="15" hidden="false" customHeight="true" outlineLevel="0" collapsed="false">
      <c r="A1894" s="829"/>
      <c r="B1894" s="870" t="s">
        <v>86</v>
      </c>
      <c r="C1894" s="870" t="n">
        <v>2024</v>
      </c>
      <c r="D1894" s="871" t="s">
        <v>10</v>
      </c>
      <c r="E1894" s="871" t="s">
        <v>2203</v>
      </c>
      <c r="F1894" s="871"/>
      <c r="G1894" s="872"/>
      <c r="H1894" s="1525" t="n">
        <v>67.6</v>
      </c>
      <c r="I1894" s="1433"/>
      <c r="J1894" s="1433"/>
      <c r="K1894" s="864" t="n">
        <f aca="false">H1894*I1894/100</f>
        <v>0</v>
      </c>
      <c r="L1894" s="553" t="n">
        <v>251</v>
      </c>
      <c r="M1894" s="1000" t="n">
        <v>1</v>
      </c>
      <c r="N1894" s="1299" t="n">
        <f aca="false">L1894*M1894</f>
        <v>251</v>
      </c>
      <c r="O1894" s="1348" t="n">
        <f aca="false">H1894*N1894</f>
        <v>16967.6</v>
      </c>
      <c r="P1894" s="879" t="s">
        <v>2200</v>
      </c>
      <c r="Q1894" s="880" t="s">
        <v>2946</v>
      </c>
      <c r="R1894" s="877" t="n">
        <v>16967.6</v>
      </c>
      <c r="S1894" s="866" t="n">
        <f aca="false">R1894/H1894</f>
        <v>251</v>
      </c>
      <c r="T1894" s="985" t="n">
        <f aca="false">O1894-R1894</f>
        <v>0</v>
      </c>
      <c r="U1894" s="1135" t="n">
        <f aca="false">N1894-S1894</f>
        <v>0</v>
      </c>
    </row>
    <row r="1895" customFormat="false" ht="15" hidden="false" customHeight="true" outlineLevel="0" collapsed="false">
      <c r="A1895" s="829"/>
      <c r="B1895" s="893" t="s">
        <v>86</v>
      </c>
      <c r="C1895" s="893" t="n">
        <v>2024</v>
      </c>
      <c r="D1895" s="843" t="s">
        <v>10</v>
      </c>
      <c r="E1895" s="843" t="s">
        <v>2205</v>
      </c>
      <c r="F1895" s="843"/>
      <c r="G1895" s="894"/>
      <c r="H1895" s="1769" t="n">
        <v>44.3</v>
      </c>
      <c r="I1895" s="1532"/>
      <c r="J1895" s="1532"/>
      <c r="K1895" s="897" t="n">
        <f aca="false">H1895*I1895/100</f>
        <v>0</v>
      </c>
      <c r="L1895" s="589" t="n">
        <v>313</v>
      </c>
      <c r="M1895" s="1106" t="n">
        <v>1</v>
      </c>
      <c r="N1895" s="1393" t="n">
        <f aca="false">L1895*M1895</f>
        <v>313</v>
      </c>
      <c r="O1895" s="1500" t="n">
        <f aca="false">H1895*N1895</f>
        <v>13865.9</v>
      </c>
      <c r="P1895" s="844" t="s">
        <v>2200</v>
      </c>
      <c r="Q1895" s="845" t="s">
        <v>2946</v>
      </c>
      <c r="R1895" s="846" t="n">
        <v>13865.9</v>
      </c>
      <c r="S1895" s="846" t="n">
        <f aca="false">R1895/H1895</f>
        <v>313</v>
      </c>
      <c r="T1895" s="1441" t="n">
        <f aca="false">O1895-R1895</f>
        <v>0</v>
      </c>
      <c r="U1895" s="902" t="n">
        <f aca="false">N1895-S1895</f>
        <v>0</v>
      </c>
    </row>
    <row r="1896" customFormat="false" ht="15" hidden="false" customHeight="true" outlineLevel="0" collapsed="false">
      <c r="A1896" s="829" t="n">
        <v>176</v>
      </c>
      <c r="B1896" s="830" t="s">
        <v>81</v>
      </c>
      <c r="C1896" s="830" t="n">
        <v>2024</v>
      </c>
      <c r="D1896" s="831" t="s">
        <v>10</v>
      </c>
      <c r="E1896" s="831" t="s">
        <v>2192</v>
      </c>
      <c r="F1896" s="832" t="s">
        <v>2199</v>
      </c>
      <c r="G1896" s="833"/>
      <c r="H1896" s="1526" t="n">
        <v>97</v>
      </c>
      <c r="I1896" s="1020"/>
      <c r="J1896" s="1020"/>
      <c r="K1896" s="836" t="n">
        <f aca="false">H1896*I1896/100</f>
        <v>0</v>
      </c>
      <c r="L1896" s="837" t="n">
        <v>17160</v>
      </c>
      <c r="M1896" s="1003" t="n">
        <v>1</v>
      </c>
      <c r="N1896" s="837" t="n">
        <f aca="false">L1896*M1896</f>
        <v>17160</v>
      </c>
      <c r="O1896" s="1120" t="n">
        <f aca="false">H1896*N1896</f>
        <v>1664520</v>
      </c>
      <c r="P1896" s="838" t="s">
        <v>2232</v>
      </c>
      <c r="Q1896" s="839" t="s">
        <v>2955</v>
      </c>
      <c r="R1896" s="840" t="n">
        <v>832260</v>
      </c>
      <c r="S1896" s="840" t="n">
        <f aca="false">R1896/H1896</f>
        <v>8580</v>
      </c>
      <c r="T1896" s="841" t="n">
        <f aca="false">O1896-R1896-R1897</f>
        <v>0</v>
      </c>
      <c r="U1896" s="842" t="n">
        <f aca="false">N1896-S1896-S1897</f>
        <v>0</v>
      </c>
    </row>
    <row r="1897" customFormat="false" ht="15" hidden="false" customHeight="true" outlineLevel="0" collapsed="false">
      <c r="A1897" s="829"/>
      <c r="B1897" s="830"/>
      <c r="C1897" s="830"/>
      <c r="D1897" s="843" t="s">
        <v>10</v>
      </c>
      <c r="E1897" s="843" t="s">
        <v>2192</v>
      </c>
      <c r="F1897" s="832"/>
      <c r="G1897" s="833"/>
      <c r="H1897" s="1526"/>
      <c r="I1897" s="1020"/>
      <c r="J1897" s="1020"/>
      <c r="K1897" s="836"/>
      <c r="L1897" s="837"/>
      <c r="M1897" s="1003"/>
      <c r="N1897" s="837"/>
      <c r="O1897" s="1120"/>
      <c r="P1897" s="844" t="s">
        <v>2232</v>
      </c>
      <c r="Q1897" s="845" t="s">
        <v>3026</v>
      </c>
      <c r="R1897" s="846" t="n">
        <v>832260</v>
      </c>
      <c r="S1897" s="846" t="n">
        <f aca="false">R1897/H1896</f>
        <v>8580</v>
      </c>
      <c r="T1897" s="841"/>
      <c r="U1897" s="842"/>
    </row>
    <row r="1898" customFormat="false" ht="15" hidden="false" customHeight="true" outlineLevel="0" collapsed="false">
      <c r="A1898" s="1609" t="n">
        <v>189</v>
      </c>
      <c r="B1898" s="1610" t="s">
        <v>2207</v>
      </c>
      <c r="C1898" s="1610" t="n">
        <v>2024</v>
      </c>
      <c r="D1898" s="848" t="s">
        <v>10</v>
      </c>
      <c r="E1898" s="848" t="s">
        <v>2192</v>
      </c>
      <c r="F1898" s="904" t="s">
        <v>1652</v>
      </c>
      <c r="G1898" s="905"/>
      <c r="H1898" s="1524" t="n">
        <v>36.7743</v>
      </c>
      <c r="I1898" s="1055"/>
      <c r="J1898" s="1055"/>
      <c r="K1898" s="939" t="n">
        <f aca="false">H1898*I1898/100</f>
        <v>0</v>
      </c>
      <c r="L1898" s="942" t="n">
        <v>14025</v>
      </c>
      <c r="M1898" s="1023" t="n">
        <v>1</v>
      </c>
      <c r="N1898" s="942" t="n">
        <f aca="false">L1898*M1898</f>
        <v>14025</v>
      </c>
      <c r="O1898" s="948" t="n">
        <f aca="false">H1898*N1898</f>
        <v>515759.5575</v>
      </c>
      <c r="P1898" s="856" t="s">
        <v>2197</v>
      </c>
      <c r="Q1898" s="857" t="s">
        <v>3064</v>
      </c>
      <c r="R1898" s="854" t="n">
        <v>58838.88</v>
      </c>
      <c r="S1898" s="854" t="n">
        <f aca="false">R1898/H1898</f>
        <v>1600</v>
      </c>
      <c r="T1898" s="948" t="n">
        <f aca="false">O1898-R1898-R1899</f>
        <v>0</v>
      </c>
      <c r="U1898" s="1026" t="n">
        <f aca="false">N1898-S1898-S1899</f>
        <v>0</v>
      </c>
    </row>
    <row r="1899" customFormat="false" ht="15" hidden="false" customHeight="true" outlineLevel="0" collapsed="false">
      <c r="A1899" s="1609"/>
      <c r="B1899" s="1610"/>
      <c r="C1899" s="1610"/>
      <c r="D1899" s="871" t="s">
        <v>10</v>
      </c>
      <c r="E1899" s="871" t="s">
        <v>2192</v>
      </c>
      <c r="F1899" s="904"/>
      <c r="G1899" s="905"/>
      <c r="H1899" s="1524"/>
      <c r="I1899" s="1055"/>
      <c r="J1899" s="1055"/>
      <c r="K1899" s="939"/>
      <c r="L1899" s="942"/>
      <c r="M1899" s="1023"/>
      <c r="N1899" s="942"/>
      <c r="O1899" s="948"/>
      <c r="P1899" s="879" t="s">
        <v>2197</v>
      </c>
      <c r="Q1899" s="880" t="s">
        <v>3065</v>
      </c>
      <c r="R1899" s="877" t="n">
        <v>456920.6775</v>
      </c>
      <c r="S1899" s="877" t="n">
        <f aca="false">R1899/H1898</f>
        <v>12425</v>
      </c>
      <c r="T1899" s="948"/>
      <c r="U1899" s="1026"/>
    </row>
    <row r="1900" customFormat="false" ht="15" hidden="false" customHeight="true" outlineLevel="0" collapsed="false">
      <c r="A1900" s="829" t="n">
        <v>178</v>
      </c>
      <c r="B1900" s="830" t="s">
        <v>81</v>
      </c>
      <c r="C1900" s="830" t="n">
        <v>2024</v>
      </c>
      <c r="D1900" s="831" t="s">
        <v>10</v>
      </c>
      <c r="E1900" s="831" t="s">
        <v>2192</v>
      </c>
      <c r="F1900" s="832" t="s">
        <v>2199</v>
      </c>
      <c r="G1900" s="833"/>
      <c r="H1900" s="1526" t="n">
        <v>86.4</v>
      </c>
      <c r="I1900" s="1020"/>
      <c r="J1900" s="1020"/>
      <c r="K1900" s="836" t="n">
        <f aca="false">H1900*I1900/100</f>
        <v>0</v>
      </c>
      <c r="L1900" s="837" t="n">
        <v>40020</v>
      </c>
      <c r="M1900" s="1003" t="n">
        <v>1</v>
      </c>
      <c r="N1900" s="837" t="n">
        <f aca="false">L1900*M1900</f>
        <v>40020</v>
      </c>
      <c r="O1900" s="837" t="n">
        <f aca="false">H1900*N1900</f>
        <v>3457728</v>
      </c>
      <c r="P1900" s="838"/>
      <c r="Q1900" s="839" t="s">
        <v>995</v>
      </c>
      <c r="R1900" s="840" t="n">
        <v>2293920</v>
      </c>
      <c r="S1900" s="840" t="n">
        <f aca="false">R1900/H1900</f>
        <v>26550</v>
      </c>
      <c r="T1900" s="841" t="n">
        <f aca="false">O1900-R1900-R1901</f>
        <v>0</v>
      </c>
      <c r="U1900" s="842" t="n">
        <f aca="false">N1900-S1900-S1901</f>
        <v>0</v>
      </c>
    </row>
    <row r="1901" customFormat="false" ht="15" hidden="false" customHeight="true" outlineLevel="0" collapsed="false">
      <c r="A1901" s="829"/>
      <c r="B1901" s="830"/>
      <c r="C1901" s="830"/>
      <c r="D1901" s="843" t="s">
        <v>10</v>
      </c>
      <c r="E1901" s="843" t="s">
        <v>2192</v>
      </c>
      <c r="F1901" s="832"/>
      <c r="G1901" s="833"/>
      <c r="H1901" s="1526"/>
      <c r="I1901" s="1020"/>
      <c r="J1901" s="1020"/>
      <c r="K1901" s="836"/>
      <c r="L1901" s="837"/>
      <c r="M1901" s="1003"/>
      <c r="N1901" s="837"/>
      <c r="O1901" s="837"/>
      <c r="P1901" s="844" t="s">
        <v>2200</v>
      </c>
      <c r="Q1901" s="845" t="s">
        <v>2763</v>
      </c>
      <c r="R1901" s="846" t="n">
        <v>1163808</v>
      </c>
      <c r="S1901" s="846" t="n">
        <f aca="false">R1901/H1900</f>
        <v>13470</v>
      </c>
      <c r="T1901" s="841"/>
      <c r="U1901" s="842"/>
    </row>
    <row r="1902" customFormat="false" ht="15" hidden="false" customHeight="true" outlineLevel="0" collapsed="false">
      <c r="A1902" s="1060" t="s">
        <v>3066</v>
      </c>
      <c r="B1902" s="1061" t="s">
        <v>2230</v>
      </c>
      <c r="C1902" s="1061" t="n">
        <v>2024</v>
      </c>
      <c r="D1902" s="848" t="s">
        <v>10</v>
      </c>
      <c r="E1902" s="848" t="s">
        <v>2192</v>
      </c>
      <c r="F1902" s="1773" t="s">
        <v>1650</v>
      </c>
      <c r="G1902" s="1774"/>
      <c r="H1902" s="1522" t="n">
        <v>94.3112</v>
      </c>
      <c r="I1902" s="1078"/>
      <c r="J1902" s="1078"/>
      <c r="K1902" s="1064" t="n">
        <f aca="false">H1902*I1902/100</f>
        <v>0</v>
      </c>
      <c r="L1902" s="1067" t="n">
        <v>48494</v>
      </c>
      <c r="M1902" s="1066" t="n">
        <v>1</v>
      </c>
      <c r="N1902" s="1067" t="n">
        <f aca="false">L1902*M1902</f>
        <v>48494</v>
      </c>
      <c r="O1902" s="1452" t="n">
        <f aca="false">H1902*N1902</f>
        <v>4573527.3328</v>
      </c>
      <c r="P1902" s="856" t="s">
        <v>2197</v>
      </c>
      <c r="Q1902" s="857" t="s">
        <v>3067</v>
      </c>
      <c r="R1902" s="854" t="n">
        <v>1884337.776</v>
      </c>
      <c r="S1902" s="891" t="n">
        <f aca="false">R1902/H1902</f>
        <v>19980</v>
      </c>
      <c r="T1902" s="1452" t="n">
        <f aca="false">O1902-R1902-R1905-R1903-R1904</f>
        <v>0</v>
      </c>
      <c r="U1902" s="1070" t="n">
        <f aca="false">N1902-S1902-S1905-S1903-S1904</f>
        <v>0</v>
      </c>
    </row>
    <row r="1903" customFormat="false" ht="15" hidden="false" customHeight="true" outlineLevel="0" collapsed="false">
      <c r="A1903" s="1060"/>
      <c r="B1903" s="1061"/>
      <c r="C1903" s="1061"/>
      <c r="D1903" s="860" t="s">
        <v>10</v>
      </c>
      <c r="E1903" s="860" t="s">
        <v>2192</v>
      </c>
      <c r="F1903" s="1773"/>
      <c r="G1903" s="1774"/>
      <c r="H1903" s="1522"/>
      <c r="I1903" s="1078"/>
      <c r="J1903" s="1078"/>
      <c r="K1903" s="1064"/>
      <c r="L1903" s="1067"/>
      <c r="M1903" s="1066"/>
      <c r="N1903" s="1067"/>
      <c r="O1903" s="1452"/>
      <c r="P1903" s="868" t="s">
        <v>2197</v>
      </c>
      <c r="Q1903" s="869" t="s">
        <v>3068</v>
      </c>
      <c r="R1903" s="866" t="n">
        <v>1884337.776</v>
      </c>
      <c r="S1903" s="866" t="n">
        <f aca="false">R1903/H1902</f>
        <v>19980</v>
      </c>
      <c r="T1903" s="1452"/>
      <c r="U1903" s="1070"/>
    </row>
    <row r="1904" customFormat="false" ht="15" hidden="false" customHeight="true" outlineLevel="0" collapsed="false">
      <c r="A1904" s="1060"/>
      <c r="B1904" s="1061"/>
      <c r="C1904" s="1061"/>
      <c r="D1904" s="860" t="s">
        <v>10</v>
      </c>
      <c r="E1904" s="860" t="s">
        <v>2192</v>
      </c>
      <c r="F1904" s="1773"/>
      <c r="G1904" s="1774"/>
      <c r="H1904" s="1522"/>
      <c r="I1904" s="1078"/>
      <c r="J1904" s="1078"/>
      <c r="K1904" s="1064"/>
      <c r="L1904" s="1067"/>
      <c r="M1904" s="1066"/>
      <c r="N1904" s="1067"/>
      <c r="O1904" s="1452"/>
      <c r="P1904" s="868" t="s">
        <v>2197</v>
      </c>
      <c r="Q1904" s="869" t="s">
        <v>3069</v>
      </c>
      <c r="R1904" s="866" t="n">
        <v>397427.3968</v>
      </c>
      <c r="S1904" s="854" t="n">
        <f aca="false">R1904/H1902</f>
        <v>4214</v>
      </c>
      <c r="T1904" s="1452"/>
      <c r="U1904" s="1070"/>
    </row>
    <row r="1905" customFormat="false" ht="15" hidden="false" customHeight="true" outlineLevel="0" collapsed="false">
      <c r="A1905" s="1060"/>
      <c r="B1905" s="1061"/>
      <c r="C1905" s="1061"/>
      <c r="D1905" s="887" t="s">
        <v>10</v>
      </c>
      <c r="E1905" s="887" t="s">
        <v>2192</v>
      </c>
      <c r="F1905" s="1773"/>
      <c r="G1905" s="1531"/>
      <c r="H1905" s="1522"/>
      <c r="I1905" s="1078"/>
      <c r="J1905" s="1078"/>
      <c r="K1905" s="1064"/>
      <c r="L1905" s="1067"/>
      <c r="M1905" s="1066"/>
      <c r="N1905" s="1067"/>
      <c r="O1905" s="1452"/>
      <c r="P1905" s="888" t="s">
        <v>2197</v>
      </c>
      <c r="Q1905" s="1364" t="s">
        <v>3070</v>
      </c>
      <c r="R1905" s="890" t="n">
        <v>407424.384</v>
      </c>
      <c r="S1905" s="890" t="n">
        <f aca="false">R1905/H1902</f>
        <v>4320</v>
      </c>
      <c r="T1905" s="1452"/>
      <c r="U1905" s="1070"/>
    </row>
    <row r="1906" customFormat="false" ht="15" hidden="false" customHeight="true" outlineLevel="0" collapsed="false">
      <c r="A1906" s="829" t="s">
        <v>3071</v>
      </c>
      <c r="B1906" s="830" t="s">
        <v>2230</v>
      </c>
      <c r="C1906" s="830" t="n">
        <v>2024</v>
      </c>
      <c r="D1906" s="831" t="s">
        <v>10</v>
      </c>
      <c r="E1906" s="831" t="s">
        <v>2192</v>
      </c>
      <c r="F1906" s="832" t="s">
        <v>1650</v>
      </c>
      <c r="G1906" s="833"/>
      <c r="H1906" s="1526" t="n">
        <v>94.9101</v>
      </c>
      <c r="I1906" s="1317"/>
      <c r="J1906" s="1317"/>
      <c r="K1906" s="836" t="n">
        <f aca="false">H1906*I1906/100</f>
        <v>0</v>
      </c>
      <c r="L1906" s="837" t="n">
        <v>46841</v>
      </c>
      <c r="M1906" s="1003" t="n">
        <v>1</v>
      </c>
      <c r="N1906" s="837" t="n">
        <f aca="false">L1906*M1906</f>
        <v>46841</v>
      </c>
      <c r="O1906" s="943" t="n">
        <f aca="false">H1906*N1906</f>
        <v>4445683.9941</v>
      </c>
      <c r="P1906" s="884" t="s">
        <v>2197</v>
      </c>
      <c r="Q1906" s="885" t="s">
        <v>3072</v>
      </c>
      <c r="R1906" s="886" t="n">
        <v>1896303.798</v>
      </c>
      <c r="S1906" s="886" t="n">
        <f aca="false">R1906/H1906</f>
        <v>19980</v>
      </c>
      <c r="T1906" s="943" t="n">
        <f aca="false">O1906-R1906-R1909-R1907-R1908</f>
        <v>0</v>
      </c>
      <c r="U1906" s="842" t="n">
        <f aca="false">N1906-S1906-S1909-S1907-S1908</f>
        <v>0</v>
      </c>
    </row>
    <row r="1907" customFormat="false" ht="15" hidden="false" customHeight="true" outlineLevel="0" collapsed="false">
      <c r="A1907" s="829"/>
      <c r="B1907" s="830"/>
      <c r="C1907" s="830"/>
      <c r="D1907" s="860" t="s">
        <v>10</v>
      </c>
      <c r="E1907" s="860" t="s">
        <v>2192</v>
      </c>
      <c r="F1907" s="832"/>
      <c r="G1907" s="833"/>
      <c r="H1907" s="1526"/>
      <c r="I1907" s="1372"/>
      <c r="J1907" s="1372"/>
      <c r="K1907" s="836"/>
      <c r="L1907" s="837"/>
      <c r="M1907" s="1003"/>
      <c r="N1907" s="837"/>
      <c r="O1907" s="943"/>
      <c r="P1907" s="868" t="s">
        <v>2197</v>
      </c>
      <c r="Q1907" s="869" t="s">
        <v>3062</v>
      </c>
      <c r="R1907" s="866" t="n">
        <v>1876372.677</v>
      </c>
      <c r="S1907" s="866" t="n">
        <f aca="false">R1907/H1906</f>
        <v>19770</v>
      </c>
      <c r="T1907" s="943"/>
      <c r="U1907" s="842"/>
    </row>
    <row r="1908" customFormat="false" ht="15" hidden="false" customHeight="true" outlineLevel="0" collapsed="false">
      <c r="A1908" s="829"/>
      <c r="B1908" s="830"/>
      <c r="C1908" s="830"/>
      <c r="D1908" s="860" t="s">
        <v>10</v>
      </c>
      <c r="E1908" s="860" t="s">
        <v>2192</v>
      </c>
      <c r="F1908" s="832"/>
      <c r="G1908" s="833"/>
      <c r="H1908" s="1526"/>
      <c r="I1908" s="1372"/>
      <c r="J1908" s="1372"/>
      <c r="K1908" s="836"/>
      <c r="L1908" s="837"/>
      <c r="M1908" s="1003"/>
      <c r="N1908" s="837"/>
      <c r="O1908" s="943"/>
      <c r="P1908" s="868" t="s">
        <v>2197</v>
      </c>
      <c r="Q1908" s="869" t="s">
        <v>3073</v>
      </c>
      <c r="R1908" s="866" t="n">
        <v>348414.9771</v>
      </c>
      <c r="S1908" s="866" t="n">
        <f aca="false">R1908/H1906</f>
        <v>3671</v>
      </c>
      <c r="T1908" s="943"/>
      <c r="U1908" s="842"/>
    </row>
    <row r="1909" customFormat="false" ht="15" hidden="false" customHeight="true" outlineLevel="0" collapsed="false">
      <c r="A1909" s="829"/>
      <c r="B1909" s="830"/>
      <c r="C1909" s="830"/>
      <c r="D1909" s="887" t="s">
        <v>10</v>
      </c>
      <c r="E1909" s="887" t="s">
        <v>2192</v>
      </c>
      <c r="F1909" s="832"/>
      <c r="G1909" s="833"/>
      <c r="H1909" s="1526"/>
      <c r="I1909" s="1319"/>
      <c r="J1909" s="1319"/>
      <c r="K1909" s="836"/>
      <c r="L1909" s="837"/>
      <c r="M1909" s="1003"/>
      <c r="N1909" s="837"/>
      <c r="O1909" s="943"/>
      <c r="P1909" s="888" t="s">
        <v>2197</v>
      </c>
      <c r="Q1909" s="889" t="s">
        <v>3074</v>
      </c>
      <c r="R1909" s="890" t="n">
        <v>324592.542</v>
      </c>
      <c r="S1909" s="890" t="n">
        <f aca="false">R1909/H1906</f>
        <v>3420</v>
      </c>
      <c r="T1909" s="943"/>
      <c r="U1909" s="842"/>
    </row>
    <row r="1910" customFormat="false" ht="15" hidden="false" customHeight="true" outlineLevel="0" collapsed="false">
      <c r="A1910" s="1465" t="n">
        <v>139</v>
      </c>
      <c r="B1910" s="1173" t="s">
        <v>86</v>
      </c>
      <c r="C1910" s="1173" t="n">
        <v>2024</v>
      </c>
      <c r="D1910" s="831" t="s">
        <v>10</v>
      </c>
      <c r="E1910" s="831" t="s">
        <v>2192</v>
      </c>
      <c r="F1910" s="831" t="s">
        <v>1650</v>
      </c>
      <c r="G1910" s="1108"/>
      <c r="H1910" s="1759" t="n">
        <v>92.3</v>
      </c>
      <c r="I1910" s="1435"/>
      <c r="J1910" s="1435"/>
      <c r="K1910" s="1111" t="n">
        <f aca="false">H1910*I1910/100</f>
        <v>0</v>
      </c>
      <c r="L1910" s="1114" t="n">
        <v>13941</v>
      </c>
      <c r="M1910" s="1113" t="n">
        <v>1</v>
      </c>
      <c r="N1910" s="1408" t="n">
        <f aca="false">L1910*M1910</f>
        <v>13941</v>
      </c>
      <c r="O1910" s="1409" t="n">
        <f aca="false">H1910*N1910</f>
        <v>1286754.3</v>
      </c>
      <c r="P1910" s="838" t="s">
        <v>2232</v>
      </c>
      <c r="Q1910" s="839" t="s">
        <v>2964</v>
      </c>
      <c r="R1910" s="840" t="n">
        <v>1286754.3</v>
      </c>
      <c r="S1910" s="886" t="n">
        <f aca="false">R1910/H1910</f>
        <v>13941</v>
      </c>
      <c r="T1910" s="1181" t="n">
        <f aca="false">O1910-R1910</f>
        <v>0</v>
      </c>
      <c r="U1910" s="1176" t="n">
        <f aca="false">N1910-S1910</f>
        <v>0</v>
      </c>
    </row>
    <row r="1911" customFormat="false" ht="15" hidden="false" customHeight="true" outlineLevel="0" collapsed="false">
      <c r="A1911" s="1465"/>
      <c r="B1911" s="847" t="s">
        <v>86</v>
      </c>
      <c r="C1911" s="847" t="n">
        <v>2024</v>
      </c>
      <c r="D1911" s="848" t="s">
        <v>10</v>
      </c>
      <c r="E1911" s="848" t="s">
        <v>2203</v>
      </c>
      <c r="F1911" s="848"/>
      <c r="G1911" s="849"/>
      <c r="H1911" s="1523" t="n">
        <v>62.3</v>
      </c>
      <c r="I1911" s="1397"/>
      <c r="J1911" s="1397"/>
      <c r="K1911" s="864" t="n">
        <f aca="false">H1911*I1911/100</f>
        <v>0</v>
      </c>
      <c r="L1911" s="537" t="n">
        <v>1930</v>
      </c>
      <c r="M1911" s="1007" t="n">
        <v>1</v>
      </c>
      <c r="N1911" s="1299" t="n">
        <f aca="false">L1911*M1911</f>
        <v>1930</v>
      </c>
      <c r="O1911" s="1299" t="n">
        <f aca="false">H1911*N1911</f>
        <v>120239</v>
      </c>
      <c r="P1911" s="856" t="s">
        <v>2200</v>
      </c>
      <c r="Q1911" s="857" t="s">
        <v>2946</v>
      </c>
      <c r="R1911" s="854" t="n">
        <v>120239</v>
      </c>
      <c r="S1911" s="866" t="n">
        <f aca="false">R1911/H1911</f>
        <v>1930</v>
      </c>
      <c r="T1911" s="985" t="n">
        <f aca="false">O1911-R1911</f>
        <v>0</v>
      </c>
      <c r="U1911" s="1135" t="n">
        <f aca="false">N1911-S1911</f>
        <v>0</v>
      </c>
    </row>
    <row r="1912" customFormat="false" ht="15" hidden="false" customHeight="true" outlineLevel="0" collapsed="false">
      <c r="A1912" s="1465"/>
      <c r="B1912" s="847" t="s">
        <v>86</v>
      </c>
      <c r="C1912" s="847" t="n">
        <v>2024</v>
      </c>
      <c r="D1912" s="848" t="s">
        <v>10</v>
      </c>
      <c r="E1912" s="848" t="s">
        <v>2241</v>
      </c>
      <c r="F1912" s="848"/>
      <c r="G1912" s="849"/>
      <c r="H1912" s="1523" t="n">
        <v>24.8</v>
      </c>
      <c r="I1912" s="1397"/>
      <c r="J1912" s="1397"/>
      <c r="K1912" s="864" t="n">
        <f aca="false">H1912*I1912/100</f>
        <v>0</v>
      </c>
      <c r="L1912" s="537" t="n">
        <v>2498</v>
      </c>
      <c r="M1912" s="1007" t="n">
        <v>1</v>
      </c>
      <c r="N1912" s="1299" t="n">
        <f aca="false">L1912*M1912</f>
        <v>2498</v>
      </c>
      <c r="O1912" s="1299" t="n">
        <f aca="false">H1912*N1912</f>
        <v>61950.4</v>
      </c>
      <c r="P1912" s="856" t="s">
        <v>2200</v>
      </c>
      <c r="Q1912" s="857" t="s">
        <v>2946</v>
      </c>
      <c r="R1912" s="854" t="n">
        <v>61950.4</v>
      </c>
      <c r="S1912" s="866" t="n">
        <f aca="false">R1912/H1912</f>
        <v>2498</v>
      </c>
      <c r="T1912" s="985" t="n">
        <f aca="false">O1912-R1912</f>
        <v>0</v>
      </c>
      <c r="U1912" s="1135" t="n">
        <f aca="false">N1912-S1912</f>
        <v>0</v>
      </c>
    </row>
    <row r="1913" customFormat="false" ht="15" hidden="false" customHeight="true" outlineLevel="0" collapsed="false">
      <c r="A1913" s="1465"/>
      <c r="B1913" s="903" t="s">
        <v>86</v>
      </c>
      <c r="C1913" s="903" t="n">
        <v>2024</v>
      </c>
      <c r="D1913" s="904" t="s">
        <v>10</v>
      </c>
      <c r="E1913" s="904" t="s">
        <v>2205</v>
      </c>
      <c r="F1913" s="904"/>
      <c r="G1913" s="905"/>
      <c r="H1913" s="1524" t="n">
        <v>4.3</v>
      </c>
      <c r="I1913" s="1055"/>
      <c r="J1913" s="1055"/>
      <c r="K1913" s="875" t="n">
        <f aca="false">H1913*I1913/100</f>
        <v>0</v>
      </c>
      <c r="L1913" s="942" t="n">
        <v>1227</v>
      </c>
      <c r="M1913" s="1000" t="n">
        <v>1</v>
      </c>
      <c r="N1913" s="1301" t="n">
        <f aca="false">L1913*M1913</f>
        <v>1227</v>
      </c>
      <c r="O1913" s="1301" t="n">
        <f aca="false">H1913*N1913</f>
        <v>5276.1</v>
      </c>
      <c r="P1913" s="910" t="s">
        <v>2200</v>
      </c>
      <c r="Q1913" s="911" t="s">
        <v>2946</v>
      </c>
      <c r="R1913" s="891" t="n">
        <v>5276.1</v>
      </c>
      <c r="S1913" s="866" t="n">
        <f aca="false">R1913/H1913</f>
        <v>1227</v>
      </c>
      <c r="T1913" s="1404" t="n">
        <f aca="false">O1913-R1913</f>
        <v>0</v>
      </c>
      <c r="U1913" s="1293" t="n">
        <f aca="false">N1913-S1913</f>
        <v>0</v>
      </c>
    </row>
    <row r="1914" customFormat="false" ht="15" hidden="false" customHeight="true" outlineLevel="0" collapsed="false">
      <c r="A1914" s="829" t="n">
        <v>72</v>
      </c>
      <c r="B1914" s="830" t="s">
        <v>2230</v>
      </c>
      <c r="C1914" s="830" t="n">
        <v>2024</v>
      </c>
      <c r="D1914" s="831" t="s">
        <v>10</v>
      </c>
      <c r="E1914" s="831" t="s">
        <v>2192</v>
      </c>
      <c r="F1914" s="832" t="s">
        <v>1650</v>
      </c>
      <c r="G1914" s="833"/>
      <c r="H1914" s="1526" t="n">
        <v>96.0098</v>
      </c>
      <c r="I1914" s="1020"/>
      <c r="J1914" s="1020"/>
      <c r="K1914" s="836" t="n">
        <f aca="false">H1914*I1914/100</f>
        <v>0</v>
      </c>
      <c r="L1914" s="837" t="n">
        <v>21420</v>
      </c>
      <c r="M1914" s="1003" t="n">
        <v>1</v>
      </c>
      <c r="N1914" s="837" t="n">
        <f aca="false">L1914*M1914</f>
        <v>21420</v>
      </c>
      <c r="O1914" s="837" t="n">
        <f aca="false">H1914*N1914</f>
        <v>2056529.916</v>
      </c>
      <c r="P1914" s="838" t="s">
        <v>2197</v>
      </c>
      <c r="Q1914" s="839" t="s">
        <v>3075</v>
      </c>
      <c r="R1914" s="840" t="n">
        <v>1918275.804</v>
      </c>
      <c r="S1914" s="840" t="n">
        <f aca="false">R1914/H1914</f>
        <v>19980</v>
      </c>
      <c r="T1914" s="943" t="n">
        <f aca="false">O1914-R1914-R1915</f>
        <v>0</v>
      </c>
      <c r="U1914" s="842" t="n">
        <f aca="false">N1914-S1914-S1915</f>
        <v>0</v>
      </c>
    </row>
    <row r="1915" customFormat="false" ht="15" hidden="false" customHeight="true" outlineLevel="0" collapsed="false">
      <c r="A1915" s="829"/>
      <c r="B1915" s="830"/>
      <c r="C1915" s="830"/>
      <c r="D1915" s="843" t="s">
        <v>10</v>
      </c>
      <c r="E1915" s="843" t="s">
        <v>2192</v>
      </c>
      <c r="F1915" s="832"/>
      <c r="G1915" s="833"/>
      <c r="H1915" s="1526"/>
      <c r="I1915" s="1020"/>
      <c r="J1915" s="1020"/>
      <c r="K1915" s="836"/>
      <c r="L1915" s="837"/>
      <c r="M1915" s="1003"/>
      <c r="N1915" s="837"/>
      <c r="O1915" s="837"/>
      <c r="P1915" s="844" t="s">
        <v>2197</v>
      </c>
      <c r="Q1915" s="845" t="s">
        <v>3076</v>
      </c>
      <c r="R1915" s="846" t="n">
        <v>138254.112</v>
      </c>
      <c r="S1915" s="846" t="n">
        <f aca="false">R1915/H1914</f>
        <v>1440</v>
      </c>
      <c r="T1915" s="943"/>
      <c r="U1915" s="842"/>
    </row>
    <row r="1916" customFormat="false" ht="15" hidden="false" customHeight="true" outlineLevel="0" collapsed="false">
      <c r="A1916" s="903" t="n">
        <v>73</v>
      </c>
      <c r="B1916" s="903" t="s">
        <v>2230</v>
      </c>
      <c r="C1916" s="903" t="n">
        <v>2024</v>
      </c>
      <c r="D1916" s="904" t="s">
        <v>10</v>
      </c>
      <c r="E1916" s="904" t="s">
        <v>2192</v>
      </c>
      <c r="F1916" s="904" t="s">
        <v>1650</v>
      </c>
      <c r="G1916" s="905"/>
      <c r="H1916" s="1524" t="n">
        <v>94.2023</v>
      </c>
      <c r="I1916" s="1055"/>
      <c r="J1916" s="1055"/>
      <c r="K1916" s="939" t="n">
        <f aca="false">H1916*I1916/100</f>
        <v>0</v>
      </c>
      <c r="L1916" s="942" t="n">
        <v>21831</v>
      </c>
      <c r="M1916" s="1023" t="n">
        <v>1</v>
      </c>
      <c r="N1916" s="942" t="n">
        <f aca="false">L1916*M1916</f>
        <v>21831</v>
      </c>
      <c r="O1916" s="948" t="n">
        <f aca="false">H1916*N1916</f>
        <v>2056530.4113</v>
      </c>
      <c r="P1916" s="910" t="s">
        <v>2232</v>
      </c>
      <c r="Q1916" s="911" t="s">
        <v>3077</v>
      </c>
      <c r="R1916" s="891" t="n">
        <v>2056530.4113</v>
      </c>
      <c r="S1916" s="840" t="n">
        <f aca="false">R1916/H1916</f>
        <v>21831</v>
      </c>
      <c r="T1916" s="948" t="n">
        <f aca="false">O1916-R1916</f>
        <v>0</v>
      </c>
      <c r="U1916" s="942" t="n">
        <f aca="false">N1916-S1916</f>
        <v>0</v>
      </c>
    </row>
    <row r="1917" customFormat="false" ht="15" hidden="false" customHeight="true" outlineLevel="0" collapsed="false">
      <c r="A1917" s="829" t="n">
        <v>140</v>
      </c>
      <c r="B1917" s="1173" t="s">
        <v>86</v>
      </c>
      <c r="C1917" s="1173" t="n">
        <v>2024</v>
      </c>
      <c r="D1917" s="831" t="s">
        <v>10</v>
      </c>
      <c r="E1917" s="831" t="s">
        <v>2192</v>
      </c>
      <c r="F1917" s="831" t="s">
        <v>1650</v>
      </c>
      <c r="G1917" s="1108"/>
      <c r="H1917" s="1759" t="n">
        <v>95.3</v>
      </c>
      <c r="I1917" s="1435"/>
      <c r="J1917" s="1435"/>
      <c r="K1917" s="1111" t="n">
        <f aca="false">H1917*I1917/100</f>
        <v>0</v>
      </c>
      <c r="L1917" s="1114" t="n">
        <v>10270</v>
      </c>
      <c r="M1917" s="1113" t="n">
        <v>1</v>
      </c>
      <c r="N1917" s="1114" t="n">
        <f aca="false">L1917*M1917</f>
        <v>10270</v>
      </c>
      <c r="O1917" s="1181" t="n">
        <f aca="false">H1917*N1917</f>
        <v>978731</v>
      </c>
      <c r="P1917" s="838" t="s">
        <v>2232</v>
      </c>
      <c r="Q1917" s="839" t="s">
        <v>2964</v>
      </c>
      <c r="R1917" s="840" t="n">
        <v>978731</v>
      </c>
      <c r="S1917" s="840" t="n">
        <f aca="false">R1917/H1917</f>
        <v>10270</v>
      </c>
      <c r="T1917" s="1181" t="n">
        <f aca="false">O1917-R1917</f>
        <v>0</v>
      </c>
      <c r="U1917" s="1176" t="n">
        <f aca="false">N1917-S1917</f>
        <v>0</v>
      </c>
    </row>
    <row r="1918" customFormat="false" ht="15" hidden="false" customHeight="true" outlineLevel="0" collapsed="false">
      <c r="A1918" s="829"/>
      <c r="B1918" s="847" t="s">
        <v>86</v>
      </c>
      <c r="C1918" s="847" t="n">
        <v>2024</v>
      </c>
      <c r="D1918" s="848" t="s">
        <v>10</v>
      </c>
      <c r="E1918" s="848" t="s">
        <v>2242</v>
      </c>
      <c r="F1918" s="848"/>
      <c r="G1918" s="849"/>
      <c r="H1918" s="1766" t="n">
        <v>66</v>
      </c>
      <c r="I1918" s="1397"/>
      <c r="J1918" s="1397"/>
      <c r="K1918" s="852" t="n">
        <f aca="false">H1918*I1918/100</f>
        <v>0</v>
      </c>
      <c r="L1918" s="537" t="n">
        <v>198</v>
      </c>
      <c r="M1918" s="1007" t="n">
        <v>1</v>
      </c>
      <c r="N1918" s="537" t="n">
        <f aca="false">L1918*M1918</f>
        <v>198</v>
      </c>
      <c r="O1918" s="953" t="n">
        <f aca="false">H1918*N1918</f>
        <v>13068</v>
      </c>
      <c r="P1918" s="856" t="s">
        <v>2195</v>
      </c>
      <c r="Q1918" s="857" t="s">
        <v>1375</v>
      </c>
      <c r="R1918" s="854" t="n">
        <v>13068</v>
      </c>
      <c r="S1918" s="866" t="n">
        <f aca="false">R1918/H1918</f>
        <v>198</v>
      </c>
      <c r="T1918" s="953" t="n">
        <f aca="false">O1918-R1918</f>
        <v>0</v>
      </c>
      <c r="U1918" s="892" t="n">
        <f aca="false">N1918-S1918</f>
        <v>0</v>
      </c>
    </row>
    <row r="1919" customFormat="false" ht="15" hidden="false" customHeight="true" outlineLevel="0" collapsed="false">
      <c r="A1919" s="829"/>
      <c r="B1919" s="847" t="s">
        <v>86</v>
      </c>
      <c r="C1919" s="847" t="n">
        <v>2024</v>
      </c>
      <c r="D1919" s="848" t="s">
        <v>10</v>
      </c>
      <c r="E1919" s="848" t="s">
        <v>2203</v>
      </c>
      <c r="F1919" s="848"/>
      <c r="G1919" s="849"/>
      <c r="H1919" s="1523" t="n">
        <v>58.5</v>
      </c>
      <c r="I1919" s="1397"/>
      <c r="J1919" s="1397"/>
      <c r="K1919" s="852" t="n">
        <f aca="false">H1919*I1919/100</f>
        <v>0</v>
      </c>
      <c r="L1919" s="537" t="n">
        <v>895</v>
      </c>
      <c r="M1919" s="1007" t="n">
        <v>1</v>
      </c>
      <c r="N1919" s="537" t="n">
        <f aca="false">L1919*M1919</f>
        <v>895</v>
      </c>
      <c r="O1919" s="953" t="n">
        <f aca="false">H1919*N1919</f>
        <v>52357.5</v>
      </c>
      <c r="P1919" s="856" t="s">
        <v>2200</v>
      </c>
      <c r="Q1919" s="857" t="s">
        <v>2946</v>
      </c>
      <c r="R1919" s="854" t="n">
        <v>52357.5</v>
      </c>
      <c r="S1919" s="866" t="n">
        <f aca="false">R1919/H1919</f>
        <v>895</v>
      </c>
      <c r="T1919" s="953" t="n">
        <f aca="false">O1919-R1919</f>
        <v>0</v>
      </c>
      <c r="U1919" s="892" t="n">
        <f aca="false">N1919-S1919</f>
        <v>0</v>
      </c>
    </row>
    <row r="1920" customFormat="false" ht="15" hidden="false" customHeight="true" outlineLevel="0" collapsed="false">
      <c r="A1920" s="829"/>
      <c r="B1920" s="847" t="s">
        <v>86</v>
      </c>
      <c r="C1920" s="847" t="n">
        <v>2024</v>
      </c>
      <c r="D1920" s="848" t="s">
        <v>10</v>
      </c>
      <c r="E1920" s="848" t="s">
        <v>2241</v>
      </c>
      <c r="F1920" s="848"/>
      <c r="G1920" s="849"/>
      <c r="H1920" s="1523" t="n">
        <v>33</v>
      </c>
      <c r="I1920" s="1397"/>
      <c r="J1920" s="1397"/>
      <c r="K1920" s="852" t="n">
        <f aca="false">H1920*I1920/100</f>
        <v>0</v>
      </c>
      <c r="L1920" s="537" t="n">
        <v>1137</v>
      </c>
      <c r="M1920" s="1007" t="n">
        <v>1</v>
      </c>
      <c r="N1920" s="537" t="n">
        <f aca="false">L1920*M1920</f>
        <v>1137</v>
      </c>
      <c r="O1920" s="953" t="n">
        <f aca="false">H1920*N1920</f>
        <v>37521</v>
      </c>
      <c r="P1920" s="856" t="s">
        <v>2200</v>
      </c>
      <c r="Q1920" s="857" t="s">
        <v>2946</v>
      </c>
      <c r="R1920" s="854" t="n">
        <v>37521</v>
      </c>
      <c r="S1920" s="866" t="n">
        <f aca="false">R1920/H1920</f>
        <v>1137</v>
      </c>
      <c r="T1920" s="953" t="n">
        <f aca="false">O1920-R1920</f>
        <v>0</v>
      </c>
      <c r="U1920" s="892" t="n">
        <f aca="false">N1920-S1920</f>
        <v>0</v>
      </c>
    </row>
    <row r="1921" customFormat="false" ht="15" hidden="false" customHeight="true" outlineLevel="0" collapsed="false">
      <c r="A1921" s="829"/>
      <c r="B1921" s="1072" t="s">
        <v>86</v>
      </c>
      <c r="C1921" s="1072" t="n">
        <v>2024</v>
      </c>
      <c r="D1921" s="887" t="s">
        <v>10</v>
      </c>
      <c r="E1921" s="887" t="s">
        <v>2205</v>
      </c>
      <c r="F1921" s="887"/>
      <c r="G1921" s="1062"/>
      <c r="H1921" s="1522" t="n">
        <v>3.9</v>
      </c>
      <c r="I1921" s="1078"/>
      <c r="J1921" s="1078"/>
      <c r="K1921" s="1064" t="n">
        <f aca="false">H1921*I1921/100</f>
        <v>0</v>
      </c>
      <c r="L1921" s="1067" t="n">
        <v>1289</v>
      </c>
      <c r="M1921" s="1066" t="n">
        <v>1</v>
      </c>
      <c r="N1921" s="1067" t="n">
        <f aca="false">L1921*M1921</f>
        <v>1289</v>
      </c>
      <c r="O1921" s="1452" t="n">
        <f aca="false">H1921*N1921</f>
        <v>5027.1</v>
      </c>
      <c r="P1921" s="888" t="s">
        <v>2200</v>
      </c>
      <c r="Q1921" s="889" t="s">
        <v>2946</v>
      </c>
      <c r="R1921" s="890" t="n">
        <v>5027.1</v>
      </c>
      <c r="S1921" s="866" t="n">
        <f aca="false">R1921/H1921</f>
        <v>1289</v>
      </c>
      <c r="T1921" s="1452" t="n">
        <f aca="false">O1921-R1921</f>
        <v>0</v>
      </c>
      <c r="U1921" s="1070" t="n">
        <f aca="false">N1921-S1921</f>
        <v>0</v>
      </c>
    </row>
    <row r="1922" customFormat="false" ht="15" hidden="false" customHeight="true" outlineLevel="0" collapsed="false">
      <c r="A1922" s="882" t="n">
        <v>74</v>
      </c>
      <c r="B1922" s="883" t="s">
        <v>2230</v>
      </c>
      <c r="C1922" s="883" t="n">
        <v>2024</v>
      </c>
      <c r="D1922" s="831" t="s">
        <v>10</v>
      </c>
      <c r="E1922" s="831" t="s">
        <v>2192</v>
      </c>
      <c r="F1922" s="832" t="s">
        <v>1650</v>
      </c>
      <c r="G1922" s="833"/>
      <c r="H1922" s="1526" t="n">
        <v>93.5976</v>
      </c>
      <c r="I1922" s="1020"/>
      <c r="J1922" s="1020"/>
      <c r="K1922" s="836" t="n">
        <f aca="false">H1922*I1922/100</f>
        <v>0</v>
      </c>
      <c r="L1922" s="837" t="n">
        <v>31381</v>
      </c>
      <c r="M1922" s="1003" t="n">
        <v>1</v>
      </c>
      <c r="N1922" s="837" t="n">
        <f aca="false">L1922*M1922</f>
        <v>31381</v>
      </c>
      <c r="O1922" s="943" t="n">
        <f aca="false">H1922*N1922</f>
        <v>2937186.2856</v>
      </c>
      <c r="P1922" s="884" t="s">
        <v>2193</v>
      </c>
      <c r="Q1922" s="885" t="s">
        <v>2687</v>
      </c>
      <c r="R1922" s="886" t="n">
        <v>679705.7712</v>
      </c>
      <c r="S1922" s="886" t="n">
        <f aca="false">R1922/H1922</f>
        <v>7262</v>
      </c>
      <c r="T1922" s="943" t="n">
        <f aca="false">O1922-R1922-R1924-R1923</f>
        <v>0</v>
      </c>
      <c r="U1922" s="842" t="n">
        <f aca="false">N1922-S1922-S1924-S1923</f>
        <v>0</v>
      </c>
    </row>
    <row r="1923" customFormat="false" ht="15" hidden="false" customHeight="true" outlineLevel="0" collapsed="false">
      <c r="A1923" s="882"/>
      <c r="B1923" s="883"/>
      <c r="C1923" s="883"/>
      <c r="D1923" s="860" t="s">
        <v>10</v>
      </c>
      <c r="E1923" s="860" t="s">
        <v>2192</v>
      </c>
      <c r="F1923" s="832"/>
      <c r="G1923" s="833"/>
      <c r="H1923" s="1526"/>
      <c r="I1923" s="1020"/>
      <c r="J1923" s="1020"/>
      <c r="K1923" s="836"/>
      <c r="L1923" s="837"/>
      <c r="M1923" s="1003"/>
      <c r="N1923" s="837"/>
      <c r="O1923" s="943"/>
      <c r="P1923" s="868" t="s">
        <v>2232</v>
      </c>
      <c r="Q1923" s="869" t="s">
        <v>3077</v>
      </c>
      <c r="R1923" s="866" t="n">
        <v>751963.1184</v>
      </c>
      <c r="S1923" s="866" t="n">
        <f aca="false">R1923/H1922</f>
        <v>8034</v>
      </c>
      <c r="T1923" s="943"/>
      <c r="U1923" s="842"/>
    </row>
    <row r="1924" customFormat="false" ht="15" hidden="false" customHeight="true" outlineLevel="0" collapsed="false">
      <c r="A1924" s="882"/>
      <c r="B1924" s="883"/>
      <c r="C1924" s="883"/>
      <c r="D1924" s="887" t="s">
        <v>10</v>
      </c>
      <c r="E1924" s="887" t="s">
        <v>2192</v>
      </c>
      <c r="F1924" s="832"/>
      <c r="G1924" s="833"/>
      <c r="H1924" s="1526"/>
      <c r="I1924" s="1020"/>
      <c r="J1924" s="1020"/>
      <c r="K1924" s="836"/>
      <c r="L1924" s="837"/>
      <c r="M1924" s="1003"/>
      <c r="N1924" s="837"/>
      <c r="O1924" s="943"/>
      <c r="P1924" s="888" t="s">
        <v>2193</v>
      </c>
      <c r="Q1924" s="889" t="s">
        <v>2350</v>
      </c>
      <c r="R1924" s="890" t="n">
        <v>1505517.396</v>
      </c>
      <c r="S1924" s="890" t="n">
        <f aca="false">R1924/H1922</f>
        <v>16085</v>
      </c>
      <c r="T1924" s="943"/>
      <c r="U1924" s="842"/>
    </row>
    <row r="1925" customFormat="false" ht="15" hidden="false" customHeight="true" outlineLevel="0" collapsed="false">
      <c r="A1925" s="882" t="n">
        <v>214</v>
      </c>
      <c r="B1925" s="883" t="s">
        <v>2207</v>
      </c>
      <c r="C1925" s="883" t="n">
        <v>2024</v>
      </c>
      <c r="D1925" s="831" t="s">
        <v>10</v>
      </c>
      <c r="E1925" s="831" t="s">
        <v>2192</v>
      </c>
      <c r="F1925" s="832" t="s">
        <v>1651</v>
      </c>
      <c r="G1925" s="833"/>
      <c r="H1925" s="1526" t="n">
        <v>27.8796</v>
      </c>
      <c r="I1925" s="1020"/>
      <c r="J1925" s="1020"/>
      <c r="K1925" s="836" t="n">
        <f aca="false">H1925*I1925/100</f>
        <v>0</v>
      </c>
      <c r="L1925" s="837" t="n">
        <v>24380</v>
      </c>
      <c r="M1925" s="1003" t="n">
        <v>1</v>
      </c>
      <c r="N1925" s="837" t="n">
        <f aca="false">L1925*M1925</f>
        <v>24380</v>
      </c>
      <c r="O1925" s="943" t="n">
        <f aca="false">H1925*N1925</f>
        <v>679704.648</v>
      </c>
      <c r="P1925" s="838" t="s">
        <v>2197</v>
      </c>
      <c r="Q1925" s="839" t="s">
        <v>3078</v>
      </c>
      <c r="R1925" s="1537" t="n">
        <v>278517.204</v>
      </c>
      <c r="S1925" s="886" t="n">
        <f aca="false">R1925/H1925</f>
        <v>9990</v>
      </c>
      <c r="T1925" s="943" t="n">
        <f aca="false">O1925-R1925-R1926-R1927</f>
        <v>0</v>
      </c>
      <c r="U1925" s="842" t="n">
        <f aca="false">N1925-S1925-S1926-S1927</f>
        <v>0</v>
      </c>
    </row>
    <row r="1926" customFormat="false" ht="15" hidden="false" customHeight="true" outlineLevel="0" collapsed="false">
      <c r="A1926" s="882"/>
      <c r="B1926" s="883"/>
      <c r="C1926" s="883"/>
      <c r="D1926" s="848" t="s">
        <v>10</v>
      </c>
      <c r="E1926" s="848" t="s">
        <v>2192</v>
      </c>
      <c r="F1926" s="832"/>
      <c r="G1926" s="833"/>
      <c r="H1926" s="1526"/>
      <c r="I1926" s="1020"/>
      <c r="J1926" s="1020"/>
      <c r="K1926" s="836"/>
      <c r="L1926" s="837"/>
      <c r="M1926" s="1003"/>
      <c r="N1926" s="837"/>
      <c r="O1926" s="943"/>
      <c r="P1926" s="856" t="s">
        <v>2197</v>
      </c>
      <c r="Q1926" s="857" t="s">
        <v>3079</v>
      </c>
      <c r="R1926" s="1512" t="n">
        <v>278517.204</v>
      </c>
      <c r="S1926" s="866" t="n">
        <f aca="false">R1926/H1925</f>
        <v>9990</v>
      </c>
      <c r="T1926" s="943"/>
      <c r="U1926" s="842"/>
    </row>
    <row r="1927" customFormat="false" ht="15" hidden="false" customHeight="true" outlineLevel="0" collapsed="false">
      <c r="A1927" s="882"/>
      <c r="B1927" s="883"/>
      <c r="C1927" s="883"/>
      <c r="D1927" s="887" t="s">
        <v>10</v>
      </c>
      <c r="E1927" s="887" t="s">
        <v>2192</v>
      </c>
      <c r="F1927" s="832"/>
      <c r="G1927" s="833"/>
      <c r="H1927" s="1526"/>
      <c r="I1927" s="1020"/>
      <c r="J1927" s="1020"/>
      <c r="K1927" s="836"/>
      <c r="L1927" s="837"/>
      <c r="M1927" s="1003"/>
      <c r="N1927" s="837"/>
      <c r="O1927" s="943"/>
      <c r="P1927" s="888" t="s">
        <v>2197</v>
      </c>
      <c r="Q1927" s="889" t="s">
        <v>3080</v>
      </c>
      <c r="R1927" s="890" t="n">
        <v>122670.24</v>
      </c>
      <c r="S1927" s="1179" t="n">
        <f aca="false">R1927/H1925</f>
        <v>4400</v>
      </c>
      <c r="T1927" s="943"/>
      <c r="U1927" s="842"/>
    </row>
    <row r="1928" customFormat="false" ht="15" hidden="false" customHeight="true" outlineLevel="0" collapsed="false">
      <c r="A1928" s="1027" t="n">
        <v>219</v>
      </c>
      <c r="B1928" s="1028" t="s">
        <v>2207</v>
      </c>
      <c r="C1928" s="1028" t="n">
        <v>2024</v>
      </c>
      <c r="D1928" s="831" t="s">
        <v>10</v>
      </c>
      <c r="E1928" s="831" t="s">
        <v>2192</v>
      </c>
      <c r="F1928" s="1328" t="s">
        <v>1652</v>
      </c>
      <c r="G1928" s="1030"/>
      <c r="H1928" s="1528" t="n">
        <v>36.5425</v>
      </c>
      <c r="I1928" s="1517"/>
      <c r="J1928" s="1517"/>
      <c r="K1928" s="1033" t="n">
        <f aca="false">H1928*I1928/100</f>
        <v>0</v>
      </c>
      <c r="L1928" s="1036" t="n">
        <v>41199</v>
      </c>
      <c r="M1928" s="1035" t="n">
        <v>1</v>
      </c>
      <c r="N1928" s="1036" t="n">
        <f aca="false">L1928*M1928</f>
        <v>41199</v>
      </c>
      <c r="O1928" s="1547" t="n">
        <f aca="false">H1928*N1928</f>
        <v>1505514.4575</v>
      </c>
      <c r="P1928" s="838" t="s">
        <v>2197</v>
      </c>
      <c r="Q1928" s="839" t="s">
        <v>3081</v>
      </c>
      <c r="R1928" s="840" t="n">
        <v>730667.2875</v>
      </c>
      <c r="S1928" s="886" t="n">
        <f aca="false">R1928/H1928</f>
        <v>19995</v>
      </c>
      <c r="T1928" s="1547" t="n">
        <f aca="false">O1928-R1928-R1929-R1930</f>
        <v>0</v>
      </c>
      <c r="U1928" s="1037" t="n">
        <f aca="false">N1928-S1928-S1929-S1930</f>
        <v>0</v>
      </c>
    </row>
    <row r="1929" customFormat="false" ht="15" hidden="false" customHeight="true" outlineLevel="0" collapsed="false">
      <c r="A1929" s="1027"/>
      <c r="B1929" s="1028"/>
      <c r="C1929" s="1028"/>
      <c r="D1929" s="848" t="s">
        <v>10</v>
      </c>
      <c r="E1929" s="848" t="s">
        <v>2192</v>
      </c>
      <c r="F1929" s="1328"/>
      <c r="G1929" s="1030"/>
      <c r="H1929" s="1528"/>
      <c r="I1929" s="1517"/>
      <c r="J1929" s="1517"/>
      <c r="K1929" s="1033"/>
      <c r="L1929" s="1036"/>
      <c r="M1929" s="1035"/>
      <c r="N1929" s="1036"/>
      <c r="O1929" s="1547"/>
      <c r="P1929" s="856" t="s">
        <v>2197</v>
      </c>
      <c r="Q1929" s="857" t="s">
        <v>3082</v>
      </c>
      <c r="R1929" s="854" t="n">
        <v>64132.0875</v>
      </c>
      <c r="S1929" s="866" t="n">
        <f aca="false">R1929/H1928</f>
        <v>1755</v>
      </c>
      <c r="T1929" s="1547"/>
      <c r="U1929" s="1037"/>
    </row>
    <row r="1930" customFormat="false" ht="15" hidden="false" customHeight="true" outlineLevel="0" collapsed="false">
      <c r="A1930" s="1027"/>
      <c r="B1930" s="1028"/>
      <c r="C1930" s="1028"/>
      <c r="D1930" s="904" t="s">
        <v>10</v>
      </c>
      <c r="E1930" s="904" t="s">
        <v>2192</v>
      </c>
      <c r="F1930" s="1328"/>
      <c r="G1930" s="1030"/>
      <c r="H1930" s="1528"/>
      <c r="I1930" s="1517"/>
      <c r="J1930" s="1517"/>
      <c r="K1930" s="1033"/>
      <c r="L1930" s="1036"/>
      <c r="M1930" s="1035"/>
      <c r="N1930" s="1036"/>
      <c r="O1930" s="1547"/>
      <c r="P1930" s="910" t="s">
        <v>2197</v>
      </c>
      <c r="Q1930" s="911" t="s">
        <v>3083</v>
      </c>
      <c r="R1930" s="891" t="n">
        <v>710715.0825</v>
      </c>
      <c r="S1930" s="891" t="n">
        <f aca="false">R1930/H1928</f>
        <v>19449</v>
      </c>
      <c r="T1930" s="1547"/>
      <c r="U1930" s="1037"/>
    </row>
    <row r="1931" customFormat="false" ht="15" hidden="false" customHeight="true" outlineLevel="0" collapsed="false">
      <c r="A1931" s="882" t="s">
        <v>3077</v>
      </c>
      <c r="B1931" s="830" t="s">
        <v>2230</v>
      </c>
      <c r="C1931" s="830" t="n">
        <v>2024</v>
      </c>
      <c r="D1931" s="831" t="s">
        <v>10</v>
      </c>
      <c r="E1931" s="831" t="s">
        <v>2192</v>
      </c>
      <c r="F1931" s="832" t="s">
        <v>1650</v>
      </c>
      <c r="G1931" s="833"/>
      <c r="H1931" s="1526" t="n">
        <v>94.0396</v>
      </c>
      <c r="I1931" s="1020"/>
      <c r="J1931" s="1020"/>
      <c r="K1931" s="836" t="n">
        <f aca="false">H1931*I1931/100</f>
        <v>0</v>
      </c>
      <c r="L1931" s="837" t="n">
        <v>29865</v>
      </c>
      <c r="M1931" s="1003" t="n">
        <v>1</v>
      </c>
      <c r="N1931" s="837" t="n">
        <f aca="false">L1931*M1931</f>
        <v>29865</v>
      </c>
      <c r="O1931" s="943" t="n">
        <f aca="false">H1931*N1931</f>
        <v>2808492.654</v>
      </c>
      <c r="P1931" s="838" t="s">
        <v>2193</v>
      </c>
      <c r="Q1931" s="839" t="s">
        <v>2845</v>
      </c>
      <c r="R1931" s="840" t="n">
        <v>404370.28</v>
      </c>
      <c r="S1931" s="840" t="n">
        <f aca="false">R1931/H1931</f>
        <v>4300</v>
      </c>
      <c r="T1931" s="943" t="n">
        <f aca="false">O1931-R1931-R1932-R1933-R1935-R1936-R1934</f>
        <v>0</v>
      </c>
      <c r="U1931" s="842" t="n">
        <f aca="false">N1931-S1931-S1932-S1933-S1935-S1936-S1934</f>
        <v>0</v>
      </c>
    </row>
    <row r="1932" customFormat="false" ht="15" hidden="false" customHeight="true" outlineLevel="0" collapsed="false">
      <c r="A1932" s="882"/>
      <c r="B1932" s="830"/>
      <c r="C1932" s="830"/>
      <c r="D1932" s="860" t="s">
        <v>10</v>
      </c>
      <c r="E1932" s="860" t="s">
        <v>2192</v>
      </c>
      <c r="F1932" s="832"/>
      <c r="G1932" s="833"/>
      <c r="H1932" s="1526"/>
      <c r="I1932" s="1020"/>
      <c r="J1932" s="1020"/>
      <c r="K1932" s="836"/>
      <c r="L1932" s="837"/>
      <c r="M1932" s="1003"/>
      <c r="N1932" s="837"/>
      <c r="O1932" s="943"/>
      <c r="P1932" s="868" t="s">
        <v>2193</v>
      </c>
      <c r="Q1932" s="869" t="s">
        <v>2846</v>
      </c>
      <c r="R1932" s="866" t="n">
        <v>272714.84</v>
      </c>
      <c r="S1932" s="866" t="n">
        <f aca="false">R1932/H1931</f>
        <v>2900</v>
      </c>
      <c r="T1932" s="943"/>
      <c r="U1932" s="842"/>
    </row>
    <row r="1933" customFormat="false" ht="15" hidden="false" customHeight="true" outlineLevel="0" collapsed="false">
      <c r="A1933" s="882"/>
      <c r="B1933" s="830"/>
      <c r="C1933" s="830"/>
      <c r="D1933" s="860" t="s">
        <v>10</v>
      </c>
      <c r="E1933" s="860" t="s">
        <v>2192</v>
      </c>
      <c r="F1933" s="832"/>
      <c r="G1933" s="833"/>
      <c r="H1933" s="1526"/>
      <c r="I1933" s="1020"/>
      <c r="J1933" s="1020"/>
      <c r="K1933" s="836"/>
      <c r="L1933" s="837"/>
      <c r="M1933" s="1003"/>
      <c r="N1933" s="837"/>
      <c r="O1933" s="943"/>
      <c r="P1933" s="868" t="s">
        <v>2193</v>
      </c>
      <c r="Q1933" s="869" t="s">
        <v>3084</v>
      </c>
      <c r="R1933" s="866" t="n">
        <v>385562.36</v>
      </c>
      <c r="S1933" s="866" t="n">
        <f aca="false">R1933/H1931</f>
        <v>4100</v>
      </c>
      <c r="T1933" s="943"/>
      <c r="U1933" s="842"/>
    </row>
    <row r="1934" customFormat="false" ht="15" hidden="false" customHeight="true" outlineLevel="0" collapsed="false">
      <c r="A1934" s="882"/>
      <c r="B1934" s="830"/>
      <c r="C1934" s="830"/>
      <c r="D1934" s="860" t="s">
        <v>10</v>
      </c>
      <c r="E1934" s="860" t="s">
        <v>2192</v>
      </c>
      <c r="F1934" s="832"/>
      <c r="G1934" s="833"/>
      <c r="H1934" s="1526"/>
      <c r="I1934" s="1020"/>
      <c r="J1934" s="1020"/>
      <c r="K1934" s="836"/>
      <c r="L1934" s="837"/>
      <c r="M1934" s="1003"/>
      <c r="N1934" s="837"/>
      <c r="O1934" s="943"/>
      <c r="P1934" s="868" t="s">
        <v>2193</v>
      </c>
      <c r="Q1934" s="869" t="s">
        <v>2269</v>
      </c>
      <c r="R1934" s="866" t="n">
        <v>789462.442</v>
      </c>
      <c r="S1934" s="866" t="n">
        <f aca="false">R1934/H1931</f>
        <v>8395</v>
      </c>
      <c r="T1934" s="943"/>
      <c r="U1934" s="842"/>
    </row>
    <row r="1935" customFormat="false" ht="15" hidden="false" customHeight="true" outlineLevel="0" collapsed="false">
      <c r="A1935" s="882"/>
      <c r="B1935" s="830"/>
      <c r="C1935" s="830"/>
      <c r="D1935" s="860" t="s">
        <v>10</v>
      </c>
      <c r="E1935" s="860" t="s">
        <v>2192</v>
      </c>
      <c r="F1935" s="832"/>
      <c r="G1935" s="833"/>
      <c r="H1935" s="1526"/>
      <c r="I1935" s="1020"/>
      <c r="J1935" s="1020"/>
      <c r="K1935" s="836"/>
      <c r="L1935" s="837"/>
      <c r="M1935" s="1003"/>
      <c r="N1935" s="837"/>
      <c r="O1935" s="943"/>
      <c r="P1935" s="868" t="s">
        <v>2193</v>
      </c>
      <c r="Q1935" s="869" t="s">
        <v>3085</v>
      </c>
      <c r="R1935" s="866" t="n">
        <v>338542.56</v>
      </c>
      <c r="S1935" s="866" t="n">
        <f aca="false">R1935/H1931</f>
        <v>3600</v>
      </c>
      <c r="T1935" s="943"/>
      <c r="U1935" s="842"/>
    </row>
    <row r="1936" customFormat="false" ht="15" hidden="false" customHeight="true" outlineLevel="0" collapsed="false">
      <c r="A1936" s="882"/>
      <c r="B1936" s="830"/>
      <c r="C1936" s="830"/>
      <c r="D1936" s="843" t="s">
        <v>10</v>
      </c>
      <c r="E1936" s="843" t="s">
        <v>2192</v>
      </c>
      <c r="F1936" s="832"/>
      <c r="G1936" s="833"/>
      <c r="H1936" s="1526"/>
      <c r="I1936" s="1020"/>
      <c r="J1936" s="1020"/>
      <c r="K1936" s="836"/>
      <c r="L1936" s="837"/>
      <c r="M1936" s="1003"/>
      <c r="N1936" s="837"/>
      <c r="O1936" s="943"/>
      <c r="P1936" s="844" t="s">
        <v>2193</v>
      </c>
      <c r="Q1936" s="845" t="s">
        <v>2266</v>
      </c>
      <c r="R1936" s="846" t="n">
        <v>617840.172</v>
      </c>
      <c r="S1936" s="846" t="n">
        <f aca="false">R1936/H1931</f>
        <v>6570</v>
      </c>
      <c r="T1936" s="943"/>
      <c r="U1936" s="842"/>
    </row>
    <row r="1937" customFormat="false" ht="15" hidden="false" customHeight="true" outlineLevel="0" collapsed="false">
      <c r="A1937" s="829" t="n">
        <v>208</v>
      </c>
      <c r="B1937" s="830" t="s">
        <v>2207</v>
      </c>
      <c r="C1937" s="830" t="n">
        <v>2024</v>
      </c>
      <c r="D1937" s="831" t="s">
        <v>10</v>
      </c>
      <c r="E1937" s="831" t="s">
        <v>2192</v>
      </c>
      <c r="F1937" s="832" t="s">
        <v>1652</v>
      </c>
      <c r="G1937" s="833"/>
      <c r="H1937" s="1526" t="n">
        <v>38.6772</v>
      </c>
      <c r="I1937" s="1020"/>
      <c r="J1937" s="1020"/>
      <c r="K1937" s="836" t="n">
        <f aca="false">H1937*I1937/100</f>
        <v>0</v>
      </c>
      <c r="L1937" s="837" t="n">
        <v>10455</v>
      </c>
      <c r="M1937" s="1003" t="n">
        <v>1</v>
      </c>
      <c r="N1937" s="837" t="n">
        <f aca="false">L1937*M1937</f>
        <v>10455</v>
      </c>
      <c r="O1937" s="943" t="n">
        <f aca="false">H1937*N1937</f>
        <v>404370.126</v>
      </c>
      <c r="P1937" s="838" t="s">
        <v>2197</v>
      </c>
      <c r="Q1937" s="839" t="s">
        <v>3086</v>
      </c>
      <c r="R1937" s="840" t="n">
        <v>386385.228</v>
      </c>
      <c r="S1937" s="886" t="n">
        <f aca="false">R1937/H1937</f>
        <v>9990</v>
      </c>
      <c r="T1937" s="943" t="n">
        <f aca="false">O1937-R1937-R1938</f>
        <v>0</v>
      </c>
      <c r="U1937" s="842" t="n">
        <f aca="false">N1937-S1937-S1938</f>
        <v>0</v>
      </c>
    </row>
    <row r="1938" customFormat="false" ht="15" hidden="false" customHeight="true" outlineLevel="0" collapsed="false">
      <c r="A1938" s="829"/>
      <c r="B1938" s="830"/>
      <c r="C1938" s="830"/>
      <c r="D1938" s="887" t="s">
        <v>10</v>
      </c>
      <c r="E1938" s="887" t="s">
        <v>2192</v>
      </c>
      <c r="F1938" s="832"/>
      <c r="G1938" s="833"/>
      <c r="H1938" s="1526"/>
      <c r="I1938" s="1020"/>
      <c r="J1938" s="1020"/>
      <c r="K1938" s="836"/>
      <c r="L1938" s="837"/>
      <c r="M1938" s="1003"/>
      <c r="N1938" s="837"/>
      <c r="O1938" s="943"/>
      <c r="P1938" s="888" t="s">
        <v>2197</v>
      </c>
      <c r="Q1938" s="889" t="s">
        <v>3087</v>
      </c>
      <c r="R1938" s="890" t="n">
        <v>17984.898</v>
      </c>
      <c r="S1938" s="846" t="n">
        <f aca="false">R1938/H1937</f>
        <v>465</v>
      </c>
      <c r="T1938" s="943"/>
      <c r="U1938" s="842"/>
    </row>
    <row r="1939" customFormat="false" ht="15" hidden="false" customHeight="true" outlineLevel="0" collapsed="false">
      <c r="A1939" s="903" t="n">
        <v>209</v>
      </c>
      <c r="B1939" s="903" t="s">
        <v>2207</v>
      </c>
      <c r="C1939" s="903" t="n">
        <v>2024</v>
      </c>
      <c r="D1939" s="904" t="s">
        <v>10</v>
      </c>
      <c r="E1939" s="904" t="s">
        <v>2192</v>
      </c>
      <c r="F1939" s="904" t="s">
        <v>1652</v>
      </c>
      <c r="G1939" s="905"/>
      <c r="H1939" s="1524" t="n">
        <v>38.6008</v>
      </c>
      <c r="I1939" s="1055"/>
      <c r="J1939" s="1055"/>
      <c r="K1939" s="939" t="n">
        <f aca="false">H1939*I1939/100</f>
        <v>0</v>
      </c>
      <c r="L1939" s="942" t="n">
        <v>7065</v>
      </c>
      <c r="M1939" s="1023" t="n">
        <v>1</v>
      </c>
      <c r="N1939" s="1137" t="n">
        <f aca="false">L1939*M1939</f>
        <v>7065</v>
      </c>
      <c r="O1939" s="1384" t="n">
        <f aca="false">H1939*N1939</f>
        <v>272714.652</v>
      </c>
      <c r="P1939" s="910" t="s">
        <v>2197</v>
      </c>
      <c r="Q1939" s="911" t="s">
        <v>3088</v>
      </c>
      <c r="R1939" s="891" t="n">
        <v>272714.652</v>
      </c>
      <c r="S1939" s="886" t="n">
        <f aca="false">R1939/H1939</f>
        <v>7065</v>
      </c>
      <c r="T1939" s="948" t="n">
        <f aca="false">O1939-R1939</f>
        <v>0</v>
      </c>
      <c r="U1939" s="942" t="n">
        <f aca="false">N1939-S1939</f>
        <v>0</v>
      </c>
    </row>
    <row r="1940" customFormat="false" ht="15" hidden="false" customHeight="true" outlineLevel="0" collapsed="false">
      <c r="A1940" s="829" t="n">
        <v>212</v>
      </c>
      <c r="B1940" s="830" t="s">
        <v>2207</v>
      </c>
      <c r="C1940" s="830" t="n">
        <v>2024</v>
      </c>
      <c r="D1940" s="831" t="s">
        <v>10</v>
      </c>
      <c r="E1940" s="831" t="s">
        <v>2192</v>
      </c>
      <c r="F1940" s="832" t="s">
        <v>1652</v>
      </c>
      <c r="G1940" s="833"/>
      <c r="H1940" s="1526" t="n">
        <v>38.6335</v>
      </c>
      <c r="I1940" s="1020"/>
      <c r="J1940" s="1020"/>
      <c r="K1940" s="836" t="n">
        <f aca="false">H1940*I1940/100</f>
        <v>0</v>
      </c>
      <c r="L1940" s="837" t="n">
        <v>9980</v>
      </c>
      <c r="M1940" s="1003" t="n">
        <v>1</v>
      </c>
      <c r="N1940" s="837" t="n">
        <f aca="false">L1940*M1940</f>
        <v>9980</v>
      </c>
      <c r="O1940" s="943" t="n">
        <f aca="false">H1940*N1940</f>
        <v>385562.33</v>
      </c>
      <c r="P1940" s="838" t="s">
        <v>2197</v>
      </c>
      <c r="Q1940" s="839" t="s">
        <v>3089</v>
      </c>
      <c r="R1940" s="840" t="n">
        <v>123627.2</v>
      </c>
      <c r="S1940" s="840" t="n">
        <f aca="false">R1940/H1940</f>
        <v>3200</v>
      </c>
      <c r="T1940" s="943" t="n">
        <f aca="false">O1940-R1940-R1941</f>
        <v>0</v>
      </c>
      <c r="U1940" s="842" t="n">
        <f aca="false">N1940-S1940-S1941</f>
        <v>0</v>
      </c>
    </row>
    <row r="1941" customFormat="false" ht="15" hidden="false" customHeight="true" outlineLevel="0" collapsed="false">
      <c r="A1941" s="829"/>
      <c r="B1941" s="830"/>
      <c r="C1941" s="830"/>
      <c r="D1941" s="843" t="s">
        <v>10</v>
      </c>
      <c r="E1941" s="843" t="s">
        <v>2192</v>
      </c>
      <c r="F1941" s="832"/>
      <c r="G1941" s="833"/>
      <c r="H1941" s="1526"/>
      <c r="I1941" s="1020"/>
      <c r="J1941" s="1020"/>
      <c r="K1941" s="836"/>
      <c r="L1941" s="837"/>
      <c r="M1941" s="1003"/>
      <c r="N1941" s="837"/>
      <c r="O1941" s="943"/>
      <c r="P1941" s="844" t="s">
        <v>2197</v>
      </c>
      <c r="Q1941" s="845" t="s">
        <v>3090</v>
      </c>
      <c r="R1941" s="846" t="n">
        <v>261935.13</v>
      </c>
      <c r="S1941" s="846" t="n">
        <f aca="false">R1941/H1940</f>
        <v>6780</v>
      </c>
      <c r="T1941" s="943"/>
      <c r="U1941" s="842"/>
    </row>
    <row r="1942" customFormat="false" ht="15" hidden="false" customHeight="true" outlineLevel="0" collapsed="false">
      <c r="A1942" s="847" t="n">
        <v>213</v>
      </c>
      <c r="B1942" s="847" t="s">
        <v>2207</v>
      </c>
      <c r="C1942" s="847" t="n">
        <v>2024</v>
      </c>
      <c r="D1942" s="848" t="s">
        <v>10</v>
      </c>
      <c r="E1942" s="848" t="s">
        <v>2192</v>
      </c>
      <c r="F1942" s="848" t="s">
        <v>1652</v>
      </c>
      <c r="G1942" s="849"/>
      <c r="H1942" s="1523" t="n">
        <v>38.7792</v>
      </c>
      <c r="I1942" s="1397"/>
      <c r="J1942" s="1397"/>
      <c r="K1942" s="852" t="n">
        <f aca="false">H1942*I1942/100</f>
        <v>0</v>
      </c>
      <c r="L1942" s="537" t="n">
        <v>8730</v>
      </c>
      <c r="M1942" s="1007" t="n">
        <v>1</v>
      </c>
      <c r="N1942" s="1143" t="n">
        <f aca="false">L1942*M1942</f>
        <v>8730</v>
      </c>
      <c r="O1942" s="1386" t="n">
        <f aca="false">H1942*N1942</f>
        <v>338542.416</v>
      </c>
      <c r="P1942" s="856" t="s">
        <v>2197</v>
      </c>
      <c r="Q1942" s="857" t="s">
        <v>3091</v>
      </c>
      <c r="R1942" s="854" t="n">
        <v>338542.416</v>
      </c>
      <c r="S1942" s="886" t="n">
        <f aca="false">R1942/H1942</f>
        <v>8730</v>
      </c>
      <c r="T1942" s="953" t="n">
        <f aca="false">O1942-R1942</f>
        <v>0</v>
      </c>
      <c r="U1942" s="537" t="n">
        <f aca="false">N1942-S1942</f>
        <v>0</v>
      </c>
    </row>
    <row r="1943" customFormat="false" ht="15" hidden="false" customHeight="true" outlineLevel="0" collapsed="false">
      <c r="A1943" s="847" t="n">
        <v>217</v>
      </c>
      <c r="B1943" s="847" t="s">
        <v>2207</v>
      </c>
      <c r="C1943" s="847" t="n">
        <v>2024</v>
      </c>
      <c r="D1943" s="860" t="s">
        <v>10</v>
      </c>
      <c r="E1943" s="860" t="s">
        <v>2192</v>
      </c>
      <c r="F1943" s="848" t="s">
        <v>1652</v>
      </c>
      <c r="G1943" s="849"/>
      <c r="H1943" s="1523" t="n">
        <v>38.6392</v>
      </c>
      <c r="I1943" s="1397"/>
      <c r="J1943" s="1397"/>
      <c r="K1943" s="864" t="n">
        <f aca="false">H1943*I1943/100</f>
        <v>0</v>
      </c>
      <c r="L1943" s="537" t="n">
        <v>15990</v>
      </c>
      <c r="M1943" s="1007" t="n">
        <v>1</v>
      </c>
      <c r="N1943" s="1299" t="n">
        <f aca="false">L1943*M1943</f>
        <v>15990</v>
      </c>
      <c r="O1943" s="1430" t="n">
        <f aca="false">H1943*N1943</f>
        <v>617840.808</v>
      </c>
      <c r="P1943" s="868" t="s">
        <v>2197</v>
      </c>
      <c r="Q1943" s="869" t="s">
        <v>3092</v>
      </c>
      <c r="R1943" s="866" t="n">
        <v>617840.808</v>
      </c>
      <c r="S1943" s="866" t="n">
        <f aca="false">R1943/H1943</f>
        <v>15990</v>
      </c>
      <c r="T1943" s="1449" t="n">
        <f aca="false">O1943-R1943</f>
        <v>0</v>
      </c>
      <c r="U1943" s="543" t="n">
        <f aca="false">N1943-S1943</f>
        <v>0</v>
      </c>
    </row>
    <row r="1944" customFormat="false" ht="15" hidden="false" customHeight="true" outlineLevel="0" collapsed="false">
      <c r="A1944" s="847" t="n">
        <v>218</v>
      </c>
      <c r="B1944" s="847" t="s">
        <v>2207</v>
      </c>
      <c r="C1944" s="847" t="n">
        <v>2024</v>
      </c>
      <c r="D1944" s="860" t="s">
        <v>10</v>
      </c>
      <c r="E1944" s="860" t="s">
        <v>2192</v>
      </c>
      <c r="F1944" s="848" t="s">
        <v>1652</v>
      </c>
      <c r="G1944" s="849"/>
      <c r="H1944" s="1523" t="n">
        <v>41.279</v>
      </c>
      <c r="I1944" s="1397"/>
      <c r="J1944" s="1397"/>
      <c r="K1944" s="864" t="n">
        <f aca="false">H1944*I1944/100</f>
        <v>0</v>
      </c>
      <c r="L1944" s="537" t="n">
        <v>19125</v>
      </c>
      <c r="M1944" s="1007" t="n">
        <v>1</v>
      </c>
      <c r="N1944" s="1299" t="n">
        <f aca="false">L1944*M1944</f>
        <v>19125</v>
      </c>
      <c r="O1944" s="1430" t="n">
        <f aca="false">H1944*N1944</f>
        <v>789460.875</v>
      </c>
      <c r="P1944" s="868" t="s">
        <v>2197</v>
      </c>
      <c r="Q1944" s="869" t="s">
        <v>3093</v>
      </c>
      <c r="R1944" s="866" t="n">
        <v>789460.875</v>
      </c>
      <c r="S1944" s="866" t="n">
        <f aca="false">R1944/H1944</f>
        <v>19125</v>
      </c>
      <c r="T1944" s="1449" t="n">
        <f aca="false">O1944-R1944</f>
        <v>0</v>
      </c>
      <c r="U1944" s="543" t="n">
        <f aca="false">N1944-S1944</f>
        <v>0</v>
      </c>
    </row>
    <row r="1945" customFormat="false" ht="15" hidden="false" customHeight="true" outlineLevel="0" collapsed="false">
      <c r="A1945" s="847" t="n">
        <v>180</v>
      </c>
      <c r="B1945" s="847" t="s">
        <v>81</v>
      </c>
      <c r="C1945" s="847" t="n">
        <v>2024</v>
      </c>
      <c r="D1945" s="860" t="s">
        <v>10</v>
      </c>
      <c r="E1945" s="860" t="s">
        <v>2192</v>
      </c>
      <c r="F1945" s="848" t="s">
        <v>1650</v>
      </c>
      <c r="G1945" s="849"/>
      <c r="H1945" s="1523" t="n">
        <v>98.7</v>
      </c>
      <c r="I1945" s="1397"/>
      <c r="J1945" s="1397"/>
      <c r="K1945" s="864" t="n">
        <f aca="false">H1945*I1945/100</f>
        <v>0</v>
      </c>
      <c r="L1945" s="537" t="n">
        <v>10150</v>
      </c>
      <c r="M1945" s="1007" t="n">
        <v>1</v>
      </c>
      <c r="N1945" s="1299" t="n">
        <f aca="false">L1945*M1945</f>
        <v>10150</v>
      </c>
      <c r="O1945" s="1430" t="n">
        <f aca="false">H1945*N1945</f>
        <v>1001805</v>
      </c>
      <c r="P1945" s="868" t="s">
        <v>2232</v>
      </c>
      <c r="Q1945" s="869" t="s">
        <v>2493</v>
      </c>
      <c r="R1945" s="866" t="n">
        <v>1001805</v>
      </c>
      <c r="S1945" s="866" t="n">
        <f aca="false">R1945/H1945</f>
        <v>10150</v>
      </c>
      <c r="T1945" s="1449" t="n">
        <f aca="false">O1945-R1945</f>
        <v>0</v>
      </c>
      <c r="U1945" s="543" t="n">
        <f aca="false">N1945-S1945</f>
        <v>0</v>
      </c>
    </row>
    <row r="1946" customFormat="false" ht="15" hidden="false" customHeight="true" outlineLevel="0" collapsed="false">
      <c r="A1946" s="903" t="n">
        <v>181</v>
      </c>
      <c r="B1946" s="903" t="s">
        <v>81</v>
      </c>
      <c r="C1946" s="903" t="n">
        <v>2024</v>
      </c>
      <c r="D1946" s="871" t="s">
        <v>10</v>
      </c>
      <c r="E1946" s="871" t="s">
        <v>2192</v>
      </c>
      <c r="F1946" s="904" t="s">
        <v>1650</v>
      </c>
      <c r="G1946" s="905"/>
      <c r="H1946" s="1524" t="n">
        <v>98.7</v>
      </c>
      <c r="I1946" s="1055"/>
      <c r="J1946" s="1055"/>
      <c r="K1946" s="875" t="n">
        <f aca="false">H1946*I1946/100</f>
        <v>0</v>
      </c>
      <c r="L1946" s="942" t="n">
        <v>10150</v>
      </c>
      <c r="M1946" s="1023" t="n">
        <v>1</v>
      </c>
      <c r="N1946" s="1301" t="n">
        <f aca="false">L1946*M1946</f>
        <v>10150</v>
      </c>
      <c r="O1946" s="1402" t="n">
        <f aca="false">H1946*N1946</f>
        <v>1001805</v>
      </c>
      <c r="P1946" s="879" t="s">
        <v>2232</v>
      </c>
      <c r="Q1946" s="880" t="s">
        <v>2493</v>
      </c>
      <c r="R1946" s="877" t="n">
        <v>1001805</v>
      </c>
      <c r="S1946" s="877" t="n">
        <f aca="false">R1946/H1946</f>
        <v>10150</v>
      </c>
      <c r="T1946" s="1403" t="n">
        <f aca="false">O1946-R1946</f>
        <v>0</v>
      </c>
      <c r="U1946" s="553" t="n">
        <f aca="false">N1946-S1946</f>
        <v>0</v>
      </c>
    </row>
    <row r="1947" customFormat="false" ht="15" hidden="false" customHeight="true" outlineLevel="0" collapsed="false">
      <c r="A1947" s="882" t="n">
        <v>77</v>
      </c>
      <c r="B1947" s="883" t="s">
        <v>2230</v>
      </c>
      <c r="C1947" s="883" t="n">
        <v>2024</v>
      </c>
      <c r="D1947" s="831" t="s">
        <v>10</v>
      </c>
      <c r="E1947" s="831" t="s">
        <v>2192</v>
      </c>
      <c r="F1947" s="832" t="s">
        <v>1650</v>
      </c>
      <c r="G1947" s="833"/>
      <c r="H1947" s="1526" t="n">
        <v>98.0889</v>
      </c>
      <c r="I1947" s="1020"/>
      <c r="J1947" s="1020"/>
      <c r="K1947" s="836" t="n">
        <f aca="false">H1947*I1947/100</f>
        <v>0</v>
      </c>
      <c r="L1947" s="837" t="n">
        <v>28921</v>
      </c>
      <c r="M1947" s="1003" t="n">
        <v>1</v>
      </c>
      <c r="N1947" s="837" t="n">
        <f aca="false">L1947*M1947</f>
        <v>28921</v>
      </c>
      <c r="O1947" s="943" t="n">
        <f aca="false">H1947*N1947</f>
        <v>2836829.0769</v>
      </c>
      <c r="P1947" s="838" t="s">
        <v>2193</v>
      </c>
      <c r="Q1947" s="839" t="s">
        <v>2351</v>
      </c>
      <c r="R1947" s="840" t="n">
        <v>1278981.1671</v>
      </c>
      <c r="S1947" s="886" t="n">
        <f aca="false">R1947/H1947</f>
        <v>13039</v>
      </c>
      <c r="T1947" s="943" t="n">
        <f aca="false">O1947-R1947-R1949-R1948</f>
        <v>0</v>
      </c>
      <c r="U1947" s="842" t="n">
        <f aca="false">N1947-S1947-S1949-S1948</f>
        <v>0</v>
      </c>
    </row>
    <row r="1948" customFormat="false" ht="15" hidden="false" customHeight="true" outlineLevel="0" collapsed="false">
      <c r="A1948" s="882"/>
      <c r="B1948" s="883"/>
      <c r="C1948" s="883"/>
      <c r="D1948" s="904" t="s">
        <v>10</v>
      </c>
      <c r="E1948" s="904" t="s">
        <v>2192</v>
      </c>
      <c r="F1948" s="832"/>
      <c r="G1948" s="833"/>
      <c r="H1948" s="1526"/>
      <c r="I1948" s="1020"/>
      <c r="J1948" s="1020"/>
      <c r="K1948" s="836"/>
      <c r="L1948" s="837"/>
      <c r="M1948" s="1003"/>
      <c r="N1948" s="837"/>
      <c r="O1948" s="943"/>
      <c r="P1948" s="910" t="s">
        <v>2193</v>
      </c>
      <c r="Q1948" s="911" t="s">
        <v>2460</v>
      </c>
      <c r="R1948" s="891" t="n">
        <v>588533.4</v>
      </c>
      <c r="S1948" s="866" t="n">
        <f aca="false">R1948/H1947</f>
        <v>6000</v>
      </c>
      <c r="T1948" s="943"/>
      <c r="U1948" s="842"/>
    </row>
    <row r="1949" customFormat="false" ht="15" hidden="false" customHeight="true" outlineLevel="0" collapsed="false">
      <c r="A1949" s="882"/>
      <c r="B1949" s="883"/>
      <c r="C1949" s="883"/>
      <c r="D1949" s="843" t="s">
        <v>10</v>
      </c>
      <c r="E1949" s="843" t="s">
        <v>2192</v>
      </c>
      <c r="F1949" s="832"/>
      <c r="G1949" s="833"/>
      <c r="H1949" s="1526"/>
      <c r="I1949" s="1020"/>
      <c r="J1949" s="1020"/>
      <c r="K1949" s="836"/>
      <c r="L1949" s="837"/>
      <c r="M1949" s="1003"/>
      <c r="N1949" s="837"/>
      <c r="O1949" s="943"/>
      <c r="P1949" s="844" t="s">
        <v>2193</v>
      </c>
      <c r="Q1949" s="845" t="s">
        <v>2461</v>
      </c>
      <c r="R1949" s="846" t="n">
        <v>969314.5098</v>
      </c>
      <c r="S1949" s="846" t="n">
        <f aca="false">R1949/H1947</f>
        <v>9882</v>
      </c>
      <c r="T1949" s="943"/>
      <c r="U1949" s="842"/>
    </row>
    <row r="1950" customFormat="false" ht="15" hidden="false" customHeight="true" outlineLevel="0" collapsed="false">
      <c r="A1950" s="903" t="n">
        <v>182</v>
      </c>
      <c r="B1950" s="903" t="s">
        <v>81</v>
      </c>
      <c r="C1950" s="903" t="n">
        <v>2024</v>
      </c>
      <c r="D1950" s="904" t="s">
        <v>10</v>
      </c>
      <c r="E1950" s="904" t="s">
        <v>2192</v>
      </c>
      <c r="F1950" s="904" t="s">
        <v>1650</v>
      </c>
      <c r="G1950" s="905"/>
      <c r="H1950" s="1524" t="n">
        <v>98</v>
      </c>
      <c r="I1950" s="1055"/>
      <c r="J1950" s="1055"/>
      <c r="K1950" s="939" t="n">
        <f aca="false">H1950*I1950/100</f>
        <v>0</v>
      </c>
      <c r="L1950" s="942" t="n">
        <v>20580</v>
      </c>
      <c r="M1950" s="1023" t="n">
        <v>1</v>
      </c>
      <c r="N1950" s="1137" t="n">
        <f aca="false">L1950*M1950</f>
        <v>20580</v>
      </c>
      <c r="O1950" s="1384" t="n">
        <f aca="false">H1950*N1950</f>
        <v>2016840</v>
      </c>
      <c r="P1950" s="910" t="s">
        <v>2232</v>
      </c>
      <c r="Q1950" s="911" t="s">
        <v>2740</v>
      </c>
      <c r="R1950" s="891" t="n">
        <v>2016840</v>
      </c>
      <c r="S1950" s="891" t="n">
        <f aca="false">R1950/H1950</f>
        <v>20580</v>
      </c>
      <c r="T1950" s="948" t="n">
        <f aca="false">O1950-R1950</f>
        <v>0</v>
      </c>
      <c r="U1950" s="942" t="n">
        <f aca="false">N1950-S1950</f>
        <v>0</v>
      </c>
    </row>
    <row r="1951" customFormat="false" ht="15" hidden="false" customHeight="true" outlineLevel="0" collapsed="false">
      <c r="A1951" s="829" t="n">
        <v>78</v>
      </c>
      <c r="B1951" s="830" t="s">
        <v>2230</v>
      </c>
      <c r="C1951" s="830" t="n">
        <v>2024</v>
      </c>
      <c r="D1951" s="831" t="s">
        <v>10</v>
      </c>
      <c r="E1951" s="831" t="s">
        <v>2192</v>
      </c>
      <c r="F1951" s="832" t="s">
        <v>1650</v>
      </c>
      <c r="G1951" s="833"/>
      <c r="H1951" s="1526" t="n">
        <v>97.7798</v>
      </c>
      <c r="I1951" s="1020"/>
      <c r="J1951" s="1020"/>
      <c r="K1951" s="836" t="n">
        <f aca="false">H1951*I1951/100</f>
        <v>0</v>
      </c>
      <c r="L1951" s="837" t="n">
        <v>24853</v>
      </c>
      <c r="M1951" s="1003" t="n">
        <v>1</v>
      </c>
      <c r="N1951" s="837" t="n">
        <f aca="false">L1951*M1951</f>
        <v>24853</v>
      </c>
      <c r="O1951" s="943" t="n">
        <f aca="false">H1951*N1951</f>
        <v>2430121.3694</v>
      </c>
      <c r="P1951" s="838" t="s">
        <v>2197</v>
      </c>
      <c r="Q1951" s="839" t="s">
        <v>3094</v>
      </c>
      <c r="R1951" s="840" t="n">
        <v>970953.414</v>
      </c>
      <c r="S1951" s="840" t="n">
        <f aca="false">R1951/H1951</f>
        <v>9930</v>
      </c>
      <c r="T1951" s="943" t="n">
        <f aca="false">O1951-R1951-R1952</f>
        <v>0</v>
      </c>
      <c r="U1951" s="842" t="n">
        <f aca="false">N1951-S1951-S1952</f>
        <v>0</v>
      </c>
    </row>
    <row r="1952" customFormat="false" ht="15" hidden="false" customHeight="true" outlineLevel="0" collapsed="false">
      <c r="A1952" s="829"/>
      <c r="B1952" s="830"/>
      <c r="C1952" s="830"/>
      <c r="D1952" s="843" t="s">
        <v>10</v>
      </c>
      <c r="E1952" s="843" t="s">
        <v>2192</v>
      </c>
      <c r="F1952" s="832"/>
      <c r="G1952" s="833"/>
      <c r="H1952" s="1526"/>
      <c r="I1952" s="1020"/>
      <c r="J1952" s="1020"/>
      <c r="K1952" s="836"/>
      <c r="L1952" s="837"/>
      <c r="M1952" s="1003"/>
      <c r="N1952" s="837"/>
      <c r="O1952" s="943"/>
      <c r="P1952" s="844" t="s">
        <v>2193</v>
      </c>
      <c r="Q1952" s="845" t="s">
        <v>2454</v>
      </c>
      <c r="R1952" s="846" t="n">
        <v>1459167.9554</v>
      </c>
      <c r="S1952" s="846" t="n">
        <f aca="false">R1952/H1951</f>
        <v>14923</v>
      </c>
      <c r="T1952" s="943"/>
      <c r="U1952" s="842"/>
    </row>
    <row r="1953" customFormat="false" ht="15" hidden="false" customHeight="true" outlineLevel="0" collapsed="false">
      <c r="A1953" s="1344" t="n">
        <v>220</v>
      </c>
      <c r="B1953" s="903" t="s">
        <v>2207</v>
      </c>
      <c r="C1953" s="903" t="n">
        <v>2024</v>
      </c>
      <c r="D1953" s="848" t="s">
        <v>10</v>
      </c>
      <c r="E1953" s="848" t="s">
        <v>2192</v>
      </c>
      <c r="F1953" s="904" t="s">
        <v>1652</v>
      </c>
      <c r="G1953" s="905"/>
      <c r="H1953" s="1524" t="n">
        <v>45.6452</v>
      </c>
      <c r="I1953" s="1055"/>
      <c r="J1953" s="1055"/>
      <c r="K1953" s="939" t="n">
        <f aca="false">H1953*I1953/100</f>
        <v>0</v>
      </c>
      <c r="L1953" s="942" t="n">
        <v>28020</v>
      </c>
      <c r="M1953" s="1023" t="n">
        <v>1</v>
      </c>
      <c r="N1953" s="942" t="n">
        <f aca="false">L1953*M1953</f>
        <v>28020</v>
      </c>
      <c r="O1953" s="948" t="n">
        <f aca="false">H1953*N1953</f>
        <v>1278978.504</v>
      </c>
      <c r="P1953" s="856" t="s">
        <v>2197</v>
      </c>
      <c r="Q1953" s="857" t="s">
        <v>3082</v>
      </c>
      <c r="R1953" s="854" t="n">
        <v>44504.07</v>
      </c>
      <c r="S1953" s="854" t="n">
        <f aca="false">R1953/H1953</f>
        <v>975</v>
      </c>
      <c r="T1953" s="942" t="n">
        <f aca="false">O1953-R1953-R1954-R1955-R1956</f>
        <v>1.60071067512035E-010</v>
      </c>
      <c r="U1953" s="1026" t="n">
        <f aca="false">N1953-S1953-S1954-S1955-S1956</f>
        <v>0</v>
      </c>
    </row>
    <row r="1954" customFormat="false" ht="15" hidden="false" customHeight="true" outlineLevel="0" collapsed="false">
      <c r="A1954" s="1344"/>
      <c r="B1954" s="903"/>
      <c r="C1954" s="903"/>
      <c r="D1954" s="860" t="s">
        <v>10</v>
      </c>
      <c r="E1954" s="860" t="s">
        <v>2192</v>
      </c>
      <c r="F1954" s="904"/>
      <c r="G1954" s="905"/>
      <c r="H1954" s="1524"/>
      <c r="I1954" s="1055"/>
      <c r="J1954" s="1055"/>
      <c r="K1954" s="939"/>
      <c r="L1954" s="942"/>
      <c r="M1954" s="1023"/>
      <c r="N1954" s="942"/>
      <c r="O1954" s="948"/>
      <c r="P1954" s="868" t="s">
        <v>2197</v>
      </c>
      <c r="Q1954" s="869" t="s">
        <v>3095</v>
      </c>
      <c r="R1954" s="866" t="n">
        <v>912675.774</v>
      </c>
      <c r="S1954" s="866" t="n">
        <f aca="false">R1954/H1953</f>
        <v>19995</v>
      </c>
      <c r="T1954" s="942"/>
      <c r="U1954" s="1026"/>
    </row>
    <row r="1955" customFormat="false" ht="15" hidden="false" customHeight="true" outlineLevel="0" collapsed="false">
      <c r="A1955" s="1344"/>
      <c r="B1955" s="903"/>
      <c r="C1955" s="903"/>
      <c r="D1955" s="860" t="s">
        <v>10</v>
      </c>
      <c r="E1955" s="860" t="s">
        <v>2192</v>
      </c>
      <c r="F1955" s="904"/>
      <c r="G1955" s="905"/>
      <c r="H1955" s="1524"/>
      <c r="I1955" s="1055"/>
      <c r="J1955" s="1055"/>
      <c r="K1955" s="939"/>
      <c r="L1955" s="942"/>
      <c r="M1955" s="1023"/>
      <c r="N1955" s="942"/>
      <c r="O1955" s="948"/>
      <c r="P1955" s="868" t="s">
        <v>2197</v>
      </c>
      <c r="Q1955" s="869" t="s">
        <v>3096</v>
      </c>
      <c r="R1955" s="866" t="n">
        <v>205403.4</v>
      </c>
      <c r="S1955" s="866" t="n">
        <f aca="false">R1955/H1953</f>
        <v>4500</v>
      </c>
      <c r="T1955" s="942"/>
      <c r="U1955" s="1026"/>
    </row>
    <row r="1956" customFormat="false" ht="15" hidden="false" customHeight="true" outlineLevel="0" collapsed="false">
      <c r="A1956" s="1344"/>
      <c r="B1956" s="903"/>
      <c r="C1956" s="903"/>
      <c r="D1956" s="871" t="s">
        <v>10</v>
      </c>
      <c r="E1956" s="871" t="s">
        <v>2192</v>
      </c>
      <c r="F1956" s="904"/>
      <c r="G1956" s="905"/>
      <c r="H1956" s="1524"/>
      <c r="I1956" s="1055"/>
      <c r="J1956" s="1055"/>
      <c r="K1956" s="939"/>
      <c r="L1956" s="942"/>
      <c r="M1956" s="1023"/>
      <c r="N1956" s="942"/>
      <c r="O1956" s="948"/>
      <c r="P1956" s="879" t="s">
        <v>2197</v>
      </c>
      <c r="Q1956" s="880" t="s">
        <v>3097</v>
      </c>
      <c r="R1956" s="877" t="n">
        <v>116395.26</v>
      </c>
      <c r="S1956" s="877" t="n">
        <f aca="false">R1956/H1953</f>
        <v>2550</v>
      </c>
      <c r="T1956" s="942"/>
      <c r="U1956" s="1026"/>
    </row>
    <row r="1957" customFormat="false" ht="15" hidden="false" customHeight="true" outlineLevel="0" collapsed="false">
      <c r="A1957" s="829" t="n">
        <v>222</v>
      </c>
      <c r="B1957" s="830" t="s">
        <v>2207</v>
      </c>
      <c r="C1957" s="830" t="n">
        <v>2024</v>
      </c>
      <c r="D1957" s="831" t="s">
        <v>10</v>
      </c>
      <c r="E1957" s="831" t="s">
        <v>2192</v>
      </c>
      <c r="F1957" s="832" t="s">
        <v>1652</v>
      </c>
      <c r="G1957" s="833"/>
      <c r="H1957" s="1526" t="n">
        <v>31.8853</v>
      </c>
      <c r="I1957" s="1020"/>
      <c r="J1957" s="1317"/>
      <c r="K1957" s="836" t="n">
        <f aca="false">H1957*I1957/100</f>
        <v>0</v>
      </c>
      <c r="L1957" s="837" t="n">
        <v>30400</v>
      </c>
      <c r="M1957" s="1003" t="n">
        <v>1</v>
      </c>
      <c r="N1957" s="837" t="n">
        <f aca="false">L1957*M1957</f>
        <v>30400</v>
      </c>
      <c r="O1957" s="943" t="n">
        <f aca="false">H1957*N1957</f>
        <v>969313.12</v>
      </c>
      <c r="P1957" s="838" t="s">
        <v>2197</v>
      </c>
      <c r="Q1957" s="839" t="s">
        <v>3098</v>
      </c>
      <c r="R1957" s="840" t="n">
        <v>331288.267</v>
      </c>
      <c r="S1957" s="840" t="n">
        <f aca="false">R1957/H1957</f>
        <v>10390</v>
      </c>
      <c r="T1957" s="943" t="n">
        <f aca="false">O1957-R1957-R1958</f>
        <v>0</v>
      </c>
      <c r="U1957" s="842" t="n">
        <f aca="false">N1957-S1957-S1958</f>
        <v>0</v>
      </c>
    </row>
    <row r="1958" customFormat="false" ht="15" hidden="false" customHeight="true" outlineLevel="0" collapsed="false">
      <c r="A1958" s="829"/>
      <c r="B1958" s="830"/>
      <c r="C1958" s="830"/>
      <c r="D1958" s="843" t="s">
        <v>10</v>
      </c>
      <c r="E1958" s="843" t="s">
        <v>2192</v>
      </c>
      <c r="F1958" s="832"/>
      <c r="G1958" s="833"/>
      <c r="H1958" s="1526"/>
      <c r="I1958" s="1020"/>
      <c r="J1958" s="1319"/>
      <c r="K1958" s="836"/>
      <c r="L1958" s="837"/>
      <c r="M1958" s="1003"/>
      <c r="N1958" s="837"/>
      <c r="O1958" s="943"/>
      <c r="P1958" s="844" t="s">
        <v>2197</v>
      </c>
      <c r="Q1958" s="845" t="s">
        <v>3099</v>
      </c>
      <c r="R1958" s="846" t="n">
        <v>638024.853</v>
      </c>
      <c r="S1958" s="846" t="n">
        <f aca="false">R1958/H1957</f>
        <v>20010</v>
      </c>
      <c r="T1958" s="943"/>
      <c r="U1958" s="842"/>
    </row>
    <row r="1959" customFormat="false" ht="15" hidden="false" customHeight="true" outlineLevel="0" collapsed="false">
      <c r="A1959" s="829" t="n">
        <v>223</v>
      </c>
      <c r="B1959" s="830" t="s">
        <v>2207</v>
      </c>
      <c r="C1959" s="830" t="n">
        <v>2024</v>
      </c>
      <c r="D1959" s="831" t="s">
        <v>10</v>
      </c>
      <c r="E1959" s="831" t="s">
        <v>2192</v>
      </c>
      <c r="F1959" s="832" t="s">
        <v>1652</v>
      </c>
      <c r="G1959" s="833"/>
      <c r="H1959" s="1526" t="n">
        <v>41.2473</v>
      </c>
      <c r="I1959" s="1020"/>
      <c r="J1959" s="1020"/>
      <c r="K1959" s="836" t="n">
        <f aca="false">H1959*I1959/100</f>
        <v>0</v>
      </c>
      <c r="L1959" s="837" t="n">
        <v>35376</v>
      </c>
      <c r="M1959" s="1003" t="n">
        <v>1</v>
      </c>
      <c r="N1959" s="837" t="n">
        <f aca="false">L1959*M1959</f>
        <v>35376</v>
      </c>
      <c r="O1959" s="837" t="n">
        <f aca="false">H1959*N1959</f>
        <v>1459164.4848</v>
      </c>
      <c r="P1959" s="838" t="s">
        <v>2197</v>
      </c>
      <c r="Q1959" s="839" t="s">
        <v>3100</v>
      </c>
      <c r="R1959" s="840" t="n">
        <v>824739.7635</v>
      </c>
      <c r="S1959" s="840" t="n">
        <f aca="false">R1959/H1959</f>
        <v>19995</v>
      </c>
      <c r="T1959" s="943" t="n">
        <f aca="false">O1959-R1959-R1960</f>
        <v>0</v>
      </c>
      <c r="U1959" s="842" t="n">
        <f aca="false">N1959-S1959-S1960</f>
        <v>0</v>
      </c>
    </row>
    <row r="1960" customFormat="false" ht="15" hidden="false" customHeight="true" outlineLevel="0" collapsed="false">
      <c r="A1960" s="829"/>
      <c r="B1960" s="830"/>
      <c r="C1960" s="830"/>
      <c r="D1960" s="887" t="s">
        <v>10</v>
      </c>
      <c r="E1960" s="887" t="s">
        <v>2192</v>
      </c>
      <c r="F1960" s="832"/>
      <c r="G1960" s="833"/>
      <c r="H1960" s="1526"/>
      <c r="I1960" s="1020"/>
      <c r="J1960" s="1020"/>
      <c r="K1960" s="836"/>
      <c r="L1960" s="837"/>
      <c r="M1960" s="1003"/>
      <c r="N1960" s="837"/>
      <c r="O1960" s="837"/>
      <c r="P1960" s="888" t="s">
        <v>2197</v>
      </c>
      <c r="Q1960" s="889" t="s">
        <v>3101</v>
      </c>
      <c r="R1960" s="890" t="n">
        <v>634424.7213</v>
      </c>
      <c r="S1960" s="846" t="n">
        <f aca="false">R1960/H1959</f>
        <v>15381</v>
      </c>
      <c r="T1960" s="943"/>
      <c r="U1960" s="842"/>
    </row>
    <row r="1961" customFormat="false" ht="15" hidden="false" customHeight="true" outlineLevel="0" collapsed="false">
      <c r="A1961" s="847" t="n">
        <v>185</v>
      </c>
      <c r="B1961" s="847" t="s">
        <v>81</v>
      </c>
      <c r="C1961" s="847" t="n">
        <v>2024</v>
      </c>
      <c r="D1961" s="848" t="s">
        <v>10</v>
      </c>
      <c r="E1961" s="848" t="s">
        <v>2192</v>
      </c>
      <c r="F1961" s="848" t="s">
        <v>1650</v>
      </c>
      <c r="G1961" s="849"/>
      <c r="H1961" s="1523" t="n">
        <v>97.1</v>
      </c>
      <c r="I1961" s="1397"/>
      <c r="J1961" s="1353"/>
      <c r="K1961" s="852" t="n">
        <f aca="false">H1961*I1961/100</f>
        <v>0</v>
      </c>
      <c r="L1961" s="537" t="n">
        <v>22200</v>
      </c>
      <c r="M1961" s="1007" t="n">
        <v>1</v>
      </c>
      <c r="N1961" s="1143" t="n">
        <f aca="false">L1961*M1961</f>
        <v>22200</v>
      </c>
      <c r="O1961" s="1143" t="n">
        <f aca="false">H1961*N1961</f>
        <v>2155620</v>
      </c>
      <c r="P1961" s="856" t="s">
        <v>2232</v>
      </c>
      <c r="Q1961" s="857" t="s">
        <v>3102</v>
      </c>
      <c r="R1961" s="854" t="n">
        <v>2155620</v>
      </c>
      <c r="S1961" s="886" t="n">
        <f aca="false">R1961/H1961</f>
        <v>22200</v>
      </c>
      <c r="T1961" s="858" t="n">
        <f aca="false">O1961-R1961</f>
        <v>0</v>
      </c>
      <c r="U1961" s="537" t="n">
        <f aca="false">N1961-S1961</f>
        <v>0</v>
      </c>
    </row>
    <row r="1962" customFormat="false" ht="15" hidden="false" customHeight="true" outlineLevel="0" collapsed="false">
      <c r="A1962" s="847" t="n">
        <v>186</v>
      </c>
      <c r="B1962" s="847" t="s">
        <v>81</v>
      </c>
      <c r="C1962" s="847" t="n">
        <v>2024</v>
      </c>
      <c r="D1962" s="848" t="s">
        <v>10</v>
      </c>
      <c r="E1962" s="848" t="s">
        <v>2192</v>
      </c>
      <c r="F1962" s="848" t="s">
        <v>1650</v>
      </c>
      <c r="G1962" s="849"/>
      <c r="H1962" s="1523" t="n">
        <v>93.9</v>
      </c>
      <c r="I1962" s="1397" t="n">
        <v>77</v>
      </c>
      <c r="J1962" s="1353"/>
      <c r="K1962" s="852" t="n">
        <f aca="false">H1962*I1962/100</f>
        <v>72.303</v>
      </c>
      <c r="L1962" s="537" t="n">
        <v>20120</v>
      </c>
      <c r="M1962" s="1007" t="n">
        <v>1</v>
      </c>
      <c r="N1962" s="1143" t="n">
        <f aca="false">L1962*M1962</f>
        <v>20120</v>
      </c>
      <c r="O1962" s="1143" t="n">
        <f aca="false">H1962*N1962</f>
        <v>1889268</v>
      </c>
      <c r="P1962" s="856" t="s">
        <v>2232</v>
      </c>
      <c r="Q1962" s="857" t="s">
        <v>3103</v>
      </c>
      <c r="R1962" s="854" t="n">
        <v>1889268</v>
      </c>
      <c r="S1962" s="866" t="n">
        <f aca="false">R1962/H1962</f>
        <v>20120</v>
      </c>
      <c r="T1962" s="858" t="n">
        <f aca="false">O1962-R1962</f>
        <v>0</v>
      </c>
      <c r="U1962" s="537" t="n">
        <f aca="false">N1962-S1962</f>
        <v>0</v>
      </c>
    </row>
    <row r="1963" customFormat="false" ht="15" hidden="false" customHeight="true" outlineLevel="0" collapsed="false">
      <c r="A1963" s="903" t="n">
        <v>221</v>
      </c>
      <c r="B1963" s="903" t="s">
        <v>2207</v>
      </c>
      <c r="C1963" s="903" t="n">
        <v>2024</v>
      </c>
      <c r="D1963" s="904" t="s">
        <v>10</v>
      </c>
      <c r="E1963" s="904" t="s">
        <v>2192</v>
      </c>
      <c r="F1963" s="904" t="s">
        <v>1651</v>
      </c>
      <c r="G1963" s="905"/>
      <c r="H1963" s="1524" t="n">
        <v>29.5894</v>
      </c>
      <c r="I1963" s="1055"/>
      <c r="J1963" s="1372"/>
      <c r="K1963" s="939" t="n">
        <f aca="false">H1963*I1963/100</f>
        <v>0</v>
      </c>
      <c r="L1963" s="942" t="n">
        <v>19890</v>
      </c>
      <c r="M1963" s="1023" t="n">
        <v>1</v>
      </c>
      <c r="N1963" s="1137" t="n">
        <f aca="false">L1963*M1963</f>
        <v>19890</v>
      </c>
      <c r="O1963" s="1384" t="n">
        <f aca="false">H1963*N1963</f>
        <v>588533.166</v>
      </c>
      <c r="P1963" s="910" t="s">
        <v>2197</v>
      </c>
      <c r="Q1963" s="911" t="s">
        <v>3104</v>
      </c>
      <c r="R1963" s="891" t="n">
        <v>588533.166</v>
      </c>
      <c r="S1963" s="877" t="n">
        <f aca="false">R1963/H1963</f>
        <v>19890</v>
      </c>
      <c r="T1963" s="1058" t="n">
        <f aca="false">O1963-R1963</f>
        <v>0</v>
      </c>
      <c r="U1963" s="942" t="n">
        <f aca="false">N1963-S1963</f>
        <v>0</v>
      </c>
    </row>
    <row r="1964" customFormat="false" ht="15" hidden="false" customHeight="true" outlineLevel="0" collapsed="false">
      <c r="A1964" s="829" t="n">
        <v>80</v>
      </c>
      <c r="B1964" s="830" t="s">
        <v>2230</v>
      </c>
      <c r="C1964" s="830" t="n">
        <v>2024</v>
      </c>
      <c r="D1964" s="831" t="s">
        <v>10</v>
      </c>
      <c r="E1964" s="831" t="s">
        <v>2192</v>
      </c>
      <c r="F1964" s="832" t="s">
        <v>1650</v>
      </c>
      <c r="G1964" s="833"/>
      <c r="H1964" s="1526" t="n">
        <v>96.4817</v>
      </c>
      <c r="I1964" s="1020" t="n">
        <v>77</v>
      </c>
      <c r="J1964" s="1020"/>
      <c r="K1964" s="836" t="n">
        <f aca="false">H1964*I1964/100</f>
        <v>74.290909</v>
      </c>
      <c r="L1964" s="837" t="n">
        <v>25234</v>
      </c>
      <c r="M1964" s="1003" t="n">
        <v>1</v>
      </c>
      <c r="N1964" s="837" t="n">
        <f aca="false">L1964*M1964</f>
        <v>25234</v>
      </c>
      <c r="O1964" s="943" t="n">
        <f aca="false">H1964*N1964</f>
        <v>2434619.2178</v>
      </c>
      <c r="P1964" s="884" t="s">
        <v>2193</v>
      </c>
      <c r="Q1964" s="885" t="s">
        <v>3105</v>
      </c>
      <c r="R1964" s="886" t="n">
        <v>350228.571</v>
      </c>
      <c r="S1964" s="886" t="n">
        <f aca="false">R1964/H1964</f>
        <v>3630</v>
      </c>
      <c r="T1964" s="943" t="n">
        <f aca="false">O1964-R1964-R1967-R1966-R1965</f>
        <v>0</v>
      </c>
      <c r="U1964" s="842" t="n">
        <f aca="false">N1964-S1964-S1967-S1966-S1965</f>
        <v>0</v>
      </c>
    </row>
    <row r="1965" customFormat="false" ht="15" hidden="false" customHeight="true" outlineLevel="0" collapsed="false">
      <c r="A1965" s="829"/>
      <c r="B1965" s="830"/>
      <c r="C1965" s="830"/>
      <c r="D1965" s="860" t="s">
        <v>10</v>
      </c>
      <c r="E1965" s="860" t="s">
        <v>2192</v>
      </c>
      <c r="F1965" s="832"/>
      <c r="G1965" s="833"/>
      <c r="H1965" s="1526"/>
      <c r="I1965" s="1020"/>
      <c r="J1965" s="1020"/>
      <c r="K1965" s="836"/>
      <c r="L1965" s="837"/>
      <c r="M1965" s="1003"/>
      <c r="N1965" s="837"/>
      <c r="O1965" s="943"/>
      <c r="P1965" s="868" t="s">
        <v>2232</v>
      </c>
      <c r="Q1965" s="869" t="s">
        <v>3103</v>
      </c>
      <c r="R1965" s="866" t="n">
        <v>1320255.5828</v>
      </c>
      <c r="S1965" s="866" t="n">
        <f aca="false">R1965/H1964</f>
        <v>13684</v>
      </c>
      <c r="T1965" s="943"/>
      <c r="U1965" s="842"/>
    </row>
    <row r="1966" customFormat="false" ht="15" hidden="false" customHeight="true" outlineLevel="0" collapsed="false">
      <c r="A1966" s="829"/>
      <c r="B1966" s="830"/>
      <c r="C1966" s="830"/>
      <c r="D1966" s="860" t="s">
        <v>10</v>
      </c>
      <c r="E1966" s="860" t="s">
        <v>2192</v>
      </c>
      <c r="F1966" s="832"/>
      <c r="G1966" s="833"/>
      <c r="H1966" s="1526"/>
      <c r="I1966" s="1020"/>
      <c r="J1966" s="1020"/>
      <c r="K1966" s="836"/>
      <c r="L1966" s="837"/>
      <c r="M1966" s="1003"/>
      <c r="N1966" s="837"/>
      <c r="O1966" s="943"/>
      <c r="P1966" s="868" t="s">
        <v>2197</v>
      </c>
      <c r="Q1966" s="869" t="s">
        <v>3106</v>
      </c>
      <c r="R1966" s="866" t="n">
        <v>289445.1</v>
      </c>
      <c r="S1966" s="866" t="n">
        <f aca="false">R1966/H1964</f>
        <v>3000</v>
      </c>
      <c r="T1966" s="943"/>
      <c r="U1966" s="842"/>
    </row>
    <row r="1967" customFormat="false" ht="15" hidden="false" customHeight="true" outlineLevel="0" collapsed="false">
      <c r="A1967" s="829"/>
      <c r="B1967" s="830"/>
      <c r="C1967" s="830"/>
      <c r="D1967" s="843" t="s">
        <v>10</v>
      </c>
      <c r="E1967" s="843" t="s">
        <v>2192</v>
      </c>
      <c r="F1967" s="832"/>
      <c r="G1967" s="833"/>
      <c r="H1967" s="1526"/>
      <c r="I1967" s="1020"/>
      <c r="J1967" s="1020"/>
      <c r="K1967" s="836"/>
      <c r="L1967" s="837"/>
      <c r="M1967" s="1003"/>
      <c r="N1967" s="837"/>
      <c r="O1967" s="943"/>
      <c r="P1967" s="844" t="s">
        <v>2197</v>
      </c>
      <c r="Q1967" s="845" t="s">
        <v>3107</v>
      </c>
      <c r="R1967" s="846" t="n">
        <v>474689.964</v>
      </c>
      <c r="S1967" s="846" t="n">
        <f aca="false">R1967/H1964</f>
        <v>4920</v>
      </c>
      <c r="T1967" s="943"/>
      <c r="U1967" s="842"/>
    </row>
    <row r="1968" customFormat="false" ht="15" hidden="false" customHeight="true" outlineLevel="0" collapsed="false">
      <c r="A1968" s="829" t="n">
        <v>226</v>
      </c>
      <c r="B1968" s="830" t="s">
        <v>2207</v>
      </c>
      <c r="C1968" s="830" t="n">
        <v>2024</v>
      </c>
      <c r="D1968" s="831" t="s">
        <v>10</v>
      </c>
      <c r="E1968" s="831" t="s">
        <v>2192</v>
      </c>
      <c r="F1968" s="832" t="s">
        <v>1651</v>
      </c>
      <c r="G1968" s="833"/>
      <c r="H1968" s="1526" t="n">
        <v>28.59</v>
      </c>
      <c r="I1968" s="1020"/>
      <c r="J1968" s="1020"/>
      <c r="K1968" s="836" t="n">
        <f aca="false">H1968*I1968/100</f>
        <v>0</v>
      </c>
      <c r="L1968" s="837" t="n">
        <v>12250</v>
      </c>
      <c r="M1968" s="1003" t="n">
        <v>1</v>
      </c>
      <c r="N1968" s="837" t="n">
        <f aca="false">L1968*M1968</f>
        <v>12250</v>
      </c>
      <c r="O1968" s="943" t="n">
        <f aca="false">H1968*N1968</f>
        <v>350227.5</v>
      </c>
      <c r="P1968" s="838" t="s">
        <v>2197</v>
      </c>
      <c r="Q1968" s="839" t="s">
        <v>3108</v>
      </c>
      <c r="R1968" s="840" t="n">
        <v>156959.1</v>
      </c>
      <c r="S1968" s="840" t="n">
        <f aca="false">R1968/H1968</f>
        <v>5490</v>
      </c>
      <c r="T1968" s="1017" t="n">
        <f aca="false">O1968-R1968-R1969</f>
        <v>0</v>
      </c>
      <c r="U1968" s="842" t="n">
        <f aca="false">N1968-S1968-S1969</f>
        <v>0</v>
      </c>
    </row>
    <row r="1969" customFormat="false" ht="15" hidden="false" customHeight="true" outlineLevel="0" collapsed="false">
      <c r="A1969" s="829"/>
      <c r="B1969" s="830"/>
      <c r="C1969" s="830"/>
      <c r="D1969" s="887" t="s">
        <v>10</v>
      </c>
      <c r="E1969" s="887" t="s">
        <v>2192</v>
      </c>
      <c r="F1969" s="832"/>
      <c r="G1969" s="833"/>
      <c r="H1969" s="1526"/>
      <c r="I1969" s="1020"/>
      <c r="J1969" s="1020"/>
      <c r="K1969" s="836"/>
      <c r="L1969" s="837"/>
      <c r="M1969" s="1003"/>
      <c r="N1969" s="837"/>
      <c r="O1969" s="943"/>
      <c r="P1969" s="888" t="s">
        <v>2197</v>
      </c>
      <c r="Q1969" s="889" t="s">
        <v>3109</v>
      </c>
      <c r="R1969" s="890" t="n">
        <v>193268.4</v>
      </c>
      <c r="S1969" s="846" t="n">
        <f aca="false">R1969/H1968</f>
        <v>6760</v>
      </c>
      <c r="T1969" s="1017"/>
      <c r="U1969" s="842"/>
    </row>
    <row r="1970" customFormat="false" ht="15" hidden="false" customHeight="true" outlineLevel="0" collapsed="false">
      <c r="A1970" s="847" t="n">
        <v>187</v>
      </c>
      <c r="B1970" s="847" t="s">
        <v>81</v>
      </c>
      <c r="C1970" s="847" t="n">
        <v>2024</v>
      </c>
      <c r="D1970" s="848" t="s">
        <v>10</v>
      </c>
      <c r="E1970" s="848" t="s">
        <v>2192</v>
      </c>
      <c r="F1970" s="848" t="s">
        <v>2199</v>
      </c>
      <c r="G1970" s="849"/>
      <c r="H1970" s="1523" t="n">
        <v>86.1</v>
      </c>
      <c r="I1970" s="1397" t="n">
        <v>78</v>
      </c>
      <c r="J1970" s="1397"/>
      <c r="K1970" s="852" t="n">
        <f aca="false">H1970*I1970/100</f>
        <v>67.158</v>
      </c>
      <c r="L1970" s="537" t="n">
        <v>8720</v>
      </c>
      <c r="M1970" s="1007" t="n">
        <v>1</v>
      </c>
      <c r="N1970" s="1143" t="n">
        <f aca="false">L1970*M1970</f>
        <v>8720</v>
      </c>
      <c r="O1970" s="1143" t="n">
        <f aca="false">H1970*N1970</f>
        <v>750792</v>
      </c>
      <c r="P1970" s="856" t="s">
        <v>2200</v>
      </c>
      <c r="Q1970" s="857" t="s">
        <v>3110</v>
      </c>
      <c r="R1970" s="854" t="n">
        <v>750792</v>
      </c>
      <c r="S1970" s="877" t="n">
        <f aca="false">R1970/H1970</f>
        <v>8720</v>
      </c>
      <c r="T1970" s="858" t="n">
        <f aca="false">O1970-R1970</f>
        <v>0</v>
      </c>
      <c r="U1970" s="537" t="n">
        <f aca="false">N1970-S1970</f>
        <v>0</v>
      </c>
    </row>
    <row r="1971" customFormat="false" ht="15" hidden="false" customHeight="true" outlineLevel="0" collapsed="false">
      <c r="A1971" s="847" t="n">
        <v>188</v>
      </c>
      <c r="B1971" s="847" t="s">
        <v>81</v>
      </c>
      <c r="C1971" s="847" t="n">
        <v>2024</v>
      </c>
      <c r="D1971" s="848" t="s">
        <v>10</v>
      </c>
      <c r="E1971" s="848" t="s">
        <v>2192</v>
      </c>
      <c r="F1971" s="848" t="s">
        <v>2199</v>
      </c>
      <c r="G1971" s="849"/>
      <c r="H1971" s="1523" t="n">
        <v>87.7</v>
      </c>
      <c r="I1971" s="1397"/>
      <c r="J1971" s="1397"/>
      <c r="K1971" s="852" t="n">
        <f aca="false">H1971*I1971/100</f>
        <v>0</v>
      </c>
      <c r="L1971" s="537" t="n">
        <v>12640</v>
      </c>
      <c r="M1971" s="1007" t="n">
        <v>1</v>
      </c>
      <c r="N1971" s="1143" t="n">
        <f aca="false">L1971*M1971</f>
        <v>12640</v>
      </c>
      <c r="O1971" s="1143" t="n">
        <f aca="false">H1971*N1971</f>
        <v>1108528</v>
      </c>
      <c r="P1971" s="856" t="s">
        <v>2200</v>
      </c>
      <c r="Q1971" s="857" t="s">
        <v>3111</v>
      </c>
      <c r="R1971" s="854" t="n">
        <v>1108528</v>
      </c>
      <c r="S1971" s="877" t="n">
        <f aca="false">R1971/H1971</f>
        <v>12640</v>
      </c>
      <c r="T1971" s="858" t="n">
        <f aca="false">O1971-R1971</f>
        <v>0</v>
      </c>
      <c r="U1971" s="537" t="n">
        <f aca="false">N1971-S1971</f>
        <v>0</v>
      </c>
    </row>
    <row r="1972" customFormat="false" ht="15" hidden="false" customHeight="true" outlineLevel="0" collapsed="false">
      <c r="A1972" s="903" t="n">
        <v>189</v>
      </c>
      <c r="B1972" s="903" t="s">
        <v>81</v>
      </c>
      <c r="C1972" s="903" t="n">
        <v>2024</v>
      </c>
      <c r="D1972" s="904" t="s">
        <v>10</v>
      </c>
      <c r="E1972" s="904" t="s">
        <v>2192</v>
      </c>
      <c r="F1972" s="904" t="s">
        <v>2199</v>
      </c>
      <c r="G1972" s="905"/>
      <c r="H1972" s="1524" t="n">
        <v>87.7</v>
      </c>
      <c r="I1972" s="1055"/>
      <c r="J1972" s="1055"/>
      <c r="K1972" s="939" t="n">
        <f aca="false">H1972*I1972/100</f>
        <v>0</v>
      </c>
      <c r="L1972" s="942" t="n">
        <v>13940</v>
      </c>
      <c r="M1972" s="1023" t="n">
        <v>1</v>
      </c>
      <c r="N1972" s="1137" t="n">
        <f aca="false">L1972*M1972</f>
        <v>13940</v>
      </c>
      <c r="O1972" s="1137" t="n">
        <f aca="false">H1972*N1972</f>
        <v>1222538</v>
      </c>
      <c r="P1972" s="910" t="s">
        <v>2200</v>
      </c>
      <c r="Q1972" s="911" t="s">
        <v>3112</v>
      </c>
      <c r="R1972" s="891" t="n">
        <v>1222538</v>
      </c>
      <c r="S1972" s="877" t="n">
        <f aca="false">R1972/H1972</f>
        <v>13940</v>
      </c>
      <c r="T1972" s="1058" t="n">
        <f aca="false">O1972-R1972</f>
        <v>0</v>
      </c>
      <c r="U1972" s="942" t="n">
        <f aca="false">N1972-S1972</f>
        <v>0</v>
      </c>
    </row>
    <row r="1973" customFormat="false" ht="15" hidden="false" customHeight="true" outlineLevel="0" collapsed="false">
      <c r="A1973" s="829" t="n">
        <v>142</v>
      </c>
      <c r="B1973" s="1453" t="s">
        <v>86</v>
      </c>
      <c r="C1973" s="1453" t="n">
        <v>2024</v>
      </c>
      <c r="D1973" s="915" t="s">
        <v>10</v>
      </c>
      <c r="E1973" s="915" t="s">
        <v>2192</v>
      </c>
      <c r="F1973" s="915" t="s">
        <v>2199</v>
      </c>
      <c r="G1973" s="1454"/>
      <c r="H1973" s="1775" t="n">
        <v>84.1</v>
      </c>
      <c r="I1973" s="1559" t="n">
        <v>73</v>
      </c>
      <c r="J1973" s="1559"/>
      <c r="K1973" s="1457" t="n">
        <f aca="false">H1973*I1973/100</f>
        <v>61.393</v>
      </c>
      <c r="L1973" s="1776" t="n">
        <v>42679</v>
      </c>
      <c r="M1973" s="1459" t="n">
        <v>1</v>
      </c>
      <c r="N1973" s="1460" t="n">
        <f aca="false">L1973*M1973</f>
        <v>42679</v>
      </c>
      <c r="O1973" s="1461" t="n">
        <f aca="false">H1973*N1973</f>
        <v>3589303.9</v>
      </c>
      <c r="P1973" s="1193" t="s">
        <v>2197</v>
      </c>
      <c r="Q1973" s="1312" t="s">
        <v>3113</v>
      </c>
      <c r="R1973" s="1196" t="n">
        <v>201840</v>
      </c>
      <c r="S1973" s="1196" t="n">
        <f aca="false">R1973/H1973</f>
        <v>2400</v>
      </c>
      <c r="T1973" s="1561" t="n">
        <f aca="false">O1973-R1973</f>
        <v>3387463.9</v>
      </c>
      <c r="U1973" s="1464" t="n">
        <f aca="false">N1973-S1973</f>
        <v>40279</v>
      </c>
    </row>
    <row r="1974" customFormat="false" ht="15" hidden="false" customHeight="true" outlineLevel="0" collapsed="false">
      <c r="A1974" s="829"/>
      <c r="B1974" s="1155" t="s">
        <v>86</v>
      </c>
      <c r="C1974" s="1155" t="n">
        <v>2024</v>
      </c>
      <c r="D1974" s="1156" t="s">
        <v>10</v>
      </c>
      <c r="E1974" s="1156" t="s">
        <v>2203</v>
      </c>
      <c r="F1974" s="1156"/>
      <c r="G1974" s="1157"/>
      <c r="H1974" s="1777" t="n">
        <v>44.4</v>
      </c>
      <c r="I1974" s="1513"/>
      <c r="J1974" s="1513"/>
      <c r="K1974" s="1160" t="n">
        <f aca="false">H1974*I1974/100</f>
        <v>0</v>
      </c>
      <c r="L1974" s="1163" t="n">
        <v>12125</v>
      </c>
      <c r="M1974" s="1162" t="n">
        <v>1</v>
      </c>
      <c r="N1974" s="1321" t="n">
        <f aca="false">L1974*M1974</f>
        <v>12125</v>
      </c>
      <c r="O1974" s="1391" t="n">
        <f aca="false">H1974*N1974</f>
        <v>538350</v>
      </c>
      <c r="P1974" s="1165"/>
      <c r="Q1974" s="1323"/>
      <c r="R1974" s="1168"/>
      <c r="S1974" s="1168"/>
      <c r="T1974" s="1169" t="n">
        <f aca="false">O1974-R1974</f>
        <v>538350</v>
      </c>
      <c r="U1974" s="1170" t="n">
        <f aca="false">N1974-S1974</f>
        <v>12125</v>
      </c>
    </row>
    <row r="1975" customFormat="false" ht="15" hidden="false" customHeight="true" outlineLevel="0" collapsed="false">
      <c r="A1975" s="829"/>
      <c r="B1975" s="1155" t="s">
        <v>86</v>
      </c>
      <c r="C1975" s="1155" t="n">
        <v>2024</v>
      </c>
      <c r="D1975" s="1156" t="s">
        <v>10</v>
      </c>
      <c r="E1975" s="1156" t="s">
        <v>2241</v>
      </c>
      <c r="F1975" s="1156"/>
      <c r="G1975" s="1157"/>
      <c r="H1975" s="1777" t="n">
        <v>47.7</v>
      </c>
      <c r="I1975" s="1513"/>
      <c r="J1975" s="1513"/>
      <c r="K1975" s="1160" t="n">
        <f aca="false">H1975*I1975/100</f>
        <v>0</v>
      </c>
      <c r="L1975" s="1163" t="n">
        <v>14243</v>
      </c>
      <c r="M1975" s="1162" t="n">
        <v>1</v>
      </c>
      <c r="N1975" s="1321" t="n">
        <f aca="false">L1975*M1975</f>
        <v>14243</v>
      </c>
      <c r="O1975" s="1391" t="n">
        <f aca="false">H1975*N1975</f>
        <v>679391.1</v>
      </c>
      <c r="P1975" s="1165"/>
      <c r="Q1975" s="1323"/>
      <c r="R1975" s="1168"/>
      <c r="S1975" s="1168"/>
      <c r="T1975" s="1169" t="n">
        <f aca="false">O1975-R1975</f>
        <v>679391.1</v>
      </c>
      <c r="U1975" s="1170" t="n">
        <f aca="false">N1975-S1975</f>
        <v>14243</v>
      </c>
    </row>
    <row r="1976" customFormat="false" ht="15" hidden="false" customHeight="true" outlineLevel="0" collapsed="false">
      <c r="A1976" s="829"/>
      <c r="B1976" s="1072" t="s">
        <v>86</v>
      </c>
      <c r="C1976" s="1072" t="n">
        <v>2024</v>
      </c>
      <c r="D1976" s="887" t="s">
        <v>10</v>
      </c>
      <c r="E1976" s="887" t="s">
        <v>2205</v>
      </c>
      <c r="F1976" s="887"/>
      <c r="G1976" s="1062"/>
      <c r="H1976" s="1522" t="n">
        <v>2.5</v>
      </c>
      <c r="I1976" s="1078"/>
      <c r="J1976" s="1078"/>
      <c r="K1976" s="1064" t="n">
        <f aca="false">H1976*I1976/100</f>
        <v>0</v>
      </c>
      <c r="L1976" s="1067" t="n">
        <v>56611</v>
      </c>
      <c r="M1976" s="1066" t="n">
        <v>1</v>
      </c>
      <c r="N1976" s="1082" t="n">
        <f aca="false">L1976*M1976</f>
        <v>56611</v>
      </c>
      <c r="O1976" s="1394" t="n">
        <f aca="false">H1976*N1976</f>
        <v>141527.5</v>
      </c>
      <c r="P1976" s="888" t="s">
        <v>2204</v>
      </c>
      <c r="Q1976" s="889" t="n">
        <v>20032025</v>
      </c>
      <c r="R1976" s="890" t="n">
        <v>141527.5</v>
      </c>
      <c r="S1976" s="846" t="n">
        <f aca="false">R1976/H1976</f>
        <v>56611</v>
      </c>
      <c r="T1976" s="1069" t="n">
        <f aca="false">O1976-R1976</f>
        <v>0</v>
      </c>
      <c r="U1976" s="1070" t="n">
        <f aca="false">N1976-S1976</f>
        <v>0</v>
      </c>
    </row>
    <row r="1977" customFormat="false" ht="15" hidden="false" customHeight="true" outlineLevel="0" collapsed="false">
      <c r="A1977" s="1060" t="n">
        <v>145</v>
      </c>
      <c r="B1977" s="847" t="s">
        <v>86</v>
      </c>
      <c r="C1977" s="847" t="n">
        <v>2024</v>
      </c>
      <c r="D1977" s="848" t="s">
        <v>10</v>
      </c>
      <c r="E1977" s="848" t="s">
        <v>2192</v>
      </c>
      <c r="F1977" s="848" t="s">
        <v>1650</v>
      </c>
      <c r="G1977" s="849"/>
      <c r="H1977" s="1523" t="n">
        <v>94.8</v>
      </c>
      <c r="I1977" s="1397"/>
      <c r="J1977" s="1397"/>
      <c r="K1977" s="852" t="n">
        <f aca="false">H1977*I1977/100</f>
        <v>0</v>
      </c>
      <c r="L1977" s="537" t="n">
        <v>7158</v>
      </c>
      <c r="M1977" s="1007" t="n">
        <v>1</v>
      </c>
      <c r="N1977" s="1143" t="n">
        <f aca="false">L1977*M1977</f>
        <v>7158</v>
      </c>
      <c r="O1977" s="1386" t="n">
        <f aca="false">H1977*N1977</f>
        <v>678578.4</v>
      </c>
      <c r="P1977" s="856" t="s">
        <v>2232</v>
      </c>
      <c r="Q1977" s="857" t="s">
        <v>3103</v>
      </c>
      <c r="R1977" s="854" t="n">
        <v>678578.4</v>
      </c>
      <c r="S1977" s="891" t="n">
        <f aca="false">R1977/H1977</f>
        <v>7158</v>
      </c>
      <c r="T1977" s="858" t="n">
        <f aca="false">O1977-R1977</f>
        <v>0</v>
      </c>
      <c r="U1977" s="892" t="n">
        <f aca="false">N1977-S1977</f>
        <v>0</v>
      </c>
    </row>
    <row r="1978" customFormat="false" ht="15" hidden="false" customHeight="true" outlineLevel="0" collapsed="false">
      <c r="A1978" s="1060"/>
      <c r="B1978" s="1155" t="s">
        <v>86</v>
      </c>
      <c r="C1978" s="1155" t="n">
        <v>2024</v>
      </c>
      <c r="D1978" s="1156" t="s">
        <v>10</v>
      </c>
      <c r="E1978" s="1156" t="s">
        <v>2242</v>
      </c>
      <c r="F1978" s="1156"/>
      <c r="G1978" s="1157"/>
      <c r="H1978" s="1777" t="n">
        <v>70</v>
      </c>
      <c r="I1978" s="1513"/>
      <c r="J1978" s="1513"/>
      <c r="K1978" s="1160" t="n">
        <f aca="false">H1978*I1978/100</f>
        <v>0</v>
      </c>
      <c r="L1978" s="1163" t="n">
        <v>372</v>
      </c>
      <c r="M1978" s="1162" t="n">
        <v>1</v>
      </c>
      <c r="N1978" s="1321" t="n">
        <f aca="false">L1978*M1978</f>
        <v>372</v>
      </c>
      <c r="O1978" s="1391" t="n">
        <f aca="false">H1978*N1978</f>
        <v>26040</v>
      </c>
      <c r="P1978" s="1165"/>
      <c r="Q1978" s="1323"/>
      <c r="R1978" s="1168"/>
      <c r="S1978" s="1218"/>
      <c r="T1978" s="1169" t="n">
        <f aca="false">O1978-R1978</f>
        <v>26040</v>
      </c>
      <c r="U1978" s="1170" t="n">
        <f aca="false">N1978-S1978</f>
        <v>372</v>
      </c>
    </row>
    <row r="1979" customFormat="false" ht="15" hidden="false" customHeight="true" outlineLevel="0" collapsed="false">
      <c r="A1979" s="1060"/>
      <c r="B1979" s="1155" t="s">
        <v>86</v>
      </c>
      <c r="C1979" s="1155" t="n">
        <v>2024</v>
      </c>
      <c r="D1979" s="1156" t="s">
        <v>10</v>
      </c>
      <c r="E1979" s="1156" t="s">
        <v>2203</v>
      </c>
      <c r="F1979" s="1156"/>
      <c r="G1979" s="1157"/>
      <c r="H1979" s="1777" t="n">
        <v>47</v>
      </c>
      <c r="I1979" s="1513"/>
      <c r="J1979" s="1513"/>
      <c r="K1979" s="1160" t="n">
        <f aca="false">H1979*I1979/100</f>
        <v>0</v>
      </c>
      <c r="L1979" s="1163" t="n">
        <v>482</v>
      </c>
      <c r="M1979" s="1162" t="n">
        <v>1</v>
      </c>
      <c r="N1979" s="1321" t="n">
        <f aca="false">L1979*M1979</f>
        <v>482</v>
      </c>
      <c r="O1979" s="1391" t="n">
        <f aca="false">H1979*N1979</f>
        <v>22654</v>
      </c>
      <c r="P1979" s="1165"/>
      <c r="Q1979" s="1323"/>
      <c r="R1979" s="1168"/>
      <c r="S1979" s="1168"/>
      <c r="T1979" s="1169" t="n">
        <f aca="false">O1979-R1979</f>
        <v>22654</v>
      </c>
      <c r="U1979" s="1170" t="n">
        <f aca="false">N1979-S1979</f>
        <v>482</v>
      </c>
    </row>
    <row r="1980" customFormat="false" ht="15" hidden="false" customHeight="true" outlineLevel="0" collapsed="false">
      <c r="A1980" s="1060"/>
      <c r="B1980" s="1481" t="s">
        <v>86</v>
      </c>
      <c r="C1980" s="1481" t="n">
        <v>2024</v>
      </c>
      <c r="D1980" s="1482" t="s">
        <v>10</v>
      </c>
      <c r="E1980" s="1482" t="s">
        <v>2205</v>
      </c>
      <c r="F1980" s="1482"/>
      <c r="G1980" s="1484"/>
      <c r="H1980" s="1778" t="n">
        <v>0</v>
      </c>
      <c r="I1980" s="1515"/>
      <c r="J1980" s="1515"/>
      <c r="K1980" s="1486" t="n">
        <f aca="false">H1980*I1980/100</f>
        <v>0</v>
      </c>
      <c r="L1980" s="1492" t="n">
        <v>520</v>
      </c>
      <c r="M1980" s="1488" t="n">
        <v>1</v>
      </c>
      <c r="N1980" s="1487" t="n">
        <f aca="false">L1980*M1980</f>
        <v>520</v>
      </c>
      <c r="O1980" s="1519" t="n">
        <f aca="false">H1980*N1980</f>
        <v>0</v>
      </c>
      <c r="P1980" s="1489"/>
      <c r="Q1980" s="1490"/>
      <c r="R1980" s="1491"/>
      <c r="S1980" s="1491"/>
      <c r="T1980" s="1779" t="n">
        <f aca="false">O1980-R1980</f>
        <v>0</v>
      </c>
      <c r="U1980" s="1493" t="n">
        <f aca="false">N1980-S1980</f>
        <v>520</v>
      </c>
    </row>
    <row r="1981" customFormat="false" ht="15" hidden="false" customHeight="true" outlineLevel="0" collapsed="false">
      <c r="A1981" s="829" t="n">
        <v>146</v>
      </c>
      <c r="B1981" s="1173" t="s">
        <v>86</v>
      </c>
      <c r="C1981" s="1173" t="n">
        <v>2024</v>
      </c>
      <c r="D1981" s="831" t="s">
        <v>10</v>
      </c>
      <c r="E1981" s="831" t="s">
        <v>2192</v>
      </c>
      <c r="F1981" s="831" t="s">
        <v>1650</v>
      </c>
      <c r="G1981" s="1108"/>
      <c r="H1981" s="1759" t="n">
        <v>94.5</v>
      </c>
      <c r="I1981" s="1435"/>
      <c r="J1981" s="1435"/>
      <c r="K1981" s="1111" t="n">
        <f aca="false">H1981*I1981/100</f>
        <v>0</v>
      </c>
      <c r="L1981" s="1114" t="n">
        <v>10910</v>
      </c>
      <c r="M1981" s="1113" t="n">
        <v>1</v>
      </c>
      <c r="N1981" s="1408" t="n">
        <f aca="false">L1981*M1981</f>
        <v>10910</v>
      </c>
      <c r="O1981" s="1409" t="n">
        <f aca="false">H1981*N1981</f>
        <v>1030995</v>
      </c>
      <c r="P1981" s="838" t="s">
        <v>2232</v>
      </c>
      <c r="Q1981" s="839" t="s">
        <v>3103</v>
      </c>
      <c r="R1981" s="840" t="n">
        <v>1030995</v>
      </c>
      <c r="S1981" s="877" t="n">
        <f aca="false">R1981/H1981</f>
        <v>10910</v>
      </c>
      <c r="T1981" s="1115" t="n">
        <f aca="false">O1981-R1981</f>
        <v>0</v>
      </c>
      <c r="U1981" s="1176" t="n">
        <f aca="false">N1981-S1981</f>
        <v>0</v>
      </c>
    </row>
    <row r="1982" customFormat="false" ht="15" hidden="false" customHeight="true" outlineLevel="0" collapsed="false">
      <c r="A1982" s="829"/>
      <c r="B1982" s="1155" t="s">
        <v>86</v>
      </c>
      <c r="C1982" s="1155" t="n">
        <v>2024</v>
      </c>
      <c r="D1982" s="1156" t="s">
        <v>10</v>
      </c>
      <c r="E1982" s="1156" t="s">
        <v>2203</v>
      </c>
      <c r="F1982" s="1156"/>
      <c r="G1982" s="1157"/>
      <c r="H1982" s="1777" t="n">
        <v>16.5</v>
      </c>
      <c r="I1982" s="1513"/>
      <c r="J1982" s="1513"/>
      <c r="K1982" s="1160" t="n">
        <f aca="false">H1982*I1982/100</f>
        <v>0</v>
      </c>
      <c r="L1982" s="1163" t="n">
        <v>669</v>
      </c>
      <c r="M1982" s="1162" t="n">
        <v>1</v>
      </c>
      <c r="N1982" s="1321" t="n">
        <f aca="false">L1982*M1982</f>
        <v>669</v>
      </c>
      <c r="O1982" s="1391" t="n">
        <f aca="false">H1982*N1982</f>
        <v>11038.5</v>
      </c>
      <c r="P1982" s="1165"/>
      <c r="Q1982" s="1323"/>
      <c r="R1982" s="1168"/>
      <c r="S1982" s="1218"/>
      <c r="T1982" s="1169" t="n">
        <f aca="false">O1982-R1982</f>
        <v>11038.5</v>
      </c>
      <c r="U1982" s="1170" t="n">
        <f aca="false">N1982-S1982</f>
        <v>669</v>
      </c>
    </row>
    <row r="1983" customFormat="false" ht="15" hidden="false" customHeight="true" outlineLevel="0" collapsed="false">
      <c r="A1983" s="829"/>
      <c r="B1983" s="1155" t="s">
        <v>86</v>
      </c>
      <c r="C1983" s="1155" t="n">
        <v>2024</v>
      </c>
      <c r="D1983" s="1156" t="s">
        <v>10</v>
      </c>
      <c r="E1983" s="1156" t="s">
        <v>2241</v>
      </c>
      <c r="F1983" s="1156"/>
      <c r="G1983" s="1157"/>
      <c r="H1983" s="1777" t="n">
        <v>25.7</v>
      </c>
      <c r="I1983" s="1513"/>
      <c r="J1983" s="1513"/>
      <c r="K1983" s="1160" t="n">
        <f aca="false">H1983*I1983/100</f>
        <v>0</v>
      </c>
      <c r="L1983" s="1163" t="n">
        <v>750</v>
      </c>
      <c r="M1983" s="1162" t="n">
        <v>1</v>
      </c>
      <c r="N1983" s="1321" t="n">
        <f aca="false">L1983*M1983</f>
        <v>750</v>
      </c>
      <c r="O1983" s="1391" t="n">
        <f aca="false">H1983*N1983</f>
        <v>19275</v>
      </c>
      <c r="P1983" s="1165"/>
      <c r="Q1983" s="1323"/>
      <c r="R1983" s="1168"/>
      <c r="S1983" s="1168"/>
      <c r="T1983" s="1169" t="n">
        <f aca="false">O1983-R1983</f>
        <v>19275</v>
      </c>
      <c r="U1983" s="1170" t="n">
        <f aca="false">N1983-S1983</f>
        <v>750</v>
      </c>
    </row>
    <row r="1984" customFormat="false" ht="15" hidden="false" customHeight="true" outlineLevel="0" collapsed="false">
      <c r="A1984" s="829"/>
      <c r="B1984" s="1481" t="s">
        <v>86</v>
      </c>
      <c r="C1984" s="1481" t="n">
        <v>2024</v>
      </c>
      <c r="D1984" s="1482" t="s">
        <v>10</v>
      </c>
      <c r="E1984" s="1482" t="s">
        <v>2205</v>
      </c>
      <c r="F1984" s="1482"/>
      <c r="G1984" s="1484"/>
      <c r="H1984" s="1778" t="n">
        <v>0</v>
      </c>
      <c r="I1984" s="1515"/>
      <c r="J1984" s="1515"/>
      <c r="K1984" s="1486" t="n">
        <f aca="false">H1984*I1984/100</f>
        <v>0</v>
      </c>
      <c r="L1984" s="1492" t="n">
        <v>964</v>
      </c>
      <c r="M1984" s="1488" t="n">
        <v>1</v>
      </c>
      <c r="N1984" s="1487" t="n">
        <f aca="false">L1984*M1984</f>
        <v>964</v>
      </c>
      <c r="O1984" s="1519" t="n">
        <f aca="false">H1984*N1984</f>
        <v>0</v>
      </c>
      <c r="P1984" s="1489"/>
      <c r="Q1984" s="1490"/>
      <c r="R1984" s="1491"/>
      <c r="S1984" s="1491"/>
      <c r="T1984" s="1779" t="n">
        <f aca="false">O1984-R1984</f>
        <v>0</v>
      </c>
      <c r="U1984" s="1493" t="n">
        <f aca="false">N1984-S1984</f>
        <v>964</v>
      </c>
    </row>
    <row r="1985" customFormat="false" ht="15" hidden="false" customHeight="true" outlineLevel="0" collapsed="false">
      <c r="A1985" s="829" t="n">
        <v>147</v>
      </c>
      <c r="B1985" s="1173" t="s">
        <v>86</v>
      </c>
      <c r="C1985" s="1173" t="n">
        <v>2024</v>
      </c>
      <c r="D1985" s="831" t="s">
        <v>10</v>
      </c>
      <c r="E1985" s="831" t="s">
        <v>2192</v>
      </c>
      <c r="F1985" s="831" t="s">
        <v>1650</v>
      </c>
      <c r="G1985" s="1108"/>
      <c r="H1985" s="1759" t="n">
        <v>95.3</v>
      </c>
      <c r="I1985" s="1435"/>
      <c r="J1985" s="1435"/>
      <c r="K1985" s="1111" t="n">
        <f aca="false">H1985*I1985/100</f>
        <v>0</v>
      </c>
      <c r="L1985" s="1114" t="n">
        <v>10735</v>
      </c>
      <c r="M1985" s="1113" t="n">
        <v>1</v>
      </c>
      <c r="N1985" s="1408" t="n">
        <f aca="false">L1985*M1985</f>
        <v>10735</v>
      </c>
      <c r="O1985" s="1409" t="n">
        <f aca="false">H1985*N1985</f>
        <v>1023045.5</v>
      </c>
      <c r="P1985" s="838" t="s">
        <v>2232</v>
      </c>
      <c r="Q1985" s="839" t="s">
        <v>3103</v>
      </c>
      <c r="R1985" s="840" t="n">
        <v>1023045.5</v>
      </c>
      <c r="S1985" s="886" t="n">
        <f aca="false">R1985/H1985</f>
        <v>10735</v>
      </c>
      <c r="T1985" s="1115" t="n">
        <f aca="false">O1985-R1985</f>
        <v>0</v>
      </c>
      <c r="U1985" s="1176" t="n">
        <f aca="false">N1985-S1985</f>
        <v>0</v>
      </c>
    </row>
    <row r="1986" customFormat="false" ht="15" hidden="false" customHeight="true" outlineLevel="0" collapsed="false">
      <c r="A1986" s="829"/>
      <c r="B1986" s="1155" t="s">
        <v>86</v>
      </c>
      <c r="C1986" s="1155" t="n">
        <v>2024</v>
      </c>
      <c r="D1986" s="1156" t="s">
        <v>10</v>
      </c>
      <c r="E1986" s="1156" t="s">
        <v>2242</v>
      </c>
      <c r="F1986" s="1156"/>
      <c r="G1986" s="1157"/>
      <c r="H1986" s="1777" t="n">
        <v>49.8</v>
      </c>
      <c r="I1986" s="1513"/>
      <c r="J1986" s="1513"/>
      <c r="K1986" s="1160" t="n">
        <f aca="false">H1986*I1986/100</f>
        <v>0</v>
      </c>
      <c r="L1986" s="1163" t="n">
        <v>342</v>
      </c>
      <c r="M1986" s="1162" t="n">
        <v>1</v>
      </c>
      <c r="N1986" s="1321" t="n">
        <f aca="false">L1986*M1986</f>
        <v>342</v>
      </c>
      <c r="O1986" s="1391" t="n">
        <f aca="false">H1986*N1986</f>
        <v>17031.6</v>
      </c>
      <c r="P1986" s="1165"/>
      <c r="Q1986" s="1323"/>
      <c r="R1986" s="1168"/>
      <c r="S1986" s="1218"/>
      <c r="T1986" s="1169" t="n">
        <f aca="false">O1986-R1986</f>
        <v>17031.6</v>
      </c>
      <c r="U1986" s="1170" t="n">
        <f aca="false">N1986-S1986</f>
        <v>342</v>
      </c>
    </row>
    <row r="1987" customFormat="false" ht="15" hidden="false" customHeight="true" outlineLevel="0" collapsed="false">
      <c r="A1987" s="829"/>
      <c r="B1987" s="1155" t="s">
        <v>86</v>
      </c>
      <c r="C1987" s="1155" t="n">
        <v>2024</v>
      </c>
      <c r="D1987" s="1156" t="s">
        <v>10</v>
      </c>
      <c r="E1987" s="1156" t="s">
        <v>2203</v>
      </c>
      <c r="F1987" s="1156"/>
      <c r="G1987" s="1157"/>
      <c r="H1987" s="1777" t="n">
        <v>24.6</v>
      </c>
      <c r="I1987" s="1513"/>
      <c r="J1987" s="1513"/>
      <c r="K1987" s="1160" t="n">
        <f aca="false">H1987*I1987/100</f>
        <v>0</v>
      </c>
      <c r="L1987" s="1163" t="n">
        <v>625</v>
      </c>
      <c r="M1987" s="1162" t="n">
        <v>1</v>
      </c>
      <c r="N1987" s="1321" t="n">
        <f aca="false">L1987*M1987</f>
        <v>625</v>
      </c>
      <c r="O1987" s="1391" t="n">
        <f aca="false">H1987*N1987</f>
        <v>15375</v>
      </c>
      <c r="P1987" s="1165"/>
      <c r="Q1987" s="1323"/>
      <c r="R1987" s="1168"/>
      <c r="S1987" s="1168"/>
      <c r="T1987" s="1169" t="n">
        <f aca="false">O1987-R1987</f>
        <v>15375</v>
      </c>
      <c r="U1987" s="1170" t="n">
        <f aca="false">N1987-S1987</f>
        <v>625</v>
      </c>
    </row>
    <row r="1988" customFormat="false" ht="15" hidden="false" customHeight="true" outlineLevel="0" collapsed="false">
      <c r="A1988" s="829"/>
      <c r="B1988" s="1155" t="s">
        <v>86</v>
      </c>
      <c r="C1988" s="1155" t="n">
        <v>2024</v>
      </c>
      <c r="D1988" s="1156" t="s">
        <v>10</v>
      </c>
      <c r="E1988" s="1156" t="s">
        <v>2241</v>
      </c>
      <c r="F1988" s="1156"/>
      <c r="G1988" s="1157"/>
      <c r="H1988" s="1777" t="n">
        <v>13.3</v>
      </c>
      <c r="I1988" s="1513"/>
      <c r="J1988" s="1513"/>
      <c r="K1988" s="1160" t="n">
        <f aca="false">H1988*I1988/100</f>
        <v>0</v>
      </c>
      <c r="L1988" s="1163" t="n">
        <v>830</v>
      </c>
      <c r="M1988" s="1162" t="n">
        <v>1</v>
      </c>
      <c r="N1988" s="1321" t="n">
        <f aca="false">L1988*M1988</f>
        <v>830</v>
      </c>
      <c r="O1988" s="1391" t="n">
        <f aca="false">H1988*N1988</f>
        <v>11039</v>
      </c>
      <c r="P1988" s="1165"/>
      <c r="Q1988" s="1323"/>
      <c r="R1988" s="1168"/>
      <c r="S1988" s="1168"/>
      <c r="T1988" s="1169" t="n">
        <f aca="false">O1988-R1988</f>
        <v>11039</v>
      </c>
      <c r="U1988" s="1170" t="n">
        <f aca="false">N1988-S1988</f>
        <v>830</v>
      </c>
    </row>
    <row r="1989" customFormat="false" ht="15" hidden="false" customHeight="true" outlineLevel="0" collapsed="false">
      <c r="A1989" s="829"/>
      <c r="B1989" s="1481" t="s">
        <v>86</v>
      </c>
      <c r="C1989" s="1481" t="n">
        <v>2024</v>
      </c>
      <c r="D1989" s="1482" t="s">
        <v>10</v>
      </c>
      <c r="E1989" s="1482" t="s">
        <v>2205</v>
      </c>
      <c r="F1989" s="1482"/>
      <c r="G1989" s="1484"/>
      <c r="H1989" s="1778" t="n">
        <v>0</v>
      </c>
      <c r="I1989" s="1515"/>
      <c r="J1989" s="1515"/>
      <c r="K1989" s="1486" t="n">
        <f aca="false">H1989*I1989/100</f>
        <v>0</v>
      </c>
      <c r="L1989" s="1492" t="n">
        <v>934</v>
      </c>
      <c r="M1989" s="1488" t="n">
        <v>1</v>
      </c>
      <c r="N1989" s="1487" t="n">
        <f aca="false">L1989*M1989</f>
        <v>934</v>
      </c>
      <c r="O1989" s="1519" t="n">
        <f aca="false">H1989*N1989</f>
        <v>0</v>
      </c>
      <c r="P1989" s="1489"/>
      <c r="Q1989" s="1490"/>
      <c r="R1989" s="1491"/>
      <c r="S1989" s="1491"/>
      <c r="T1989" s="1779" t="n">
        <f aca="false">O1989-R1989</f>
        <v>0</v>
      </c>
      <c r="U1989" s="1493" t="n">
        <f aca="false">N1989-S1989</f>
        <v>934</v>
      </c>
    </row>
    <row r="1990" customFormat="false" ht="15" hidden="false" customHeight="true" outlineLevel="0" collapsed="false">
      <c r="A1990" s="1186" t="n">
        <v>83</v>
      </c>
      <c r="B1990" s="1187" t="s">
        <v>2230</v>
      </c>
      <c r="C1990" s="1187" t="n">
        <v>2024</v>
      </c>
      <c r="D1990" s="915" t="s">
        <v>10</v>
      </c>
      <c r="E1990" s="915" t="s">
        <v>2192</v>
      </c>
      <c r="F1990" s="916" t="s">
        <v>1650</v>
      </c>
      <c r="G1990" s="917"/>
      <c r="H1990" s="1780" t="n">
        <v>95.0665</v>
      </c>
      <c r="I1990" s="1690" t="n">
        <v>82</v>
      </c>
      <c r="J1990" s="1781"/>
      <c r="K1990" s="920" t="n">
        <f aca="false">H1990*I1990/100</f>
        <v>77.95453</v>
      </c>
      <c r="L1990" s="921" t="n">
        <v>64819</v>
      </c>
      <c r="M1990" s="1191" t="n">
        <v>1</v>
      </c>
      <c r="N1990" s="921" t="n">
        <f aca="false">L1990*M1990</f>
        <v>64819</v>
      </c>
      <c r="O1990" s="1192" t="n">
        <f aca="false">H1990*N1990</f>
        <v>6162115.4635</v>
      </c>
      <c r="P1990" s="923" t="s">
        <v>2197</v>
      </c>
      <c r="Q1990" s="924" t="s">
        <v>3114</v>
      </c>
      <c r="R1990" s="926" t="n">
        <v>570399</v>
      </c>
      <c r="S1990" s="926" t="n">
        <f aca="false">R1990/H1990</f>
        <v>6000</v>
      </c>
      <c r="T1990" s="927" t="n">
        <f aca="false">O1990-R1990-R1993-R1992-R1991</f>
        <v>4663011.825</v>
      </c>
      <c r="U1990" s="928" t="n">
        <f aca="false">N1990-S1990-S1993-S1992-S1991</f>
        <v>49050</v>
      </c>
    </row>
    <row r="1991" customFormat="false" ht="15" hidden="false" customHeight="true" outlineLevel="0" collapsed="false">
      <c r="A1991" s="1186"/>
      <c r="B1991" s="1187"/>
      <c r="C1991" s="1187"/>
      <c r="D1991" s="1090" t="s">
        <v>10</v>
      </c>
      <c r="E1991" s="1090" t="s">
        <v>2192</v>
      </c>
      <c r="F1991" s="916"/>
      <c r="G1991" s="917"/>
      <c r="H1991" s="1780"/>
      <c r="I1991" s="1690"/>
      <c r="J1991" s="1782"/>
      <c r="K1991" s="920"/>
      <c r="L1991" s="921"/>
      <c r="M1991" s="1191"/>
      <c r="N1991" s="921"/>
      <c r="O1991" s="1192"/>
      <c r="P1991" s="930" t="s">
        <v>2197</v>
      </c>
      <c r="Q1991" s="931" t="s">
        <v>3115</v>
      </c>
      <c r="R1991" s="933" t="n">
        <v>570399</v>
      </c>
      <c r="S1991" s="933" t="n">
        <f aca="false">R1991/H1990</f>
        <v>6000</v>
      </c>
      <c r="T1991" s="927"/>
      <c r="U1991" s="928"/>
    </row>
    <row r="1992" customFormat="false" ht="15" hidden="false" customHeight="true" outlineLevel="0" collapsed="false">
      <c r="A1992" s="1186"/>
      <c r="B1992" s="1187"/>
      <c r="C1992" s="1187"/>
      <c r="D1992" s="929" t="s">
        <v>10</v>
      </c>
      <c r="E1992" s="929" t="s">
        <v>2192</v>
      </c>
      <c r="F1992" s="916"/>
      <c r="G1992" s="917"/>
      <c r="H1992" s="1780"/>
      <c r="I1992" s="1690"/>
      <c r="J1992" s="1782"/>
      <c r="K1992" s="920"/>
      <c r="L1992" s="921"/>
      <c r="M1992" s="1191"/>
      <c r="N1992" s="921"/>
      <c r="O1992" s="1192"/>
      <c r="P1992" s="930" t="s">
        <v>2193</v>
      </c>
      <c r="Q1992" s="931" t="s">
        <v>2689</v>
      </c>
      <c r="R1992" s="933" t="n">
        <v>244225.8385</v>
      </c>
      <c r="S1992" s="933" t="n">
        <f aca="false">R1992/H1990</f>
        <v>2569</v>
      </c>
      <c r="T1992" s="927"/>
      <c r="U1992" s="928"/>
    </row>
    <row r="1993" customFormat="false" ht="15" hidden="false" customHeight="true" outlineLevel="0" collapsed="false">
      <c r="A1993" s="1186"/>
      <c r="B1993" s="1187"/>
      <c r="C1993" s="1187"/>
      <c r="D1993" s="1671" t="s">
        <v>10</v>
      </c>
      <c r="E1993" s="1671" t="s">
        <v>2192</v>
      </c>
      <c r="F1993" s="916"/>
      <c r="G1993" s="917"/>
      <c r="H1993" s="1780"/>
      <c r="I1993" s="1690"/>
      <c r="J1993" s="1783"/>
      <c r="K1993" s="920"/>
      <c r="L1993" s="921"/>
      <c r="M1993" s="1191"/>
      <c r="N1993" s="921"/>
      <c r="O1993" s="1192"/>
      <c r="P1993" s="1672" t="s">
        <v>2197</v>
      </c>
      <c r="Q1993" s="1698" t="s">
        <v>3116</v>
      </c>
      <c r="R1993" s="1700" t="n">
        <v>114079.8</v>
      </c>
      <c r="S1993" s="1700" t="n">
        <f aca="false">R1993/H1990</f>
        <v>1200</v>
      </c>
      <c r="T1993" s="927"/>
      <c r="U1993" s="928"/>
    </row>
    <row r="1994" customFormat="false" ht="15" hidden="false" customHeight="true" outlineLevel="0" collapsed="false">
      <c r="A1994" s="847" t="n">
        <v>231</v>
      </c>
      <c r="B1994" s="847" t="s">
        <v>2207</v>
      </c>
      <c r="C1994" s="847" t="n">
        <v>2024</v>
      </c>
      <c r="D1994" s="848" t="s">
        <v>10</v>
      </c>
      <c r="E1994" s="848" t="s">
        <v>2192</v>
      </c>
      <c r="F1994" s="848" t="s">
        <v>1652</v>
      </c>
      <c r="G1994" s="849"/>
      <c r="H1994" s="1523" t="n">
        <v>39.1575</v>
      </c>
      <c r="I1994" s="1397"/>
      <c r="J1994" s="1353"/>
      <c r="K1994" s="852" t="n">
        <f aca="false">H1994*I1994/100</f>
        <v>0</v>
      </c>
      <c r="L1994" s="537" t="n">
        <v>6237</v>
      </c>
      <c r="M1994" s="1007" t="n">
        <v>1</v>
      </c>
      <c r="N1994" s="537" t="n">
        <f aca="false">L1994*M1994</f>
        <v>6237</v>
      </c>
      <c r="O1994" s="953" t="n">
        <f aca="false">H1994*N1994</f>
        <v>244225.3275</v>
      </c>
      <c r="P1994" s="856" t="s">
        <v>2197</v>
      </c>
      <c r="Q1994" s="857" t="s">
        <v>3117</v>
      </c>
      <c r="R1994" s="854" t="n">
        <v>244225.3275</v>
      </c>
      <c r="S1994" s="866" t="n">
        <f aca="false">R1994/H1994</f>
        <v>6237</v>
      </c>
      <c r="T1994" s="953" t="n">
        <f aca="false">O1994-R1994</f>
        <v>0</v>
      </c>
      <c r="U1994" s="537" t="n">
        <f aca="false">N1994-S1994</f>
        <v>0</v>
      </c>
    </row>
    <row r="1995" customFormat="false" ht="15" hidden="false" customHeight="true" outlineLevel="0" collapsed="false">
      <c r="A1995" s="1414" t="n">
        <v>61</v>
      </c>
      <c r="B1995" s="1414" t="s">
        <v>2191</v>
      </c>
      <c r="C1995" s="1414" t="n">
        <v>2024</v>
      </c>
      <c r="D1995" s="1415" t="s">
        <v>10</v>
      </c>
      <c r="E1995" s="1415" t="s">
        <v>2192</v>
      </c>
      <c r="F1995" s="1415" t="s">
        <v>1652</v>
      </c>
      <c r="G1995" s="1416"/>
      <c r="H1995" s="1784" t="n">
        <v>43.1426</v>
      </c>
      <c r="I1995" s="1570"/>
      <c r="J1995" s="1570"/>
      <c r="K1995" s="1419" t="n">
        <f aca="false">H1995*I1995/100</f>
        <v>0</v>
      </c>
      <c r="L1995" s="552" t="n">
        <v>236</v>
      </c>
      <c r="M1995" s="1421" t="n">
        <v>15</v>
      </c>
      <c r="N1995" s="552" t="n">
        <f aca="false">L1995*M1995</f>
        <v>3540</v>
      </c>
      <c r="O1995" s="1422" t="n">
        <f aca="false">H1995*N1995</f>
        <v>152724.804</v>
      </c>
      <c r="P1995" s="1423"/>
      <c r="Q1995" s="1739"/>
      <c r="R1995" s="1426"/>
      <c r="S1995" s="1426"/>
      <c r="T1995" s="1422" t="n">
        <f aca="false">O1995-R1995</f>
        <v>152724.804</v>
      </c>
      <c r="U1995" s="552" t="n">
        <f aca="false">N1995-S1995</f>
        <v>3540</v>
      </c>
    </row>
    <row r="1996" customFormat="false" ht="15" hidden="false" customHeight="true" outlineLevel="0" collapsed="false">
      <c r="A1996" s="954" t="n">
        <v>167</v>
      </c>
      <c r="B1996" s="954" t="s">
        <v>2191</v>
      </c>
      <c r="C1996" s="954" t="n">
        <v>2024</v>
      </c>
      <c r="D1996" s="955" t="s">
        <v>10</v>
      </c>
      <c r="E1996" s="955" t="s">
        <v>2192</v>
      </c>
      <c r="F1996" s="955" t="s">
        <v>1651</v>
      </c>
      <c r="G1996" s="956"/>
      <c r="H1996" s="1785" t="n">
        <v>27.8796</v>
      </c>
      <c r="I1996" s="1567"/>
      <c r="J1996" s="1567"/>
      <c r="K1996" s="959" t="n">
        <f aca="false">H1996*I1996/100</f>
        <v>0</v>
      </c>
      <c r="L1996" s="960" t="n">
        <v>388</v>
      </c>
      <c r="M1996" s="1201" t="n">
        <v>15</v>
      </c>
      <c r="N1996" s="1626" t="n">
        <f aca="false">L1996*M1996</f>
        <v>5820</v>
      </c>
      <c r="O1996" s="1627" t="n">
        <f aca="false">H1996*N1996</f>
        <v>162259.272</v>
      </c>
      <c r="P1996" s="963"/>
      <c r="Q1996" s="964"/>
      <c r="R1996" s="1205"/>
      <c r="S1996" s="1205"/>
      <c r="T1996" s="1704" t="n">
        <f aca="false">O1996-R1996</f>
        <v>162259.272</v>
      </c>
      <c r="U1996" s="960" t="n">
        <f aca="false">N1996-S1996</f>
        <v>5820</v>
      </c>
    </row>
    <row r="1997" customFormat="false" ht="15" hidden="false" customHeight="true" outlineLevel="0" collapsed="false">
      <c r="A1997" s="1414" t="n">
        <v>170</v>
      </c>
      <c r="B1997" s="1414" t="s">
        <v>2191</v>
      </c>
      <c r="C1997" s="1414" t="n">
        <v>2024</v>
      </c>
      <c r="D1997" s="1415" t="s">
        <v>10</v>
      </c>
      <c r="E1997" s="1415" t="s">
        <v>2192</v>
      </c>
      <c r="F1997" s="1415" t="s">
        <v>1652</v>
      </c>
      <c r="G1997" s="1416"/>
      <c r="H1997" s="1784" t="n">
        <v>38.6008</v>
      </c>
      <c r="I1997" s="1570"/>
      <c r="J1997" s="1570"/>
      <c r="K1997" s="1419" t="n">
        <f aca="false">H1997*I1997/100</f>
        <v>0</v>
      </c>
      <c r="L1997" s="552" t="n">
        <v>95</v>
      </c>
      <c r="M1997" s="1421" t="n">
        <v>15</v>
      </c>
      <c r="N1997" s="1427" t="n">
        <f aca="false">L1997*M1997</f>
        <v>1425</v>
      </c>
      <c r="O1997" s="1428" t="n">
        <f aca="false">H1997*N1997</f>
        <v>55006.14</v>
      </c>
      <c r="P1997" s="1423"/>
      <c r="Q1997" s="1739"/>
      <c r="R1997" s="1426"/>
      <c r="S1997" s="1426"/>
      <c r="T1997" s="1786" t="n">
        <f aca="false">O1997-R1997</f>
        <v>55006.14</v>
      </c>
      <c r="U1997" s="552" t="n">
        <f aca="false">N1997-S1997</f>
        <v>1425</v>
      </c>
    </row>
    <row r="1998" customFormat="false" ht="15" hidden="false" customHeight="true" outlineLevel="0" collapsed="false">
      <c r="A1998" s="1414" t="n">
        <v>191</v>
      </c>
      <c r="B1998" s="1414" t="s">
        <v>2191</v>
      </c>
      <c r="C1998" s="1414" t="n">
        <v>2024</v>
      </c>
      <c r="D1998" s="1415" t="s">
        <v>10</v>
      </c>
      <c r="E1998" s="1415" t="s">
        <v>2192</v>
      </c>
      <c r="F1998" s="1415" t="s">
        <v>1651</v>
      </c>
      <c r="G1998" s="1416"/>
      <c r="H1998" s="1784" t="n">
        <v>29.5894</v>
      </c>
      <c r="I1998" s="1570"/>
      <c r="J1998" s="1570"/>
      <c r="K1998" s="1419" t="n">
        <f aca="false">H1998*I1998/100</f>
        <v>0</v>
      </c>
      <c r="L1998" s="552" t="n">
        <v>116</v>
      </c>
      <c r="M1998" s="1421" t="n">
        <v>15</v>
      </c>
      <c r="N1998" s="552" t="n">
        <f aca="false">L1998*M1998</f>
        <v>1740</v>
      </c>
      <c r="O1998" s="1422" t="n">
        <f aca="false">H1998*N1998</f>
        <v>51485.556</v>
      </c>
      <c r="P1998" s="1423"/>
      <c r="Q1998" s="1739"/>
      <c r="R1998" s="1426"/>
      <c r="S1998" s="1426"/>
      <c r="T1998" s="1422" t="n">
        <f aca="false">O1998-R1998</f>
        <v>51485.556</v>
      </c>
      <c r="U1998" s="552" t="n">
        <f aca="false">N1998-S1998</f>
        <v>1740</v>
      </c>
    </row>
    <row r="1999" customFormat="false" ht="15" hidden="false" customHeight="true" outlineLevel="0" collapsed="false">
      <c r="A1999" s="1414" t="n">
        <v>492</v>
      </c>
      <c r="B1999" s="1414" t="s">
        <v>2191</v>
      </c>
      <c r="C1999" s="1414" t="n">
        <v>2024</v>
      </c>
      <c r="D1999" s="1415" t="s">
        <v>10</v>
      </c>
      <c r="E1999" s="1415" t="s">
        <v>2192</v>
      </c>
      <c r="F1999" s="1415" t="s">
        <v>1651</v>
      </c>
      <c r="G1999" s="1416"/>
      <c r="H1999" s="1784" t="n">
        <v>28.7263</v>
      </c>
      <c r="I1999" s="1570"/>
      <c r="J1999" s="1787"/>
      <c r="K1999" s="1419" t="n">
        <f aca="false">H1999*I1999/100</f>
        <v>0</v>
      </c>
      <c r="L1999" s="552" t="n">
        <v>152</v>
      </c>
      <c r="M1999" s="1421" t="n">
        <v>15</v>
      </c>
      <c r="N1999" s="552" t="n">
        <f aca="false">L1999*M1999</f>
        <v>2280</v>
      </c>
      <c r="O1999" s="1422" t="n">
        <f aca="false">H1999*N1999</f>
        <v>65495.964</v>
      </c>
      <c r="P1999" s="1423"/>
      <c r="Q1999" s="1739"/>
      <c r="R1999" s="1426"/>
      <c r="S1999" s="1426"/>
      <c r="T1999" s="1422" t="n">
        <f aca="false">O1999-R1999</f>
        <v>65495.964</v>
      </c>
      <c r="U1999" s="552" t="n">
        <f aca="false">N1999-S1999</f>
        <v>2280</v>
      </c>
    </row>
    <row r="2000" customFormat="false" ht="15" hidden="false" customHeight="true" outlineLevel="0" collapsed="false">
      <c r="A2000" s="954" t="n">
        <v>697</v>
      </c>
      <c r="B2000" s="954" t="s">
        <v>2191</v>
      </c>
      <c r="C2000" s="954" t="n">
        <v>2024</v>
      </c>
      <c r="D2000" s="955" t="s">
        <v>10</v>
      </c>
      <c r="E2000" s="955" t="s">
        <v>2192</v>
      </c>
      <c r="F2000" s="955" t="s">
        <v>1651</v>
      </c>
      <c r="G2000" s="956"/>
      <c r="H2000" s="1785" t="n">
        <v>26.9438</v>
      </c>
      <c r="I2000" s="1567"/>
      <c r="J2000" s="1788"/>
      <c r="K2000" s="959" t="n">
        <f aca="false">H2000*I2000/100</f>
        <v>0</v>
      </c>
      <c r="L2000" s="960" t="n">
        <v>82</v>
      </c>
      <c r="M2000" s="1201" t="n">
        <v>15</v>
      </c>
      <c r="N2000" s="960" t="n">
        <f aca="false">L2000*M2000</f>
        <v>1230</v>
      </c>
      <c r="O2000" s="967" t="n">
        <f aca="false">H2000*N2000</f>
        <v>33140.874</v>
      </c>
      <c r="P2000" s="963"/>
      <c r="Q2000" s="964"/>
      <c r="R2000" s="1205"/>
      <c r="S2000" s="1426"/>
      <c r="T2000" s="967" t="n">
        <f aca="false">O2000-R2000</f>
        <v>33140.874</v>
      </c>
      <c r="U2000" s="960" t="n">
        <f aca="false">N2000-S2000</f>
        <v>1230</v>
      </c>
    </row>
    <row r="2001" customFormat="false" ht="15" hidden="false" customHeight="true" outlineLevel="0" collapsed="false">
      <c r="A2001" s="954" t="n">
        <v>75</v>
      </c>
      <c r="B2001" s="954" t="s">
        <v>2191</v>
      </c>
      <c r="C2001" s="954" t="n">
        <v>2024</v>
      </c>
      <c r="D2001" s="955" t="s">
        <v>10</v>
      </c>
      <c r="E2001" s="955" t="s">
        <v>2192</v>
      </c>
      <c r="F2001" s="955" t="s">
        <v>1652</v>
      </c>
      <c r="G2001" s="956"/>
      <c r="H2001" s="1785" t="n">
        <v>38.141</v>
      </c>
      <c r="I2001" s="1567"/>
      <c r="J2001" s="1788"/>
      <c r="K2001" s="959" t="n">
        <f aca="false">H2001*I2001/100</f>
        <v>0</v>
      </c>
      <c r="L2001" s="960" t="n">
        <v>56</v>
      </c>
      <c r="M2001" s="1201" t="n">
        <v>15</v>
      </c>
      <c r="N2001" s="960" t="n">
        <f aca="false">L2001*M2001</f>
        <v>840</v>
      </c>
      <c r="O2001" s="967" t="n">
        <f aca="false">H2001*N2001</f>
        <v>32038.44</v>
      </c>
      <c r="P2001" s="963"/>
      <c r="Q2001" s="964"/>
      <c r="R2001" s="1205"/>
      <c r="S2001" s="1426"/>
      <c r="T2001" s="967" t="n">
        <f aca="false">O2001-R2001</f>
        <v>32038.44</v>
      </c>
      <c r="U2001" s="960" t="n">
        <f aca="false">N2001-S2001</f>
        <v>840</v>
      </c>
    </row>
    <row r="2002" customFormat="false" ht="15" hidden="false" customHeight="true" outlineLevel="0" collapsed="false">
      <c r="A2002" s="859"/>
      <c r="B2002" s="859"/>
      <c r="C2002" s="859"/>
      <c r="D2002" s="860"/>
      <c r="E2002" s="860"/>
      <c r="F2002" s="860"/>
      <c r="G2002" s="861"/>
      <c r="H2002" s="1760"/>
      <c r="I2002" s="1429"/>
      <c r="J2002" s="1429"/>
      <c r="K2002" s="864"/>
      <c r="L2002" s="543"/>
      <c r="M2002" s="983"/>
      <c r="N2002" s="1299"/>
      <c r="O2002" s="1299"/>
      <c r="P2002" s="868"/>
      <c r="Q2002" s="869"/>
      <c r="R2002" s="866"/>
      <c r="S2002" s="866"/>
      <c r="T2002" s="985"/>
      <c r="U2002" s="543"/>
    </row>
    <row r="2003" customFormat="false" ht="15" hidden="false" customHeight="true" outlineLevel="0" collapsed="false">
      <c r="A2003" s="859" t="n">
        <v>10</v>
      </c>
      <c r="B2003" s="859" t="s">
        <v>86</v>
      </c>
      <c r="C2003" s="859" t="n">
        <v>2023</v>
      </c>
      <c r="D2003" s="860" t="s">
        <v>73</v>
      </c>
      <c r="E2003" s="860" t="s">
        <v>2192</v>
      </c>
      <c r="F2003" s="860" t="s">
        <v>1650</v>
      </c>
      <c r="G2003" s="861"/>
      <c r="H2003" s="1760" t="n">
        <v>1</v>
      </c>
      <c r="I2003" s="1429"/>
      <c r="J2003" s="1429"/>
      <c r="K2003" s="864" t="n">
        <f aca="false">H2003*I2003/100</f>
        <v>0</v>
      </c>
      <c r="L2003" s="543" t="n">
        <v>1022</v>
      </c>
      <c r="M2003" s="983" t="n">
        <v>1</v>
      </c>
      <c r="N2003" s="1299" t="n">
        <f aca="false">L2003*M2003</f>
        <v>1022</v>
      </c>
      <c r="O2003" s="1299" t="n">
        <f aca="false">H2003*N2003</f>
        <v>1022</v>
      </c>
      <c r="P2003" s="868" t="s">
        <v>3118</v>
      </c>
      <c r="Q2003" s="869" t="s">
        <v>3119</v>
      </c>
      <c r="R2003" s="866" t="n">
        <v>1022</v>
      </c>
      <c r="S2003" s="866" t="n">
        <f aca="false">R2003/H2003</f>
        <v>1022</v>
      </c>
      <c r="T2003" s="985" t="n">
        <f aca="false">O2003-R2003</f>
        <v>0</v>
      </c>
      <c r="U2003" s="543" t="n">
        <f aca="false">N2003-S2003</f>
        <v>0</v>
      </c>
    </row>
    <row r="2004" customFormat="false" ht="15" hidden="false" customHeight="true" outlineLevel="0" collapsed="false">
      <c r="A2004" s="1155" t="n">
        <v>33</v>
      </c>
      <c r="B2004" s="1155" t="s">
        <v>81</v>
      </c>
      <c r="C2004" s="1155" t="n">
        <v>2023</v>
      </c>
      <c r="D2004" s="1156" t="s">
        <v>73</v>
      </c>
      <c r="E2004" s="1156" t="s">
        <v>2192</v>
      </c>
      <c r="F2004" s="1156" t="s">
        <v>1650</v>
      </c>
      <c r="G2004" s="1157"/>
      <c r="H2004" s="1777" t="n">
        <v>1</v>
      </c>
      <c r="I2004" s="1513"/>
      <c r="J2004" s="1513"/>
      <c r="K2004" s="1212" t="n">
        <f aca="false">H2004*I2004/100</f>
        <v>0</v>
      </c>
      <c r="L2004" s="1163" t="n">
        <v>1022</v>
      </c>
      <c r="M2004" s="1162" t="n">
        <v>1</v>
      </c>
      <c r="N2004" s="1398" t="n">
        <f aca="false">L2004*M2004</f>
        <v>1022</v>
      </c>
      <c r="O2004" s="1398" t="n">
        <f aca="false">H2004*N2004</f>
        <v>1022</v>
      </c>
      <c r="P2004" s="1165"/>
      <c r="Q2004" s="1323"/>
      <c r="R2004" s="1168"/>
      <c r="S2004" s="1168"/>
      <c r="T2004" s="1630" t="n">
        <f aca="false">O2004-R2004</f>
        <v>1022</v>
      </c>
      <c r="U2004" s="1219" t="n">
        <f aca="false">N2004-S2004</f>
        <v>1022</v>
      </c>
    </row>
    <row r="2005" customFormat="false" ht="15" hidden="false" customHeight="true" outlineLevel="0" collapsed="false">
      <c r="A2005" s="1089" t="n">
        <v>62</v>
      </c>
      <c r="B2005" s="1089" t="s">
        <v>81</v>
      </c>
      <c r="C2005" s="1089" t="n">
        <v>2024</v>
      </c>
      <c r="D2005" s="1090" t="s">
        <v>73</v>
      </c>
      <c r="E2005" s="1090" t="s">
        <v>2192</v>
      </c>
      <c r="F2005" s="1090" t="s">
        <v>2199</v>
      </c>
      <c r="G2005" s="1091"/>
      <c r="H2005" s="1789" t="n">
        <v>1</v>
      </c>
      <c r="I2005" s="1790"/>
      <c r="J2005" s="1790"/>
      <c r="K2005" s="973" t="n">
        <f aca="false">H2005*I2005/100</f>
        <v>0</v>
      </c>
      <c r="L2005" s="1101" t="n">
        <v>6160</v>
      </c>
      <c r="M2005" s="1096" t="n">
        <v>1</v>
      </c>
      <c r="N2005" s="1297" t="n">
        <f aca="false">L2005*M2005</f>
        <v>6160</v>
      </c>
      <c r="O2005" s="1297" t="n">
        <f aca="false">H2005*N2005</f>
        <v>6160</v>
      </c>
      <c r="P2005" s="1098"/>
      <c r="Q2005" s="1694"/>
      <c r="R2005" s="1100"/>
      <c r="S2005" s="1100"/>
      <c r="T2005" s="978" t="n">
        <f aca="false">O2005-R2005</f>
        <v>6160</v>
      </c>
      <c r="U2005" s="979" t="n">
        <f aca="false">N2005-S2005</f>
        <v>6160</v>
      </c>
    </row>
    <row r="2006" customFormat="false" ht="15" hidden="false" customHeight="true" outlineLevel="0" collapsed="false">
      <c r="A2006" s="1089" t="n">
        <v>63</v>
      </c>
      <c r="B2006" s="1089" t="s">
        <v>81</v>
      </c>
      <c r="C2006" s="1089" t="n">
        <v>2024</v>
      </c>
      <c r="D2006" s="1090" t="s">
        <v>73</v>
      </c>
      <c r="E2006" s="1090" t="s">
        <v>2192</v>
      </c>
      <c r="F2006" s="1090" t="s">
        <v>2199</v>
      </c>
      <c r="G2006" s="1091"/>
      <c r="H2006" s="1789" t="n">
        <v>1</v>
      </c>
      <c r="I2006" s="1790"/>
      <c r="J2006" s="1790"/>
      <c r="K2006" s="973" t="n">
        <f aca="false">H2006*I2006/100</f>
        <v>0</v>
      </c>
      <c r="L2006" s="1101" t="n">
        <v>2160</v>
      </c>
      <c r="M2006" s="1096" t="n">
        <v>1</v>
      </c>
      <c r="N2006" s="1297" t="n">
        <f aca="false">L2006*M2006</f>
        <v>2160</v>
      </c>
      <c r="O2006" s="1297" t="n">
        <f aca="false">H2006*N2006</f>
        <v>2160</v>
      </c>
      <c r="P2006" s="1098"/>
      <c r="Q2006" s="1694"/>
      <c r="R2006" s="1100"/>
      <c r="S2006" s="1100"/>
      <c r="T2006" s="978" t="n">
        <f aca="false">O2006-R2006</f>
        <v>2160</v>
      </c>
      <c r="U2006" s="979" t="n">
        <f aca="false">N2006-S2006</f>
        <v>2160</v>
      </c>
    </row>
    <row r="2007" customFormat="false" ht="15" hidden="false" customHeight="true" outlineLevel="0" collapsed="false">
      <c r="A2007" s="1089" t="n">
        <v>64</v>
      </c>
      <c r="B2007" s="1089" t="s">
        <v>81</v>
      </c>
      <c r="C2007" s="1089" t="n">
        <v>2024</v>
      </c>
      <c r="D2007" s="1090" t="s">
        <v>73</v>
      </c>
      <c r="E2007" s="1090" t="s">
        <v>2192</v>
      </c>
      <c r="F2007" s="1090" t="s">
        <v>2199</v>
      </c>
      <c r="G2007" s="1091"/>
      <c r="H2007" s="1789" t="n">
        <v>1</v>
      </c>
      <c r="I2007" s="1790"/>
      <c r="J2007" s="1790"/>
      <c r="K2007" s="973" t="n">
        <f aca="false">H2007*I2007/100</f>
        <v>0</v>
      </c>
      <c r="L2007" s="1101" t="n">
        <v>320</v>
      </c>
      <c r="M2007" s="1096" t="n">
        <v>1</v>
      </c>
      <c r="N2007" s="1297" t="n">
        <f aca="false">L2007*M2007</f>
        <v>320</v>
      </c>
      <c r="O2007" s="1297" t="n">
        <f aca="false">H2007*N2007</f>
        <v>320</v>
      </c>
      <c r="P2007" s="1098"/>
      <c r="Q2007" s="1694"/>
      <c r="R2007" s="1100"/>
      <c r="S2007" s="1100"/>
      <c r="T2007" s="978" t="n">
        <f aca="false">O2007-R2007</f>
        <v>320</v>
      </c>
      <c r="U2007" s="979" t="n">
        <f aca="false">N2007-S2007</f>
        <v>320</v>
      </c>
    </row>
    <row r="2008" customFormat="false" ht="15" hidden="false" customHeight="true" outlineLevel="0" collapsed="false">
      <c r="A2008" s="1089" t="n">
        <v>65</v>
      </c>
      <c r="B2008" s="1089" t="s">
        <v>81</v>
      </c>
      <c r="C2008" s="1089" t="n">
        <v>2024</v>
      </c>
      <c r="D2008" s="1090" t="s">
        <v>73</v>
      </c>
      <c r="E2008" s="1090" t="s">
        <v>2192</v>
      </c>
      <c r="F2008" s="1090" t="s">
        <v>2199</v>
      </c>
      <c r="G2008" s="1091"/>
      <c r="H2008" s="1789" t="n">
        <v>1</v>
      </c>
      <c r="I2008" s="1790"/>
      <c r="J2008" s="1790"/>
      <c r="K2008" s="973" t="n">
        <f aca="false">H2008*I2008/100</f>
        <v>0</v>
      </c>
      <c r="L2008" s="1101" t="n">
        <v>1660</v>
      </c>
      <c r="M2008" s="1096" t="n">
        <v>1</v>
      </c>
      <c r="N2008" s="1297" t="n">
        <f aca="false">L2008*M2008</f>
        <v>1660</v>
      </c>
      <c r="O2008" s="1297" t="n">
        <f aca="false">H2008*N2008</f>
        <v>1660</v>
      </c>
      <c r="P2008" s="1098"/>
      <c r="Q2008" s="1694"/>
      <c r="R2008" s="1100"/>
      <c r="S2008" s="1100"/>
      <c r="T2008" s="978" t="n">
        <f aca="false">O2008-R2008</f>
        <v>1660</v>
      </c>
      <c r="U2008" s="979" t="n">
        <f aca="false">N2008-S2008</f>
        <v>1660</v>
      </c>
    </row>
    <row r="2009" customFormat="false" ht="15" hidden="false" customHeight="true" outlineLevel="0" collapsed="false">
      <c r="A2009" s="847"/>
      <c r="B2009" s="847"/>
      <c r="C2009" s="847"/>
      <c r="D2009" s="848"/>
      <c r="E2009" s="848"/>
      <c r="F2009" s="848"/>
      <c r="G2009" s="849"/>
      <c r="H2009" s="1523"/>
      <c r="I2009" s="1397"/>
      <c r="J2009" s="1397"/>
      <c r="K2009" s="864"/>
      <c r="L2009" s="537"/>
      <c r="M2009" s="1007"/>
      <c r="N2009" s="1299"/>
      <c r="O2009" s="1299"/>
      <c r="P2009" s="856"/>
      <c r="Q2009" s="857"/>
      <c r="R2009" s="854"/>
      <c r="S2009" s="854"/>
      <c r="T2009" s="985"/>
      <c r="U2009" s="543"/>
    </row>
    <row r="2010" customFormat="false" ht="15" hidden="false" customHeight="true" outlineLevel="0" collapsed="false">
      <c r="A2010" s="1155" t="n">
        <v>226</v>
      </c>
      <c r="B2010" s="1155" t="s">
        <v>86</v>
      </c>
      <c r="C2010" s="1155" t="n">
        <v>2023</v>
      </c>
      <c r="D2010" s="1156" t="s">
        <v>172</v>
      </c>
      <c r="E2010" s="1259" t="s">
        <v>2205</v>
      </c>
      <c r="F2010" s="1156"/>
      <c r="G2010" s="1157"/>
      <c r="H2010" s="1777" t="n">
        <v>1</v>
      </c>
      <c r="I2010" s="1513"/>
      <c r="J2010" s="1513"/>
      <c r="K2010" s="1263" t="n">
        <f aca="false">H2010*I2010/100</f>
        <v>0</v>
      </c>
      <c r="L2010" s="1163" t="n">
        <v>353</v>
      </c>
      <c r="M2010" s="1162" t="n">
        <v>1</v>
      </c>
      <c r="N2010" s="1325" t="n">
        <f aca="false">L2010*M2010</f>
        <v>353</v>
      </c>
      <c r="O2010" s="1325" t="n">
        <f aca="false">H2010*N2010</f>
        <v>353</v>
      </c>
      <c r="P2010" s="1165"/>
      <c r="Q2010" s="1323"/>
      <c r="R2010" s="1168"/>
      <c r="S2010" s="1168"/>
      <c r="T2010" s="1270" t="n">
        <f aca="false">O2010-R2010</f>
        <v>353</v>
      </c>
      <c r="U2010" s="1271" t="n">
        <f aca="false">N2010-S2010</f>
        <v>353</v>
      </c>
    </row>
    <row r="2011" customFormat="false" ht="15" hidden="false" customHeight="true" outlineLevel="0" collapsed="false">
      <c r="A2011" s="1089" t="n">
        <v>226</v>
      </c>
      <c r="B2011" s="1089" t="s">
        <v>86</v>
      </c>
      <c r="C2011" s="1089" t="n">
        <v>2023</v>
      </c>
      <c r="D2011" s="1090" t="s">
        <v>172</v>
      </c>
      <c r="E2011" s="929" t="s">
        <v>2192</v>
      </c>
      <c r="F2011" s="1090" t="s">
        <v>1650</v>
      </c>
      <c r="G2011" s="1091"/>
      <c r="H2011" s="1789" t="n">
        <v>1</v>
      </c>
      <c r="I2011" s="1790"/>
      <c r="J2011" s="1790"/>
      <c r="K2011" s="1746" t="n">
        <f aca="false">H2011*I2011/100</f>
        <v>0</v>
      </c>
      <c r="L2011" s="1101" t="n">
        <v>82</v>
      </c>
      <c r="M2011" s="1096" t="n">
        <v>1</v>
      </c>
      <c r="N2011" s="1791" t="n">
        <f aca="false">L2011*M2011</f>
        <v>82</v>
      </c>
      <c r="O2011" s="1791" t="n">
        <f aca="false">H2011*N2011</f>
        <v>82</v>
      </c>
      <c r="P2011" s="1098"/>
      <c r="Q2011" s="1694"/>
      <c r="R2011" s="1100"/>
      <c r="S2011" s="1100"/>
      <c r="T2011" s="998" t="n">
        <f aca="false">O2011-R2011</f>
        <v>82</v>
      </c>
      <c r="U2011" s="979" t="n">
        <f aca="false">N2011-S2011</f>
        <v>82</v>
      </c>
    </row>
    <row r="2012" customFormat="false" ht="15" hidden="false" customHeight="true" outlineLevel="0" collapsed="false">
      <c r="A2012" s="1089" t="n">
        <v>112</v>
      </c>
      <c r="B2012" s="1089" t="s">
        <v>81</v>
      </c>
      <c r="C2012" s="1089" t="n">
        <v>2024</v>
      </c>
      <c r="D2012" s="1090" t="s">
        <v>172</v>
      </c>
      <c r="E2012" s="1742" t="s">
        <v>2192</v>
      </c>
      <c r="F2012" s="1090" t="s">
        <v>1650</v>
      </c>
      <c r="G2012" s="1091"/>
      <c r="H2012" s="1789" t="n">
        <v>1</v>
      </c>
      <c r="I2012" s="1790"/>
      <c r="J2012" s="1790"/>
      <c r="K2012" s="1746" t="n">
        <f aca="false">H2012*I2012/100</f>
        <v>0</v>
      </c>
      <c r="L2012" s="1101" t="n">
        <v>2000</v>
      </c>
      <c r="M2012" s="1096" t="n">
        <v>1</v>
      </c>
      <c r="N2012" s="1791" t="n">
        <f aca="false">L2012*M2012</f>
        <v>2000</v>
      </c>
      <c r="O2012" s="1791" t="n">
        <f aca="false">H2012*N2012</f>
        <v>2000</v>
      </c>
      <c r="P2012" s="1098"/>
      <c r="Q2012" s="1694"/>
      <c r="R2012" s="1100"/>
      <c r="S2012" s="1100"/>
      <c r="T2012" s="998" t="n">
        <f aca="false">O2012-R2012</f>
        <v>2000</v>
      </c>
      <c r="U2012" s="1792" t="n">
        <f aca="false">N2012-S2012</f>
        <v>2000</v>
      </c>
    </row>
    <row r="2013" customFormat="false" ht="15" hidden="false" customHeight="true" outlineLevel="0" collapsed="false">
      <c r="A2013" s="1089" t="n">
        <v>139</v>
      </c>
      <c r="B2013" s="1089" t="s">
        <v>81</v>
      </c>
      <c r="C2013" s="1089" t="n">
        <v>2024</v>
      </c>
      <c r="D2013" s="1090" t="s">
        <v>172</v>
      </c>
      <c r="E2013" s="1742" t="s">
        <v>2192</v>
      </c>
      <c r="F2013" s="1090" t="s">
        <v>1650</v>
      </c>
      <c r="G2013" s="1091"/>
      <c r="H2013" s="1789" t="n">
        <v>1</v>
      </c>
      <c r="I2013" s="1790"/>
      <c r="J2013" s="1790"/>
      <c r="K2013" s="1746" t="n">
        <f aca="false">H2013*I2013/100</f>
        <v>0</v>
      </c>
      <c r="L2013" s="1101" t="n">
        <v>2000</v>
      </c>
      <c r="M2013" s="1096" t="n">
        <v>1</v>
      </c>
      <c r="N2013" s="1791" t="n">
        <f aca="false">L2013*M2013</f>
        <v>2000</v>
      </c>
      <c r="O2013" s="1791" t="n">
        <f aca="false">H2013*N2013</f>
        <v>2000</v>
      </c>
      <c r="P2013" s="1098"/>
      <c r="Q2013" s="1694"/>
      <c r="R2013" s="1100"/>
      <c r="S2013" s="1100"/>
      <c r="T2013" s="998" t="n">
        <f aca="false">O2013-R2013</f>
        <v>2000</v>
      </c>
      <c r="U2013" s="1792" t="n">
        <f aca="false">N2013-S2013</f>
        <v>2000</v>
      </c>
    </row>
    <row r="2014" customFormat="false" ht="15" hidden="false" customHeight="true" outlineLevel="0" collapsed="false">
      <c r="A2014" s="847"/>
      <c r="B2014" s="847"/>
      <c r="C2014" s="847"/>
      <c r="D2014" s="848"/>
      <c r="E2014" s="871"/>
      <c r="F2014" s="848"/>
      <c r="G2014" s="849"/>
      <c r="H2014" s="1523"/>
      <c r="I2014" s="1397"/>
      <c r="J2014" s="1397"/>
      <c r="K2014" s="875"/>
      <c r="L2014" s="537"/>
      <c r="M2014" s="1007"/>
      <c r="N2014" s="1301"/>
      <c r="O2014" s="1301"/>
      <c r="P2014" s="856"/>
      <c r="Q2014" s="857"/>
      <c r="R2014" s="854"/>
      <c r="S2014" s="854"/>
      <c r="T2014" s="553"/>
      <c r="U2014" s="1793"/>
    </row>
    <row r="2015" customFormat="false" ht="15" hidden="false" customHeight="true" outlineLevel="0" collapsed="false">
      <c r="A2015" s="969" t="n">
        <v>113</v>
      </c>
      <c r="B2015" s="969" t="s">
        <v>81</v>
      </c>
      <c r="C2015" s="969" t="n">
        <v>2022</v>
      </c>
      <c r="D2015" s="929" t="s">
        <v>74</v>
      </c>
      <c r="E2015" s="929" t="s">
        <v>2192</v>
      </c>
      <c r="F2015" s="929" t="s">
        <v>2199</v>
      </c>
      <c r="G2015" s="970"/>
      <c r="H2015" s="1794" t="n">
        <v>1</v>
      </c>
      <c r="I2015" s="1795"/>
      <c r="J2015" s="1795"/>
      <c r="K2015" s="973" t="n">
        <f aca="false">H2015*I2015/100</f>
        <v>0</v>
      </c>
      <c r="L2015" s="979" t="n">
        <v>1429</v>
      </c>
      <c r="M2015" s="975" t="n">
        <v>1</v>
      </c>
      <c r="N2015" s="1297" t="n">
        <f aca="false">L2015*M2015</f>
        <v>1429</v>
      </c>
      <c r="O2015" s="1297" t="n">
        <f aca="false">H2015*N2015</f>
        <v>1429</v>
      </c>
      <c r="P2015" s="930"/>
      <c r="Q2015" s="931"/>
      <c r="R2015" s="933"/>
      <c r="S2015" s="933"/>
      <c r="T2015" s="979" t="n">
        <f aca="false">O2015-R2015</f>
        <v>1429</v>
      </c>
      <c r="U2015" s="979" t="n">
        <f aca="false">N2015-S2015</f>
        <v>1429</v>
      </c>
    </row>
    <row r="2016" customFormat="false" ht="15" hidden="false" customHeight="true" outlineLevel="0" collapsed="false">
      <c r="A2016" s="969" t="n">
        <v>16</v>
      </c>
      <c r="B2016" s="969" t="s">
        <v>81</v>
      </c>
      <c r="C2016" s="969" t="n">
        <v>2024</v>
      </c>
      <c r="D2016" s="929" t="s">
        <v>74</v>
      </c>
      <c r="E2016" s="929" t="s">
        <v>2192</v>
      </c>
      <c r="F2016" s="929" t="s">
        <v>2199</v>
      </c>
      <c r="G2016" s="970"/>
      <c r="H2016" s="1794" t="n">
        <v>1</v>
      </c>
      <c r="I2016" s="1795"/>
      <c r="J2016" s="1795"/>
      <c r="K2016" s="973" t="n">
        <f aca="false">H2016*I2016/100</f>
        <v>0</v>
      </c>
      <c r="L2016" s="979" t="n">
        <v>16237</v>
      </c>
      <c r="M2016" s="975" t="n">
        <v>1</v>
      </c>
      <c r="N2016" s="1297" t="n">
        <f aca="false">L2016*M2016</f>
        <v>16237</v>
      </c>
      <c r="O2016" s="1297" t="n">
        <f aca="false">H2016*N2016</f>
        <v>16237</v>
      </c>
      <c r="P2016" s="930" t="s">
        <v>2197</v>
      </c>
      <c r="Q2016" s="931" t="s">
        <v>3120</v>
      </c>
      <c r="R2016" s="933" t="n">
        <v>2800</v>
      </c>
      <c r="S2016" s="933" t="n">
        <f aca="false">R2016/H2016</f>
        <v>2800</v>
      </c>
      <c r="T2016" s="979" t="n">
        <f aca="false">O2016-R2016</f>
        <v>13437</v>
      </c>
      <c r="U2016" s="979" t="n">
        <f aca="false">N2016-S2016</f>
        <v>13437</v>
      </c>
    </row>
    <row r="2017" customFormat="false" ht="15" hidden="false" customHeight="true" outlineLevel="0" collapsed="false">
      <c r="A2017" s="969" t="n">
        <v>40</v>
      </c>
      <c r="B2017" s="969" t="s">
        <v>81</v>
      </c>
      <c r="C2017" s="969" t="n">
        <v>2024</v>
      </c>
      <c r="D2017" s="929" t="s">
        <v>74</v>
      </c>
      <c r="E2017" s="929" t="s">
        <v>2192</v>
      </c>
      <c r="F2017" s="929" t="s">
        <v>2199</v>
      </c>
      <c r="G2017" s="970"/>
      <c r="H2017" s="1794" t="n">
        <v>1</v>
      </c>
      <c r="I2017" s="1795"/>
      <c r="J2017" s="1795"/>
      <c r="K2017" s="973" t="n">
        <f aca="false">H2017*I2017/100</f>
        <v>0</v>
      </c>
      <c r="L2017" s="979" t="n">
        <v>845</v>
      </c>
      <c r="M2017" s="975" t="n">
        <v>1</v>
      </c>
      <c r="N2017" s="1297" t="n">
        <f aca="false">L2017*M2017</f>
        <v>845</v>
      </c>
      <c r="O2017" s="1297" t="n">
        <f aca="false">H2017*N2017</f>
        <v>845</v>
      </c>
      <c r="P2017" s="930"/>
      <c r="Q2017" s="931"/>
      <c r="R2017" s="933"/>
      <c r="S2017" s="933"/>
      <c r="T2017" s="979" t="n">
        <f aca="false">O2017-R2017</f>
        <v>845</v>
      </c>
      <c r="U2017" s="979" t="n">
        <f aca="false">N2017-S2017</f>
        <v>845</v>
      </c>
    </row>
    <row r="2018" customFormat="false" ht="15" hidden="false" customHeight="true" outlineLevel="0" collapsed="false">
      <c r="A2018" s="859"/>
      <c r="B2018" s="859"/>
      <c r="C2018" s="859"/>
      <c r="D2018" s="860"/>
      <c r="E2018" s="860"/>
      <c r="F2018" s="860"/>
      <c r="G2018" s="861"/>
      <c r="H2018" s="1520"/>
      <c r="I2018" s="863"/>
      <c r="J2018" s="863"/>
      <c r="K2018" s="864"/>
      <c r="L2018" s="1299"/>
      <c r="M2018" s="983"/>
      <c r="N2018" s="1299"/>
      <c r="O2018" s="1439"/>
      <c r="P2018" s="868"/>
      <c r="Q2018" s="869"/>
      <c r="R2018" s="866"/>
      <c r="S2018" s="866"/>
      <c r="T2018" s="543"/>
      <c r="U2018" s="543"/>
    </row>
    <row r="2019" customFormat="false" ht="15" hidden="false" customHeight="true" outlineLevel="0" collapsed="false">
      <c r="A2019" s="1741" t="n">
        <v>33</v>
      </c>
      <c r="B2019" s="1741" t="s">
        <v>86</v>
      </c>
      <c r="C2019" s="1741" t="n">
        <v>2022</v>
      </c>
      <c r="D2019" s="1742" t="s">
        <v>19</v>
      </c>
      <c r="E2019" s="1742" t="s">
        <v>2192</v>
      </c>
      <c r="F2019" s="1742" t="s">
        <v>2199</v>
      </c>
      <c r="G2019" s="1743"/>
      <c r="H2019" s="1796" t="n">
        <v>51</v>
      </c>
      <c r="I2019" s="1797" t="n">
        <v>73</v>
      </c>
      <c r="J2019" s="1797"/>
      <c r="K2019" s="992" t="n">
        <f aca="false">H2019*I2019/100</f>
        <v>37.23</v>
      </c>
      <c r="L2019" s="1791" t="n">
        <v>2000</v>
      </c>
      <c r="M2019" s="1798" t="n">
        <v>1</v>
      </c>
      <c r="N2019" s="1791" t="n">
        <f aca="false">L2019*M2019</f>
        <v>2000</v>
      </c>
      <c r="O2019" s="1791" t="n">
        <f aca="false">H2019*N2019</f>
        <v>102000</v>
      </c>
      <c r="P2019" s="998" t="s">
        <v>2232</v>
      </c>
      <c r="Q2019" s="1750" t="s">
        <v>2611</v>
      </c>
      <c r="R2019" s="1752" t="n">
        <v>10200</v>
      </c>
      <c r="S2019" s="1752" t="n">
        <f aca="false">R2019/H2019</f>
        <v>200</v>
      </c>
      <c r="T2019" s="998" t="n">
        <f aca="false">O2019-R2019</f>
        <v>91800</v>
      </c>
      <c r="U2019" s="998" t="n">
        <f aca="false">N2019-S2019</f>
        <v>1800</v>
      </c>
    </row>
    <row r="2020" customFormat="false" ht="15" hidden="false" customHeight="true" outlineLevel="0" collapsed="false">
      <c r="A2020" s="882" t="n">
        <v>150</v>
      </c>
      <c r="B2020" s="883" t="s">
        <v>2191</v>
      </c>
      <c r="C2020" s="883" t="n">
        <v>2022</v>
      </c>
      <c r="D2020" s="1328" t="s">
        <v>19</v>
      </c>
      <c r="E2020" s="1328" t="s">
        <v>2192</v>
      </c>
      <c r="F2020" s="832" t="s">
        <v>1651</v>
      </c>
      <c r="G2020" s="833"/>
      <c r="H2020" s="834" t="n">
        <v>22.5</v>
      </c>
      <c r="I2020" s="835"/>
      <c r="J2020" s="835"/>
      <c r="K2020" s="836" t="n">
        <f aca="false">H2020*I2020/100</f>
        <v>0</v>
      </c>
      <c r="L2020" s="837" t="n">
        <v>62</v>
      </c>
      <c r="M2020" s="1003" t="n">
        <v>15</v>
      </c>
      <c r="N2020" s="837" t="n">
        <f aca="false">L2020*M2020</f>
        <v>930</v>
      </c>
      <c r="O2020" s="837" t="n">
        <f aca="false">H2020*N2020</f>
        <v>20925</v>
      </c>
      <c r="P2020" s="1036" t="s">
        <v>2193</v>
      </c>
      <c r="Q2020" s="885" t="s">
        <v>3121</v>
      </c>
      <c r="R2020" s="886" t="n">
        <v>8100</v>
      </c>
      <c r="S2020" s="886" t="n">
        <f aca="false">R2020/H2020</f>
        <v>360</v>
      </c>
      <c r="T2020" s="841" t="n">
        <f aca="false">O2020-R2020-R2022-R2021</f>
        <v>0</v>
      </c>
      <c r="U2020" s="842" t="n">
        <f aca="false">N2020-S2020-S2022-S2021</f>
        <v>0</v>
      </c>
    </row>
    <row r="2021" customFormat="false" ht="15" hidden="false" customHeight="true" outlineLevel="0" collapsed="false">
      <c r="A2021" s="882"/>
      <c r="B2021" s="883"/>
      <c r="C2021" s="883"/>
      <c r="D2021" s="860" t="s">
        <v>19</v>
      </c>
      <c r="E2021" s="860" t="s">
        <v>2192</v>
      </c>
      <c r="F2021" s="832"/>
      <c r="G2021" s="833"/>
      <c r="H2021" s="834"/>
      <c r="I2021" s="835"/>
      <c r="J2021" s="835"/>
      <c r="K2021" s="836"/>
      <c r="L2021" s="837"/>
      <c r="M2021" s="1003"/>
      <c r="N2021" s="837"/>
      <c r="O2021" s="837"/>
      <c r="P2021" s="543" t="s">
        <v>2195</v>
      </c>
      <c r="Q2021" s="869" t="s">
        <v>3122</v>
      </c>
      <c r="R2021" s="866" t="n">
        <v>6075</v>
      </c>
      <c r="S2021" s="866" t="n">
        <f aca="false">R2021/H2020</f>
        <v>270</v>
      </c>
      <c r="T2021" s="841"/>
      <c r="U2021" s="842"/>
    </row>
    <row r="2022" customFormat="false" ht="15" hidden="false" customHeight="true" outlineLevel="0" collapsed="false">
      <c r="A2022" s="882"/>
      <c r="B2022" s="883"/>
      <c r="C2022" s="883"/>
      <c r="D2022" s="843" t="s">
        <v>19</v>
      </c>
      <c r="E2022" s="843" t="s">
        <v>2192</v>
      </c>
      <c r="F2022" s="832"/>
      <c r="G2022" s="833"/>
      <c r="H2022" s="834"/>
      <c r="I2022" s="835"/>
      <c r="J2022" s="835"/>
      <c r="K2022" s="836"/>
      <c r="L2022" s="837"/>
      <c r="M2022" s="1003"/>
      <c r="N2022" s="837"/>
      <c r="O2022" s="837"/>
      <c r="P2022" s="589" t="s">
        <v>2193</v>
      </c>
      <c r="Q2022" s="845" t="s">
        <v>3123</v>
      </c>
      <c r="R2022" s="846" t="n">
        <v>6750</v>
      </c>
      <c r="S2022" s="846" t="n">
        <f aca="false">R2022/H2020</f>
        <v>300</v>
      </c>
      <c r="T2022" s="841"/>
      <c r="U2022" s="842"/>
    </row>
    <row r="2023" customFormat="false" ht="15" hidden="false" customHeight="true" outlineLevel="0" collapsed="false">
      <c r="A2023" s="903" t="n">
        <v>337</v>
      </c>
      <c r="B2023" s="903" t="s">
        <v>2191</v>
      </c>
      <c r="C2023" s="903" t="n">
        <v>2022</v>
      </c>
      <c r="D2023" s="904" t="s">
        <v>19</v>
      </c>
      <c r="E2023" s="904" t="s">
        <v>2192</v>
      </c>
      <c r="F2023" s="904" t="s">
        <v>1651</v>
      </c>
      <c r="G2023" s="905"/>
      <c r="H2023" s="906" t="n">
        <v>22.5</v>
      </c>
      <c r="I2023" s="907"/>
      <c r="J2023" s="907"/>
      <c r="K2023" s="852" t="n">
        <f aca="false">H2023*I2023/100</f>
        <v>0</v>
      </c>
      <c r="L2023" s="1137" t="n">
        <v>7</v>
      </c>
      <c r="M2023" s="1023" t="n">
        <v>15</v>
      </c>
      <c r="N2023" s="1143" t="n">
        <f aca="false">L2023*M2023</f>
        <v>105</v>
      </c>
      <c r="O2023" s="1143" t="n">
        <f aca="false">H2023*N2023</f>
        <v>2362.5</v>
      </c>
      <c r="P2023" s="942" t="s">
        <v>2193</v>
      </c>
      <c r="Q2023" s="911" t="s">
        <v>3124</v>
      </c>
      <c r="R2023" s="891" t="n">
        <v>2362.5</v>
      </c>
      <c r="S2023" s="854" t="n">
        <f aca="false">R2023/H2023</f>
        <v>105</v>
      </c>
      <c r="T2023" s="858" t="n">
        <f aca="false">O2023-R2023</f>
        <v>0</v>
      </c>
      <c r="U2023" s="537" t="n">
        <f aca="false">N2023-S2023</f>
        <v>0</v>
      </c>
    </row>
    <row r="2024" customFormat="false" ht="15" hidden="false" customHeight="true" outlineLevel="0" collapsed="false">
      <c r="A2024" s="870" t="n">
        <v>338</v>
      </c>
      <c r="B2024" s="870" t="s">
        <v>2191</v>
      </c>
      <c r="C2024" s="870" t="n">
        <v>2022</v>
      </c>
      <c r="D2024" s="871" t="s">
        <v>19</v>
      </c>
      <c r="E2024" s="871" t="s">
        <v>2192</v>
      </c>
      <c r="F2024" s="871" t="s">
        <v>1651</v>
      </c>
      <c r="G2024" s="872"/>
      <c r="H2024" s="873" t="n">
        <v>22.5</v>
      </c>
      <c r="I2024" s="874"/>
      <c r="J2024" s="874"/>
      <c r="K2024" s="864" t="n">
        <f aca="false">H2024*I2024/100</f>
        <v>0</v>
      </c>
      <c r="L2024" s="1301" t="n">
        <v>10</v>
      </c>
      <c r="M2024" s="1000" t="n">
        <v>15</v>
      </c>
      <c r="N2024" s="1299" t="n">
        <f aca="false">L2024*M2024</f>
        <v>150</v>
      </c>
      <c r="O2024" s="1299" t="n">
        <f aca="false">H2024*N2024</f>
        <v>3375</v>
      </c>
      <c r="P2024" s="553" t="s">
        <v>2204</v>
      </c>
      <c r="Q2024" s="880" t="n">
        <v>24052024</v>
      </c>
      <c r="R2024" s="877" t="n">
        <v>3375</v>
      </c>
      <c r="S2024" s="866" t="n">
        <f aca="false">R2024/H2024</f>
        <v>150</v>
      </c>
      <c r="T2024" s="543" t="n">
        <f aca="false">O2024-R2024</f>
        <v>0</v>
      </c>
      <c r="U2024" s="543" t="n">
        <f aca="false">N2024-S2024</f>
        <v>0</v>
      </c>
    </row>
    <row r="2025" customFormat="false" ht="15" hidden="false" customHeight="true" outlineLevel="0" collapsed="false">
      <c r="A2025" s="870" t="n">
        <v>480</v>
      </c>
      <c r="B2025" s="870" t="s">
        <v>2191</v>
      </c>
      <c r="C2025" s="870" t="n">
        <v>2022</v>
      </c>
      <c r="D2025" s="871" t="s">
        <v>19</v>
      </c>
      <c r="E2025" s="871" t="s">
        <v>2192</v>
      </c>
      <c r="F2025" s="871" t="s">
        <v>1651</v>
      </c>
      <c r="G2025" s="872"/>
      <c r="H2025" s="873" t="n">
        <v>22.5</v>
      </c>
      <c r="I2025" s="874"/>
      <c r="J2025" s="874"/>
      <c r="K2025" s="875" t="n">
        <f aca="false">H2025*I2025/100</f>
        <v>0</v>
      </c>
      <c r="L2025" s="1301" t="n">
        <v>62</v>
      </c>
      <c r="M2025" s="1000" t="n">
        <v>15</v>
      </c>
      <c r="N2025" s="1301" t="n">
        <f aca="false">L2025*M2025</f>
        <v>930</v>
      </c>
      <c r="O2025" s="1301" t="n">
        <f aca="false">H2025*N2025</f>
        <v>20925</v>
      </c>
      <c r="P2025" s="553" t="s">
        <v>2195</v>
      </c>
      <c r="Q2025" s="880" t="s">
        <v>3122</v>
      </c>
      <c r="R2025" s="877" t="n">
        <v>20925</v>
      </c>
      <c r="S2025" s="866" t="n">
        <f aca="false">R2025/H2025</f>
        <v>930</v>
      </c>
      <c r="T2025" s="553" t="n">
        <f aca="false">O2025-R2025</f>
        <v>0</v>
      </c>
      <c r="U2025" s="553" t="n">
        <f aca="false">N2025-S2025</f>
        <v>0</v>
      </c>
    </row>
    <row r="2026" customFormat="false" ht="15" hidden="false" customHeight="true" outlineLevel="0" collapsed="false">
      <c r="A2026" s="1027" t="n">
        <v>484</v>
      </c>
      <c r="B2026" s="1028" t="s">
        <v>2191</v>
      </c>
      <c r="C2026" s="1028" t="n">
        <v>2022</v>
      </c>
      <c r="D2026" s="1328" t="s">
        <v>19</v>
      </c>
      <c r="E2026" s="1328" t="s">
        <v>2192</v>
      </c>
      <c r="F2026" s="1328" t="s">
        <v>1651</v>
      </c>
      <c r="G2026" s="1030"/>
      <c r="H2026" s="1031" t="n">
        <v>22.5</v>
      </c>
      <c r="I2026" s="1032"/>
      <c r="J2026" s="1032"/>
      <c r="K2026" s="1033" t="n">
        <f aca="false">H2026*I2026/100</f>
        <v>0</v>
      </c>
      <c r="L2026" s="1036" t="n">
        <v>12</v>
      </c>
      <c r="M2026" s="1035" t="n">
        <v>15</v>
      </c>
      <c r="N2026" s="1036" t="n">
        <f aca="false">L2026*M2026</f>
        <v>180</v>
      </c>
      <c r="O2026" s="1036" t="n">
        <f aca="false">H2026*N2026</f>
        <v>4050</v>
      </c>
      <c r="P2026" s="1036" t="s">
        <v>2193</v>
      </c>
      <c r="Q2026" s="885" t="s">
        <v>3125</v>
      </c>
      <c r="R2026" s="886" t="n">
        <v>2700</v>
      </c>
      <c r="S2026" s="840" t="n">
        <f aca="false">R2026/H2026</f>
        <v>120</v>
      </c>
      <c r="T2026" s="1036" t="n">
        <f aca="false">O2026-R2026-R2027</f>
        <v>0</v>
      </c>
      <c r="U2026" s="1037" t="n">
        <f aca="false">N2026-S2026-S2027</f>
        <v>0</v>
      </c>
    </row>
    <row r="2027" customFormat="false" ht="15" hidden="false" customHeight="true" outlineLevel="0" collapsed="false">
      <c r="A2027" s="1027"/>
      <c r="B2027" s="1028"/>
      <c r="C2027" s="1028"/>
      <c r="D2027" s="871" t="s">
        <v>19</v>
      </c>
      <c r="E2027" s="871" t="s">
        <v>2192</v>
      </c>
      <c r="F2027" s="1328"/>
      <c r="G2027" s="1030"/>
      <c r="H2027" s="1031"/>
      <c r="I2027" s="1032"/>
      <c r="J2027" s="1032"/>
      <c r="K2027" s="1033"/>
      <c r="L2027" s="1036"/>
      <c r="M2027" s="1035"/>
      <c r="N2027" s="1036"/>
      <c r="O2027" s="1036"/>
      <c r="P2027" s="553" t="s">
        <v>2193</v>
      </c>
      <c r="Q2027" s="880" t="s">
        <v>3124</v>
      </c>
      <c r="R2027" s="877" t="n">
        <v>1350</v>
      </c>
      <c r="S2027" s="877" t="n">
        <f aca="false">R2027/H2026</f>
        <v>60</v>
      </c>
      <c r="T2027" s="1036"/>
      <c r="U2027" s="1037"/>
    </row>
    <row r="2028" customFormat="false" ht="15" hidden="false" customHeight="true" outlineLevel="0" collapsed="false">
      <c r="A2028" s="829" t="n">
        <v>520</v>
      </c>
      <c r="B2028" s="830" t="s">
        <v>2191</v>
      </c>
      <c r="C2028" s="830" t="n">
        <v>2022</v>
      </c>
      <c r="D2028" s="831" t="s">
        <v>19</v>
      </c>
      <c r="E2028" s="831" t="s">
        <v>2192</v>
      </c>
      <c r="F2028" s="832" t="s">
        <v>1651</v>
      </c>
      <c r="G2028" s="833"/>
      <c r="H2028" s="834" t="n">
        <v>22.5</v>
      </c>
      <c r="I2028" s="835"/>
      <c r="J2028" s="835"/>
      <c r="K2028" s="836" t="n">
        <f aca="false">H2028*I2028/100</f>
        <v>0</v>
      </c>
      <c r="L2028" s="837" t="n">
        <v>70</v>
      </c>
      <c r="M2028" s="1003" t="n">
        <v>15</v>
      </c>
      <c r="N2028" s="837" t="n">
        <f aca="false">L2028*M2028</f>
        <v>1050</v>
      </c>
      <c r="O2028" s="837" t="n">
        <f aca="false">H2028*N2028</f>
        <v>23625</v>
      </c>
      <c r="P2028" s="1114" t="s">
        <v>2193</v>
      </c>
      <c r="Q2028" s="839" t="s">
        <v>3124</v>
      </c>
      <c r="R2028" s="840" t="n">
        <v>6075</v>
      </c>
      <c r="S2028" s="840" t="n">
        <f aca="false">R2028/H2028</f>
        <v>270</v>
      </c>
      <c r="T2028" s="837" t="n">
        <f aca="false">O2028-R2028-R2029</f>
        <v>0</v>
      </c>
      <c r="U2028" s="842" t="n">
        <f aca="false">N2028-S2028-S2029</f>
        <v>0</v>
      </c>
    </row>
    <row r="2029" customFormat="false" ht="15" hidden="false" customHeight="true" outlineLevel="0" collapsed="false">
      <c r="A2029" s="829"/>
      <c r="B2029" s="830"/>
      <c r="C2029" s="830"/>
      <c r="D2029" s="843" t="s">
        <v>19</v>
      </c>
      <c r="E2029" s="843" t="s">
        <v>2192</v>
      </c>
      <c r="F2029" s="832"/>
      <c r="G2029" s="833"/>
      <c r="H2029" s="834"/>
      <c r="I2029" s="835"/>
      <c r="J2029" s="835"/>
      <c r="K2029" s="836"/>
      <c r="L2029" s="837"/>
      <c r="M2029" s="1003"/>
      <c r="N2029" s="837"/>
      <c r="O2029" s="837"/>
      <c r="P2029" s="589" t="s">
        <v>2195</v>
      </c>
      <c r="Q2029" s="845" t="s">
        <v>1375</v>
      </c>
      <c r="R2029" s="846" t="n">
        <v>17550</v>
      </c>
      <c r="S2029" s="846" t="n">
        <f aca="false">R2029/H2028</f>
        <v>780</v>
      </c>
      <c r="T2029" s="837"/>
      <c r="U2029" s="842"/>
    </row>
    <row r="2030" customFormat="false" ht="15" hidden="false" customHeight="true" outlineLevel="0" collapsed="false">
      <c r="A2030" s="1229" t="n">
        <v>46</v>
      </c>
      <c r="B2030" s="1229" t="s">
        <v>86</v>
      </c>
      <c r="C2030" s="1229" t="n">
        <v>2023</v>
      </c>
      <c r="D2030" s="1230" t="s">
        <v>19</v>
      </c>
      <c r="E2030" s="1230" t="s">
        <v>2242</v>
      </c>
      <c r="F2030" s="1230"/>
      <c r="G2030" s="1231"/>
      <c r="H2030" s="1330" t="n">
        <v>55.4</v>
      </c>
      <c r="I2030" s="1331"/>
      <c r="J2030" s="1331"/>
      <c r="K2030" s="1332" t="n">
        <f aca="false">H2030*I2030/100</f>
        <v>0</v>
      </c>
      <c r="L2030" s="1333" t="n">
        <v>1173</v>
      </c>
      <c r="M2030" s="1235" t="n">
        <v>1</v>
      </c>
      <c r="N2030" s="1333" t="n">
        <f aca="false">L2030*M2030</f>
        <v>1173</v>
      </c>
      <c r="O2030" s="1333" t="n">
        <f aca="false">H2030*N2030</f>
        <v>64984.2</v>
      </c>
      <c r="P2030" s="1236" t="s">
        <v>2195</v>
      </c>
      <c r="Q2030" s="1653" t="s">
        <v>2240</v>
      </c>
      <c r="R2030" s="1177" t="n">
        <v>16010.6</v>
      </c>
      <c r="S2030" s="1177" t="n">
        <f aca="false">R2030/H2030</f>
        <v>289</v>
      </c>
      <c r="T2030" s="1335" t="n">
        <f aca="false">O2030-R2030</f>
        <v>48973.6</v>
      </c>
      <c r="U2030" s="1336" t="n">
        <f aca="false">N2030-S2030</f>
        <v>884</v>
      </c>
    </row>
    <row r="2031" customFormat="false" ht="15" hidden="false" customHeight="true" outlineLevel="0" collapsed="false">
      <c r="A2031" s="829" t="n">
        <v>53</v>
      </c>
      <c r="B2031" s="1453" t="s">
        <v>86</v>
      </c>
      <c r="C2031" s="1453" t="n">
        <v>2023</v>
      </c>
      <c r="D2031" s="915" t="s">
        <v>19</v>
      </c>
      <c r="E2031" s="915" t="s">
        <v>2192</v>
      </c>
      <c r="F2031" s="915" t="s">
        <v>1650</v>
      </c>
      <c r="G2031" s="1454"/>
      <c r="H2031" s="1503" t="n">
        <v>92.4</v>
      </c>
      <c r="I2031" s="1559" t="n">
        <v>61</v>
      </c>
      <c r="J2031" s="1559"/>
      <c r="K2031" s="1457" t="n">
        <f aca="false">H2031*I2031/100</f>
        <v>56.364</v>
      </c>
      <c r="L2031" s="1460" t="n">
        <v>2344</v>
      </c>
      <c r="M2031" s="1459" t="n">
        <v>1</v>
      </c>
      <c r="N2031" s="1460" t="n">
        <f aca="false">L2031*M2031</f>
        <v>2344</v>
      </c>
      <c r="O2031" s="1460" t="n">
        <f aca="false">H2031*N2031</f>
        <v>216585.6</v>
      </c>
      <c r="P2031" s="1193" t="s">
        <v>2193</v>
      </c>
      <c r="Q2031" s="1312" t="s">
        <v>3126</v>
      </c>
      <c r="R2031" s="1196" t="n">
        <v>36036</v>
      </c>
      <c r="S2031" s="1196" t="n">
        <f aca="false">R2031/H2031</f>
        <v>390</v>
      </c>
      <c r="T2031" s="1776" t="n">
        <f aca="false">O2031-R2031</f>
        <v>180549.6</v>
      </c>
      <c r="U2031" s="1464" t="n">
        <f aca="false">N2031-S2031</f>
        <v>1954</v>
      </c>
    </row>
    <row r="2032" customFormat="false" ht="15" hidden="false" customHeight="true" outlineLevel="0" collapsed="false">
      <c r="A2032" s="829"/>
      <c r="B2032" s="1481" t="s">
        <v>86</v>
      </c>
      <c r="C2032" s="1481" t="n">
        <v>2023</v>
      </c>
      <c r="D2032" s="1482" t="s">
        <v>19</v>
      </c>
      <c r="E2032" s="1482" t="s">
        <v>2242</v>
      </c>
      <c r="F2032" s="1482"/>
      <c r="G2032" s="1484"/>
      <c r="H2032" s="1485" t="n">
        <v>60.4</v>
      </c>
      <c r="I2032" s="1799"/>
      <c r="J2032" s="1799"/>
      <c r="K2032" s="1486" t="n">
        <f aca="false">H2032*I2032/100</f>
        <v>0</v>
      </c>
      <c r="L2032" s="1487" t="n">
        <v>238</v>
      </c>
      <c r="M2032" s="1488" t="n">
        <v>1</v>
      </c>
      <c r="N2032" s="1487" t="n">
        <f aca="false">L2032*M2032</f>
        <v>238</v>
      </c>
      <c r="O2032" s="1487" t="n">
        <f aca="false">H2032*N2032</f>
        <v>14375.2</v>
      </c>
      <c r="P2032" s="1489" t="s">
        <v>2195</v>
      </c>
      <c r="Q2032" s="1490" t="s">
        <v>2240</v>
      </c>
      <c r="R2032" s="1491" t="n">
        <v>-120.8</v>
      </c>
      <c r="S2032" s="1491" t="n">
        <f aca="false">R2032/H2032</f>
        <v>-2</v>
      </c>
      <c r="T2032" s="1492" t="n">
        <f aca="false">O2032-R2032</f>
        <v>14496</v>
      </c>
      <c r="U2032" s="1493" t="n">
        <f aca="false">N2032-S2032</f>
        <v>240</v>
      </c>
    </row>
    <row r="2033" customFormat="false" ht="15" hidden="false" customHeight="true" outlineLevel="0" collapsed="false">
      <c r="A2033" s="881" t="n">
        <v>84</v>
      </c>
      <c r="B2033" s="1027" t="s">
        <v>86</v>
      </c>
      <c r="C2033" s="1028" t="n">
        <v>2023</v>
      </c>
      <c r="D2033" s="831" t="s">
        <v>19</v>
      </c>
      <c r="E2033" s="831" t="s">
        <v>2203</v>
      </c>
      <c r="F2033" s="1028"/>
      <c r="G2033" s="1030"/>
      <c r="H2033" s="1031" t="n">
        <v>50.7</v>
      </c>
      <c r="I2033" s="1032"/>
      <c r="J2033" s="1032"/>
      <c r="K2033" s="1033" t="n">
        <f aca="false">H2033*I2033/100</f>
        <v>0</v>
      </c>
      <c r="L2033" s="1036" t="n">
        <v>502</v>
      </c>
      <c r="M2033" s="1035" t="n">
        <v>1</v>
      </c>
      <c r="N2033" s="1036" t="n">
        <f aca="false">L2033*M2033</f>
        <v>502</v>
      </c>
      <c r="O2033" s="1036" t="n">
        <f aca="false">H2033*N2033</f>
        <v>25451.4</v>
      </c>
      <c r="P2033" s="884" t="s">
        <v>2232</v>
      </c>
      <c r="Q2033" s="885" t="s">
        <v>2611</v>
      </c>
      <c r="R2033" s="886" t="n">
        <v>10140.4</v>
      </c>
      <c r="S2033" s="886" t="n">
        <f aca="false">R2033/H2033</f>
        <v>200.007889546351</v>
      </c>
      <c r="T2033" s="1709" t="n">
        <f aca="false">O2033-R2033-R2035-R2034</f>
        <v>0</v>
      </c>
      <c r="U2033" s="1037" t="n">
        <f aca="false">N2033-S2033-S2035-S2034</f>
        <v>0</v>
      </c>
    </row>
    <row r="2034" customFormat="false" ht="15" hidden="false" customHeight="true" outlineLevel="0" collapsed="false">
      <c r="A2034" s="881"/>
      <c r="B2034" s="1027"/>
      <c r="C2034" s="1028"/>
      <c r="D2034" s="860" t="s">
        <v>19</v>
      </c>
      <c r="E2034" s="860" t="s">
        <v>2203</v>
      </c>
      <c r="F2034" s="1028"/>
      <c r="G2034" s="1030"/>
      <c r="H2034" s="1031"/>
      <c r="I2034" s="1032"/>
      <c r="J2034" s="947"/>
      <c r="K2034" s="1033"/>
      <c r="L2034" s="1036"/>
      <c r="M2034" s="1035"/>
      <c r="N2034" s="1036"/>
      <c r="O2034" s="1036"/>
      <c r="P2034" s="868" t="s">
        <v>2195</v>
      </c>
      <c r="Q2034" s="869" t="s">
        <v>1375</v>
      </c>
      <c r="R2034" s="866" t="n">
        <v>11457.8</v>
      </c>
      <c r="S2034" s="866" t="n">
        <f aca="false">R2034/H2033</f>
        <v>225.992110453649</v>
      </c>
      <c r="T2034" s="1709"/>
      <c r="U2034" s="1037"/>
    </row>
    <row r="2035" customFormat="false" ht="15" hidden="false" customHeight="true" outlineLevel="0" collapsed="false">
      <c r="A2035" s="881"/>
      <c r="B2035" s="1027"/>
      <c r="C2035" s="1028"/>
      <c r="D2035" s="904" t="s">
        <v>19</v>
      </c>
      <c r="E2035" s="904" t="s">
        <v>2203</v>
      </c>
      <c r="F2035" s="1028"/>
      <c r="G2035" s="1030"/>
      <c r="H2035" s="1031"/>
      <c r="I2035" s="1032"/>
      <c r="J2035" s="947"/>
      <c r="K2035" s="1033"/>
      <c r="L2035" s="1036"/>
      <c r="M2035" s="1035"/>
      <c r="N2035" s="1036"/>
      <c r="O2035" s="1036"/>
      <c r="P2035" s="910" t="s">
        <v>2195</v>
      </c>
      <c r="Q2035" s="911" t="s">
        <v>2240</v>
      </c>
      <c r="R2035" s="891" t="n">
        <v>3853.2</v>
      </c>
      <c r="S2035" s="891" t="n">
        <f aca="false">R2035/H2033</f>
        <v>76</v>
      </c>
      <c r="T2035" s="1709"/>
      <c r="U2035" s="1037"/>
    </row>
    <row r="2036" customFormat="false" ht="15" hidden="false" customHeight="true" outlineLevel="0" collapsed="false">
      <c r="A2036" s="881"/>
      <c r="B2036" s="829" t="s">
        <v>86</v>
      </c>
      <c r="C2036" s="830" t="n">
        <v>2023</v>
      </c>
      <c r="D2036" s="831" t="s">
        <v>19</v>
      </c>
      <c r="E2036" s="831" t="s">
        <v>2205</v>
      </c>
      <c r="F2036" s="830"/>
      <c r="G2036" s="833"/>
      <c r="H2036" s="834" t="n">
        <v>66.4</v>
      </c>
      <c r="I2036" s="835"/>
      <c r="J2036" s="835"/>
      <c r="K2036" s="836" t="n">
        <f aca="false">H2036*I2036/100</f>
        <v>0</v>
      </c>
      <c r="L2036" s="837" t="n">
        <v>1442</v>
      </c>
      <c r="M2036" s="1003" t="n">
        <v>1</v>
      </c>
      <c r="N2036" s="837" t="n">
        <f aca="false">L2036*M2036</f>
        <v>1442</v>
      </c>
      <c r="O2036" s="837" t="n">
        <f aca="false">H2036*N2036</f>
        <v>95748.8</v>
      </c>
      <c r="P2036" s="838" t="s">
        <v>2195</v>
      </c>
      <c r="Q2036" s="839" t="s">
        <v>2240</v>
      </c>
      <c r="R2036" s="840" t="n">
        <v>-730.4</v>
      </c>
      <c r="S2036" s="840" t="n">
        <f aca="false">R2036/H2036</f>
        <v>-11</v>
      </c>
      <c r="T2036" s="837" t="n">
        <f aca="false">O2036-R2036-R2037</f>
        <v>0</v>
      </c>
      <c r="U2036" s="842" t="n">
        <f aca="false">N2036-S2036-S2037</f>
        <v>0</v>
      </c>
    </row>
    <row r="2037" customFormat="false" ht="15" hidden="false" customHeight="true" outlineLevel="0" collapsed="false">
      <c r="A2037" s="881"/>
      <c r="B2037" s="829"/>
      <c r="C2037" s="830"/>
      <c r="D2037" s="843" t="s">
        <v>19</v>
      </c>
      <c r="E2037" s="843" t="s">
        <v>2205</v>
      </c>
      <c r="F2037" s="830"/>
      <c r="G2037" s="833"/>
      <c r="H2037" s="834"/>
      <c r="I2037" s="835"/>
      <c r="J2037" s="835"/>
      <c r="K2037" s="836"/>
      <c r="L2037" s="837"/>
      <c r="M2037" s="1003"/>
      <c r="N2037" s="837"/>
      <c r="O2037" s="837"/>
      <c r="P2037" s="844" t="s">
        <v>2204</v>
      </c>
      <c r="Q2037" s="900" t="s">
        <v>2206</v>
      </c>
      <c r="R2037" s="901" t="n">
        <v>96479.2</v>
      </c>
      <c r="S2037" s="846" t="n">
        <f aca="false">R2037/H2036</f>
        <v>1453</v>
      </c>
      <c r="T2037" s="837"/>
      <c r="U2037" s="842"/>
    </row>
    <row r="2038" customFormat="false" ht="15" hidden="false" customHeight="true" outlineLevel="0" collapsed="false">
      <c r="A2038" s="1465" t="n">
        <v>85</v>
      </c>
      <c r="B2038" s="1089" t="s">
        <v>86</v>
      </c>
      <c r="C2038" s="1089" t="n">
        <v>2023</v>
      </c>
      <c r="D2038" s="1090" t="s">
        <v>19</v>
      </c>
      <c r="E2038" s="1090" t="s">
        <v>2192</v>
      </c>
      <c r="F2038" s="1090" t="s">
        <v>2199</v>
      </c>
      <c r="G2038" s="1091"/>
      <c r="H2038" s="1374" t="n">
        <v>69.9</v>
      </c>
      <c r="I2038" s="1763" t="n">
        <v>65</v>
      </c>
      <c r="J2038" s="1763"/>
      <c r="K2038" s="1094" t="n">
        <f aca="false">H2038*I2038/100</f>
        <v>45.435</v>
      </c>
      <c r="L2038" s="1764" t="n">
        <v>1238</v>
      </c>
      <c r="M2038" s="1096" t="n">
        <v>1</v>
      </c>
      <c r="N2038" s="1764" t="n">
        <f aca="false">L2038*M2038</f>
        <v>1238</v>
      </c>
      <c r="O2038" s="1097" t="n">
        <f aca="false">H2038*N2038</f>
        <v>86536.2</v>
      </c>
      <c r="P2038" s="1098"/>
      <c r="Q2038" s="1694"/>
      <c r="R2038" s="1100"/>
      <c r="S2038" s="1100"/>
      <c r="T2038" s="1800" t="n">
        <f aca="false">O2038-R2038</f>
        <v>86536.2</v>
      </c>
      <c r="U2038" s="1102" t="n">
        <f aca="false">N2038-S2038</f>
        <v>1238</v>
      </c>
    </row>
    <row r="2039" customFormat="false" ht="15" hidden="false" customHeight="true" outlineLevel="0" collapsed="false">
      <c r="A2039" s="1465"/>
      <c r="B2039" s="1207" t="s">
        <v>86</v>
      </c>
      <c r="C2039" s="1207" t="n">
        <v>2023</v>
      </c>
      <c r="D2039" s="1208" t="s">
        <v>19</v>
      </c>
      <c r="E2039" s="1208" t="s">
        <v>2242</v>
      </c>
      <c r="F2039" s="1208"/>
      <c r="G2039" s="1209"/>
      <c r="H2039" s="1801" t="n">
        <v>60.4</v>
      </c>
      <c r="I2039" s="1802"/>
      <c r="J2039" s="1802"/>
      <c r="K2039" s="1212" t="n">
        <f aca="false">H2039*I2039/100</f>
        <v>0</v>
      </c>
      <c r="L2039" s="1398" t="n">
        <v>241</v>
      </c>
      <c r="M2039" s="1214" t="n">
        <v>1</v>
      </c>
      <c r="N2039" s="1398" t="n">
        <f aca="false">L2039*M2039</f>
        <v>241</v>
      </c>
      <c r="O2039" s="1803" t="n">
        <f aca="false">H2039*N2039</f>
        <v>14556.4</v>
      </c>
      <c r="P2039" s="1216"/>
      <c r="Q2039" s="1628"/>
      <c r="R2039" s="1218"/>
      <c r="S2039" s="1269" t="n">
        <f aca="false">R2039/H2039</f>
        <v>0</v>
      </c>
      <c r="T2039" s="1804" t="n">
        <f aca="false">O2039-R2039</f>
        <v>14556.4</v>
      </c>
      <c r="U2039" s="1238" t="n">
        <f aca="false">N2039-S2039</f>
        <v>241</v>
      </c>
    </row>
    <row r="2040" customFormat="false" ht="15" hidden="false" customHeight="true" outlineLevel="0" collapsed="false">
      <c r="A2040" s="1465"/>
      <c r="B2040" s="870" t="s">
        <v>86</v>
      </c>
      <c r="C2040" s="870" t="n">
        <v>2023</v>
      </c>
      <c r="D2040" s="871" t="s">
        <v>19</v>
      </c>
      <c r="E2040" s="871" t="s">
        <v>2205</v>
      </c>
      <c r="F2040" s="871"/>
      <c r="G2040" s="872"/>
      <c r="H2040" s="873" t="n">
        <v>23.9</v>
      </c>
      <c r="I2040" s="874"/>
      <c r="J2040" s="874"/>
      <c r="K2040" s="875" t="n">
        <f aca="false">H2040*I2040/100</f>
        <v>0</v>
      </c>
      <c r="L2040" s="1301" t="n">
        <v>1884</v>
      </c>
      <c r="M2040" s="1000" t="n">
        <v>1</v>
      </c>
      <c r="N2040" s="1301" t="n">
        <f aca="false">L2040*M2040</f>
        <v>1884</v>
      </c>
      <c r="O2040" s="878" t="n">
        <f aca="false">H2040*N2040</f>
        <v>45027.6</v>
      </c>
      <c r="P2040" s="879" t="s">
        <v>2200</v>
      </c>
      <c r="Q2040" s="880" t="s">
        <v>92</v>
      </c>
      <c r="R2040" s="877" t="n">
        <v>45027.6</v>
      </c>
      <c r="S2040" s="877" t="n">
        <f aca="false">R2040/H2040</f>
        <v>1884</v>
      </c>
      <c r="T2040" s="1496" t="n">
        <f aca="false">O2040-R2040</f>
        <v>0</v>
      </c>
      <c r="U2040" s="1293" t="n">
        <f aca="false">N2040-S2040</f>
        <v>0</v>
      </c>
    </row>
    <row r="2041" customFormat="false" ht="15" hidden="false" customHeight="true" outlineLevel="0" collapsed="false">
      <c r="A2041" s="1465"/>
      <c r="B2041" s="829" t="s">
        <v>86</v>
      </c>
      <c r="C2041" s="830" t="n">
        <v>2023</v>
      </c>
      <c r="D2041" s="831" t="s">
        <v>19</v>
      </c>
      <c r="E2041" s="831" t="s">
        <v>2203</v>
      </c>
      <c r="F2041" s="830"/>
      <c r="G2041" s="833"/>
      <c r="H2041" s="834" t="n">
        <v>12.6</v>
      </c>
      <c r="I2041" s="835"/>
      <c r="J2041" s="835"/>
      <c r="K2041" s="836" t="n">
        <f aca="false">H2041*I2041/100</f>
        <v>0</v>
      </c>
      <c r="L2041" s="837" t="n">
        <v>543</v>
      </c>
      <c r="M2041" s="1003" t="n">
        <v>1</v>
      </c>
      <c r="N2041" s="837" t="n">
        <f aca="false">L2041*M2041</f>
        <v>543</v>
      </c>
      <c r="O2041" s="837" t="n">
        <f aca="false">H2041*N2041</f>
        <v>6841.8</v>
      </c>
      <c r="P2041" s="838" t="s">
        <v>2195</v>
      </c>
      <c r="Q2041" s="839" t="s">
        <v>2240</v>
      </c>
      <c r="R2041" s="840" t="n">
        <v>88.2</v>
      </c>
      <c r="S2041" s="886" t="n">
        <f aca="false">R2041/H2041</f>
        <v>7</v>
      </c>
      <c r="T2041" s="1120" t="n">
        <f aca="false">O2041-R2041-R2042</f>
        <v>0</v>
      </c>
      <c r="U2041" s="842" t="n">
        <f aca="false">N2041-S2041-S2042</f>
        <v>0</v>
      </c>
    </row>
    <row r="2042" customFormat="false" ht="15" hidden="false" customHeight="true" outlineLevel="0" collapsed="false">
      <c r="A2042" s="1605"/>
      <c r="B2042" s="829"/>
      <c r="C2042" s="830"/>
      <c r="D2042" s="887" t="s">
        <v>19</v>
      </c>
      <c r="E2042" s="887" t="s">
        <v>2203</v>
      </c>
      <c r="F2042" s="830"/>
      <c r="G2042" s="833"/>
      <c r="H2042" s="834"/>
      <c r="I2042" s="835"/>
      <c r="J2042" s="835"/>
      <c r="K2042" s="836"/>
      <c r="L2042" s="837"/>
      <c r="M2042" s="1003"/>
      <c r="N2042" s="837"/>
      <c r="O2042" s="837"/>
      <c r="P2042" s="888" t="s">
        <v>2204</v>
      </c>
      <c r="Q2042" s="889" t="n">
        <v>31012025</v>
      </c>
      <c r="R2042" s="890" t="n">
        <v>6753.6</v>
      </c>
      <c r="S2042" s="846" t="n">
        <f aca="false">R2042/H2041</f>
        <v>536</v>
      </c>
      <c r="T2042" s="1120"/>
      <c r="U2042" s="842"/>
    </row>
    <row r="2043" customFormat="false" ht="15" hidden="false" customHeight="true" outlineLevel="0" collapsed="false">
      <c r="A2043" s="829" t="n">
        <v>99</v>
      </c>
      <c r="B2043" s="1089" t="s">
        <v>86</v>
      </c>
      <c r="C2043" s="1089" t="n">
        <v>2023</v>
      </c>
      <c r="D2043" s="1090" t="s">
        <v>19</v>
      </c>
      <c r="E2043" s="1090" t="s">
        <v>2192</v>
      </c>
      <c r="F2043" s="1090" t="s">
        <v>1650</v>
      </c>
      <c r="G2043" s="1091"/>
      <c r="H2043" s="1374" t="n">
        <v>82.8</v>
      </c>
      <c r="I2043" s="1763" t="n">
        <v>72</v>
      </c>
      <c r="J2043" s="1763"/>
      <c r="K2043" s="1094" t="n">
        <f aca="false">H2043*I2043/100</f>
        <v>59.616</v>
      </c>
      <c r="L2043" s="1764" t="n">
        <v>1280</v>
      </c>
      <c r="M2043" s="1096" t="n">
        <v>1</v>
      </c>
      <c r="N2043" s="1764" t="n">
        <f aca="false">L2043*M2043</f>
        <v>1280</v>
      </c>
      <c r="O2043" s="1097" t="n">
        <f aca="false">H2043*N2043</f>
        <v>105984</v>
      </c>
      <c r="P2043" s="1098"/>
      <c r="Q2043" s="1694"/>
      <c r="R2043" s="1100"/>
      <c r="S2043" s="1100"/>
      <c r="T2043" s="1101" t="n">
        <f aca="false">O2043-R2043</f>
        <v>105984</v>
      </c>
      <c r="U2043" s="1102" t="n">
        <f aca="false">N2043-S2043</f>
        <v>1280</v>
      </c>
    </row>
    <row r="2044" customFormat="false" ht="15" hidden="false" customHeight="true" outlineLevel="0" collapsed="false">
      <c r="A2044" s="829"/>
      <c r="B2044" s="1481" t="s">
        <v>86</v>
      </c>
      <c r="C2044" s="1481" t="n">
        <v>2023</v>
      </c>
      <c r="D2044" s="1482" t="s">
        <v>19</v>
      </c>
      <c r="E2044" s="1482" t="s">
        <v>2242</v>
      </c>
      <c r="F2044" s="1482"/>
      <c r="G2044" s="1484"/>
      <c r="H2044" s="1485" t="n">
        <v>66.4</v>
      </c>
      <c r="I2044" s="1799"/>
      <c r="J2044" s="1799"/>
      <c r="K2044" s="1486" t="n">
        <f aca="false">H2044*I2044/100</f>
        <v>0</v>
      </c>
      <c r="L2044" s="1487" t="n">
        <v>806</v>
      </c>
      <c r="M2044" s="1488" t="n">
        <v>1</v>
      </c>
      <c r="N2044" s="1487" t="n">
        <f aca="false">L2044*M2044</f>
        <v>806</v>
      </c>
      <c r="O2044" s="1805" t="n">
        <f aca="false">H2044*N2044</f>
        <v>53518.4</v>
      </c>
      <c r="P2044" s="1489" t="s">
        <v>2195</v>
      </c>
      <c r="Q2044" s="1490" t="s">
        <v>2240</v>
      </c>
      <c r="R2044" s="1491" t="n">
        <v>3452.8</v>
      </c>
      <c r="S2044" s="1250" t="n">
        <f aca="false">R2044/H2044</f>
        <v>52</v>
      </c>
      <c r="T2044" s="1492" t="n">
        <f aca="false">O2044-R2044</f>
        <v>50065.6</v>
      </c>
      <c r="U2044" s="1493" t="n">
        <f aca="false">N2044-S2044</f>
        <v>754</v>
      </c>
    </row>
    <row r="2045" customFormat="false" ht="15" hidden="false" customHeight="true" outlineLevel="0" collapsed="false">
      <c r="A2045" s="1027" t="n">
        <v>129</v>
      </c>
      <c r="B2045" s="1173" t="s">
        <v>86</v>
      </c>
      <c r="C2045" s="1173" t="n">
        <v>2023</v>
      </c>
      <c r="D2045" s="831" t="s">
        <v>19</v>
      </c>
      <c r="E2045" s="831" t="s">
        <v>2203</v>
      </c>
      <c r="F2045" s="831"/>
      <c r="G2045" s="1108"/>
      <c r="H2045" s="1434" t="n">
        <v>22.8</v>
      </c>
      <c r="I2045" s="1612"/>
      <c r="J2045" s="1612"/>
      <c r="K2045" s="1111" t="n">
        <f aca="false">H2045*I2045/100</f>
        <v>0</v>
      </c>
      <c r="L2045" s="1408" t="n">
        <v>328</v>
      </c>
      <c r="M2045" s="1113" t="n">
        <v>1</v>
      </c>
      <c r="N2045" s="1408" t="n">
        <f aca="false">L2045*M2045</f>
        <v>328</v>
      </c>
      <c r="O2045" s="1806" t="n">
        <f aca="false">H2045*N2045</f>
        <v>7478.4</v>
      </c>
      <c r="P2045" s="838" t="s">
        <v>2200</v>
      </c>
      <c r="Q2045" s="839" t="s">
        <v>92</v>
      </c>
      <c r="R2045" s="840" t="n">
        <v>7478.4</v>
      </c>
      <c r="S2045" s="886" t="n">
        <f aca="false">R2045/H2045</f>
        <v>328</v>
      </c>
      <c r="T2045" s="1115" t="n">
        <f aca="false">O2045-R2045</f>
        <v>0</v>
      </c>
      <c r="U2045" s="1176" t="n">
        <f aca="false">N2045-S2045</f>
        <v>0</v>
      </c>
    </row>
    <row r="2046" customFormat="false" ht="15" hidden="false" customHeight="true" outlineLevel="0" collapsed="false">
      <c r="A2046" s="1027"/>
      <c r="B2046" s="1229" t="s">
        <v>86</v>
      </c>
      <c r="C2046" s="1229" t="n">
        <v>2023</v>
      </c>
      <c r="D2046" s="1230" t="s">
        <v>19</v>
      </c>
      <c r="E2046" s="1230" t="s">
        <v>2242</v>
      </c>
      <c r="F2046" s="1230"/>
      <c r="G2046" s="1231"/>
      <c r="H2046" s="1330" t="n">
        <v>22.4</v>
      </c>
      <c r="I2046" s="1331"/>
      <c r="J2046" s="1331"/>
      <c r="K2046" s="1332" t="n">
        <f aca="false">H2046*I2046/100</f>
        <v>0</v>
      </c>
      <c r="L2046" s="1333" t="n">
        <v>1523</v>
      </c>
      <c r="M2046" s="1235" t="n">
        <v>1</v>
      </c>
      <c r="N2046" s="1333" t="n">
        <f aca="false">L2046*M2046</f>
        <v>1523</v>
      </c>
      <c r="O2046" s="1807" t="n">
        <f aca="false">H2046*N2046</f>
        <v>34115.2</v>
      </c>
      <c r="P2046" s="1236"/>
      <c r="Q2046" s="1653"/>
      <c r="R2046" s="1177"/>
      <c r="S2046" s="1269"/>
      <c r="T2046" s="1335" t="n">
        <f aca="false">O2046-R2046</f>
        <v>34115.2</v>
      </c>
      <c r="U2046" s="1336" t="n">
        <f aca="false">N2046-S2046</f>
        <v>1523</v>
      </c>
    </row>
    <row r="2047" customFormat="false" ht="15" hidden="false" customHeight="true" outlineLevel="0" collapsed="false">
      <c r="A2047" s="859" t="n">
        <v>147</v>
      </c>
      <c r="B2047" s="859" t="s">
        <v>2191</v>
      </c>
      <c r="C2047" s="859" t="n">
        <v>2023</v>
      </c>
      <c r="D2047" s="860" t="s">
        <v>19</v>
      </c>
      <c r="E2047" s="860" t="s">
        <v>2192</v>
      </c>
      <c r="F2047" s="860" t="s">
        <v>1651</v>
      </c>
      <c r="G2047" s="861"/>
      <c r="H2047" s="980" t="n">
        <v>22.5</v>
      </c>
      <c r="I2047" s="981"/>
      <c r="J2047" s="981"/>
      <c r="K2047" s="864" t="n">
        <f aca="false">H2047*I2047/100</f>
        <v>0</v>
      </c>
      <c r="L2047" s="1299" t="n">
        <v>17</v>
      </c>
      <c r="M2047" s="983" t="n">
        <v>15</v>
      </c>
      <c r="N2047" s="1299" t="n">
        <f aca="false">L2047*M2047</f>
        <v>255</v>
      </c>
      <c r="O2047" s="865" t="n">
        <f aca="false">H2047*N2047</f>
        <v>5737.5</v>
      </c>
      <c r="P2047" s="868" t="s">
        <v>2193</v>
      </c>
      <c r="Q2047" s="869" t="s">
        <v>2955</v>
      </c>
      <c r="R2047" s="866" t="n">
        <v>5737.5</v>
      </c>
      <c r="S2047" s="866" t="n">
        <f aca="false">R2047/H2047</f>
        <v>255</v>
      </c>
      <c r="T2047" s="543" t="n">
        <f aca="false">O2047-R2047</f>
        <v>0</v>
      </c>
      <c r="U2047" s="543" t="n">
        <f aca="false">N2047-S2047</f>
        <v>0</v>
      </c>
    </row>
    <row r="2048" customFormat="false" ht="15" hidden="false" customHeight="true" outlineLevel="0" collapsed="false">
      <c r="A2048" s="859" t="n">
        <v>174</v>
      </c>
      <c r="B2048" s="870" t="s">
        <v>2191</v>
      </c>
      <c r="C2048" s="870" t="n">
        <v>2023</v>
      </c>
      <c r="D2048" s="871" t="s">
        <v>19</v>
      </c>
      <c r="E2048" s="871" t="s">
        <v>2192</v>
      </c>
      <c r="F2048" s="871" t="s">
        <v>2133</v>
      </c>
      <c r="G2048" s="872"/>
      <c r="H2048" s="1116" t="n">
        <v>90</v>
      </c>
      <c r="I2048" s="1117"/>
      <c r="J2048" s="1117"/>
      <c r="K2048" s="875" t="n">
        <f aca="false">H2048*I2048/100</f>
        <v>0</v>
      </c>
      <c r="L2048" s="1301" t="n">
        <v>8</v>
      </c>
      <c r="M2048" s="1000" t="n">
        <v>25</v>
      </c>
      <c r="N2048" s="1301" t="n">
        <f aca="false">L2048*M2048</f>
        <v>200</v>
      </c>
      <c r="O2048" s="876" t="n">
        <f aca="false">H2048*N2048</f>
        <v>18000</v>
      </c>
      <c r="P2048" s="879" t="s">
        <v>2232</v>
      </c>
      <c r="Q2048" s="880" t="s">
        <v>116</v>
      </c>
      <c r="R2048" s="877" t="n">
        <v>18000</v>
      </c>
      <c r="S2048" s="866" t="n">
        <f aca="false">R2048/H2048</f>
        <v>200</v>
      </c>
      <c r="T2048" s="553" t="n">
        <f aca="false">O2048-R2048</f>
        <v>0</v>
      </c>
      <c r="U2048" s="553" t="n">
        <f aca="false">N2048-S2048</f>
        <v>0</v>
      </c>
    </row>
    <row r="2049" customFormat="false" ht="15" hidden="false" customHeight="true" outlineLevel="0" collapsed="false">
      <c r="A2049" s="1081" t="n">
        <v>188</v>
      </c>
      <c r="B2049" s="829" t="s">
        <v>86</v>
      </c>
      <c r="C2049" s="830" t="n">
        <v>2023</v>
      </c>
      <c r="D2049" s="831" t="s">
        <v>19</v>
      </c>
      <c r="E2049" s="831" t="s">
        <v>2192</v>
      </c>
      <c r="F2049" s="832" t="s">
        <v>1650</v>
      </c>
      <c r="G2049" s="833"/>
      <c r="H2049" s="834" t="n">
        <v>90.7</v>
      </c>
      <c r="I2049" s="1020" t="n">
        <v>92</v>
      </c>
      <c r="J2049" s="1020" t="n">
        <v>84</v>
      </c>
      <c r="K2049" s="1318" t="n">
        <f aca="false">H2049*I2049/100</f>
        <v>83.444</v>
      </c>
      <c r="L2049" s="837" t="n">
        <v>2141</v>
      </c>
      <c r="M2049" s="1003" t="n">
        <v>1</v>
      </c>
      <c r="N2049" s="837" t="n">
        <f aca="false">L2049*M2049</f>
        <v>2141</v>
      </c>
      <c r="O2049" s="837" t="n">
        <f aca="false">H2049*N2049</f>
        <v>194188.7</v>
      </c>
      <c r="P2049" s="838" t="s">
        <v>2193</v>
      </c>
      <c r="Q2049" s="839" t="s">
        <v>2610</v>
      </c>
      <c r="R2049" s="840" t="n">
        <v>91425.6</v>
      </c>
      <c r="S2049" s="840" t="n">
        <f aca="false">R2049/H2049</f>
        <v>1008</v>
      </c>
      <c r="T2049" s="1120" t="n">
        <f aca="false">O2049-R2049-R2050</f>
        <v>0</v>
      </c>
      <c r="U2049" s="842" t="n">
        <f aca="false">N2049-S2049-S2050</f>
        <v>0</v>
      </c>
    </row>
    <row r="2050" customFormat="false" ht="15" hidden="false" customHeight="true" outlineLevel="0" collapsed="false">
      <c r="A2050" s="1081"/>
      <c r="B2050" s="829"/>
      <c r="C2050" s="830"/>
      <c r="D2050" s="887" t="s">
        <v>19</v>
      </c>
      <c r="E2050" s="887" t="s">
        <v>2192</v>
      </c>
      <c r="F2050" s="832"/>
      <c r="G2050" s="833"/>
      <c r="H2050" s="834"/>
      <c r="I2050" s="1020"/>
      <c r="J2050" s="1020"/>
      <c r="K2050" s="1318"/>
      <c r="L2050" s="837"/>
      <c r="M2050" s="1003"/>
      <c r="N2050" s="837"/>
      <c r="O2050" s="837"/>
      <c r="P2050" s="888" t="s">
        <v>2193</v>
      </c>
      <c r="Q2050" s="889" t="s">
        <v>108</v>
      </c>
      <c r="R2050" s="890" t="n">
        <v>102763.1</v>
      </c>
      <c r="S2050" s="890" t="n">
        <f aca="false">R2050/H2049</f>
        <v>1133</v>
      </c>
      <c r="T2050" s="1120"/>
      <c r="U2050" s="842"/>
    </row>
    <row r="2051" customFormat="false" ht="15" hidden="false" customHeight="true" outlineLevel="0" collapsed="false">
      <c r="A2051" s="1081"/>
      <c r="B2051" s="1479" t="s">
        <v>86</v>
      </c>
      <c r="C2051" s="847" t="n">
        <v>2023</v>
      </c>
      <c r="D2051" s="848" t="s">
        <v>19</v>
      </c>
      <c r="E2051" s="848" t="s">
        <v>2241</v>
      </c>
      <c r="F2051" s="848"/>
      <c r="G2051" s="849"/>
      <c r="H2051" s="949" t="n">
        <v>0</v>
      </c>
      <c r="I2051" s="1397"/>
      <c r="J2051" s="1397"/>
      <c r="K2051" s="852" t="n">
        <f aca="false">H2051*I2051/100</f>
        <v>0</v>
      </c>
      <c r="L2051" s="1143" t="n">
        <v>265</v>
      </c>
      <c r="M2051" s="1007" t="n">
        <v>1</v>
      </c>
      <c r="N2051" s="1143" t="n">
        <f aca="false">L2051*M2051</f>
        <v>265</v>
      </c>
      <c r="O2051" s="853" t="n">
        <f aca="false">H2051*N2051</f>
        <v>0</v>
      </c>
      <c r="P2051" s="856" t="s">
        <v>2204</v>
      </c>
      <c r="Q2051" s="857" t="n">
        <v>15052024</v>
      </c>
      <c r="R2051" s="854" t="n">
        <v>0</v>
      </c>
      <c r="S2051" s="854" t="n">
        <v>265</v>
      </c>
      <c r="T2051" s="537" t="n">
        <f aca="false">O2051-R2051</f>
        <v>0</v>
      </c>
      <c r="U2051" s="892" t="n">
        <f aca="false">N2051-S2051</f>
        <v>0</v>
      </c>
    </row>
    <row r="2052" customFormat="false" ht="15" hidden="false" customHeight="true" outlineLevel="0" collapsed="false">
      <c r="A2052" s="1081"/>
      <c r="B2052" s="1357" t="s">
        <v>86</v>
      </c>
      <c r="C2052" s="893" t="n">
        <v>2023</v>
      </c>
      <c r="D2052" s="843" t="s">
        <v>19</v>
      </c>
      <c r="E2052" s="843" t="s">
        <v>2205</v>
      </c>
      <c r="F2052" s="843"/>
      <c r="G2052" s="894"/>
      <c r="H2052" s="1103" t="n">
        <v>36.8</v>
      </c>
      <c r="I2052" s="1104"/>
      <c r="J2052" s="1104"/>
      <c r="K2052" s="897" t="n">
        <f aca="false">H2052*I2052/100</f>
        <v>0</v>
      </c>
      <c r="L2052" s="1393" t="n">
        <v>1176</v>
      </c>
      <c r="M2052" s="1106" t="n">
        <v>1</v>
      </c>
      <c r="N2052" s="1393" t="n">
        <f aca="false">L2052*M2052</f>
        <v>1176</v>
      </c>
      <c r="O2052" s="899" t="n">
        <f aca="false">H2052*N2052</f>
        <v>43276.8</v>
      </c>
      <c r="P2052" s="844" t="s">
        <v>2200</v>
      </c>
      <c r="Q2052" s="845" t="s">
        <v>92</v>
      </c>
      <c r="R2052" s="846" t="n">
        <v>43276.8</v>
      </c>
      <c r="S2052" s="846" t="n">
        <f aca="false">R2052/H2052</f>
        <v>1176</v>
      </c>
      <c r="T2052" s="1441" t="n">
        <f aca="false">O2052-R2052</f>
        <v>0</v>
      </c>
      <c r="U2052" s="902" t="n">
        <f aca="false">N2052-S2052</f>
        <v>0</v>
      </c>
    </row>
    <row r="2053" customFormat="false" ht="15" hidden="false" customHeight="true" outlineLevel="0" collapsed="false">
      <c r="A2053" s="903" t="n">
        <v>319</v>
      </c>
      <c r="B2053" s="903" t="s">
        <v>2191</v>
      </c>
      <c r="C2053" s="903" t="n">
        <v>2023</v>
      </c>
      <c r="D2053" s="904" t="s">
        <v>19</v>
      </c>
      <c r="E2053" s="904" t="s">
        <v>2192</v>
      </c>
      <c r="F2053" s="904" t="s">
        <v>1651</v>
      </c>
      <c r="G2053" s="905"/>
      <c r="H2053" s="946" t="n">
        <v>22.5</v>
      </c>
      <c r="I2053" s="947"/>
      <c r="J2053" s="947"/>
      <c r="K2053" s="939" t="n">
        <f aca="false">H2053*I2053/100</f>
        <v>0</v>
      </c>
      <c r="L2053" s="1137" t="n">
        <v>1</v>
      </c>
      <c r="M2053" s="1023" t="n">
        <v>15</v>
      </c>
      <c r="N2053" s="1137" t="n">
        <f aca="false">L2053*M2053</f>
        <v>15</v>
      </c>
      <c r="O2053" s="1056" t="n">
        <f aca="false">H2053*N2053</f>
        <v>337.5</v>
      </c>
      <c r="P2053" s="910" t="s">
        <v>2193</v>
      </c>
      <c r="Q2053" s="911" t="s">
        <v>3124</v>
      </c>
      <c r="R2053" s="891" t="n">
        <v>337.5</v>
      </c>
      <c r="S2053" s="866" t="n">
        <f aca="false">R2053/H2053</f>
        <v>15</v>
      </c>
      <c r="T2053" s="1058" t="n">
        <f aca="false">O2053-R2053</f>
        <v>0</v>
      </c>
      <c r="U2053" s="1026" t="n">
        <f aca="false">N2053-S2053</f>
        <v>0</v>
      </c>
    </row>
    <row r="2054" customFormat="false" ht="15" hidden="false" customHeight="true" outlineLevel="0" collapsed="false">
      <c r="A2054" s="859" t="n">
        <v>354</v>
      </c>
      <c r="B2054" s="859" t="s">
        <v>2191</v>
      </c>
      <c r="C2054" s="859" t="n">
        <v>2023</v>
      </c>
      <c r="D2054" s="860" t="s">
        <v>19</v>
      </c>
      <c r="E2054" s="860" t="s">
        <v>2192</v>
      </c>
      <c r="F2054" s="860" t="s">
        <v>2130</v>
      </c>
      <c r="G2054" s="861"/>
      <c r="H2054" s="980" t="n">
        <v>45.6204</v>
      </c>
      <c r="I2054" s="981"/>
      <c r="J2054" s="981"/>
      <c r="K2054" s="864" t="n">
        <f aca="false">H2054*I2054/100</f>
        <v>0</v>
      </c>
      <c r="L2054" s="1299" t="n">
        <v>7</v>
      </c>
      <c r="M2054" s="983" t="n">
        <v>25</v>
      </c>
      <c r="N2054" s="1299" t="n">
        <f aca="false">L2054*M2054</f>
        <v>175</v>
      </c>
      <c r="O2054" s="1149" t="n">
        <f aca="false">H2054*N2054</f>
        <v>7983.57</v>
      </c>
      <c r="P2054" s="868" t="s">
        <v>2232</v>
      </c>
      <c r="Q2054" s="869" t="s">
        <v>116</v>
      </c>
      <c r="R2054" s="866" t="n">
        <v>7983.57</v>
      </c>
      <c r="S2054" s="866" t="n">
        <f aca="false">R2054/H2054</f>
        <v>175</v>
      </c>
      <c r="T2054" s="985" t="n">
        <f aca="false">O2054-R2054</f>
        <v>0</v>
      </c>
      <c r="U2054" s="543" t="n">
        <f aca="false">N2054-S2054</f>
        <v>0</v>
      </c>
    </row>
    <row r="2055" customFormat="false" ht="15" hidden="false" customHeight="true" outlineLevel="0" collapsed="false">
      <c r="A2055" s="859" t="n">
        <v>502</v>
      </c>
      <c r="B2055" s="859" t="s">
        <v>2191</v>
      </c>
      <c r="C2055" s="859" t="n">
        <v>2023</v>
      </c>
      <c r="D2055" s="860" t="s">
        <v>19</v>
      </c>
      <c r="E2055" s="860" t="s">
        <v>2192</v>
      </c>
      <c r="F2055" s="860" t="s">
        <v>1651</v>
      </c>
      <c r="G2055" s="861"/>
      <c r="H2055" s="980" t="n">
        <v>22.5</v>
      </c>
      <c r="I2055" s="981"/>
      <c r="J2055" s="981"/>
      <c r="K2055" s="864" t="n">
        <f aca="false">H2055*I2055/100</f>
        <v>0</v>
      </c>
      <c r="L2055" s="1299" t="n">
        <v>3</v>
      </c>
      <c r="M2055" s="983" t="n">
        <v>15</v>
      </c>
      <c r="N2055" s="1299" t="n">
        <f aca="false">L2055*M2055</f>
        <v>45</v>
      </c>
      <c r="O2055" s="867" t="n">
        <f aca="false">H2055*N2055</f>
        <v>1012.5</v>
      </c>
      <c r="P2055" s="868" t="s">
        <v>2193</v>
      </c>
      <c r="Q2055" s="869" t="s">
        <v>3127</v>
      </c>
      <c r="R2055" s="866" t="n">
        <v>1012.5</v>
      </c>
      <c r="S2055" s="866" t="n">
        <f aca="false">R2055/H2055</f>
        <v>45</v>
      </c>
      <c r="T2055" s="985" t="n">
        <f aca="false">O2055-R2055</f>
        <v>0</v>
      </c>
      <c r="U2055" s="543" t="n">
        <f aca="false">N2055-S2055</f>
        <v>0</v>
      </c>
    </row>
    <row r="2056" customFormat="false" ht="15" hidden="false" customHeight="true" outlineLevel="0" collapsed="false">
      <c r="A2056" s="859" t="n">
        <v>15</v>
      </c>
      <c r="B2056" s="1477" t="s">
        <v>86</v>
      </c>
      <c r="C2056" s="969" t="n">
        <v>2024</v>
      </c>
      <c r="D2056" s="929" t="s">
        <v>19</v>
      </c>
      <c r="E2056" s="929" t="s">
        <v>2192</v>
      </c>
      <c r="F2056" s="929" t="s">
        <v>2199</v>
      </c>
      <c r="G2056" s="970"/>
      <c r="H2056" s="1725" t="n">
        <v>76.1</v>
      </c>
      <c r="I2056" s="1726"/>
      <c r="J2056" s="1726"/>
      <c r="K2056" s="1296" t="n">
        <f aca="false">H2056*I2056/100</f>
        <v>0</v>
      </c>
      <c r="L2056" s="1297" t="n">
        <v>525</v>
      </c>
      <c r="M2056" s="975" t="n">
        <v>1</v>
      </c>
      <c r="N2056" s="1297" t="n">
        <f aca="false">L2056*M2056</f>
        <v>525</v>
      </c>
      <c r="O2056" s="1808" t="n">
        <f aca="false">H2056*N2056</f>
        <v>39952.5</v>
      </c>
      <c r="P2056" s="930"/>
      <c r="Q2056" s="931"/>
      <c r="R2056" s="933"/>
      <c r="S2056" s="933"/>
      <c r="T2056" s="1728" t="n">
        <f aca="false">O2056-R2056</f>
        <v>39952.5</v>
      </c>
      <c r="U2056" s="979" t="n">
        <f aca="false">N2056-S2056</f>
        <v>525</v>
      </c>
    </row>
    <row r="2057" customFormat="false" ht="15" hidden="false" customHeight="true" outlineLevel="0" collapsed="false">
      <c r="A2057" s="859"/>
      <c r="B2057" s="1647" t="s">
        <v>86</v>
      </c>
      <c r="C2057" s="1207" t="n">
        <v>2024</v>
      </c>
      <c r="D2057" s="1208" t="s">
        <v>19</v>
      </c>
      <c r="E2057" s="1208" t="s">
        <v>2203</v>
      </c>
      <c r="F2057" s="1208"/>
      <c r="G2057" s="1209"/>
      <c r="H2057" s="1210" t="n">
        <v>0</v>
      </c>
      <c r="I2057" s="1211"/>
      <c r="J2057" s="1211"/>
      <c r="K2057" s="1212" t="n">
        <f aca="false">H2057*I2057/100</f>
        <v>0</v>
      </c>
      <c r="L2057" s="1398" t="n">
        <v>425</v>
      </c>
      <c r="M2057" s="1214" t="n">
        <v>1</v>
      </c>
      <c r="N2057" s="1398" t="n">
        <f aca="false">L2057*M2057</f>
        <v>425</v>
      </c>
      <c r="O2057" s="1809" t="n">
        <f aca="false">H2057*N2057</f>
        <v>0</v>
      </c>
      <c r="P2057" s="1216"/>
      <c r="Q2057" s="1628"/>
      <c r="R2057" s="1218"/>
      <c r="S2057" s="1218"/>
      <c r="T2057" s="1731" t="n">
        <f aca="false">O2057-R2057</f>
        <v>0</v>
      </c>
      <c r="U2057" s="1219" t="n">
        <f aca="false">N2057-S2057</f>
        <v>425</v>
      </c>
    </row>
    <row r="2058" customFormat="false" ht="15" hidden="false" customHeight="true" outlineLevel="0" collapsed="false">
      <c r="A2058" s="859"/>
      <c r="B2058" s="1480" t="s">
        <v>86</v>
      </c>
      <c r="C2058" s="859" t="n">
        <v>2024</v>
      </c>
      <c r="D2058" s="860" t="s">
        <v>19</v>
      </c>
      <c r="E2058" s="860" t="s">
        <v>2205</v>
      </c>
      <c r="F2058" s="860"/>
      <c r="G2058" s="861"/>
      <c r="H2058" s="980" t="n">
        <v>0</v>
      </c>
      <c r="I2058" s="981"/>
      <c r="J2058" s="981"/>
      <c r="K2058" s="864" t="n">
        <f aca="false">H2058*I2058/100</f>
        <v>0</v>
      </c>
      <c r="L2058" s="1299" t="n">
        <v>2279</v>
      </c>
      <c r="M2058" s="983" t="n">
        <v>1</v>
      </c>
      <c r="N2058" s="1299" t="n">
        <f aca="false">L2058*M2058</f>
        <v>2279</v>
      </c>
      <c r="O2058" s="1717" t="n">
        <f aca="false">H2058*N2058</f>
        <v>0</v>
      </c>
      <c r="P2058" s="868" t="s">
        <v>2204</v>
      </c>
      <c r="Q2058" s="869" t="n">
        <v>26062024</v>
      </c>
      <c r="R2058" s="866" t="n">
        <v>0</v>
      </c>
      <c r="S2058" s="866" t="n">
        <v>2279</v>
      </c>
      <c r="T2058" s="1449" t="n">
        <f aca="false">O2058-R2058</f>
        <v>0</v>
      </c>
      <c r="U2058" s="543" t="n">
        <f aca="false">N2058-S2058</f>
        <v>0</v>
      </c>
    </row>
    <row r="2059" customFormat="false" ht="15" hidden="false" customHeight="true" outlineLevel="0" collapsed="false">
      <c r="A2059" s="903" t="n">
        <v>9</v>
      </c>
      <c r="B2059" s="1478" t="s">
        <v>2207</v>
      </c>
      <c r="C2059" s="870" t="n">
        <v>2024</v>
      </c>
      <c r="D2059" s="871" t="s">
        <v>19</v>
      </c>
      <c r="E2059" s="871" t="s">
        <v>2192</v>
      </c>
      <c r="F2059" s="871" t="s">
        <v>1651</v>
      </c>
      <c r="G2059" s="872"/>
      <c r="H2059" s="1116" t="n">
        <v>27.4716</v>
      </c>
      <c r="I2059" s="1117"/>
      <c r="J2059" s="1117"/>
      <c r="K2059" s="875" t="n">
        <f aca="false">H2059*I2059/100</f>
        <v>0</v>
      </c>
      <c r="L2059" s="1301" t="n">
        <v>3328</v>
      </c>
      <c r="M2059" s="1000" t="n">
        <v>1</v>
      </c>
      <c r="N2059" s="1301" t="n">
        <f aca="false">L2059*M2059</f>
        <v>3328</v>
      </c>
      <c r="O2059" s="1810" t="n">
        <f aca="false">H2059*N2059</f>
        <v>91425.4848</v>
      </c>
      <c r="P2059" s="879" t="s">
        <v>2193</v>
      </c>
      <c r="Q2059" s="880" t="s">
        <v>3125</v>
      </c>
      <c r="R2059" s="1543" t="n">
        <v>91425.4848</v>
      </c>
      <c r="S2059" s="877" t="n">
        <f aca="false">R2059/H2059</f>
        <v>3328</v>
      </c>
      <c r="T2059" s="1403" t="n">
        <f aca="false">O2059-R2059</f>
        <v>0</v>
      </c>
      <c r="U2059" s="553" t="n">
        <f aca="false">N2059-S2059</f>
        <v>0</v>
      </c>
    </row>
    <row r="2060" customFormat="false" ht="15" hidden="false" customHeight="true" outlineLevel="0" collapsed="false">
      <c r="A2060" s="829" t="s">
        <v>3128</v>
      </c>
      <c r="B2060" s="830" t="s">
        <v>2207</v>
      </c>
      <c r="C2060" s="830" t="n">
        <v>2024</v>
      </c>
      <c r="D2060" s="831" t="s">
        <v>19</v>
      </c>
      <c r="E2060" s="831" t="s">
        <v>2192</v>
      </c>
      <c r="F2060" s="832" t="s">
        <v>1651</v>
      </c>
      <c r="G2060" s="833"/>
      <c r="H2060" s="1059" t="n">
        <v>27.2985</v>
      </c>
      <c r="I2060" s="835"/>
      <c r="J2060" s="835"/>
      <c r="K2060" s="836" t="n">
        <f aca="false">H2060*I2060/100</f>
        <v>0</v>
      </c>
      <c r="L2060" s="837" t="n">
        <v>3448</v>
      </c>
      <c r="M2060" s="1003" t="n">
        <v>1</v>
      </c>
      <c r="N2060" s="837" t="n">
        <f aca="false">L2060*M2060</f>
        <v>3448</v>
      </c>
      <c r="O2060" s="943" t="n">
        <f aca="false">H2060*N2060</f>
        <v>94125.228</v>
      </c>
      <c r="P2060" s="838" t="s">
        <v>2197</v>
      </c>
      <c r="Q2060" s="839" t="s">
        <v>3129</v>
      </c>
      <c r="R2060" s="840" t="n">
        <v>30301.335</v>
      </c>
      <c r="S2060" s="840" t="n">
        <f aca="false">R2060/H2060</f>
        <v>1110</v>
      </c>
      <c r="T2060" s="837" t="n">
        <f aca="false">O2060-R2060-R2061</f>
        <v>0.00300000000424916</v>
      </c>
      <c r="U2060" s="842" t="n">
        <f aca="false">N2060-S2060-S2061</f>
        <v>0.000109896148387634</v>
      </c>
    </row>
    <row r="2061" customFormat="false" ht="15" hidden="false" customHeight="true" outlineLevel="0" collapsed="false">
      <c r="A2061" s="829"/>
      <c r="B2061" s="830"/>
      <c r="C2061" s="830"/>
      <c r="D2061" s="843" t="s">
        <v>19</v>
      </c>
      <c r="E2061" s="843" t="s">
        <v>2192</v>
      </c>
      <c r="F2061" s="832"/>
      <c r="G2061" s="833"/>
      <c r="H2061" s="1059"/>
      <c r="I2061" s="835"/>
      <c r="J2061" s="835"/>
      <c r="K2061" s="836"/>
      <c r="L2061" s="837"/>
      <c r="M2061" s="1003"/>
      <c r="N2061" s="837"/>
      <c r="O2061" s="943"/>
      <c r="P2061" s="844" t="s">
        <v>2197</v>
      </c>
      <c r="Q2061" s="845" t="s">
        <v>3130</v>
      </c>
      <c r="R2061" s="846" t="n">
        <v>63823.89</v>
      </c>
      <c r="S2061" s="846" t="n">
        <f aca="false">R2061/H2060</f>
        <v>2337.99989010385</v>
      </c>
      <c r="T2061" s="837"/>
      <c r="U2061" s="842"/>
    </row>
    <row r="2062" customFormat="false" ht="15" hidden="false" customHeight="true" outlineLevel="0" collapsed="false">
      <c r="A2062" s="903" t="n">
        <v>17</v>
      </c>
      <c r="B2062" s="903" t="s">
        <v>81</v>
      </c>
      <c r="C2062" s="903" t="n">
        <v>2024</v>
      </c>
      <c r="D2062" s="904" t="s">
        <v>19</v>
      </c>
      <c r="E2062" s="904" t="s">
        <v>2192</v>
      </c>
      <c r="F2062" s="904" t="s">
        <v>2199</v>
      </c>
      <c r="G2062" s="905"/>
      <c r="H2062" s="946" t="n">
        <v>54.2</v>
      </c>
      <c r="I2062" s="947"/>
      <c r="J2062" s="947"/>
      <c r="K2062" s="939" t="n">
        <f aca="false">H2062*I2062/100</f>
        <v>0</v>
      </c>
      <c r="L2062" s="1137" t="n">
        <v>30876</v>
      </c>
      <c r="M2062" s="1023" t="n">
        <v>1</v>
      </c>
      <c r="N2062" s="1137" t="n">
        <f aca="false">L2062*M2062</f>
        <v>30876</v>
      </c>
      <c r="O2062" s="940" t="n">
        <f aca="false">H2062*N2062</f>
        <v>1673479.2</v>
      </c>
      <c r="P2062" s="910" t="s">
        <v>2200</v>
      </c>
      <c r="Q2062" s="911" t="s">
        <v>2256</v>
      </c>
      <c r="R2062" s="891" t="n">
        <v>1673479.2</v>
      </c>
      <c r="S2062" s="891" t="n">
        <f aca="false">R2062/H2062</f>
        <v>30876</v>
      </c>
      <c r="T2062" s="1122" t="n">
        <f aca="false">O2062-R2062</f>
        <v>0</v>
      </c>
      <c r="U2062" s="942" t="n">
        <f aca="false">N2062-S2062</f>
        <v>0</v>
      </c>
    </row>
    <row r="2063" customFormat="false" ht="15" hidden="false" customHeight="true" outlineLevel="0" collapsed="false">
      <c r="A2063" s="881" t="n">
        <v>28</v>
      </c>
      <c r="B2063" s="913" t="s">
        <v>86</v>
      </c>
      <c r="C2063" s="914" t="n">
        <v>2024</v>
      </c>
      <c r="D2063" s="915" t="s">
        <v>19</v>
      </c>
      <c r="E2063" s="915" t="s">
        <v>2192</v>
      </c>
      <c r="F2063" s="916" t="s">
        <v>1650</v>
      </c>
      <c r="G2063" s="917"/>
      <c r="H2063" s="918" t="n">
        <v>91.9</v>
      </c>
      <c r="I2063" s="919"/>
      <c r="J2063" s="919"/>
      <c r="K2063" s="920" t="n">
        <f aca="false">H2063*I2063/100</f>
        <v>0</v>
      </c>
      <c r="L2063" s="921" t="n">
        <v>15800</v>
      </c>
      <c r="M2063" s="1191" t="n">
        <v>1</v>
      </c>
      <c r="N2063" s="921" t="n">
        <f aca="false">L2063*M2063</f>
        <v>15800</v>
      </c>
      <c r="O2063" s="1192" t="n">
        <f aca="false">H2063*N2063</f>
        <v>1452020</v>
      </c>
      <c r="P2063" s="1193" t="s">
        <v>2193</v>
      </c>
      <c r="Q2063" s="1312" t="s">
        <v>108</v>
      </c>
      <c r="R2063" s="1196" t="n">
        <v>275700</v>
      </c>
      <c r="S2063" s="926" t="n">
        <f aca="false">R2063/H2063</f>
        <v>3000</v>
      </c>
      <c r="T2063" s="922" t="n">
        <f aca="false">O2063-R2063-R2068-R2067-R2064-R2065-R2066</f>
        <v>108625.8</v>
      </c>
      <c r="U2063" s="928" t="n">
        <f aca="false">N2063-S2063-S2068-S2067-S2064-S2065-S2066</f>
        <v>1182</v>
      </c>
    </row>
    <row r="2064" customFormat="false" ht="15" hidden="false" customHeight="true" outlineLevel="0" collapsed="false">
      <c r="A2064" s="881"/>
      <c r="B2064" s="913"/>
      <c r="C2064" s="914"/>
      <c r="D2064" s="1090" t="s">
        <v>19</v>
      </c>
      <c r="E2064" s="1090" t="s">
        <v>2192</v>
      </c>
      <c r="F2064" s="916"/>
      <c r="G2064" s="917"/>
      <c r="H2064" s="918"/>
      <c r="I2064" s="919"/>
      <c r="J2064" s="919"/>
      <c r="K2064" s="920"/>
      <c r="L2064" s="921"/>
      <c r="M2064" s="1191"/>
      <c r="N2064" s="921"/>
      <c r="O2064" s="1192"/>
      <c r="P2064" s="1098" t="s">
        <v>2193</v>
      </c>
      <c r="Q2064" s="1694" t="s">
        <v>2744</v>
      </c>
      <c r="R2064" s="1100" t="n">
        <v>209348.2</v>
      </c>
      <c r="S2064" s="933" t="n">
        <f aca="false">R2064/H2063</f>
        <v>2278</v>
      </c>
      <c r="T2064" s="922"/>
      <c r="U2064" s="928"/>
    </row>
    <row r="2065" customFormat="false" ht="15" hidden="false" customHeight="true" outlineLevel="0" collapsed="false">
      <c r="A2065" s="881"/>
      <c r="B2065" s="913"/>
      <c r="C2065" s="914"/>
      <c r="D2065" s="1090" t="s">
        <v>19</v>
      </c>
      <c r="E2065" s="1090" t="s">
        <v>2192</v>
      </c>
      <c r="F2065" s="916"/>
      <c r="G2065" s="917"/>
      <c r="H2065" s="918"/>
      <c r="I2065" s="919"/>
      <c r="J2065" s="919"/>
      <c r="K2065" s="920"/>
      <c r="L2065" s="921"/>
      <c r="M2065" s="1191"/>
      <c r="N2065" s="921"/>
      <c r="O2065" s="1192"/>
      <c r="P2065" s="1098" t="s">
        <v>2193</v>
      </c>
      <c r="Q2065" s="1694" t="s">
        <v>2993</v>
      </c>
      <c r="R2065" s="1100" t="n">
        <v>467771</v>
      </c>
      <c r="S2065" s="933" t="n">
        <f aca="false">R2065/H2063</f>
        <v>5090</v>
      </c>
      <c r="T2065" s="922"/>
      <c r="U2065" s="928"/>
    </row>
    <row r="2066" customFormat="false" ht="15" hidden="false" customHeight="true" outlineLevel="0" collapsed="false">
      <c r="A2066" s="881"/>
      <c r="B2066" s="913"/>
      <c r="C2066" s="914"/>
      <c r="D2066" s="1090" t="s">
        <v>19</v>
      </c>
      <c r="E2066" s="1090" t="s">
        <v>2192</v>
      </c>
      <c r="F2066" s="916"/>
      <c r="G2066" s="917"/>
      <c r="H2066" s="918"/>
      <c r="I2066" s="919"/>
      <c r="J2066" s="919"/>
      <c r="K2066" s="920"/>
      <c r="L2066" s="921"/>
      <c r="M2066" s="1191"/>
      <c r="N2066" s="921"/>
      <c r="O2066" s="1192"/>
      <c r="P2066" s="1098" t="s">
        <v>2197</v>
      </c>
      <c r="Q2066" s="1694" t="s">
        <v>3131</v>
      </c>
      <c r="R2066" s="1100" t="n">
        <v>124065</v>
      </c>
      <c r="S2066" s="933" t="n">
        <f aca="false">R2066/H2063</f>
        <v>1350</v>
      </c>
      <c r="T2066" s="922"/>
      <c r="U2066" s="928"/>
    </row>
    <row r="2067" customFormat="false" ht="15" hidden="false" customHeight="true" outlineLevel="0" collapsed="false">
      <c r="A2067" s="881"/>
      <c r="B2067" s="913"/>
      <c r="C2067" s="914"/>
      <c r="D2067" s="1090" t="s">
        <v>19</v>
      </c>
      <c r="E2067" s="1090" t="s">
        <v>2192</v>
      </c>
      <c r="F2067" s="916"/>
      <c r="G2067" s="917"/>
      <c r="H2067" s="918"/>
      <c r="I2067" s="919"/>
      <c r="J2067" s="919"/>
      <c r="K2067" s="920"/>
      <c r="L2067" s="921"/>
      <c r="M2067" s="1191"/>
      <c r="N2067" s="921"/>
      <c r="O2067" s="1192"/>
      <c r="P2067" s="1098" t="s">
        <v>2193</v>
      </c>
      <c r="Q2067" s="1694" t="s">
        <v>2525</v>
      </c>
      <c r="R2067" s="1100" t="n">
        <v>147040</v>
      </c>
      <c r="S2067" s="933" t="n">
        <f aca="false">R2067/H2063</f>
        <v>1600</v>
      </c>
      <c r="T2067" s="922"/>
      <c r="U2067" s="928"/>
    </row>
    <row r="2068" customFormat="false" ht="15" hidden="false" customHeight="true" outlineLevel="0" collapsed="false">
      <c r="A2068" s="881"/>
      <c r="B2068" s="913"/>
      <c r="C2068" s="914"/>
      <c r="D2068" s="1671" t="s">
        <v>19</v>
      </c>
      <c r="E2068" s="1671" t="s">
        <v>2192</v>
      </c>
      <c r="F2068" s="916"/>
      <c r="G2068" s="917"/>
      <c r="H2068" s="918"/>
      <c r="I2068" s="919"/>
      <c r="J2068" s="919"/>
      <c r="K2068" s="920"/>
      <c r="L2068" s="921"/>
      <c r="M2068" s="1191"/>
      <c r="N2068" s="921"/>
      <c r="O2068" s="1192"/>
      <c r="P2068" s="1672" t="s">
        <v>2193</v>
      </c>
      <c r="Q2068" s="1698" t="s">
        <v>2955</v>
      </c>
      <c r="R2068" s="1700" t="n">
        <v>119470</v>
      </c>
      <c r="S2068" s="938" t="n">
        <f aca="false">R2068/H2063</f>
        <v>1300</v>
      </c>
      <c r="T2068" s="922"/>
      <c r="U2068" s="928"/>
    </row>
    <row r="2069" customFormat="false" ht="15" hidden="false" customHeight="true" outlineLevel="0" collapsed="false">
      <c r="A2069" s="881"/>
      <c r="B2069" s="847" t="s">
        <v>86</v>
      </c>
      <c r="C2069" s="847" t="n">
        <v>2024</v>
      </c>
      <c r="D2069" s="848" t="s">
        <v>19</v>
      </c>
      <c r="E2069" s="848" t="s">
        <v>2242</v>
      </c>
      <c r="F2069" s="848"/>
      <c r="G2069" s="849"/>
      <c r="H2069" s="949" t="n">
        <v>35.1</v>
      </c>
      <c r="I2069" s="950"/>
      <c r="J2069" s="950"/>
      <c r="K2069" s="852" t="n">
        <f aca="false">H2069*I2069/100</f>
        <v>0</v>
      </c>
      <c r="L2069" s="1143" t="n">
        <v>329</v>
      </c>
      <c r="M2069" s="1007" t="n">
        <v>1</v>
      </c>
      <c r="N2069" s="1143" t="n">
        <f aca="false">L2069*M2069</f>
        <v>329</v>
      </c>
      <c r="O2069" s="951" t="n">
        <f aca="false">H2069*N2069</f>
        <v>11547.9</v>
      </c>
      <c r="P2069" s="856" t="s">
        <v>2195</v>
      </c>
      <c r="Q2069" s="857" t="s">
        <v>1375</v>
      </c>
      <c r="R2069" s="854" t="n">
        <v>11547.9</v>
      </c>
      <c r="S2069" s="854" t="n">
        <f aca="false">R2069/H2069</f>
        <v>329</v>
      </c>
      <c r="T2069" s="1347" t="n">
        <f aca="false">O2069-R2069</f>
        <v>0</v>
      </c>
      <c r="U2069" s="892" t="n">
        <f aca="false">N2069-S2069</f>
        <v>0</v>
      </c>
    </row>
    <row r="2070" customFormat="false" ht="15" hidden="false" customHeight="true" outlineLevel="0" collapsed="false">
      <c r="A2070" s="881"/>
      <c r="B2070" s="859" t="s">
        <v>86</v>
      </c>
      <c r="C2070" s="859" t="n">
        <v>2024</v>
      </c>
      <c r="D2070" s="860" t="s">
        <v>19</v>
      </c>
      <c r="E2070" s="860" t="s">
        <v>2203</v>
      </c>
      <c r="F2070" s="860"/>
      <c r="G2070" s="861"/>
      <c r="H2070" s="980" t="n">
        <v>11.7</v>
      </c>
      <c r="I2070" s="981"/>
      <c r="J2070" s="981"/>
      <c r="K2070" s="864" t="n">
        <f aca="false">H2070*I2070/100</f>
        <v>0</v>
      </c>
      <c r="L2070" s="1299" t="n">
        <v>1616</v>
      </c>
      <c r="M2070" s="983" t="n">
        <v>1</v>
      </c>
      <c r="N2070" s="1299" t="n">
        <f aca="false">L2070*M2070</f>
        <v>1616</v>
      </c>
      <c r="O2070" s="1717" t="n">
        <f aca="false">H2070*N2070</f>
        <v>18907.2</v>
      </c>
      <c r="P2070" s="868" t="s">
        <v>2204</v>
      </c>
      <c r="Q2070" s="869" t="n">
        <v>31012025</v>
      </c>
      <c r="R2070" s="866" t="n">
        <v>18907.2</v>
      </c>
      <c r="S2070" s="866" t="n">
        <f aca="false">R2070/H2070</f>
        <v>1616</v>
      </c>
      <c r="T2070" s="1556" t="n">
        <f aca="false">O2070-R2070</f>
        <v>0</v>
      </c>
      <c r="U2070" s="1135" t="n">
        <f aca="false">N2070-S2070</f>
        <v>0</v>
      </c>
    </row>
    <row r="2071" customFormat="false" ht="15" hidden="false" customHeight="true" outlineLevel="0" collapsed="false">
      <c r="A2071" s="881"/>
      <c r="B2071" s="859" t="s">
        <v>86</v>
      </c>
      <c r="C2071" s="859" t="n">
        <v>2024</v>
      </c>
      <c r="D2071" s="860" t="s">
        <v>19</v>
      </c>
      <c r="E2071" s="860" t="s">
        <v>2241</v>
      </c>
      <c r="F2071" s="860"/>
      <c r="G2071" s="861"/>
      <c r="H2071" s="980" t="n">
        <v>12.9</v>
      </c>
      <c r="I2071" s="981"/>
      <c r="J2071" s="981"/>
      <c r="K2071" s="864" t="n">
        <f aca="false">H2071*I2071/100</f>
        <v>0</v>
      </c>
      <c r="L2071" s="1299" t="n">
        <v>3601</v>
      </c>
      <c r="M2071" s="983" t="n">
        <v>1</v>
      </c>
      <c r="N2071" s="1299" t="n">
        <f aca="false">L2071*M2071</f>
        <v>3601</v>
      </c>
      <c r="O2071" s="1717" t="n">
        <f aca="false">H2071*N2071</f>
        <v>46452.9</v>
      </c>
      <c r="P2071" s="868" t="s">
        <v>2204</v>
      </c>
      <c r="Q2071" s="1012" t="s">
        <v>2308</v>
      </c>
      <c r="R2071" s="1018" t="n">
        <v>46452.9</v>
      </c>
      <c r="S2071" s="866" t="n">
        <f aca="false">R2071/H2071</f>
        <v>3601</v>
      </c>
      <c r="T2071" s="1556" t="n">
        <f aca="false">O2071-R2071</f>
        <v>0</v>
      </c>
      <c r="U2071" s="1135" t="n">
        <f aca="false">N2071-S2071</f>
        <v>0</v>
      </c>
    </row>
    <row r="2072" customFormat="false" ht="15" hidden="false" customHeight="true" outlineLevel="0" collapsed="false">
      <c r="A2072" s="881"/>
      <c r="B2072" s="893" t="s">
        <v>86</v>
      </c>
      <c r="C2072" s="893" t="n">
        <v>2024</v>
      </c>
      <c r="D2072" s="843" t="s">
        <v>19</v>
      </c>
      <c r="E2072" s="843" t="s">
        <v>2205</v>
      </c>
      <c r="F2072" s="843"/>
      <c r="G2072" s="894"/>
      <c r="H2072" s="1103" t="n">
        <v>4.3</v>
      </c>
      <c r="I2072" s="1104"/>
      <c r="J2072" s="1104"/>
      <c r="K2072" s="897" t="n">
        <f aca="false">H2072*I2072/100</f>
        <v>0</v>
      </c>
      <c r="L2072" s="1393" t="n">
        <v>9062</v>
      </c>
      <c r="M2072" s="1106" t="n">
        <v>1</v>
      </c>
      <c r="N2072" s="1393" t="n">
        <f aca="false">L2072*M2072</f>
        <v>9062</v>
      </c>
      <c r="O2072" s="1718" t="n">
        <f aca="false">H2072*N2072</f>
        <v>38966.6</v>
      </c>
      <c r="P2072" s="844" t="s">
        <v>2204</v>
      </c>
      <c r="Q2072" s="900" t="s">
        <v>2308</v>
      </c>
      <c r="R2072" s="901" t="n">
        <v>38966.6</v>
      </c>
      <c r="S2072" s="846" t="n">
        <f aca="false">R2072/H2072</f>
        <v>9062</v>
      </c>
      <c r="T2072" s="1184" t="n">
        <f aca="false">O2072-R2072</f>
        <v>0</v>
      </c>
      <c r="U2072" s="902" t="n">
        <f aca="false">N2072-S2072</f>
        <v>0</v>
      </c>
    </row>
    <row r="2073" customFormat="false" ht="15" hidden="false" customHeight="true" outlineLevel="0" collapsed="false">
      <c r="A2073" s="903" t="n">
        <v>52</v>
      </c>
      <c r="B2073" s="903" t="s">
        <v>2207</v>
      </c>
      <c r="C2073" s="903" t="n">
        <v>2024</v>
      </c>
      <c r="D2073" s="904" t="s">
        <v>19</v>
      </c>
      <c r="E2073" s="904" t="s">
        <v>2192</v>
      </c>
      <c r="F2073" s="904" t="s">
        <v>1651</v>
      </c>
      <c r="G2073" s="905"/>
      <c r="H2073" s="946" t="n">
        <v>28.6432</v>
      </c>
      <c r="I2073" s="947"/>
      <c r="J2073" s="947"/>
      <c r="K2073" s="939" t="n">
        <f aca="false">H2073*I2073/100</f>
        <v>0</v>
      </c>
      <c r="L2073" s="1137" t="n">
        <v>13213</v>
      </c>
      <c r="M2073" s="1023" t="n">
        <v>1</v>
      </c>
      <c r="N2073" s="1137" t="n">
        <f aca="false">L2073*M2073</f>
        <v>13213</v>
      </c>
      <c r="O2073" s="940" t="n">
        <f aca="false">H2073*N2073</f>
        <v>378462.6016</v>
      </c>
      <c r="P2073" s="910" t="s">
        <v>2193</v>
      </c>
      <c r="Q2073" s="911" t="s">
        <v>3124</v>
      </c>
      <c r="R2073" s="891" t="n">
        <v>378462.6016</v>
      </c>
      <c r="S2073" s="891" t="n">
        <f aca="false">R2073/H2073</f>
        <v>13213</v>
      </c>
      <c r="T2073" s="948" t="n">
        <f aca="false">O2073-R2073</f>
        <v>0</v>
      </c>
      <c r="U2073" s="942" t="n">
        <f aca="false">N2073-S2073</f>
        <v>0</v>
      </c>
    </row>
    <row r="2074" customFormat="false" ht="15" hidden="false" customHeight="true" outlineLevel="0" collapsed="false">
      <c r="A2074" s="882" t="s">
        <v>3132</v>
      </c>
      <c r="B2074" s="883" t="s">
        <v>2207</v>
      </c>
      <c r="C2074" s="883" t="n">
        <v>2024</v>
      </c>
      <c r="D2074" s="831" t="s">
        <v>19</v>
      </c>
      <c r="E2074" s="831" t="s">
        <v>2192</v>
      </c>
      <c r="F2074" s="832" t="s">
        <v>1651</v>
      </c>
      <c r="G2074" s="833"/>
      <c r="H2074" s="1059" t="n">
        <v>28.4409</v>
      </c>
      <c r="I2074" s="835"/>
      <c r="J2074" s="835"/>
      <c r="K2074" s="836" t="n">
        <f aca="false">H2074*I2074/100</f>
        <v>0</v>
      </c>
      <c r="L2074" s="837" t="n">
        <v>13663</v>
      </c>
      <c r="M2074" s="1003" t="n">
        <v>1</v>
      </c>
      <c r="N2074" s="837" t="n">
        <f aca="false">L2074*M2074</f>
        <v>13663</v>
      </c>
      <c r="O2074" s="943" t="n">
        <f aca="false">H2074*N2074</f>
        <v>388588.0167</v>
      </c>
      <c r="P2074" s="838" t="s">
        <v>2197</v>
      </c>
      <c r="Q2074" s="839" t="s">
        <v>3133</v>
      </c>
      <c r="R2074" s="840" t="n">
        <v>90015.4485</v>
      </c>
      <c r="S2074" s="840" t="n">
        <f aca="false">R2074/H2074</f>
        <v>3165</v>
      </c>
      <c r="T2074" s="837" t="n">
        <f aca="false">O2074-R2074-R2075-R2076</f>
        <v>-3.45607986673713E-011</v>
      </c>
      <c r="U2074" s="842" t="n">
        <f aca="false">N2074-S2074-S2075-S2076</f>
        <v>0</v>
      </c>
    </row>
    <row r="2075" customFormat="false" ht="15" hidden="false" customHeight="true" outlineLevel="0" collapsed="false">
      <c r="A2075" s="882"/>
      <c r="B2075" s="883"/>
      <c r="C2075" s="883"/>
      <c r="D2075" s="860" t="s">
        <v>19</v>
      </c>
      <c r="E2075" s="860" t="s">
        <v>2192</v>
      </c>
      <c r="F2075" s="832"/>
      <c r="G2075" s="833"/>
      <c r="H2075" s="1059"/>
      <c r="I2075" s="835"/>
      <c r="J2075" s="835"/>
      <c r="K2075" s="836"/>
      <c r="L2075" s="837"/>
      <c r="M2075" s="1003"/>
      <c r="N2075" s="837"/>
      <c r="O2075" s="943"/>
      <c r="P2075" s="868" t="s">
        <v>2197</v>
      </c>
      <c r="Q2075" s="869" t="s">
        <v>3134</v>
      </c>
      <c r="R2075" s="866" t="n">
        <v>284124.591</v>
      </c>
      <c r="S2075" s="866" t="n">
        <f aca="false">R2075/H2074</f>
        <v>9990</v>
      </c>
      <c r="T2075" s="837"/>
      <c r="U2075" s="842"/>
    </row>
    <row r="2076" customFormat="false" ht="15" hidden="false" customHeight="true" outlineLevel="0" collapsed="false">
      <c r="A2076" s="882"/>
      <c r="B2076" s="883"/>
      <c r="C2076" s="883"/>
      <c r="D2076" s="843" t="s">
        <v>19</v>
      </c>
      <c r="E2076" s="843" t="s">
        <v>2192</v>
      </c>
      <c r="F2076" s="832"/>
      <c r="G2076" s="833"/>
      <c r="H2076" s="1059"/>
      <c r="I2076" s="835"/>
      <c r="J2076" s="835"/>
      <c r="K2076" s="836"/>
      <c r="L2076" s="837"/>
      <c r="M2076" s="1003"/>
      <c r="N2076" s="837"/>
      <c r="O2076" s="943"/>
      <c r="P2076" s="844" t="s">
        <v>2197</v>
      </c>
      <c r="Q2076" s="845" t="s">
        <v>3135</v>
      </c>
      <c r="R2076" s="846" t="n">
        <v>14447.9772</v>
      </c>
      <c r="S2076" s="846" t="n">
        <f aca="false">R2076/H2074</f>
        <v>508</v>
      </c>
      <c r="T2076" s="837"/>
      <c r="U2076" s="842"/>
    </row>
    <row r="2077" customFormat="false" ht="15" hidden="false" customHeight="true" outlineLevel="0" collapsed="false">
      <c r="A2077" s="903" t="n">
        <v>72</v>
      </c>
      <c r="B2077" s="903" t="s">
        <v>2207</v>
      </c>
      <c r="C2077" s="903" t="n">
        <v>2024</v>
      </c>
      <c r="D2077" s="904" t="s">
        <v>19</v>
      </c>
      <c r="E2077" s="904" t="s">
        <v>2192</v>
      </c>
      <c r="F2077" s="904" t="s">
        <v>1651</v>
      </c>
      <c r="G2077" s="905"/>
      <c r="H2077" s="1406" t="n">
        <v>29.7855</v>
      </c>
      <c r="I2077" s="947"/>
      <c r="J2077" s="947"/>
      <c r="K2077" s="939" t="n">
        <f aca="false">H2077*I2077/100</f>
        <v>0</v>
      </c>
      <c r="L2077" s="942" t="n">
        <v>4011</v>
      </c>
      <c r="M2077" s="1023" t="n">
        <v>1</v>
      </c>
      <c r="N2077" s="942" t="n">
        <f aca="false">L2077*M2077</f>
        <v>4011</v>
      </c>
      <c r="O2077" s="948" t="n">
        <f aca="false">H2077*N2077</f>
        <v>119469.6405</v>
      </c>
      <c r="P2077" s="910" t="s">
        <v>2193</v>
      </c>
      <c r="Q2077" s="911" t="s">
        <v>3127</v>
      </c>
      <c r="R2077" s="891" t="n">
        <v>119470</v>
      </c>
      <c r="S2077" s="891" t="n">
        <f aca="false">R2077/H2077</f>
        <v>4011.0120696312</v>
      </c>
      <c r="T2077" s="942" t="n">
        <f aca="false">O2077-R2077</f>
        <v>-0.359500000005937</v>
      </c>
      <c r="U2077" s="942" t="n">
        <f aca="false">N2077-S2077</f>
        <v>-0.0120696311964821</v>
      </c>
    </row>
    <row r="2078" customFormat="false" ht="15" hidden="false" customHeight="true" outlineLevel="0" collapsed="false">
      <c r="A2078" s="829" t="s">
        <v>3136</v>
      </c>
      <c r="B2078" s="830" t="s">
        <v>2207</v>
      </c>
      <c r="C2078" s="830" t="n">
        <v>2024</v>
      </c>
      <c r="D2078" s="831" t="s">
        <v>19</v>
      </c>
      <c r="E2078" s="831" t="s">
        <v>2192</v>
      </c>
      <c r="F2078" s="832" t="s">
        <v>1651</v>
      </c>
      <c r="G2078" s="1530"/>
      <c r="H2078" s="1059" t="n">
        <v>29.2785</v>
      </c>
      <c r="I2078" s="835"/>
      <c r="J2078" s="1624"/>
      <c r="K2078" s="836" t="n">
        <f aca="false">H2078*I2078/100</f>
        <v>0</v>
      </c>
      <c r="L2078" s="837" t="n">
        <v>4311</v>
      </c>
      <c r="M2078" s="1003" t="n">
        <v>1</v>
      </c>
      <c r="N2078" s="837" t="n">
        <f aca="false">L2078*M2078</f>
        <v>4311</v>
      </c>
      <c r="O2078" s="943" t="n">
        <f aca="false">H2078*N2078</f>
        <v>126219.6135</v>
      </c>
      <c r="P2078" s="838" t="s">
        <v>2197</v>
      </c>
      <c r="Q2078" s="839" t="s">
        <v>3137</v>
      </c>
      <c r="R2078" s="840" t="n">
        <v>6734.055</v>
      </c>
      <c r="S2078" s="840" t="n">
        <f aca="false">R2078/H2078</f>
        <v>230</v>
      </c>
      <c r="T2078" s="943" t="n">
        <f aca="false">O2078-R2078-R2079</f>
        <v>0</v>
      </c>
      <c r="U2078" s="842" t="n">
        <f aca="false">N2078-S2078-S2079</f>
        <v>0</v>
      </c>
    </row>
    <row r="2079" customFormat="false" ht="15" hidden="false" customHeight="true" outlineLevel="0" collapsed="false">
      <c r="A2079" s="829"/>
      <c r="B2079" s="830"/>
      <c r="C2079" s="830"/>
      <c r="D2079" s="887" t="s">
        <v>19</v>
      </c>
      <c r="E2079" s="887" t="s">
        <v>2192</v>
      </c>
      <c r="F2079" s="832"/>
      <c r="G2079" s="1531"/>
      <c r="H2079" s="1059"/>
      <c r="I2079" s="835"/>
      <c r="J2079" s="1625"/>
      <c r="K2079" s="836"/>
      <c r="L2079" s="837"/>
      <c r="M2079" s="1003"/>
      <c r="N2079" s="837"/>
      <c r="O2079" s="943"/>
      <c r="P2079" s="888" t="s">
        <v>2197</v>
      </c>
      <c r="Q2079" s="889" t="s">
        <v>3138</v>
      </c>
      <c r="R2079" s="890" t="n">
        <v>119485.5585</v>
      </c>
      <c r="S2079" s="846" t="n">
        <f aca="false">R2079/H2078</f>
        <v>4081</v>
      </c>
      <c r="T2079" s="943"/>
      <c r="U2079" s="842"/>
    </row>
    <row r="2080" customFormat="false" ht="15" hidden="false" customHeight="true" outlineLevel="0" collapsed="false">
      <c r="A2080" s="903" t="n">
        <v>84</v>
      </c>
      <c r="B2080" s="903" t="s">
        <v>2207</v>
      </c>
      <c r="C2080" s="903" t="n">
        <v>2024</v>
      </c>
      <c r="D2080" s="904" t="s">
        <v>19</v>
      </c>
      <c r="E2080" s="904" t="s">
        <v>2192</v>
      </c>
      <c r="F2080" s="904" t="s">
        <v>1651</v>
      </c>
      <c r="G2080" s="1774"/>
      <c r="H2080" s="1406" t="n">
        <v>24.9601</v>
      </c>
      <c r="I2080" s="947"/>
      <c r="J2080" s="1352"/>
      <c r="K2080" s="939" t="n">
        <f aca="false">H2080*I2080/100</f>
        <v>0</v>
      </c>
      <c r="L2080" s="942" t="n">
        <v>5891</v>
      </c>
      <c r="M2080" s="1023" t="n">
        <v>1</v>
      </c>
      <c r="N2080" s="1137" t="n">
        <f aca="false">L2080*M2080</f>
        <v>5891</v>
      </c>
      <c r="O2080" s="940" t="n">
        <f aca="false">H2080*N2080</f>
        <v>147039.9491</v>
      </c>
      <c r="P2080" s="910" t="s">
        <v>2193</v>
      </c>
      <c r="Q2080" s="911" t="s">
        <v>3121</v>
      </c>
      <c r="R2080" s="891" t="n">
        <v>147039.9491</v>
      </c>
      <c r="S2080" s="891" t="n">
        <f aca="false">R2080/H2080</f>
        <v>5891</v>
      </c>
      <c r="T2080" s="1122" t="n">
        <f aca="false">O2080-R2080</f>
        <v>0</v>
      </c>
      <c r="U2080" s="1026" t="n">
        <f aca="false">N2080-S2080</f>
        <v>0</v>
      </c>
    </row>
    <row r="2081" customFormat="false" ht="15" hidden="false" customHeight="true" outlineLevel="0" collapsed="false">
      <c r="A2081" s="829" t="s">
        <v>3139</v>
      </c>
      <c r="B2081" s="830" t="s">
        <v>2207</v>
      </c>
      <c r="C2081" s="830" t="n">
        <v>2024</v>
      </c>
      <c r="D2081" s="831" t="s">
        <v>19</v>
      </c>
      <c r="E2081" s="831" t="s">
        <v>2192</v>
      </c>
      <c r="F2081" s="832" t="s">
        <v>1651</v>
      </c>
      <c r="G2081" s="833"/>
      <c r="H2081" s="1059" t="n">
        <v>24.8184</v>
      </c>
      <c r="I2081" s="835"/>
      <c r="J2081" s="835"/>
      <c r="K2081" s="836" t="n">
        <f aca="false">H2081*I2081/100</f>
        <v>0</v>
      </c>
      <c r="L2081" s="837" t="n">
        <v>6251</v>
      </c>
      <c r="M2081" s="1003" t="n">
        <v>1</v>
      </c>
      <c r="N2081" s="837" t="n">
        <f aca="false">L2081*M2081</f>
        <v>6251</v>
      </c>
      <c r="O2081" s="943" t="n">
        <f aca="false">H2081*N2081</f>
        <v>155139.8184</v>
      </c>
      <c r="P2081" s="838" t="s">
        <v>2197</v>
      </c>
      <c r="Q2081" s="839" t="s">
        <v>3140</v>
      </c>
      <c r="R2081" s="840" t="n">
        <v>16876.512</v>
      </c>
      <c r="S2081" s="840" t="n">
        <f aca="false">R2081/H2081</f>
        <v>680</v>
      </c>
      <c r="T2081" s="943" t="n">
        <f aca="false">O2081-R2081-R2082</f>
        <v>0</v>
      </c>
      <c r="U2081" s="842" t="n">
        <f aca="false">N2081-S2081-S2082</f>
        <v>0</v>
      </c>
    </row>
    <row r="2082" customFormat="false" ht="15" hidden="false" customHeight="true" outlineLevel="0" collapsed="false">
      <c r="A2082" s="829"/>
      <c r="B2082" s="830"/>
      <c r="C2082" s="830"/>
      <c r="D2082" s="843" t="s">
        <v>19</v>
      </c>
      <c r="E2082" s="843" t="s">
        <v>2192</v>
      </c>
      <c r="F2082" s="832"/>
      <c r="G2082" s="833"/>
      <c r="H2082" s="1059"/>
      <c r="I2082" s="835"/>
      <c r="J2082" s="835"/>
      <c r="K2082" s="836"/>
      <c r="L2082" s="837"/>
      <c r="M2082" s="1003"/>
      <c r="N2082" s="837"/>
      <c r="O2082" s="943"/>
      <c r="P2082" s="844" t="s">
        <v>2197</v>
      </c>
      <c r="Q2082" s="845" t="s">
        <v>3141</v>
      </c>
      <c r="R2082" s="846" t="n">
        <v>138263.3064</v>
      </c>
      <c r="S2082" s="890" t="n">
        <f aca="false">R2082/H2081</f>
        <v>5571</v>
      </c>
      <c r="T2082" s="943"/>
      <c r="U2082" s="842"/>
    </row>
    <row r="2083" customFormat="false" ht="15" hidden="false" customHeight="true" outlineLevel="0" collapsed="false">
      <c r="A2083" s="903" t="n">
        <v>83</v>
      </c>
      <c r="B2083" s="903" t="s">
        <v>2207</v>
      </c>
      <c r="C2083" s="903" t="n">
        <v>2024</v>
      </c>
      <c r="D2083" s="904" t="s">
        <v>19</v>
      </c>
      <c r="E2083" s="904" t="s">
        <v>2192</v>
      </c>
      <c r="F2083" s="904" t="s">
        <v>1652</v>
      </c>
      <c r="G2083" s="1774"/>
      <c r="H2083" s="1406" t="n">
        <v>43.6414</v>
      </c>
      <c r="I2083" s="947"/>
      <c r="J2083" s="1352"/>
      <c r="K2083" s="939" t="n">
        <f aca="false">H2083*I2083/100</f>
        <v>0</v>
      </c>
      <c r="L2083" s="942" t="n">
        <v>4797</v>
      </c>
      <c r="M2083" s="1023" t="n">
        <v>1</v>
      </c>
      <c r="N2083" s="1137" t="n">
        <f aca="false">L2083*M2083</f>
        <v>4797</v>
      </c>
      <c r="O2083" s="940" t="n">
        <f aca="false">H2083*N2083</f>
        <v>209347.7958</v>
      </c>
      <c r="P2083" s="910" t="s">
        <v>2193</v>
      </c>
      <c r="Q2083" s="911" t="s">
        <v>3123</v>
      </c>
      <c r="R2083" s="891" t="n">
        <v>209347.7958</v>
      </c>
      <c r="S2083" s="891" t="n">
        <f aca="false">R2083/H2083</f>
        <v>4797</v>
      </c>
      <c r="T2083" s="948" t="n">
        <f aca="false">O2083-R2083</f>
        <v>0</v>
      </c>
      <c r="U2083" s="1026" t="n">
        <f aca="false">N2083-S2083</f>
        <v>0</v>
      </c>
    </row>
    <row r="2084" customFormat="false" ht="15" hidden="false" customHeight="true" outlineLevel="0" collapsed="false">
      <c r="A2084" s="870" t="s">
        <v>3142</v>
      </c>
      <c r="B2084" s="870" t="s">
        <v>2207</v>
      </c>
      <c r="C2084" s="870" t="n">
        <v>2024</v>
      </c>
      <c r="D2084" s="871" t="s">
        <v>19</v>
      </c>
      <c r="E2084" s="871" t="s">
        <v>2192</v>
      </c>
      <c r="F2084" s="871" t="s">
        <v>1652</v>
      </c>
      <c r="G2084" s="1811"/>
      <c r="H2084" s="1542" t="n">
        <v>42.3971</v>
      </c>
      <c r="I2084" s="1117"/>
      <c r="J2084" s="1812"/>
      <c r="K2084" s="875" t="n">
        <f aca="false">H2084*I2084/100</f>
        <v>0</v>
      </c>
      <c r="L2084" s="553" t="n">
        <v>5097</v>
      </c>
      <c r="M2084" s="1000" t="n">
        <v>1</v>
      </c>
      <c r="N2084" s="1301" t="n">
        <f aca="false">L2084*M2084</f>
        <v>5097</v>
      </c>
      <c r="O2084" s="1810" t="n">
        <f aca="false">H2084*N2084</f>
        <v>216098.0187</v>
      </c>
      <c r="P2084" s="879" t="s">
        <v>2197</v>
      </c>
      <c r="Q2084" s="880" t="s">
        <v>3143</v>
      </c>
      <c r="R2084" s="877" t="n">
        <v>216098.0187</v>
      </c>
      <c r="S2084" s="877" t="n">
        <f aca="false">R2084/H2084</f>
        <v>5097</v>
      </c>
      <c r="T2084" s="1403" t="n">
        <f aca="false">O2084-R2084</f>
        <v>0</v>
      </c>
      <c r="U2084" s="553" t="n">
        <f aca="false">N2084-S2084</f>
        <v>0</v>
      </c>
    </row>
    <row r="2085" customFormat="false" ht="15" hidden="false" customHeight="true" outlineLevel="0" collapsed="false">
      <c r="A2085" s="882" t="n">
        <v>104</v>
      </c>
      <c r="B2085" s="883" t="s">
        <v>2207</v>
      </c>
      <c r="C2085" s="883" t="n">
        <v>2024</v>
      </c>
      <c r="D2085" s="831" t="s">
        <v>19</v>
      </c>
      <c r="E2085" s="831" t="s">
        <v>2192</v>
      </c>
      <c r="F2085" s="832" t="s">
        <v>1651</v>
      </c>
      <c r="G2085" s="833"/>
      <c r="H2085" s="1059" t="n">
        <v>26.1412</v>
      </c>
      <c r="I2085" s="835"/>
      <c r="J2085" s="835"/>
      <c r="K2085" s="1318" t="n">
        <f aca="false">H2085*I2085/100</f>
        <v>0</v>
      </c>
      <c r="L2085" s="837" t="n">
        <v>17894</v>
      </c>
      <c r="M2085" s="1003" t="n">
        <v>1</v>
      </c>
      <c r="N2085" s="837" t="n">
        <f aca="false">L2085*M2085</f>
        <v>17894</v>
      </c>
      <c r="O2085" s="943" t="n">
        <f aca="false">H2085*N2085</f>
        <v>467770.6328</v>
      </c>
      <c r="P2085" s="838" t="s">
        <v>2197</v>
      </c>
      <c r="Q2085" s="839" t="s">
        <v>3144</v>
      </c>
      <c r="R2085" s="840" t="n">
        <v>78423.6</v>
      </c>
      <c r="S2085" s="886" t="n">
        <f aca="false">R2085/H2085</f>
        <v>3000</v>
      </c>
      <c r="T2085" s="943" t="n">
        <f aca="false">O2085-R2085-R2087-R2086</f>
        <v>0</v>
      </c>
      <c r="U2085" s="842" t="n">
        <f aca="false">N2085-S2085-S2087-S2086</f>
        <v>0</v>
      </c>
    </row>
    <row r="2086" customFormat="false" ht="15" hidden="false" customHeight="true" outlineLevel="0" collapsed="false">
      <c r="A2086" s="882"/>
      <c r="B2086" s="883"/>
      <c r="C2086" s="883"/>
      <c r="D2086" s="904" t="s">
        <v>19</v>
      </c>
      <c r="E2086" s="904" t="s">
        <v>2192</v>
      </c>
      <c r="F2086" s="832"/>
      <c r="G2086" s="833"/>
      <c r="H2086" s="1059"/>
      <c r="I2086" s="835"/>
      <c r="J2086" s="835"/>
      <c r="K2086" s="1318"/>
      <c r="L2086" s="837"/>
      <c r="M2086" s="1003"/>
      <c r="N2086" s="837"/>
      <c r="O2086" s="943"/>
      <c r="P2086" s="910" t="s">
        <v>2197</v>
      </c>
      <c r="Q2086" s="911" t="s">
        <v>3130</v>
      </c>
      <c r="R2086" s="891" t="n">
        <v>128196.4448</v>
      </c>
      <c r="S2086" s="866" t="n">
        <f aca="false">R2086/H2085</f>
        <v>4904</v>
      </c>
      <c r="T2086" s="943"/>
      <c r="U2086" s="842"/>
    </row>
    <row r="2087" customFormat="false" ht="15" hidden="false" customHeight="true" outlineLevel="0" collapsed="false">
      <c r="A2087" s="882"/>
      <c r="B2087" s="883"/>
      <c r="C2087" s="883"/>
      <c r="D2087" s="843" t="s">
        <v>19</v>
      </c>
      <c r="E2087" s="843" t="s">
        <v>2192</v>
      </c>
      <c r="F2087" s="832"/>
      <c r="G2087" s="833"/>
      <c r="H2087" s="1059"/>
      <c r="I2087" s="835"/>
      <c r="J2087" s="835"/>
      <c r="K2087" s="1318"/>
      <c r="L2087" s="837"/>
      <c r="M2087" s="1003"/>
      <c r="N2087" s="837"/>
      <c r="O2087" s="943"/>
      <c r="P2087" s="844" t="s">
        <v>2197</v>
      </c>
      <c r="Q2087" s="845" t="s">
        <v>3145</v>
      </c>
      <c r="R2087" s="846" t="n">
        <v>261150.588</v>
      </c>
      <c r="S2087" s="846" t="n">
        <f aca="false">R2087/H2085</f>
        <v>9990</v>
      </c>
      <c r="T2087" s="943"/>
      <c r="U2087" s="842"/>
    </row>
    <row r="2088" customFormat="false" ht="15" hidden="false" customHeight="true" outlineLevel="0" collapsed="false">
      <c r="A2088" s="954" t="n">
        <v>5</v>
      </c>
      <c r="B2088" s="954" t="s">
        <v>2191</v>
      </c>
      <c r="C2088" s="954" t="n">
        <v>2024</v>
      </c>
      <c r="D2088" s="955" t="s">
        <v>19</v>
      </c>
      <c r="E2088" s="955" t="s">
        <v>2192</v>
      </c>
      <c r="F2088" s="955" t="s">
        <v>1651</v>
      </c>
      <c r="G2088" s="956"/>
      <c r="H2088" s="1412" t="n">
        <v>22.3695</v>
      </c>
      <c r="I2088" s="958"/>
      <c r="J2088" s="958"/>
      <c r="K2088" s="1813" t="n">
        <f aca="false">H2088*I2088/100</f>
        <v>0</v>
      </c>
      <c r="L2088" s="960" t="n">
        <v>1207</v>
      </c>
      <c r="M2088" s="1201" t="n">
        <v>1</v>
      </c>
      <c r="N2088" s="1814" t="n">
        <f aca="false">L2088*M2088</f>
        <v>1207</v>
      </c>
      <c r="O2088" s="1815" t="n">
        <f aca="false">H2088*N2088</f>
        <v>26999.9865</v>
      </c>
      <c r="P2088" s="963"/>
      <c r="Q2088" s="964"/>
      <c r="R2088" s="1205"/>
      <c r="S2088" s="1205"/>
      <c r="T2088" s="960" t="n">
        <f aca="false">O2088-R2088</f>
        <v>26999.9865</v>
      </c>
      <c r="U2088" s="960" t="n">
        <f aca="false">N2088-S2088</f>
        <v>1207</v>
      </c>
    </row>
    <row r="2089" customFormat="false" ht="15" hidden="false" customHeight="true" outlineLevel="0" collapsed="false">
      <c r="A2089" s="954" t="n">
        <v>405</v>
      </c>
      <c r="B2089" s="954" t="s">
        <v>2191</v>
      </c>
      <c r="C2089" s="954" t="n">
        <v>2024</v>
      </c>
      <c r="D2089" s="955" t="s">
        <v>19</v>
      </c>
      <c r="E2089" s="955" t="s">
        <v>2192</v>
      </c>
      <c r="F2089" s="955" t="s">
        <v>1651</v>
      </c>
      <c r="G2089" s="956"/>
      <c r="H2089" s="1412" t="n">
        <v>29.3937</v>
      </c>
      <c r="I2089" s="958"/>
      <c r="J2089" s="958"/>
      <c r="K2089" s="1419" t="n">
        <f aca="false">H2089*I2089/100</f>
        <v>0</v>
      </c>
      <c r="L2089" s="960" t="n">
        <v>38</v>
      </c>
      <c r="M2089" s="1201" t="n">
        <v>15</v>
      </c>
      <c r="N2089" s="1427" t="n">
        <f aca="false">L2089*M2089</f>
        <v>570</v>
      </c>
      <c r="O2089" s="1816" t="n">
        <f aca="false">H2089*N2089</f>
        <v>16754.409</v>
      </c>
      <c r="P2089" s="963"/>
      <c r="Q2089" s="964"/>
      <c r="R2089" s="1205"/>
      <c r="S2089" s="1205"/>
      <c r="T2089" s="1786" t="n">
        <f aca="false">O2089-R2089</f>
        <v>16754.409</v>
      </c>
      <c r="U2089" s="552" t="n">
        <f aca="false">N2089-S2089</f>
        <v>570</v>
      </c>
    </row>
    <row r="2090" customFormat="false" ht="15" hidden="false" customHeight="true" outlineLevel="0" collapsed="false">
      <c r="A2090" s="954" t="n">
        <v>454</v>
      </c>
      <c r="B2090" s="954" t="s">
        <v>2191</v>
      </c>
      <c r="C2090" s="954" t="n">
        <v>2024</v>
      </c>
      <c r="D2090" s="955" t="s">
        <v>19</v>
      </c>
      <c r="E2090" s="955" t="s">
        <v>2192</v>
      </c>
      <c r="F2090" s="955" t="s">
        <v>1651</v>
      </c>
      <c r="G2090" s="956"/>
      <c r="H2090" s="1412" t="n">
        <v>24.9798</v>
      </c>
      <c r="I2090" s="958"/>
      <c r="J2090" s="958"/>
      <c r="K2090" s="1419" t="n">
        <f aca="false">H2090*I2090/100</f>
        <v>0</v>
      </c>
      <c r="L2090" s="960" t="n">
        <v>349</v>
      </c>
      <c r="M2090" s="1201" t="n">
        <v>15</v>
      </c>
      <c r="N2090" s="1427" t="n">
        <f aca="false">L2090*M2090</f>
        <v>5235</v>
      </c>
      <c r="O2090" s="1816" t="n">
        <f aca="false">H2090*N2090</f>
        <v>130769.253</v>
      </c>
      <c r="P2090" s="963"/>
      <c r="Q2090" s="964"/>
      <c r="R2090" s="1205"/>
      <c r="S2090" s="1205"/>
      <c r="T2090" s="1786" t="n">
        <f aca="false">O2090-R2090</f>
        <v>130769.253</v>
      </c>
      <c r="U2090" s="552" t="n">
        <f aca="false">N2090-S2090</f>
        <v>5235</v>
      </c>
    </row>
    <row r="2091" customFormat="false" ht="15" hidden="false" customHeight="true" outlineLevel="0" collapsed="false">
      <c r="A2091" s="859"/>
      <c r="B2091" s="1480"/>
      <c r="C2091" s="859"/>
      <c r="D2091" s="860"/>
      <c r="E2091" s="860"/>
      <c r="F2091" s="860"/>
      <c r="G2091" s="861"/>
      <c r="H2091" s="980"/>
      <c r="I2091" s="981"/>
      <c r="J2091" s="981"/>
      <c r="K2091" s="864"/>
      <c r="L2091" s="1299"/>
      <c r="M2091" s="983"/>
      <c r="N2091" s="1299"/>
      <c r="O2091" s="865"/>
      <c r="P2091" s="868"/>
      <c r="Q2091" s="869"/>
      <c r="R2091" s="866"/>
      <c r="S2091" s="866"/>
      <c r="T2091" s="543"/>
      <c r="U2091" s="543"/>
    </row>
    <row r="2092" customFormat="false" ht="15" hidden="false" customHeight="true" outlineLevel="0" collapsed="false">
      <c r="A2092" s="969" t="n">
        <v>14</v>
      </c>
      <c r="B2092" s="969" t="s">
        <v>86</v>
      </c>
      <c r="C2092" s="969" t="n">
        <v>2023</v>
      </c>
      <c r="D2092" s="929" t="s">
        <v>14</v>
      </c>
      <c r="E2092" s="929" t="s">
        <v>2192</v>
      </c>
      <c r="F2092" s="929" t="s">
        <v>1650</v>
      </c>
      <c r="G2092" s="970"/>
      <c r="H2092" s="1294" t="n">
        <v>91.4</v>
      </c>
      <c r="I2092" s="1431" t="n">
        <v>24</v>
      </c>
      <c r="J2092" s="1431"/>
      <c r="K2092" s="1296" t="n">
        <f aca="false">H2092*I2092/100</f>
        <v>21.936</v>
      </c>
      <c r="L2092" s="1297" t="n">
        <v>355</v>
      </c>
      <c r="M2092" s="975" t="n">
        <v>1</v>
      </c>
      <c r="N2092" s="1297" t="n">
        <f aca="false">L2092*M2092</f>
        <v>355</v>
      </c>
      <c r="O2092" s="976" t="n">
        <f aca="false">H2092*N2092</f>
        <v>32447</v>
      </c>
      <c r="P2092" s="930"/>
      <c r="Q2092" s="931"/>
      <c r="R2092" s="933"/>
      <c r="S2092" s="933"/>
      <c r="T2092" s="979" t="n">
        <f aca="false">O2092-R2092</f>
        <v>32447</v>
      </c>
      <c r="U2092" s="979" t="n">
        <f aca="false">N2092-S2092</f>
        <v>355</v>
      </c>
    </row>
    <row r="2093" customFormat="false" ht="15" hidden="false" customHeight="true" outlineLevel="0" collapsed="false">
      <c r="A2093" s="859"/>
      <c r="B2093" s="859"/>
      <c r="C2093" s="859"/>
      <c r="D2093" s="860"/>
      <c r="E2093" s="860"/>
      <c r="F2093" s="860"/>
      <c r="G2093" s="861"/>
      <c r="H2093" s="862"/>
      <c r="I2093" s="863"/>
      <c r="J2093" s="863"/>
      <c r="K2093" s="864"/>
      <c r="L2093" s="1299"/>
      <c r="M2093" s="983"/>
      <c r="N2093" s="1299"/>
      <c r="O2093" s="865"/>
      <c r="P2093" s="868"/>
      <c r="Q2093" s="869"/>
      <c r="R2093" s="866"/>
      <c r="S2093" s="877"/>
      <c r="T2093" s="543"/>
      <c r="U2093" s="543"/>
    </row>
    <row r="2094" customFormat="false" ht="15" hidden="false" customHeight="true" outlineLevel="0" collapsed="false">
      <c r="A2094" s="870" t="n">
        <v>58</v>
      </c>
      <c r="B2094" s="870" t="s">
        <v>2230</v>
      </c>
      <c r="C2094" s="870" t="n">
        <v>2022</v>
      </c>
      <c r="D2094" s="871" t="s">
        <v>8</v>
      </c>
      <c r="E2094" s="871" t="s">
        <v>2192</v>
      </c>
      <c r="F2094" s="871" t="s">
        <v>2199</v>
      </c>
      <c r="G2094" s="872"/>
      <c r="H2094" s="873" t="n">
        <v>60</v>
      </c>
      <c r="I2094" s="1433" t="n">
        <v>50</v>
      </c>
      <c r="J2094" s="1433"/>
      <c r="K2094" s="875" t="n">
        <f aca="false">H2094*I2094/100</f>
        <v>30</v>
      </c>
      <c r="L2094" s="1301" t="n">
        <v>2000</v>
      </c>
      <c r="M2094" s="1000" t="n">
        <v>1</v>
      </c>
      <c r="N2094" s="1301" t="n">
        <f aca="false">L2094*M2094</f>
        <v>2000</v>
      </c>
      <c r="O2094" s="876" t="n">
        <f aca="false">H2094*N2094</f>
        <v>120000</v>
      </c>
      <c r="P2094" s="879" t="s">
        <v>2204</v>
      </c>
      <c r="Q2094" s="880" t="n">
        <v>16102024</v>
      </c>
      <c r="R2094" s="877" t="n">
        <v>120000</v>
      </c>
      <c r="S2094" s="877" t="n">
        <f aca="false">R2094/H2094</f>
        <v>2000</v>
      </c>
      <c r="T2094" s="553" t="n">
        <f aca="false">O2094-R2094</f>
        <v>0</v>
      </c>
      <c r="U2094" s="553" t="n">
        <f aca="false">N2094-S2094</f>
        <v>0</v>
      </c>
    </row>
    <row r="2095" customFormat="false" ht="15" hidden="false" customHeight="true" outlineLevel="0" collapsed="false">
      <c r="A2095" s="870" t="n">
        <v>88</v>
      </c>
      <c r="B2095" s="870" t="s">
        <v>2230</v>
      </c>
      <c r="C2095" s="870" t="n">
        <v>2022</v>
      </c>
      <c r="D2095" s="871" t="s">
        <v>8</v>
      </c>
      <c r="E2095" s="871" t="s">
        <v>2242</v>
      </c>
      <c r="F2095" s="871"/>
      <c r="G2095" s="872"/>
      <c r="H2095" s="873" t="n">
        <v>17</v>
      </c>
      <c r="I2095" s="874"/>
      <c r="J2095" s="874"/>
      <c r="K2095" s="875" t="n">
        <f aca="false">H2095*I2095/100</f>
        <v>0</v>
      </c>
      <c r="L2095" s="1301" t="n">
        <v>1476</v>
      </c>
      <c r="M2095" s="1000" t="n">
        <v>1</v>
      </c>
      <c r="N2095" s="1301" t="n">
        <f aca="false">L2095*M2095</f>
        <v>1476</v>
      </c>
      <c r="O2095" s="876" t="n">
        <f aca="false">H2095*N2095</f>
        <v>25092</v>
      </c>
      <c r="P2095" s="879" t="s">
        <v>2204</v>
      </c>
      <c r="Q2095" s="880" t="n">
        <v>16102024</v>
      </c>
      <c r="R2095" s="877" t="n">
        <v>25092</v>
      </c>
      <c r="S2095" s="877" t="n">
        <f aca="false">R2095/H2095</f>
        <v>1476</v>
      </c>
      <c r="T2095" s="553" t="n">
        <f aca="false">O2095-R2095</f>
        <v>0</v>
      </c>
      <c r="U2095" s="553" t="n">
        <f aca="false">N2095-S2095</f>
        <v>0</v>
      </c>
    </row>
    <row r="2096" customFormat="false" ht="15" hidden="false" customHeight="true" outlineLevel="0" collapsed="false">
      <c r="A2096" s="870" t="n">
        <v>209</v>
      </c>
      <c r="B2096" s="870" t="s">
        <v>2191</v>
      </c>
      <c r="C2096" s="870" t="n">
        <v>2022</v>
      </c>
      <c r="D2096" s="871" t="s">
        <v>8</v>
      </c>
      <c r="E2096" s="871" t="s">
        <v>2192</v>
      </c>
      <c r="F2096" s="871" t="s">
        <v>1651</v>
      </c>
      <c r="G2096" s="872"/>
      <c r="H2096" s="873" t="n">
        <v>30</v>
      </c>
      <c r="I2096" s="874"/>
      <c r="J2096" s="874"/>
      <c r="K2096" s="864" t="n">
        <f aca="false">H2096*I2096/100</f>
        <v>0</v>
      </c>
      <c r="L2096" s="1301" t="n">
        <v>3</v>
      </c>
      <c r="M2096" s="1000" t="n">
        <v>15</v>
      </c>
      <c r="N2096" s="1299" t="n">
        <f aca="false">L2096*M2096</f>
        <v>45</v>
      </c>
      <c r="O2096" s="867" t="n">
        <f aca="false">H2096*N2096</f>
        <v>1350</v>
      </c>
      <c r="P2096" s="879" t="s">
        <v>2204</v>
      </c>
      <c r="Q2096" s="880" t="n">
        <v>24052024</v>
      </c>
      <c r="R2096" s="877" t="n">
        <v>1350</v>
      </c>
      <c r="S2096" s="877" t="n">
        <f aca="false">R2096/H2096</f>
        <v>45</v>
      </c>
      <c r="T2096" s="543" t="n">
        <f aca="false">O2096-R2096</f>
        <v>0</v>
      </c>
      <c r="U2096" s="543" t="n">
        <f aca="false">N2096-S2096</f>
        <v>0</v>
      </c>
    </row>
    <row r="2097" customFormat="false" ht="15" hidden="false" customHeight="true" outlineLevel="0" collapsed="false">
      <c r="A2097" s="870" t="n">
        <v>225</v>
      </c>
      <c r="B2097" s="870" t="s">
        <v>2191</v>
      </c>
      <c r="C2097" s="870" t="n">
        <v>2022</v>
      </c>
      <c r="D2097" s="871" t="s">
        <v>8</v>
      </c>
      <c r="E2097" s="871" t="s">
        <v>2192</v>
      </c>
      <c r="F2097" s="871" t="s">
        <v>1651</v>
      </c>
      <c r="G2097" s="872"/>
      <c r="H2097" s="873" t="n">
        <v>30</v>
      </c>
      <c r="I2097" s="874"/>
      <c r="J2097" s="874"/>
      <c r="K2097" s="864" t="n">
        <f aca="false">H2097*I2097/100</f>
        <v>0</v>
      </c>
      <c r="L2097" s="1301" t="n">
        <v>1261</v>
      </c>
      <c r="M2097" s="1000" t="n">
        <v>1</v>
      </c>
      <c r="N2097" s="1299" t="n">
        <f aca="false">L2097*M2097</f>
        <v>1261</v>
      </c>
      <c r="O2097" s="865" t="n">
        <f aca="false">H2097*N2097</f>
        <v>37830</v>
      </c>
      <c r="P2097" s="879" t="s">
        <v>2232</v>
      </c>
      <c r="Q2097" s="880" t="s">
        <v>2233</v>
      </c>
      <c r="R2097" s="877" t="n">
        <v>37830</v>
      </c>
      <c r="S2097" s="877" t="n">
        <f aca="false">R2097/H2097</f>
        <v>1261</v>
      </c>
      <c r="T2097" s="543" t="n">
        <f aca="false">O2097-R2097</f>
        <v>0</v>
      </c>
      <c r="U2097" s="543" t="n">
        <f aca="false">N2097-S2097</f>
        <v>0</v>
      </c>
    </row>
    <row r="2098" customFormat="false" ht="15" hidden="false" customHeight="true" outlineLevel="0" collapsed="false">
      <c r="A2098" s="870" t="n">
        <v>226</v>
      </c>
      <c r="B2098" s="870" t="s">
        <v>2191</v>
      </c>
      <c r="C2098" s="870" t="n">
        <v>2022</v>
      </c>
      <c r="D2098" s="871" t="s">
        <v>8</v>
      </c>
      <c r="E2098" s="871" t="s">
        <v>2192</v>
      </c>
      <c r="F2098" s="871" t="s">
        <v>1651</v>
      </c>
      <c r="G2098" s="872"/>
      <c r="H2098" s="873" t="n">
        <v>30</v>
      </c>
      <c r="I2098" s="874"/>
      <c r="J2098" s="874"/>
      <c r="K2098" s="864" t="n">
        <f aca="false">H2098*I2098/100</f>
        <v>0</v>
      </c>
      <c r="L2098" s="1301" t="n">
        <v>328</v>
      </c>
      <c r="M2098" s="1000" t="n">
        <v>1</v>
      </c>
      <c r="N2098" s="1299" t="n">
        <f aca="false">L2098*M2098</f>
        <v>328</v>
      </c>
      <c r="O2098" s="867" t="n">
        <f aca="false">H2098*N2098</f>
        <v>9840</v>
      </c>
      <c r="P2098" s="879" t="s">
        <v>2204</v>
      </c>
      <c r="Q2098" s="880" t="n">
        <v>24052024</v>
      </c>
      <c r="R2098" s="877" t="n">
        <v>9840</v>
      </c>
      <c r="S2098" s="877" t="n">
        <f aca="false">R2098/H2098</f>
        <v>328</v>
      </c>
      <c r="T2098" s="543" t="n">
        <f aca="false">O2098-R2098</f>
        <v>0</v>
      </c>
      <c r="U2098" s="543" t="n">
        <f aca="false">N2098-S2098</f>
        <v>0</v>
      </c>
    </row>
    <row r="2099" customFormat="false" ht="15" hidden="false" customHeight="true" outlineLevel="0" collapsed="false">
      <c r="A2099" s="870" t="n">
        <v>260</v>
      </c>
      <c r="B2099" s="870" t="s">
        <v>2191</v>
      </c>
      <c r="C2099" s="870" t="n">
        <v>2022</v>
      </c>
      <c r="D2099" s="871" t="s">
        <v>8</v>
      </c>
      <c r="E2099" s="871" t="s">
        <v>2192</v>
      </c>
      <c r="F2099" s="871" t="s">
        <v>2131</v>
      </c>
      <c r="G2099" s="872"/>
      <c r="H2099" s="873" t="n">
        <v>60</v>
      </c>
      <c r="I2099" s="874"/>
      <c r="J2099" s="874"/>
      <c r="K2099" s="864" t="n">
        <f aca="false">H2099*I2099/100</f>
        <v>0</v>
      </c>
      <c r="L2099" s="1301" t="n">
        <v>12</v>
      </c>
      <c r="M2099" s="1000" t="n">
        <v>25</v>
      </c>
      <c r="N2099" s="1299" t="n">
        <f aca="false">L2099*M2099</f>
        <v>300</v>
      </c>
      <c r="O2099" s="867" t="n">
        <f aca="false">H2099*N2099</f>
        <v>18000</v>
      </c>
      <c r="P2099" s="879" t="s">
        <v>2232</v>
      </c>
      <c r="Q2099" s="880" t="s">
        <v>2233</v>
      </c>
      <c r="R2099" s="877" t="n">
        <v>18000</v>
      </c>
      <c r="S2099" s="877" t="n">
        <f aca="false">R2099/H2099</f>
        <v>300</v>
      </c>
      <c r="T2099" s="543" t="n">
        <f aca="false">O2099-R2099</f>
        <v>0</v>
      </c>
      <c r="U2099" s="543" t="n">
        <f aca="false">N2099-S2099</f>
        <v>0</v>
      </c>
    </row>
    <row r="2100" customFormat="false" ht="15" hidden="false" customHeight="true" outlineLevel="0" collapsed="false">
      <c r="A2100" s="870" t="n">
        <v>318</v>
      </c>
      <c r="B2100" s="870" t="s">
        <v>2191</v>
      </c>
      <c r="C2100" s="870" t="n">
        <v>2022</v>
      </c>
      <c r="D2100" s="871" t="s">
        <v>8</v>
      </c>
      <c r="E2100" s="871" t="s">
        <v>2192</v>
      </c>
      <c r="F2100" s="871" t="s">
        <v>1651</v>
      </c>
      <c r="G2100" s="872"/>
      <c r="H2100" s="873" t="n">
        <v>30</v>
      </c>
      <c r="I2100" s="874"/>
      <c r="J2100" s="874"/>
      <c r="K2100" s="864" t="n">
        <f aca="false">H2100*I2100/100</f>
        <v>0</v>
      </c>
      <c r="L2100" s="1301" t="n">
        <v>2</v>
      </c>
      <c r="M2100" s="1000" t="n">
        <v>15</v>
      </c>
      <c r="N2100" s="1299" t="n">
        <f aca="false">L2100*M2100</f>
        <v>30</v>
      </c>
      <c r="O2100" s="865" t="n">
        <f aca="false">H2100*N2100</f>
        <v>900</v>
      </c>
      <c r="P2100" s="879" t="s">
        <v>2204</v>
      </c>
      <c r="Q2100" s="880" t="n">
        <v>24052024</v>
      </c>
      <c r="R2100" s="877" t="n">
        <v>900</v>
      </c>
      <c r="S2100" s="877" t="n">
        <f aca="false">R2100/H2100</f>
        <v>30</v>
      </c>
      <c r="T2100" s="543" t="n">
        <f aca="false">O2100-R2100</f>
        <v>0</v>
      </c>
      <c r="U2100" s="543" t="n">
        <f aca="false">N2100-S2100</f>
        <v>0</v>
      </c>
    </row>
    <row r="2101" customFormat="false" ht="15" hidden="false" customHeight="true" outlineLevel="0" collapsed="false">
      <c r="A2101" s="870" t="n">
        <v>319</v>
      </c>
      <c r="B2101" s="870" t="s">
        <v>2191</v>
      </c>
      <c r="C2101" s="870" t="n">
        <v>2022</v>
      </c>
      <c r="D2101" s="871" t="s">
        <v>8</v>
      </c>
      <c r="E2101" s="871" t="s">
        <v>2192</v>
      </c>
      <c r="F2101" s="871" t="s">
        <v>1651</v>
      </c>
      <c r="G2101" s="872"/>
      <c r="H2101" s="873" t="n">
        <v>30</v>
      </c>
      <c r="I2101" s="874"/>
      <c r="J2101" s="874"/>
      <c r="K2101" s="875" t="n">
        <f aca="false">H2101*I2101/100</f>
        <v>0</v>
      </c>
      <c r="L2101" s="1301" t="n">
        <v>4</v>
      </c>
      <c r="M2101" s="1000" t="n">
        <v>15</v>
      </c>
      <c r="N2101" s="1301" t="n">
        <f aca="false">L2101*M2101</f>
        <v>60</v>
      </c>
      <c r="O2101" s="876" t="n">
        <f aca="false">H2101*N2101</f>
        <v>1800</v>
      </c>
      <c r="P2101" s="879" t="s">
        <v>2204</v>
      </c>
      <c r="Q2101" s="880" t="n">
        <v>24052024</v>
      </c>
      <c r="R2101" s="877" t="n">
        <v>1800</v>
      </c>
      <c r="S2101" s="877" t="n">
        <f aca="false">R2101/H2101</f>
        <v>60</v>
      </c>
      <c r="T2101" s="553" t="n">
        <f aca="false">O2101-R2101</f>
        <v>0</v>
      </c>
      <c r="U2101" s="553" t="n">
        <f aca="false">N2101-S2101</f>
        <v>0</v>
      </c>
    </row>
    <row r="2102" customFormat="false" ht="15" hidden="false" customHeight="true" outlineLevel="0" collapsed="false">
      <c r="A2102" s="1027" t="n">
        <v>350</v>
      </c>
      <c r="B2102" s="1028" t="s">
        <v>2191</v>
      </c>
      <c r="C2102" s="1028" t="n">
        <v>2022</v>
      </c>
      <c r="D2102" s="1328" t="s">
        <v>8</v>
      </c>
      <c r="E2102" s="1328" t="s">
        <v>2192</v>
      </c>
      <c r="F2102" s="1328" t="s">
        <v>1652</v>
      </c>
      <c r="G2102" s="1030"/>
      <c r="H2102" s="1031" t="n">
        <v>45</v>
      </c>
      <c r="I2102" s="1032"/>
      <c r="J2102" s="1032"/>
      <c r="K2102" s="1033" t="n">
        <f aca="false">H2102*I2102/100</f>
        <v>0</v>
      </c>
      <c r="L2102" s="1036" t="n">
        <v>70</v>
      </c>
      <c r="M2102" s="1035" t="n">
        <v>15</v>
      </c>
      <c r="N2102" s="1036" t="n">
        <f aca="false">L2102*M2102</f>
        <v>1050</v>
      </c>
      <c r="O2102" s="1036" t="n">
        <f aca="false">H2102*N2102</f>
        <v>47250</v>
      </c>
      <c r="P2102" s="884" t="s">
        <v>2193</v>
      </c>
      <c r="Q2102" s="885" t="s">
        <v>3146</v>
      </c>
      <c r="R2102" s="886" t="n">
        <v>42525</v>
      </c>
      <c r="S2102" s="886" t="n">
        <f aca="false">R2102/H2102</f>
        <v>945</v>
      </c>
      <c r="T2102" s="1036" t="n">
        <f aca="false">O2102-R2102-R2103</f>
        <v>0</v>
      </c>
      <c r="U2102" s="1037" t="n">
        <f aca="false">N2102-S2102-S2103</f>
        <v>0</v>
      </c>
    </row>
    <row r="2103" customFormat="false" ht="15" hidden="false" customHeight="true" outlineLevel="0" collapsed="false">
      <c r="A2103" s="1027"/>
      <c r="B2103" s="1028"/>
      <c r="C2103" s="1028"/>
      <c r="D2103" s="871" t="s">
        <v>8</v>
      </c>
      <c r="E2103" s="871" t="s">
        <v>2192</v>
      </c>
      <c r="F2103" s="1328"/>
      <c r="G2103" s="1030"/>
      <c r="H2103" s="1031"/>
      <c r="I2103" s="1032"/>
      <c r="J2103" s="1032"/>
      <c r="K2103" s="1033"/>
      <c r="L2103" s="1036"/>
      <c r="M2103" s="1035"/>
      <c r="N2103" s="1036"/>
      <c r="O2103" s="1036"/>
      <c r="P2103" s="879" t="s">
        <v>2232</v>
      </c>
      <c r="Q2103" s="880" t="s">
        <v>2233</v>
      </c>
      <c r="R2103" s="877" t="n">
        <v>4725</v>
      </c>
      <c r="S2103" s="877" t="n">
        <f aca="false">R2103/H2102</f>
        <v>105</v>
      </c>
      <c r="T2103" s="1036"/>
      <c r="U2103" s="1037"/>
    </row>
    <row r="2104" customFormat="false" ht="15" hidden="false" customHeight="true" outlineLevel="0" collapsed="false">
      <c r="A2104" s="829" t="n">
        <v>351</v>
      </c>
      <c r="B2104" s="830" t="s">
        <v>2191</v>
      </c>
      <c r="C2104" s="830" t="n">
        <v>2022</v>
      </c>
      <c r="D2104" s="831" t="s">
        <v>8</v>
      </c>
      <c r="E2104" s="831" t="s">
        <v>2192</v>
      </c>
      <c r="F2104" s="832" t="s">
        <v>1652</v>
      </c>
      <c r="G2104" s="833"/>
      <c r="H2104" s="834" t="n">
        <v>45</v>
      </c>
      <c r="I2104" s="835"/>
      <c r="J2104" s="835"/>
      <c r="K2104" s="836" t="n">
        <f aca="false">H2104*I2104/100</f>
        <v>0</v>
      </c>
      <c r="L2104" s="837" t="n">
        <v>5</v>
      </c>
      <c r="M2104" s="1003" t="n">
        <v>15</v>
      </c>
      <c r="N2104" s="837" t="n">
        <f aca="false">L2104*M2104</f>
        <v>75</v>
      </c>
      <c r="O2104" s="837" t="n">
        <f aca="false">H2104*N2104</f>
        <v>3375</v>
      </c>
      <c r="P2104" s="838" t="s">
        <v>2193</v>
      </c>
      <c r="Q2104" s="839" t="s">
        <v>3147</v>
      </c>
      <c r="R2104" s="840" t="n">
        <v>2700</v>
      </c>
      <c r="S2104" s="840" t="n">
        <f aca="false">R2104/H2104</f>
        <v>60</v>
      </c>
      <c r="T2104" s="837" t="n">
        <f aca="false">O2104-R2104-R2105</f>
        <v>0</v>
      </c>
      <c r="U2104" s="842" t="n">
        <f aca="false">N2104-S2104-S2105</f>
        <v>0</v>
      </c>
    </row>
    <row r="2105" customFormat="false" ht="15" hidden="false" customHeight="true" outlineLevel="0" collapsed="false">
      <c r="A2105" s="829"/>
      <c r="B2105" s="830"/>
      <c r="C2105" s="830"/>
      <c r="D2105" s="843" t="s">
        <v>8</v>
      </c>
      <c r="E2105" s="843" t="s">
        <v>2192</v>
      </c>
      <c r="F2105" s="832"/>
      <c r="G2105" s="833"/>
      <c r="H2105" s="834"/>
      <c r="I2105" s="835"/>
      <c r="J2105" s="835"/>
      <c r="K2105" s="836"/>
      <c r="L2105" s="837"/>
      <c r="M2105" s="1003"/>
      <c r="N2105" s="837"/>
      <c r="O2105" s="837"/>
      <c r="P2105" s="844" t="s">
        <v>2232</v>
      </c>
      <c r="Q2105" s="845" t="s">
        <v>2233</v>
      </c>
      <c r="R2105" s="846" t="n">
        <v>675</v>
      </c>
      <c r="S2105" s="846" t="n">
        <f aca="false">R2105/H2104</f>
        <v>15</v>
      </c>
      <c r="T2105" s="837"/>
      <c r="U2105" s="842"/>
    </row>
    <row r="2106" customFormat="false" ht="15" hidden="false" customHeight="true" outlineLevel="0" collapsed="false">
      <c r="A2106" s="903" t="n">
        <v>379</v>
      </c>
      <c r="B2106" s="903" t="s">
        <v>2191</v>
      </c>
      <c r="C2106" s="903" t="n">
        <v>2022</v>
      </c>
      <c r="D2106" s="904" t="s">
        <v>8</v>
      </c>
      <c r="E2106" s="904" t="s">
        <v>2192</v>
      </c>
      <c r="F2106" s="904" t="s">
        <v>2131</v>
      </c>
      <c r="G2106" s="905"/>
      <c r="H2106" s="906" t="n">
        <v>60</v>
      </c>
      <c r="I2106" s="907"/>
      <c r="J2106" s="907"/>
      <c r="K2106" s="939" t="n">
        <f aca="false">H2106*I2106/100</f>
        <v>0</v>
      </c>
      <c r="L2106" s="1137" t="n">
        <v>2942</v>
      </c>
      <c r="M2106" s="1023" t="n">
        <v>1</v>
      </c>
      <c r="N2106" s="1137" t="n">
        <f aca="false">L2106*M2106</f>
        <v>2942</v>
      </c>
      <c r="O2106" s="908" t="n">
        <f aca="false">H2106*N2106</f>
        <v>176520</v>
      </c>
      <c r="P2106" s="910" t="s">
        <v>2204</v>
      </c>
      <c r="Q2106" s="911" t="n">
        <v>16102024</v>
      </c>
      <c r="R2106" s="891" t="n">
        <v>176520</v>
      </c>
      <c r="S2106" s="891" t="n">
        <f aca="false">R2106/H2106</f>
        <v>2942</v>
      </c>
      <c r="T2106" s="942" t="n">
        <f aca="false">O2106-R2106</f>
        <v>0</v>
      </c>
      <c r="U2106" s="942" t="n">
        <f aca="false">N2106-S2106</f>
        <v>0</v>
      </c>
    </row>
    <row r="2107" customFormat="false" ht="15" hidden="false" customHeight="true" outlineLevel="0" collapsed="false">
      <c r="A2107" s="870" t="n">
        <v>414</v>
      </c>
      <c r="B2107" s="870" t="s">
        <v>2191</v>
      </c>
      <c r="C2107" s="870" t="n">
        <v>2022</v>
      </c>
      <c r="D2107" s="871" t="s">
        <v>8</v>
      </c>
      <c r="E2107" s="871" t="s">
        <v>2192</v>
      </c>
      <c r="F2107" s="871" t="s">
        <v>1731</v>
      </c>
      <c r="G2107" s="872"/>
      <c r="H2107" s="873" t="n">
        <v>60</v>
      </c>
      <c r="I2107" s="874"/>
      <c r="J2107" s="874"/>
      <c r="K2107" s="875" t="n">
        <f aca="false">H2107*I2107/100</f>
        <v>0</v>
      </c>
      <c r="L2107" s="1301" t="n">
        <v>740</v>
      </c>
      <c r="M2107" s="1000" t="n">
        <v>1</v>
      </c>
      <c r="N2107" s="1301" t="n">
        <f aca="false">L2107*M2107</f>
        <v>740</v>
      </c>
      <c r="O2107" s="876" t="n">
        <f aca="false">H2107*N2107</f>
        <v>44400</v>
      </c>
      <c r="P2107" s="879" t="s">
        <v>2204</v>
      </c>
      <c r="Q2107" s="880" t="n">
        <v>16102024</v>
      </c>
      <c r="R2107" s="877" t="n">
        <v>44400</v>
      </c>
      <c r="S2107" s="877" t="n">
        <f aca="false">R2107/H2107</f>
        <v>740</v>
      </c>
      <c r="T2107" s="553" t="n">
        <f aca="false">O2107-R2107</f>
        <v>0</v>
      </c>
      <c r="U2107" s="553" t="n">
        <f aca="false">N2107-S2107</f>
        <v>0</v>
      </c>
    </row>
    <row r="2108" customFormat="false" ht="15" hidden="false" customHeight="true" outlineLevel="0" collapsed="false">
      <c r="A2108" s="870" t="n">
        <v>429</v>
      </c>
      <c r="B2108" s="870" t="s">
        <v>2191</v>
      </c>
      <c r="C2108" s="870" t="n">
        <v>2022</v>
      </c>
      <c r="D2108" s="871" t="s">
        <v>8</v>
      </c>
      <c r="E2108" s="871" t="s">
        <v>2192</v>
      </c>
      <c r="F2108" s="871" t="s">
        <v>2131</v>
      </c>
      <c r="G2108" s="872"/>
      <c r="H2108" s="873" t="n">
        <v>60</v>
      </c>
      <c r="I2108" s="874"/>
      <c r="J2108" s="874"/>
      <c r="K2108" s="875" t="n">
        <f aca="false">H2108*I2108/100</f>
        <v>0</v>
      </c>
      <c r="L2108" s="1301" t="n">
        <v>1751</v>
      </c>
      <c r="M2108" s="1000" t="n">
        <v>1</v>
      </c>
      <c r="N2108" s="1301" t="n">
        <f aca="false">L2108*M2108</f>
        <v>1751</v>
      </c>
      <c r="O2108" s="876" t="n">
        <f aca="false">H2108*N2108</f>
        <v>105060</v>
      </c>
      <c r="P2108" s="879" t="s">
        <v>2204</v>
      </c>
      <c r="Q2108" s="880" t="n">
        <v>16102024</v>
      </c>
      <c r="R2108" s="877" t="n">
        <v>105060</v>
      </c>
      <c r="S2108" s="877" t="n">
        <f aca="false">R2108/H2108</f>
        <v>1751</v>
      </c>
      <c r="T2108" s="553" t="n">
        <f aca="false">O2108-R2108</f>
        <v>0</v>
      </c>
      <c r="U2108" s="553" t="n">
        <f aca="false">N2108-S2108</f>
        <v>0</v>
      </c>
    </row>
    <row r="2109" customFormat="false" ht="15" hidden="false" customHeight="true" outlineLevel="0" collapsed="false">
      <c r="A2109" s="870" t="n">
        <v>445</v>
      </c>
      <c r="B2109" s="870" t="s">
        <v>2191</v>
      </c>
      <c r="C2109" s="870" t="n">
        <v>2022</v>
      </c>
      <c r="D2109" s="871" t="s">
        <v>8</v>
      </c>
      <c r="E2109" s="871" t="s">
        <v>2192</v>
      </c>
      <c r="F2109" s="871" t="s">
        <v>1651</v>
      </c>
      <c r="G2109" s="872"/>
      <c r="H2109" s="873" t="n">
        <v>30</v>
      </c>
      <c r="I2109" s="874"/>
      <c r="J2109" s="874"/>
      <c r="K2109" s="875" t="n">
        <f aca="false">H2109*I2109/100</f>
        <v>0</v>
      </c>
      <c r="L2109" s="1301" t="n">
        <v>2</v>
      </c>
      <c r="M2109" s="1000" t="n">
        <v>15</v>
      </c>
      <c r="N2109" s="1301" t="n">
        <f aca="false">L2109*M2109</f>
        <v>30</v>
      </c>
      <c r="O2109" s="876" t="n">
        <f aca="false">H2109*N2109</f>
        <v>900</v>
      </c>
      <c r="P2109" s="879" t="s">
        <v>2204</v>
      </c>
      <c r="Q2109" s="880" t="n">
        <v>24052024</v>
      </c>
      <c r="R2109" s="877" t="n">
        <v>900</v>
      </c>
      <c r="S2109" s="877" t="n">
        <f aca="false">R2109/H2109</f>
        <v>30</v>
      </c>
      <c r="T2109" s="553" t="n">
        <f aca="false">O2109-R2109</f>
        <v>0</v>
      </c>
      <c r="U2109" s="553" t="n">
        <f aca="false">N2109-S2109</f>
        <v>0</v>
      </c>
    </row>
    <row r="2110" customFormat="false" ht="15" hidden="false" customHeight="true" outlineLevel="0" collapsed="false">
      <c r="A2110" s="870" t="n">
        <v>572</v>
      </c>
      <c r="B2110" s="870" t="s">
        <v>2191</v>
      </c>
      <c r="C2110" s="870" t="n">
        <v>2022</v>
      </c>
      <c r="D2110" s="871" t="s">
        <v>8</v>
      </c>
      <c r="E2110" s="871" t="s">
        <v>2192</v>
      </c>
      <c r="F2110" s="871" t="s">
        <v>1651</v>
      </c>
      <c r="G2110" s="872"/>
      <c r="H2110" s="873" t="n">
        <v>30</v>
      </c>
      <c r="I2110" s="874"/>
      <c r="J2110" s="874"/>
      <c r="K2110" s="875" t="n">
        <f aca="false">H2110*I2110/100</f>
        <v>0</v>
      </c>
      <c r="L2110" s="1301" t="n">
        <v>42</v>
      </c>
      <c r="M2110" s="1000" t="n">
        <v>15</v>
      </c>
      <c r="N2110" s="1301" t="n">
        <f aca="false">L2110*M2110</f>
        <v>630</v>
      </c>
      <c r="O2110" s="876" t="n">
        <f aca="false">H2110*N2110</f>
        <v>18900</v>
      </c>
      <c r="P2110" s="879" t="s">
        <v>2204</v>
      </c>
      <c r="Q2110" s="880" t="n">
        <v>24052024</v>
      </c>
      <c r="R2110" s="877" t="n">
        <v>18900</v>
      </c>
      <c r="S2110" s="877" t="n">
        <f aca="false">R2110/H2110</f>
        <v>630</v>
      </c>
      <c r="T2110" s="553" t="n">
        <f aca="false">O2110-R2110</f>
        <v>0</v>
      </c>
      <c r="U2110" s="553" t="n">
        <f aca="false">N2110-S2110</f>
        <v>0</v>
      </c>
    </row>
    <row r="2111" customFormat="false" ht="15" hidden="false" customHeight="true" outlineLevel="0" collapsed="false">
      <c r="A2111" s="1533" t="n">
        <v>93</v>
      </c>
      <c r="B2111" s="1027" t="s">
        <v>86</v>
      </c>
      <c r="C2111" s="1028" t="n">
        <v>2023</v>
      </c>
      <c r="D2111" s="831" t="s">
        <v>8</v>
      </c>
      <c r="E2111" s="831" t="s">
        <v>2192</v>
      </c>
      <c r="F2111" s="1328" t="s">
        <v>1650</v>
      </c>
      <c r="G2111" s="1030"/>
      <c r="H2111" s="1031" t="n">
        <v>92.9</v>
      </c>
      <c r="I2111" s="1517" t="n">
        <v>46</v>
      </c>
      <c r="J2111" s="1517" t="n">
        <v>39</v>
      </c>
      <c r="K2111" s="1033" t="n">
        <f aca="false">H2111*I2111/100</f>
        <v>42.734</v>
      </c>
      <c r="L2111" s="1341" t="n">
        <v>11428</v>
      </c>
      <c r="M2111" s="1035" t="n">
        <v>1</v>
      </c>
      <c r="N2111" s="1341" t="n">
        <f aca="false">L2111*M2111</f>
        <v>11428</v>
      </c>
      <c r="O2111" s="1341" t="n">
        <f aca="false">H2111*N2111</f>
        <v>1061661.2</v>
      </c>
      <c r="P2111" s="884" t="s">
        <v>2255</v>
      </c>
      <c r="Q2111" s="885" t="s">
        <v>2327</v>
      </c>
      <c r="R2111" s="886" t="n">
        <v>585270</v>
      </c>
      <c r="S2111" s="886" t="n">
        <f aca="false">R2111/H2111</f>
        <v>6300</v>
      </c>
      <c r="T2111" s="1534" t="n">
        <f aca="false">O2111-R2111-R2113-R2112</f>
        <v>0</v>
      </c>
      <c r="U2111" s="1037" t="n">
        <f aca="false">N2111-S2111-S2113-S2112</f>
        <v>0</v>
      </c>
    </row>
    <row r="2112" customFormat="false" ht="15" hidden="false" customHeight="true" outlineLevel="0" collapsed="false">
      <c r="A2112" s="1533"/>
      <c r="B2112" s="1027"/>
      <c r="C2112" s="1028"/>
      <c r="D2112" s="860" t="s">
        <v>8</v>
      </c>
      <c r="E2112" s="860" t="s">
        <v>2192</v>
      </c>
      <c r="F2112" s="1328"/>
      <c r="G2112" s="1030"/>
      <c r="H2112" s="1031"/>
      <c r="I2112" s="1517"/>
      <c r="J2112" s="1517"/>
      <c r="K2112" s="1033"/>
      <c r="L2112" s="1341"/>
      <c r="M2112" s="1035"/>
      <c r="N2112" s="1341"/>
      <c r="O2112" s="1341"/>
      <c r="P2112" s="868" t="s">
        <v>2193</v>
      </c>
      <c r="Q2112" s="869" t="s">
        <v>3148</v>
      </c>
      <c r="R2112" s="1018" t="n">
        <v>65030.2</v>
      </c>
      <c r="S2112" s="866" t="n">
        <f aca="false">R2112/H2111</f>
        <v>700.00215285253</v>
      </c>
      <c r="T2112" s="1534"/>
      <c r="U2112" s="1037"/>
    </row>
    <row r="2113" customFormat="false" ht="15" hidden="false" customHeight="true" outlineLevel="0" collapsed="false">
      <c r="A2113" s="1533"/>
      <c r="B2113" s="1027"/>
      <c r="C2113" s="1028"/>
      <c r="D2113" s="904" t="s">
        <v>8</v>
      </c>
      <c r="E2113" s="904" t="s">
        <v>2192</v>
      </c>
      <c r="F2113" s="1328"/>
      <c r="G2113" s="1030"/>
      <c r="H2113" s="1031"/>
      <c r="I2113" s="1517"/>
      <c r="J2113" s="1517"/>
      <c r="K2113" s="1033"/>
      <c r="L2113" s="1341"/>
      <c r="M2113" s="1035"/>
      <c r="N2113" s="1341"/>
      <c r="O2113" s="1341"/>
      <c r="P2113" s="910" t="s">
        <v>2232</v>
      </c>
      <c r="Q2113" s="911" t="s">
        <v>3149</v>
      </c>
      <c r="R2113" s="891" t="n">
        <v>411361</v>
      </c>
      <c r="S2113" s="891" t="n">
        <f aca="false">R2113/H2111</f>
        <v>4427.99784714747</v>
      </c>
      <c r="T2113" s="1534"/>
      <c r="U2113" s="1037"/>
    </row>
    <row r="2114" customFormat="false" ht="15" hidden="false" customHeight="true" outlineLevel="0" collapsed="false">
      <c r="A2114" s="1533" t="n">
        <v>96</v>
      </c>
      <c r="B2114" s="829" t="s">
        <v>86</v>
      </c>
      <c r="C2114" s="830" t="n">
        <v>2023</v>
      </c>
      <c r="D2114" s="831" t="s">
        <v>8</v>
      </c>
      <c r="E2114" s="831" t="s">
        <v>2242</v>
      </c>
      <c r="F2114" s="830"/>
      <c r="G2114" s="833"/>
      <c r="H2114" s="834" t="n">
        <v>28.6</v>
      </c>
      <c r="I2114" s="835"/>
      <c r="J2114" s="835"/>
      <c r="K2114" s="836" t="n">
        <f aca="false">H2114*I2114/100</f>
        <v>0</v>
      </c>
      <c r="L2114" s="837" t="n">
        <v>149</v>
      </c>
      <c r="M2114" s="1003" t="n">
        <v>1</v>
      </c>
      <c r="N2114" s="837" t="n">
        <f aca="false">L2114*M2114</f>
        <v>149</v>
      </c>
      <c r="O2114" s="837" t="n">
        <f aca="false">H2114*N2114</f>
        <v>4261.4</v>
      </c>
      <c r="P2114" s="838" t="s">
        <v>2195</v>
      </c>
      <c r="Q2114" s="839" t="s">
        <v>2240</v>
      </c>
      <c r="R2114" s="840" t="n">
        <v>57.2</v>
      </c>
      <c r="S2114" s="840" t="n">
        <f aca="false">R2114/H2114</f>
        <v>2</v>
      </c>
      <c r="T2114" s="841" t="n">
        <f aca="false">O2114-R2114-R2115</f>
        <v>0</v>
      </c>
      <c r="U2114" s="842" t="n">
        <f aca="false">N2114-S2114-S2115</f>
        <v>0</v>
      </c>
    </row>
    <row r="2115" customFormat="false" ht="15" hidden="false" customHeight="true" outlineLevel="0" collapsed="false">
      <c r="A2115" s="1533"/>
      <c r="B2115" s="829"/>
      <c r="C2115" s="830"/>
      <c r="D2115" s="843" t="s">
        <v>8</v>
      </c>
      <c r="E2115" s="843" t="s">
        <v>2242</v>
      </c>
      <c r="F2115" s="830"/>
      <c r="G2115" s="833"/>
      <c r="H2115" s="834"/>
      <c r="I2115" s="835"/>
      <c r="J2115" s="835"/>
      <c r="K2115" s="836"/>
      <c r="L2115" s="837"/>
      <c r="M2115" s="1003"/>
      <c r="N2115" s="837"/>
      <c r="O2115" s="837"/>
      <c r="P2115" s="844" t="s">
        <v>2200</v>
      </c>
      <c r="Q2115" s="845" t="s">
        <v>2886</v>
      </c>
      <c r="R2115" s="846" t="n">
        <v>4204.2</v>
      </c>
      <c r="S2115" s="846" t="n">
        <f aca="false">R2115/H2114</f>
        <v>147</v>
      </c>
      <c r="T2115" s="841"/>
      <c r="U2115" s="842"/>
    </row>
    <row r="2116" customFormat="false" ht="15" hidden="false" customHeight="true" outlineLevel="0" collapsed="false">
      <c r="A2116" s="1533"/>
      <c r="B2116" s="903" t="s">
        <v>86</v>
      </c>
      <c r="C2116" s="903" t="n">
        <v>2023</v>
      </c>
      <c r="D2116" s="904" t="s">
        <v>8</v>
      </c>
      <c r="E2116" s="904" t="s">
        <v>2203</v>
      </c>
      <c r="F2116" s="904"/>
      <c r="G2116" s="905"/>
      <c r="H2116" s="906" t="n">
        <v>7.2</v>
      </c>
      <c r="I2116" s="907"/>
      <c r="J2116" s="907"/>
      <c r="K2116" s="939" t="n">
        <f aca="false">H2116*I2116/100</f>
        <v>0</v>
      </c>
      <c r="L2116" s="1137" t="n">
        <v>334</v>
      </c>
      <c r="M2116" s="1023" t="n">
        <v>1</v>
      </c>
      <c r="N2116" s="1137" t="n">
        <f aca="false">L2116*M2116</f>
        <v>334</v>
      </c>
      <c r="O2116" s="1443" t="n">
        <f aca="false">H2116*N2116</f>
        <v>2404.8</v>
      </c>
      <c r="P2116" s="910" t="s">
        <v>2204</v>
      </c>
      <c r="Q2116" s="911" t="n">
        <v>15052024</v>
      </c>
      <c r="R2116" s="891" t="n">
        <v>2404.8</v>
      </c>
      <c r="S2116" s="891" t="n">
        <f aca="false">R2116/H2116</f>
        <v>334</v>
      </c>
      <c r="T2116" s="1058" t="n">
        <f aca="false">O2116-R2116</f>
        <v>0</v>
      </c>
      <c r="U2116" s="1026" t="n">
        <f aca="false">N2116-S2116</f>
        <v>0</v>
      </c>
    </row>
    <row r="2117" customFormat="false" ht="15" hidden="false" customHeight="true" outlineLevel="0" collapsed="false">
      <c r="A2117" s="882" t="n">
        <v>97</v>
      </c>
      <c r="B2117" s="883" t="s">
        <v>86</v>
      </c>
      <c r="C2117" s="883" t="n">
        <v>2023</v>
      </c>
      <c r="D2117" s="831" t="s">
        <v>8</v>
      </c>
      <c r="E2117" s="831" t="s">
        <v>2242</v>
      </c>
      <c r="F2117" s="883"/>
      <c r="G2117" s="833"/>
      <c r="H2117" s="834" t="n">
        <v>37.3</v>
      </c>
      <c r="I2117" s="835"/>
      <c r="J2117" s="835"/>
      <c r="K2117" s="836" t="n">
        <f aca="false">H2117*I2117/100</f>
        <v>0</v>
      </c>
      <c r="L2117" s="837" t="n">
        <v>407</v>
      </c>
      <c r="M2117" s="1003" t="n">
        <v>1</v>
      </c>
      <c r="N2117" s="837" t="n">
        <f aca="false">L2117*M2117</f>
        <v>407</v>
      </c>
      <c r="O2117" s="837" t="n">
        <f aca="false">H2117*N2117</f>
        <v>15181.1</v>
      </c>
      <c r="P2117" s="838" t="s">
        <v>2195</v>
      </c>
      <c r="Q2117" s="839" t="s">
        <v>2240</v>
      </c>
      <c r="R2117" s="840" t="n">
        <v>-186.5</v>
      </c>
      <c r="S2117" s="886" t="n">
        <f aca="false">R2117/H2117</f>
        <v>-5</v>
      </c>
      <c r="T2117" s="1120" t="n">
        <f aca="false">O2117-R2117-R2119-R2118</f>
        <v>0</v>
      </c>
      <c r="U2117" s="842" t="n">
        <f aca="false">N2117-S2117-S2119-S2118</f>
        <v>0</v>
      </c>
    </row>
    <row r="2118" customFormat="false" ht="15" hidden="false" customHeight="true" outlineLevel="0" collapsed="false">
      <c r="A2118" s="882"/>
      <c r="B2118" s="883"/>
      <c r="C2118" s="883"/>
      <c r="D2118" s="904" t="s">
        <v>8</v>
      </c>
      <c r="E2118" s="904" t="s">
        <v>2242</v>
      </c>
      <c r="F2118" s="883"/>
      <c r="G2118" s="833"/>
      <c r="H2118" s="834"/>
      <c r="I2118" s="835"/>
      <c r="J2118" s="835"/>
      <c r="K2118" s="836"/>
      <c r="L2118" s="837"/>
      <c r="M2118" s="1003"/>
      <c r="N2118" s="837"/>
      <c r="O2118" s="837"/>
      <c r="P2118" s="910" t="s">
        <v>2232</v>
      </c>
      <c r="Q2118" s="911" t="s">
        <v>2833</v>
      </c>
      <c r="R2118" s="891" t="n">
        <v>13801</v>
      </c>
      <c r="S2118" s="866" t="n">
        <f aca="false">R2118/H2117</f>
        <v>370</v>
      </c>
      <c r="T2118" s="1120"/>
      <c r="U2118" s="842"/>
    </row>
    <row r="2119" customFormat="false" ht="15" hidden="false" customHeight="true" outlineLevel="0" collapsed="false">
      <c r="A2119" s="882"/>
      <c r="B2119" s="883"/>
      <c r="C2119" s="883"/>
      <c r="D2119" s="843" t="s">
        <v>8</v>
      </c>
      <c r="E2119" s="843" t="s">
        <v>2242</v>
      </c>
      <c r="F2119" s="883"/>
      <c r="G2119" s="833"/>
      <c r="H2119" s="834"/>
      <c r="I2119" s="835"/>
      <c r="J2119" s="835"/>
      <c r="K2119" s="836"/>
      <c r="L2119" s="837"/>
      <c r="M2119" s="1003"/>
      <c r="N2119" s="837"/>
      <c r="O2119" s="837"/>
      <c r="P2119" s="844" t="s">
        <v>2232</v>
      </c>
      <c r="Q2119" s="845" t="s">
        <v>2607</v>
      </c>
      <c r="R2119" s="846" t="n">
        <v>1566.6</v>
      </c>
      <c r="S2119" s="846" t="n">
        <f aca="false">R2119/H2117</f>
        <v>42</v>
      </c>
      <c r="T2119" s="1120"/>
      <c r="U2119" s="842"/>
    </row>
    <row r="2120" customFormat="false" ht="15" hidden="false" customHeight="true" outlineLevel="0" collapsed="false">
      <c r="A2120" s="1609" t="n">
        <v>113</v>
      </c>
      <c r="B2120" s="847" t="s">
        <v>86</v>
      </c>
      <c r="C2120" s="847" t="n">
        <v>2023</v>
      </c>
      <c r="D2120" s="848" t="s">
        <v>8</v>
      </c>
      <c r="E2120" s="848" t="s">
        <v>2242</v>
      </c>
      <c r="F2120" s="848"/>
      <c r="G2120" s="849"/>
      <c r="H2120" s="850" t="n">
        <v>10.4</v>
      </c>
      <c r="I2120" s="851"/>
      <c r="J2120" s="851"/>
      <c r="K2120" s="852" t="n">
        <f aca="false">H2120*I2120/100</f>
        <v>0</v>
      </c>
      <c r="L2120" s="1143" t="n">
        <v>226</v>
      </c>
      <c r="M2120" s="1007" t="n">
        <v>1</v>
      </c>
      <c r="N2120" s="1143" t="n">
        <f aca="false">L2120*M2120</f>
        <v>226</v>
      </c>
      <c r="O2120" s="1143" t="n">
        <f aca="false">H2120*N2120</f>
        <v>2350.4</v>
      </c>
      <c r="P2120" s="856" t="s">
        <v>2200</v>
      </c>
      <c r="Q2120" s="857" t="s">
        <v>2886</v>
      </c>
      <c r="R2120" s="952" t="n">
        <v>2350.4</v>
      </c>
      <c r="S2120" s="854" t="n">
        <f aca="false">R2120/H2120</f>
        <v>226</v>
      </c>
      <c r="T2120" s="953" t="n">
        <f aca="false">O2120-R2120</f>
        <v>0</v>
      </c>
      <c r="U2120" s="892" t="n">
        <f aca="false">N2120-S2120</f>
        <v>0</v>
      </c>
    </row>
    <row r="2121" customFormat="false" ht="15" hidden="false" customHeight="true" outlineLevel="0" collapsed="false">
      <c r="A2121" s="1609"/>
      <c r="B2121" s="870" t="s">
        <v>86</v>
      </c>
      <c r="C2121" s="870" t="n">
        <v>2023</v>
      </c>
      <c r="D2121" s="871" t="s">
        <v>8</v>
      </c>
      <c r="E2121" s="871" t="s">
        <v>2203</v>
      </c>
      <c r="F2121" s="871"/>
      <c r="G2121" s="872"/>
      <c r="H2121" s="873" t="n">
        <v>11</v>
      </c>
      <c r="I2121" s="874"/>
      <c r="J2121" s="874"/>
      <c r="K2121" s="875" t="n">
        <f aca="false">H2121*I2121/100</f>
        <v>0</v>
      </c>
      <c r="L2121" s="1301" t="n">
        <v>198</v>
      </c>
      <c r="M2121" s="1000" t="n">
        <v>1</v>
      </c>
      <c r="N2121" s="1301" t="n">
        <f aca="false">L2121*M2121</f>
        <v>198</v>
      </c>
      <c r="O2121" s="1437" t="n">
        <f aca="false">H2121*N2121</f>
        <v>2178</v>
      </c>
      <c r="P2121" s="879" t="s">
        <v>2204</v>
      </c>
      <c r="Q2121" s="880" t="n">
        <v>26062024</v>
      </c>
      <c r="R2121" s="877" t="n">
        <v>2178</v>
      </c>
      <c r="S2121" s="877" t="n">
        <f aca="false">R2121/H2121</f>
        <v>198</v>
      </c>
      <c r="T2121" s="553" t="n">
        <f aca="false">O2121-R2121</f>
        <v>0</v>
      </c>
      <c r="U2121" s="1293" t="n">
        <f aca="false">N2121-S2121</f>
        <v>0</v>
      </c>
    </row>
    <row r="2122" customFormat="false" ht="15" hidden="false" customHeight="true" outlineLevel="0" collapsed="false">
      <c r="A2122" s="1186" t="n">
        <v>116</v>
      </c>
      <c r="B2122" s="1817" t="s">
        <v>86</v>
      </c>
      <c r="C2122" s="1187" t="n">
        <v>2023</v>
      </c>
      <c r="D2122" s="915" t="s">
        <v>8</v>
      </c>
      <c r="E2122" s="915" t="s">
        <v>2192</v>
      </c>
      <c r="F2122" s="916" t="s">
        <v>1650</v>
      </c>
      <c r="G2122" s="917"/>
      <c r="H2122" s="1306" t="n">
        <v>93.4</v>
      </c>
      <c r="I2122" s="1307" t="n">
        <v>65</v>
      </c>
      <c r="J2122" s="1307" t="n">
        <v>51</v>
      </c>
      <c r="K2122" s="1309" t="n">
        <f aca="false">H2122*I2122/100</f>
        <v>60.71</v>
      </c>
      <c r="L2122" s="1310" t="n">
        <v>7267</v>
      </c>
      <c r="M2122" s="1191" t="n">
        <v>1</v>
      </c>
      <c r="N2122" s="1310" t="n">
        <f aca="false">L2122*M2122</f>
        <v>7267</v>
      </c>
      <c r="O2122" s="1310" t="n">
        <f aca="false">H2122*N2122</f>
        <v>678737.8</v>
      </c>
      <c r="P2122" s="1193" t="s">
        <v>2193</v>
      </c>
      <c r="Q2122" s="1194" t="s">
        <v>3150</v>
      </c>
      <c r="R2122" s="1196" t="n">
        <v>149440</v>
      </c>
      <c r="S2122" s="926" t="n">
        <f aca="false">R2122/H2122</f>
        <v>1600</v>
      </c>
      <c r="T2122" s="921" t="n">
        <f aca="false">O2122-R2122-R2123</f>
        <v>99657.8000000001</v>
      </c>
      <c r="U2122" s="928" t="n">
        <f aca="false">N2122-S2122-S2123</f>
        <v>1067</v>
      </c>
    </row>
    <row r="2123" customFormat="false" ht="15" hidden="false" customHeight="true" outlineLevel="0" collapsed="false">
      <c r="A2123" s="1186"/>
      <c r="B2123" s="1817"/>
      <c r="C2123" s="1187"/>
      <c r="D2123" s="1671" t="s">
        <v>8</v>
      </c>
      <c r="E2123" s="1671" t="s">
        <v>2192</v>
      </c>
      <c r="F2123" s="916"/>
      <c r="G2123" s="917"/>
      <c r="H2123" s="1306"/>
      <c r="I2123" s="1307"/>
      <c r="J2123" s="1307"/>
      <c r="K2123" s="1309"/>
      <c r="L2123" s="1310"/>
      <c r="M2123" s="1191"/>
      <c r="N2123" s="1310"/>
      <c r="O2123" s="1310"/>
      <c r="P2123" s="1672" t="s">
        <v>2232</v>
      </c>
      <c r="Q2123" s="1673" t="s">
        <v>3151</v>
      </c>
      <c r="R2123" s="1700" t="n">
        <v>429640</v>
      </c>
      <c r="S2123" s="938" t="n">
        <f aca="false">R2123/H2122</f>
        <v>4600</v>
      </c>
      <c r="T2123" s="921"/>
      <c r="U2123" s="928"/>
    </row>
    <row r="2124" customFormat="false" ht="15" hidden="false" customHeight="true" outlineLevel="0" collapsed="false">
      <c r="A2124" s="1605" t="n">
        <v>118</v>
      </c>
      <c r="B2124" s="1442" t="s">
        <v>86</v>
      </c>
      <c r="C2124" s="903" t="n">
        <v>2023</v>
      </c>
      <c r="D2124" s="904" t="s">
        <v>8</v>
      </c>
      <c r="E2124" s="904" t="s">
        <v>2242</v>
      </c>
      <c r="F2124" s="904"/>
      <c r="G2124" s="905"/>
      <c r="H2124" s="946" t="n">
        <v>2.8</v>
      </c>
      <c r="I2124" s="1055"/>
      <c r="J2124" s="1055"/>
      <c r="K2124" s="852" t="n">
        <f aca="false">H2124*I2124/100</f>
        <v>0</v>
      </c>
      <c r="L2124" s="1137" t="n">
        <v>550</v>
      </c>
      <c r="M2124" s="1023" t="n">
        <v>1</v>
      </c>
      <c r="N2124" s="1137" t="n">
        <f aca="false">L2124*M2124</f>
        <v>550</v>
      </c>
      <c r="O2124" s="1137" t="n">
        <f aca="false">H2124*N2124</f>
        <v>1540</v>
      </c>
      <c r="P2124" s="910" t="s">
        <v>2204</v>
      </c>
      <c r="Q2124" s="1068" t="n">
        <v>13052024</v>
      </c>
      <c r="R2124" s="891" t="n">
        <v>1540</v>
      </c>
      <c r="S2124" s="891" t="n">
        <f aca="false">R2124/H2124</f>
        <v>550</v>
      </c>
      <c r="T2124" s="537" t="n">
        <f aca="false">O2124-R2124</f>
        <v>0</v>
      </c>
      <c r="U2124" s="892" t="n">
        <f aca="false">N2124-S2124</f>
        <v>0</v>
      </c>
    </row>
    <row r="2125" customFormat="false" ht="15" hidden="false" customHeight="true" outlineLevel="0" collapsed="false">
      <c r="A2125" s="882" t="n">
        <v>35</v>
      </c>
      <c r="B2125" s="883" t="s">
        <v>2230</v>
      </c>
      <c r="C2125" s="883" t="n">
        <v>2023</v>
      </c>
      <c r="D2125" s="831" t="s">
        <v>8</v>
      </c>
      <c r="E2125" s="831" t="s">
        <v>2192</v>
      </c>
      <c r="F2125" s="832" t="s">
        <v>2199</v>
      </c>
      <c r="G2125" s="833"/>
      <c r="H2125" s="834" t="n">
        <v>66.0984</v>
      </c>
      <c r="I2125" s="1020" t="n">
        <v>55</v>
      </c>
      <c r="J2125" s="1517"/>
      <c r="K2125" s="836" t="n">
        <f aca="false">H2125*I2125/100</f>
        <v>36.35412</v>
      </c>
      <c r="L2125" s="837" t="n">
        <v>6500</v>
      </c>
      <c r="M2125" s="1003" t="n">
        <v>1</v>
      </c>
      <c r="N2125" s="837" t="n">
        <f aca="false">L2125*M2125</f>
        <v>6500</v>
      </c>
      <c r="O2125" s="1075" t="n">
        <f aca="false">H2125*N2125</f>
        <v>429639.6</v>
      </c>
      <c r="P2125" s="838" t="s">
        <v>2197</v>
      </c>
      <c r="Q2125" s="1076" t="s">
        <v>3152</v>
      </c>
      <c r="R2125" s="840" t="n">
        <v>429640</v>
      </c>
      <c r="S2125" s="886" t="n">
        <f aca="false">R2125/H2125</f>
        <v>6500.0060515837</v>
      </c>
      <c r="T2125" s="1017" t="n">
        <f aca="false">O2125-R2125-R2127-R2126</f>
        <v>0</v>
      </c>
      <c r="U2125" s="842" t="n">
        <f aca="false">N2125-S2125-S2127-S2126</f>
        <v>0</v>
      </c>
    </row>
    <row r="2126" customFormat="false" ht="15" hidden="false" customHeight="true" outlineLevel="0" collapsed="false">
      <c r="A2126" s="882"/>
      <c r="B2126" s="883"/>
      <c r="C2126" s="883"/>
      <c r="D2126" s="904" t="s">
        <v>8</v>
      </c>
      <c r="E2126" s="904" t="s">
        <v>2192</v>
      </c>
      <c r="F2126" s="832"/>
      <c r="G2126" s="833"/>
      <c r="H2126" s="834"/>
      <c r="I2126" s="1020"/>
      <c r="J2126" s="1055"/>
      <c r="K2126" s="836"/>
      <c r="L2126" s="837"/>
      <c r="M2126" s="1003"/>
      <c r="N2126" s="837"/>
      <c r="O2126" s="1075"/>
      <c r="P2126" s="910" t="s">
        <v>2204</v>
      </c>
      <c r="Q2126" s="1068" t="n">
        <v>16102024</v>
      </c>
      <c r="R2126" s="891" t="n">
        <v>48912.416</v>
      </c>
      <c r="S2126" s="866" t="n">
        <f aca="false">R2126/H2125</f>
        <v>739.993948416301</v>
      </c>
      <c r="T2126" s="1017"/>
      <c r="U2126" s="842"/>
    </row>
    <row r="2127" customFormat="false" ht="15" hidden="false" customHeight="true" outlineLevel="0" collapsed="false">
      <c r="A2127" s="882"/>
      <c r="B2127" s="883"/>
      <c r="C2127" s="883"/>
      <c r="D2127" s="843" t="s">
        <v>8</v>
      </c>
      <c r="E2127" s="843" t="s">
        <v>2192</v>
      </c>
      <c r="F2127" s="832"/>
      <c r="G2127" s="833"/>
      <c r="H2127" s="834"/>
      <c r="I2127" s="1020"/>
      <c r="J2127" s="1078"/>
      <c r="K2127" s="836"/>
      <c r="L2127" s="837"/>
      <c r="M2127" s="1003"/>
      <c r="N2127" s="837"/>
      <c r="O2127" s="1075"/>
      <c r="P2127" s="844" t="s">
        <v>2195</v>
      </c>
      <c r="Q2127" s="1085" t="s">
        <v>2240</v>
      </c>
      <c r="R2127" s="846" t="n">
        <v>-48912.816</v>
      </c>
      <c r="S2127" s="846" t="n">
        <f aca="false">R2127/H2125</f>
        <v>-740</v>
      </c>
      <c r="T2127" s="1017"/>
      <c r="U2127" s="842"/>
    </row>
    <row r="2128" customFormat="false" ht="15" hidden="false" customHeight="true" outlineLevel="0" collapsed="false">
      <c r="A2128" s="847" t="n">
        <v>189</v>
      </c>
      <c r="B2128" s="847" t="s">
        <v>2191</v>
      </c>
      <c r="C2128" s="847" t="n">
        <v>2023</v>
      </c>
      <c r="D2128" s="848" t="s">
        <v>8</v>
      </c>
      <c r="E2128" s="848" t="s">
        <v>2192</v>
      </c>
      <c r="F2128" s="848" t="s">
        <v>1651</v>
      </c>
      <c r="G2128" s="849"/>
      <c r="H2128" s="949" t="n">
        <v>30</v>
      </c>
      <c r="I2128" s="1397"/>
      <c r="J2128" s="1397"/>
      <c r="K2128" s="852" t="n">
        <f aca="false">H2128*I2128/100</f>
        <v>0</v>
      </c>
      <c r="L2128" s="537" t="n">
        <v>2</v>
      </c>
      <c r="M2128" s="1007" t="n">
        <v>15</v>
      </c>
      <c r="N2128" s="1143" t="n">
        <f aca="false">L2128*M2128</f>
        <v>30</v>
      </c>
      <c r="O2128" s="1143" t="n">
        <f aca="false">H2128*N2128</f>
        <v>900</v>
      </c>
      <c r="P2128" s="856" t="s">
        <v>2193</v>
      </c>
      <c r="Q2128" s="1083" t="s">
        <v>3147</v>
      </c>
      <c r="R2128" s="854" t="n">
        <v>900</v>
      </c>
      <c r="S2128" s="877" t="n">
        <f aca="false">R2128/H2128</f>
        <v>30</v>
      </c>
      <c r="T2128" s="537" t="n">
        <f aca="false">O2128-R2128</f>
        <v>0</v>
      </c>
      <c r="U2128" s="537" t="n">
        <f aca="false">N2128-S2128</f>
        <v>0</v>
      </c>
    </row>
    <row r="2129" customFormat="false" ht="15" hidden="false" customHeight="true" outlineLevel="0" collapsed="false">
      <c r="A2129" s="859" t="n">
        <v>204</v>
      </c>
      <c r="B2129" s="859" t="s">
        <v>2191</v>
      </c>
      <c r="C2129" s="859" t="n">
        <v>2023</v>
      </c>
      <c r="D2129" s="860" t="s">
        <v>8</v>
      </c>
      <c r="E2129" s="860" t="s">
        <v>2192</v>
      </c>
      <c r="F2129" s="860" t="s">
        <v>1651</v>
      </c>
      <c r="G2129" s="861"/>
      <c r="H2129" s="980" t="n">
        <v>34.1</v>
      </c>
      <c r="I2129" s="981"/>
      <c r="J2129" s="981"/>
      <c r="K2129" s="864" t="n">
        <f aca="false">H2129*I2129/100</f>
        <v>0</v>
      </c>
      <c r="L2129" s="543" t="n">
        <v>1</v>
      </c>
      <c r="M2129" s="983" t="n">
        <v>15</v>
      </c>
      <c r="N2129" s="1299" t="n">
        <f aca="false">L2129*M2129</f>
        <v>15</v>
      </c>
      <c r="O2129" s="1439" t="n">
        <f aca="false">H2129*N2129</f>
        <v>511.5</v>
      </c>
      <c r="P2129" s="868" t="s">
        <v>2193</v>
      </c>
      <c r="Q2129" s="869" t="s">
        <v>3147</v>
      </c>
      <c r="R2129" s="866" t="n">
        <v>511.5</v>
      </c>
      <c r="S2129" s="877" t="n">
        <f aca="false">R2129/H2129</f>
        <v>15</v>
      </c>
      <c r="T2129" s="985" t="n">
        <f aca="false">O2129-R2129</f>
        <v>0</v>
      </c>
      <c r="U2129" s="543" t="n">
        <f aca="false">N2129-S2129</f>
        <v>0</v>
      </c>
    </row>
    <row r="2130" customFormat="false" ht="15" hidden="false" customHeight="true" outlineLevel="0" collapsed="false">
      <c r="A2130" s="870" t="n">
        <v>210</v>
      </c>
      <c r="B2130" s="870" t="s">
        <v>2191</v>
      </c>
      <c r="C2130" s="870" t="n">
        <v>2023</v>
      </c>
      <c r="D2130" s="871" t="s">
        <v>8</v>
      </c>
      <c r="E2130" s="871" t="s">
        <v>2192</v>
      </c>
      <c r="F2130" s="871" t="s">
        <v>1651</v>
      </c>
      <c r="G2130" s="872"/>
      <c r="H2130" s="1116" t="n">
        <v>30</v>
      </c>
      <c r="I2130" s="1117"/>
      <c r="J2130" s="1117"/>
      <c r="K2130" s="875" t="n">
        <f aca="false">H2130*I2130/100</f>
        <v>0</v>
      </c>
      <c r="L2130" s="553" t="n">
        <v>5</v>
      </c>
      <c r="M2130" s="1000" t="n">
        <v>15</v>
      </c>
      <c r="N2130" s="1301" t="n">
        <f aca="false">L2130*M2130</f>
        <v>75</v>
      </c>
      <c r="O2130" s="1301" t="n">
        <f aca="false">H2130*N2130</f>
        <v>2250</v>
      </c>
      <c r="P2130" s="879" t="s">
        <v>2193</v>
      </c>
      <c r="Q2130" s="880" t="s">
        <v>3147</v>
      </c>
      <c r="R2130" s="877" t="n">
        <v>2250</v>
      </c>
      <c r="S2130" s="877" t="n">
        <f aca="false">R2130/H2130</f>
        <v>75</v>
      </c>
      <c r="T2130" s="1404" t="n">
        <f aca="false">O2130-R2130</f>
        <v>0</v>
      </c>
      <c r="U2130" s="553" t="n">
        <f aca="false">N2130-S2130</f>
        <v>0</v>
      </c>
    </row>
    <row r="2131" customFormat="false" ht="15" hidden="false" customHeight="true" outlineLevel="0" collapsed="false">
      <c r="A2131" s="829" t="n">
        <v>211</v>
      </c>
      <c r="B2131" s="830" t="s">
        <v>2191</v>
      </c>
      <c r="C2131" s="830" t="n">
        <v>2023</v>
      </c>
      <c r="D2131" s="831" t="s">
        <v>8</v>
      </c>
      <c r="E2131" s="831" t="s">
        <v>2192</v>
      </c>
      <c r="F2131" s="832" t="s">
        <v>1651</v>
      </c>
      <c r="G2131" s="833"/>
      <c r="H2131" s="834" t="n">
        <v>30</v>
      </c>
      <c r="I2131" s="835"/>
      <c r="J2131" s="835"/>
      <c r="K2131" s="836" t="n">
        <f aca="false">H2131*I2131/100</f>
        <v>0</v>
      </c>
      <c r="L2131" s="837" t="n">
        <v>96</v>
      </c>
      <c r="M2131" s="1003" t="n">
        <v>15</v>
      </c>
      <c r="N2131" s="837" t="n">
        <f aca="false">L2131*M2131</f>
        <v>1440</v>
      </c>
      <c r="O2131" s="837" t="n">
        <f aca="false">H2131*N2131</f>
        <v>43200</v>
      </c>
      <c r="P2131" s="884" t="s">
        <v>2193</v>
      </c>
      <c r="Q2131" s="885" t="s">
        <v>3153</v>
      </c>
      <c r="R2131" s="886" t="n">
        <v>3150</v>
      </c>
      <c r="S2131" s="886" t="n">
        <f aca="false">R2131/H2131</f>
        <v>105</v>
      </c>
      <c r="T2131" s="837" t="n">
        <f aca="false">O2131-R2131-R2134-R2133-R2132</f>
        <v>0</v>
      </c>
      <c r="U2131" s="842" t="n">
        <f aca="false">N2131-S2131-S2134-S2133-S2132</f>
        <v>0</v>
      </c>
    </row>
    <row r="2132" customFormat="false" ht="15" hidden="false" customHeight="true" outlineLevel="0" collapsed="false">
      <c r="A2132" s="829"/>
      <c r="B2132" s="830"/>
      <c r="C2132" s="830"/>
      <c r="D2132" s="860" t="s">
        <v>8</v>
      </c>
      <c r="E2132" s="860" t="s">
        <v>2192</v>
      </c>
      <c r="F2132" s="832"/>
      <c r="G2132" s="833"/>
      <c r="H2132" s="834"/>
      <c r="I2132" s="835"/>
      <c r="J2132" s="835"/>
      <c r="K2132" s="836"/>
      <c r="L2132" s="837"/>
      <c r="M2132" s="1003"/>
      <c r="N2132" s="837"/>
      <c r="O2132" s="837"/>
      <c r="P2132" s="868" t="s">
        <v>2193</v>
      </c>
      <c r="Q2132" s="869" t="s">
        <v>3146</v>
      </c>
      <c r="R2132" s="866" t="n">
        <v>11700</v>
      </c>
      <c r="S2132" s="866" t="n">
        <f aca="false">R2132/H2131</f>
        <v>390</v>
      </c>
      <c r="T2132" s="837"/>
      <c r="U2132" s="842"/>
    </row>
    <row r="2133" customFormat="false" ht="15" hidden="false" customHeight="true" outlineLevel="0" collapsed="false">
      <c r="A2133" s="829"/>
      <c r="B2133" s="830"/>
      <c r="C2133" s="830"/>
      <c r="D2133" s="860" t="s">
        <v>8</v>
      </c>
      <c r="E2133" s="860" t="s">
        <v>2192</v>
      </c>
      <c r="F2133" s="832"/>
      <c r="G2133" s="833"/>
      <c r="H2133" s="834"/>
      <c r="I2133" s="835"/>
      <c r="J2133" s="835"/>
      <c r="K2133" s="836"/>
      <c r="L2133" s="837"/>
      <c r="M2133" s="1003"/>
      <c r="N2133" s="837"/>
      <c r="O2133" s="837"/>
      <c r="P2133" s="868" t="s">
        <v>2193</v>
      </c>
      <c r="Q2133" s="869" t="s">
        <v>3147</v>
      </c>
      <c r="R2133" s="866" t="n">
        <v>20700</v>
      </c>
      <c r="S2133" s="866" t="n">
        <f aca="false">R2133/H2131</f>
        <v>690</v>
      </c>
      <c r="T2133" s="837"/>
      <c r="U2133" s="842"/>
    </row>
    <row r="2134" customFormat="false" ht="15" hidden="false" customHeight="true" outlineLevel="0" collapsed="false">
      <c r="A2134" s="829"/>
      <c r="B2134" s="830"/>
      <c r="C2134" s="830"/>
      <c r="D2134" s="843" t="s">
        <v>8</v>
      </c>
      <c r="E2134" s="843" t="s">
        <v>2192</v>
      </c>
      <c r="F2134" s="832"/>
      <c r="G2134" s="833"/>
      <c r="H2134" s="834"/>
      <c r="I2134" s="835"/>
      <c r="J2134" s="835"/>
      <c r="K2134" s="836"/>
      <c r="L2134" s="837"/>
      <c r="M2134" s="1003"/>
      <c r="N2134" s="837"/>
      <c r="O2134" s="837"/>
      <c r="P2134" s="844" t="s">
        <v>2197</v>
      </c>
      <c r="Q2134" s="845" t="s">
        <v>3154</v>
      </c>
      <c r="R2134" s="846" t="n">
        <v>7650</v>
      </c>
      <c r="S2134" s="846" t="n">
        <f aca="false">R2134/H2131</f>
        <v>255</v>
      </c>
      <c r="T2134" s="837"/>
      <c r="U2134" s="842"/>
    </row>
    <row r="2135" customFormat="false" ht="15" hidden="false" customHeight="true" outlineLevel="0" collapsed="false">
      <c r="A2135" s="903" t="n">
        <v>236</v>
      </c>
      <c r="B2135" s="903" t="s">
        <v>2191</v>
      </c>
      <c r="C2135" s="903" t="n">
        <v>2023</v>
      </c>
      <c r="D2135" s="904" t="s">
        <v>8</v>
      </c>
      <c r="E2135" s="904" t="s">
        <v>2192</v>
      </c>
      <c r="F2135" s="904" t="s">
        <v>1651</v>
      </c>
      <c r="G2135" s="905"/>
      <c r="H2135" s="946" t="n">
        <v>30</v>
      </c>
      <c r="I2135" s="947"/>
      <c r="J2135" s="947"/>
      <c r="K2135" s="852" t="n">
        <f aca="false">H2135*I2135/100</f>
        <v>0</v>
      </c>
      <c r="L2135" s="942" t="n">
        <v>1</v>
      </c>
      <c r="M2135" s="1023" t="n">
        <v>15</v>
      </c>
      <c r="N2135" s="1143" t="n">
        <f aca="false">L2135*M2135</f>
        <v>15</v>
      </c>
      <c r="O2135" s="1143" t="n">
        <f aca="false">H2135*N2135</f>
        <v>450</v>
      </c>
      <c r="P2135" s="910" t="s">
        <v>2193</v>
      </c>
      <c r="Q2135" s="911" t="s">
        <v>3147</v>
      </c>
      <c r="R2135" s="891" t="n">
        <v>450</v>
      </c>
      <c r="S2135" s="877" t="n">
        <f aca="false">R2135/H2135</f>
        <v>15</v>
      </c>
      <c r="T2135" s="537" t="n">
        <f aca="false">O2135-R2135</f>
        <v>0</v>
      </c>
      <c r="U2135" s="537" t="n">
        <f aca="false">N2135-S2135</f>
        <v>0</v>
      </c>
    </row>
    <row r="2136" customFormat="false" ht="15" hidden="false" customHeight="true" outlineLevel="0" collapsed="false">
      <c r="A2136" s="870" t="n">
        <v>373</v>
      </c>
      <c r="B2136" s="870" t="s">
        <v>2191</v>
      </c>
      <c r="C2136" s="870" t="n">
        <v>2023</v>
      </c>
      <c r="D2136" s="871" t="s">
        <v>8</v>
      </c>
      <c r="E2136" s="871" t="s">
        <v>2192</v>
      </c>
      <c r="F2136" s="871" t="s">
        <v>1651</v>
      </c>
      <c r="G2136" s="872"/>
      <c r="H2136" s="1116" t="n">
        <v>30</v>
      </c>
      <c r="I2136" s="1117"/>
      <c r="J2136" s="1117"/>
      <c r="K2136" s="864" t="n">
        <f aca="false">H2136*I2136/100</f>
        <v>0</v>
      </c>
      <c r="L2136" s="553" t="n">
        <v>4</v>
      </c>
      <c r="M2136" s="1000" t="n">
        <v>15</v>
      </c>
      <c r="N2136" s="1299" t="n">
        <f aca="false">L2136*M2136</f>
        <v>60</v>
      </c>
      <c r="O2136" s="1299" t="n">
        <f aca="false">H2136*N2136</f>
        <v>1800</v>
      </c>
      <c r="P2136" s="879" t="s">
        <v>2193</v>
      </c>
      <c r="Q2136" s="880" t="s">
        <v>3147</v>
      </c>
      <c r="R2136" s="877" t="n">
        <v>1800</v>
      </c>
      <c r="S2136" s="877" t="n">
        <f aca="false">R2136/H2136</f>
        <v>60</v>
      </c>
      <c r="T2136" s="543" t="n">
        <f aca="false">O2136-R2136</f>
        <v>0</v>
      </c>
      <c r="U2136" s="543" t="n">
        <f aca="false">N2136-S2136</f>
        <v>0</v>
      </c>
    </row>
    <row r="2137" customFormat="false" ht="15" hidden="false" customHeight="true" outlineLevel="0" collapsed="false">
      <c r="A2137" s="859" t="n">
        <v>474</v>
      </c>
      <c r="B2137" s="859" t="s">
        <v>2191</v>
      </c>
      <c r="C2137" s="859" t="n">
        <v>2023</v>
      </c>
      <c r="D2137" s="860" t="s">
        <v>8</v>
      </c>
      <c r="E2137" s="860" t="s">
        <v>2192</v>
      </c>
      <c r="F2137" s="860" t="s">
        <v>1652</v>
      </c>
      <c r="G2137" s="861"/>
      <c r="H2137" s="980" t="n">
        <v>45</v>
      </c>
      <c r="I2137" s="981"/>
      <c r="J2137" s="981"/>
      <c r="K2137" s="864" t="n">
        <f aca="false">H2137*I2137/100</f>
        <v>0</v>
      </c>
      <c r="L2137" s="543" t="n">
        <v>3</v>
      </c>
      <c r="M2137" s="983" t="n">
        <v>15</v>
      </c>
      <c r="N2137" s="1299" t="n">
        <f aca="false">L2137*M2137</f>
        <v>45</v>
      </c>
      <c r="O2137" s="1299" t="n">
        <f aca="false">H2137*N2137</f>
        <v>2025</v>
      </c>
      <c r="P2137" s="868" t="s">
        <v>2193</v>
      </c>
      <c r="Q2137" s="869" t="s">
        <v>3147</v>
      </c>
      <c r="R2137" s="866" t="n">
        <v>2025</v>
      </c>
      <c r="S2137" s="877" t="n">
        <f aca="false">R2137/H2137</f>
        <v>45</v>
      </c>
      <c r="T2137" s="543" t="n">
        <f aca="false">O2137-R2137</f>
        <v>0</v>
      </c>
      <c r="U2137" s="543" t="n">
        <f aca="false">N2137-S2137</f>
        <v>0</v>
      </c>
    </row>
    <row r="2138" customFormat="false" ht="15" hidden="false" customHeight="true" outlineLevel="0" collapsed="false">
      <c r="A2138" s="870" t="n">
        <v>564</v>
      </c>
      <c r="B2138" s="870" t="s">
        <v>2191</v>
      </c>
      <c r="C2138" s="870" t="n">
        <v>2023</v>
      </c>
      <c r="D2138" s="871" t="s">
        <v>8</v>
      </c>
      <c r="E2138" s="871" t="s">
        <v>2192</v>
      </c>
      <c r="F2138" s="871" t="s">
        <v>1651</v>
      </c>
      <c r="G2138" s="872"/>
      <c r="H2138" s="1116" t="n">
        <v>32.1</v>
      </c>
      <c r="I2138" s="1117"/>
      <c r="J2138" s="1117"/>
      <c r="K2138" s="875" t="n">
        <f aca="false">H2138*I2138/100</f>
        <v>0</v>
      </c>
      <c r="L2138" s="553" t="n">
        <v>4</v>
      </c>
      <c r="M2138" s="1000" t="n">
        <v>15</v>
      </c>
      <c r="N2138" s="1301" t="n">
        <f aca="false">L2138*M2138</f>
        <v>60</v>
      </c>
      <c r="O2138" s="1301" t="n">
        <f aca="false">H2138*N2138</f>
        <v>1926</v>
      </c>
      <c r="P2138" s="879" t="s">
        <v>2193</v>
      </c>
      <c r="Q2138" s="880" t="s">
        <v>3147</v>
      </c>
      <c r="R2138" s="877" t="n">
        <v>1926</v>
      </c>
      <c r="S2138" s="877" t="n">
        <f aca="false">R2138/H2138</f>
        <v>60</v>
      </c>
      <c r="T2138" s="553" t="n">
        <f aca="false">O2138-R2138</f>
        <v>0</v>
      </c>
      <c r="U2138" s="553" t="n">
        <f aca="false">N2138-S2138</f>
        <v>0</v>
      </c>
    </row>
    <row r="2139" customFormat="false" ht="15" hidden="false" customHeight="true" outlineLevel="0" collapsed="false">
      <c r="A2139" s="870" t="n">
        <v>602</v>
      </c>
      <c r="B2139" s="870" t="s">
        <v>2191</v>
      </c>
      <c r="C2139" s="870" t="n">
        <v>2023</v>
      </c>
      <c r="D2139" s="871" t="s">
        <v>8</v>
      </c>
      <c r="E2139" s="871" t="s">
        <v>2192</v>
      </c>
      <c r="F2139" s="871" t="s">
        <v>1651</v>
      </c>
      <c r="G2139" s="872"/>
      <c r="H2139" s="1116" t="n">
        <v>31.9</v>
      </c>
      <c r="I2139" s="1117"/>
      <c r="J2139" s="1117"/>
      <c r="K2139" s="875" t="n">
        <f aca="false">H2139*I2139/100</f>
        <v>0</v>
      </c>
      <c r="L2139" s="553" t="n">
        <v>7</v>
      </c>
      <c r="M2139" s="1000" t="n">
        <v>15</v>
      </c>
      <c r="N2139" s="1301" t="n">
        <f aca="false">L2139*M2139</f>
        <v>105</v>
      </c>
      <c r="O2139" s="1437" t="n">
        <f aca="false">H2139*N2139</f>
        <v>3349.5</v>
      </c>
      <c r="P2139" s="879" t="s">
        <v>2193</v>
      </c>
      <c r="Q2139" s="880" t="s">
        <v>3147</v>
      </c>
      <c r="R2139" s="877" t="n">
        <v>3349.5</v>
      </c>
      <c r="S2139" s="877" t="n">
        <f aca="false">R2139/H2139</f>
        <v>105</v>
      </c>
      <c r="T2139" s="553" t="n">
        <f aca="false">O2139-R2139</f>
        <v>0</v>
      </c>
      <c r="U2139" s="553" t="n">
        <f aca="false">N2139-S2139</f>
        <v>0</v>
      </c>
    </row>
    <row r="2140" customFormat="false" ht="15" hidden="false" customHeight="true" outlineLevel="0" collapsed="false">
      <c r="A2140" s="870" t="n">
        <v>602</v>
      </c>
      <c r="B2140" s="870" t="s">
        <v>2191</v>
      </c>
      <c r="C2140" s="870" t="n">
        <v>2023</v>
      </c>
      <c r="D2140" s="871" t="s">
        <v>8</v>
      </c>
      <c r="E2140" s="871" t="s">
        <v>2192</v>
      </c>
      <c r="F2140" s="871" t="s">
        <v>1651</v>
      </c>
      <c r="G2140" s="872"/>
      <c r="H2140" s="1116" t="n">
        <v>30</v>
      </c>
      <c r="I2140" s="1117"/>
      <c r="J2140" s="1117"/>
      <c r="K2140" s="875" t="n">
        <f aca="false">H2140*I2140/100</f>
        <v>0</v>
      </c>
      <c r="L2140" s="553" t="n">
        <v>88</v>
      </c>
      <c r="M2140" s="1000" t="n">
        <v>15</v>
      </c>
      <c r="N2140" s="1301" t="n">
        <f aca="false">L2140*M2140</f>
        <v>1320</v>
      </c>
      <c r="O2140" s="1301" t="n">
        <f aca="false">H2140*N2140</f>
        <v>39600</v>
      </c>
      <c r="P2140" s="879" t="s">
        <v>2193</v>
      </c>
      <c r="Q2140" s="880" t="s">
        <v>3147</v>
      </c>
      <c r="R2140" s="877" t="n">
        <v>39600</v>
      </c>
      <c r="S2140" s="877" t="n">
        <f aca="false">R2140/H2140</f>
        <v>1320</v>
      </c>
      <c r="T2140" s="553" t="n">
        <f aca="false">O2140-R2140</f>
        <v>0</v>
      </c>
      <c r="U2140" s="553" t="n">
        <f aca="false">N2140-S2140</f>
        <v>0</v>
      </c>
    </row>
    <row r="2141" customFormat="false" ht="15" hidden="false" customHeight="true" outlineLevel="0" collapsed="false">
      <c r="A2141" s="881" t="n">
        <v>185</v>
      </c>
      <c r="B2141" s="882" t="s">
        <v>86</v>
      </c>
      <c r="C2141" s="830" t="n">
        <v>2023</v>
      </c>
      <c r="D2141" s="831" t="s">
        <v>8</v>
      </c>
      <c r="E2141" s="831" t="s">
        <v>2192</v>
      </c>
      <c r="F2141" s="832" t="s">
        <v>1650</v>
      </c>
      <c r="G2141" s="833"/>
      <c r="H2141" s="834" t="n">
        <v>93.6</v>
      </c>
      <c r="I2141" s="1020" t="n">
        <v>92</v>
      </c>
      <c r="J2141" s="1020" t="n">
        <v>84</v>
      </c>
      <c r="K2141" s="836" t="n">
        <f aca="false">H2141*I2141/100</f>
        <v>86.112</v>
      </c>
      <c r="L2141" s="837" t="n">
        <v>23915</v>
      </c>
      <c r="M2141" s="1003" t="n">
        <v>1</v>
      </c>
      <c r="N2141" s="837" t="n">
        <f aca="false">L2141*M2141</f>
        <v>23915</v>
      </c>
      <c r="O2141" s="837" t="n">
        <f aca="false">H2141*N2141</f>
        <v>2238444</v>
      </c>
      <c r="P2141" s="884" t="s">
        <v>2193</v>
      </c>
      <c r="Q2141" s="885" t="s">
        <v>3155</v>
      </c>
      <c r="R2141" s="886" t="n">
        <v>645840</v>
      </c>
      <c r="S2141" s="886" t="n">
        <f aca="false">R2141/H2141</f>
        <v>6900</v>
      </c>
      <c r="T2141" s="837" t="n">
        <f aca="false">O2141-R2141-R2147-R2142-R2146-R2143-R2145-R2144</f>
        <v>4.72937244921923E-011</v>
      </c>
      <c r="U2141" s="842" t="n">
        <f aca="false">N2141-S2141-S2147-S2142-S2146-S2143-S2145-S2144</f>
        <v>-6.82121026329696E-013</v>
      </c>
    </row>
    <row r="2142" customFormat="false" ht="15" hidden="false" customHeight="true" outlineLevel="0" collapsed="false">
      <c r="A2142" s="881"/>
      <c r="B2142" s="882"/>
      <c r="C2142" s="830"/>
      <c r="D2142" s="860" t="s">
        <v>8</v>
      </c>
      <c r="E2142" s="860" t="s">
        <v>2192</v>
      </c>
      <c r="F2142" s="832"/>
      <c r="G2142" s="833"/>
      <c r="H2142" s="834"/>
      <c r="I2142" s="1020"/>
      <c r="J2142" s="1020"/>
      <c r="K2142" s="836"/>
      <c r="L2142" s="837"/>
      <c r="M2142" s="1003"/>
      <c r="N2142" s="837"/>
      <c r="O2142" s="837"/>
      <c r="P2142" s="868" t="s">
        <v>2193</v>
      </c>
      <c r="Q2142" s="869" t="s">
        <v>2706</v>
      </c>
      <c r="R2142" s="866" t="n">
        <v>46332</v>
      </c>
      <c r="S2142" s="866" t="n">
        <f aca="false">R2142/H2141</f>
        <v>495</v>
      </c>
      <c r="T2142" s="837"/>
      <c r="U2142" s="842"/>
    </row>
    <row r="2143" customFormat="false" ht="15" hidden="false" customHeight="true" outlineLevel="0" collapsed="false">
      <c r="A2143" s="881"/>
      <c r="B2143" s="882"/>
      <c r="C2143" s="830"/>
      <c r="D2143" s="860" t="s">
        <v>8</v>
      </c>
      <c r="E2143" s="860" t="s">
        <v>2192</v>
      </c>
      <c r="F2143" s="832"/>
      <c r="G2143" s="833"/>
      <c r="H2143" s="834"/>
      <c r="I2143" s="1020"/>
      <c r="J2143" s="1020"/>
      <c r="K2143" s="836"/>
      <c r="L2143" s="837"/>
      <c r="M2143" s="1003"/>
      <c r="N2143" s="837"/>
      <c r="O2143" s="837"/>
      <c r="P2143" s="868" t="s">
        <v>2193</v>
      </c>
      <c r="Q2143" s="869" t="s">
        <v>2822</v>
      </c>
      <c r="R2143" s="866" t="n">
        <v>374400</v>
      </c>
      <c r="S2143" s="866" t="n">
        <f aca="false">R2143/H2141</f>
        <v>4000</v>
      </c>
      <c r="T2143" s="837"/>
      <c r="U2143" s="842"/>
    </row>
    <row r="2144" customFormat="false" ht="15" hidden="false" customHeight="true" outlineLevel="0" collapsed="false">
      <c r="A2144" s="881"/>
      <c r="B2144" s="882"/>
      <c r="C2144" s="830"/>
      <c r="D2144" s="860" t="s">
        <v>8</v>
      </c>
      <c r="E2144" s="860" t="s">
        <v>2192</v>
      </c>
      <c r="F2144" s="832"/>
      <c r="G2144" s="833"/>
      <c r="H2144" s="834"/>
      <c r="I2144" s="1020"/>
      <c r="J2144" s="1020"/>
      <c r="K2144" s="836"/>
      <c r="L2144" s="837"/>
      <c r="M2144" s="1003"/>
      <c r="N2144" s="837"/>
      <c r="O2144" s="837"/>
      <c r="P2144" s="868" t="s">
        <v>2193</v>
      </c>
      <c r="Q2144" s="869" t="s">
        <v>2393</v>
      </c>
      <c r="R2144" s="866" t="n">
        <v>28360.8</v>
      </c>
      <c r="S2144" s="866" t="n">
        <f aca="false">R2144/H2141</f>
        <v>303</v>
      </c>
      <c r="T2144" s="837"/>
      <c r="U2144" s="842"/>
    </row>
    <row r="2145" customFormat="false" ht="15" hidden="false" customHeight="true" outlineLevel="0" collapsed="false">
      <c r="A2145" s="881"/>
      <c r="B2145" s="882"/>
      <c r="C2145" s="830"/>
      <c r="D2145" s="860" t="s">
        <v>8</v>
      </c>
      <c r="E2145" s="860" t="s">
        <v>2192</v>
      </c>
      <c r="F2145" s="832"/>
      <c r="G2145" s="833"/>
      <c r="H2145" s="834"/>
      <c r="I2145" s="1020"/>
      <c r="J2145" s="1020"/>
      <c r="K2145" s="836"/>
      <c r="L2145" s="837"/>
      <c r="M2145" s="1003"/>
      <c r="N2145" s="837"/>
      <c r="O2145" s="837"/>
      <c r="P2145" s="868" t="s">
        <v>2193</v>
      </c>
      <c r="Q2145" s="869" t="s">
        <v>2407</v>
      </c>
      <c r="R2145" s="866" t="n">
        <v>187200</v>
      </c>
      <c r="S2145" s="866" t="n">
        <f aca="false">R2145/H2141</f>
        <v>2000</v>
      </c>
      <c r="T2145" s="837"/>
      <c r="U2145" s="842"/>
    </row>
    <row r="2146" customFormat="false" ht="15" hidden="false" customHeight="true" outlineLevel="0" collapsed="false">
      <c r="A2146" s="881"/>
      <c r="B2146" s="882"/>
      <c r="C2146" s="830"/>
      <c r="D2146" s="860" t="s">
        <v>8</v>
      </c>
      <c r="E2146" s="860" t="s">
        <v>2192</v>
      </c>
      <c r="F2146" s="832"/>
      <c r="G2146" s="833"/>
      <c r="H2146" s="834"/>
      <c r="I2146" s="1020"/>
      <c r="J2146" s="1020"/>
      <c r="K2146" s="836"/>
      <c r="L2146" s="837"/>
      <c r="M2146" s="1003"/>
      <c r="N2146" s="837"/>
      <c r="O2146" s="837"/>
      <c r="P2146" s="868" t="s">
        <v>2193</v>
      </c>
      <c r="Q2146" s="869" t="s">
        <v>92</v>
      </c>
      <c r="R2146" s="866" t="n">
        <v>697320</v>
      </c>
      <c r="S2146" s="866" t="n">
        <f aca="false">R2146/H2141</f>
        <v>7450</v>
      </c>
      <c r="T2146" s="837"/>
      <c r="U2146" s="842"/>
    </row>
    <row r="2147" customFormat="false" ht="15" hidden="false" customHeight="true" outlineLevel="0" collapsed="false">
      <c r="A2147" s="881"/>
      <c r="B2147" s="882"/>
      <c r="C2147" s="830"/>
      <c r="D2147" s="887" t="s">
        <v>8</v>
      </c>
      <c r="E2147" s="887" t="s">
        <v>2192</v>
      </c>
      <c r="F2147" s="832"/>
      <c r="G2147" s="833"/>
      <c r="H2147" s="834"/>
      <c r="I2147" s="1020"/>
      <c r="J2147" s="1020"/>
      <c r="K2147" s="836"/>
      <c r="L2147" s="837"/>
      <c r="M2147" s="1003"/>
      <c r="N2147" s="837"/>
      <c r="O2147" s="837"/>
      <c r="P2147" s="888" t="s">
        <v>2193</v>
      </c>
      <c r="Q2147" s="889" t="s">
        <v>3148</v>
      </c>
      <c r="R2147" s="1080" t="n">
        <v>258991.2</v>
      </c>
      <c r="S2147" s="846" t="n">
        <f aca="false">R2147/H2141</f>
        <v>2767</v>
      </c>
      <c r="T2147" s="837"/>
      <c r="U2147" s="842"/>
    </row>
    <row r="2148" customFormat="false" ht="15" hidden="false" customHeight="true" outlineLevel="0" collapsed="false">
      <c r="A2148" s="881"/>
      <c r="B2148" s="1072" t="s">
        <v>86</v>
      </c>
      <c r="C2148" s="1072" t="n">
        <v>2023</v>
      </c>
      <c r="D2148" s="887" t="s">
        <v>8</v>
      </c>
      <c r="E2148" s="887" t="s">
        <v>2242</v>
      </c>
      <c r="F2148" s="887"/>
      <c r="G2148" s="1062"/>
      <c r="H2148" s="1291" t="n">
        <v>40.9</v>
      </c>
      <c r="I2148" s="1292"/>
      <c r="J2148" s="1292"/>
      <c r="K2148" s="1064" t="n">
        <f aca="false">H2148*I2148/100</f>
        <v>0</v>
      </c>
      <c r="L2148" s="1082" t="n">
        <v>480</v>
      </c>
      <c r="M2148" s="1066" t="n">
        <v>1</v>
      </c>
      <c r="N2148" s="1082" t="n">
        <f aca="false">L2148*M2148</f>
        <v>480</v>
      </c>
      <c r="O2148" s="1082" t="n">
        <f aca="false">H2148*N2148</f>
        <v>19632</v>
      </c>
      <c r="P2148" s="888" t="s">
        <v>2232</v>
      </c>
      <c r="Q2148" s="889" t="s">
        <v>2833</v>
      </c>
      <c r="R2148" s="890" t="n">
        <v>19632</v>
      </c>
      <c r="S2148" s="854" t="n">
        <f aca="false">R2148/H2148</f>
        <v>480</v>
      </c>
      <c r="T2148" s="1067" t="n">
        <f aca="false">O2148-R2148</f>
        <v>0</v>
      </c>
      <c r="U2148" s="1070" t="n">
        <f aca="false">N2148-S2148</f>
        <v>0</v>
      </c>
    </row>
    <row r="2149" customFormat="false" ht="15" hidden="false" customHeight="true" outlineLevel="0" collapsed="false">
      <c r="A2149" s="1087" t="n">
        <v>8</v>
      </c>
      <c r="B2149" s="847" t="s">
        <v>86</v>
      </c>
      <c r="C2149" s="847" t="n">
        <v>2024</v>
      </c>
      <c r="D2149" s="848" t="s">
        <v>8</v>
      </c>
      <c r="E2149" s="848" t="s">
        <v>2192</v>
      </c>
      <c r="F2149" s="848" t="s">
        <v>1650</v>
      </c>
      <c r="G2149" s="849"/>
      <c r="H2149" s="949" t="n">
        <v>90.2</v>
      </c>
      <c r="I2149" s="950" t="n">
        <v>91</v>
      </c>
      <c r="J2149" s="950" t="n">
        <v>82</v>
      </c>
      <c r="K2149" s="852" t="n">
        <f aca="false">H2149*I2149/100</f>
        <v>82.082</v>
      </c>
      <c r="L2149" s="537" t="n">
        <v>171</v>
      </c>
      <c r="M2149" s="1007" t="n">
        <v>1</v>
      </c>
      <c r="N2149" s="1143" t="n">
        <f aca="false">L2149*M2149</f>
        <v>171</v>
      </c>
      <c r="O2149" s="1438" t="n">
        <f aca="false">H2149*N2149</f>
        <v>15424.2</v>
      </c>
      <c r="P2149" s="856" t="s">
        <v>2193</v>
      </c>
      <c r="Q2149" s="857" t="s">
        <v>3148</v>
      </c>
      <c r="R2149" s="1088" t="n">
        <v>15424.2</v>
      </c>
      <c r="S2149" s="840" t="n">
        <f aca="false">R2149/H2149</f>
        <v>171</v>
      </c>
      <c r="T2149" s="537" t="n">
        <f aca="false">O2149-R2149</f>
        <v>0</v>
      </c>
      <c r="U2149" s="892" t="n">
        <f aca="false">N2149-S2149</f>
        <v>0</v>
      </c>
    </row>
    <row r="2150" customFormat="false" ht="15" hidden="false" customHeight="true" outlineLevel="0" collapsed="false">
      <c r="A2150" s="1087"/>
      <c r="B2150" s="893" t="s">
        <v>86</v>
      </c>
      <c r="C2150" s="893" t="n">
        <v>2024</v>
      </c>
      <c r="D2150" s="843" t="s">
        <v>8</v>
      </c>
      <c r="E2150" s="843" t="s">
        <v>2241</v>
      </c>
      <c r="F2150" s="843"/>
      <c r="G2150" s="894"/>
      <c r="H2150" s="1103" t="n">
        <v>0</v>
      </c>
      <c r="I2150" s="1104"/>
      <c r="J2150" s="1104"/>
      <c r="K2150" s="897" t="n">
        <f aca="false">H2150*I2150/100</f>
        <v>0</v>
      </c>
      <c r="L2150" s="589" t="n">
        <v>1236</v>
      </c>
      <c r="M2150" s="1106" t="n">
        <v>1</v>
      </c>
      <c r="N2150" s="1393" t="n">
        <f aca="false">L2150*M2150</f>
        <v>1236</v>
      </c>
      <c r="O2150" s="1393" t="n">
        <f aca="false">H2150*N2150</f>
        <v>0</v>
      </c>
      <c r="P2150" s="844" t="s">
        <v>2204</v>
      </c>
      <c r="Q2150" s="845" t="n">
        <v>15052024</v>
      </c>
      <c r="R2150" s="846" t="n">
        <v>0</v>
      </c>
      <c r="S2150" s="846" t="n">
        <v>1236</v>
      </c>
      <c r="T2150" s="589" t="n">
        <f aca="false">O2150-R2150</f>
        <v>0</v>
      </c>
      <c r="U2150" s="902" t="n">
        <f aca="false">N2150-S2150</f>
        <v>0</v>
      </c>
    </row>
    <row r="2151" customFormat="false" ht="15" hidden="false" customHeight="true" outlineLevel="0" collapsed="false">
      <c r="A2151" s="829" t="n">
        <v>9</v>
      </c>
      <c r="B2151" s="1173" t="s">
        <v>86</v>
      </c>
      <c r="C2151" s="1173" t="n">
        <v>2024</v>
      </c>
      <c r="D2151" s="831" t="s">
        <v>8</v>
      </c>
      <c r="E2151" s="831" t="s">
        <v>2192</v>
      </c>
      <c r="F2151" s="831" t="s">
        <v>2199</v>
      </c>
      <c r="G2151" s="1108"/>
      <c r="H2151" s="1109" t="n">
        <v>48.1</v>
      </c>
      <c r="I2151" s="1110"/>
      <c r="J2151" s="1110"/>
      <c r="K2151" s="1111" t="n">
        <f aca="false">H2151*I2151/100</f>
        <v>0</v>
      </c>
      <c r="L2151" s="1114" t="n">
        <v>618</v>
      </c>
      <c r="M2151" s="1113" t="n">
        <v>1</v>
      </c>
      <c r="N2151" s="1408" t="n">
        <f aca="false">L2151*M2151</f>
        <v>618</v>
      </c>
      <c r="O2151" s="1408" t="n">
        <f aca="false">H2151*N2151</f>
        <v>29725.8</v>
      </c>
      <c r="P2151" s="838" t="s">
        <v>2232</v>
      </c>
      <c r="Q2151" s="839" t="s">
        <v>102</v>
      </c>
      <c r="R2151" s="840" t="n">
        <v>29725.8</v>
      </c>
      <c r="S2151" s="886" t="n">
        <f aca="false">R2151/H2151</f>
        <v>618</v>
      </c>
      <c r="T2151" s="1115" t="n">
        <f aca="false">O2151-R2151</f>
        <v>0</v>
      </c>
      <c r="U2151" s="1176" t="n">
        <f aca="false">N2151-S2151</f>
        <v>0</v>
      </c>
    </row>
    <row r="2152" customFormat="false" ht="15" hidden="false" customHeight="true" outlineLevel="0" collapsed="false">
      <c r="A2152" s="829"/>
      <c r="B2152" s="1072" t="s">
        <v>86</v>
      </c>
      <c r="C2152" s="1072" t="n">
        <v>2024</v>
      </c>
      <c r="D2152" s="887" t="s">
        <v>8</v>
      </c>
      <c r="E2152" s="887" t="s">
        <v>2203</v>
      </c>
      <c r="F2152" s="887"/>
      <c r="G2152" s="1062"/>
      <c r="H2152" s="1077" t="n">
        <v>0</v>
      </c>
      <c r="I2152" s="1086"/>
      <c r="J2152" s="1086"/>
      <c r="K2152" s="897" t="n">
        <f aca="false">H2152*I2152/100</f>
        <v>0</v>
      </c>
      <c r="L2152" s="1067" t="n">
        <v>917</v>
      </c>
      <c r="M2152" s="1066" t="n">
        <v>1</v>
      </c>
      <c r="N2152" s="1393" t="n">
        <f aca="false">L2152*M2152</f>
        <v>917</v>
      </c>
      <c r="O2152" s="1393" t="n">
        <f aca="false">H2152*N2152</f>
        <v>0</v>
      </c>
      <c r="P2152" s="888" t="s">
        <v>2204</v>
      </c>
      <c r="Q2152" s="889" t="n">
        <v>14052024</v>
      </c>
      <c r="R2152" s="890" t="n">
        <v>0</v>
      </c>
      <c r="S2152" s="846" t="n">
        <v>917</v>
      </c>
      <c r="T2152" s="589" t="n">
        <f aca="false">O2152-R2152</f>
        <v>0</v>
      </c>
      <c r="U2152" s="902" t="n">
        <f aca="false">N2152-S2152</f>
        <v>0</v>
      </c>
    </row>
    <row r="2153" customFormat="false" ht="15" hidden="false" customHeight="true" outlineLevel="0" collapsed="false">
      <c r="A2153" s="1060" t="n">
        <v>4</v>
      </c>
      <c r="B2153" s="1061" t="s">
        <v>2207</v>
      </c>
      <c r="C2153" s="1061" t="n">
        <v>2024</v>
      </c>
      <c r="D2153" s="848" t="s">
        <v>8</v>
      </c>
      <c r="E2153" s="848" t="s">
        <v>2192</v>
      </c>
      <c r="F2153" s="887" t="s">
        <v>1651</v>
      </c>
      <c r="G2153" s="1062"/>
      <c r="H2153" s="1077" t="n">
        <v>33.0746</v>
      </c>
      <c r="I2153" s="1086"/>
      <c r="J2153" s="1086"/>
      <c r="K2153" s="1064" t="n">
        <f aca="false">H2153*I2153/100</f>
        <v>0</v>
      </c>
      <c r="L2153" s="1067" t="n">
        <v>10263</v>
      </c>
      <c r="M2153" s="1066" t="n">
        <v>1</v>
      </c>
      <c r="N2153" s="1067" t="n">
        <f aca="false">L2153*M2153</f>
        <v>10263</v>
      </c>
      <c r="O2153" s="1452" t="n">
        <f aca="false">H2153*N2153</f>
        <v>339444.6198</v>
      </c>
      <c r="P2153" s="910" t="s">
        <v>2197</v>
      </c>
      <c r="Q2153" s="911" t="s">
        <v>3036</v>
      </c>
      <c r="R2153" s="1025" t="n">
        <v>16537.3</v>
      </c>
      <c r="S2153" s="891" t="n">
        <f aca="false">R2153/H2153</f>
        <v>500</v>
      </c>
      <c r="T2153" s="1452" t="n">
        <f aca="false">O2153-R2153-R2156-R2155-R2154</f>
        <v>0</v>
      </c>
      <c r="U2153" s="1070" t="n">
        <f aca="false">N2153-S2153-S2156-S2155-S2154</f>
        <v>0</v>
      </c>
    </row>
    <row r="2154" customFormat="false" ht="15" hidden="false" customHeight="true" outlineLevel="0" collapsed="false">
      <c r="A2154" s="1060"/>
      <c r="B2154" s="1061"/>
      <c r="C2154" s="1061"/>
      <c r="D2154" s="848" t="s">
        <v>8</v>
      </c>
      <c r="E2154" s="848" t="s">
        <v>2192</v>
      </c>
      <c r="F2154" s="887"/>
      <c r="G2154" s="1062"/>
      <c r="H2154" s="1077"/>
      <c r="I2154" s="1086"/>
      <c r="J2154" s="1086"/>
      <c r="K2154" s="1064"/>
      <c r="L2154" s="1067"/>
      <c r="M2154" s="1066"/>
      <c r="N2154" s="1067"/>
      <c r="O2154" s="1452"/>
      <c r="P2154" s="868" t="s">
        <v>2197</v>
      </c>
      <c r="Q2154" s="869" t="s">
        <v>3053</v>
      </c>
      <c r="R2154" s="1018" t="n">
        <v>55003.0598</v>
      </c>
      <c r="S2154" s="866" t="n">
        <f aca="false">R2154/H2153</f>
        <v>1663</v>
      </c>
      <c r="T2154" s="1452"/>
      <c r="U2154" s="1070"/>
    </row>
    <row r="2155" customFormat="false" ht="15" hidden="false" customHeight="true" outlineLevel="0" collapsed="false">
      <c r="A2155" s="1060"/>
      <c r="B2155" s="1061"/>
      <c r="C2155" s="1061"/>
      <c r="D2155" s="860" t="s">
        <v>8</v>
      </c>
      <c r="E2155" s="860" t="s">
        <v>2192</v>
      </c>
      <c r="F2155" s="887"/>
      <c r="G2155" s="1062"/>
      <c r="H2155" s="1077"/>
      <c r="I2155" s="1086"/>
      <c r="J2155" s="1086"/>
      <c r="K2155" s="1064"/>
      <c r="L2155" s="1067"/>
      <c r="M2155" s="1066"/>
      <c r="N2155" s="1067"/>
      <c r="O2155" s="1452"/>
      <c r="P2155" s="868" t="s">
        <v>2197</v>
      </c>
      <c r="Q2155" s="869" t="s">
        <v>3034</v>
      </c>
      <c r="R2155" s="1018" t="n">
        <v>148835.7</v>
      </c>
      <c r="S2155" s="866" t="n">
        <f aca="false">R2155/H2153</f>
        <v>4500</v>
      </c>
      <c r="T2155" s="1452"/>
      <c r="U2155" s="1070"/>
    </row>
    <row r="2156" customFormat="false" ht="15" hidden="false" customHeight="true" outlineLevel="0" collapsed="false">
      <c r="A2156" s="1060"/>
      <c r="B2156" s="1061"/>
      <c r="C2156" s="1061"/>
      <c r="D2156" s="887" t="s">
        <v>8</v>
      </c>
      <c r="E2156" s="887" t="s">
        <v>2192</v>
      </c>
      <c r="F2156" s="887"/>
      <c r="G2156" s="1062"/>
      <c r="H2156" s="1077"/>
      <c r="I2156" s="1086"/>
      <c r="J2156" s="1086"/>
      <c r="K2156" s="1064"/>
      <c r="L2156" s="1067"/>
      <c r="M2156" s="1066"/>
      <c r="N2156" s="1067"/>
      <c r="O2156" s="1452"/>
      <c r="P2156" s="888" t="s">
        <v>2197</v>
      </c>
      <c r="Q2156" s="889" t="s">
        <v>3035</v>
      </c>
      <c r="R2156" s="945" t="n">
        <v>119068.56</v>
      </c>
      <c r="S2156" s="890" t="n">
        <f aca="false">R2156/H2153</f>
        <v>3600</v>
      </c>
      <c r="T2156" s="1452"/>
      <c r="U2156" s="1070"/>
    </row>
    <row r="2157" customFormat="false" ht="15" hidden="false" customHeight="true" outlineLevel="0" collapsed="false">
      <c r="A2157" s="903" t="n">
        <v>28</v>
      </c>
      <c r="B2157" s="903" t="s">
        <v>2191</v>
      </c>
      <c r="C2157" s="903" t="n">
        <v>2024</v>
      </c>
      <c r="D2157" s="904" t="s">
        <v>8</v>
      </c>
      <c r="E2157" s="904" t="s">
        <v>2192</v>
      </c>
      <c r="F2157" s="904" t="s">
        <v>1651</v>
      </c>
      <c r="G2157" s="905"/>
      <c r="H2157" s="946" t="n">
        <v>30</v>
      </c>
      <c r="I2157" s="947"/>
      <c r="J2157" s="947"/>
      <c r="K2157" s="939" t="n">
        <f aca="false">H2157*I2157/100</f>
        <v>0</v>
      </c>
      <c r="L2157" s="942" t="n">
        <v>83</v>
      </c>
      <c r="M2157" s="1023" t="n">
        <v>15</v>
      </c>
      <c r="N2157" s="942" t="n">
        <f aca="false">L2157*M2157</f>
        <v>1245</v>
      </c>
      <c r="O2157" s="1137" t="n">
        <f aca="false">H2157*N2157</f>
        <v>37350</v>
      </c>
      <c r="P2157" s="910" t="s">
        <v>2193</v>
      </c>
      <c r="Q2157" s="911" t="s">
        <v>3146</v>
      </c>
      <c r="R2157" s="912" t="n">
        <v>37350</v>
      </c>
      <c r="S2157" s="840" t="n">
        <f aca="false">R2157/H2157</f>
        <v>1245</v>
      </c>
      <c r="T2157" s="942" t="n">
        <f aca="false">O2157-R2157</f>
        <v>0</v>
      </c>
      <c r="U2157" s="942" t="n">
        <f aca="false">N2157-S2157</f>
        <v>0</v>
      </c>
    </row>
    <row r="2158" customFormat="false" ht="15" hidden="false" customHeight="true" outlineLevel="0" collapsed="false">
      <c r="A2158" s="829" t="n">
        <v>87</v>
      </c>
      <c r="B2158" s="830" t="s">
        <v>2191</v>
      </c>
      <c r="C2158" s="830" t="n">
        <v>2024</v>
      </c>
      <c r="D2158" s="831" t="s">
        <v>8</v>
      </c>
      <c r="E2158" s="831" t="s">
        <v>2192</v>
      </c>
      <c r="F2158" s="832" t="s">
        <v>1651</v>
      </c>
      <c r="G2158" s="833"/>
      <c r="H2158" s="834" t="n">
        <v>30</v>
      </c>
      <c r="I2158" s="835"/>
      <c r="J2158" s="835"/>
      <c r="K2158" s="836" t="n">
        <f aca="false">H2158*I2158/100</f>
        <v>0</v>
      </c>
      <c r="L2158" s="837" t="n">
        <v>81</v>
      </c>
      <c r="M2158" s="1003" t="n">
        <v>15</v>
      </c>
      <c r="N2158" s="837" t="n">
        <f aca="false">L2158*M2158</f>
        <v>1215</v>
      </c>
      <c r="O2158" s="837" t="n">
        <f aca="false">H2158*N2158</f>
        <v>36450</v>
      </c>
      <c r="P2158" s="884" t="s">
        <v>2193</v>
      </c>
      <c r="Q2158" s="885" t="s">
        <v>3156</v>
      </c>
      <c r="R2158" s="1446" t="n">
        <v>900</v>
      </c>
      <c r="S2158" s="886" t="n">
        <f aca="false">R2158/H2158</f>
        <v>30</v>
      </c>
      <c r="T2158" s="837" t="n">
        <f aca="false">O2158-R2158-R2161-R2160-R2159</f>
        <v>0</v>
      </c>
      <c r="U2158" s="842" t="n">
        <f aca="false">N2158-S2158-S2161-S2160-S2159</f>
        <v>0</v>
      </c>
    </row>
    <row r="2159" customFormat="false" ht="15" hidden="false" customHeight="true" outlineLevel="0" collapsed="false">
      <c r="A2159" s="829"/>
      <c r="B2159" s="830"/>
      <c r="C2159" s="830"/>
      <c r="D2159" s="860" t="s">
        <v>8</v>
      </c>
      <c r="E2159" s="860" t="s">
        <v>2192</v>
      </c>
      <c r="F2159" s="832"/>
      <c r="G2159" s="833"/>
      <c r="H2159" s="834"/>
      <c r="I2159" s="835"/>
      <c r="J2159" s="835"/>
      <c r="K2159" s="836"/>
      <c r="L2159" s="837"/>
      <c r="M2159" s="1003"/>
      <c r="N2159" s="837"/>
      <c r="O2159" s="837"/>
      <c r="P2159" s="868" t="s">
        <v>2193</v>
      </c>
      <c r="Q2159" s="869" t="s">
        <v>3146</v>
      </c>
      <c r="R2159" s="1448" t="n">
        <v>16200</v>
      </c>
      <c r="S2159" s="866" t="n">
        <f aca="false">R2159/H2158</f>
        <v>540</v>
      </c>
      <c r="T2159" s="837"/>
      <c r="U2159" s="842"/>
    </row>
    <row r="2160" customFormat="false" ht="15" hidden="false" customHeight="true" outlineLevel="0" collapsed="false">
      <c r="A2160" s="829"/>
      <c r="B2160" s="830"/>
      <c r="C2160" s="830"/>
      <c r="D2160" s="860" t="s">
        <v>8</v>
      </c>
      <c r="E2160" s="860" t="s">
        <v>2192</v>
      </c>
      <c r="F2160" s="832"/>
      <c r="G2160" s="833"/>
      <c r="H2160" s="834"/>
      <c r="I2160" s="835"/>
      <c r="J2160" s="835"/>
      <c r="K2160" s="836"/>
      <c r="L2160" s="837"/>
      <c r="M2160" s="1003"/>
      <c r="N2160" s="837"/>
      <c r="O2160" s="837"/>
      <c r="P2160" s="868" t="s">
        <v>2193</v>
      </c>
      <c r="Q2160" s="869" t="s">
        <v>3153</v>
      </c>
      <c r="R2160" s="1448" t="n">
        <v>7650</v>
      </c>
      <c r="S2160" s="866" t="n">
        <f aca="false">R2160/H2158</f>
        <v>255</v>
      </c>
      <c r="T2160" s="837"/>
      <c r="U2160" s="842"/>
    </row>
    <row r="2161" customFormat="false" ht="15" hidden="false" customHeight="true" outlineLevel="0" collapsed="false">
      <c r="A2161" s="829"/>
      <c r="B2161" s="830"/>
      <c r="C2161" s="830"/>
      <c r="D2161" s="843" t="s">
        <v>8</v>
      </c>
      <c r="E2161" s="843" t="s">
        <v>2192</v>
      </c>
      <c r="F2161" s="832"/>
      <c r="G2161" s="833"/>
      <c r="H2161" s="834"/>
      <c r="I2161" s="835"/>
      <c r="J2161" s="835"/>
      <c r="K2161" s="836"/>
      <c r="L2161" s="837"/>
      <c r="M2161" s="1003"/>
      <c r="N2161" s="837"/>
      <c r="O2161" s="837"/>
      <c r="P2161" s="844" t="s">
        <v>2193</v>
      </c>
      <c r="Q2161" s="845" t="s">
        <v>3157</v>
      </c>
      <c r="R2161" s="1350" t="n">
        <v>11700</v>
      </c>
      <c r="S2161" s="846" t="n">
        <f aca="false">R2161/H2158</f>
        <v>390</v>
      </c>
      <c r="T2161" s="837"/>
      <c r="U2161" s="842"/>
    </row>
    <row r="2162" customFormat="false" ht="15" hidden="false" customHeight="true" outlineLevel="0" collapsed="false">
      <c r="A2162" s="847" t="n">
        <v>7</v>
      </c>
      <c r="B2162" s="847" t="s">
        <v>81</v>
      </c>
      <c r="C2162" s="847" t="n">
        <v>2024</v>
      </c>
      <c r="D2162" s="848" t="s">
        <v>8</v>
      </c>
      <c r="E2162" s="848" t="s">
        <v>2192</v>
      </c>
      <c r="F2162" s="848" t="s">
        <v>2199</v>
      </c>
      <c r="G2162" s="849"/>
      <c r="H2162" s="949" t="n">
        <v>74.7</v>
      </c>
      <c r="I2162" s="950"/>
      <c r="J2162" s="950"/>
      <c r="K2162" s="852" t="n">
        <f aca="false">H2162*I2162/100</f>
        <v>0</v>
      </c>
      <c r="L2162" s="537" t="n">
        <v>10000</v>
      </c>
      <c r="M2162" s="1007" t="n">
        <v>1</v>
      </c>
      <c r="N2162" s="537" t="n">
        <f aca="false">L2162*M2162</f>
        <v>10000</v>
      </c>
      <c r="O2162" s="1143" t="n">
        <f aca="false">H2162*N2162</f>
        <v>747000</v>
      </c>
      <c r="P2162" s="856" t="s">
        <v>2200</v>
      </c>
      <c r="Q2162" s="857" t="s">
        <v>2251</v>
      </c>
      <c r="R2162" s="952" t="n">
        <v>747000</v>
      </c>
      <c r="S2162" s="877" t="n">
        <f aca="false">R2162/H2162</f>
        <v>10000</v>
      </c>
      <c r="T2162" s="537" t="n">
        <f aca="false">O2162-R2162</f>
        <v>0</v>
      </c>
      <c r="U2162" s="537" t="n">
        <f aca="false">N2162-S2162</f>
        <v>0</v>
      </c>
    </row>
    <row r="2163" customFormat="false" ht="15" hidden="false" customHeight="true" outlineLevel="0" collapsed="false">
      <c r="A2163" s="859" t="n">
        <v>8</v>
      </c>
      <c r="B2163" s="859" t="s">
        <v>81</v>
      </c>
      <c r="C2163" s="859" t="n">
        <v>2024</v>
      </c>
      <c r="D2163" s="860" t="s">
        <v>8</v>
      </c>
      <c r="E2163" s="860" t="s">
        <v>2192</v>
      </c>
      <c r="F2163" s="860" t="s">
        <v>2199</v>
      </c>
      <c r="G2163" s="861"/>
      <c r="H2163" s="980" t="n">
        <v>72.5</v>
      </c>
      <c r="I2163" s="981"/>
      <c r="J2163" s="981"/>
      <c r="K2163" s="864" t="n">
        <f aca="false">H2163*I2163/100</f>
        <v>0</v>
      </c>
      <c r="L2163" s="543" t="n">
        <v>10005</v>
      </c>
      <c r="M2163" s="983" t="n">
        <v>1</v>
      </c>
      <c r="N2163" s="543" t="n">
        <f aca="false">L2163*M2163</f>
        <v>10005</v>
      </c>
      <c r="O2163" s="1439" t="n">
        <f aca="false">H2163*N2163</f>
        <v>725362.5</v>
      </c>
      <c r="P2163" s="868" t="s">
        <v>2200</v>
      </c>
      <c r="Q2163" s="869" t="s">
        <v>101</v>
      </c>
      <c r="R2163" s="1448" t="n">
        <v>725362.5</v>
      </c>
      <c r="S2163" s="877" t="n">
        <f aca="false">R2163/H2163</f>
        <v>10005</v>
      </c>
      <c r="T2163" s="985" t="n">
        <f aca="false">O2163-R2163</f>
        <v>0</v>
      </c>
      <c r="U2163" s="543" t="n">
        <f aca="false">N2163-S2163</f>
        <v>0</v>
      </c>
    </row>
    <row r="2164" customFormat="false" ht="15" hidden="false" customHeight="true" outlineLevel="0" collapsed="false">
      <c r="A2164" s="859" t="n">
        <v>9</v>
      </c>
      <c r="B2164" s="859" t="s">
        <v>81</v>
      </c>
      <c r="C2164" s="859" t="n">
        <v>2024</v>
      </c>
      <c r="D2164" s="860" t="s">
        <v>8</v>
      </c>
      <c r="E2164" s="860" t="s">
        <v>2192</v>
      </c>
      <c r="F2164" s="860" t="s">
        <v>2199</v>
      </c>
      <c r="G2164" s="861"/>
      <c r="H2164" s="980" t="n">
        <v>74.5</v>
      </c>
      <c r="I2164" s="981"/>
      <c r="J2164" s="981"/>
      <c r="K2164" s="864" t="n">
        <f aca="false">H2164*I2164/100</f>
        <v>0</v>
      </c>
      <c r="L2164" s="543" t="n">
        <v>8664.5</v>
      </c>
      <c r="M2164" s="983" t="n">
        <v>1</v>
      </c>
      <c r="N2164" s="543" t="n">
        <f aca="false">L2164*M2164</f>
        <v>8664.5</v>
      </c>
      <c r="O2164" s="1348" t="n">
        <f aca="false">H2164*N2164</f>
        <v>645505.25</v>
      </c>
      <c r="P2164" s="868" t="s">
        <v>2200</v>
      </c>
      <c r="Q2164" s="869" t="s">
        <v>2435</v>
      </c>
      <c r="R2164" s="1448" t="n">
        <v>645505.25</v>
      </c>
      <c r="S2164" s="877" t="n">
        <f aca="false">R2164/H2164</f>
        <v>8664.5</v>
      </c>
      <c r="T2164" s="1556" t="n">
        <f aca="false">O2164-R2164</f>
        <v>0</v>
      </c>
      <c r="U2164" s="543" t="n">
        <f aca="false">N2164-S2164</f>
        <v>0</v>
      </c>
    </row>
    <row r="2165" customFormat="false" ht="15" hidden="false" customHeight="true" outlineLevel="0" collapsed="false">
      <c r="A2165" s="870" t="n">
        <v>11</v>
      </c>
      <c r="B2165" s="870" t="s">
        <v>2207</v>
      </c>
      <c r="C2165" s="870" t="n">
        <v>2024</v>
      </c>
      <c r="D2165" s="871" t="s">
        <v>8</v>
      </c>
      <c r="E2165" s="871" t="s">
        <v>2192</v>
      </c>
      <c r="F2165" s="871" t="s">
        <v>1651</v>
      </c>
      <c r="G2165" s="872"/>
      <c r="H2165" s="1116" t="n">
        <v>33.2605</v>
      </c>
      <c r="I2165" s="1117"/>
      <c r="J2165" s="1117"/>
      <c r="K2165" s="875" t="n">
        <f aca="false">H2165*I2165/100</f>
        <v>0</v>
      </c>
      <c r="L2165" s="553" t="n">
        <v>1393</v>
      </c>
      <c r="M2165" s="1000" t="n">
        <v>1</v>
      </c>
      <c r="N2165" s="553" t="n">
        <f aca="false">L2165*M2165</f>
        <v>1393</v>
      </c>
      <c r="O2165" s="1402" t="n">
        <f aca="false">H2165*N2165</f>
        <v>46331.8765</v>
      </c>
      <c r="P2165" s="879" t="s">
        <v>2193</v>
      </c>
      <c r="Q2165" s="880" t="s">
        <v>3156</v>
      </c>
      <c r="R2165" s="1151" t="n">
        <v>46331.8765</v>
      </c>
      <c r="S2165" s="877" t="n">
        <f aca="false">R2165/H2165</f>
        <v>1393</v>
      </c>
      <c r="T2165" s="1496" t="n">
        <f aca="false">O2165-R2165</f>
        <v>0</v>
      </c>
      <c r="U2165" s="553" t="n">
        <f aca="false">N2165-S2165</f>
        <v>0</v>
      </c>
    </row>
    <row r="2166" customFormat="false" ht="15" hidden="false" customHeight="true" outlineLevel="0" collapsed="false">
      <c r="A2166" s="829" t="s">
        <v>3158</v>
      </c>
      <c r="B2166" s="830" t="s">
        <v>2207</v>
      </c>
      <c r="C2166" s="830" t="n">
        <v>2024</v>
      </c>
      <c r="D2166" s="831" t="s">
        <v>8</v>
      </c>
      <c r="E2166" s="831" t="s">
        <v>2192</v>
      </c>
      <c r="F2166" s="832" t="s">
        <v>1651</v>
      </c>
      <c r="G2166" s="833"/>
      <c r="H2166" s="834" t="n">
        <v>33.1584</v>
      </c>
      <c r="I2166" s="835"/>
      <c r="J2166" s="835"/>
      <c r="K2166" s="836" t="n">
        <f aca="false">H2166*I2166/100</f>
        <v>0</v>
      </c>
      <c r="L2166" s="837" t="n">
        <v>1438</v>
      </c>
      <c r="M2166" s="1003" t="n">
        <v>1</v>
      </c>
      <c r="N2166" s="837" t="n">
        <f aca="false">L2166*M2166</f>
        <v>1438</v>
      </c>
      <c r="O2166" s="943" t="n">
        <f aca="false">H2166*N2166</f>
        <v>47681.7792</v>
      </c>
      <c r="P2166" s="838" t="s">
        <v>2197</v>
      </c>
      <c r="Q2166" s="839" t="s">
        <v>2585</v>
      </c>
      <c r="R2166" s="944" t="n">
        <v>16579.2</v>
      </c>
      <c r="S2166" s="840" t="n">
        <f aca="false">R2166/H2166</f>
        <v>500</v>
      </c>
      <c r="T2166" s="1405" t="n">
        <f aca="false">O2166-R2166-R2167</f>
        <v>0</v>
      </c>
      <c r="U2166" s="842" t="n">
        <f aca="false">N2166-S2166-S2167</f>
        <v>0</v>
      </c>
    </row>
    <row r="2167" customFormat="false" ht="15" hidden="false" customHeight="true" outlineLevel="0" collapsed="false">
      <c r="A2167" s="829"/>
      <c r="B2167" s="830"/>
      <c r="C2167" s="830"/>
      <c r="D2167" s="843" t="s">
        <v>8</v>
      </c>
      <c r="E2167" s="843" t="s">
        <v>2192</v>
      </c>
      <c r="F2167" s="832"/>
      <c r="G2167" s="833"/>
      <c r="H2167" s="834"/>
      <c r="I2167" s="835"/>
      <c r="J2167" s="835"/>
      <c r="K2167" s="836"/>
      <c r="L2167" s="837"/>
      <c r="M2167" s="1003"/>
      <c r="N2167" s="837"/>
      <c r="O2167" s="943"/>
      <c r="P2167" s="844" t="s">
        <v>2197</v>
      </c>
      <c r="Q2167" s="845" t="s">
        <v>2912</v>
      </c>
      <c r="R2167" s="1350" t="n">
        <v>31102.5792</v>
      </c>
      <c r="S2167" s="846" t="n">
        <f aca="false">R2167/H2166</f>
        <v>938</v>
      </c>
      <c r="T2167" s="1405"/>
      <c r="U2167" s="842"/>
    </row>
    <row r="2168" customFormat="false" ht="15" hidden="false" customHeight="true" outlineLevel="0" collapsed="false">
      <c r="A2168" s="903" t="n">
        <v>15</v>
      </c>
      <c r="B2168" s="903" t="s">
        <v>2207</v>
      </c>
      <c r="C2168" s="903" t="n">
        <v>2024</v>
      </c>
      <c r="D2168" s="904" t="s">
        <v>8</v>
      </c>
      <c r="E2168" s="904" t="s">
        <v>2192</v>
      </c>
      <c r="F2168" s="904" t="s">
        <v>1651</v>
      </c>
      <c r="G2168" s="905"/>
      <c r="H2168" s="946" t="n">
        <v>33.1536</v>
      </c>
      <c r="I2168" s="947"/>
      <c r="J2168" s="947"/>
      <c r="K2168" s="939" t="n">
        <f aca="false">H2168*I2168/100</f>
        <v>0</v>
      </c>
      <c r="L2168" s="942" t="n">
        <v>21033</v>
      </c>
      <c r="M2168" s="1023" t="n">
        <v>1</v>
      </c>
      <c r="N2168" s="942" t="n">
        <f aca="false">L2168*M2168</f>
        <v>21033</v>
      </c>
      <c r="O2168" s="1384" t="n">
        <f aca="false">H2168*N2168</f>
        <v>697319.6688</v>
      </c>
      <c r="P2168" s="910" t="s">
        <v>2193</v>
      </c>
      <c r="Q2168" s="911" t="s">
        <v>3157</v>
      </c>
      <c r="R2168" s="912" t="n">
        <v>697319.6688</v>
      </c>
      <c r="S2168" s="891" t="n">
        <f aca="false">R2168/H2168</f>
        <v>21033</v>
      </c>
      <c r="T2168" s="1058" t="n">
        <f aca="false">O2168-R2168</f>
        <v>0</v>
      </c>
      <c r="U2168" s="942" t="n">
        <f aca="false">N2168-S2168</f>
        <v>0</v>
      </c>
    </row>
    <row r="2169" customFormat="false" ht="15" hidden="false" customHeight="true" outlineLevel="0" collapsed="false">
      <c r="A2169" s="882" t="s">
        <v>3159</v>
      </c>
      <c r="B2169" s="830" t="s">
        <v>2207</v>
      </c>
      <c r="C2169" s="830" t="n">
        <v>2024</v>
      </c>
      <c r="D2169" s="831" t="s">
        <v>8</v>
      </c>
      <c r="E2169" s="831" t="s">
        <v>2192</v>
      </c>
      <c r="F2169" s="832" t="s">
        <v>1651</v>
      </c>
      <c r="G2169" s="833"/>
      <c r="H2169" s="834" t="n">
        <v>33.0962</v>
      </c>
      <c r="I2169" s="835"/>
      <c r="J2169" s="835"/>
      <c r="K2169" s="836" t="n">
        <f aca="false">H2169*I2169/100</f>
        <v>0</v>
      </c>
      <c r="L2169" s="837" t="n">
        <v>21423</v>
      </c>
      <c r="M2169" s="1003" t="n">
        <v>1</v>
      </c>
      <c r="N2169" s="837" t="n">
        <f aca="false">L2169*M2169</f>
        <v>21423</v>
      </c>
      <c r="O2169" s="943" t="n">
        <f aca="false">H2169*N2169</f>
        <v>709019.8926</v>
      </c>
      <c r="P2169" s="838" t="s">
        <v>2197</v>
      </c>
      <c r="Q2169" s="839" t="s">
        <v>2914</v>
      </c>
      <c r="R2169" s="944" t="n">
        <v>132384.8</v>
      </c>
      <c r="S2169" s="886" t="n">
        <f aca="false">R2169/H2169</f>
        <v>4000</v>
      </c>
      <c r="T2169" s="943" t="n">
        <f aca="false">O2169-R2169-R2173-R2174-R2170-R2171-R2172</f>
        <v>0</v>
      </c>
      <c r="U2169" s="842" t="n">
        <f aca="false">N2169-S2169-S2173-S2174-S2170-S2171-S2172</f>
        <v>0</v>
      </c>
    </row>
    <row r="2170" customFormat="false" ht="15" hidden="false" customHeight="true" outlineLevel="0" collapsed="false">
      <c r="A2170" s="882"/>
      <c r="B2170" s="830"/>
      <c r="C2170" s="830"/>
      <c r="D2170" s="848" t="s">
        <v>8</v>
      </c>
      <c r="E2170" s="848" t="s">
        <v>2192</v>
      </c>
      <c r="F2170" s="832"/>
      <c r="G2170" s="833"/>
      <c r="H2170" s="834"/>
      <c r="I2170" s="835"/>
      <c r="J2170" s="835"/>
      <c r="K2170" s="836"/>
      <c r="L2170" s="837"/>
      <c r="M2170" s="1003"/>
      <c r="N2170" s="837"/>
      <c r="O2170" s="943"/>
      <c r="P2170" s="856" t="s">
        <v>2197</v>
      </c>
      <c r="Q2170" s="857" t="s">
        <v>2213</v>
      </c>
      <c r="R2170" s="952" t="n">
        <v>19857.72</v>
      </c>
      <c r="S2170" s="866" t="n">
        <f aca="false">R2170/H2169</f>
        <v>600</v>
      </c>
      <c r="T2170" s="943"/>
      <c r="U2170" s="842"/>
    </row>
    <row r="2171" customFormat="false" ht="15" hidden="false" customHeight="true" outlineLevel="0" collapsed="false">
      <c r="A2171" s="882"/>
      <c r="B2171" s="830"/>
      <c r="C2171" s="830"/>
      <c r="D2171" s="848" t="s">
        <v>8</v>
      </c>
      <c r="E2171" s="848" t="s">
        <v>2192</v>
      </c>
      <c r="F2171" s="832"/>
      <c r="G2171" s="833"/>
      <c r="H2171" s="834"/>
      <c r="I2171" s="835"/>
      <c r="J2171" s="835"/>
      <c r="K2171" s="836"/>
      <c r="L2171" s="837"/>
      <c r="M2171" s="1003"/>
      <c r="N2171" s="837"/>
      <c r="O2171" s="943"/>
      <c r="P2171" s="856" t="s">
        <v>2197</v>
      </c>
      <c r="Q2171" s="857" t="s">
        <v>3084</v>
      </c>
      <c r="R2171" s="952" t="n">
        <v>5295.392</v>
      </c>
      <c r="S2171" s="866" t="n">
        <f aca="false">R2171/H2169</f>
        <v>160</v>
      </c>
      <c r="T2171" s="943"/>
      <c r="U2171" s="842"/>
    </row>
    <row r="2172" customFormat="false" ht="15" hidden="false" customHeight="true" outlineLevel="0" collapsed="false">
      <c r="A2172" s="882"/>
      <c r="B2172" s="830"/>
      <c r="C2172" s="830"/>
      <c r="D2172" s="848" t="s">
        <v>8</v>
      </c>
      <c r="E2172" s="848" t="s">
        <v>2192</v>
      </c>
      <c r="F2172" s="832"/>
      <c r="G2172" s="833"/>
      <c r="H2172" s="834"/>
      <c r="I2172" s="835"/>
      <c r="J2172" s="835"/>
      <c r="K2172" s="836"/>
      <c r="L2172" s="837"/>
      <c r="M2172" s="1003"/>
      <c r="N2172" s="837"/>
      <c r="O2172" s="943"/>
      <c r="P2172" s="856" t="s">
        <v>2197</v>
      </c>
      <c r="Q2172" s="857" t="s">
        <v>3085</v>
      </c>
      <c r="R2172" s="952" t="n">
        <v>88135.1806</v>
      </c>
      <c r="S2172" s="866" t="n">
        <f aca="false">R2172/H2169</f>
        <v>2663</v>
      </c>
      <c r="T2172" s="943"/>
      <c r="U2172" s="842"/>
    </row>
    <row r="2173" customFormat="false" ht="15" hidden="false" customHeight="true" outlineLevel="0" collapsed="false">
      <c r="A2173" s="882"/>
      <c r="B2173" s="830"/>
      <c r="C2173" s="830"/>
      <c r="D2173" s="860" t="s">
        <v>8</v>
      </c>
      <c r="E2173" s="860" t="s">
        <v>2192</v>
      </c>
      <c r="F2173" s="832"/>
      <c r="G2173" s="833"/>
      <c r="H2173" s="834"/>
      <c r="I2173" s="835"/>
      <c r="J2173" s="835"/>
      <c r="K2173" s="836"/>
      <c r="L2173" s="837"/>
      <c r="M2173" s="1003"/>
      <c r="N2173" s="837"/>
      <c r="O2173" s="943"/>
      <c r="P2173" s="868" t="s">
        <v>2197</v>
      </c>
      <c r="Q2173" s="869" t="s">
        <v>2590</v>
      </c>
      <c r="R2173" s="1448" t="n">
        <v>330962</v>
      </c>
      <c r="S2173" s="877" t="n">
        <f aca="false">R2173/H2169</f>
        <v>10000</v>
      </c>
      <c r="T2173" s="943"/>
      <c r="U2173" s="842"/>
    </row>
    <row r="2174" customFormat="false" ht="15" hidden="false" customHeight="true" outlineLevel="0" collapsed="false">
      <c r="A2174" s="882"/>
      <c r="B2174" s="830"/>
      <c r="C2174" s="830"/>
      <c r="D2174" s="843" t="s">
        <v>8</v>
      </c>
      <c r="E2174" s="843" t="s">
        <v>2192</v>
      </c>
      <c r="F2174" s="832"/>
      <c r="G2174" s="833"/>
      <c r="H2174" s="834"/>
      <c r="I2174" s="835"/>
      <c r="J2174" s="835"/>
      <c r="K2174" s="836"/>
      <c r="L2174" s="837"/>
      <c r="M2174" s="1003"/>
      <c r="N2174" s="837"/>
      <c r="O2174" s="943"/>
      <c r="P2174" s="844" t="s">
        <v>2197</v>
      </c>
      <c r="Q2174" s="845" t="s">
        <v>2591</v>
      </c>
      <c r="R2174" s="1350" t="n">
        <v>132384.8</v>
      </c>
      <c r="S2174" s="846" t="n">
        <f aca="false">R2174/H2169</f>
        <v>4000</v>
      </c>
      <c r="T2174" s="943"/>
      <c r="U2174" s="842"/>
    </row>
    <row r="2175" customFormat="false" ht="15" hidden="false" customHeight="true" outlineLevel="0" collapsed="false">
      <c r="A2175" s="1533" t="n">
        <v>27</v>
      </c>
      <c r="B2175" s="829" t="s">
        <v>86</v>
      </c>
      <c r="C2175" s="830" t="n">
        <v>2024</v>
      </c>
      <c r="D2175" s="831" t="s">
        <v>8</v>
      </c>
      <c r="E2175" s="831" t="s">
        <v>2192</v>
      </c>
      <c r="F2175" s="832" t="s">
        <v>1650</v>
      </c>
      <c r="G2175" s="833"/>
      <c r="H2175" s="834" t="n">
        <v>94</v>
      </c>
      <c r="I2175" s="835"/>
      <c r="J2175" s="835"/>
      <c r="K2175" s="836" t="n">
        <f aca="false">H2175*I2175/100</f>
        <v>0</v>
      </c>
      <c r="L2175" s="837" t="n">
        <v>7178</v>
      </c>
      <c r="M2175" s="1003" t="n">
        <v>1</v>
      </c>
      <c r="N2175" s="837" t="n">
        <f aca="false">L2175*M2175</f>
        <v>7178</v>
      </c>
      <c r="O2175" s="1120" t="n">
        <f aca="false">H2175*N2175</f>
        <v>674732</v>
      </c>
      <c r="P2175" s="884" t="s">
        <v>2193</v>
      </c>
      <c r="Q2175" s="885" t="s">
        <v>2393</v>
      </c>
      <c r="R2175" s="1446" t="n">
        <v>439732</v>
      </c>
      <c r="S2175" s="886" t="n">
        <f aca="false">R2175/H2175</f>
        <v>4678</v>
      </c>
      <c r="T2175" s="1120" t="n">
        <f aca="false">O2175-R2175-R2178-R2176-R2177</f>
        <v>0</v>
      </c>
      <c r="U2175" s="842" t="n">
        <f aca="false">N2175-S2175-S2178-S2176-S2177</f>
        <v>0</v>
      </c>
    </row>
    <row r="2176" customFormat="false" ht="15" hidden="false" customHeight="true" outlineLevel="0" collapsed="false">
      <c r="A2176" s="1533"/>
      <c r="B2176" s="829"/>
      <c r="C2176" s="830"/>
      <c r="D2176" s="860" t="s">
        <v>8</v>
      </c>
      <c r="E2176" s="860" t="s">
        <v>2192</v>
      </c>
      <c r="F2176" s="832"/>
      <c r="G2176" s="833"/>
      <c r="H2176" s="834"/>
      <c r="I2176" s="835"/>
      <c r="J2176" s="835"/>
      <c r="K2176" s="836"/>
      <c r="L2176" s="837"/>
      <c r="M2176" s="1003"/>
      <c r="N2176" s="837"/>
      <c r="O2176" s="1120"/>
      <c r="P2176" s="868" t="s">
        <v>2197</v>
      </c>
      <c r="Q2176" s="869" t="s">
        <v>3160</v>
      </c>
      <c r="R2176" s="1448" t="n">
        <v>75670</v>
      </c>
      <c r="S2176" s="866" t="n">
        <f aca="false">R2176/H2175</f>
        <v>805</v>
      </c>
      <c r="T2176" s="1120"/>
      <c r="U2176" s="842"/>
    </row>
    <row r="2177" customFormat="false" ht="15" hidden="false" customHeight="true" outlineLevel="0" collapsed="false">
      <c r="A2177" s="1533"/>
      <c r="B2177" s="829"/>
      <c r="C2177" s="830"/>
      <c r="D2177" s="860" t="s">
        <v>8</v>
      </c>
      <c r="E2177" s="860" t="s">
        <v>2192</v>
      </c>
      <c r="F2177" s="832"/>
      <c r="G2177" s="833"/>
      <c r="H2177" s="834"/>
      <c r="I2177" s="835"/>
      <c r="J2177" s="835"/>
      <c r="K2177" s="836"/>
      <c r="L2177" s="837"/>
      <c r="M2177" s="1003"/>
      <c r="N2177" s="837"/>
      <c r="O2177" s="1120"/>
      <c r="P2177" s="868" t="s">
        <v>2197</v>
      </c>
      <c r="Q2177" s="869" t="s">
        <v>3161</v>
      </c>
      <c r="R2177" s="1448" t="n">
        <v>47752</v>
      </c>
      <c r="S2177" s="866" t="n">
        <f aca="false">R2177/H2175</f>
        <v>508</v>
      </c>
      <c r="T2177" s="1120"/>
      <c r="U2177" s="842"/>
    </row>
    <row r="2178" customFormat="false" ht="15" hidden="false" customHeight="true" outlineLevel="0" collapsed="false">
      <c r="A2178" s="1533"/>
      <c r="B2178" s="829"/>
      <c r="C2178" s="830"/>
      <c r="D2178" s="887" t="s">
        <v>8</v>
      </c>
      <c r="E2178" s="887" t="s">
        <v>2192</v>
      </c>
      <c r="F2178" s="832"/>
      <c r="G2178" s="833"/>
      <c r="H2178" s="834"/>
      <c r="I2178" s="835"/>
      <c r="J2178" s="835"/>
      <c r="K2178" s="836"/>
      <c r="L2178" s="837"/>
      <c r="M2178" s="1003"/>
      <c r="N2178" s="837"/>
      <c r="O2178" s="1120"/>
      <c r="P2178" s="888" t="s">
        <v>2255</v>
      </c>
      <c r="Q2178" s="889" t="s">
        <v>3148</v>
      </c>
      <c r="R2178" s="945" t="n">
        <v>111578</v>
      </c>
      <c r="S2178" s="890" t="n">
        <f aca="false">R2178/H2175</f>
        <v>1187</v>
      </c>
      <c r="T2178" s="1120"/>
      <c r="U2178" s="842"/>
    </row>
    <row r="2179" customFormat="false" ht="15" hidden="false" customHeight="true" outlineLevel="0" collapsed="false">
      <c r="A2179" s="1533"/>
      <c r="B2179" s="903" t="s">
        <v>86</v>
      </c>
      <c r="C2179" s="903" t="n">
        <v>2024</v>
      </c>
      <c r="D2179" s="904" t="s">
        <v>8</v>
      </c>
      <c r="E2179" s="904" t="s">
        <v>2242</v>
      </c>
      <c r="F2179" s="904"/>
      <c r="G2179" s="905"/>
      <c r="H2179" s="946" t="n">
        <v>20</v>
      </c>
      <c r="I2179" s="947"/>
      <c r="J2179" s="947"/>
      <c r="K2179" s="939" t="n">
        <f aca="false">H2179*I2179/100</f>
        <v>0</v>
      </c>
      <c r="L2179" s="942" t="n">
        <v>593</v>
      </c>
      <c r="M2179" s="1023" t="n">
        <v>1</v>
      </c>
      <c r="N2179" s="942" t="n">
        <f aca="false">L2179*M2179</f>
        <v>593</v>
      </c>
      <c r="O2179" s="1551" t="n">
        <f aca="false">H2179*N2179</f>
        <v>11860</v>
      </c>
      <c r="P2179" s="910" t="s">
        <v>2232</v>
      </c>
      <c r="Q2179" s="911" t="s">
        <v>102</v>
      </c>
      <c r="R2179" s="912" t="n">
        <v>11860</v>
      </c>
      <c r="S2179" s="891" t="n">
        <f aca="false">R2179/H2179</f>
        <v>593</v>
      </c>
      <c r="T2179" s="1122" t="n">
        <f aca="false">O2179-R2179</f>
        <v>0</v>
      </c>
      <c r="U2179" s="1026" t="n">
        <f aca="false">N2179-S2179</f>
        <v>0</v>
      </c>
    </row>
    <row r="2180" customFormat="false" ht="15" hidden="false" customHeight="true" outlineLevel="0" collapsed="false">
      <c r="A2180" s="1533"/>
      <c r="B2180" s="882" t="s">
        <v>86</v>
      </c>
      <c r="C2180" s="883" t="n">
        <v>2024</v>
      </c>
      <c r="D2180" s="831" t="s">
        <v>8</v>
      </c>
      <c r="E2180" s="831" t="s">
        <v>2203</v>
      </c>
      <c r="F2180" s="883"/>
      <c r="G2180" s="833"/>
      <c r="H2180" s="1059" t="n">
        <v>17.2</v>
      </c>
      <c r="I2180" s="835"/>
      <c r="J2180" s="835"/>
      <c r="K2180" s="836" t="n">
        <f aca="false">H2180*I2180/100</f>
        <v>0</v>
      </c>
      <c r="L2180" s="837" t="n">
        <v>2010</v>
      </c>
      <c r="M2180" s="1003" t="n">
        <v>1</v>
      </c>
      <c r="N2180" s="837" t="n">
        <f aca="false">L2180*M2180</f>
        <v>2010</v>
      </c>
      <c r="O2180" s="1120" t="n">
        <f aca="false">H2180*N2180</f>
        <v>34572</v>
      </c>
      <c r="P2180" s="838" t="s">
        <v>2197</v>
      </c>
      <c r="Q2180" s="839" t="s">
        <v>3161</v>
      </c>
      <c r="R2180" s="944" t="n">
        <v>2752</v>
      </c>
      <c r="S2180" s="886" t="n">
        <f aca="false">R2180/H2180</f>
        <v>160</v>
      </c>
      <c r="T2180" s="1120" t="n">
        <f aca="false">O2180-R2180-R2182-R2181</f>
        <v>0</v>
      </c>
      <c r="U2180" s="842" t="n">
        <f aca="false">N2180-S2180-S2182-S2181</f>
        <v>0</v>
      </c>
    </row>
    <row r="2181" customFormat="false" ht="15" hidden="false" customHeight="true" outlineLevel="0" collapsed="false">
      <c r="A2181" s="1533"/>
      <c r="B2181" s="882"/>
      <c r="C2181" s="883"/>
      <c r="D2181" s="904" t="s">
        <v>8</v>
      </c>
      <c r="E2181" s="904" t="s">
        <v>2203</v>
      </c>
      <c r="F2181" s="883"/>
      <c r="G2181" s="833"/>
      <c r="H2181" s="1059"/>
      <c r="I2181" s="835"/>
      <c r="J2181" s="835"/>
      <c r="K2181" s="836"/>
      <c r="L2181" s="837"/>
      <c r="M2181" s="1003"/>
      <c r="N2181" s="837"/>
      <c r="O2181" s="1120"/>
      <c r="P2181" s="910" t="s">
        <v>2232</v>
      </c>
      <c r="Q2181" s="911" t="s">
        <v>2833</v>
      </c>
      <c r="R2181" s="912" t="n">
        <v>14620</v>
      </c>
      <c r="S2181" s="866" t="n">
        <f aca="false">R2181/H2180</f>
        <v>850</v>
      </c>
      <c r="T2181" s="1120"/>
      <c r="U2181" s="842"/>
    </row>
    <row r="2182" customFormat="false" ht="15" hidden="false" customHeight="true" outlineLevel="0" collapsed="false">
      <c r="A2182" s="1533"/>
      <c r="B2182" s="882"/>
      <c r="C2182" s="883"/>
      <c r="D2182" s="843" t="s">
        <v>8</v>
      </c>
      <c r="E2182" s="843" t="s">
        <v>2203</v>
      </c>
      <c r="F2182" s="883"/>
      <c r="G2182" s="833"/>
      <c r="H2182" s="1059"/>
      <c r="I2182" s="835"/>
      <c r="J2182" s="835"/>
      <c r="K2182" s="836"/>
      <c r="L2182" s="837"/>
      <c r="M2182" s="1003"/>
      <c r="N2182" s="837"/>
      <c r="O2182" s="1120"/>
      <c r="P2182" s="844" t="s">
        <v>2232</v>
      </c>
      <c r="Q2182" s="845" t="s">
        <v>2433</v>
      </c>
      <c r="R2182" s="1350" t="n">
        <v>17200</v>
      </c>
      <c r="S2182" s="846" t="n">
        <f aca="false">R2182/H2180</f>
        <v>1000</v>
      </c>
      <c r="T2182" s="1120"/>
      <c r="U2182" s="842"/>
    </row>
    <row r="2183" customFormat="false" ht="15" hidden="false" customHeight="true" outlineLevel="0" collapsed="false">
      <c r="A2183" s="1533"/>
      <c r="B2183" s="903" t="s">
        <v>86</v>
      </c>
      <c r="C2183" s="903" t="n">
        <v>2024</v>
      </c>
      <c r="D2183" s="904" t="s">
        <v>8</v>
      </c>
      <c r="E2183" s="904" t="s">
        <v>2205</v>
      </c>
      <c r="F2183" s="904"/>
      <c r="G2183" s="905"/>
      <c r="H2183" s="946" t="n">
        <v>3.6</v>
      </c>
      <c r="I2183" s="947"/>
      <c r="J2183" s="947"/>
      <c r="K2183" s="939" t="n">
        <f aca="false">H2183*I2183/100</f>
        <v>0</v>
      </c>
      <c r="L2183" s="942" t="n">
        <v>103</v>
      </c>
      <c r="M2183" s="1023" t="n">
        <v>1</v>
      </c>
      <c r="N2183" s="942" t="n">
        <f aca="false">L2183*M2183</f>
        <v>103</v>
      </c>
      <c r="O2183" s="1551" t="n">
        <f aca="false">H2183*N2183</f>
        <v>370.8</v>
      </c>
      <c r="P2183" s="910" t="s">
        <v>2204</v>
      </c>
      <c r="Q2183" s="1024" t="s">
        <v>2308</v>
      </c>
      <c r="R2183" s="1025" t="n">
        <v>370.8</v>
      </c>
      <c r="S2183" s="891" t="n">
        <f aca="false">R2183/H2183</f>
        <v>103</v>
      </c>
      <c r="T2183" s="1122" t="n">
        <f aca="false">O2183-R2183</f>
        <v>0</v>
      </c>
      <c r="U2183" s="1026" t="n">
        <f aca="false">N2183-S2183</f>
        <v>0</v>
      </c>
    </row>
    <row r="2184" customFormat="false" ht="15" hidden="false" customHeight="true" outlineLevel="0" collapsed="false">
      <c r="A2184" s="881" t="n">
        <v>29</v>
      </c>
      <c r="B2184" s="882" t="s">
        <v>86</v>
      </c>
      <c r="C2184" s="883" t="n">
        <v>2024</v>
      </c>
      <c r="D2184" s="831" t="s">
        <v>8</v>
      </c>
      <c r="E2184" s="831" t="s">
        <v>2192</v>
      </c>
      <c r="F2184" s="832" t="s">
        <v>1650</v>
      </c>
      <c r="G2184" s="1530"/>
      <c r="H2184" s="834" t="n">
        <v>95.1</v>
      </c>
      <c r="I2184" s="835"/>
      <c r="J2184" s="835"/>
      <c r="K2184" s="836" t="n">
        <f aca="false">H2184*I2184/100</f>
        <v>0</v>
      </c>
      <c r="L2184" s="837" t="n">
        <v>7202</v>
      </c>
      <c r="M2184" s="1003" t="n">
        <v>1</v>
      </c>
      <c r="N2184" s="837" t="n">
        <f aca="false">L2184*M2184</f>
        <v>7202</v>
      </c>
      <c r="O2184" s="1120" t="n">
        <f aca="false">H2184*N2184</f>
        <v>684910.2</v>
      </c>
      <c r="P2184" s="838" t="s">
        <v>2232</v>
      </c>
      <c r="Q2184" s="839" t="s">
        <v>2607</v>
      </c>
      <c r="R2184" s="944" t="n">
        <v>35947.8</v>
      </c>
      <c r="S2184" s="886" t="n">
        <f aca="false">R2184/H2184</f>
        <v>378</v>
      </c>
      <c r="T2184" s="1120" t="n">
        <f aca="false">O2184-R2184-R2186-R2185</f>
        <v>0</v>
      </c>
      <c r="U2184" s="842" t="n">
        <f aca="false">N2184-S2184-S2186-S2185</f>
        <v>0</v>
      </c>
    </row>
    <row r="2185" customFormat="false" ht="15" hidden="false" customHeight="true" outlineLevel="0" collapsed="false">
      <c r="A2185" s="881"/>
      <c r="B2185" s="882"/>
      <c r="C2185" s="883"/>
      <c r="D2185" s="848" t="s">
        <v>8</v>
      </c>
      <c r="E2185" s="848" t="s">
        <v>2192</v>
      </c>
      <c r="F2185" s="832"/>
      <c r="G2185" s="1774"/>
      <c r="H2185" s="834"/>
      <c r="I2185" s="835"/>
      <c r="J2185" s="835"/>
      <c r="K2185" s="836"/>
      <c r="L2185" s="837"/>
      <c r="M2185" s="1003"/>
      <c r="N2185" s="837"/>
      <c r="O2185" s="1120"/>
      <c r="P2185" s="856" t="s">
        <v>2193</v>
      </c>
      <c r="Q2185" s="857" t="s">
        <v>112</v>
      </c>
      <c r="R2185" s="952" t="n">
        <v>611207.7</v>
      </c>
      <c r="S2185" s="866" t="n">
        <f aca="false">R2185/H2184</f>
        <v>6427</v>
      </c>
      <c r="T2185" s="1120"/>
      <c r="U2185" s="842"/>
    </row>
    <row r="2186" customFormat="false" ht="15" hidden="false" customHeight="true" outlineLevel="0" collapsed="false">
      <c r="A2186" s="881"/>
      <c r="B2186" s="882"/>
      <c r="C2186" s="883"/>
      <c r="D2186" s="887" t="s">
        <v>8</v>
      </c>
      <c r="E2186" s="887" t="s">
        <v>2192</v>
      </c>
      <c r="F2186" s="832"/>
      <c r="G2186" s="1531"/>
      <c r="H2186" s="834"/>
      <c r="I2186" s="835"/>
      <c r="J2186" s="835"/>
      <c r="K2186" s="836"/>
      <c r="L2186" s="837"/>
      <c r="M2186" s="1003"/>
      <c r="N2186" s="837"/>
      <c r="O2186" s="1120"/>
      <c r="P2186" s="888" t="s">
        <v>2197</v>
      </c>
      <c r="Q2186" s="889" t="s">
        <v>3162</v>
      </c>
      <c r="R2186" s="945" t="n">
        <v>37754.7</v>
      </c>
      <c r="S2186" s="846" t="n">
        <f aca="false">R2186/H2184</f>
        <v>397</v>
      </c>
      <c r="T2186" s="1120"/>
      <c r="U2186" s="842"/>
    </row>
    <row r="2187" customFormat="false" ht="15" hidden="false" customHeight="true" outlineLevel="0" collapsed="false">
      <c r="A2187" s="881"/>
      <c r="B2187" s="847" t="s">
        <v>86</v>
      </c>
      <c r="C2187" s="847" t="n">
        <v>2024</v>
      </c>
      <c r="D2187" s="848" t="s">
        <v>8</v>
      </c>
      <c r="E2187" s="848" t="s">
        <v>2242</v>
      </c>
      <c r="F2187" s="848"/>
      <c r="G2187" s="849"/>
      <c r="H2187" s="949" t="n">
        <v>22.7</v>
      </c>
      <c r="I2187" s="950"/>
      <c r="J2187" s="950"/>
      <c r="K2187" s="852" t="n">
        <f aca="false">H2187*I2187/100</f>
        <v>0</v>
      </c>
      <c r="L2187" s="537" t="n">
        <v>594</v>
      </c>
      <c r="M2187" s="1007" t="n">
        <v>1</v>
      </c>
      <c r="N2187" s="537" t="n">
        <f aca="false">L2187*M2187</f>
        <v>594</v>
      </c>
      <c r="O2187" s="1606" t="n">
        <f aca="false">H2187*N2187</f>
        <v>13483.8</v>
      </c>
      <c r="P2187" s="856" t="s">
        <v>2232</v>
      </c>
      <c r="Q2187" s="857" t="s">
        <v>2833</v>
      </c>
      <c r="R2187" s="952" t="n">
        <v>13483.8</v>
      </c>
      <c r="S2187" s="891" t="n">
        <f aca="false">R2187/H2187</f>
        <v>594</v>
      </c>
      <c r="T2187" s="1347" t="n">
        <f aca="false">O2187-R2187</f>
        <v>0</v>
      </c>
      <c r="U2187" s="892" t="n">
        <f aca="false">N2187-S2187</f>
        <v>0</v>
      </c>
    </row>
    <row r="2188" customFormat="false" ht="15" hidden="false" customHeight="true" outlineLevel="0" collapsed="false">
      <c r="A2188" s="881"/>
      <c r="B2188" s="847" t="s">
        <v>86</v>
      </c>
      <c r="C2188" s="847" t="n">
        <v>2024</v>
      </c>
      <c r="D2188" s="860" t="s">
        <v>8</v>
      </c>
      <c r="E2188" s="860" t="s">
        <v>2203</v>
      </c>
      <c r="F2188" s="848"/>
      <c r="G2188" s="849"/>
      <c r="H2188" s="949" t="n">
        <v>13.2</v>
      </c>
      <c r="I2188" s="950"/>
      <c r="J2188" s="950"/>
      <c r="K2188" s="864" t="n">
        <f aca="false">H2188*I2188/100</f>
        <v>0</v>
      </c>
      <c r="L2188" s="537" t="n">
        <v>2174</v>
      </c>
      <c r="M2188" s="1007" t="n">
        <v>1</v>
      </c>
      <c r="N2188" s="543" t="n">
        <f aca="false">L2188*M2188</f>
        <v>2174</v>
      </c>
      <c r="O2188" s="1348" t="n">
        <f aca="false">H2188*N2188</f>
        <v>28696.8</v>
      </c>
      <c r="P2188" s="868" t="s">
        <v>2204</v>
      </c>
      <c r="Q2188" s="869" t="n">
        <v>28022025</v>
      </c>
      <c r="R2188" s="1448" t="n">
        <v>28696.8</v>
      </c>
      <c r="S2188" s="866" t="n">
        <f aca="false">R2188/H2188</f>
        <v>2174</v>
      </c>
      <c r="T2188" s="1556" t="n">
        <f aca="false">O2188-R2188</f>
        <v>0</v>
      </c>
      <c r="U2188" s="1135" t="n">
        <f aca="false">N2188-S2188</f>
        <v>0</v>
      </c>
    </row>
    <row r="2189" customFormat="false" ht="15" hidden="false" customHeight="true" outlineLevel="0" collapsed="false">
      <c r="A2189" s="881"/>
      <c r="B2189" s="1072" t="s">
        <v>86</v>
      </c>
      <c r="C2189" s="1072" t="n">
        <v>2024</v>
      </c>
      <c r="D2189" s="843" t="s">
        <v>8</v>
      </c>
      <c r="E2189" s="843" t="s">
        <v>2205</v>
      </c>
      <c r="F2189" s="887"/>
      <c r="G2189" s="1062"/>
      <c r="H2189" s="1077" t="n">
        <v>1</v>
      </c>
      <c r="I2189" s="1086"/>
      <c r="J2189" s="1086"/>
      <c r="K2189" s="897" t="n">
        <f aca="false">H2189*I2189/100</f>
        <v>0</v>
      </c>
      <c r="L2189" s="1067" t="n">
        <v>96</v>
      </c>
      <c r="M2189" s="1066" t="n">
        <v>1</v>
      </c>
      <c r="N2189" s="589" t="n">
        <f aca="false">L2189*M2189</f>
        <v>96</v>
      </c>
      <c r="O2189" s="1500" t="n">
        <f aca="false">H2189*N2189</f>
        <v>96</v>
      </c>
      <c r="P2189" s="844" t="s">
        <v>2200</v>
      </c>
      <c r="Q2189" s="845" t="s">
        <v>2886</v>
      </c>
      <c r="R2189" s="1350" t="n">
        <v>96</v>
      </c>
      <c r="S2189" s="846" t="n">
        <f aca="false">R2189/H2189</f>
        <v>96</v>
      </c>
      <c r="T2189" s="1184" t="n">
        <f aca="false">O2189-R2189</f>
        <v>0</v>
      </c>
      <c r="U2189" s="902" t="n">
        <f aca="false">N2189-S2189</f>
        <v>0</v>
      </c>
    </row>
    <row r="2190" customFormat="false" ht="15" hidden="false" customHeight="true" outlineLevel="0" collapsed="false">
      <c r="A2190" s="1081" t="n">
        <v>32</v>
      </c>
      <c r="B2190" s="1087" t="s">
        <v>86</v>
      </c>
      <c r="C2190" s="1061" t="n">
        <v>2024</v>
      </c>
      <c r="D2190" s="848" t="s">
        <v>8</v>
      </c>
      <c r="E2190" s="848" t="s">
        <v>2192</v>
      </c>
      <c r="F2190" s="887" t="s">
        <v>1650</v>
      </c>
      <c r="G2190" s="1062"/>
      <c r="H2190" s="1077" t="n">
        <v>95.4</v>
      </c>
      <c r="I2190" s="1086"/>
      <c r="J2190" s="1086"/>
      <c r="K2190" s="1064" t="n">
        <f aca="false">H2190*I2190/100</f>
        <v>0</v>
      </c>
      <c r="L2190" s="1067" t="n">
        <v>6017</v>
      </c>
      <c r="M2190" s="1066" t="n">
        <v>1</v>
      </c>
      <c r="N2190" s="1067" t="n">
        <f aca="false">L2190*M2190</f>
        <v>6017</v>
      </c>
      <c r="O2190" s="1345" t="n">
        <f aca="false">H2190*N2190</f>
        <v>574021.8</v>
      </c>
      <c r="P2190" s="856" t="s">
        <v>2193</v>
      </c>
      <c r="Q2190" s="857" t="s">
        <v>112</v>
      </c>
      <c r="R2190" s="952" t="n">
        <v>477381.6</v>
      </c>
      <c r="S2190" s="891" t="n">
        <f aca="false">R2190/H2190</f>
        <v>5004</v>
      </c>
      <c r="T2190" s="1345" t="n">
        <f aca="false">O2190-R2190-R2191</f>
        <v>0</v>
      </c>
      <c r="U2190" s="1070" t="n">
        <f aca="false">N2190-S2190-S2191</f>
        <v>1.02318153949454E-012</v>
      </c>
    </row>
    <row r="2191" customFormat="false" ht="15" hidden="false" customHeight="true" outlineLevel="0" collapsed="false">
      <c r="A2191" s="1081"/>
      <c r="B2191" s="1087"/>
      <c r="C2191" s="1061"/>
      <c r="D2191" s="887" t="s">
        <v>8</v>
      </c>
      <c r="E2191" s="887" t="s">
        <v>2192</v>
      </c>
      <c r="F2191" s="887"/>
      <c r="G2191" s="1062"/>
      <c r="H2191" s="1077"/>
      <c r="I2191" s="1086"/>
      <c r="J2191" s="1086"/>
      <c r="K2191" s="1064"/>
      <c r="L2191" s="1067"/>
      <c r="M2191" s="1066"/>
      <c r="N2191" s="1067"/>
      <c r="O2191" s="1345"/>
      <c r="P2191" s="888" t="s">
        <v>2255</v>
      </c>
      <c r="Q2191" s="889" t="s">
        <v>3148</v>
      </c>
      <c r="R2191" s="945" t="n">
        <v>96640.2</v>
      </c>
      <c r="S2191" s="846" t="n">
        <f aca="false">R2191/H2190</f>
        <v>1013</v>
      </c>
      <c r="T2191" s="1345"/>
      <c r="U2191" s="1070"/>
    </row>
    <row r="2192" customFormat="false" ht="15" hidden="false" customHeight="true" outlineLevel="0" collapsed="false">
      <c r="A2192" s="1081"/>
      <c r="B2192" s="847" t="s">
        <v>86</v>
      </c>
      <c r="C2192" s="847" t="n">
        <v>2024</v>
      </c>
      <c r="D2192" s="848" t="s">
        <v>8</v>
      </c>
      <c r="E2192" s="848" t="s">
        <v>2242</v>
      </c>
      <c r="F2192" s="848"/>
      <c r="G2192" s="849"/>
      <c r="H2192" s="949" t="n">
        <v>37.5</v>
      </c>
      <c r="I2192" s="950"/>
      <c r="J2192" s="950"/>
      <c r="K2192" s="852" t="n">
        <f aca="false">H2192*I2192/100</f>
        <v>0</v>
      </c>
      <c r="L2192" s="537" t="n">
        <v>701</v>
      </c>
      <c r="M2192" s="1007" t="n">
        <v>1</v>
      </c>
      <c r="N2192" s="537" t="n">
        <f aca="false">L2192*M2192</f>
        <v>701</v>
      </c>
      <c r="O2192" s="1606" t="n">
        <f aca="false">H2192*N2192</f>
        <v>26287.5</v>
      </c>
      <c r="P2192" s="856" t="s">
        <v>2232</v>
      </c>
      <c r="Q2192" s="857" t="s">
        <v>2833</v>
      </c>
      <c r="R2192" s="952" t="n">
        <v>26287.5</v>
      </c>
      <c r="S2192" s="891" t="n">
        <f aca="false">R2192/H2192</f>
        <v>701</v>
      </c>
      <c r="T2192" s="1347" t="n">
        <f aca="false">O2192-R2192</f>
        <v>0</v>
      </c>
      <c r="U2192" s="892" t="n">
        <f aca="false">N2192-S2192</f>
        <v>0</v>
      </c>
    </row>
    <row r="2193" customFormat="false" ht="15" hidden="false" customHeight="true" outlineLevel="0" collapsed="false">
      <c r="A2193" s="1081"/>
      <c r="B2193" s="847" t="s">
        <v>86</v>
      </c>
      <c r="C2193" s="847" t="n">
        <v>2024</v>
      </c>
      <c r="D2193" s="860" t="s">
        <v>8</v>
      </c>
      <c r="E2193" s="860" t="s">
        <v>2203</v>
      </c>
      <c r="F2193" s="848"/>
      <c r="G2193" s="849"/>
      <c r="H2193" s="949" t="n">
        <v>20.9</v>
      </c>
      <c r="I2193" s="950"/>
      <c r="J2193" s="950"/>
      <c r="K2193" s="864" t="n">
        <f aca="false">H2193*I2193/100</f>
        <v>0</v>
      </c>
      <c r="L2193" s="537" t="n">
        <v>1970</v>
      </c>
      <c r="M2193" s="1007" t="n">
        <v>1</v>
      </c>
      <c r="N2193" s="543" t="n">
        <f aca="false">L2193*M2193</f>
        <v>1970</v>
      </c>
      <c r="O2193" s="1348" t="n">
        <f aca="false">H2193*N2193</f>
        <v>41173</v>
      </c>
      <c r="P2193" s="868" t="s">
        <v>2200</v>
      </c>
      <c r="Q2193" s="869" t="s">
        <v>2886</v>
      </c>
      <c r="R2193" s="1448" t="n">
        <v>41173</v>
      </c>
      <c r="S2193" s="877" t="n">
        <f aca="false">R2193/H2193</f>
        <v>1970</v>
      </c>
      <c r="T2193" s="1556" t="n">
        <f aca="false">O2193-R2193</f>
        <v>0</v>
      </c>
      <c r="U2193" s="1135" t="n">
        <f aca="false">N2193-S2193</f>
        <v>0</v>
      </c>
    </row>
    <row r="2194" customFormat="false" ht="15" hidden="false" customHeight="true" outlineLevel="0" collapsed="false">
      <c r="A2194" s="1081"/>
      <c r="B2194" s="1072" t="s">
        <v>86</v>
      </c>
      <c r="C2194" s="1072" t="n">
        <v>2024</v>
      </c>
      <c r="D2194" s="843" t="s">
        <v>8</v>
      </c>
      <c r="E2194" s="843" t="s">
        <v>2205</v>
      </c>
      <c r="F2194" s="887"/>
      <c r="G2194" s="1062"/>
      <c r="H2194" s="1077" t="n">
        <v>0</v>
      </c>
      <c r="I2194" s="1086"/>
      <c r="J2194" s="1086"/>
      <c r="K2194" s="897" t="n">
        <f aca="false">H2194*I2194/100</f>
        <v>0</v>
      </c>
      <c r="L2194" s="1067" t="n">
        <v>95</v>
      </c>
      <c r="M2194" s="1066" t="n">
        <v>1</v>
      </c>
      <c r="N2194" s="589" t="n">
        <f aca="false">L2194*M2194</f>
        <v>95</v>
      </c>
      <c r="O2194" s="1500" t="n">
        <f aca="false">H2194*N2194</f>
        <v>0</v>
      </c>
      <c r="P2194" s="844" t="s">
        <v>2204</v>
      </c>
      <c r="Q2194" s="900" t="s">
        <v>2206</v>
      </c>
      <c r="R2194" s="901" t="n">
        <v>0</v>
      </c>
      <c r="S2194" s="846" t="n">
        <v>95</v>
      </c>
      <c r="T2194" s="1184" t="n">
        <f aca="false">O2194-R2194</f>
        <v>0</v>
      </c>
      <c r="U2194" s="902" t="n">
        <f aca="false">N2194-S2194</f>
        <v>0</v>
      </c>
    </row>
    <row r="2195" customFormat="false" ht="15" hidden="false" customHeight="true" outlineLevel="0" collapsed="false">
      <c r="A2195" s="903" t="n">
        <v>26</v>
      </c>
      <c r="B2195" s="903" t="s">
        <v>2207</v>
      </c>
      <c r="C2195" s="903" t="n">
        <v>2024</v>
      </c>
      <c r="D2195" s="904" t="s">
        <v>8</v>
      </c>
      <c r="E2195" s="904" t="s">
        <v>2192</v>
      </c>
      <c r="F2195" s="904" t="s">
        <v>1651</v>
      </c>
      <c r="G2195" s="905"/>
      <c r="H2195" s="946" t="n">
        <v>31.3567</v>
      </c>
      <c r="I2195" s="947"/>
      <c r="J2195" s="947"/>
      <c r="K2195" s="939" t="n">
        <f aca="false">H2195*I2195/100</f>
        <v>0</v>
      </c>
      <c r="L2195" s="942" t="n">
        <v>11940</v>
      </c>
      <c r="M2195" s="1023" t="n">
        <v>1</v>
      </c>
      <c r="N2195" s="942" t="n">
        <f aca="false">L2195*M2195</f>
        <v>11940</v>
      </c>
      <c r="O2195" s="1535" t="n">
        <f aca="false">H2195*N2195</f>
        <v>374398.998</v>
      </c>
      <c r="P2195" s="910" t="s">
        <v>2193</v>
      </c>
      <c r="Q2195" s="911" t="s">
        <v>3153</v>
      </c>
      <c r="R2195" s="1538" t="n">
        <v>374398.998</v>
      </c>
      <c r="S2195" s="891" t="n">
        <f aca="false">R2195/H2195</f>
        <v>11940</v>
      </c>
      <c r="T2195" s="1122" t="n">
        <f aca="false">O2195-R2195</f>
        <v>0</v>
      </c>
      <c r="U2195" s="942" t="n">
        <f aca="false">N2195-S2195</f>
        <v>0</v>
      </c>
    </row>
    <row r="2196" customFormat="false" ht="15" hidden="false" customHeight="true" outlineLevel="0" collapsed="false">
      <c r="A2196" s="882" t="s">
        <v>3163</v>
      </c>
      <c r="B2196" s="883" t="s">
        <v>2207</v>
      </c>
      <c r="C2196" s="883" t="n">
        <v>2024</v>
      </c>
      <c r="D2196" s="831" t="s">
        <v>8</v>
      </c>
      <c r="E2196" s="831" t="s">
        <v>2192</v>
      </c>
      <c r="F2196" s="832" t="s">
        <v>1651</v>
      </c>
      <c r="G2196" s="833"/>
      <c r="H2196" s="834" t="n">
        <v>31.317</v>
      </c>
      <c r="I2196" s="835"/>
      <c r="J2196" s="835"/>
      <c r="K2196" s="836" t="n">
        <f aca="false">H2196*I2196/100</f>
        <v>0</v>
      </c>
      <c r="L2196" s="837" t="n">
        <v>12300</v>
      </c>
      <c r="M2196" s="1003" t="n">
        <v>1</v>
      </c>
      <c r="N2196" s="837" t="n">
        <f aca="false">L2196*M2196</f>
        <v>12300</v>
      </c>
      <c r="O2196" s="943" t="n">
        <f aca="false">H2196*N2196</f>
        <v>385199.1</v>
      </c>
      <c r="P2196" s="838" t="s">
        <v>2197</v>
      </c>
      <c r="Q2196" s="839" t="s">
        <v>3164</v>
      </c>
      <c r="R2196" s="1537" t="n">
        <v>136228.95</v>
      </c>
      <c r="S2196" s="886" t="n">
        <f aca="false">R2196/H2196</f>
        <v>4350</v>
      </c>
      <c r="T2196" s="1405" t="n">
        <f aca="false">O2196-R2196-R2198-R2197</f>
        <v>0</v>
      </c>
      <c r="U2196" s="842" t="n">
        <f aca="false">N2196-S2196-S2198-S2197</f>
        <v>0</v>
      </c>
    </row>
    <row r="2197" customFormat="false" ht="15" hidden="false" customHeight="true" outlineLevel="0" collapsed="false">
      <c r="A2197" s="882"/>
      <c r="B2197" s="883"/>
      <c r="C2197" s="883"/>
      <c r="D2197" s="860" t="s">
        <v>8</v>
      </c>
      <c r="E2197" s="860" t="s">
        <v>2192</v>
      </c>
      <c r="F2197" s="832"/>
      <c r="G2197" s="833"/>
      <c r="H2197" s="834"/>
      <c r="I2197" s="835"/>
      <c r="J2197" s="835"/>
      <c r="K2197" s="836"/>
      <c r="L2197" s="837"/>
      <c r="M2197" s="1003"/>
      <c r="N2197" s="837"/>
      <c r="O2197" s="943"/>
      <c r="P2197" s="868" t="s">
        <v>2197</v>
      </c>
      <c r="Q2197" s="869" t="s">
        <v>3165</v>
      </c>
      <c r="R2197" s="1448" t="n">
        <v>223603.38</v>
      </c>
      <c r="S2197" s="877" t="n">
        <f aca="false">R2197/H2196</f>
        <v>7140</v>
      </c>
      <c r="T2197" s="1405"/>
      <c r="U2197" s="842"/>
    </row>
    <row r="2198" customFormat="false" ht="15" hidden="false" customHeight="true" outlineLevel="0" collapsed="false">
      <c r="A2198" s="882"/>
      <c r="B2198" s="883"/>
      <c r="C2198" s="883"/>
      <c r="D2198" s="843" t="s">
        <v>8</v>
      </c>
      <c r="E2198" s="843" t="s">
        <v>2192</v>
      </c>
      <c r="F2198" s="832"/>
      <c r="G2198" s="833"/>
      <c r="H2198" s="834"/>
      <c r="I2198" s="835"/>
      <c r="J2198" s="835"/>
      <c r="K2198" s="836"/>
      <c r="L2198" s="837"/>
      <c r="M2198" s="1003"/>
      <c r="N2198" s="837"/>
      <c r="O2198" s="943"/>
      <c r="P2198" s="844" t="s">
        <v>2197</v>
      </c>
      <c r="Q2198" s="845" t="s">
        <v>2861</v>
      </c>
      <c r="R2198" s="1350" t="n">
        <v>25366.77</v>
      </c>
      <c r="S2198" s="846" t="n">
        <f aca="false">R2198/H2196</f>
        <v>810</v>
      </c>
      <c r="T2198" s="1405"/>
      <c r="U2198" s="842"/>
    </row>
    <row r="2199" customFormat="false" ht="15" hidden="false" customHeight="true" outlineLevel="0" collapsed="false">
      <c r="A2199" s="847" t="n">
        <v>7</v>
      </c>
      <c r="B2199" s="847" t="s">
        <v>2230</v>
      </c>
      <c r="C2199" s="847" t="n">
        <v>2024</v>
      </c>
      <c r="D2199" s="848" t="s">
        <v>8</v>
      </c>
      <c r="E2199" s="848" t="s">
        <v>2192</v>
      </c>
      <c r="F2199" s="848" t="s">
        <v>1650</v>
      </c>
      <c r="G2199" s="849"/>
      <c r="H2199" s="949" t="n">
        <v>89.32</v>
      </c>
      <c r="I2199" s="950"/>
      <c r="J2199" s="950"/>
      <c r="K2199" s="852" t="n">
        <f aca="false">H2199*I2199/100</f>
        <v>0</v>
      </c>
      <c r="L2199" s="537" t="n">
        <v>420</v>
      </c>
      <c r="M2199" s="1007" t="n">
        <v>1</v>
      </c>
      <c r="N2199" s="537" t="n">
        <f aca="false">L2199*M2199</f>
        <v>420</v>
      </c>
      <c r="O2199" s="953" t="n">
        <f aca="false">H2199*N2199</f>
        <v>37514.4</v>
      </c>
      <c r="P2199" s="856" t="s">
        <v>2197</v>
      </c>
      <c r="Q2199" s="857" t="s">
        <v>3166</v>
      </c>
      <c r="R2199" s="952" t="n">
        <v>37514.4</v>
      </c>
      <c r="S2199" s="877" t="n">
        <f aca="false">R2199/H2199</f>
        <v>420</v>
      </c>
      <c r="T2199" s="537" t="n">
        <f aca="false">O2199-R2199</f>
        <v>0</v>
      </c>
      <c r="U2199" s="537" t="n">
        <f aca="false">N2199-S2199</f>
        <v>0</v>
      </c>
    </row>
    <row r="2200" customFormat="false" ht="15" hidden="false" customHeight="true" outlineLevel="0" collapsed="false">
      <c r="A2200" s="847" t="n">
        <v>39</v>
      </c>
      <c r="B2200" s="847" t="s">
        <v>81</v>
      </c>
      <c r="C2200" s="847" t="n">
        <v>2024</v>
      </c>
      <c r="D2200" s="848" t="s">
        <v>8</v>
      </c>
      <c r="E2200" s="848" t="s">
        <v>2192</v>
      </c>
      <c r="F2200" s="848" t="s">
        <v>2199</v>
      </c>
      <c r="G2200" s="849"/>
      <c r="H2200" s="949" t="n">
        <v>84.1</v>
      </c>
      <c r="I2200" s="950"/>
      <c r="J2200" s="950"/>
      <c r="K2200" s="852" t="n">
        <f aca="false">H2200*I2200/100</f>
        <v>0</v>
      </c>
      <c r="L2200" s="537" t="n">
        <v>3687</v>
      </c>
      <c r="M2200" s="1007" t="n">
        <v>1</v>
      </c>
      <c r="N2200" s="537" t="n">
        <f aca="false">L2200*M2200</f>
        <v>3687</v>
      </c>
      <c r="O2200" s="953" t="n">
        <f aca="false">H2200*N2200</f>
        <v>310076.7</v>
      </c>
      <c r="P2200" s="856" t="s">
        <v>2255</v>
      </c>
      <c r="Q2200" s="857" t="s">
        <v>2610</v>
      </c>
      <c r="R2200" s="952" t="n">
        <v>310076.7</v>
      </c>
      <c r="S2200" s="877" t="n">
        <f aca="false">R2200/H2200</f>
        <v>3687</v>
      </c>
      <c r="T2200" s="858" t="n">
        <f aca="false">O2200-R2200</f>
        <v>0</v>
      </c>
      <c r="U2200" s="537" t="n">
        <f aca="false">N2200-S2200</f>
        <v>0</v>
      </c>
    </row>
    <row r="2201" customFormat="false" ht="15" hidden="false" customHeight="true" outlineLevel="0" collapsed="false">
      <c r="A2201" s="903" t="n">
        <v>45</v>
      </c>
      <c r="B2201" s="903" t="s">
        <v>2207</v>
      </c>
      <c r="C2201" s="903" t="n">
        <v>2024</v>
      </c>
      <c r="D2201" s="904" t="s">
        <v>8</v>
      </c>
      <c r="E2201" s="904" t="s">
        <v>2192</v>
      </c>
      <c r="F2201" s="904" t="s">
        <v>1651</v>
      </c>
      <c r="G2201" s="905"/>
      <c r="H2201" s="946" t="n">
        <v>30.14</v>
      </c>
      <c r="I2201" s="947"/>
      <c r="J2201" s="947"/>
      <c r="K2201" s="939" t="n">
        <f aca="false">H2201*I2201/100</f>
        <v>0</v>
      </c>
      <c r="L2201" s="942" t="n">
        <v>6211</v>
      </c>
      <c r="M2201" s="1023" t="n">
        <v>1</v>
      </c>
      <c r="N2201" s="942" t="n">
        <f aca="false">L2201*M2201</f>
        <v>6211</v>
      </c>
      <c r="O2201" s="948" t="n">
        <f aca="false">H2201*N2201</f>
        <v>187199.54</v>
      </c>
      <c r="P2201" s="910" t="s">
        <v>2197</v>
      </c>
      <c r="Q2201" s="911" t="s">
        <v>3167</v>
      </c>
      <c r="R2201" s="912" t="n">
        <v>187199.54</v>
      </c>
      <c r="S2201" s="877" t="n">
        <f aca="false">R2201/H2201</f>
        <v>6211</v>
      </c>
      <c r="T2201" s="1122" t="n">
        <f aca="false">O2201-R2201</f>
        <v>0</v>
      </c>
      <c r="U2201" s="942" t="n">
        <f aca="false">N2201-S2201</f>
        <v>0</v>
      </c>
    </row>
    <row r="2202" customFormat="false" ht="15" hidden="false" customHeight="true" outlineLevel="0" collapsed="false">
      <c r="A2202" s="829" t="n">
        <v>46</v>
      </c>
      <c r="B2202" s="830" t="s">
        <v>2207</v>
      </c>
      <c r="C2202" s="830" t="n">
        <v>2024</v>
      </c>
      <c r="D2202" s="831" t="s">
        <v>8</v>
      </c>
      <c r="E2202" s="831" t="s">
        <v>2192</v>
      </c>
      <c r="F2202" s="832" t="s">
        <v>1652</v>
      </c>
      <c r="G2202" s="833"/>
      <c r="H2202" s="834" t="n">
        <v>39.7058</v>
      </c>
      <c r="I2202" s="835"/>
      <c r="J2202" s="835"/>
      <c r="K2202" s="836" t="n">
        <f aca="false">H2202*I2202/100</f>
        <v>0</v>
      </c>
      <c r="L2202" s="837" t="n">
        <v>11789</v>
      </c>
      <c r="M2202" s="1003" t="n">
        <v>1</v>
      </c>
      <c r="N2202" s="837" t="n">
        <f aca="false">L2202*M2202</f>
        <v>11789</v>
      </c>
      <c r="O2202" s="943" t="n">
        <f aca="false">H2202*N2202</f>
        <v>468091.6762</v>
      </c>
      <c r="P2202" s="838" t="s">
        <v>2197</v>
      </c>
      <c r="Q2202" s="839" t="s">
        <v>3168</v>
      </c>
      <c r="R2202" s="944" t="n">
        <v>396660.942</v>
      </c>
      <c r="S2202" s="886" t="n">
        <f aca="false">R2202/H2202</f>
        <v>9990</v>
      </c>
      <c r="T2202" s="943" t="n">
        <f aca="false">O2202-R2202-R2203</f>
        <v>0</v>
      </c>
      <c r="U2202" s="842" t="n">
        <f aca="false">N2202-S2202-S2203</f>
        <v>1.81898940354586E-012</v>
      </c>
    </row>
    <row r="2203" customFormat="false" ht="15" hidden="false" customHeight="true" outlineLevel="0" collapsed="false">
      <c r="A2203" s="829"/>
      <c r="B2203" s="830"/>
      <c r="C2203" s="830"/>
      <c r="D2203" s="887" t="s">
        <v>8</v>
      </c>
      <c r="E2203" s="887" t="s">
        <v>2192</v>
      </c>
      <c r="F2203" s="832"/>
      <c r="G2203" s="833"/>
      <c r="H2203" s="834"/>
      <c r="I2203" s="835"/>
      <c r="J2203" s="835"/>
      <c r="K2203" s="836"/>
      <c r="L2203" s="837"/>
      <c r="M2203" s="1003"/>
      <c r="N2203" s="837"/>
      <c r="O2203" s="943"/>
      <c r="P2203" s="888" t="s">
        <v>2197</v>
      </c>
      <c r="Q2203" s="889" t="s">
        <v>3154</v>
      </c>
      <c r="R2203" s="945" t="n">
        <v>71430.7342</v>
      </c>
      <c r="S2203" s="846" t="n">
        <f aca="false">R2203/H2202</f>
        <v>1799</v>
      </c>
      <c r="T2203" s="943"/>
      <c r="U2203" s="842"/>
    </row>
    <row r="2204" customFormat="false" ht="15" hidden="false" customHeight="true" outlineLevel="0" collapsed="false">
      <c r="A2204" s="829" t="n">
        <v>52</v>
      </c>
      <c r="B2204" s="830" t="s">
        <v>81</v>
      </c>
      <c r="C2204" s="830" t="n">
        <v>2024</v>
      </c>
      <c r="D2204" s="831" t="s">
        <v>8</v>
      </c>
      <c r="E2204" s="831" t="s">
        <v>2192</v>
      </c>
      <c r="F2204" s="832" t="s">
        <v>2199</v>
      </c>
      <c r="G2204" s="833"/>
      <c r="H2204" s="834" t="n">
        <v>78.7</v>
      </c>
      <c r="I2204" s="835"/>
      <c r="J2204" s="835"/>
      <c r="K2204" s="836" t="n">
        <f aca="false">H2204*I2204/100</f>
        <v>0</v>
      </c>
      <c r="L2204" s="837" t="n">
        <v>6900</v>
      </c>
      <c r="M2204" s="1003" t="n">
        <v>1</v>
      </c>
      <c r="N2204" s="837" t="n">
        <f aca="false">L2204*M2204</f>
        <v>6900</v>
      </c>
      <c r="O2204" s="837" t="n">
        <f aca="false">H2204*N2204</f>
        <v>543030</v>
      </c>
      <c r="P2204" s="838" t="s">
        <v>2255</v>
      </c>
      <c r="Q2204" s="839" t="s">
        <v>2610</v>
      </c>
      <c r="R2204" s="944" t="n">
        <v>61622.1</v>
      </c>
      <c r="S2204" s="886" t="n">
        <f aca="false">R2204/H2204</f>
        <v>783</v>
      </c>
      <c r="T2204" s="1120" t="n">
        <f aca="false">O2204-R2204-R2205</f>
        <v>0</v>
      </c>
      <c r="U2204" s="842" t="n">
        <f aca="false">N2204-S2204-S2205</f>
        <v>0</v>
      </c>
    </row>
    <row r="2205" customFormat="false" ht="15" hidden="false" customHeight="true" outlineLevel="0" collapsed="false">
      <c r="A2205" s="829"/>
      <c r="B2205" s="830"/>
      <c r="C2205" s="830"/>
      <c r="D2205" s="887" t="s">
        <v>8</v>
      </c>
      <c r="E2205" s="887" t="s">
        <v>2192</v>
      </c>
      <c r="F2205" s="832"/>
      <c r="G2205" s="833"/>
      <c r="H2205" s="834"/>
      <c r="I2205" s="835"/>
      <c r="J2205" s="835"/>
      <c r="K2205" s="836"/>
      <c r="L2205" s="837"/>
      <c r="M2205" s="1003"/>
      <c r="N2205" s="837"/>
      <c r="O2205" s="837"/>
      <c r="P2205" s="888" t="s">
        <v>2200</v>
      </c>
      <c r="Q2205" s="889" t="s">
        <v>114</v>
      </c>
      <c r="R2205" s="945" t="n">
        <v>481407.9</v>
      </c>
      <c r="S2205" s="846" t="n">
        <f aca="false">R2205/H2204</f>
        <v>6117</v>
      </c>
      <c r="T2205" s="1120"/>
      <c r="U2205" s="842"/>
    </row>
    <row r="2206" customFormat="false" ht="15" hidden="false" customHeight="true" outlineLevel="0" collapsed="false">
      <c r="A2206" s="903" t="n">
        <v>61</v>
      </c>
      <c r="B2206" s="903" t="s">
        <v>2207</v>
      </c>
      <c r="C2206" s="903" t="n">
        <v>2024</v>
      </c>
      <c r="D2206" s="904" t="s">
        <v>8</v>
      </c>
      <c r="E2206" s="904" t="s">
        <v>2192</v>
      </c>
      <c r="F2206" s="904" t="s">
        <v>1651</v>
      </c>
      <c r="G2206" s="905"/>
      <c r="H2206" s="946" t="n">
        <v>31.0581</v>
      </c>
      <c r="I2206" s="947"/>
      <c r="J2206" s="947"/>
      <c r="K2206" s="939" t="n">
        <f aca="false">H2206*I2206/100</f>
        <v>0</v>
      </c>
      <c r="L2206" s="942" t="n">
        <v>35050</v>
      </c>
      <c r="M2206" s="1023" t="n">
        <v>1</v>
      </c>
      <c r="N2206" s="1137" t="n">
        <f aca="false">L2206*M2206</f>
        <v>35050</v>
      </c>
      <c r="O2206" s="1384" t="n">
        <f aca="false">H2206*N2206</f>
        <v>1088586.405</v>
      </c>
      <c r="P2206" s="910" t="s">
        <v>2193</v>
      </c>
      <c r="Q2206" s="911" t="s">
        <v>3147</v>
      </c>
      <c r="R2206" s="912" t="n">
        <v>1088586.405</v>
      </c>
      <c r="S2206" s="891" t="n">
        <f aca="false">R2206/H2206</f>
        <v>35050</v>
      </c>
      <c r="T2206" s="941" t="n">
        <f aca="false">O2206-R2206</f>
        <v>0</v>
      </c>
      <c r="U2206" s="942" t="n">
        <f aca="false">N2206-S2206</f>
        <v>0</v>
      </c>
    </row>
    <row r="2207" customFormat="false" ht="15" hidden="false" customHeight="true" outlineLevel="0" collapsed="false">
      <c r="A2207" s="882" t="s">
        <v>3169</v>
      </c>
      <c r="B2207" s="830" t="s">
        <v>2207</v>
      </c>
      <c r="C2207" s="830" t="n">
        <v>2024</v>
      </c>
      <c r="D2207" s="831" t="s">
        <v>8</v>
      </c>
      <c r="E2207" s="831" t="s">
        <v>2192</v>
      </c>
      <c r="F2207" s="832" t="s">
        <v>1651</v>
      </c>
      <c r="G2207" s="833"/>
      <c r="H2207" s="834" t="n">
        <v>30.954</v>
      </c>
      <c r="I2207" s="835"/>
      <c r="J2207" s="835"/>
      <c r="K2207" s="836" t="n">
        <f aca="false">H2207*I2207/100</f>
        <v>0</v>
      </c>
      <c r="L2207" s="837" t="n">
        <v>37630</v>
      </c>
      <c r="M2207" s="1003" t="n">
        <v>1</v>
      </c>
      <c r="N2207" s="837" t="n">
        <f aca="false">L2207*M2207</f>
        <v>37630</v>
      </c>
      <c r="O2207" s="943" t="n">
        <f aca="false">H2207*N2207</f>
        <v>1164799.02</v>
      </c>
      <c r="P2207" s="884" t="s">
        <v>2197</v>
      </c>
      <c r="Q2207" s="885" t="s">
        <v>3170</v>
      </c>
      <c r="R2207" s="1446" t="n">
        <v>46431</v>
      </c>
      <c r="S2207" s="886" t="n">
        <f aca="false">R2207/H2207</f>
        <v>1500</v>
      </c>
      <c r="T2207" s="1017" t="n">
        <f aca="false">O2207-R2207-R2212-R2208-R2209-R2210-R2211</f>
        <v>0</v>
      </c>
      <c r="U2207" s="842" t="n">
        <f aca="false">N2207-S2207-S2212-S2208-S2209-S2210-S2211</f>
        <v>0</v>
      </c>
    </row>
    <row r="2208" customFormat="false" ht="15" hidden="false" customHeight="true" outlineLevel="0" collapsed="false">
      <c r="A2208" s="882"/>
      <c r="B2208" s="830"/>
      <c r="C2208" s="830"/>
      <c r="D2208" s="860" t="s">
        <v>8</v>
      </c>
      <c r="E2208" s="860" t="s">
        <v>2192</v>
      </c>
      <c r="F2208" s="832"/>
      <c r="G2208" s="833"/>
      <c r="H2208" s="834"/>
      <c r="I2208" s="835"/>
      <c r="J2208" s="835"/>
      <c r="K2208" s="836"/>
      <c r="L2208" s="837"/>
      <c r="M2208" s="1003"/>
      <c r="N2208" s="837"/>
      <c r="O2208" s="943"/>
      <c r="P2208" s="868" t="s">
        <v>2197</v>
      </c>
      <c r="Q2208" s="869" t="s">
        <v>3171</v>
      </c>
      <c r="R2208" s="1448" t="n">
        <v>309230.46</v>
      </c>
      <c r="S2208" s="866" t="n">
        <f aca="false">R2208/H2207</f>
        <v>9990</v>
      </c>
      <c r="T2208" s="1017"/>
      <c r="U2208" s="842"/>
    </row>
    <row r="2209" customFormat="false" ht="15" hidden="false" customHeight="true" outlineLevel="0" collapsed="false">
      <c r="A2209" s="882"/>
      <c r="B2209" s="830"/>
      <c r="C2209" s="830"/>
      <c r="D2209" s="860" t="s">
        <v>8</v>
      </c>
      <c r="E2209" s="860" t="s">
        <v>2192</v>
      </c>
      <c r="F2209" s="832"/>
      <c r="G2209" s="833"/>
      <c r="H2209" s="834"/>
      <c r="I2209" s="835"/>
      <c r="J2209" s="835"/>
      <c r="K2209" s="836"/>
      <c r="L2209" s="837"/>
      <c r="M2209" s="1003"/>
      <c r="N2209" s="837"/>
      <c r="O2209" s="943"/>
      <c r="P2209" s="868" t="s">
        <v>2197</v>
      </c>
      <c r="Q2209" s="869" t="s">
        <v>3172</v>
      </c>
      <c r="R2209" s="1448" t="n">
        <v>309230.46</v>
      </c>
      <c r="S2209" s="866" t="n">
        <f aca="false">R2209/H2207</f>
        <v>9990</v>
      </c>
      <c r="T2209" s="1017"/>
      <c r="U2209" s="842"/>
    </row>
    <row r="2210" customFormat="false" ht="15" hidden="false" customHeight="true" outlineLevel="0" collapsed="false">
      <c r="A2210" s="882"/>
      <c r="B2210" s="830"/>
      <c r="C2210" s="830"/>
      <c r="D2210" s="860" t="s">
        <v>8</v>
      </c>
      <c r="E2210" s="860" t="s">
        <v>2192</v>
      </c>
      <c r="F2210" s="832"/>
      <c r="G2210" s="833"/>
      <c r="H2210" s="834"/>
      <c r="I2210" s="835"/>
      <c r="J2210" s="835"/>
      <c r="K2210" s="836"/>
      <c r="L2210" s="837"/>
      <c r="M2210" s="1003"/>
      <c r="N2210" s="837"/>
      <c r="O2210" s="943"/>
      <c r="P2210" s="868" t="s">
        <v>2197</v>
      </c>
      <c r="Q2210" s="869" t="s">
        <v>3173</v>
      </c>
      <c r="R2210" s="1448" t="n">
        <v>155389.08</v>
      </c>
      <c r="S2210" s="866" t="n">
        <f aca="false">R2210/H2207</f>
        <v>5020</v>
      </c>
      <c r="T2210" s="1017"/>
      <c r="U2210" s="842"/>
    </row>
    <row r="2211" customFormat="false" ht="15" hidden="false" customHeight="true" outlineLevel="0" collapsed="false">
      <c r="A2211" s="882"/>
      <c r="B2211" s="830"/>
      <c r="C2211" s="830"/>
      <c r="D2211" s="860" t="s">
        <v>8</v>
      </c>
      <c r="E2211" s="860" t="s">
        <v>2192</v>
      </c>
      <c r="F2211" s="832"/>
      <c r="G2211" s="833"/>
      <c r="H2211" s="834"/>
      <c r="I2211" s="835"/>
      <c r="J2211" s="835"/>
      <c r="K2211" s="836"/>
      <c r="L2211" s="837"/>
      <c r="M2211" s="1003"/>
      <c r="N2211" s="837"/>
      <c r="O2211" s="943"/>
      <c r="P2211" s="868" t="s">
        <v>2197</v>
      </c>
      <c r="Q2211" s="869" t="s">
        <v>3174</v>
      </c>
      <c r="R2211" s="1448" t="n">
        <v>311087.7</v>
      </c>
      <c r="S2211" s="866" t="n">
        <f aca="false">R2211/H2207</f>
        <v>10050</v>
      </c>
      <c r="T2211" s="1017"/>
      <c r="U2211" s="842"/>
    </row>
    <row r="2212" customFormat="false" ht="15" hidden="false" customHeight="true" outlineLevel="0" collapsed="false">
      <c r="A2212" s="882"/>
      <c r="B2212" s="830"/>
      <c r="C2212" s="830"/>
      <c r="D2212" s="843" t="s">
        <v>8</v>
      </c>
      <c r="E2212" s="843" t="s">
        <v>2192</v>
      </c>
      <c r="F2212" s="832"/>
      <c r="G2212" s="833"/>
      <c r="H2212" s="834"/>
      <c r="I2212" s="835"/>
      <c r="J2212" s="835"/>
      <c r="K2212" s="836"/>
      <c r="L2212" s="837"/>
      <c r="M2212" s="1003"/>
      <c r="N2212" s="837"/>
      <c r="O2212" s="943"/>
      <c r="P2212" s="844" t="s">
        <v>2197</v>
      </c>
      <c r="Q2212" s="845" t="s">
        <v>3175</v>
      </c>
      <c r="R2212" s="1350" t="n">
        <v>33430.32</v>
      </c>
      <c r="S2212" s="846" t="n">
        <f aca="false">R2212/H2207</f>
        <v>1080</v>
      </c>
      <c r="T2212" s="1017"/>
      <c r="U2212" s="842"/>
    </row>
    <row r="2213" customFormat="false" ht="15" hidden="false" customHeight="true" outlineLevel="0" collapsed="false">
      <c r="A2213" s="847" t="n">
        <v>4</v>
      </c>
      <c r="B2213" s="847" t="s">
        <v>2278</v>
      </c>
      <c r="C2213" s="847" t="n">
        <v>2024</v>
      </c>
      <c r="D2213" s="848" t="s">
        <v>8</v>
      </c>
      <c r="E2213" s="848" t="s">
        <v>2192</v>
      </c>
      <c r="F2213" s="848" t="s">
        <v>1650</v>
      </c>
      <c r="G2213" s="849"/>
      <c r="H2213" s="949" t="n">
        <v>95.953</v>
      </c>
      <c r="I2213" s="950"/>
      <c r="J2213" s="950"/>
      <c r="K2213" s="852" t="n">
        <f aca="false">H2213*I2213/100</f>
        <v>0</v>
      </c>
      <c r="L2213" s="537" t="n">
        <v>2170</v>
      </c>
      <c r="M2213" s="1007" t="n">
        <v>1</v>
      </c>
      <c r="N2213" s="1143" t="n">
        <f aca="false">L2213*M2213</f>
        <v>2170</v>
      </c>
      <c r="O2213" s="1386" t="n">
        <f aca="false">H2213*N2213</f>
        <v>208218.01</v>
      </c>
      <c r="P2213" s="856" t="s">
        <v>2232</v>
      </c>
      <c r="Q2213" s="857" t="s">
        <v>2433</v>
      </c>
      <c r="R2213" s="952" t="n">
        <v>208218.01</v>
      </c>
      <c r="S2213" s="877" t="n">
        <f aca="false">R2213/H2213</f>
        <v>2170</v>
      </c>
      <c r="T2213" s="1009" t="n">
        <f aca="false">O2213-R2213</f>
        <v>0</v>
      </c>
      <c r="U2213" s="537" t="n">
        <f aca="false">N2213-S2213</f>
        <v>0</v>
      </c>
    </row>
    <row r="2214" customFormat="false" ht="15" hidden="false" customHeight="true" outlineLevel="0" collapsed="false">
      <c r="A2214" s="847" t="n">
        <v>67</v>
      </c>
      <c r="B2214" s="847" t="s">
        <v>81</v>
      </c>
      <c r="C2214" s="847" t="n">
        <v>2024</v>
      </c>
      <c r="D2214" s="848" t="s">
        <v>8</v>
      </c>
      <c r="E2214" s="848" t="s">
        <v>2192</v>
      </c>
      <c r="F2214" s="848" t="s">
        <v>2199</v>
      </c>
      <c r="G2214" s="849"/>
      <c r="H2214" s="949" t="n">
        <v>76</v>
      </c>
      <c r="I2214" s="950"/>
      <c r="J2214" s="950"/>
      <c r="K2214" s="852" t="n">
        <f aca="false">H2214*I2214/100</f>
        <v>0</v>
      </c>
      <c r="L2214" s="537" t="n">
        <v>20900</v>
      </c>
      <c r="M2214" s="1007" t="n">
        <v>1</v>
      </c>
      <c r="N2214" s="1143" t="n">
        <f aca="false">L2214*M2214</f>
        <v>20900</v>
      </c>
      <c r="O2214" s="1386" t="n">
        <f aca="false">H2214*N2214</f>
        <v>1588400</v>
      </c>
      <c r="P2214" s="856" t="s">
        <v>2200</v>
      </c>
      <c r="Q2214" s="857" t="s">
        <v>2476</v>
      </c>
      <c r="R2214" s="952" t="n">
        <v>1588400</v>
      </c>
      <c r="S2214" s="877" t="n">
        <f aca="false">R2214/H2214</f>
        <v>20900</v>
      </c>
      <c r="T2214" s="1009" t="n">
        <f aca="false">O2214-R2214</f>
        <v>0</v>
      </c>
      <c r="U2214" s="537" t="n">
        <f aca="false">N2214-S2214</f>
        <v>0</v>
      </c>
    </row>
    <row r="2215" customFormat="false" ht="15" hidden="false" customHeight="true" outlineLevel="0" collapsed="false">
      <c r="A2215" s="847" t="n">
        <v>12</v>
      </c>
      <c r="B2215" s="847" t="s">
        <v>2230</v>
      </c>
      <c r="C2215" s="847" t="n">
        <v>2024</v>
      </c>
      <c r="D2215" s="848" t="s">
        <v>8</v>
      </c>
      <c r="E2215" s="848" t="s">
        <v>2192</v>
      </c>
      <c r="F2215" s="848" t="s">
        <v>1650</v>
      </c>
      <c r="G2215" s="849"/>
      <c r="H2215" s="949" t="n">
        <v>60.1114</v>
      </c>
      <c r="I2215" s="950"/>
      <c r="J2215" s="950"/>
      <c r="K2215" s="852" t="n">
        <f aca="false">H2215*I2215/100</f>
        <v>0</v>
      </c>
      <c r="L2215" s="537" t="n">
        <v>3750</v>
      </c>
      <c r="M2215" s="1007" t="n">
        <v>1</v>
      </c>
      <c r="N2215" s="1143" t="n">
        <f aca="false">L2215*M2215</f>
        <v>3750</v>
      </c>
      <c r="O2215" s="1386" t="n">
        <f aca="false">H2215*N2215</f>
        <v>225417.75</v>
      </c>
      <c r="P2215" s="856" t="s">
        <v>2197</v>
      </c>
      <c r="Q2215" s="857" t="s">
        <v>3176</v>
      </c>
      <c r="R2215" s="952" t="n">
        <v>225417.75</v>
      </c>
      <c r="S2215" s="877" t="n">
        <f aca="false">R2215/H2215</f>
        <v>3750</v>
      </c>
      <c r="T2215" s="1009" t="n">
        <f aca="false">O2215-R2215</f>
        <v>0</v>
      </c>
      <c r="U2215" s="537" t="n">
        <f aca="false">N2215-S2215</f>
        <v>0</v>
      </c>
    </row>
    <row r="2216" customFormat="false" ht="15" hidden="false" customHeight="true" outlineLevel="0" collapsed="false">
      <c r="A2216" s="903" t="n">
        <v>9</v>
      </c>
      <c r="B2216" s="903" t="s">
        <v>2278</v>
      </c>
      <c r="C2216" s="903" t="n">
        <v>2024</v>
      </c>
      <c r="D2216" s="904" t="s">
        <v>8</v>
      </c>
      <c r="E2216" s="904" t="s">
        <v>2192</v>
      </c>
      <c r="F2216" s="904" t="s">
        <v>2199</v>
      </c>
      <c r="G2216" s="905"/>
      <c r="H2216" s="946" t="n">
        <v>89.8908</v>
      </c>
      <c r="I2216" s="947"/>
      <c r="J2216" s="947"/>
      <c r="K2216" s="939" t="n">
        <f aca="false">H2216*I2216/100</f>
        <v>0</v>
      </c>
      <c r="L2216" s="942" t="n">
        <v>4135</v>
      </c>
      <c r="M2216" s="1023" t="n">
        <v>1</v>
      </c>
      <c r="N2216" s="1137" t="n">
        <f aca="false">L2216*M2216</f>
        <v>4135</v>
      </c>
      <c r="O2216" s="1384" t="n">
        <f aca="false">H2216*N2216</f>
        <v>371698.458</v>
      </c>
      <c r="P2216" s="910" t="s">
        <v>2232</v>
      </c>
      <c r="Q2216" s="911" t="s">
        <v>2833</v>
      </c>
      <c r="R2216" s="912" t="n">
        <v>371698.458</v>
      </c>
      <c r="S2216" s="877" t="n">
        <f aca="false">R2216/H2216</f>
        <v>4135</v>
      </c>
      <c r="T2216" s="941" t="n">
        <f aca="false">O2216-R2216</f>
        <v>0</v>
      </c>
      <c r="U2216" s="942" t="n">
        <f aca="false">N2216-S2216</f>
        <v>0</v>
      </c>
    </row>
    <row r="2217" customFormat="false" ht="15" hidden="false" customHeight="true" outlineLevel="0" collapsed="false">
      <c r="A2217" s="881" t="n">
        <v>58</v>
      </c>
      <c r="B2217" s="829" t="s">
        <v>86</v>
      </c>
      <c r="C2217" s="830" t="n">
        <v>2024</v>
      </c>
      <c r="D2217" s="831" t="s">
        <v>8</v>
      </c>
      <c r="E2217" s="831" t="s">
        <v>2192</v>
      </c>
      <c r="F2217" s="832" t="s">
        <v>1650</v>
      </c>
      <c r="G2217" s="833"/>
      <c r="H2217" s="834" t="n">
        <v>92</v>
      </c>
      <c r="I2217" s="835"/>
      <c r="J2217" s="835"/>
      <c r="K2217" s="836" t="n">
        <f aca="false">H2217*I2217/100</f>
        <v>0</v>
      </c>
      <c r="L2217" s="837" t="n">
        <v>15787</v>
      </c>
      <c r="M2217" s="1003" t="n">
        <v>1</v>
      </c>
      <c r="N2217" s="837" t="n">
        <f aca="false">L2217*M2217</f>
        <v>15787</v>
      </c>
      <c r="O2217" s="943" t="n">
        <f aca="false">H2217*N2217</f>
        <v>1452404</v>
      </c>
      <c r="P2217" s="838" t="s">
        <v>2193</v>
      </c>
      <c r="Q2217" s="839" t="s">
        <v>2740</v>
      </c>
      <c r="R2217" s="944" t="n">
        <v>1378804</v>
      </c>
      <c r="S2217" s="886" t="n">
        <f aca="false">R2217/H2217</f>
        <v>14987</v>
      </c>
      <c r="T2217" s="1017" t="n">
        <f aca="false">O2217-R2217-R2218</f>
        <v>0</v>
      </c>
      <c r="U2217" s="842" t="n">
        <f aca="false">N2217-S2217-S2218</f>
        <v>0</v>
      </c>
    </row>
    <row r="2218" customFormat="false" ht="15" hidden="false" customHeight="true" outlineLevel="0" collapsed="false">
      <c r="A2218" s="881"/>
      <c r="B2218" s="829"/>
      <c r="C2218" s="830"/>
      <c r="D2218" s="887" t="s">
        <v>8</v>
      </c>
      <c r="E2218" s="887" t="s">
        <v>2192</v>
      </c>
      <c r="F2218" s="832"/>
      <c r="G2218" s="833"/>
      <c r="H2218" s="834"/>
      <c r="I2218" s="835"/>
      <c r="J2218" s="835"/>
      <c r="K2218" s="836"/>
      <c r="L2218" s="837"/>
      <c r="M2218" s="1003"/>
      <c r="N2218" s="837"/>
      <c r="O2218" s="943"/>
      <c r="P2218" s="888" t="s">
        <v>2193</v>
      </c>
      <c r="Q2218" s="889" t="s">
        <v>2649</v>
      </c>
      <c r="R2218" s="945" t="n">
        <v>73600</v>
      </c>
      <c r="S2218" s="846" t="n">
        <f aca="false">R2218/H2217</f>
        <v>800</v>
      </c>
      <c r="T2218" s="1017"/>
      <c r="U2218" s="842"/>
    </row>
    <row r="2219" customFormat="false" ht="15" hidden="false" customHeight="true" outlineLevel="0" collapsed="false">
      <c r="A2219" s="881"/>
      <c r="B2219" s="847" t="s">
        <v>86</v>
      </c>
      <c r="C2219" s="847" t="n">
        <v>2024</v>
      </c>
      <c r="D2219" s="848" t="s">
        <v>8</v>
      </c>
      <c r="E2219" s="848" t="s">
        <v>2242</v>
      </c>
      <c r="F2219" s="848"/>
      <c r="G2219" s="849"/>
      <c r="H2219" s="949" t="n">
        <v>72.9</v>
      </c>
      <c r="I2219" s="950"/>
      <c r="J2219" s="950"/>
      <c r="K2219" s="852" t="n">
        <f aca="false">H2219*I2219/100</f>
        <v>0</v>
      </c>
      <c r="L2219" s="537" t="n">
        <v>280</v>
      </c>
      <c r="M2219" s="1007" t="n">
        <v>1</v>
      </c>
      <c r="N2219" s="1143" t="n">
        <f aca="false">L2219*M2219</f>
        <v>280</v>
      </c>
      <c r="O2219" s="1386" t="n">
        <f aca="false">H2219*N2219</f>
        <v>20412</v>
      </c>
      <c r="P2219" s="856" t="s">
        <v>2232</v>
      </c>
      <c r="Q2219" s="857" t="s">
        <v>2717</v>
      </c>
      <c r="R2219" s="952" t="n">
        <v>20412</v>
      </c>
      <c r="S2219" s="877" t="n">
        <f aca="false">R2219/H2219</f>
        <v>280</v>
      </c>
      <c r="T2219" s="1009" t="n">
        <f aca="false">O2219-R2219</f>
        <v>0</v>
      </c>
      <c r="U2219" s="892" t="n">
        <f aca="false">N2219-S2219</f>
        <v>0</v>
      </c>
    </row>
    <row r="2220" customFormat="false" ht="15" hidden="false" customHeight="true" outlineLevel="0" collapsed="false">
      <c r="A2220" s="881"/>
      <c r="B2220" s="847" t="s">
        <v>86</v>
      </c>
      <c r="C2220" s="847" t="n">
        <v>2024</v>
      </c>
      <c r="D2220" s="848" t="s">
        <v>8</v>
      </c>
      <c r="E2220" s="848" t="s">
        <v>2203</v>
      </c>
      <c r="F2220" s="848"/>
      <c r="G2220" s="849"/>
      <c r="H2220" s="949" t="n">
        <v>5.1</v>
      </c>
      <c r="I2220" s="950"/>
      <c r="J2220" s="950"/>
      <c r="K2220" s="852" t="n">
        <f aca="false">H2220*I2220/100</f>
        <v>0</v>
      </c>
      <c r="L2220" s="537" t="n">
        <v>2190</v>
      </c>
      <c r="M2220" s="1007" t="n">
        <v>1</v>
      </c>
      <c r="N2220" s="1143" t="n">
        <f aca="false">L2220*M2220</f>
        <v>2190</v>
      </c>
      <c r="O2220" s="1386" t="n">
        <f aca="false">H2220*N2220</f>
        <v>11169</v>
      </c>
      <c r="P2220" s="856" t="s">
        <v>2204</v>
      </c>
      <c r="Q2220" s="857" t="n">
        <v>31012025</v>
      </c>
      <c r="R2220" s="952" t="n">
        <v>11169</v>
      </c>
      <c r="S2220" s="877" t="n">
        <f aca="false">R2220/H2220</f>
        <v>2190</v>
      </c>
      <c r="T2220" s="1009" t="n">
        <f aca="false">O2220-R2220</f>
        <v>0</v>
      </c>
      <c r="U2220" s="892" t="n">
        <f aca="false">N2220-S2220</f>
        <v>0</v>
      </c>
    </row>
    <row r="2221" customFormat="false" ht="15" hidden="false" customHeight="true" outlineLevel="0" collapsed="false">
      <c r="A2221" s="881"/>
      <c r="B2221" s="847" t="s">
        <v>86</v>
      </c>
      <c r="C2221" s="847" t="n">
        <v>2024</v>
      </c>
      <c r="D2221" s="848" t="s">
        <v>8</v>
      </c>
      <c r="E2221" s="848" t="s">
        <v>2241</v>
      </c>
      <c r="F2221" s="848"/>
      <c r="G2221" s="849"/>
      <c r="H2221" s="949" t="n">
        <v>23.9</v>
      </c>
      <c r="I2221" s="950"/>
      <c r="J2221" s="950"/>
      <c r="K2221" s="852" t="n">
        <f aca="false">H2221*I2221/100</f>
        <v>0</v>
      </c>
      <c r="L2221" s="537" t="n">
        <v>514</v>
      </c>
      <c r="M2221" s="1007" t="n">
        <v>1</v>
      </c>
      <c r="N2221" s="1143" t="n">
        <f aca="false">L2221*M2221</f>
        <v>514</v>
      </c>
      <c r="O2221" s="1386" t="n">
        <f aca="false">H2221*N2221</f>
        <v>12284.6</v>
      </c>
      <c r="P2221" s="856" t="s">
        <v>2200</v>
      </c>
      <c r="Q2221" s="857" t="s">
        <v>2886</v>
      </c>
      <c r="R2221" s="952" t="n">
        <v>12284.6</v>
      </c>
      <c r="S2221" s="877" t="n">
        <f aca="false">R2221/H2221</f>
        <v>514</v>
      </c>
      <c r="T2221" s="1009" t="n">
        <f aca="false">O2221-R2221</f>
        <v>0</v>
      </c>
      <c r="U2221" s="892" t="n">
        <f aca="false">N2221-S2221</f>
        <v>0</v>
      </c>
    </row>
    <row r="2222" customFormat="false" ht="15" hidden="false" customHeight="true" outlineLevel="0" collapsed="false">
      <c r="A2222" s="881"/>
      <c r="B2222" s="1072" t="s">
        <v>86</v>
      </c>
      <c r="C2222" s="1072" t="n">
        <v>2024</v>
      </c>
      <c r="D2222" s="887" t="s">
        <v>8</v>
      </c>
      <c r="E2222" s="887" t="s">
        <v>2205</v>
      </c>
      <c r="F2222" s="887"/>
      <c r="G2222" s="1062"/>
      <c r="H2222" s="1077" t="n">
        <v>1.4</v>
      </c>
      <c r="I2222" s="1086"/>
      <c r="J2222" s="1086"/>
      <c r="K2222" s="1064" t="n">
        <f aca="false">H2222*I2222/100</f>
        <v>0</v>
      </c>
      <c r="L2222" s="1067" t="n">
        <v>2085</v>
      </c>
      <c r="M2222" s="1066" t="n">
        <v>1</v>
      </c>
      <c r="N2222" s="1082" t="n">
        <f aca="false">L2222*M2222</f>
        <v>2085</v>
      </c>
      <c r="O2222" s="1394" t="n">
        <f aca="false">H2222*N2222</f>
        <v>2919</v>
      </c>
      <c r="P2222" s="888" t="s">
        <v>2204</v>
      </c>
      <c r="Q2222" s="889" t="n">
        <v>22112024</v>
      </c>
      <c r="R2222" s="945" t="n">
        <v>2919</v>
      </c>
      <c r="S2222" s="846" t="n">
        <f aca="false">R2222/H2222</f>
        <v>2085</v>
      </c>
      <c r="T2222" s="1172" t="n">
        <f aca="false">O2222-R2222</f>
        <v>0</v>
      </c>
      <c r="U2222" s="1070" t="n">
        <f aca="false">N2222-S2222</f>
        <v>0</v>
      </c>
    </row>
    <row r="2223" customFormat="false" ht="15" hidden="false" customHeight="true" outlineLevel="0" collapsed="false">
      <c r="A2223" s="903" t="n">
        <v>78</v>
      </c>
      <c r="B2223" s="903" t="s">
        <v>2207</v>
      </c>
      <c r="C2223" s="903" t="n">
        <v>2024</v>
      </c>
      <c r="D2223" s="904" t="s">
        <v>8</v>
      </c>
      <c r="E2223" s="904" t="s">
        <v>2192</v>
      </c>
      <c r="F2223" s="904" t="s">
        <v>1651</v>
      </c>
      <c r="G2223" s="905"/>
      <c r="H2223" s="946" t="n">
        <v>31.8769</v>
      </c>
      <c r="I2223" s="947"/>
      <c r="J2223" s="947"/>
      <c r="K2223" s="939" t="n">
        <f aca="false">H2223*I2223/100</f>
        <v>0</v>
      </c>
      <c r="L2223" s="942" t="n">
        <v>43254</v>
      </c>
      <c r="M2223" s="1023" t="n">
        <v>1</v>
      </c>
      <c r="N2223" s="1137" t="n">
        <f aca="false">L2223*M2223</f>
        <v>43254</v>
      </c>
      <c r="O2223" s="1384" t="n">
        <f aca="false">H2223*N2223</f>
        <v>1378803.4326</v>
      </c>
      <c r="P2223" s="910" t="s">
        <v>2193</v>
      </c>
      <c r="Q2223" s="911" t="s">
        <v>3146</v>
      </c>
      <c r="R2223" s="912" t="n">
        <v>1378803.4326</v>
      </c>
      <c r="S2223" s="891" t="n">
        <f aca="false">R2223/H2223</f>
        <v>43254</v>
      </c>
      <c r="T2223" s="941" t="n">
        <f aca="false">O2223-R2223</f>
        <v>0</v>
      </c>
      <c r="U2223" s="942" t="n">
        <f aca="false">N2223-S2223</f>
        <v>0</v>
      </c>
    </row>
    <row r="2224" customFormat="false" ht="15" hidden="false" customHeight="true" outlineLevel="0" collapsed="false">
      <c r="A2224" s="882" t="s">
        <v>3177</v>
      </c>
      <c r="B2224" s="830" t="s">
        <v>2207</v>
      </c>
      <c r="C2224" s="830" t="n">
        <v>2024</v>
      </c>
      <c r="D2224" s="831" t="s">
        <v>8</v>
      </c>
      <c r="E2224" s="831" t="s">
        <v>2192</v>
      </c>
      <c r="F2224" s="832" t="s">
        <v>1651</v>
      </c>
      <c r="G2224" s="833"/>
      <c r="H2224" s="834" t="n">
        <v>32.0517</v>
      </c>
      <c r="I2224" s="835"/>
      <c r="J2224" s="835"/>
      <c r="K2224" s="836" t="n">
        <f aca="false">H2224*I2224/100</f>
        <v>0</v>
      </c>
      <c r="L2224" s="837" t="n">
        <v>46659</v>
      </c>
      <c r="M2224" s="1003" t="n">
        <v>1</v>
      </c>
      <c r="N2224" s="837" t="n">
        <f aca="false">L2224*M2224</f>
        <v>46659</v>
      </c>
      <c r="O2224" s="943" t="n">
        <f aca="false">H2224*N2224</f>
        <v>1495500.2703</v>
      </c>
      <c r="P2224" s="838" t="s">
        <v>2197</v>
      </c>
      <c r="Q2224" s="839" t="s">
        <v>3178</v>
      </c>
      <c r="R2224" s="944" t="n">
        <v>34936.353</v>
      </c>
      <c r="S2224" s="886" t="n">
        <f aca="false">R2224/H2224</f>
        <v>1090</v>
      </c>
      <c r="T2224" s="837" t="n">
        <f aca="false">O2224-R2224-R2228-R2229-R2225-R2226-R2227</f>
        <v>0.000299999839626253</v>
      </c>
      <c r="U2224" s="842" t="n">
        <f aca="false">N2224-S2224-S2228-S2229-S2225-S2226-S2227</f>
        <v>9.35987372940872E-006</v>
      </c>
    </row>
    <row r="2225" customFormat="false" ht="15" hidden="false" customHeight="true" outlineLevel="0" collapsed="false">
      <c r="A2225" s="882"/>
      <c r="B2225" s="830"/>
      <c r="C2225" s="830"/>
      <c r="D2225" s="848" t="s">
        <v>8</v>
      </c>
      <c r="E2225" s="848" t="s">
        <v>2192</v>
      </c>
      <c r="F2225" s="832"/>
      <c r="G2225" s="833"/>
      <c r="H2225" s="834"/>
      <c r="I2225" s="835"/>
      <c r="J2225" s="835"/>
      <c r="K2225" s="836"/>
      <c r="L2225" s="837"/>
      <c r="M2225" s="1003"/>
      <c r="N2225" s="837"/>
      <c r="O2225" s="943"/>
      <c r="P2225" s="856" t="s">
        <v>2197</v>
      </c>
      <c r="Q2225" s="857" t="s">
        <v>3179</v>
      </c>
      <c r="R2225" s="952" t="n">
        <v>320196.483</v>
      </c>
      <c r="S2225" s="877" t="n">
        <f aca="false">R2225/H2224</f>
        <v>9990</v>
      </c>
      <c r="T2225" s="837"/>
      <c r="U2225" s="842"/>
    </row>
    <row r="2226" customFormat="false" ht="15" hidden="false" customHeight="true" outlineLevel="0" collapsed="false">
      <c r="A2226" s="882"/>
      <c r="B2226" s="830"/>
      <c r="C2226" s="830"/>
      <c r="D2226" s="848" t="s">
        <v>8</v>
      </c>
      <c r="E2226" s="848" t="s">
        <v>2192</v>
      </c>
      <c r="F2226" s="832"/>
      <c r="G2226" s="833"/>
      <c r="H2226" s="834"/>
      <c r="I2226" s="835"/>
      <c r="J2226" s="835"/>
      <c r="K2226" s="836"/>
      <c r="L2226" s="837"/>
      <c r="M2226" s="1003"/>
      <c r="N2226" s="837"/>
      <c r="O2226" s="943"/>
      <c r="P2226" s="856" t="s">
        <v>2197</v>
      </c>
      <c r="Q2226" s="857" t="s">
        <v>3180</v>
      </c>
      <c r="R2226" s="952" t="n">
        <v>320196.483</v>
      </c>
      <c r="S2226" s="877" t="n">
        <f aca="false">R2226/H2224</f>
        <v>9990</v>
      </c>
      <c r="T2226" s="837"/>
      <c r="U2226" s="842"/>
    </row>
    <row r="2227" customFormat="false" ht="15" hidden="false" customHeight="true" outlineLevel="0" collapsed="false">
      <c r="A2227" s="882"/>
      <c r="B2227" s="830"/>
      <c r="C2227" s="830"/>
      <c r="D2227" s="848" t="s">
        <v>8</v>
      </c>
      <c r="E2227" s="848" t="s">
        <v>2192</v>
      </c>
      <c r="F2227" s="832"/>
      <c r="G2227" s="833"/>
      <c r="H2227" s="834"/>
      <c r="I2227" s="835"/>
      <c r="J2227" s="835"/>
      <c r="K2227" s="836"/>
      <c r="L2227" s="837"/>
      <c r="M2227" s="1003"/>
      <c r="N2227" s="837"/>
      <c r="O2227" s="943"/>
      <c r="P2227" s="856" t="s">
        <v>2197</v>
      </c>
      <c r="Q2227" s="857" t="s">
        <v>3181</v>
      </c>
      <c r="R2227" s="952" t="n">
        <v>179777.985</v>
      </c>
      <c r="S2227" s="877" t="n">
        <f aca="false">R2227/H2224</f>
        <v>5608.99999064012</v>
      </c>
      <c r="T2227" s="837"/>
      <c r="U2227" s="842"/>
    </row>
    <row r="2228" customFormat="false" ht="15" hidden="false" customHeight="true" outlineLevel="0" collapsed="false">
      <c r="A2228" s="882"/>
      <c r="B2228" s="830"/>
      <c r="C2228" s="830"/>
      <c r="D2228" s="848" t="s">
        <v>8</v>
      </c>
      <c r="E2228" s="848" t="s">
        <v>2192</v>
      </c>
      <c r="F2228" s="832"/>
      <c r="G2228" s="833"/>
      <c r="H2228" s="834"/>
      <c r="I2228" s="835"/>
      <c r="J2228" s="835"/>
      <c r="K2228" s="836"/>
      <c r="L2228" s="837"/>
      <c r="M2228" s="1003"/>
      <c r="N2228" s="837"/>
      <c r="O2228" s="943"/>
      <c r="P2228" s="856" t="s">
        <v>2197</v>
      </c>
      <c r="Q2228" s="857" t="s">
        <v>3182</v>
      </c>
      <c r="R2228" s="952" t="n">
        <v>320196.483</v>
      </c>
      <c r="S2228" s="877" t="n">
        <f aca="false">R2228/H2224</f>
        <v>9990</v>
      </c>
      <c r="T2228" s="837"/>
      <c r="U2228" s="842"/>
    </row>
    <row r="2229" customFormat="false" ht="15" hidden="false" customHeight="true" outlineLevel="0" collapsed="false">
      <c r="A2229" s="882"/>
      <c r="B2229" s="830"/>
      <c r="C2229" s="830"/>
      <c r="D2229" s="887" t="s">
        <v>8</v>
      </c>
      <c r="E2229" s="887" t="s">
        <v>2192</v>
      </c>
      <c r="F2229" s="832"/>
      <c r="G2229" s="833"/>
      <c r="H2229" s="834"/>
      <c r="I2229" s="835"/>
      <c r="J2229" s="835"/>
      <c r="K2229" s="836"/>
      <c r="L2229" s="837"/>
      <c r="M2229" s="1003"/>
      <c r="N2229" s="837"/>
      <c r="O2229" s="943"/>
      <c r="P2229" s="888" t="s">
        <v>2197</v>
      </c>
      <c r="Q2229" s="889" t="s">
        <v>3183</v>
      </c>
      <c r="R2229" s="945" t="n">
        <v>320196.483</v>
      </c>
      <c r="S2229" s="846" t="n">
        <f aca="false">R2229/H2224</f>
        <v>9990</v>
      </c>
      <c r="T2229" s="837"/>
      <c r="U2229" s="842"/>
    </row>
    <row r="2230" customFormat="false" ht="15" hidden="false" customHeight="true" outlineLevel="0" collapsed="false">
      <c r="A2230" s="882" t="n">
        <v>63</v>
      </c>
      <c r="B2230" s="1173" t="s">
        <v>86</v>
      </c>
      <c r="C2230" s="1173" t="n">
        <v>2024</v>
      </c>
      <c r="D2230" s="831" t="s">
        <v>8</v>
      </c>
      <c r="E2230" s="831" t="s">
        <v>2192</v>
      </c>
      <c r="F2230" s="831" t="s">
        <v>1650</v>
      </c>
      <c r="G2230" s="1108"/>
      <c r="H2230" s="1109" t="n">
        <v>91.2</v>
      </c>
      <c r="I2230" s="1110"/>
      <c r="J2230" s="1110"/>
      <c r="K2230" s="1111" t="n">
        <f aca="false">H2230*I2230/100</f>
        <v>0</v>
      </c>
      <c r="L2230" s="1114" t="n">
        <v>4857</v>
      </c>
      <c r="M2230" s="1113" t="n">
        <v>1</v>
      </c>
      <c r="N2230" s="1114" t="n">
        <f aca="false">L2230*M2230</f>
        <v>4857</v>
      </c>
      <c r="O2230" s="1181" t="n">
        <f aca="false">H2230*N2230</f>
        <v>442958.4</v>
      </c>
      <c r="P2230" s="838" t="s">
        <v>2193</v>
      </c>
      <c r="Q2230" s="839" t="s">
        <v>2761</v>
      </c>
      <c r="R2230" s="944" t="n">
        <v>442958.4</v>
      </c>
      <c r="S2230" s="877" t="n">
        <f aca="false">R2230/H2230</f>
        <v>4857</v>
      </c>
      <c r="T2230" s="1114" t="n">
        <f aca="false">O2230-R2230</f>
        <v>0</v>
      </c>
      <c r="U2230" s="1176" t="n">
        <f aca="false">N2230-S2230</f>
        <v>0</v>
      </c>
    </row>
    <row r="2231" customFormat="false" ht="15" hidden="false" customHeight="true" outlineLevel="0" collapsed="false">
      <c r="A2231" s="882"/>
      <c r="B2231" s="847" t="s">
        <v>86</v>
      </c>
      <c r="C2231" s="847" t="n">
        <v>2024</v>
      </c>
      <c r="D2231" s="848" t="s">
        <v>8</v>
      </c>
      <c r="E2231" s="848" t="s">
        <v>2242</v>
      </c>
      <c r="F2231" s="848"/>
      <c r="G2231" s="849"/>
      <c r="H2231" s="949" t="n">
        <v>68.7</v>
      </c>
      <c r="I2231" s="981"/>
      <c r="J2231" s="981"/>
      <c r="K2231" s="864" t="n">
        <f aca="false">H2231*I2231/100</f>
        <v>0</v>
      </c>
      <c r="L2231" s="543" t="n">
        <v>357</v>
      </c>
      <c r="M2231" s="983" t="n">
        <v>1</v>
      </c>
      <c r="N2231" s="543" t="n">
        <f aca="false">L2231*M2231</f>
        <v>357</v>
      </c>
      <c r="O2231" s="1449" t="n">
        <f aca="false">H2231*N2231</f>
        <v>24525.9</v>
      </c>
      <c r="P2231" s="856" t="s">
        <v>2232</v>
      </c>
      <c r="Q2231" s="857" t="s">
        <v>2494</v>
      </c>
      <c r="R2231" s="952" t="n">
        <v>24525.9</v>
      </c>
      <c r="S2231" s="877" t="n">
        <f aca="false">R2231/H2231</f>
        <v>357</v>
      </c>
      <c r="T2231" s="543" t="n">
        <f aca="false">O2231-R2231</f>
        <v>0</v>
      </c>
      <c r="U2231" s="1135" t="n">
        <f aca="false">N2231-S2231</f>
        <v>0</v>
      </c>
    </row>
    <row r="2232" customFormat="false" ht="15" hidden="false" customHeight="true" outlineLevel="0" collapsed="false">
      <c r="A2232" s="882"/>
      <c r="B2232" s="1072" t="s">
        <v>86</v>
      </c>
      <c r="C2232" s="1072" t="n">
        <v>2024</v>
      </c>
      <c r="D2232" s="887" t="s">
        <v>8</v>
      </c>
      <c r="E2232" s="887" t="s">
        <v>2205</v>
      </c>
      <c r="F2232" s="887"/>
      <c r="G2232" s="1062"/>
      <c r="H2232" s="1077" t="n">
        <v>0</v>
      </c>
      <c r="I2232" s="1104"/>
      <c r="J2232" s="1104"/>
      <c r="K2232" s="897" t="n">
        <f aca="false">H2232*I2232/100</f>
        <v>0</v>
      </c>
      <c r="L2232" s="589" t="n">
        <v>830</v>
      </c>
      <c r="M2232" s="1106" t="n">
        <v>1</v>
      </c>
      <c r="N2232" s="589" t="n">
        <f aca="false">L2232*M2232</f>
        <v>830</v>
      </c>
      <c r="O2232" s="1183" t="n">
        <f aca="false">H2232*N2232</f>
        <v>0</v>
      </c>
      <c r="P2232" s="888" t="s">
        <v>2204</v>
      </c>
      <c r="Q2232" s="889" t="n">
        <v>22112024</v>
      </c>
      <c r="R2232" s="945" t="n">
        <v>0</v>
      </c>
      <c r="S2232" s="846" t="n">
        <v>830</v>
      </c>
      <c r="T2232" s="589" t="n">
        <f aca="false">O2232-R2232</f>
        <v>0</v>
      </c>
      <c r="U2232" s="902" t="n">
        <f aca="false">N2232-S2232</f>
        <v>0</v>
      </c>
    </row>
    <row r="2233" customFormat="false" ht="15" hidden="false" customHeight="true" outlineLevel="0" collapsed="false">
      <c r="A2233" s="847" t="n">
        <v>89</v>
      </c>
      <c r="B2233" s="847" t="s">
        <v>81</v>
      </c>
      <c r="C2233" s="847" t="n">
        <v>2024</v>
      </c>
      <c r="D2233" s="848" t="s">
        <v>8</v>
      </c>
      <c r="E2233" s="848" t="s">
        <v>2192</v>
      </c>
      <c r="F2233" s="848" t="s">
        <v>2199</v>
      </c>
      <c r="G2233" s="849"/>
      <c r="H2233" s="949" t="n">
        <v>75</v>
      </c>
      <c r="I2233" s="950"/>
      <c r="J2233" s="950"/>
      <c r="K2233" s="852" t="n">
        <f aca="false">H2233*I2233/100</f>
        <v>0</v>
      </c>
      <c r="L2233" s="537" t="n">
        <v>13280</v>
      </c>
      <c r="M2233" s="1007" t="n">
        <v>1</v>
      </c>
      <c r="N2233" s="537" t="n">
        <f aca="false">L2233*M2233</f>
        <v>13280</v>
      </c>
      <c r="O2233" s="953" t="n">
        <f aca="false">H2233*N2233</f>
        <v>996000</v>
      </c>
      <c r="P2233" s="856" t="s">
        <v>2200</v>
      </c>
      <c r="Q2233" s="857" t="s">
        <v>2404</v>
      </c>
      <c r="R2233" s="952" t="n">
        <v>996000</v>
      </c>
      <c r="S2233" s="877" t="n">
        <f aca="false">R2233/H2233</f>
        <v>13280</v>
      </c>
      <c r="T2233" s="942" t="n">
        <f aca="false">O2233-R2233</f>
        <v>0</v>
      </c>
      <c r="U2233" s="1026" t="n">
        <f aca="false">N2233-S2233</f>
        <v>0</v>
      </c>
    </row>
    <row r="2234" customFormat="false" ht="15" hidden="false" customHeight="true" outlineLevel="0" collapsed="false">
      <c r="A2234" s="870" t="n">
        <v>30</v>
      </c>
      <c r="B2234" s="870" t="s">
        <v>2230</v>
      </c>
      <c r="C2234" s="870" t="n">
        <v>2024</v>
      </c>
      <c r="D2234" s="871" t="s">
        <v>8</v>
      </c>
      <c r="E2234" s="871" t="s">
        <v>2192</v>
      </c>
      <c r="F2234" s="871" t="s">
        <v>2199</v>
      </c>
      <c r="G2234" s="872"/>
      <c r="H2234" s="1116" t="n">
        <v>65.4124</v>
      </c>
      <c r="I2234" s="1117"/>
      <c r="J2234" s="1117"/>
      <c r="K2234" s="875" t="n">
        <f aca="false">H2234*I2234/100</f>
        <v>0</v>
      </c>
      <c r="L2234" s="553" t="n">
        <v>7025</v>
      </c>
      <c r="M2234" s="1000" t="n">
        <v>1</v>
      </c>
      <c r="N2234" s="553" t="n">
        <f aca="false">L2234*M2234</f>
        <v>7025</v>
      </c>
      <c r="O2234" s="1403" t="n">
        <f aca="false">H2234*N2234</f>
        <v>459522.11</v>
      </c>
      <c r="P2234" s="879" t="s">
        <v>2197</v>
      </c>
      <c r="Q2234" s="880" t="s">
        <v>3184</v>
      </c>
      <c r="R2234" s="1818" t="n">
        <v>459522.11</v>
      </c>
      <c r="S2234" s="877" t="n">
        <f aca="false">R2234/H2234</f>
        <v>7025</v>
      </c>
      <c r="T2234" s="553" t="n">
        <f aca="false">O2234-R2234</f>
        <v>0</v>
      </c>
      <c r="U2234" s="1293" t="n">
        <f aca="false">N2234-S2234</f>
        <v>0</v>
      </c>
    </row>
    <row r="2235" customFormat="false" ht="15" hidden="false" customHeight="true" outlineLevel="0" collapsed="false">
      <c r="A2235" s="882" t="n">
        <v>100</v>
      </c>
      <c r="B2235" s="883" t="s">
        <v>2207</v>
      </c>
      <c r="C2235" s="883" t="n">
        <v>2024</v>
      </c>
      <c r="D2235" s="831" t="s">
        <v>8</v>
      </c>
      <c r="E2235" s="831" t="s">
        <v>2192</v>
      </c>
      <c r="F2235" s="832" t="s">
        <v>1651</v>
      </c>
      <c r="G2235" s="833"/>
      <c r="H2235" s="834" t="n">
        <v>28.7187</v>
      </c>
      <c r="I2235" s="1624"/>
      <c r="J2235" s="835"/>
      <c r="K2235" s="836" t="n">
        <f aca="false">H2235*I2235/100</f>
        <v>0</v>
      </c>
      <c r="L2235" s="837" t="n">
        <v>15424</v>
      </c>
      <c r="M2235" s="1003" t="n">
        <v>1</v>
      </c>
      <c r="N2235" s="837" t="n">
        <f aca="false">L2235*M2235</f>
        <v>15424</v>
      </c>
      <c r="O2235" s="943" t="n">
        <f aca="false">H2235*N2235</f>
        <v>442957.2288</v>
      </c>
      <c r="P2235" s="838" t="s">
        <v>2197</v>
      </c>
      <c r="Q2235" s="839" t="s">
        <v>3185</v>
      </c>
      <c r="R2235" s="944" t="n">
        <v>161513.9688</v>
      </c>
      <c r="S2235" s="886" t="n">
        <f aca="false">R2235/H2235</f>
        <v>5624</v>
      </c>
      <c r="T2235" s="943" t="n">
        <f aca="false">O2235-R2235-R2236-R2237</f>
        <v>0</v>
      </c>
      <c r="U2235" s="842" t="n">
        <f aca="false">N2235-S2235-S2236-S2237</f>
        <v>0</v>
      </c>
    </row>
    <row r="2236" customFormat="false" ht="15" hidden="false" customHeight="true" outlineLevel="0" collapsed="false">
      <c r="A2236" s="882"/>
      <c r="B2236" s="883"/>
      <c r="C2236" s="883"/>
      <c r="D2236" s="860" t="s">
        <v>8</v>
      </c>
      <c r="E2236" s="860" t="s">
        <v>2192</v>
      </c>
      <c r="F2236" s="832"/>
      <c r="G2236" s="833"/>
      <c r="H2236" s="834"/>
      <c r="I2236" s="1352"/>
      <c r="J2236" s="835"/>
      <c r="K2236" s="836"/>
      <c r="L2236" s="837"/>
      <c r="M2236" s="1003"/>
      <c r="N2236" s="837"/>
      <c r="O2236" s="943"/>
      <c r="P2236" s="868" t="s">
        <v>2197</v>
      </c>
      <c r="Q2236" s="869" t="s">
        <v>3186</v>
      </c>
      <c r="R2236" s="1448" t="n">
        <v>99079.515</v>
      </c>
      <c r="S2236" s="877" t="n">
        <f aca="false">R2236/H2235</f>
        <v>3450</v>
      </c>
      <c r="T2236" s="943"/>
      <c r="U2236" s="842"/>
    </row>
    <row r="2237" customFormat="false" ht="15" hidden="false" customHeight="true" outlineLevel="0" collapsed="false">
      <c r="A2237" s="882"/>
      <c r="B2237" s="883"/>
      <c r="C2237" s="883"/>
      <c r="D2237" s="843" t="s">
        <v>8</v>
      </c>
      <c r="E2237" s="843" t="s">
        <v>2192</v>
      </c>
      <c r="F2237" s="832"/>
      <c r="G2237" s="833"/>
      <c r="H2237" s="834"/>
      <c r="I2237" s="1625"/>
      <c r="J2237" s="835"/>
      <c r="K2237" s="836"/>
      <c r="L2237" s="837"/>
      <c r="M2237" s="1003"/>
      <c r="N2237" s="837"/>
      <c r="O2237" s="943"/>
      <c r="P2237" s="844" t="s">
        <v>2197</v>
      </c>
      <c r="Q2237" s="845" t="s">
        <v>3187</v>
      </c>
      <c r="R2237" s="1350" t="n">
        <v>182363.745</v>
      </c>
      <c r="S2237" s="846" t="n">
        <f aca="false">R2237/H2235</f>
        <v>6350</v>
      </c>
      <c r="T2237" s="943"/>
      <c r="U2237" s="842"/>
    </row>
    <row r="2238" customFormat="false" ht="15" hidden="false" customHeight="true" outlineLevel="0" collapsed="false">
      <c r="A2238" s="903" t="n">
        <v>101</v>
      </c>
      <c r="B2238" s="903" t="s">
        <v>2207</v>
      </c>
      <c r="C2238" s="903" t="n">
        <v>2024</v>
      </c>
      <c r="D2238" s="904" t="s">
        <v>8</v>
      </c>
      <c r="E2238" s="904" t="s">
        <v>2192</v>
      </c>
      <c r="F2238" s="904" t="s">
        <v>1651</v>
      </c>
      <c r="G2238" s="905"/>
      <c r="H2238" s="946" t="n">
        <v>29.3695</v>
      </c>
      <c r="I2238" s="947"/>
      <c r="J2238" s="947"/>
      <c r="K2238" s="939" t="n">
        <f aca="false">H2238*I2238/100</f>
        <v>0</v>
      </c>
      <c r="L2238" s="942" t="n">
        <v>2506</v>
      </c>
      <c r="M2238" s="1023" t="n">
        <v>1</v>
      </c>
      <c r="N2238" s="942" t="n">
        <f aca="false">L2238*M2238</f>
        <v>2506</v>
      </c>
      <c r="O2238" s="948" t="n">
        <f aca="false">H2238*N2238</f>
        <v>73599.967</v>
      </c>
      <c r="P2238" s="910" t="s">
        <v>2197</v>
      </c>
      <c r="Q2238" s="911" t="s">
        <v>3185</v>
      </c>
      <c r="R2238" s="912" t="n">
        <v>73599.967</v>
      </c>
      <c r="S2238" s="891" t="n">
        <f aca="false">R2238/H2238</f>
        <v>2506</v>
      </c>
      <c r="T2238" s="942" t="n">
        <f aca="false">O2238-R2238</f>
        <v>0</v>
      </c>
      <c r="U2238" s="942" t="n">
        <f aca="false">N2238-S2238</f>
        <v>0</v>
      </c>
    </row>
    <row r="2239" customFormat="false" ht="15" hidden="false" customHeight="true" outlineLevel="0" collapsed="false">
      <c r="A2239" s="1465" t="n">
        <v>70</v>
      </c>
      <c r="B2239" s="1173" t="s">
        <v>86</v>
      </c>
      <c r="C2239" s="1173" t="n">
        <v>2024</v>
      </c>
      <c r="D2239" s="831" t="s">
        <v>8</v>
      </c>
      <c r="E2239" s="831" t="s">
        <v>2192</v>
      </c>
      <c r="F2239" s="831" t="s">
        <v>1650</v>
      </c>
      <c r="G2239" s="1108"/>
      <c r="H2239" s="1407" t="n">
        <v>91</v>
      </c>
      <c r="I2239" s="1110"/>
      <c r="J2239" s="1110"/>
      <c r="K2239" s="1111" t="n">
        <f aca="false">H2239*I2239/100</f>
        <v>0</v>
      </c>
      <c r="L2239" s="1114" t="n">
        <v>10107</v>
      </c>
      <c r="M2239" s="1113" t="n">
        <v>1</v>
      </c>
      <c r="N2239" s="1114" t="n">
        <f aca="false">L2239*M2239</f>
        <v>10107</v>
      </c>
      <c r="O2239" s="1181" t="n">
        <f aca="false">H2239*N2239</f>
        <v>919737</v>
      </c>
      <c r="P2239" s="838" t="s">
        <v>2193</v>
      </c>
      <c r="Q2239" s="839" t="s">
        <v>118</v>
      </c>
      <c r="R2239" s="944" t="n">
        <v>609700</v>
      </c>
      <c r="S2239" s="886" t="n">
        <f aca="false">R2239/H2239</f>
        <v>6700</v>
      </c>
      <c r="T2239" s="1175" t="n">
        <f aca="false">O2239-R2239-R2242-R2241-R2240</f>
        <v>0</v>
      </c>
      <c r="U2239" s="1176" t="n">
        <f aca="false">N2239-S2239-S2242-S2241-S2240</f>
        <v>0</v>
      </c>
    </row>
    <row r="2240" customFormat="false" ht="15" hidden="false" customHeight="true" outlineLevel="0" collapsed="false">
      <c r="A2240" s="1465"/>
      <c r="B2240" s="1173"/>
      <c r="C2240" s="1173"/>
      <c r="D2240" s="848" t="s">
        <v>8</v>
      </c>
      <c r="E2240" s="848" t="s">
        <v>2192</v>
      </c>
      <c r="F2240" s="831"/>
      <c r="G2240" s="1108"/>
      <c r="H2240" s="1407"/>
      <c r="I2240" s="1110"/>
      <c r="J2240" s="1110"/>
      <c r="K2240" s="1111"/>
      <c r="L2240" s="1114"/>
      <c r="M2240" s="1113"/>
      <c r="N2240" s="1114"/>
      <c r="O2240" s="1181"/>
      <c r="P2240" s="856" t="s">
        <v>2197</v>
      </c>
      <c r="Q2240" s="857" t="s">
        <v>3188</v>
      </c>
      <c r="R2240" s="952" t="n">
        <v>38857</v>
      </c>
      <c r="S2240" s="866" t="n">
        <f aca="false">R2240/H2239</f>
        <v>427</v>
      </c>
      <c r="T2240" s="1175"/>
      <c r="U2240" s="1176"/>
    </row>
    <row r="2241" customFormat="false" ht="15" hidden="false" customHeight="true" outlineLevel="0" collapsed="false">
      <c r="A2241" s="1465"/>
      <c r="B2241" s="1173"/>
      <c r="C2241" s="1173"/>
      <c r="D2241" s="848" t="s">
        <v>8</v>
      </c>
      <c r="E2241" s="848" t="s">
        <v>2192</v>
      </c>
      <c r="F2241" s="831"/>
      <c r="G2241" s="1108"/>
      <c r="H2241" s="1407"/>
      <c r="I2241" s="1110"/>
      <c r="J2241" s="1110"/>
      <c r="K2241" s="1111"/>
      <c r="L2241" s="1114"/>
      <c r="M2241" s="1113"/>
      <c r="N2241" s="1114"/>
      <c r="O2241" s="1181"/>
      <c r="P2241" s="856" t="s">
        <v>2197</v>
      </c>
      <c r="Q2241" s="857" t="s">
        <v>2376</v>
      </c>
      <c r="R2241" s="952" t="n">
        <v>218400</v>
      </c>
      <c r="S2241" s="866" t="n">
        <f aca="false">R2241/H2239</f>
        <v>2400</v>
      </c>
      <c r="T2241" s="1175"/>
      <c r="U2241" s="1176"/>
    </row>
    <row r="2242" customFormat="false" ht="15" hidden="false" customHeight="true" outlineLevel="0" collapsed="false">
      <c r="A2242" s="1465"/>
      <c r="B2242" s="1173"/>
      <c r="C2242" s="1173"/>
      <c r="D2242" s="848" t="s">
        <v>8</v>
      </c>
      <c r="E2242" s="848" t="s">
        <v>2192</v>
      </c>
      <c r="F2242" s="831"/>
      <c r="G2242" s="1108"/>
      <c r="H2242" s="1407"/>
      <c r="I2242" s="1110"/>
      <c r="J2242" s="1110"/>
      <c r="K2242" s="1111"/>
      <c r="L2242" s="1114"/>
      <c r="M2242" s="1113"/>
      <c r="N2242" s="1114"/>
      <c r="O2242" s="1181"/>
      <c r="P2242" s="856" t="s">
        <v>2193</v>
      </c>
      <c r="Q2242" s="857" t="s">
        <v>119</v>
      </c>
      <c r="R2242" s="952" t="n">
        <v>52780</v>
      </c>
      <c r="S2242" s="1178" t="n">
        <f aca="false">R2242/H2239</f>
        <v>580</v>
      </c>
      <c r="T2242" s="1175"/>
      <c r="U2242" s="1176"/>
    </row>
    <row r="2243" customFormat="false" ht="15" hidden="false" customHeight="true" outlineLevel="0" collapsed="false">
      <c r="A2243" s="1465"/>
      <c r="B2243" s="847" t="s">
        <v>86</v>
      </c>
      <c r="C2243" s="847" t="n">
        <v>2024</v>
      </c>
      <c r="D2243" s="848" t="s">
        <v>8</v>
      </c>
      <c r="E2243" s="848" t="s">
        <v>2203</v>
      </c>
      <c r="F2243" s="848"/>
      <c r="G2243" s="849"/>
      <c r="H2243" s="949" t="n">
        <v>0</v>
      </c>
      <c r="I2243" s="950"/>
      <c r="J2243" s="950"/>
      <c r="K2243" s="852" t="n">
        <f aca="false">H2243*I2243/100</f>
        <v>0</v>
      </c>
      <c r="L2243" s="537" t="n">
        <v>2497</v>
      </c>
      <c r="M2243" s="1007" t="n">
        <v>1</v>
      </c>
      <c r="N2243" s="537" t="n">
        <f aca="false">L2243*M2243</f>
        <v>2497</v>
      </c>
      <c r="O2243" s="953" t="n">
        <f aca="false">H2243*N2243</f>
        <v>0</v>
      </c>
      <c r="P2243" s="856" t="s">
        <v>2204</v>
      </c>
      <c r="Q2243" s="857" t="n">
        <v>31012025</v>
      </c>
      <c r="R2243" s="952" t="n">
        <v>0</v>
      </c>
      <c r="S2243" s="866" t="n">
        <v>2497</v>
      </c>
      <c r="T2243" s="543" t="n">
        <f aca="false">O2243-R2243</f>
        <v>0</v>
      </c>
      <c r="U2243" s="1135" t="n">
        <f aca="false">N2243-S2243</f>
        <v>0</v>
      </c>
    </row>
    <row r="2244" customFormat="false" ht="15" hidden="false" customHeight="true" outlineLevel="0" collapsed="false">
      <c r="A2244" s="1465"/>
      <c r="B2244" s="847" t="s">
        <v>86</v>
      </c>
      <c r="C2244" s="847" t="n">
        <v>2024</v>
      </c>
      <c r="D2244" s="848" t="s">
        <v>8</v>
      </c>
      <c r="E2244" s="848" t="s">
        <v>2241</v>
      </c>
      <c r="F2244" s="848"/>
      <c r="G2244" s="849"/>
      <c r="H2244" s="949" t="n">
        <v>0</v>
      </c>
      <c r="I2244" s="950"/>
      <c r="J2244" s="950"/>
      <c r="K2244" s="852" t="n">
        <f aca="false">H2244*I2244/100</f>
        <v>0</v>
      </c>
      <c r="L2244" s="537" t="n">
        <v>168</v>
      </c>
      <c r="M2244" s="1007" t="n">
        <v>1</v>
      </c>
      <c r="N2244" s="537" t="n">
        <f aca="false">L2244*M2244</f>
        <v>168</v>
      </c>
      <c r="O2244" s="953" t="n">
        <f aca="false">H2244*N2244</f>
        <v>0</v>
      </c>
      <c r="P2244" s="856" t="s">
        <v>2204</v>
      </c>
      <c r="Q2244" s="857" t="n">
        <v>22112024</v>
      </c>
      <c r="R2244" s="952" t="n">
        <v>0</v>
      </c>
      <c r="S2244" s="866" t="n">
        <v>168</v>
      </c>
      <c r="T2244" s="543" t="n">
        <f aca="false">O2244-R2244</f>
        <v>0</v>
      </c>
      <c r="U2244" s="1135" t="n">
        <f aca="false">N2244-S2244</f>
        <v>0</v>
      </c>
    </row>
    <row r="2245" customFormat="false" ht="15" hidden="false" customHeight="true" outlineLevel="0" collapsed="false">
      <c r="A2245" s="1465"/>
      <c r="B2245" s="903" t="s">
        <v>86</v>
      </c>
      <c r="C2245" s="903" t="n">
        <v>2024</v>
      </c>
      <c r="D2245" s="904" t="s">
        <v>8</v>
      </c>
      <c r="E2245" s="904" t="s">
        <v>2205</v>
      </c>
      <c r="F2245" s="904"/>
      <c r="G2245" s="905"/>
      <c r="H2245" s="946" t="n">
        <v>9.8</v>
      </c>
      <c r="I2245" s="947"/>
      <c r="J2245" s="947"/>
      <c r="K2245" s="939" t="n">
        <f aca="false">H2245*I2245/100</f>
        <v>0</v>
      </c>
      <c r="L2245" s="942" t="n">
        <v>422</v>
      </c>
      <c r="M2245" s="1023" t="n">
        <v>1</v>
      </c>
      <c r="N2245" s="942" t="n">
        <f aca="false">L2245*M2245</f>
        <v>422</v>
      </c>
      <c r="O2245" s="948" t="n">
        <f aca="false">H2245*N2245</f>
        <v>4135.6</v>
      </c>
      <c r="P2245" s="910" t="s">
        <v>2204</v>
      </c>
      <c r="Q2245" s="911" t="n">
        <v>22112024</v>
      </c>
      <c r="R2245" s="912" t="n">
        <v>4135.6</v>
      </c>
      <c r="S2245" s="891" t="n">
        <f aca="false">R2245/H2245</f>
        <v>422</v>
      </c>
      <c r="T2245" s="553" t="n">
        <f aca="false">O2245-R2245</f>
        <v>0</v>
      </c>
      <c r="U2245" s="1293" t="n">
        <f aca="false">N2245-S2245</f>
        <v>0</v>
      </c>
    </row>
    <row r="2246" customFormat="false" ht="15" hidden="false" customHeight="true" outlineLevel="0" collapsed="false">
      <c r="A2246" s="882" t="n">
        <v>107</v>
      </c>
      <c r="B2246" s="883" t="s">
        <v>2207</v>
      </c>
      <c r="C2246" s="883" t="n">
        <v>2024</v>
      </c>
      <c r="D2246" s="831" t="s">
        <v>8</v>
      </c>
      <c r="E2246" s="831" t="s">
        <v>2192</v>
      </c>
      <c r="F2246" s="832" t="s">
        <v>1651</v>
      </c>
      <c r="G2246" s="1530"/>
      <c r="H2246" s="834" t="n">
        <v>30.2055</v>
      </c>
      <c r="I2246" s="835"/>
      <c r="J2246" s="835"/>
      <c r="K2246" s="836" t="n">
        <f aca="false">H2246*I2246/100</f>
        <v>0</v>
      </c>
      <c r="L2246" s="837" t="n">
        <v>20185</v>
      </c>
      <c r="M2246" s="1003" t="n">
        <v>1</v>
      </c>
      <c r="N2246" s="837" t="n">
        <f aca="false">L2246*M2246</f>
        <v>20185</v>
      </c>
      <c r="O2246" s="943" t="n">
        <f aca="false">H2246*N2246</f>
        <v>609698.0175</v>
      </c>
      <c r="P2246" s="838" t="s">
        <v>2197</v>
      </c>
      <c r="Q2246" s="839" t="s">
        <v>3189</v>
      </c>
      <c r="R2246" s="944" t="n">
        <v>211438.5</v>
      </c>
      <c r="S2246" s="840" t="n">
        <f aca="false">R2246/H2246</f>
        <v>7000</v>
      </c>
      <c r="T2246" s="943" t="n">
        <f aca="false">O2246-R2246-R2247-R2248</f>
        <v>0</v>
      </c>
      <c r="U2246" s="842" t="n">
        <f aca="false">N2246-S2246-S2247-S2248</f>
        <v>0</v>
      </c>
    </row>
    <row r="2247" customFormat="false" ht="15" hidden="false" customHeight="true" outlineLevel="0" collapsed="false">
      <c r="A2247" s="882"/>
      <c r="B2247" s="883"/>
      <c r="C2247" s="883"/>
      <c r="D2247" s="848" t="s">
        <v>8</v>
      </c>
      <c r="E2247" s="848" t="s">
        <v>2192</v>
      </c>
      <c r="F2247" s="832"/>
      <c r="G2247" s="1774"/>
      <c r="H2247" s="834"/>
      <c r="I2247" s="835"/>
      <c r="J2247" s="835"/>
      <c r="K2247" s="836"/>
      <c r="L2247" s="837"/>
      <c r="M2247" s="1003"/>
      <c r="N2247" s="837"/>
      <c r="O2247" s="943"/>
      <c r="P2247" s="856" t="s">
        <v>2197</v>
      </c>
      <c r="Q2247" s="857" t="s">
        <v>3190</v>
      </c>
      <c r="R2247" s="952" t="n">
        <v>301752.945</v>
      </c>
      <c r="S2247" s="866" t="n">
        <f aca="false">R2247/H2246</f>
        <v>9990</v>
      </c>
      <c r="T2247" s="943"/>
      <c r="U2247" s="842"/>
    </row>
    <row r="2248" customFormat="false" ht="15" hidden="false" customHeight="true" outlineLevel="0" collapsed="false">
      <c r="A2248" s="882"/>
      <c r="B2248" s="883"/>
      <c r="C2248" s="883"/>
      <c r="D2248" s="887" t="s">
        <v>8</v>
      </c>
      <c r="E2248" s="887" t="s">
        <v>2192</v>
      </c>
      <c r="F2248" s="832"/>
      <c r="G2248" s="1531"/>
      <c r="H2248" s="834"/>
      <c r="I2248" s="835"/>
      <c r="J2248" s="835"/>
      <c r="K2248" s="836"/>
      <c r="L2248" s="837"/>
      <c r="M2248" s="1003"/>
      <c r="N2248" s="837"/>
      <c r="O2248" s="943"/>
      <c r="P2248" s="888" t="s">
        <v>2197</v>
      </c>
      <c r="Q2248" s="889" t="s">
        <v>3191</v>
      </c>
      <c r="R2248" s="945" t="n">
        <v>96506.5725</v>
      </c>
      <c r="S2248" s="846" t="n">
        <f aca="false">R2248/H2246</f>
        <v>3195</v>
      </c>
      <c r="T2248" s="943"/>
      <c r="U2248" s="842"/>
    </row>
    <row r="2249" customFormat="false" ht="15" hidden="false" customHeight="true" outlineLevel="0" collapsed="false">
      <c r="A2249" s="903" t="n">
        <v>108</v>
      </c>
      <c r="B2249" s="903" t="s">
        <v>2207</v>
      </c>
      <c r="C2249" s="903" t="n">
        <v>2024</v>
      </c>
      <c r="D2249" s="904" t="s">
        <v>8</v>
      </c>
      <c r="E2249" s="904" t="s">
        <v>2192</v>
      </c>
      <c r="F2249" s="904" t="s">
        <v>1652</v>
      </c>
      <c r="G2249" s="905"/>
      <c r="H2249" s="946" t="n">
        <v>54.9791</v>
      </c>
      <c r="I2249" s="947"/>
      <c r="J2249" s="947"/>
      <c r="K2249" s="939" t="n">
        <f aca="false">H2249*I2249/100</f>
        <v>0</v>
      </c>
      <c r="L2249" s="942" t="n">
        <v>960</v>
      </c>
      <c r="M2249" s="1023" t="n">
        <v>1</v>
      </c>
      <c r="N2249" s="942" t="n">
        <f aca="false">L2249*M2249</f>
        <v>960</v>
      </c>
      <c r="O2249" s="948" t="n">
        <f aca="false">H2249*N2249</f>
        <v>52779.936</v>
      </c>
      <c r="P2249" s="910" t="s">
        <v>2197</v>
      </c>
      <c r="Q2249" s="911" t="s">
        <v>3192</v>
      </c>
      <c r="R2249" s="912" t="n">
        <v>52779.936</v>
      </c>
      <c r="S2249" s="891" t="n">
        <f aca="false">R2249/H2249</f>
        <v>960</v>
      </c>
      <c r="T2249" s="942" t="n">
        <f aca="false">O2249-R2249</f>
        <v>0</v>
      </c>
      <c r="U2249" s="942" t="n">
        <f aca="false">N2249-S2249</f>
        <v>0</v>
      </c>
    </row>
    <row r="2250" customFormat="false" ht="15" hidden="false" customHeight="true" outlineLevel="0" collapsed="false">
      <c r="A2250" s="829" t="n">
        <v>106</v>
      </c>
      <c r="B2250" s="830" t="s">
        <v>81</v>
      </c>
      <c r="C2250" s="830" t="n">
        <v>2024</v>
      </c>
      <c r="D2250" s="831" t="s">
        <v>8</v>
      </c>
      <c r="E2250" s="831" t="s">
        <v>2192</v>
      </c>
      <c r="F2250" s="832" t="s">
        <v>1650</v>
      </c>
      <c r="G2250" s="833"/>
      <c r="H2250" s="834" t="n">
        <v>94.3</v>
      </c>
      <c r="I2250" s="835"/>
      <c r="J2250" s="835"/>
      <c r="K2250" s="836" t="n">
        <f aca="false">H2250*I2250/100</f>
        <v>0</v>
      </c>
      <c r="L2250" s="837" t="n">
        <v>1600</v>
      </c>
      <c r="M2250" s="1003" t="n">
        <v>1</v>
      </c>
      <c r="N2250" s="837" t="n">
        <f aca="false">L2250*M2250</f>
        <v>1600</v>
      </c>
      <c r="O2250" s="943" t="n">
        <f aca="false">H2250*N2250</f>
        <v>150880</v>
      </c>
      <c r="P2250" s="838" t="s">
        <v>2232</v>
      </c>
      <c r="Q2250" s="839" t="s">
        <v>102</v>
      </c>
      <c r="R2250" s="944" t="n">
        <v>103730</v>
      </c>
      <c r="S2250" s="840" t="n">
        <f aca="false">R2250/H2250</f>
        <v>1100</v>
      </c>
      <c r="T2250" s="837" t="n">
        <f aca="false">O2250-R2250-R2251</f>
        <v>0</v>
      </c>
      <c r="U2250" s="842" t="n">
        <f aca="false">N2250-S2250-S2251</f>
        <v>0</v>
      </c>
    </row>
    <row r="2251" customFormat="false" ht="15" hidden="false" customHeight="true" outlineLevel="0" collapsed="false">
      <c r="A2251" s="829"/>
      <c r="B2251" s="830"/>
      <c r="C2251" s="830"/>
      <c r="D2251" s="887" t="s">
        <v>8</v>
      </c>
      <c r="E2251" s="887" t="s">
        <v>2192</v>
      </c>
      <c r="F2251" s="832"/>
      <c r="G2251" s="833"/>
      <c r="H2251" s="834"/>
      <c r="I2251" s="835"/>
      <c r="J2251" s="835"/>
      <c r="K2251" s="836"/>
      <c r="L2251" s="837"/>
      <c r="M2251" s="1003"/>
      <c r="N2251" s="837"/>
      <c r="O2251" s="943"/>
      <c r="P2251" s="888" t="s">
        <v>2193</v>
      </c>
      <c r="Q2251" s="889" t="s">
        <v>2779</v>
      </c>
      <c r="R2251" s="945" t="n">
        <v>47150</v>
      </c>
      <c r="S2251" s="846" t="n">
        <f aca="false">R2251/H2250</f>
        <v>500</v>
      </c>
      <c r="T2251" s="837"/>
      <c r="U2251" s="842"/>
    </row>
    <row r="2252" customFormat="false" ht="15" hidden="false" customHeight="true" outlineLevel="0" collapsed="false">
      <c r="A2252" s="847" t="n">
        <v>38</v>
      </c>
      <c r="B2252" s="847" t="s">
        <v>2230</v>
      </c>
      <c r="C2252" s="847" t="n">
        <v>2024</v>
      </c>
      <c r="D2252" s="848" t="s">
        <v>8</v>
      </c>
      <c r="E2252" s="848" t="s">
        <v>2192</v>
      </c>
      <c r="F2252" s="848" t="s">
        <v>2131</v>
      </c>
      <c r="G2252" s="849"/>
      <c r="H2252" s="949" t="n">
        <v>63.1807</v>
      </c>
      <c r="I2252" s="950"/>
      <c r="J2252" s="950"/>
      <c r="K2252" s="852" t="n">
        <f aca="false">H2252*I2252/100</f>
        <v>0</v>
      </c>
      <c r="L2252" s="537" t="n">
        <v>2300</v>
      </c>
      <c r="M2252" s="1007" t="n">
        <v>1</v>
      </c>
      <c r="N2252" s="537" t="n">
        <f aca="false">L2252*M2252</f>
        <v>2300</v>
      </c>
      <c r="O2252" s="953" t="n">
        <f aca="false">H2252*N2252</f>
        <v>145315.61</v>
      </c>
      <c r="P2252" s="856" t="s">
        <v>2197</v>
      </c>
      <c r="Q2252" s="857" t="s">
        <v>3193</v>
      </c>
      <c r="R2252" s="952" t="n">
        <v>145315.61</v>
      </c>
      <c r="S2252" s="854" t="n">
        <f aca="false">R2252/H2252</f>
        <v>2300</v>
      </c>
      <c r="T2252" s="537" t="n">
        <f aca="false">O2252-R2252</f>
        <v>0</v>
      </c>
      <c r="U2252" s="537" t="n">
        <f aca="false">N2252-S2252</f>
        <v>0</v>
      </c>
    </row>
    <row r="2253" customFormat="false" ht="15" hidden="false" customHeight="true" outlineLevel="0" collapsed="false">
      <c r="A2253" s="847" t="n">
        <v>130</v>
      </c>
      <c r="B2253" s="847" t="s">
        <v>2207</v>
      </c>
      <c r="C2253" s="847" t="n">
        <v>2024</v>
      </c>
      <c r="D2253" s="848" t="s">
        <v>8</v>
      </c>
      <c r="E2253" s="848" t="s">
        <v>2192</v>
      </c>
      <c r="F2253" s="848" t="s">
        <v>1651</v>
      </c>
      <c r="G2253" s="849"/>
      <c r="H2253" s="949" t="n">
        <v>34.8484</v>
      </c>
      <c r="I2253" s="950"/>
      <c r="J2253" s="950"/>
      <c r="K2253" s="852" t="n">
        <f aca="false">H2253*I2253/100</f>
        <v>0</v>
      </c>
      <c r="L2253" s="537" t="n">
        <v>1353</v>
      </c>
      <c r="M2253" s="1007" t="n">
        <v>1</v>
      </c>
      <c r="N2253" s="537" t="n">
        <f aca="false">L2253*M2253</f>
        <v>1353</v>
      </c>
      <c r="O2253" s="953" t="n">
        <f aca="false">H2253*N2253</f>
        <v>47149.8852</v>
      </c>
      <c r="P2253" s="856" t="s">
        <v>2197</v>
      </c>
      <c r="Q2253" s="857" t="s">
        <v>3194</v>
      </c>
      <c r="R2253" s="952" t="n">
        <v>47149.8852</v>
      </c>
      <c r="S2253" s="854" t="n">
        <f aca="false">R2253/H2253</f>
        <v>1353</v>
      </c>
      <c r="T2253" s="953" t="n">
        <f aca="false">O2253-R2253</f>
        <v>0</v>
      </c>
      <c r="U2253" s="537" t="n">
        <f aca="false">N2253-S2253</f>
        <v>0</v>
      </c>
    </row>
    <row r="2254" customFormat="false" ht="15" hidden="false" customHeight="true" outlineLevel="0" collapsed="false">
      <c r="A2254" s="903" t="n">
        <v>134</v>
      </c>
      <c r="B2254" s="903" t="s">
        <v>81</v>
      </c>
      <c r="C2254" s="903" t="n">
        <v>2024</v>
      </c>
      <c r="D2254" s="904" t="s">
        <v>8</v>
      </c>
      <c r="E2254" s="904" t="s">
        <v>2192</v>
      </c>
      <c r="F2254" s="904" t="s">
        <v>2199</v>
      </c>
      <c r="G2254" s="905"/>
      <c r="H2254" s="946" t="n">
        <v>74.3</v>
      </c>
      <c r="I2254" s="947"/>
      <c r="J2254" s="947"/>
      <c r="K2254" s="939" t="n">
        <f aca="false">H2254*I2254/100</f>
        <v>0</v>
      </c>
      <c r="L2254" s="942" t="n">
        <v>19640</v>
      </c>
      <c r="M2254" s="1023" t="n">
        <v>1</v>
      </c>
      <c r="N2254" s="942" t="n">
        <f aca="false">L2254*M2254</f>
        <v>19640</v>
      </c>
      <c r="O2254" s="948" t="n">
        <f aca="false">H2254*N2254</f>
        <v>1459252</v>
      </c>
      <c r="P2254" s="910" t="s">
        <v>2200</v>
      </c>
      <c r="Q2254" s="911" t="s">
        <v>119</v>
      </c>
      <c r="R2254" s="912" t="n">
        <v>1459252</v>
      </c>
      <c r="S2254" s="891" t="n">
        <f aca="false">R2254/H2254</f>
        <v>19640</v>
      </c>
      <c r="T2254" s="948" t="n">
        <f aca="false">O2254-R2254</f>
        <v>0</v>
      </c>
      <c r="U2254" s="942" t="n">
        <f aca="false">N2254-S2254</f>
        <v>0</v>
      </c>
    </row>
    <row r="2255" customFormat="false" ht="15" hidden="false" customHeight="true" outlineLevel="0" collapsed="false">
      <c r="A2255" s="881" t="n">
        <v>108</v>
      </c>
      <c r="B2255" s="882" t="s">
        <v>86</v>
      </c>
      <c r="C2255" s="830" t="n">
        <v>2024</v>
      </c>
      <c r="D2255" s="831" t="s">
        <v>8</v>
      </c>
      <c r="E2255" s="831" t="s">
        <v>2192</v>
      </c>
      <c r="F2255" s="832" t="s">
        <v>1650</v>
      </c>
      <c r="G2255" s="833"/>
      <c r="H2255" s="834" t="n">
        <v>90.9</v>
      </c>
      <c r="I2255" s="835"/>
      <c r="J2255" s="835"/>
      <c r="K2255" s="836" t="n">
        <f aca="false">H2255*I2255/100</f>
        <v>0</v>
      </c>
      <c r="L2255" s="837" t="n">
        <v>13592</v>
      </c>
      <c r="M2255" s="1003" t="n">
        <v>1</v>
      </c>
      <c r="N2255" s="837" t="n">
        <f aca="false">L2255*M2255</f>
        <v>13592</v>
      </c>
      <c r="O2255" s="943" t="n">
        <f aca="false">H2255*N2255</f>
        <v>1235512.8</v>
      </c>
      <c r="P2255" s="838" t="s">
        <v>2197</v>
      </c>
      <c r="Q2255" s="839" t="s">
        <v>3195</v>
      </c>
      <c r="R2255" s="944" t="n">
        <v>163620</v>
      </c>
      <c r="S2255" s="886" t="n">
        <f aca="false">R2255/H2255</f>
        <v>1800</v>
      </c>
      <c r="T2255" s="943" t="n">
        <f aca="false">O2255-R2255-R2261-R2260-R2256-R2257-R2259-R2258</f>
        <v>0</v>
      </c>
      <c r="U2255" s="842" t="n">
        <f aca="false">N2255-S2255-S2261-S2260-S2256-S2257-S2259-S2258</f>
        <v>0</v>
      </c>
    </row>
    <row r="2256" customFormat="false" ht="15" hidden="false" customHeight="true" outlineLevel="0" collapsed="false">
      <c r="A2256" s="881"/>
      <c r="B2256" s="882"/>
      <c r="C2256" s="830"/>
      <c r="D2256" s="848" t="s">
        <v>8</v>
      </c>
      <c r="E2256" s="848" t="s">
        <v>2192</v>
      </c>
      <c r="F2256" s="832"/>
      <c r="G2256" s="833"/>
      <c r="H2256" s="834"/>
      <c r="I2256" s="835"/>
      <c r="J2256" s="835"/>
      <c r="K2256" s="836"/>
      <c r="L2256" s="837"/>
      <c r="M2256" s="1003"/>
      <c r="N2256" s="837"/>
      <c r="O2256" s="943"/>
      <c r="P2256" s="856" t="s">
        <v>2193</v>
      </c>
      <c r="Q2256" s="857" t="s">
        <v>2826</v>
      </c>
      <c r="R2256" s="952" t="n">
        <v>86355</v>
      </c>
      <c r="S2256" s="866" t="n">
        <f aca="false">R2256/H2255</f>
        <v>950</v>
      </c>
      <c r="T2256" s="943"/>
      <c r="U2256" s="842"/>
    </row>
    <row r="2257" customFormat="false" ht="15" hidden="false" customHeight="true" outlineLevel="0" collapsed="false">
      <c r="A2257" s="881"/>
      <c r="B2257" s="882"/>
      <c r="C2257" s="830"/>
      <c r="D2257" s="848" t="s">
        <v>8</v>
      </c>
      <c r="E2257" s="848" t="s">
        <v>2192</v>
      </c>
      <c r="F2257" s="832"/>
      <c r="G2257" s="833"/>
      <c r="H2257" s="834"/>
      <c r="I2257" s="835"/>
      <c r="J2257" s="835"/>
      <c r="K2257" s="836"/>
      <c r="L2257" s="837"/>
      <c r="M2257" s="1003"/>
      <c r="N2257" s="837"/>
      <c r="O2257" s="943"/>
      <c r="P2257" s="856" t="s">
        <v>2193</v>
      </c>
      <c r="Q2257" s="857" t="s">
        <v>2930</v>
      </c>
      <c r="R2257" s="952" t="n">
        <v>424503</v>
      </c>
      <c r="S2257" s="866" t="n">
        <f aca="false">R2257/H2255</f>
        <v>4670</v>
      </c>
      <c r="T2257" s="943"/>
      <c r="U2257" s="842"/>
    </row>
    <row r="2258" customFormat="false" ht="15" hidden="false" customHeight="true" outlineLevel="0" collapsed="false">
      <c r="A2258" s="881"/>
      <c r="B2258" s="882"/>
      <c r="C2258" s="830"/>
      <c r="D2258" s="848" t="s">
        <v>8</v>
      </c>
      <c r="E2258" s="848" t="s">
        <v>2192</v>
      </c>
      <c r="F2258" s="832"/>
      <c r="G2258" s="833"/>
      <c r="H2258" s="834"/>
      <c r="I2258" s="835"/>
      <c r="J2258" s="835"/>
      <c r="K2258" s="836"/>
      <c r="L2258" s="837"/>
      <c r="M2258" s="1003"/>
      <c r="N2258" s="837"/>
      <c r="O2258" s="943"/>
      <c r="P2258" s="856" t="s">
        <v>2232</v>
      </c>
      <c r="Q2258" s="857" t="s">
        <v>110</v>
      </c>
      <c r="R2258" s="952" t="n">
        <v>54540</v>
      </c>
      <c r="S2258" s="866" t="n">
        <f aca="false">R2258/H2255</f>
        <v>600</v>
      </c>
      <c r="T2258" s="943"/>
      <c r="U2258" s="842"/>
    </row>
    <row r="2259" customFormat="false" ht="15" hidden="false" customHeight="true" outlineLevel="0" collapsed="false">
      <c r="A2259" s="881"/>
      <c r="B2259" s="882"/>
      <c r="C2259" s="830"/>
      <c r="D2259" s="848" t="s">
        <v>8</v>
      </c>
      <c r="E2259" s="848" t="s">
        <v>2192</v>
      </c>
      <c r="F2259" s="832"/>
      <c r="G2259" s="833"/>
      <c r="H2259" s="834"/>
      <c r="I2259" s="835"/>
      <c r="J2259" s="835"/>
      <c r="K2259" s="836"/>
      <c r="L2259" s="837"/>
      <c r="M2259" s="1003"/>
      <c r="N2259" s="837"/>
      <c r="O2259" s="943"/>
      <c r="P2259" s="856" t="s">
        <v>2193</v>
      </c>
      <c r="Q2259" s="857" t="s">
        <v>3196</v>
      </c>
      <c r="R2259" s="952" t="n">
        <v>115624.8</v>
      </c>
      <c r="S2259" s="866" t="n">
        <f aca="false">R2259/H2255</f>
        <v>1272</v>
      </c>
      <c r="T2259" s="943"/>
      <c r="U2259" s="842"/>
    </row>
    <row r="2260" customFormat="false" ht="15" hidden="false" customHeight="true" outlineLevel="0" collapsed="false">
      <c r="A2260" s="881"/>
      <c r="B2260" s="882"/>
      <c r="C2260" s="830"/>
      <c r="D2260" s="860" t="s">
        <v>8</v>
      </c>
      <c r="E2260" s="860" t="s">
        <v>2192</v>
      </c>
      <c r="F2260" s="832"/>
      <c r="G2260" s="833"/>
      <c r="H2260" s="834"/>
      <c r="I2260" s="835"/>
      <c r="J2260" s="835"/>
      <c r="K2260" s="836"/>
      <c r="L2260" s="837"/>
      <c r="M2260" s="1003"/>
      <c r="N2260" s="837"/>
      <c r="O2260" s="943"/>
      <c r="P2260" s="868" t="s">
        <v>2193</v>
      </c>
      <c r="Q2260" s="869" t="s">
        <v>2927</v>
      </c>
      <c r="R2260" s="1448" t="n">
        <v>313605</v>
      </c>
      <c r="S2260" s="866" t="n">
        <f aca="false">R2260/H2255</f>
        <v>3450</v>
      </c>
      <c r="T2260" s="943"/>
      <c r="U2260" s="842"/>
    </row>
    <row r="2261" customFormat="false" ht="15" hidden="false" customHeight="true" outlineLevel="0" collapsed="false">
      <c r="A2261" s="881"/>
      <c r="B2261" s="882"/>
      <c r="C2261" s="830"/>
      <c r="D2261" s="887" t="s">
        <v>8</v>
      </c>
      <c r="E2261" s="887" t="s">
        <v>2192</v>
      </c>
      <c r="F2261" s="832"/>
      <c r="G2261" s="833"/>
      <c r="H2261" s="834"/>
      <c r="I2261" s="835"/>
      <c r="J2261" s="835"/>
      <c r="K2261" s="836"/>
      <c r="L2261" s="837"/>
      <c r="M2261" s="1003"/>
      <c r="N2261" s="837"/>
      <c r="O2261" s="943"/>
      <c r="P2261" s="888" t="s">
        <v>2193</v>
      </c>
      <c r="Q2261" s="889" t="s">
        <v>3112</v>
      </c>
      <c r="R2261" s="945" t="n">
        <v>77265</v>
      </c>
      <c r="S2261" s="890" t="n">
        <f aca="false">R2261/H2255</f>
        <v>850</v>
      </c>
      <c r="T2261" s="943"/>
      <c r="U2261" s="842"/>
    </row>
    <row r="2262" customFormat="false" ht="15" hidden="false" customHeight="true" outlineLevel="0" collapsed="false">
      <c r="A2262" s="881"/>
      <c r="B2262" s="847" t="s">
        <v>86</v>
      </c>
      <c r="C2262" s="847" t="n">
        <v>2024</v>
      </c>
      <c r="D2262" s="848" t="s">
        <v>8</v>
      </c>
      <c r="E2262" s="848" t="s">
        <v>2242</v>
      </c>
      <c r="F2262" s="848"/>
      <c r="G2262" s="849"/>
      <c r="H2262" s="949" t="n">
        <v>76.2</v>
      </c>
      <c r="I2262" s="950"/>
      <c r="J2262" s="950"/>
      <c r="K2262" s="852" t="n">
        <f aca="false">H2262*I2262/100</f>
        <v>0</v>
      </c>
      <c r="L2262" s="537" t="n">
        <v>485</v>
      </c>
      <c r="M2262" s="1007" t="n">
        <v>1</v>
      </c>
      <c r="N2262" s="537" t="n">
        <f aca="false">L2262*M2262</f>
        <v>485</v>
      </c>
      <c r="O2262" s="953" t="n">
        <f aca="false">H2262*N2262</f>
        <v>36957</v>
      </c>
      <c r="P2262" s="856" t="s">
        <v>2232</v>
      </c>
      <c r="Q2262" s="857" t="s">
        <v>2494</v>
      </c>
      <c r="R2262" s="952" t="n">
        <v>36957</v>
      </c>
      <c r="S2262" s="854" t="n">
        <f aca="false">R2262/H2262</f>
        <v>485</v>
      </c>
      <c r="T2262" s="953" t="n">
        <f aca="false">O2262-R2262</f>
        <v>0</v>
      </c>
      <c r="U2262" s="892" t="n">
        <f aca="false">N2262-S2262</f>
        <v>0</v>
      </c>
    </row>
    <row r="2263" customFormat="false" ht="15" hidden="false" customHeight="true" outlineLevel="0" collapsed="false">
      <c r="A2263" s="881"/>
      <c r="B2263" s="859" t="s">
        <v>86</v>
      </c>
      <c r="C2263" s="859" t="n">
        <v>2024</v>
      </c>
      <c r="D2263" s="860" t="s">
        <v>8</v>
      </c>
      <c r="E2263" s="860" t="s">
        <v>2203</v>
      </c>
      <c r="F2263" s="860"/>
      <c r="G2263" s="861"/>
      <c r="H2263" s="980" t="n">
        <v>8.3</v>
      </c>
      <c r="I2263" s="981"/>
      <c r="J2263" s="981"/>
      <c r="K2263" s="864" t="n">
        <f aca="false">H2263*I2263/100</f>
        <v>0</v>
      </c>
      <c r="L2263" s="543" t="n">
        <v>3107</v>
      </c>
      <c r="M2263" s="983" t="n">
        <v>1</v>
      </c>
      <c r="N2263" s="543" t="n">
        <f aca="false">L2263*M2263</f>
        <v>3107</v>
      </c>
      <c r="O2263" s="1449" t="n">
        <f aca="false">H2263*N2263</f>
        <v>25788.1</v>
      </c>
      <c r="P2263" s="868" t="s">
        <v>2204</v>
      </c>
      <c r="Q2263" s="869" t="n">
        <v>31012025</v>
      </c>
      <c r="R2263" s="1448" t="n">
        <v>25788.1</v>
      </c>
      <c r="S2263" s="854" t="n">
        <f aca="false">R2263/H2263</f>
        <v>3107</v>
      </c>
      <c r="T2263" s="1449" t="n">
        <f aca="false">O2263-R2263</f>
        <v>0</v>
      </c>
      <c r="U2263" s="1135" t="n">
        <f aca="false">N2263-S2263</f>
        <v>0</v>
      </c>
    </row>
    <row r="2264" customFormat="false" ht="15" hidden="false" customHeight="true" outlineLevel="0" collapsed="false">
      <c r="A2264" s="881"/>
      <c r="B2264" s="859" t="s">
        <v>86</v>
      </c>
      <c r="C2264" s="859" t="n">
        <v>2024</v>
      </c>
      <c r="D2264" s="860" t="s">
        <v>8</v>
      </c>
      <c r="E2264" s="860" t="s">
        <v>2241</v>
      </c>
      <c r="F2264" s="860"/>
      <c r="G2264" s="861"/>
      <c r="H2264" s="980" t="n">
        <v>34.1</v>
      </c>
      <c r="I2264" s="981"/>
      <c r="J2264" s="981"/>
      <c r="K2264" s="864" t="n">
        <f aca="false">H2264*I2264/100</f>
        <v>0</v>
      </c>
      <c r="L2264" s="543" t="n">
        <v>395</v>
      </c>
      <c r="M2264" s="983" t="n">
        <v>1</v>
      </c>
      <c r="N2264" s="543" t="n">
        <f aca="false">L2264*M2264</f>
        <v>395</v>
      </c>
      <c r="O2264" s="1449" t="n">
        <f aca="false">H2264*N2264</f>
        <v>13469.5</v>
      </c>
      <c r="P2264" s="868" t="s">
        <v>2204</v>
      </c>
      <c r="Q2264" s="869" t="n">
        <v>31012025</v>
      </c>
      <c r="R2264" s="1448" t="n">
        <v>13469.5</v>
      </c>
      <c r="S2264" s="854" t="n">
        <f aca="false">R2264/H2264</f>
        <v>395</v>
      </c>
      <c r="T2264" s="1449" t="n">
        <f aca="false">O2264-R2264</f>
        <v>0</v>
      </c>
      <c r="U2264" s="1135" t="n">
        <f aca="false">N2264-S2264</f>
        <v>0</v>
      </c>
    </row>
    <row r="2265" customFormat="false" ht="15" hidden="false" customHeight="true" outlineLevel="0" collapsed="false">
      <c r="A2265" s="881"/>
      <c r="B2265" s="893" t="s">
        <v>86</v>
      </c>
      <c r="C2265" s="893" t="n">
        <v>2024</v>
      </c>
      <c r="D2265" s="843" t="s">
        <v>8</v>
      </c>
      <c r="E2265" s="843" t="s">
        <v>2205</v>
      </c>
      <c r="F2265" s="843"/>
      <c r="G2265" s="894"/>
      <c r="H2265" s="1103" t="n">
        <v>0</v>
      </c>
      <c r="I2265" s="1104"/>
      <c r="J2265" s="1104"/>
      <c r="K2265" s="897" t="n">
        <f aca="false">H2265*I2265/100</f>
        <v>0</v>
      </c>
      <c r="L2265" s="589" t="n">
        <v>1782</v>
      </c>
      <c r="M2265" s="1106" t="n">
        <v>1</v>
      </c>
      <c r="N2265" s="589" t="n">
        <f aca="false">L2265*M2265</f>
        <v>1782</v>
      </c>
      <c r="O2265" s="1183" t="n">
        <f aca="false">H2265*N2265</f>
        <v>0</v>
      </c>
      <c r="P2265" s="844" t="s">
        <v>2204</v>
      </c>
      <c r="Q2265" s="845" t="n">
        <v>31012025</v>
      </c>
      <c r="R2265" s="1350"/>
      <c r="S2265" s="890" t="n">
        <v>1782</v>
      </c>
      <c r="T2265" s="1183" t="n">
        <f aca="false">O2265-R2265</f>
        <v>0</v>
      </c>
      <c r="U2265" s="902" t="n">
        <f aca="false">N2265-S2265</f>
        <v>0</v>
      </c>
    </row>
    <row r="2266" customFormat="false" ht="15" hidden="false" customHeight="true" outlineLevel="0" collapsed="false">
      <c r="A2266" s="1609" t="n">
        <v>147</v>
      </c>
      <c r="B2266" s="1610" t="s">
        <v>2207</v>
      </c>
      <c r="C2266" s="1610" t="n">
        <v>2024</v>
      </c>
      <c r="D2266" s="848" t="s">
        <v>8</v>
      </c>
      <c r="E2266" s="848" t="s">
        <v>2192</v>
      </c>
      <c r="F2266" s="904" t="s">
        <v>1651</v>
      </c>
      <c r="G2266" s="905"/>
      <c r="H2266" s="946" t="n">
        <v>31.744</v>
      </c>
      <c r="I2266" s="947"/>
      <c r="J2266" s="947"/>
      <c r="K2266" s="939" t="n">
        <f aca="false">H2266*I2266/100</f>
        <v>0</v>
      </c>
      <c r="L2266" s="942" t="n">
        <v>2434</v>
      </c>
      <c r="M2266" s="1023" t="n">
        <v>1</v>
      </c>
      <c r="N2266" s="942" t="n">
        <f aca="false">L2266*M2266</f>
        <v>2434</v>
      </c>
      <c r="O2266" s="948" t="n">
        <f aca="false">H2266*N2266</f>
        <v>77264.896</v>
      </c>
      <c r="P2266" s="856" t="s">
        <v>2197</v>
      </c>
      <c r="Q2266" s="857" t="s">
        <v>3197</v>
      </c>
      <c r="R2266" s="952" t="n">
        <v>61900.8</v>
      </c>
      <c r="S2266" s="854" t="n">
        <f aca="false">R2266/H2266</f>
        <v>1950</v>
      </c>
      <c r="T2266" s="948" t="n">
        <f aca="false">O2266-R2266-R2267</f>
        <v>0</v>
      </c>
      <c r="U2266" s="1026" t="n">
        <f aca="false">N2266-S2266-S2267</f>
        <v>0</v>
      </c>
    </row>
    <row r="2267" customFormat="false" ht="15" hidden="false" customHeight="true" outlineLevel="0" collapsed="false">
      <c r="A2267" s="1609"/>
      <c r="B2267" s="1610"/>
      <c r="C2267" s="1610"/>
      <c r="D2267" s="904" t="s">
        <v>8</v>
      </c>
      <c r="E2267" s="904" t="s">
        <v>2192</v>
      </c>
      <c r="F2267" s="904"/>
      <c r="G2267" s="905"/>
      <c r="H2267" s="946"/>
      <c r="I2267" s="947"/>
      <c r="J2267" s="947"/>
      <c r="K2267" s="939"/>
      <c r="L2267" s="942"/>
      <c r="M2267" s="1023"/>
      <c r="N2267" s="942"/>
      <c r="O2267" s="948"/>
      <c r="P2267" s="910" t="s">
        <v>2197</v>
      </c>
      <c r="Q2267" s="911" t="s">
        <v>3198</v>
      </c>
      <c r="R2267" s="912" t="n">
        <v>15364.096</v>
      </c>
      <c r="S2267" s="891" t="n">
        <f aca="false">R2267/H2266</f>
        <v>484</v>
      </c>
      <c r="T2267" s="948"/>
      <c r="U2267" s="1026"/>
    </row>
    <row r="2268" customFormat="false" ht="15" hidden="false" customHeight="true" outlineLevel="0" collapsed="false">
      <c r="A2268" s="882" t="n">
        <v>148</v>
      </c>
      <c r="B2268" s="883" t="s">
        <v>2207</v>
      </c>
      <c r="C2268" s="883" t="n">
        <v>2024</v>
      </c>
      <c r="D2268" s="831" t="s">
        <v>8</v>
      </c>
      <c r="E2268" s="831" t="s">
        <v>2192</v>
      </c>
      <c r="F2268" s="832" t="s">
        <v>1651</v>
      </c>
      <c r="G2268" s="833"/>
      <c r="H2268" s="834" t="n">
        <v>27.4947</v>
      </c>
      <c r="I2268" s="835"/>
      <c r="J2268" s="835"/>
      <c r="K2268" s="836" t="n">
        <f aca="false">H2268*I2268/100</f>
        <v>0</v>
      </c>
      <c r="L2268" s="837" t="n">
        <v>11406</v>
      </c>
      <c r="M2268" s="1003" t="n">
        <v>1</v>
      </c>
      <c r="N2268" s="837" t="n">
        <f aca="false">L2268*M2268</f>
        <v>11406</v>
      </c>
      <c r="O2268" s="943" t="n">
        <f aca="false">H2268*N2268</f>
        <v>313604.5482</v>
      </c>
      <c r="P2268" s="838" t="s">
        <v>2197</v>
      </c>
      <c r="Q2268" s="839" t="s">
        <v>3199</v>
      </c>
      <c r="R2268" s="944" t="n">
        <v>82484.1</v>
      </c>
      <c r="S2268" s="840" t="n">
        <f aca="false">R2268/H2268</f>
        <v>3000</v>
      </c>
      <c r="T2268" s="943" t="n">
        <f aca="false">O2268-R2268-R2269-R2270</f>
        <v>0</v>
      </c>
      <c r="U2268" s="842" t="n">
        <f aca="false">N2268-S2268-S2269-S2270</f>
        <v>0</v>
      </c>
    </row>
    <row r="2269" customFormat="false" ht="15" hidden="false" customHeight="true" outlineLevel="0" collapsed="false">
      <c r="A2269" s="882"/>
      <c r="B2269" s="883"/>
      <c r="C2269" s="883"/>
      <c r="D2269" s="848" t="s">
        <v>8</v>
      </c>
      <c r="E2269" s="848" t="s">
        <v>2192</v>
      </c>
      <c r="F2269" s="832"/>
      <c r="G2269" s="833"/>
      <c r="H2269" s="834"/>
      <c r="I2269" s="835"/>
      <c r="J2269" s="835"/>
      <c r="K2269" s="836"/>
      <c r="L2269" s="837"/>
      <c r="M2269" s="1003"/>
      <c r="N2269" s="837"/>
      <c r="O2269" s="943"/>
      <c r="P2269" s="856" t="s">
        <v>2197</v>
      </c>
      <c r="Q2269" s="857" t="s">
        <v>3200</v>
      </c>
      <c r="R2269" s="952" t="n">
        <v>82484.1</v>
      </c>
      <c r="S2269" s="866" t="n">
        <f aca="false">R2269/H2268</f>
        <v>3000</v>
      </c>
      <c r="T2269" s="943"/>
      <c r="U2269" s="842"/>
    </row>
    <row r="2270" customFormat="false" ht="15" hidden="false" customHeight="true" outlineLevel="0" collapsed="false">
      <c r="A2270" s="882"/>
      <c r="B2270" s="883"/>
      <c r="C2270" s="883"/>
      <c r="D2270" s="887" t="s">
        <v>8</v>
      </c>
      <c r="E2270" s="887" t="s">
        <v>2192</v>
      </c>
      <c r="F2270" s="832"/>
      <c r="G2270" s="833"/>
      <c r="H2270" s="834"/>
      <c r="I2270" s="835"/>
      <c r="J2270" s="835"/>
      <c r="K2270" s="836"/>
      <c r="L2270" s="837"/>
      <c r="M2270" s="1003"/>
      <c r="N2270" s="837"/>
      <c r="O2270" s="943"/>
      <c r="P2270" s="888" t="s">
        <v>2197</v>
      </c>
      <c r="Q2270" s="889" t="s">
        <v>3201</v>
      </c>
      <c r="R2270" s="945" t="n">
        <v>148636.3482</v>
      </c>
      <c r="S2270" s="846" t="n">
        <f aca="false">R2270/H2268</f>
        <v>5406</v>
      </c>
      <c r="T2270" s="943"/>
      <c r="U2270" s="842"/>
    </row>
    <row r="2271" customFormat="false" ht="15" hidden="false" customHeight="true" outlineLevel="0" collapsed="false">
      <c r="A2271" s="903" t="n">
        <v>149</v>
      </c>
      <c r="B2271" s="903" t="s">
        <v>2207</v>
      </c>
      <c r="C2271" s="903" t="n">
        <v>2024</v>
      </c>
      <c r="D2271" s="904" t="s">
        <v>8</v>
      </c>
      <c r="E2271" s="904" t="s">
        <v>2192</v>
      </c>
      <c r="F2271" s="904" t="s">
        <v>1652</v>
      </c>
      <c r="G2271" s="905"/>
      <c r="H2271" s="946" t="n">
        <v>44.6048</v>
      </c>
      <c r="I2271" s="947"/>
      <c r="J2271" s="947"/>
      <c r="K2271" s="939" t="n">
        <f aca="false">H2271*I2271/100</f>
        <v>0</v>
      </c>
      <c r="L2271" s="942" t="n">
        <v>1936</v>
      </c>
      <c r="M2271" s="1023" t="n">
        <v>1</v>
      </c>
      <c r="N2271" s="1137" t="n">
        <f aca="false">L2271*M2271</f>
        <v>1936</v>
      </c>
      <c r="O2271" s="1384" t="n">
        <f aca="false">H2271*N2271</f>
        <v>86354.8928</v>
      </c>
      <c r="P2271" s="910" t="s">
        <v>2197</v>
      </c>
      <c r="Q2271" s="911" t="s">
        <v>3202</v>
      </c>
      <c r="R2271" s="912" t="n">
        <v>86354.8928</v>
      </c>
      <c r="S2271" s="891" t="n">
        <f aca="false">R2271/H2271</f>
        <v>1936</v>
      </c>
      <c r="T2271" s="948" t="n">
        <f aca="false">O2271-R2271</f>
        <v>0</v>
      </c>
      <c r="U2271" s="942" t="n">
        <f aca="false">N2271-S2271</f>
        <v>0</v>
      </c>
    </row>
    <row r="2272" customFormat="false" ht="15" hidden="false" customHeight="true" outlineLevel="0" collapsed="false">
      <c r="A2272" s="882" t="n">
        <v>150</v>
      </c>
      <c r="B2272" s="883" t="s">
        <v>2207</v>
      </c>
      <c r="C2272" s="883" t="n">
        <v>2024</v>
      </c>
      <c r="D2272" s="831" t="s">
        <v>8</v>
      </c>
      <c r="E2272" s="831" t="s">
        <v>2192</v>
      </c>
      <c r="F2272" s="832" t="s">
        <v>1651</v>
      </c>
      <c r="G2272" s="833"/>
      <c r="H2272" s="834" t="n">
        <v>28.8777</v>
      </c>
      <c r="I2272" s="835"/>
      <c r="J2272" s="835"/>
      <c r="K2272" s="836" t="n">
        <f aca="false">H2272*I2272/100</f>
        <v>0</v>
      </c>
      <c r="L2272" s="837" t="n">
        <v>14700</v>
      </c>
      <c r="M2272" s="1003" t="n">
        <v>1</v>
      </c>
      <c r="N2272" s="837" t="n">
        <f aca="false">L2272*M2272</f>
        <v>14700</v>
      </c>
      <c r="O2272" s="943" t="n">
        <f aca="false">H2272*N2272</f>
        <v>424502.19</v>
      </c>
      <c r="P2272" s="838" t="s">
        <v>2197</v>
      </c>
      <c r="Q2272" s="839" t="s">
        <v>3203</v>
      </c>
      <c r="R2272" s="944" t="n">
        <v>43749.7155</v>
      </c>
      <c r="S2272" s="840" t="n">
        <f aca="false">R2272/H2272</f>
        <v>1515</v>
      </c>
      <c r="T2272" s="943" t="n">
        <f aca="false">O2272-R2272-R2273-R2274</f>
        <v>0</v>
      </c>
      <c r="U2272" s="842" t="n">
        <f aca="false">N2272-S2272-S2273-S2274</f>
        <v>0</v>
      </c>
    </row>
    <row r="2273" customFormat="false" ht="15" hidden="false" customHeight="true" outlineLevel="0" collapsed="false">
      <c r="A2273" s="882"/>
      <c r="B2273" s="883"/>
      <c r="C2273" s="883"/>
      <c r="D2273" s="860" t="s">
        <v>8</v>
      </c>
      <c r="E2273" s="860" t="s">
        <v>2192</v>
      </c>
      <c r="F2273" s="832"/>
      <c r="G2273" s="833"/>
      <c r="H2273" s="834"/>
      <c r="I2273" s="835"/>
      <c r="J2273" s="835"/>
      <c r="K2273" s="836"/>
      <c r="L2273" s="837"/>
      <c r="M2273" s="1003"/>
      <c r="N2273" s="837"/>
      <c r="O2273" s="943"/>
      <c r="P2273" s="868" t="s">
        <v>2197</v>
      </c>
      <c r="Q2273" s="869" t="s">
        <v>3204</v>
      </c>
      <c r="R2273" s="1448" t="n">
        <v>288488.223</v>
      </c>
      <c r="S2273" s="854" t="n">
        <f aca="false">R2273/H2272</f>
        <v>9990</v>
      </c>
      <c r="T2273" s="943"/>
      <c r="U2273" s="842"/>
    </row>
    <row r="2274" customFormat="false" ht="15" hidden="false" customHeight="true" outlineLevel="0" collapsed="false">
      <c r="A2274" s="882"/>
      <c r="B2274" s="883"/>
      <c r="C2274" s="883"/>
      <c r="D2274" s="843" t="s">
        <v>8</v>
      </c>
      <c r="E2274" s="843" t="s">
        <v>2192</v>
      </c>
      <c r="F2274" s="832"/>
      <c r="G2274" s="833"/>
      <c r="H2274" s="834"/>
      <c r="I2274" s="835"/>
      <c r="J2274" s="835"/>
      <c r="K2274" s="836"/>
      <c r="L2274" s="837"/>
      <c r="M2274" s="1003"/>
      <c r="N2274" s="837"/>
      <c r="O2274" s="943"/>
      <c r="P2274" s="844" t="s">
        <v>2197</v>
      </c>
      <c r="Q2274" s="845" t="s">
        <v>3205</v>
      </c>
      <c r="R2274" s="1350" t="n">
        <v>92264.2515</v>
      </c>
      <c r="S2274" s="890" t="n">
        <f aca="false">R2274/H2272</f>
        <v>3195</v>
      </c>
      <c r="T2274" s="943"/>
      <c r="U2274" s="842"/>
    </row>
    <row r="2275" customFormat="false" ht="15" hidden="false" customHeight="true" outlineLevel="0" collapsed="false">
      <c r="A2275" s="829" t="n">
        <v>171</v>
      </c>
      <c r="B2275" s="830" t="s">
        <v>2207</v>
      </c>
      <c r="C2275" s="830" t="n">
        <v>2024</v>
      </c>
      <c r="D2275" s="831" t="s">
        <v>8</v>
      </c>
      <c r="E2275" s="831" t="s">
        <v>2192</v>
      </c>
      <c r="F2275" s="832" t="s">
        <v>1651</v>
      </c>
      <c r="G2275" s="833"/>
      <c r="H2275" s="834" t="n">
        <v>25.5693</v>
      </c>
      <c r="I2275" s="835"/>
      <c r="J2275" s="835"/>
      <c r="K2275" s="836" t="n">
        <f aca="false">H2275*I2275/100</f>
        <v>0</v>
      </c>
      <c r="L2275" s="837" t="n">
        <v>4522</v>
      </c>
      <c r="M2275" s="1003" t="n">
        <v>1</v>
      </c>
      <c r="N2275" s="837" t="n">
        <f aca="false">L2275*M2275</f>
        <v>4522</v>
      </c>
      <c r="O2275" s="943" t="n">
        <f aca="false">H2275*N2275</f>
        <v>115624.3746</v>
      </c>
      <c r="P2275" s="838" t="s">
        <v>2197</v>
      </c>
      <c r="Q2275" s="839" t="s">
        <v>3206</v>
      </c>
      <c r="R2275" s="944" t="n">
        <v>47175.3585</v>
      </c>
      <c r="S2275" s="886" t="n">
        <f aca="false">R2275/H2275</f>
        <v>1845</v>
      </c>
      <c r="T2275" s="943" t="n">
        <f aca="false">O2275-R2275-R2276</f>
        <v>0</v>
      </c>
      <c r="U2275" s="842" t="n">
        <f aca="false">N2275-S2275-S2276</f>
        <v>0</v>
      </c>
    </row>
    <row r="2276" customFormat="false" ht="15" hidden="false" customHeight="true" outlineLevel="0" collapsed="false">
      <c r="A2276" s="829"/>
      <c r="B2276" s="830"/>
      <c r="C2276" s="830"/>
      <c r="D2276" s="887" t="s">
        <v>8</v>
      </c>
      <c r="E2276" s="887" t="s">
        <v>2192</v>
      </c>
      <c r="F2276" s="832"/>
      <c r="G2276" s="833"/>
      <c r="H2276" s="834"/>
      <c r="I2276" s="835"/>
      <c r="J2276" s="835"/>
      <c r="K2276" s="836"/>
      <c r="L2276" s="837"/>
      <c r="M2276" s="1003"/>
      <c r="N2276" s="837"/>
      <c r="O2276" s="943"/>
      <c r="P2276" s="844" t="s">
        <v>2197</v>
      </c>
      <c r="Q2276" s="845" t="s">
        <v>3207</v>
      </c>
      <c r="R2276" s="1350" t="n">
        <v>68449.0161</v>
      </c>
      <c r="S2276" s="846" t="n">
        <f aca="false">R2276/H2275</f>
        <v>2677</v>
      </c>
      <c r="T2276" s="943"/>
      <c r="U2276" s="842"/>
    </row>
    <row r="2277" customFormat="false" ht="15" hidden="false" customHeight="true" outlineLevel="0" collapsed="false">
      <c r="A2277" s="903" t="n">
        <v>159</v>
      </c>
      <c r="B2277" s="903" t="s">
        <v>81</v>
      </c>
      <c r="C2277" s="903" t="n">
        <v>2024</v>
      </c>
      <c r="D2277" s="904" t="s">
        <v>8</v>
      </c>
      <c r="E2277" s="904" t="s">
        <v>2192</v>
      </c>
      <c r="F2277" s="904" t="s">
        <v>2199</v>
      </c>
      <c r="G2277" s="905"/>
      <c r="H2277" s="946" t="n">
        <v>64</v>
      </c>
      <c r="I2277" s="950"/>
      <c r="J2277" s="950"/>
      <c r="K2277" s="852" t="n">
        <f aca="false">H2277*I2277/100</f>
        <v>0</v>
      </c>
      <c r="L2277" s="537" t="n">
        <v>37000</v>
      </c>
      <c r="M2277" s="1007" t="n">
        <v>1</v>
      </c>
      <c r="N2277" s="1143" t="n">
        <f aca="false">L2277*M2277</f>
        <v>37000</v>
      </c>
      <c r="O2277" s="1386" t="n">
        <f aca="false">H2277*N2277</f>
        <v>2368000</v>
      </c>
      <c r="P2277" s="856" t="s">
        <v>2200</v>
      </c>
      <c r="Q2277" s="857" t="s">
        <v>2756</v>
      </c>
      <c r="R2277" s="952" t="n">
        <v>2368000</v>
      </c>
      <c r="S2277" s="866" t="n">
        <f aca="false">R2277/H2277</f>
        <v>37000</v>
      </c>
      <c r="T2277" s="953" t="n">
        <f aca="false">O2277-R2277</f>
        <v>0</v>
      </c>
      <c r="U2277" s="537" t="n">
        <f aca="false">N2277-S2277</f>
        <v>0</v>
      </c>
    </row>
    <row r="2278" customFormat="false" ht="15" hidden="false" customHeight="true" outlineLevel="0" collapsed="false">
      <c r="A2278" s="870" t="n">
        <v>54</v>
      </c>
      <c r="B2278" s="870" t="s">
        <v>2230</v>
      </c>
      <c r="C2278" s="870" t="n">
        <v>2024</v>
      </c>
      <c r="D2278" s="871" t="s">
        <v>8</v>
      </c>
      <c r="E2278" s="871" t="s">
        <v>2192</v>
      </c>
      <c r="F2278" s="871" t="s">
        <v>2199</v>
      </c>
      <c r="G2278" s="872"/>
      <c r="H2278" s="1116" t="n">
        <v>90.9</v>
      </c>
      <c r="I2278" s="1117"/>
      <c r="J2278" s="1117"/>
      <c r="K2278" s="875" t="n">
        <f aca="false">H2278*I2278/100</f>
        <v>0</v>
      </c>
      <c r="L2278" s="553" t="n">
        <v>600</v>
      </c>
      <c r="M2278" s="1000" t="n">
        <v>1</v>
      </c>
      <c r="N2278" s="1301" t="n">
        <f aca="false">L2278*M2278</f>
        <v>600</v>
      </c>
      <c r="O2278" s="1402" t="n">
        <f aca="false">H2278*N2278</f>
        <v>54540</v>
      </c>
      <c r="P2278" s="879" t="s">
        <v>2197</v>
      </c>
      <c r="Q2278" s="880" t="s">
        <v>3208</v>
      </c>
      <c r="R2278" s="1818" t="n">
        <v>54540</v>
      </c>
      <c r="S2278" s="877" t="n">
        <f aca="false">R2278/H2278</f>
        <v>600</v>
      </c>
      <c r="T2278" s="1403" t="n">
        <f aca="false">O2278-R2278</f>
        <v>0</v>
      </c>
      <c r="U2278" s="553" t="n">
        <f aca="false">N2278-S2278</f>
        <v>0</v>
      </c>
    </row>
    <row r="2279" customFormat="false" ht="15" hidden="false" customHeight="true" outlineLevel="0" collapsed="false">
      <c r="A2279" s="881" t="n">
        <v>125</v>
      </c>
      <c r="B2279" s="829" t="s">
        <v>86</v>
      </c>
      <c r="C2279" s="830" t="n">
        <v>2024</v>
      </c>
      <c r="D2279" s="831" t="s">
        <v>8</v>
      </c>
      <c r="E2279" s="831" t="s">
        <v>2192</v>
      </c>
      <c r="F2279" s="832" t="s">
        <v>1650</v>
      </c>
      <c r="G2279" s="833"/>
      <c r="H2279" s="834" t="n">
        <v>96.4</v>
      </c>
      <c r="I2279" s="835"/>
      <c r="J2279" s="835"/>
      <c r="K2279" s="836" t="n">
        <f aca="false">H2279*I2279/100</f>
        <v>0</v>
      </c>
      <c r="L2279" s="837" t="n">
        <v>22930</v>
      </c>
      <c r="M2279" s="1003" t="n">
        <v>1</v>
      </c>
      <c r="N2279" s="837" t="n">
        <f aca="false">L2279*M2279</f>
        <v>22930</v>
      </c>
      <c r="O2279" s="943" t="n">
        <f aca="false">H2279*N2279</f>
        <v>2210452</v>
      </c>
      <c r="P2279" s="838" t="s">
        <v>2193</v>
      </c>
      <c r="Q2279" s="839" t="s">
        <v>2263</v>
      </c>
      <c r="R2279" s="944" t="n">
        <v>468022</v>
      </c>
      <c r="S2279" s="886" t="n">
        <f aca="false">R2279/H2279</f>
        <v>4855</v>
      </c>
      <c r="T2279" s="943" t="n">
        <f aca="false">O2279-R2279-R2281-R2282-R2280</f>
        <v>0</v>
      </c>
      <c r="U2279" s="842" t="n">
        <f aca="false">N2279-S2279-S2281-S2282-S2280</f>
        <v>0</v>
      </c>
    </row>
    <row r="2280" customFormat="false" ht="15" hidden="false" customHeight="true" outlineLevel="0" collapsed="false">
      <c r="A2280" s="881"/>
      <c r="B2280" s="829"/>
      <c r="C2280" s="830"/>
      <c r="D2280" s="848" t="s">
        <v>8</v>
      </c>
      <c r="E2280" s="848" t="s">
        <v>2192</v>
      </c>
      <c r="F2280" s="832"/>
      <c r="G2280" s="833"/>
      <c r="H2280" s="834"/>
      <c r="I2280" s="835"/>
      <c r="J2280" s="835"/>
      <c r="K2280" s="836"/>
      <c r="L2280" s="837"/>
      <c r="M2280" s="1003"/>
      <c r="N2280" s="837"/>
      <c r="O2280" s="943"/>
      <c r="P2280" s="856" t="s">
        <v>2193</v>
      </c>
      <c r="Q2280" s="857" t="s">
        <v>3209</v>
      </c>
      <c r="R2280" s="952" t="n">
        <v>813905.2</v>
      </c>
      <c r="S2280" s="866" t="n">
        <f aca="false">R2280/H2279</f>
        <v>8443</v>
      </c>
      <c r="T2280" s="943"/>
      <c r="U2280" s="842"/>
    </row>
    <row r="2281" customFormat="false" ht="15" hidden="false" customHeight="true" outlineLevel="0" collapsed="false">
      <c r="A2281" s="881"/>
      <c r="B2281" s="829"/>
      <c r="C2281" s="830"/>
      <c r="D2281" s="860" t="s">
        <v>8</v>
      </c>
      <c r="E2281" s="860" t="s">
        <v>2192</v>
      </c>
      <c r="F2281" s="832"/>
      <c r="G2281" s="833"/>
      <c r="H2281" s="834"/>
      <c r="I2281" s="835"/>
      <c r="J2281" s="835"/>
      <c r="K2281" s="836"/>
      <c r="L2281" s="837"/>
      <c r="M2281" s="1003"/>
      <c r="N2281" s="837"/>
      <c r="O2281" s="943"/>
      <c r="P2281" s="868" t="s">
        <v>2193</v>
      </c>
      <c r="Q2281" s="869" t="s">
        <v>2267</v>
      </c>
      <c r="R2281" s="1448" t="n">
        <v>496460</v>
      </c>
      <c r="S2281" s="866" t="n">
        <f aca="false">R2281/H2279</f>
        <v>5150</v>
      </c>
      <c r="T2281" s="943"/>
      <c r="U2281" s="842"/>
    </row>
    <row r="2282" customFormat="false" ht="15" hidden="false" customHeight="true" outlineLevel="0" collapsed="false">
      <c r="A2282" s="881"/>
      <c r="B2282" s="829"/>
      <c r="C2282" s="830"/>
      <c r="D2282" s="843" t="s">
        <v>8</v>
      </c>
      <c r="E2282" s="843" t="s">
        <v>2192</v>
      </c>
      <c r="F2282" s="832"/>
      <c r="G2282" s="833"/>
      <c r="H2282" s="834"/>
      <c r="I2282" s="835"/>
      <c r="J2282" s="835"/>
      <c r="K2282" s="836"/>
      <c r="L2282" s="837"/>
      <c r="M2282" s="1003"/>
      <c r="N2282" s="837"/>
      <c r="O2282" s="943"/>
      <c r="P2282" s="844" t="s">
        <v>2193</v>
      </c>
      <c r="Q2282" s="845" t="s">
        <v>2941</v>
      </c>
      <c r="R2282" s="1350" t="n">
        <v>432064.8</v>
      </c>
      <c r="S2282" s="1179" t="n">
        <f aca="false">R2282/H2279</f>
        <v>4482</v>
      </c>
      <c r="T2282" s="943"/>
      <c r="U2282" s="842"/>
    </row>
    <row r="2283" customFormat="false" ht="15" hidden="false" customHeight="true" outlineLevel="0" collapsed="false">
      <c r="A2283" s="881"/>
      <c r="B2283" s="847" t="s">
        <v>86</v>
      </c>
      <c r="C2283" s="847" t="n">
        <v>2024</v>
      </c>
      <c r="D2283" s="848" t="s">
        <v>8</v>
      </c>
      <c r="E2283" s="848" t="s">
        <v>2203</v>
      </c>
      <c r="F2283" s="848"/>
      <c r="G2283" s="849"/>
      <c r="H2283" s="949" t="n">
        <v>2.5</v>
      </c>
      <c r="I2283" s="950"/>
      <c r="J2283" s="950"/>
      <c r="K2283" s="852" t="n">
        <f aca="false">H2283*I2283/100</f>
        <v>0</v>
      </c>
      <c r="L2283" s="537" t="n">
        <v>7029</v>
      </c>
      <c r="M2283" s="1007" t="n">
        <v>1</v>
      </c>
      <c r="N2283" s="1143" t="n">
        <f aca="false">L2283*M2283</f>
        <v>7029</v>
      </c>
      <c r="O2283" s="1386" t="n">
        <f aca="false">H2283*N2283</f>
        <v>17572.5</v>
      </c>
      <c r="P2283" s="856" t="s">
        <v>2204</v>
      </c>
      <c r="Q2283" s="857" t="n">
        <v>28022025</v>
      </c>
      <c r="R2283" s="952" t="n">
        <v>17572.5</v>
      </c>
      <c r="S2283" s="854" t="n">
        <f aca="false">R2283/H2283</f>
        <v>7029</v>
      </c>
      <c r="T2283" s="953" t="n">
        <f aca="false">O2283-R2283</f>
        <v>0</v>
      </c>
      <c r="U2283" s="892" t="n">
        <f aca="false">N2283-S2283</f>
        <v>0</v>
      </c>
    </row>
    <row r="2284" customFormat="false" ht="15" hidden="false" customHeight="true" outlineLevel="0" collapsed="false">
      <c r="A2284" s="881"/>
      <c r="B2284" s="859" t="s">
        <v>86</v>
      </c>
      <c r="C2284" s="859" t="n">
        <v>2024</v>
      </c>
      <c r="D2284" s="860" t="s">
        <v>8</v>
      </c>
      <c r="E2284" s="860" t="s">
        <v>2241</v>
      </c>
      <c r="F2284" s="860"/>
      <c r="G2284" s="861"/>
      <c r="H2284" s="980" t="n">
        <v>1.4</v>
      </c>
      <c r="I2284" s="981"/>
      <c r="J2284" s="981"/>
      <c r="K2284" s="852" t="n">
        <f aca="false">H2284*I2284/100</f>
        <v>0</v>
      </c>
      <c r="L2284" s="543" t="n">
        <v>1669</v>
      </c>
      <c r="M2284" s="983" t="n">
        <v>1</v>
      </c>
      <c r="N2284" s="1143" t="n">
        <f aca="false">L2284*M2284</f>
        <v>1669</v>
      </c>
      <c r="O2284" s="1386" t="n">
        <f aca="false">H2284*N2284</f>
        <v>2336.6</v>
      </c>
      <c r="P2284" s="868" t="s">
        <v>2204</v>
      </c>
      <c r="Q2284" s="869" t="n">
        <v>28022025</v>
      </c>
      <c r="R2284" s="1448" t="n">
        <v>2336.6</v>
      </c>
      <c r="S2284" s="866" t="n">
        <f aca="false">R2284/H2284</f>
        <v>1669</v>
      </c>
      <c r="T2284" s="953" t="n">
        <f aca="false">O2284-R2284</f>
        <v>0</v>
      </c>
      <c r="U2284" s="892" t="n">
        <f aca="false">N2284-S2284</f>
        <v>0</v>
      </c>
    </row>
    <row r="2285" customFormat="false" ht="15" hidden="false" customHeight="true" outlineLevel="0" collapsed="false">
      <c r="A2285" s="881"/>
      <c r="B2285" s="893" t="s">
        <v>86</v>
      </c>
      <c r="C2285" s="893" t="n">
        <v>2024</v>
      </c>
      <c r="D2285" s="843" t="s">
        <v>8</v>
      </c>
      <c r="E2285" s="843" t="s">
        <v>2205</v>
      </c>
      <c r="F2285" s="843"/>
      <c r="G2285" s="894"/>
      <c r="H2285" s="1103" t="n">
        <v>1.2</v>
      </c>
      <c r="I2285" s="1104"/>
      <c r="J2285" s="1104"/>
      <c r="K2285" s="1064" t="n">
        <f aca="false">H2285*I2285/100</f>
        <v>0</v>
      </c>
      <c r="L2285" s="589" t="n">
        <v>4820</v>
      </c>
      <c r="M2285" s="1106" t="n">
        <v>1</v>
      </c>
      <c r="N2285" s="1082" t="n">
        <f aca="false">L2285*M2285</f>
        <v>4820</v>
      </c>
      <c r="O2285" s="1394" t="n">
        <f aca="false">H2285*N2285</f>
        <v>5784</v>
      </c>
      <c r="P2285" s="844" t="s">
        <v>2204</v>
      </c>
      <c r="Q2285" s="845" t="n">
        <v>28022025</v>
      </c>
      <c r="R2285" s="1350" t="n">
        <v>5784</v>
      </c>
      <c r="S2285" s="846" t="n">
        <f aca="false">R2285/H2285</f>
        <v>4820</v>
      </c>
      <c r="T2285" s="1452" t="n">
        <f aca="false">O2285-R2285</f>
        <v>0</v>
      </c>
      <c r="U2285" s="1070" t="n">
        <f aca="false">N2285-S2285</f>
        <v>0</v>
      </c>
    </row>
    <row r="2286" customFormat="false" ht="15" hidden="false" customHeight="true" outlineLevel="0" collapsed="false">
      <c r="A2286" s="847" t="n">
        <v>166</v>
      </c>
      <c r="B2286" s="847" t="s">
        <v>81</v>
      </c>
      <c r="C2286" s="847" t="n">
        <v>2024</v>
      </c>
      <c r="D2286" s="848" t="s">
        <v>8</v>
      </c>
      <c r="E2286" s="848" t="s">
        <v>2192</v>
      </c>
      <c r="F2286" s="848" t="s">
        <v>2199</v>
      </c>
      <c r="G2286" s="849"/>
      <c r="H2286" s="949" t="n">
        <v>87.6</v>
      </c>
      <c r="I2286" s="950"/>
      <c r="J2286" s="950"/>
      <c r="K2286" s="852" t="n">
        <f aca="false">H2286*I2286/100</f>
        <v>0</v>
      </c>
      <c r="L2286" s="537" t="n">
        <v>3480</v>
      </c>
      <c r="M2286" s="1007" t="n">
        <v>1</v>
      </c>
      <c r="N2286" s="1143" t="n">
        <f aca="false">L2286*M2286</f>
        <v>3480</v>
      </c>
      <c r="O2286" s="1386" t="n">
        <f aca="false">H2286*N2286</f>
        <v>304848</v>
      </c>
      <c r="P2286" s="856" t="s">
        <v>2200</v>
      </c>
      <c r="Q2286" s="857" t="s">
        <v>2651</v>
      </c>
      <c r="R2286" s="952" t="n">
        <v>304848</v>
      </c>
      <c r="S2286" s="854" t="n">
        <f aca="false">R2286/H2286</f>
        <v>3480</v>
      </c>
      <c r="T2286" s="953" t="n">
        <f aca="false">O2286-R2286</f>
        <v>0</v>
      </c>
      <c r="U2286" s="537" t="n">
        <f aca="false">N2286-S2286</f>
        <v>0</v>
      </c>
    </row>
    <row r="2287" customFormat="false" ht="15" hidden="false" customHeight="true" outlineLevel="0" collapsed="false">
      <c r="A2287" s="847" t="n">
        <v>184</v>
      </c>
      <c r="B2287" s="847" t="s">
        <v>2207</v>
      </c>
      <c r="C2287" s="847" t="n">
        <v>2024</v>
      </c>
      <c r="D2287" s="848" t="s">
        <v>8</v>
      </c>
      <c r="E2287" s="848" t="s">
        <v>2192</v>
      </c>
      <c r="F2287" s="848" t="s">
        <v>1651</v>
      </c>
      <c r="G2287" s="849"/>
      <c r="H2287" s="949" t="n">
        <v>30.7101</v>
      </c>
      <c r="I2287" s="950"/>
      <c r="J2287" s="950"/>
      <c r="K2287" s="852" t="n">
        <f aca="false">H2287*I2287/100</f>
        <v>0</v>
      </c>
      <c r="L2287" s="537" t="n">
        <v>15240</v>
      </c>
      <c r="M2287" s="1007" t="n">
        <v>1</v>
      </c>
      <c r="N2287" s="1143" t="n">
        <f aca="false">L2287*M2287</f>
        <v>15240</v>
      </c>
      <c r="O2287" s="1386" t="n">
        <f aca="false">H2287*N2287</f>
        <v>468021.924</v>
      </c>
      <c r="P2287" s="856" t="s">
        <v>2232</v>
      </c>
      <c r="Q2287" s="857" t="s">
        <v>2233</v>
      </c>
      <c r="R2287" s="952" t="n">
        <v>468021.924</v>
      </c>
      <c r="S2287" s="866" t="n">
        <f aca="false">R2287/H2287</f>
        <v>15240</v>
      </c>
      <c r="T2287" s="953" t="n">
        <f aca="false">O2287-R2287</f>
        <v>0</v>
      </c>
      <c r="U2287" s="537" t="n">
        <f aca="false">N2287-S2287</f>
        <v>0</v>
      </c>
    </row>
    <row r="2288" customFormat="false" ht="15" hidden="false" customHeight="true" outlineLevel="0" collapsed="false">
      <c r="A2288" s="903" t="n">
        <v>185</v>
      </c>
      <c r="B2288" s="903" t="s">
        <v>2207</v>
      </c>
      <c r="C2288" s="903" t="n">
        <v>2024</v>
      </c>
      <c r="D2288" s="904" t="s">
        <v>8</v>
      </c>
      <c r="E2288" s="904" t="s">
        <v>2192</v>
      </c>
      <c r="F2288" s="904" t="s">
        <v>1651</v>
      </c>
      <c r="G2288" s="905"/>
      <c r="H2288" s="946" t="n">
        <v>26.4257</v>
      </c>
      <c r="I2288" s="947"/>
      <c r="J2288" s="947"/>
      <c r="K2288" s="939" t="n">
        <f aca="false">H2288*I2288/100</f>
        <v>0</v>
      </c>
      <c r="L2288" s="942" t="n">
        <v>18787</v>
      </c>
      <c r="M2288" s="1023" t="n">
        <v>1</v>
      </c>
      <c r="N2288" s="1137" t="n">
        <f aca="false">L2288*M2288</f>
        <v>18787</v>
      </c>
      <c r="O2288" s="1384" t="n">
        <f aca="false">H2288*N2288</f>
        <v>496459.6259</v>
      </c>
      <c r="P2288" s="910" t="s">
        <v>2232</v>
      </c>
      <c r="Q2288" s="911" t="s">
        <v>2233</v>
      </c>
      <c r="R2288" s="912" t="n">
        <v>496459.6259</v>
      </c>
      <c r="S2288" s="866" t="n">
        <f aca="false">R2288/H2288</f>
        <v>18787</v>
      </c>
      <c r="T2288" s="948" t="n">
        <f aca="false">O2288-R2288</f>
        <v>0</v>
      </c>
      <c r="U2288" s="942" t="n">
        <f aca="false">N2288-S2288</f>
        <v>0</v>
      </c>
    </row>
    <row r="2289" customFormat="false" ht="15" hidden="false" customHeight="true" outlineLevel="0" collapsed="false">
      <c r="A2289" s="1465" t="n">
        <v>190</v>
      </c>
      <c r="B2289" s="1546" t="s">
        <v>2207</v>
      </c>
      <c r="C2289" s="1546" t="n">
        <v>2024</v>
      </c>
      <c r="D2289" s="831" t="s">
        <v>8</v>
      </c>
      <c r="E2289" s="831" t="s">
        <v>2192</v>
      </c>
      <c r="F2289" s="1328" t="s">
        <v>1651</v>
      </c>
      <c r="G2289" s="1030"/>
      <c r="H2289" s="1031" t="n">
        <v>21.8335</v>
      </c>
      <c r="I2289" s="1032"/>
      <c r="J2289" s="1032"/>
      <c r="K2289" s="1033" t="n">
        <f aca="false">H2289*I2289/100</f>
        <v>0</v>
      </c>
      <c r="L2289" s="1036" t="n">
        <v>19789</v>
      </c>
      <c r="M2289" s="1035" t="n">
        <v>1</v>
      </c>
      <c r="N2289" s="1036" t="n">
        <f aca="false">L2289*M2289</f>
        <v>19789</v>
      </c>
      <c r="O2289" s="1547" t="n">
        <f aca="false">H2289*N2289</f>
        <v>432063.1315</v>
      </c>
      <c r="P2289" s="838" t="s">
        <v>2197</v>
      </c>
      <c r="Q2289" s="839" t="s">
        <v>3210</v>
      </c>
      <c r="R2289" s="944" t="n">
        <v>209601.6</v>
      </c>
      <c r="S2289" s="840" t="n">
        <f aca="false">R2289/H2289</f>
        <v>9600</v>
      </c>
      <c r="T2289" s="1547" t="n">
        <f aca="false">O2289-R2289-R2290-R2291-R2292</f>
        <v>0</v>
      </c>
      <c r="U2289" s="1037" t="n">
        <f aca="false">N2289-S2289-S2290-S2291-S2292</f>
        <v>0</v>
      </c>
    </row>
    <row r="2290" customFormat="false" ht="15" hidden="false" customHeight="true" outlineLevel="0" collapsed="false">
      <c r="A2290" s="1465"/>
      <c r="B2290" s="1546"/>
      <c r="C2290" s="1546"/>
      <c r="D2290" s="848" t="s">
        <v>8</v>
      </c>
      <c r="E2290" s="848" t="s">
        <v>2192</v>
      </c>
      <c r="F2290" s="1328"/>
      <c r="G2290" s="1030"/>
      <c r="H2290" s="1031"/>
      <c r="I2290" s="1032"/>
      <c r="J2290" s="1032"/>
      <c r="K2290" s="1033"/>
      <c r="L2290" s="1036"/>
      <c r="M2290" s="1035"/>
      <c r="N2290" s="1036"/>
      <c r="O2290" s="1547"/>
      <c r="P2290" s="856" t="s">
        <v>2197</v>
      </c>
      <c r="Q2290" s="857" t="s">
        <v>3211</v>
      </c>
      <c r="R2290" s="952" t="n">
        <v>51090.39</v>
      </c>
      <c r="S2290" s="866" t="n">
        <f aca="false">R2290/H2289</f>
        <v>2340</v>
      </c>
      <c r="T2290" s="1547"/>
      <c r="U2290" s="1037"/>
    </row>
    <row r="2291" customFormat="false" ht="15" hidden="false" customHeight="true" outlineLevel="0" collapsed="false">
      <c r="A2291" s="1465"/>
      <c r="B2291" s="1546"/>
      <c r="C2291" s="1546"/>
      <c r="D2291" s="848" t="s">
        <v>8</v>
      </c>
      <c r="E2291" s="848" t="s">
        <v>2192</v>
      </c>
      <c r="F2291" s="1328"/>
      <c r="G2291" s="1030"/>
      <c r="H2291" s="1031"/>
      <c r="I2291" s="1032"/>
      <c r="J2291" s="1032"/>
      <c r="K2291" s="1033"/>
      <c r="L2291" s="1036"/>
      <c r="M2291" s="1035"/>
      <c r="N2291" s="1036"/>
      <c r="O2291" s="1547"/>
      <c r="P2291" s="856" t="s">
        <v>2197</v>
      </c>
      <c r="Q2291" s="857" t="s">
        <v>3212</v>
      </c>
      <c r="R2291" s="952" t="n">
        <v>15720.12</v>
      </c>
      <c r="S2291" s="866" t="n">
        <f aca="false">R2291/H2289</f>
        <v>720</v>
      </c>
      <c r="T2291" s="1547"/>
      <c r="U2291" s="1037"/>
    </row>
    <row r="2292" customFormat="false" ht="15" hidden="false" customHeight="true" outlineLevel="0" collapsed="false">
      <c r="A2292" s="1465"/>
      <c r="B2292" s="1546"/>
      <c r="C2292" s="1546"/>
      <c r="D2292" s="904" t="s">
        <v>8</v>
      </c>
      <c r="E2292" s="904" t="s">
        <v>2192</v>
      </c>
      <c r="F2292" s="1328"/>
      <c r="G2292" s="1030"/>
      <c r="H2292" s="1031"/>
      <c r="I2292" s="1032"/>
      <c r="J2292" s="1032"/>
      <c r="K2292" s="1033"/>
      <c r="L2292" s="1036"/>
      <c r="M2292" s="1035"/>
      <c r="N2292" s="1036"/>
      <c r="O2292" s="1547"/>
      <c r="P2292" s="910" t="s">
        <v>2197</v>
      </c>
      <c r="Q2292" s="911" t="s">
        <v>3213</v>
      </c>
      <c r="R2292" s="912" t="n">
        <v>155651.0215</v>
      </c>
      <c r="S2292" s="877" t="n">
        <f aca="false">R2292/H2289</f>
        <v>7129</v>
      </c>
      <c r="T2292" s="1547"/>
      <c r="U2292" s="1037"/>
    </row>
    <row r="2293" customFormat="false" ht="15" hidden="false" customHeight="true" outlineLevel="0" collapsed="false">
      <c r="A2293" s="829" t="s">
        <v>2233</v>
      </c>
      <c r="B2293" s="830" t="s">
        <v>2230</v>
      </c>
      <c r="C2293" s="830" t="n">
        <v>2024</v>
      </c>
      <c r="D2293" s="831" t="s">
        <v>8</v>
      </c>
      <c r="E2293" s="831" t="s">
        <v>2192</v>
      </c>
      <c r="F2293" s="832" t="s">
        <v>1651</v>
      </c>
      <c r="G2293" s="833"/>
      <c r="H2293" s="834" t="n">
        <v>28.0985</v>
      </c>
      <c r="I2293" s="835"/>
      <c r="J2293" s="835"/>
      <c r="K2293" s="1318" t="n">
        <f aca="false">H2293*I2293/100</f>
        <v>0</v>
      </c>
      <c r="L2293" s="837" t="n">
        <v>40800</v>
      </c>
      <c r="M2293" s="1003" t="n">
        <v>1</v>
      </c>
      <c r="N2293" s="837" t="n">
        <f aca="false">L2293*M2293</f>
        <v>40800</v>
      </c>
      <c r="O2293" s="1017" t="n">
        <f aca="false">H2293*N2293</f>
        <v>1146418.8</v>
      </c>
      <c r="P2293" s="838" t="s">
        <v>2197</v>
      </c>
      <c r="Q2293" s="839" t="s">
        <v>3214</v>
      </c>
      <c r="R2293" s="944" t="n">
        <v>269745.6</v>
      </c>
      <c r="S2293" s="840" t="n">
        <f aca="false">R2293/H2293</f>
        <v>9600</v>
      </c>
      <c r="T2293" s="837" t="n">
        <f aca="false">O2293-R2293-R2294-R2295-R2296-R2297</f>
        <v>1.89174897968769E-010</v>
      </c>
      <c r="U2293" s="842" t="n">
        <f aca="false">N2293-S2293-S2294-S2295-S2296-S2297</f>
        <v>4.09272615797818E-012</v>
      </c>
    </row>
    <row r="2294" customFormat="false" ht="15" hidden="false" customHeight="true" outlineLevel="0" collapsed="false">
      <c r="A2294" s="829"/>
      <c r="B2294" s="830"/>
      <c r="C2294" s="830"/>
      <c r="D2294" s="848" t="s">
        <v>8</v>
      </c>
      <c r="E2294" s="848" t="s">
        <v>2192</v>
      </c>
      <c r="F2294" s="832"/>
      <c r="G2294" s="833"/>
      <c r="H2294" s="834"/>
      <c r="I2294" s="835"/>
      <c r="J2294" s="835"/>
      <c r="K2294" s="1318"/>
      <c r="L2294" s="837"/>
      <c r="M2294" s="1003"/>
      <c r="N2294" s="837"/>
      <c r="O2294" s="1017"/>
      <c r="P2294" s="856" t="s">
        <v>2197</v>
      </c>
      <c r="Q2294" s="857" t="s">
        <v>3215</v>
      </c>
      <c r="R2294" s="952" t="n">
        <v>247266.8</v>
      </c>
      <c r="S2294" s="866" t="n">
        <f aca="false">R2294/H2293</f>
        <v>8800</v>
      </c>
      <c r="T2294" s="837"/>
      <c r="U2294" s="842"/>
    </row>
    <row r="2295" customFormat="false" ht="15" hidden="false" customHeight="true" outlineLevel="0" collapsed="false">
      <c r="A2295" s="829"/>
      <c r="B2295" s="830"/>
      <c r="C2295" s="830"/>
      <c r="D2295" s="848" t="s">
        <v>8</v>
      </c>
      <c r="E2295" s="848" t="s">
        <v>2192</v>
      </c>
      <c r="F2295" s="832"/>
      <c r="G2295" s="833"/>
      <c r="H2295" s="834"/>
      <c r="I2295" s="835"/>
      <c r="J2295" s="835"/>
      <c r="K2295" s="1318"/>
      <c r="L2295" s="837"/>
      <c r="M2295" s="1003"/>
      <c r="N2295" s="837"/>
      <c r="O2295" s="1017"/>
      <c r="P2295" s="856" t="s">
        <v>2197</v>
      </c>
      <c r="Q2295" s="857" t="s">
        <v>3102</v>
      </c>
      <c r="R2295" s="952" t="n">
        <v>269745.6</v>
      </c>
      <c r="S2295" s="866" t="n">
        <f aca="false">R2295/H2293</f>
        <v>9600</v>
      </c>
      <c r="T2295" s="837"/>
      <c r="U2295" s="842"/>
    </row>
    <row r="2296" customFormat="false" ht="15" hidden="false" customHeight="true" outlineLevel="0" collapsed="false">
      <c r="A2296" s="829"/>
      <c r="B2296" s="830"/>
      <c r="C2296" s="830"/>
      <c r="D2296" s="848" t="s">
        <v>8</v>
      </c>
      <c r="E2296" s="848" t="s">
        <v>2192</v>
      </c>
      <c r="F2296" s="832"/>
      <c r="G2296" s="833"/>
      <c r="H2296" s="834"/>
      <c r="I2296" s="835"/>
      <c r="J2296" s="835"/>
      <c r="K2296" s="1318"/>
      <c r="L2296" s="837"/>
      <c r="M2296" s="1003"/>
      <c r="N2296" s="837"/>
      <c r="O2296" s="1017"/>
      <c r="P2296" s="856" t="s">
        <v>2197</v>
      </c>
      <c r="Q2296" s="857" t="s">
        <v>3216</v>
      </c>
      <c r="R2296" s="952" t="n">
        <v>269745.6</v>
      </c>
      <c r="S2296" s="866" t="n">
        <f aca="false">R2296/H2293</f>
        <v>9600</v>
      </c>
      <c r="T2296" s="837"/>
      <c r="U2296" s="842"/>
    </row>
    <row r="2297" customFormat="false" ht="15" hidden="false" customHeight="true" outlineLevel="0" collapsed="false">
      <c r="A2297" s="829"/>
      <c r="B2297" s="830"/>
      <c r="C2297" s="830"/>
      <c r="D2297" s="887" t="s">
        <v>8</v>
      </c>
      <c r="E2297" s="887" t="s">
        <v>2192</v>
      </c>
      <c r="F2297" s="832"/>
      <c r="G2297" s="833"/>
      <c r="H2297" s="834"/>
      <c r="I2297" s="835"/>
      <c r="J2297" s="835"/>
      <c r="K2297" s="1318"/>
      <c r="L2297" s="837"/>
      <c r="M2297" s="1003"/>
      <c r="N2297" s="837"/>
      <c r="O2297" s="1017"/>
      <c r="P2297" s="888" t="s">
        <v>2197</v>
      </c>
      <c r="Q2297" s="889" t="s">
        <v>3217</v>
      </c>
      <c r="R2297" s="945" t="n">
        <v>89915.2</v>
      </c>
      <c r="S2297" s="846" t="n">
        <f aca="false">R2297/H2293</f>
        <v>3200</v>
      </c>
      <c r="T2297" s="837"/>
      <c r="U2297" s="842"/>
    </row>
    <row r="2298" customFormat="false" ht="15" hidden="false" customHeight="true" outlineLevel="0" collapsed="false">
      <c r="A2298" s="829" t="n">
        <v>192</v>
      </c>
      <c r="B2298" s="830" t="s">
        <v>2207</v>
      </c>
      <c r="C2298" s="830" t="n">
        <v>2024</v>
      </c>
      <c r="D2298" s="831" t="s">
        <v>8</v>
      </c>
      <c r="E2298" s="831" t="s">
        <v>2192</v>
      </c>
      <c r="F2298" s="832" t="s">
        <v>1651</v>
      </c>
      <c r="G2298" s="833"/>
      <c r="H2298" s="834" t="n">
        <v>39.3818</v>
      </c>
      <c r="I2298" s="835"/>
      <c r="J2298" s="835"/>
      <c r="K2298" s="836" t="n">
        <f aca="false">H2298*I2298/100</f>
        <v>0</v>
      </c>
      <c r="L2298" s="837" t="n">
        <v>20667</v>
      </c>
      <c r="M2298" s="1003" t="n">
        <v>1</v>
      </c>
      <c r="N2298" s="837" t="n">
        <f aca="false">L2298*M2298</f>
        <v>20667</v>
      </c>
      <c r="O2298" s="943" t="n">
        <f aca="false">H2298*N2298</f>
        <v>813903.6606</v>
      </c>
      <c r="P2298" s="838" t="s">
        <v>2197</v>
      </c>
      <c r="Q2298" s="839" t="s">
        <v>3218</v>
      </c>
      <c r="R2298" s="944" t="n">
        <v>393424.182</v>
      </c>
      <c r="S2298" s="886" t="n">
        <f aca="false">R2298/H2298</f>
        <v>9990</v>
      </c>
      <c r="T2298" s="943" t="n">
        <f aca="false">O2298-R2298-R2299</f>
        <v>0</v>
      </c>
      <c r="U2298" s="842" t="n">
        <f aca="false">N2298-S2298-S2299</f>
        <v>0</v>
      </c>
    </row>
    <row r="2299" customFormat="false" ht="15" hidden="false" customHeight="true" outlineLevel="0" collapsed="false">
      <c r="A2299" s="829"/>
      <c r="B2299" s="830"/>
      <c r="C2299" s="830"/>
      <c r="D2299" s="887" t="s">
        <v>8</v>
      </c>
      <c r="E2299" s="887" t="s">
        <v>2192</v>
      </c>
      <c r="F2299" s="832"/>
      <c r="G2299" s="833"/>
      <c r="H2299" s="834"/>
      <c r="I2299" s="835"/>
      <c r="J2299" s="835"/>
      <c r="K2299" s="836"/>
      <c r="L2299" s="837"/>
      <c r="M2299" s="1003"/>
      <c r="N2299" s="837"/>
      <c r="O2299" s="943"/>
      <c r="P2299" s="888" t="s">
        <v>2197</v>
      </c>
      <c r="Q2299" s="889" t="s">
        <v>3219</v>
      </c>
      <c r="R2299" s="945" t="n">
        <v>420479.4786</v>
      </c>
      <c r="S2299" s="846" t="n">
        <f aca="false">R2299/H2298</f>
        <v>10677</v>
      </c>
      <c r="T2299" s="943"/>
      <c r="U2299" s="842"/>
    </row>
    <row r="2300" customFormat="false" ht="15" hidden="false" customHeight="true" outlineLevel="0" collapsed="false">
      <c r="A2300" s="881" t="n">
        <v>141</v>
      </c>
      <c r="B2300" s="913" t="s">
        <v>86</v>
      </c>
      <c r="C2300" s="914" t="n">
        <v>2024</v>
      </c>
      <c r="D2300" s="915" t="s">
        <v>8</v>
      </c>
      <c r="E2300" s="915" t="s">
        <v>2192</v>
      </c>
      <c r="F2300" s="914"/>
      <c r="G2300" s="917"/>
      <c r="H2300" s="1819" t="n">
        <v>95.7</v>
      </c>
      <c r="I2300" s="1690" t="n">
        <v>74</v>
      </c>
      <c r="J2300" s="919"/>
      <c r="K2300" s="920" t="n">
        <f aca="false">H2300*I2300/100</f>
        <v>70.818</v>
      </c>
      <c r="L2300" s="921" t="n">
        <v>2883</v>
      </c>
      <c r="M2300" s="1191" t="n">
        <v>1</v>
      </c>
      <c r="N2300" s="921" t="n">
        <f aca="false">L2300*M2300</f>
        <v>2883</v>
      </c>
      <c r="O2300" s="922" t="n">
        <f aca="false">H2300*N2300</f>
        <v>275903.1</v>
      </c>
      <c r="P2300" s="923" t="s">
        <v>2232</v>
      </c>
      <c r="Q2300" s="924" t="s">
        <v>2494</v>
      </c>
      <c r="R2300" s="925" t="n">
        <v>51008.1</v>
      </c>
      <c r="S2300" s="926" t="n">
        <f aca="false">R2300/H2300</f>
        <v>533</v>
      </c>
      <c r="T2300" s="1691" t="n">
        <f aca="false">O2300-R2300-R2302-R2301</f>
        <v>50721</v>
      </c>
      <c r="U2300" s="928" t="n">
        <f aca="false">N2300-S2300-S2302-S2301</f>
        <v>530</v>
      </c>
    </row>
    <row r="2301" customFormat="false" ht="15" hidden="false" customHeight="true" outlineLevel="0" collapsed="false">
      <c r="A2301" s="881"/>
      <c r="B2301" s="913"/>
      <c r="C2301" s="914"/>
      <c r="D2301" s="929" t="s">
        <v>8</v>
      </c>
      <c r="E2301" s="929" t="s">
        <v>2192</v>
      </c>
      <c r="F2301" s="914"/>
      <c r="G2301" s="917"/>
      <c r="H2301" s="1819"/>
      <c r="I2301" s="1690"/>
      <c r="J2301" s="919"/>
      <c r="K2301" s="920"/>
      <c r="L2301" s="921"/>
      <c r="M2301" s="1191"/>
      <c r="N2301" s="921"/>
      <c r="O2301" s="922"/>
      <c r="P2301" s="930" t="s">
        <v>2193</v>
      </c>
      <c r="Q2301" s="931" t="s">
        <v>3220</v>
      </c>
      <c r="R2301" s="932" t="n">
        <v>114840</v>
      </c>
      <c r="S2301" s="933" t="n">
        <f aca="false">R2301/H2300</f>
        <v>1200</v>
      </c>
      <c r="T2301" s="1691"/>
      <c r="U2301" s="928"/>
    </row>
    <row r="2302" customFormat="false" ht="15" hidden="false" customHeight="true" outlineLevel="0" collapsed="false">
      <c r="A2302" s="881"/>
      <c r="B2302" s="913"/>
      <c r="C2302" s="914"/>
      <c r="D2302" s="1671" t="s">
        <v>8</v>
      </c>
      <c r="E2302" s="1671" t="s">
        <v>2192</v>
      </c>
      <c r="F2302" s="914"/>
      <c r="G2302" s="917"/>
      <c r="H2302" s="1819"/>
      <c r="I2302" s="1690"/>
      <c r="J2302" s="919"/>
      <c r="K2302" s="920"/>
      <c r="L2302" s="921"/>
      <c r="M2302" s="1191"/>
      <c r="N2302" s="921"/>
      <c r="O2302" s="922"/>
      <c r="P2302" s="1672" t="s">
        <v>2232</v>
      </c>
      <c r="Q2302" s="1698" t="s">
        <v>2717</v>
      </c>
      <c r="R2302" s="1820" t="n">
        <v>59334</v>
      </c>
      <c r="S2302" s="1700" t="n">
        <f aca="false">R2302/H2300</f>
        <v>620</v>
      </c>
      <c r="T2302" s="1691"/>
      <c r="U2302" s="928"/>
    </row>
    <row r="2303" customFormat="false" ht="15" hidden="false" customHeight="true" outlineLevel="0" collapsed="false">
      <c r="A2303" s="881"/>
      <c r="B2303" s="847" t="s">
        <v>86</v>
      </c>
      <c r="C2303" s="847" t="n">
        <v>2024</v>
      </c>
      <c r="D2303" s="848" t="s">
        <v>8</v>
      </c>
      <c r="E2303" s="848" t="s">
        <v>2242</v>
      </c>
      <c r="F2303" s="848"/>
      <c r="G2303" s="849"/>
      <c r="H2303" s="949" t="n">
        <v>66.6</v>
      </c>
      <c r="I2303" s="950" t="n">
        <v>75</v>
      </c>
      <c r="J2303" s="950"/>
      <c r="K2303" s="852" t="n">
        <f aca="false">H2303*I2303/100</f>
        <v>49.95</v>
      </c>
      <c r="L2303" s="537" t="n">
        <v>189</v>
      </c>
      <c r="M2303" s="1007" t="n">
        <v>1</v>
      </c>
      <c r="N2303" s="1143" t="n">
        <f aca="false">L2303*M2303</f>
        <v>189</v>
      </c>
      <c r="O2303" s="1606" t="n">
        <f aca="false">H2303*N2303</f>
        <v>12587.4</v>
      </c>
      <c r="P2303" s="856" t="s">
        <v>2232</v>
      </c>
      <c r="Q2303" s="857" t="s">
        <v>2494</v>
      </c>
      <c r="R2303" s="952" t="n">
        <v>12587.4</v>
      </c>
      <c r="S2303" s="854" t="n">
        <f aca="false">R2303/H2303</f>
        <v>189</v>
      </c>
      <c r="T2303" s="1009" t="n">
        <f aca="false">O2303-R2303</f>
        <v>0</v>
      </c>
      <c r="U2303" s="892" t="n">
        <f aca="false">N2303-S2303</f>
        <v>0</v>
      </c>
    </row>
    <row r="2304" customFormat="false" ht="15" hidden="false" customHeight="true" outlineLevel="0" collapsed="false">
      <c r="A2304" s="881"/>
      <c r="B2304" s="847" t="s">
        <v>86</v>
      </c>
      <c r="C2304" s="847" t="n">
        <v>2024</v>
      </c>
      <c r="D2304" s="848" t="s">
        <v>8</v>
      </c>
      <c r="E2304" s="848" t="s">
        <v>2203</v>
      </c>
      <c r="F2304" s="848"/>
      <c r="G2304" s="849"/>
      <c r="H2304" s="949" t="n">
        <v>3</v>
      </c>
      <c r="I2304" s="950"/>
      <c r="J2304" s="950"/>
      <c r="K2304" s="864" t="n">
        <f aca="false">H2304*I2304/100</f>
        <v>0</v>
      </c>
      <c r="L2304" s="537" t="n">
        <v>317</v>
      </c>
      <c r="M2304" s="1007" t="n">
        <v>1</v>
      </c>
      <c r="N2304" s="1299" t="n">
        <f aca="false">L2304*M2304</f>
        <v>317</v>
      </c>
      <c r="O2304" s="1348" t="n">
        <f aca="false">H2304*N2304</f>
        <v>951</v>
      </c>
      <c r="P2304" s="856" t="s">
        <v>2200</v>
      </c>
      <c r="Q2304" s="857" t="s">
        <v>2886</v>
      </c>
      <c r="R2304" s="952" t="n">
        <v>951</v>
      </c>
      <c r="S2304" s="854" t="n">
        <f aca="false">R2304/H2304</f>
        <v>317</v>
      </c>
      <c r="T2304" s="968" t="n">
        <f aca="false">O2304-R2304</f>
        <v>0</v>
      </c>
      <c r="U2304" s="1135" t="n">
        <f aca="false">N2304-S2304</f>
        <v>0</v>
      </c>
    </row>
    <row r="2305" customFormat="false" ht="15" hidden="false" customHeight="true" outlineLevel="0" collapsed="false">
      <c r="A2305" s="881"/>
      <c r="B2305" s="1072" t="s">
        <v>86</v>
      </c>
      <c r="C2305" s="1072" t="n">
        <v>2024</v>
      </c>
      <c r="D2305" s="887" t="s">
        <v>8</v>
      </c>
      <c r="E2305" s="887" t="s">
        <v>2205</v>
      </c>
      <c r="F2305" s="887"/>
      <c r="G2305" s="1062"/>
      <c r="H2305" s="1077" t="n">
        <v>3.2</v>
      </c>
      <c r="I2305" s="1086"/>
      <c r="J2305" s="1086"/>
      <c r="K2305" s="897" t="n">
        <f aca="false">H2305*I2305/100</f>
        <v>0</v>
      </c>
      <c r="L2305" s="1067" t="n">
        <v>63</v>
      </c>
      <c r="M2305" s="1066" t="n">
        <v>1</v>
      </c>
      <c r="N2305" s="1393" t="n">
        <f aca="false">L2305*M2305</f>
        <v>63</v>
      </c>
      <c r="O2305" s="1500" t="n">
        <f aca="false">H2305*N2305</f>
        <v>201.6</v>
      </c>
      <c r="P2305" s="888" t="s">
        <v>2200</v>
      </c>
      <c r="Q2305" s="889" t="s">
        <v>2886</v>
      </c>
      <c r="R2305" s="945" t="n">
        <v>201.6</v>
      </c>
      <c r="S2305" s="890" t="n">
        <f aca="false">R2305/H2305</f>
        <v>63</v>
      </c>
      <c r="T2305" s="1395" t="n">
        <f aca="false">O2305-R2305</f>
        <v>0</v>
      </c>
      <c r="U2305" s="902" t="n">
        <f aca="false">N2305-S2305</f>
        <v>0</v>
      </c>
    </row>
    <row r="2306" customFormat="false" ht="15" hidden="false" customHeight="true" outlineLevel="0" collapsed="false">
      <c r="A2306" s="847" t="n">
        <v>76</v>
      </c>
      <c r="B2306" s="847" t="s">
        <v>2230</v>
      </c>
      <c r="C2306" s="847" t="n">
        <v>2024</v>
      </c>
      <c r="D2306" s="848" t="s">
        <v>8</v>
      </c>
      <c r="E2306" s="848" t="s">
        <v>2192</v>
      </c>
      <c r="F2306" s="848" t="s">
        <v>2199</v>
      </c>
      <c r="G2306" s="849"/>
      <c r="H2306" s="949" t="n">
        <v>78.174</v>
      </c>
      <c r="I2306" s="950"/>
      <c r="J2306" s="950"/>
      <c r="K2306" s="852" t="n">
        <f aca="false">H2306*I2306/100</f>
        <v>0</v>
      </c>
      <c r="L2306" s="537" t="n">
        <v>1600</v>
      </c>
      <c r="M2306" s="1007" t="n">
        <v>1</v>
      </c>
      <c r="N2306" s="1143" t="n">
        <f aca="false">L2306*M2306</f>
        <v>1600</v>
      </c>
      <c r="O2306" s="1606" t="n">
        <f aca="false">H2306*N2306</f>
        <v>125078.4</v>
      </c>
      <c r="P2306" s="856" t="s">
        <v>2197</v>
      </c>
      <c r="Q2306" s="857" t="s">
        <v>3221</v>
      </c>
      <c r="R2306" s="952" t="n">
        <v>125078.4</v>
      </c>
      <c r="S2306" s="854" t="n">
        <f aca="false">R2306/H2306</f>
        <v>1600</v>
      </c>
      <c r="T2306" s="1009" t="n">
        <f aca="false">O2306-R2306</f>
        <v>0</v>
      </c>
      <c r="U2306" s="537" t="n">
        <f aca="false">N2306-S2306</f>
        <v>0</v>
      </c>
    </row>
    <row r="2307" customFormat="false" ht="15" hidden="false" customHeight="true" outlineLevel="0" collapsed="false">
      <c r="A2307" s="847" t="n">
        <v>81</v>
      </c>
      <c r="B2307" s="847" t="s">
        <v>2230</v>
      </c>
      <c r="C2307" s="847" t="n">
        <v>2024</v>
      </c>
      <c r="D2307" s="848" t="s">
        <v>8</v>
      </c>
      <c r="E2307" s="848" t="s">
        <v>2192</v>
      </c>
      <c r="F2307" s="848" t="s">
        <v>2199</v>
      </c>
      <c r="G2307" s="849"/>
      <c r="H2307" s="949" t="n">
        <v>75.9485</v>
      </c>
      <c r="I2307" s="950"/>
      <c r="J2307" s="950"/>
      <c r="K2307" s="852" t="n">
        <f aca="false">H2307*I2307/100</f>
        <v>0</v>
      </c>
      <c r="L2307" s="537" t="n">
        <v>1050</v>
      </c>
      <c r="M2307" s="1007" t="n">
        <v>1</v>
      </c>
      <c r="N2307" s="1143" t="n">
        <f aca="false">L2307*M2307</f>
        <v>1050</v>
      </c>
      <c r="O2307" s="1386" t="n">
        <f aca="false">H2307*N2307</f>
        <v>79745.925</v>
      </c>
      <c r="P2307" s="856" t="s">
        <v>2197</v>
      </c>
      <c r="Q2307" s="857" t="s">
        <v>3222</v>
      </c>
      <c r="R2307" s="1512" t="n">
        <v>79745.925</v>
      </c>
      <c r="S2307" s="854" t="n">
        <f aca="false">R2307/H2307</f>
        <v>1050</v>
      </c>
      <c r="T2307" s="1009" t="n">
        <f aca="false">O2307-R2307</f>
        <v>0</v>
      </c>
      <c r="U2307" s="537" t="n">
        <f aca="false">N2307-S2307</f>
        <v>0</v>
      </c>
    </row>
    <row r="2308" customFormat="false" ht="15" hidden="false" customHeight="true" outlineLevel="0" collapsed="false">
      <c r="A2308" s="903" t="n">
        <v>230</v>
      </c>
      <c r="B2308" s="903" t="s">
        <v>2207</v>
      </c>
      <c r="C2308" s="903" t="n">
        <v>2024</v>
      </c>
      <c r="D2308" s="904" t="s">
        <v>8</v>
      </c>
      <c r="E2308" s="904" t="s">
        <v>2192</v>
      </c>
      <c r="F2308" s="904" t="s">
        <v>1652</v>
      </c>
      <c r="G2308" s="905"/>
      <c r="H2308" s="946" t="n">
        <v>52.9949</v>
      </c>
      <c r="I2308" s="947"/>
      <c r="J2308" s="947"/>
      <c r="K2308" s="939" t="n">
        <f aca="false">H2308*I2308/100</f>
        <v>0</v>
      </c>
      <c r="L2308" s="942" t="n">
        <v>2167</v>
      </c>
      <c r="M2308" s="1023" t="n">
        <v>1</v>
      </c>
      <c r="N2308" s="1137" t="n">
        <f aca="false">L2308*M2308</f>
        <v>2167</v>
      </c>
      <c r="O2308" s="1384" t="n">
        <f aca="false">H2308*N2308</f>
        <v>114839.9483</v>
      </c>
      <c r="P2308" s="910" t="s">
        <v>2197</v>
      </c>
      <c r="Q2308" s="911" t="s">
        <v>2932</v>
      </c>
      <c r="R2308" s="1538" t="n">
        <v>114839.9483</v>
      </c>
      <c r="S2308" s="891" t="n">
        <f aca="false">R2308/H2308</f>
        <v>2167</v>
      </c>
      <c r="T2308" s="948" t="n">
        <f aca="false">O2308-R2308</f>
        <v>0</v>
      </c>
      <c r="U2308" s="942" t="n">
        <f aca="false">N2308-S2308</f>
        <v>0</v>
      </c>
    </row>
    <row r="2309" customFormat="false" ht="15" hidden="false" customHeight="true" outlineLevel="0" collapsed="false">
      <c r="A2309" s="882" t="n">
        <v>154</v>
      </c>
      <c r="B2309" s="1453" t="s">
        <v>86</v>
      </c>
      <c r="C2309" s="1453" t="n">
        <v>2024</v>
      </c>
      <c r="D2309" s="915" t="s">
        <v>8</v>
      </c>
      <c r="E2309" s="915" t="s">
        <v>2192</v>
      </c>
      <c r="F2309" s="915" t="s">
        <v>2199</v>
      </c>
      <c r="G2309" s="1454"/>
      <c r="H2309" s="1821" t="n">
        <v>47.5</v>
      </c>
      <c r="I2309" s="1456"/>
      <c r="J2309" s="1456"/>
      <c r="K2309" s="1457" t="n">
        <f aca="false">H2309*I2309/100</f>
        <v>0</v>
      </c>
      <c r="L2309" s="1776" t="n">
        <v>859</v>
      </c>
      <c r="M2309" s="1459" t="n">
        <v>1</v>
      </c>
      <c r="N2309" s="1460" t="n">
        <f aca="false">L2309*M2309</f>
        <v>859</v>
      </c>
      <c r="O2309" s="1461" t="n">
        <f aca="false">H2309*N2309</f>
        <v>40802.5</v>
      </c>
      <c r="P2309" s="1193"/>
      <c r="Q2309" s="1312"/>
      <c r="R2309" s="1822"/>
      <c r="S2309" s="1196"/>
      <c r="T2309" s="1463" t="n">
        <f aca="false">O2309-R2309</f>
        <v>40802.5</v>
      </c>
      <c r="U2309" s="1464" t="n">
        <f aca="false">N2309-S2309</f>
        <v>859</v>
      </c>
    </row>
    <row r="2310" customFormat="false" ht="15" hidden="false" customHeight="true" outlineLevel="0" collapsed="false">
      <c r="A2310" s="882"/>
      <c r="B2310" s="1155" t="s">
        <v>86</v>
      </c>
      <c r="C2310" s="1155" t="n">
        <v>2024</v>
      </c>
      <c r="D2310" s="1156" t="s">
        <v>8</v>
      </c>
      <c r="E2310" s="1156" t="s">
        <v>2203</v>
      </c>
      <c r="F2310" s="1156"/>
      <c r="G2310" s="1157"/>
      <c r="H2310" s="1389" t="n">
        <v>4</v>
      </c>
      <c r="I2310" s="1159"/>
      <c r="J2310" s="1159"/>
      <c r="K2310" s="1160" t="n">
        <f aca="false">H2310*I2310/100</f>
        <v>0</v>
      </c>
      <c r="L2310" s="1163" t="n">
        <v>616</v>
      </c>
      <c r="M2310" s="1162" t="n">
        <v>1</v>
      </c>
      <c r="N2310" s="1321" t="n">
        <f aca="false">L2310*M2310</f>
        <v>616</v>
      </c>
      <c r="O2310" s="1391" t="n">
        <f aca="false">H2310*N2310</f>
        <v>2464</v>
      </c>
      <c r="P2310" s="1165"/>
      <c r="Q2310" s="1323"/>
      <c r="R2310" s="1614"/>
      <c r="S2310" s="1168"/>
      <c r="T2310" s="1468" t="n">
        <f aca="false">O2310-R2310</f>
        <v>2464</v>
      </c>
      <c r="U2310" s="1170" t="n">
        <f aca="false">N2310-S2310</f>
        <v>616</v>
      </c>
    </row>
    <row r="2311" customFormat="false" ht="15" hidden="false" customHeight="true" outlineLevel="0" collapsed="false">
      <c r="A2311" s="882"/>
      <c r="B2311" s="1239" t="s">
        <v>86</v>
      </c>
      <c r="C2311" s="1239" t="n">
        <v>2024</v>
      </c>
      <c r="D2311" s="1240" t="s">
        <v>8</v>
      </c>
      <c r="E2311" s="1240" t="s">
        <v>2205</v>
      </c>
      <c r="F2311" s="1240"/>
      <c r="G2311" s="1241"/>
      <c r="H2311" s="1242" t="n">
        <v>0</v>
      </c>
      <c r="I2311" s="1243"/>
      <c r="J2311" s="1243"/>
      <c r="K2311" s="1244" t="n">
        <f aca="false">H2311*I2311/100</f>
        <v>0</v>
      </c>
      <c r="L2311" s="1251" t="n">
        <v>1872</v>
      </c>
      <c r="M2311" s="1246" t="n">
        <v>1</v>
      </c>
      <c r="N2311" s="1516" t="n">
        <f aca="false">L2311*M2311</f>
        <v>1872</v>
      </c>
      <c r="O2311" s="1823" t="n">
        <f aca="false">H2311*N2311</f>
        <v>0</v>
      </c>
      <c r="P2311" s="1248"/>
      <c r="Q2311" s="1735"/>
      <c r="R2311" s="1623"/>
      <c r="S2311" s="1250"/>
      <c r="T2311" s="1734" t="n">
        <f aca="false">O2311-R2311</f>
        <v>0</v>
      </c>
      <c r="U2311" s="1252" t="n">
        <f aca="false">N2311-S2311</f>
        <v>1872</v>
      </c>
    </row>
    <row r="2312" customFormat="false" ht="15" hidden="false" customHeight="true" outlineLevel="0" collapsed="false">
      <c r="A2312" s="954" t="n">
        <v>509</v>
      </c>
      <c r="B2312" s="954" t="s">
        <v>2191</v>
      </c>
      <c r="C2312" s="954" t="n">
        <v>2024</v>
      </c>
      <c r="D2312" s="955" t="s">
        <v>8</v>
      </c>
      <c r="E2312" s="955" t="s">
        <v>2192</v>
      </c>
      <c r="F2312" s="955" t="s">
        <v>1651</v>
      </c>
      <c r="G2312" s="956"/>
      <c r="H2312" s="957" t="n">
        <v>29.1781</v>
      </c>
      <c r="I2312" s="958"/>
      <c r="J2312" s="958"/>
      <c r="K2312" s="959" t="n">
        <f aca="false">H2312*I2312/100</f>
        <v>0</v>
      </c>
      <c r="L2312" s="960" t="n">
        <v>26</v>
      </c>
      <c r="M2312" s="1201" t="n">
        <v>10</v>
      </c>
      <c r="N2312" s="1626" t="n">
        <f aca="false">L2312*M2312</f>
        <v>260</v>
      </c>
      <c r="O2312" s="1627" t="n">
        <f aca="false">H2312*N2312</f>
        <v>7586.306</v>
      </c>
      <c r="P2312" s="963"/>
      <c r="Q2312" s="964"/>
      <c r="R2312" s="1569"/>
      <c r="S2312" s="1205"/>
      <c r="T2312" s="967" t="n">
        <f aca="false">O2312-R2312</f>
        <v>7586.306</v>
      </c>
      <c r="U2312" s="960" t="n">
        <f aca="false">N2312-S2312</f>
        <v>260</v>
      </c>
    </row>
    <row r="2313" customFormat="false" ht="15" hidden="false" customHeight="true" outlineLevel="0" collapsed="false">
      <c r="A2313" s="954" t="n">
        <v>527</v>
      </c>
      <c r="B2313" s="954" t="s">
        <v>2191</v>
      </c>
      <c r="C2313" s="954" t="n">
        <v>2024</v>
      </c>
      <c r="D2313" s="955" t="s">
        <v>8</v>
      </c>
      <c r="E2313" s="955" t="s">
        <v>2192</v>
      </c>
      <c r="F2313" s="955" t="s">
        <v>1651</v>
      </c>
      <c r="G2313" s="956"/>
      <c r="H2313" s="957" t="n">
        <v>30.2055</v>
      </c>
      <c r="I2313" s="958"/>
      <c r="J2313" s="958"/>
      <c r="K2313" s="959" t="n">
        <f aca="false">H2313*I2313/100</f>
        <v>0</v>
      </c>
      <c r="L2313" s="960" t="n">
        <v>92</v>
      </c>
      <c r="M2313" s="1201" t="n">
        <v>10</v>
      </c>
      <c r="N2313" s="1626" t="n">
        <f aca="false">L2313*M2313</f>
        <v>920</v>
      </c>
      <c r="O2313" s="1627" t="n">
        <f aca="false">H2313*N2313</f>
        <v>27789.06</v>
      </c>
      <c r="P2313" s="963"/>
      <c r="Q2313" s="964"/>
      <c r="R2313" s="1569"/>
      <c r="S2313" s="1205"/>
      <c r="T2313" s="967" t="n">
        <f aca="false">O2313-R2313</f>
        <v>27789.06</v>
      </c>
      <c r="U2313" s="960" t="n">
        <f aca="false">N2313-S2313</f>
        <v>920</v>
      </c>
    </row>
    <row r="2314" customFormat="false" ht="15" hidden="false" customHeight="true" outlineLevel="0" collapsed="false">
      <c r="A2314" s="954" t="n">
        <v>616</v>
      </c>
      <c r="B2314" s="954" t="s">
        <v>2191</v>
      </c>
      <c r="C2314" s="954" t="n">
        <v>2024</v>
      </c>
      <c r="D2314" s="955" t="s">
        <v>8</v>
      </c>
      <c r="E2314" s="955" t="s">
        <v>2192</v>
      </c>
      <c r="F2314" s="955" t="s">
        <v>1651</v>
      </c>
      <c r="G2314" s="956"/>
      <c r="H2314" s="957" t="n">
        <v>35.3182</v>
      </c>
      <c r="I2314" s="958"/>
      <c r="J2314" s="958"/>
      <c r="K2314" s="959" t="n">
        <f aca="false">H2314*I2314/100</f>
        <v>0</v>
      </c>
      <c r="L2314" s="960" t="n">
        <v>74</v>
      </c>
      <c r="M2314" s="1201" t="n">
        <v>15</v>
      </c>
      <c r="N2314" s="1626" t="n">
        <f aca="false">L2314*M2314</f>
        <v>1110</v>
      </c>
      <c r="O2314" s="1627" t="n">
        <f aca="false">H2314*N2314</f>
        <v>39203.202</v>
      </c>
      <c r="P2314" s="963"/>
      <c r="Q2314" s="964"/>
      <c r="R2314" s="1569"/>
      <c r="S2314" s="1205"/>
      <c r="T2314" s="967" t="n">
        <f aca="false">O2314-R2314</f>
        <v>39203.202</v>
      </c>
      <c r="U2314" s="960" t="n">
        <f aca="false">N2314-S2314</f>
        <v>1110</v>
      </c>
    </row>
    <row r="2315" customFormat="false" ht="15" hidden="false" customHeight="true" outlineLevel="0" collapsed="false">
      <c r="A2315" s="859"/>
      <c r="B2315" s="859"/>
      <c r="C2315" s="859"/>
      <c r="D2315" s="860"/>
      <c r="E2315" s="860"/>
      <c r="F2315" s="860"/>
      <c r="G2315" s="861"/>
      <c r="H2315" s="862"/>
      <c r="I2315" s="863"/>
      <c r="J2315" s="863"/>
      <c r="K2315" s="864"/>
      <c r="L2315" s="865"/>
      <c r="M2315" s="1824"/>
      <c r="N2315" s="865"/>
      <c r="O2315" s="865"/>
      <c r="P2315" s="868"/>
      <c r="Q2315" s="869"/>
      <c r="R2315" s="866"/>
      <c r="S2315" s="866"/>
      <c r="T2315" s="1449"/>
      <c r="U2315" s="543"/>
    </row>
    <row r="2316" customFormat="false" ht="15" hidden="false" customHeight="true" outlineLevel="0" collapsed="false">
      <c r="A2316" s="859" t="n">
        <v>206</v>
      </c>
      <c r="B2316" s="859" t="s">
        <v>2191</v>
      </c>
      <c r="C2316" s="859" t="n">
        <v>2021</v>
      </c>
      <c r="D2316" s="860" t="s">
        <v>17</v>
      </c>
      <c r="E2316" s="860" t="s">
        <v>2192</v>
      </c>
      <c r="F2316" s="860" t="s">
        <v>1651</v>
      </c>
      <c r="G2316" s="861"/>
      <c r="H2316" s="862" t="n">
        <v>22.5</v>
      </c>
      <c r="I2316" s="863"/>
      <c r="J2316" s="863"/>
      <c r="K2316" s="864" t="n">
        <f aca="false">H2316*I2316/100</f>
        <v>0</v>
      </c>
      <c r="L2316" s="865" t="n">
        <v>6</v>
      </c>
      <c r="M2316" s="1824" t="n">
        <v>15</v>
      </c>
      <c r="N2316" s="1299" t="n">
        <f aca="false">L2316*M2316</f>
        <v>90</v>
      </c>
      <c r="O2316" s="1299" t="n">
        <f aca="false">H2316*N2316</f>
        <v>2025</v>
      </c>
      <c r="P2316" s="868" t="s">
        <v>2193</v>
      </c>
      <c r="Q2316" s="869" t="s">
        <v>2442</v>
      </c>
      <c r="R2316" s="866" t="n">
        <v>2025</v>
      </c>
      <c r="S2316" s="866" t="n">
        <f aca="false">R2316/H2316</f>
        <v>90</v>
      </c>
      <c r="T2316" s="543" t="n">
        <f aca="false">O2316-R2316</f>
        <v>0</v>
      </c>
      <c r="U2316" s="543" t="n">
        <f aca="false">N2316-S2316</f>
        <v>0</v>
      </c>
    </row>
    <row r="2317" customFormat="false" ht="15" hidden="false" customHeight="true" outlineLevel="0" collapsed="false">
      <c r="A2317" s="870" t="n">
        <v>86</v>
      </c>
      <c r="B2317" s="870" t="s">
        <v>2230</v>
      </c>
      <c r="C2317" s="870" t="n">
        <v>2022</v>
      </c>
      <c r="D2317" s="871" t="s">
        <v>17</v>
      </c>
      <c r="E2317" s="871" t="s">
        <v>2242</v>
      </c>
      <c r="F2317" s="871"/>
      <c r="G2317" s="872"/>
      <c r="H2317" s="873" t="n">
        <v>26.9</v>
      </c>
      <c r="I2317" s="874"/>
      <c r="J2317" s="874"/>
      <c r="K2317" s="875" t="n">
        <f aca="false">H2317*I2317/100</f>
        <v>0</v>
      </c>
      <c r="L2317" s="876" t="n">
        <v>2864</v>
      </c>
      <c r="M2317" s="1825" t="n">
        <v>1</v>
      </c>
      <c r="N2317" s="1301" t="n">
        <f aca="false">L2317*M2317</f>
        <v>2864</v>
      </c>
      <c r="O2317" s="1301" t="n">
        <f aca="false">H2317*N2317</f>
        <v>77041.6</v>
      </c>
      <c r="P2317" s="879" t="s">
        <v>2204</v>
      </c>
      <c r="Q2317" s="880" t="n">
        <v>16102024</v>
      </c>
      <c r="R2317" s="877" t="n">
        <v>77042</v>
      </c>
      <c r="S2317" s="877" t="n">
        <f aca="false">R2317/H2317</f>
        <v>2864.01486988848</v>
      </c>
      <c r="T2317" s="553" t="n">
        <f aca="false">O2317-R2317</f>
        <v>-0.400000000008731</v>
      </c>
      <c r="U2317" s="553" t="n">
        <f aca="false">N2317-S2317</f>
        <v>-0.0148698884759142</v>
      </c>
    </row>
    <row r="2318" customFormat="false" ht="15" hidden="false" customHeight="true" outlineLevel="0" collapsed="false">
      <c r="A2318" s="829" t="n">
        <v>218</v>
      </c>
      <c r="B2318" s="830" t="s">
        <v>2191</v>
      </c>
      <c r="C2318" s="830" t="n">
        <v>2022</v>
      </c>
      <c r="D2318" s="831" t="s">
        <v>17</v>
      </c>
      <c r="E2318" s="831" t="s">
        <v>2192</v>
      </c>
      <c r="F2318" s="832" t="s">
        <v>1651</v>
      </c>
      <c r="G2318" s="833"/>
      <c r="H2318" s="834" t="n">
        <v>22.5</v>
      </c>
      <c r="I2318" s="835"/>
      <c r="J2318" s="835"/>
      <c r="K2318" s="836" t="n">
        <f aca="false">H2318*I2318/100</f>
        <v>0</v>
      </c>
      <c r="L2318" s="837" t="n">
        <v>24</v>
      </c>
      <c r="M2318" s="1003" t="n">
        <v>15</v>
      </c>
      <c r="N2318" s="837" t="n">
        <f aca="false">L2318*M2318</f>
        <v>360</v>
      </c>
      <c r="O2318" s="837" t="n">
        <f aca="false">H2318*N2318</f>
        <v>8100</v>
      </c>
      <c r="P2318" s="838" t="s">
        <v>2193</v>
      </c>
      <c r="Q2318" s="839" t="s">
        <v>2442</v>
      </c>
      <c r="R2318" s="840" t="n">
        <v>3037.5</v>
      </c>
      <c r="S2318" s="886" t="n">
        <f aca="false">R2318/H2318</f>
        <v>135</v>
      </c>
      <c r="T2318" s="841" t="n">
        <f aca="false">O2318-R2318-R2319</f>
        <v>0</v>
      </c>
      <c r="U2318" s="842" t="n">
        <f aca="false">N2318-S2318-S2319</f>
        <v>0</v>
      </c>
    </row>
    <row r="2319" customFormat="false" ht="15" hidden="false" customHeight="true" outlineLevel="0" collapsed="false">
      <c r="A2319" s="829"/>
      <c r="B2319" s="830"/>
      <c r="C2319" s="830"/>
      <c r="D2319" s="843" t="s">
        <v>17</v>
      </c>
      <c r="E2319" s="843" t="s">
        <v>2192</v>
      </c>
      <c r="F2319" s="832"/>
      <c r="G2319" s="833"/>
      <c r="H2319" s="834"/>
      <c r="I2319" s="835"/>
      <c r="J2319" s="835"/>
      <c r="K2319" s="836"/>
      <c r="L2319" s="837"/>
      <c r="M2319" s="1003"/>
      <c r="N2319" s="837"/>
      <c r="O2319" s="837"/>
      <c r="P2319" s="844" t="s">
        <v>2193</v>
      </c>
      <c r="Q2319" s="845" t="s">
        <v>3223</v>
      </c>
      <c r="R2319" s="846" t="n">
        <v>5062.5</v>
      </c>
      <c r="S2319" s="846" t="n">
        <f aca="false">R2319/H2318</f>
        <v>225</v>
      </c>
      <c r="T2319" s="841"/>
      <c r="U2319" s="842"/>
    </row>
    <row r="2320" customFormat="false" ht="15" hidden="false" customHeight="true" outlineLevel="0" collapsed="false">
      <c r="A2320" s="903" t="n">
        <v>219</v>
      </c>
      <c r="B2320" s="903" t="s">
        <v>2191</v>
      </c>
      <c r="C2320" s="903" t="n">
        <v>2022</v>
      </c>
      <c r="D2320" s="904" t="s">
        <v>17</v>
      </c>
      <c r="E2320" s="904" t="s">
        <v>2192</v>
      </c>
      <c r="F2320" s="904" t="s">
        <v>1651</v>
      </c>
      <c r="G2320" s="905"/>
      <c r="H2320" s="906" t="n">
        <v>22.5</v>
      </c>
      <c r="I2320" s="907"/>
      <c r="J2320" s="907"/>
      <c r="K2320" s="939" t="n">
        <f aca="false">H2320*I2320/100</f>
        <v>0</v>
      </c>
      <c r="L2320" s="908" t="n">
        <v>7</v>
      </c>
      <c r="M2320" s="1826" t="n">
        <v>15</v>
      </c>
      <c r="N2320" s="1137" t="n">
        <f aca="false">L2320*M2320</f>
        <v>105</v>
      </c>
      <c r="O2320" s="1443" t="n">
        <f aca="false">H2320*N2320</f>
        <v>2362.5</v>
      </c>
      <c r="P2320" s="910" t="s">
        <v>2193</v>
      </c>
      <c r="Q2320" s="911" t="s">
        <v>2442</v>
      </c>
      <c r="R2320" s="891" t="n">
        <v>2362.5</v>
      </c>
      <c r="S2320" s="891" t="n">
        <f aca="false">R2320/H2320</f>
        <v>105</v>
      </c>
      <c r="T2320" s="942" t="n">
        <f aca="false">O2320-R2320</f>
        <v>0</v>
      </c>
      <c r="U2320" s="942" t="n">
        <f aca="false">N2320-S2320</f>
        <v>0</v>
      </c>
    </row>
    <row r="2321" customFormat="false" ht="15" hidden="false" customHeight="true" outlineLevel="0" collapsed="false">
      <c r="A2321" s="829" t="n">
        <v>278</v>
      </c>
      <c r="B2321" s="830" t="s">
        <v>2191</v>
      </c>
      <c r="C2321" s="830" t="n">
        <v>2022</v>
      </c>
      <c r="D2321" s="831" t="s">
        <v>17</v>
      </c>
      <c r="E2321" s="831" t="s">
        <v>2192</v>
      </c>
      <c r="F2321" s="832" t="s">
        <v>1651</v>
      </c>
      <c r="G2321" s="833"/>
      <c r="H2321" s="834" t="n">
        <v>22.5</v>
      </c>
      <c r="I2321" s="835"/>
      <c r="J2321" s="835"/>
      <c r="K2321" s="836" t="n">
        <f aca="false">H2321*I2321/100</f>
        <v>0</v>
      </c>
      <c r="L2321" s="837" t="n">
        <v>24</v>
      </c>
      <c r="M2321" s="1003" t="n">
        <v>15</v>
      </c>
      <c r="N2321" s="837" t="n">
        <f aca="false">L2321*M2321</f>
        <v>360</v>
      </c>
      <c r="O2321" s="837" t="n">
        <f aca="false">H2321*N2321</f>
        <v>8100</v>
      </c>
      <c r="P2321" s="838" t="s">
        <v>2193</v>
      </c>
      <c r="Q2321" s="839" t="s">
        <v>3223</v>
      </c>
      <c r="R2321" s="840" t="n">
        <v>1687.5</v>
      </c>
      <c r="S2321" s="886" t="n">
        <f aca="false">R2321/H2321</f>
        <v>75</v>
      </c>
      <c r="T2321" s="837" t="n">
        <f aca="false">O2321-R2321-R2322</f>
        <v>0</v>
      </c>
      <c r="U2321" s="842" t="n">
        <f aca="false">N2321-S2321-S2322</f>
        <v>0</v>
      </c>
    </row>
    <row r="2322" customFormat="false" ht="15" hidden="false" customHeight="true" outlineLevel="0" collapsed="false">
      <c r="A2322" s="829"/>
      <c r="B2322" s="830"/>
      <c r="C2322" s="830"/>
      <c r="D2322" s="843" t="s">
        <v>17</v>
      </c>
      <c r="E2322" s="843" t="s">
        <v>2192</v>
      </c>
      <c r="F2322" s="832"/>
      <c r="G2322" s="833"/>
      <c r="H2322" s="834"/>
      <c r="I2322" s="835"/>
      <c r="J2322" s="835"/>
      <c r="K2322" s="836"/>
      <c r="L2322" s="837"/>
      <c r="M2322" s="1003"/>
      <c r="N2322" s="837"/>
      <c r="O2322" s="837"/>
      <c r="P2322" s="844" t="s">
        <v>2193</v>
      </c>
      <c r="Q2322" s="845" t="s">
        <v>3127</v>
      </c>
      <c r="R2322" s="846" t="n">
        <v>6412.5</v>
      </c>
      <c r="S2322" s="846" t="n">
        <f aca="false">R2322/H2321</f>
        <v>285</v>
      </c>
      <c r="T2322" s="837"/>
      <c r="U2322" s="842"/>
    </row>
    <row r="2323" customFormat="false" ht="15" hidden="false" customHeight="true" outlineLevel="0" collapsed="false">
      <c r="A2323" s="847" t="n">
        <v>290</v>
      </c>
      <c r="B2323" s="847" t="s">
        <v>2191</v>
      </c>
      <c r="C2323" s="847" t="n">
        <v>2022</v>
      </c>
      <c r="D2323" s="848" t="s">
        <v>17</v>
      </c>
      <c r="E2323" s="848" t="s">
        <v>2192</v>
      </c>
      <c r="F2323" s="848" t="s">
        <v>2130</v>
      </c>
      <c r="G2323" s="849"/>
      <c r="H2323" s="850" t="n">
        <v>40</v>
      </c>
      <c r="I2323" s="851"/>
      <c r="J2323" s="851"/>
      <c r="K2323" s="852" t="n">
        <f aca="false">H2323*I2323/100</f>
        <v>0</v>
      </c>
      <c r="L2323" s="853" t="n">
        <v>1467</v>
      </c>
      <c r="M2323" s="1827" t="n">
        <v>1</v>
      </c>
      <c r="N2323" s="1143" t="n">
        <f aca="false">L2323*M2323</f>
        <v>1467</v>
      </c>
      <c r="O2323" s="1143" t="n">
        <f aca="false">H2323*N2323</f>
        <v>58680</v>
      </c>
      <c r="P2323" s="856" t="s">
        <v>2204</v>
      </c>
      <c r="Q2323" s="857" t="n">
        <v>16102024</v>
      </c>
      <c r="R2323" s="854" t="n">
        <v>58680</v>
      </c>
      <c r="S2323" s="877" t="n">
        <f aca="false">R2323/H2323</f>
        <v>1467</v>
      </c>
      <c r="T2323" s="537" t="n">
        <f aca="false">O2323-R2323</f>
        <v>0</v>
      </c>
      <c r="U2323" s="537" t="n">
        <f aca="false">N2323-S2323</f>
        <v>0</v>
      </c>
    </row>
    <row r="2324" customFormat="false" ht="15" hidden="false" customHeight="true" outlineLevel="0" collapsed="false">
      <c r="A2324" s="859" t="n">
        <v>345</v>
      </c>
      <c r="B2324" s="859" t="s">
        <v>2191</v>
      </c>
      <c r="C2324" s="859" t="n">
        <v>2022</v>
      </c>
      <c r="D2324" s="860" t="s">
        <v>17</v>
      </c>
      <c r="E2324" s="860" t="s">
        <v>2192</v>
      </c>
      <c r="F2324" s="860" t="s">
        <v>2131</v>
      </c>
      <c r="G2324" s="861"/>
      <c r="H2324" s="862" t="n">
        <v>60</v>
      </c>
      <c r="I2324" s="863"/>
      <c r="J2324" s="863"/>
      <c r="K2324" s="864" t="n">
        <f aca="false">H2324*I2324/100</f>
        <v>0</v>
      </c>
      <c r="L2324" s="865" t="n">
        <v>1</v>
      </c>
      <c r="M2324" s="1824" t="n">
        <v>25</v>
      </c>
      <c r="N2324" s="1299" t="n">
        <f aca="false">L2324*M2324</f>
        <v>25</v>
      </c>
      <c r="O2324" s="1299" t="n">
        <f aca="false">H2324*N2324</f>
        <v>1500</v>
      </c>
      <c r="P2324" s="868" t="s">
        <v>2193</v>
      </c>
      <c r="Q2324" s="869" t="s">
        <v>110</v>
      </c>
      <c r="R2324" s="866" t="n">
        <v>1500</v>
      </c>
      <c r="S2324" s="877" t="n">
        <f aca="false">R2324/H2324</f>
        <v>25</v>
      </c>
      <c r="T2324" s="543" t="n">
        <f aca="false">O2324-R2324</f>
        <v>0</v>
      </c>
      <c r="U2324" s="543" t="n">
        <f aca="false">N2324-S2324</f>
        <v>0</v>
      </c>
    </row>
    <row r="2325" customFormat="false" ht="15" hidden="false" customHeight="true" outlineLevel="0" collapsed="false">
      <c r="A2325" s="859" t="n">
        <v>397</v>
      </c>
      <c r="B2325" s="859" t="s">
        <v>2191</v>
      </c>
      <c r="C2325" s="859" t="n">
        <v>2022</v>
      </c>
      <c r="D2325" s="860" t="s">
        <v>17</v>
      </c>
      <c r="E2325" s="860" t="s">
        <v>2192</v>
      </c>
      <c r="F2325" s="860" t="s">
        <v>2130</v>
      </c>
      <c r="G2325" s="861"/>
      <c r="H2325" s="862" t="n">
        <v>40</v>
      </c>
      <c r="I2325" s="863"/>
      <c r="J2325" s="863"/>
      <c r="K2325" s="864" t="n">
        <f aca="false">H2325*I2325/100</f>
        <v>0</v>
      </c>
      <c r="L2325" s="865" t="n">
        <v>173</v>
      </c>
      <c r="M2325" s="1824" t="n">
        <v>25</v>
      </c>
      <c r="N2325" s="1299" t="n">
        <f aca="false">L2325*M2325</f>
        <v>4325</v>
      </c>
      <c r="O2325" s="1299" t="n">
        <f aca="false">H2325*N2325</f>
        <v>173000</v>
      </c>
      <c r="P2325" s="868" t="s">
        <v>2232</v>
      </c>
      <c r="Q2325" s="869" t="s">
        <v>116</v>
      </c>
      <c r="R2325" s="866" t="n">
        <v>173000</v>
      </c>
      <c r="S2325" s="866" t="n">
        <f aca="false">R2325/H2325</f>
        <v>4325</v>
      </c>
      <c r="T2325" s="543" t="n">
        <f aca="false">O2325-R2325</f>
        <v>0</v>
      </c>
      <c r="U2325" s="543" t="n">
        <f aca="false">N2325-S2325</f>
        <v>0</v>
      </c>
    </row>
    <row r="2326" customFormat="false" ht="15" hidden="false" customHeight="true" outlineLevel="0" collapsed="false">
      <c r="A2326" s="870" t="n">
        <v>446</v>
      </c>
      <c r="B2326" s="870" t="s">
        <v>2191</v>
      </c>
      <c r="C2326" s="870" t="n">
        <v>2022</v>
      </c>
      <c r="D2326" s="871" t="s">
        <v>17</v>
      </c>
      <c r="E2326" s="871" t="s">
        <v>2192</v>
      </c>
      <c r="F2326" s="871" t="s">
        <v>2131</v>
      </c>
      <c r="G2326" s="872"/>
      <c r="H2326" s="873" t="n">
        <v>60</v>
      </c>
      <c r="I2326" s="874"/>
      <c r="J2326" s="874"/>
      <c r="K2326" s="875" t="n">
        <f aca="false">H2326*I2326/100</f>
        <v>0</v>
      </c>
      <c r="L2326" s="876" t="n">
        <v>62</v>
      </c>
      <c r="M2326" s="1825" t="n">
        <v>25</v>
      </c>
      <c r="N2326" s="1301" t="n">
        <f aca="false">L2326*M2326</f>
        <v>1550</v>
      </c>
      <c r="O2326" s="1301" t="n">
        <f aca="false">H2326*N2326</f>
        <v>93000</v>
      </c>
      <c r="P2326" s="879" t="s">
        <v>2232</v>
      </c>
      <c r="Q2326" s="880" t="s">
        <v>116</v>
      </c>
      <c r="R2326" s="877" t="n">
        <v>93000</v>
      </c>
      <c r="S2326" s="877" t="n">
        <f aca="false">R2326/H2326</f>
        <v>1550</v>
      </c>
      <c r="T2326" s="553" t="n">
        <f aca="false">O2326-R2326</f>
        <v>0</v>
      </c>
      <c r="U2326" s="553" t="n">
        <f aca="false">N2326-S2326</f>
        <v>0</v>
      </c>
    </row>
    <row r="2327" customFormat="false" ht="15" hidden="false" customHeight="true" outlineLevel="0" collapsed="false">
      <c r="A2327" s="829" t="n">
        <v>449</v>
      </c>
      <c r="B2327" s="830" t="s">
        <v>2191</v>
      </c>
      <c r="C2327" s="830" t="n">
        <v>2022</v>
      </c>
      <c r="D2327" s="1365" t="s">
        <v>17</v>
      </c>
      <c r="E2327" s="831" t="s">
        <v>2192</v>
      </c>
      <c r="F2327" s="832" t="s">
        <v>1651</v>
      </c>
      <c r="G2327" s="833"/>
      <c r="H2327" s="834" t="n">
        <v>22.5</v>
      </c>
      <c r="I2327" s="835"/>
      <c r="J2327" s="835"/>
      <c r="K2327" s="836" t="n">
        <f aca="false">H2327*I2327/100</f>
        <v>0</v>
      </c>
      <c r="L2327" s="837" t="n">
        <v>10</v>
      </c>
      <c r="M2327" s="1003" t="n">
        <v>15</v>
      </c>
      <c r="N2327" s="837" t="n">
        <f aca="false">L2327*M2327</f>
        <v>150</v>
      </c>
      <c r="O2327" s="837" t="n">
        <f aca="false">H2327*N2327</f>
        <v>3375</v>
      </c>
      <c r="P2327" s="838" t="s">
        <v>2193</v>
      </c>
      <c r="Q2327" s="839" t="s">
        <v>3224</v>
      </c>
      <c r="R2327" s="840" t="n">
        <v>2700</v>
      </c>
      <c r="S2327" s="886" t="n">
        <f aca="false">R2327/H2327</f>
        <v>120</v>
      </c>
      <c r="T2327" s="837" t="n">
        <f aca="false">O2327-R2327-R2328</f>
        <v>0</v>
      </c>
      <c r="U2327" s="842" t="n">
        <f aca="false">N2327-S2327-S2328</f>
        <v>0</v>
      </c>
    </row>
    <row r="2328" customFormat="false" ht="15" hidden="false" customHeight="true" outlineLevel="0" collapsed="false">
      <c r="A2328" s="829"/>
      <c r="B2328" s="830"/>
      <c r="C2328" s="830"/>
      <c r="D2328" s="1357" t="s">
        <v>17</v>
      </c>
      <c r="E2328" s="843" t="s">
        <v>2192</v>
      </c>
      <c r="F2328" s="832"/>
      <c r="G2328" s="833"/>
      <c r="H2328" s="834"/>
      <c r="I2328" s="835"/>
      <c r="J2328" s="835"/>
      <c r="K2328" s="836"/>
      <c r="L2328" s="837"/>
      <c r="M2328" s="1003"/>
      <c r="N2328" s="837"/>
      <c r="O2328" s="837"/>
      <c r="P2328" s="844" t="s">
        <v>2193</v>
      </c>
      <c r="Q2328" s="845" t="s">
        <v>2442</v>
      </c>
      <c r="R2328" s="846" t="n">
        <v>675</v>
      </c>
      <c r="S2328" s="846" t="n">
        <f aca="false">R2328/H2327</f>
        <v>30</v>
      </c>
      <c r="T2328" s="837"/>
      <c r="U2328" s="842"/>
    </row>
    <row r="2329" customFormat="false" ht="15" hidden="false" customHeight="true" outlineLevel="0" collapsed="false">
      <c r="A2329" s="903" t="n">
        <v>503</v>
      </c>
      <c r="B2329" s="903" t="s">
        <v>2191</v>
      </c>
      <c r="C2329" s="903" t="n">
        <v>2022</v>
      </c>
      <c r="D2329" s="904" t="s">
        <v>17</v>
      </c>
      <c r="E2329" s="904" t="s">
        <v>2192</v>
      </c>
      <c r="F2329" s="904" t="s">
        <v>1651</v>
      </c>
      <c r="G2329" s="905"/>
      <c r="H2329" s="906" t="n">
        <v>22.5</v>
      </c>
      <c r="I2329" s="907"/>
      <c r="J2329" s="907"/>
      <c r="K2329" s="939" t="n">
        <f aca="false">H2329*I2329/100</f>
        <v>0</v>
      </c>
      <c r="L2329" s="908" t="n">
        <v>50</v>
      </c>
      <c r="M2329" s="1826" t="n">
        <v>15</v>
      </c>
      <c r="N2329" s="1137" t="n">
        <f aca="false">L2329*M2329</f>
        <v>750</v>
      </c>
      <c r="O2329" s="1137" t="n">
        <f aca="false">H2329*N2329</f>
        <v>16875</v>
      </c>
      <c r="P2329" s="910" t="s">
        <v>2204</v>
      </c>
      <c r="Q2329" s="911" t="n">
        <v>24052024</v>
      </c>
      <c r="R2329" s="891" t="n">
        <v>16875</v>
      </c>
      <c r="S2329" s="891" t="n">
        <f aca="false">R2329/H2329</f>
        <v>750</v>
      </c>
      <c r="T2329" s="942" t="n">
        <f aca="false">O2329-R2329</f>
        <v>0</v>
      </c>
      <c r="U2329" s="942" t="n">
        <f aca="false">N2329-S2329</f>
        <v>0</v>
      </c>
    </row>
    <row r="2330" customFormat="false" ht="15" hidden="false" customHeight="true" outlineLevel="0" collapsed="false">
      <c r="A2330" s="829" t="n">
        <v>512</v>
      </c>
      <c r="B2330" s="830" t="s">
        <v>2191</v>
      </c>
      <c r="C2330" s="830" t="n">
        <v>2022</v>
      </c>
      <c r="D2330" s="831" t="s">
        <v>17</v>
      </c>
      <c r="E2330" s="831" t="s">
        <v>2192</v>
      </c>
      <c r="F2330" s="832" t="s">
        <v>1651</v>
      </c>
      <c r="G2330" s="833"/>
      <c r="H2330" s="834" t="n">
        <v>22.5</v>
      </c>
      <c r="I2330" s="835"/>
      <c r="J2330" s="835"/>
      <c r="K2330" s="836" t="n">
        <f aca="false">H2330*I2330/100</f>
        <v>0</v>
      </c>
      <c r="L2330" s="837" t="n">
        <v>11</v>
      </c>
      <c r="M2330" s="1003" t="n">
        <v>15</v>
      </c>
      <c r="N2330" s="837" t="n">
        <f aca="false">L2330*M2330</f>
        <v>165</v>
      </c>
      <c r="O2330" s="837" t="n">
        <f aca="false">H2330*N2330</f>
        <v>3712.5</v>
      </c>
      <c r="P2330" s="838" t="s">
        <v>2193</v>
      </c>
      <c r="Q2330" s="839" t="s">
        <v>3223</v>
      </c>
      <c r="R2330" s="840" t="n">
        <v>1350</v>
      </c>
      <c r="S2330" s="840" t="n">
        <f aca="false">R2330/H2330</f>
        <v>60</v>
      </c>
      <c r="T2330" s="841" t="n">
        <f aca="false">O2330-R2330-R2331</f>
        <v>0</v>
      </c>
      <c r="U2330" s="842" t="n">
        <f aca="false">N2330-S2330-S2331</f>
        <v>0</v>
      </c>
    </row>
    <row r="2331" customFormat="false" ht="15" hidden="false" customHeight="true" outlineLevel="0" collapsed="false">
      <c r="A2331" s="829"/>
      <c r="B2331" s="830"/>
      <c r="C2331" s="830"/>
      <c r="D2331" s="843" t="s">
        <v>17</v>
      </c>
      <c r="E2331" s="843" t="s">
        <v>2192</v>
      </c>
      <c r="F2331" s="832"/>
      <c r="G2331" s="833"/>
      <c r="H2331" s="834"/>
      <c r="I2331" s="835"/>
      <c r="J2331" s="835"/>
      <c r="K2331" s="836"/>
      <c r="L2331" s="837"/>
      <c r="M2331" s="1003"/>
      <c r="N2331" s="837"/>
      <c r="O2331" s="837"/>
      <c r="P2331" s="844" t="s">
        <v>2195</v>
      </c>
      <c r="Q2331" s="845" t="s">
        <v>3225</v>
      </c>
      <c r="R2331" s="846" t="n">
        <v>2362.5</v>
      </c>
      <c r="S2331" s="846" t="n">
        <f aca="false">R2331/H2330</f>
        <v>105</v>
      </c>
      <c r="T2331" s="841"/>
      <c r="U2331" s="842"/>
    </row>
    <row r="2332" customFormat="false" ht="15" hidden="false" customHeight="true" outlineLevel="0" collapsed="false">
      <c r="A2332" s="1087" t="n">
        <v>50</v>
      </c>
      <c r="B2332" s="1061" t="s">
        <v>86</v>
      </c>
      <c r="C2332" s="1061" t="n">
        <v>2023</v>
      </c>
      <c r="D2332" s="848" t="s">
        <v>17</v>
      </c>
      <c r="E2332" s="848" t="s">
        <v>2242</v>
      </c>
      <c r="F2332" s="1061"/>
      <c r="G2332" s="1062"/>
      <c r="H2332" s="1063" t="n">
        <v>84.6</v>
      </c>
      <c r="I2332" s="1086"/>
      <c r="J2332" s="1086"/>
      <c r="K2332" s="1064" t="n">
        <f aca="false">H2332*I2332/100</f>
        <v>0</v>
      </c>
      <c r="L2332" s="1067" t="n">
        <v>775</v>
      </c>
      <c r="M2332" s="1066" t="n">
        <v>1</v>
      </c>
      <c r="N2332" s="1067" t="n">
        <f aca="false">L2332*M2332</f>
        <v>775</v>
      </c>
      <c r="O2332" s="1067" t="n">
        <f aca="false">H2332*N2332</f>
        <v>65565</v>
      </c>
      <c r="P2332" s="856" t="s">
        <v>2195</v>
      </c>
      <c r="Q2332" s="857" t="s">
        <v>2240</v>
      </c>
      <c r="R2332" s="1088" t="n">
        <v>1607.4</v>
      </c>
      <c r="S2332" s="854" t="n">
        <f aca="false">R2332/H2332</f>
        <v>19</v>
      </c>
      <c r="T2332" s="1067" t="n">
        <f aca="false">O2332-R2332-R2333</f>
        <v>0</v>
      </c>
      <c r="U2332" s="1070" t="n">
        <f aca="false">N2332-S2332-S2333</f>
        <v>0</v>
      </c>
    </row>
    <row r="2333" customFormat="false" ht="15" hidden="false" customHeight="true" outlineLevel="0" collapsed="false">
      <c r="A2333" s="1087"/>
      <c r="B2333" s="1061"/>
      <c r="C2333" s="1061"/>
      <c r="D2333" s="843" t="s">
        <v>17</v>
      </c>
      <c r="E2333" s="843" t="s">
        <v>2242</v>
      </c>
      <c r="F2333" s="1061"/>
      <c r="G2333" s="1062"/>
      <c r="H2333" s="1063"/>
      <c r="I2333" s="1086"/>
      <c r="J2333" s="1086"/>
      <c r="K2333" s="1064"/>
      <c r="L2333" s="1067"/>
      <c r="M2333" s="1066"/>
      <c r="N2333" s="1067"/>
      <c r="O2333" s="1067"/>
      <c r="P2333" s="844" t="s">
        <v>2232</v>
      </c>
      <c r="Q2333" s="845" t="s">
        <v>2391</v>
      </c>
      <c r="R2333" s="901" t="n">
        <v>63957.6</v>
      </c>
      <c r="S2333" s="846" t="n">
        <f aca="false">R2333/H2332</f>
        <v>756</v>
      </c>
      <c r="T2333" s="1067"/>
      <c r="U2333" s="1070"/>
    </row>
    <row r="2334" customFormat="false" ht="15" hidden="false" customHeight="true" outlineLevel="0" collapsed="false">
      <c r="A2334" s="881" t="n">
        <v>72</v>
      </c>
      <c r="B2334" s="1828" t="s">
        <v>86</v>
      </c>
      <c r="C2334" s="1829" t="n">
        <v>2023</v>
      </c>
      <c r="D2334" s="1502" t="s">
        <v>17</v>
      </c>
      <c r="E2334" s="1502" t="s">
        <v>2192</v>
      </c>
      <c r="F2334" s="1124" t="s">
        <v>1650</v>
      </c>
      <c r="G2334" s="1125"/>
      <c r="H2334" s="1126" t="n">
        <v>94.5</v>
      </c>
      <c r="I2334" s="1308" t="n">
        <v>42</v>
      </c>
      <c r="J2334" s="1127"/>
      <c r="K2334" s="1128" t="n">
        <f aca="false">H2334*I2334/100</f>
        <v>39.69</v>
      </c>
      <c r="L2334" s="1830" t="n">
        <v>8194</v>
      </c>
      <c r="M2334" s="1130" t="n">
        <v>1</v>
      </c>
      <c r="N2334" s="1830" t="n">
        <f aca="false">L2334*M2334</f>
        <v>8194</v>
      </c>
      <c r="O2334" s="1830" t="n">
        <f aca="false">H2334*N2334</f>
        <v>774333</v>
      </c>
      <c r="P2334" s="1193" t="s">
        <v>2193</v>
      </c>
      <c r="Q2334" s="1312" t="s">
        <v>3226</v>
      </c>
      <c r="R2334" s="1196" t="n">
        <v>354375</v>
      </c>
      <c r="S2334" s="1196" t="n">
        <f aca="false">R2334/H2334</f>
        <v>3750</v>
      </c>
      <c r="T2334" s="1830" t="n">
        <f aca="false">O2334-R2334-R2335</f>
        <v>230958</v>
      </c>
      <c r="U2334" s="1134" t="n">
        <f aca="false">N2334-S2334-S2335</f>
        <v>2444</v>
      </c>
    </row>
    <row r="2335" customFormat="false" ht="15" hidden="false" customHeight="true" outlineLevel="0" collapsed="false">
      <c r="A2335" s="881"/>
      <c r="B2335" s="1828"/>
      <c r="C2335" s="1829"/>
      <c r="D2335" s="1683" t="s">
        <v>17</v>
      </c>
      <c r="E2335" s="1683" t="s">
        <v>2192</v>
      </c>
      <c r="F2335" s="1124"/>
      <c r="G2335" s="1125"/>
      <c r="H2335" s="1126"/>
      <c r="I2335" s="1308"/>
      <c r="J2335" s="1127"/>
      <c r="K2335" s="1128"/>
      <c r="L2335" s="1830"/>
      <c r="M2335" s="1130"/>
      <c r="N2335" s="1830"/>
      <c r="O2335" s="1830"/>
      <c r="P2335" s="996" t="s">
        <v>2232</v>
      </c>
      <c r="Q2335" s="1315" t="s">
        <v>105</v>
      </c>
      <c r="R2335" s="994" t="n">
        <v>189000</v>
      </c>
      <c r="S2335" s="994" t="n">
        <f aca="false">R2335/H2334</f>
        <v>2000</v>
      </c>
      <c r="T2335" s="1830"/>
      <c r="U2335" s="1134"/>
    </row>
    <row r="2336" customFormat="false" ht="15" hidden="false" customHeight="true" outlineLevel="0" collapsed="false">
      <c r="A2336" s="881"/>
      <c r="B2336" s="829" t="s">
        <v>86</v>
      </c>
      <c r="C2336" s="830" t="n">
        <v>2023</v>
      </c>
      <c r="D2336" s="831" t="s">
        <v>17</v>
      </c>
      <c r="E2336" s="831" t="s">
        <v>2203</v>
      </c>
      <c r="F2336" s="830"/>
      <c r="G2336" s="833"/>
      <c r="H2336" s="834" t="n">
        <v>45</v>
      </c>
      <c r="I2336" s="835"/>
      <c r="J2336" s="835"/>
      <c r="K2336" s="836" t="n">
        <f aca="false">H2336*I2336/100</f>
        <v>0</v>
      </c>
      <c r="L2336" s="837" t="n">
        <v>903</v>
      </c>
      <c r="M2336" s="1003" t="n">
        <v>1</v>
      </c>
      <c r="N2336" s="837" t="n">
        <f aca="false">L2336*M2336</f>
        <v>903</v>
      </c>
      <c r="O2336" s="837" t="n">
        <f aca="false">H2336*N2336</f>
        <v>40635</v>
      </c>
      <c r="P2336" s="838" t="s">
        <v>2195</v>
      </c>
      <c r="Q2336" s="839" t="s">
        <v>2240</v>
      </c>
      <c r="R2336" s="840" t="n">
        <v>16785</v>
      </c>
      <c r="S2336" s="840" t="n">
        <f aca="false">R2336/H2336</f>
        <v>373</v>
      </c>
      <c r="T2336" s="837" t="n">
        <f aca="false">O2336-R2336-R2337</f>
        <v>0</v>
      </c>
      <c r="U2336" s="842" t="n">
        <f aca="false">N2336-S2336-S2337</f>
        <v>0</v>
      </c>
    </row>
    <row r="2337" customFormat="false" ht="14.25" hidden="false" customHeight="false" outlineLevel="0" collapsed="false">
      <c r="A2337" s="881"/>
      <c r="B2337" s="829"/>
      <c r="C2337" s="830"/>
      <c r="D2337" s="843" t="s">
        <v>17</v>
      </c>
      <c r="E2337" s="843" t="s">
        <v>2203</v>
      </c>
      <c r="F2337" s="830"/>
      <c r="G2337" s="833"/>
      <c r="H2337" s="834"/>
      <c r="I2337" s="835"/>
      <c r="J2337" s="835"/>
      <c r="K2337" s="836"/>
      <c r="L2337" s="837"/>
      <c r="M2337" s="1003"/>
      <c r="N2337" s="837"/>
      <c r="O2337" s="837"/>
      <c r="P2337" s="844" t="s">
        <v>2237</v>
      </c>
      <c r="Q2337" s="845" t="s">
        <v>2679</v>
      </c>
      <c r="R2337" s="846" t="n">
        <v>23850</v>
      </c>
      <c r="S2337" s="846" t="n">
        <f aca="false">R2337/H2336</f>
        <v>530</v>
      </c>
      <c r="T2337" s="837"/>
      <c r="U2337" s="842"/>
    </row>
    <row r="2338" customFormat="false" ht="15" hidden="false" customHeight="true" outlineLevel="0" collapsed="false">
      <c r="A2338" s="829" t="n">
        <v>41</v>
      </c>
      <c r="B2338" s="1061" t="s">
        <v>2207</v>
      </c>
      <c r="C2338" s="1061" t="n">
        <v>2023</v>
      </c>
      <c r="D2338" s="1351" t="s">
        <v>17</v>
      </c>
      <c r="E2338" s="1351" t="s">
        <v>2192</v>
      </c>
      <c r="F2338" s="887" t="s">
        <v>1651</v>
      </c>
      <c r="G2338" s="1062"/>
      <c r="H2338" s="1077" t="n">
        <v>26.5</v>
      </c>
      <c r="I2338" s="1086"/>
      <c r="J2338" s="835"/>
      <c r="K2338" s="1064" t="n">
        <f aca="false">H2338*I2338/100</f>
        <v>0</v>
      </c>
      <c r="L2338" s="1082" t="n">
        <v>13361</v>
      </c>
      <c r="M2338" s="1066" t="n">
        <v>1</v>
      </c>
      <c r="N2338" s="1082" t="n">
        <f aca="false">L2338*M2338</f>
        <v>13361</v>
      </c>
      <c r="O2338" s="1082" t="n">
        <f aca="false">H2338*N2338</f>
        <v>354066.5</v>
      </c>
      <c r="P2338" s="910" t="s">
        <v>2197</v>
      </c>
      <c r="Q2338" s="911" t="s">
        <v>2838</v>
      </c>
      <c r="R2338" s="891" t="n">
        <v>243668</v>
      </c>
      <c r="S2338" s="891" t="n">
        <f aca="false">R2338/H2338</f>
        <v>9195.01886792453</v>
      </c>
      <c r="T2338" s="1345" t="n">
        <f aca="false">O2338-R2338-R2341-R2340-R2339</f>
        <v>0</v>
      </c>
      <c r="U2338" s="1070" t="n">
        <f aca="false">N2338-S2338-S2341-S2340-S2339</f>
        <v>0</v>
      </c>
    </row>
    <row r="2339" customFormat="false" ht="15" hidden="false" customHeight="true" outlineLevel="0" collapsed="false">
      <c r="A2339" s="829"/>
      <c r="B2339" s="1061"/>
      <c r="C2339" s="1061"/>
      <c r="D2339" s="1480" t="s">
        <v>17</v>
      </c>
      <c r="E2339" s="1480" t="s">
        <v>2192</v>
      </c>
      <c r="F2339" s="887"/>
      <c r="G2339" s="1062"/>
      <c r="H2339" s="1077"/>
      <c r="I2339" s="1086"/>
      <c r="J2339" s="1086"/>
      <c r="K2339" s="1064"/>
      <c r="L2339" s="1082"/>
      <c r="M2339" s="1066"/>
      <c r="N2339" s="1082"/>
      <c r="O2339" s="1082"/>
      <c r="P2339" s="868" t="s">
        <v>2195</v>
      </c>
      <c r="Q2339" s="869" t="s">
        <v>3225</v>
      </c>
      <c r="R2339" s="866" t="n">
        <v>15899</v>
      </c>
      <c r="S2339" s="866" t="n">
        <f aca="false">R2339/H2338</f>
        <v>599.962264150943</v>
      </c>
      <c r="T2339" s="1345"/>
      <c r="U2339" s="1070"/>
    </row>
    <row r="2340" customFormat="false" ht="15" hidden="false" customHeight="true" outlineLevel="0" collapsed="false">
      <c r="A2340" s="829"/>
      <c r="B2340" s="1061"/>
      <c r="C2340" s="1061"/>
      <c r="D2340" s="1480" t="s">
        <v>17</v>
      </c>
      <c r="E2340" s="1480" t="s">
        <v>2192</v>
      </c>
      <c r="F2340" s="887"/>
      <c r="G2340" s="1062"/>
      <c r="H2340" s="1077"/>
      <c r="I2340" s="1086"/>
      <c r="J2340" s="1086"/>
      <c r="K2340" s="1064"/>
      <c r="L2340" s="1082"/>
      <c r="M2340" s="1066"/>
      <c r="N2340" s="1082"/>
      <c r="O2340" s="1082"/>
      <c r="P2340" s="868" t="s">
        <v>2195</v>
      </c>
      <c r="Q2340" s="869" t="s">
        <v>2240</v>
      </c>
      <c r="R2340" s="866" t="n">
        <v>6651.5</v>
      </c>
      <c r="S2340" s="866" t="n">
        <f aca="false">R2340/H2338</f>
        <v>251</v>
      </c>
      <c r="T2340" s="1345"/>
      <c r="U2340" s="1070"/>
    </row>
    <row r="2341" customFormat="false" ht="15" hidden="false" customHeight="true" outlineLevel="0" collapsed="false">
      <c r="A2341" s="829"/>
      <c r="B2341" s="1061"/>
      <c r="C2341" s="1061"/>
      <c r="D2341" s="1501" t="s">
        <v>17</v>
      </c>
      <c r="E2341" s="1501" t="s">
        <v>2192</v>
      </c>
      <c r="F2341" s="887"/>
      <c r="G2341" s="1062"/>
      <c r="H2341" s="1077"/>
      <c r="I2341" s="1086"/>
      <c r="J2341" s="1086"/>
      <c r="K2341" s="1064"/>
      <c r="L2341" s="1082"/>
      <c r="M2341" s="1066"/>
      <c r="N2341" s="1082"/>
      <c r="O2341" s="1082"/>
      <c r="P2341" s="844" t="s">
        <v>2197</v>
      </c>
      <c r="Q2341" s="845" t="s">
        <v>3227</v>
      </c>
      <c r="R2341" s="846" t="n">
        <v>87848</v>
      </c>
      <c r="S2341" s="846" t="n">
        <f aca="false">R2341/H2338</f>
        <v>3315.01886792453</v>
      </c>
      <c r="T2341" s="1345"/>
      <c r="U2341" s="1070"/>
    </row>
    <row r="2342" customFormat="false" ht="15" hidden="false" customHeight="true" outlineLevel="0" collapsed="false">
      <c r="A2342" s="1465" t="n">
        <v>79</v>
      </c>
      <c r="B2342" s="1028" t="s">
        <v>86</v>
      </c>
      <c r="C2342" s="1028" t="n">
        <v>2023</v>
      </c>
      <c r="D2342" s="1328" t="s">
        <v>17</v>
      </c>
      <c r="E2342" s="1328" t="s">
        <v>2192</v>
      </c>
      <c r="F2342" s="1328" t="s">
        <v>2199</v>
      </c>
      <c r="G2342" s="1030"/>
      <c r="H2342" s="1339" t="n">
        <v>77.5</v>
      </c>
      <c r="I2342" s="1517" t="n">
        <v>52</v>
      </c>
      <c r="J2342" s="1517"/>
      <c r="K2342" s="1033" t="n">
        <f aca="false">H2342*I2342/100</f>
        <v>40.3</v>
      </c>
      <c r="L2342" s="1831" t="n">
        <v>631</v>
      </c>
      <c r="M2342" s="1832" t="n">
        <v>1</v>
      </c>
      <c r="N2342" s="1341" t="n">
        <f aca="false">L2342*M2342</f>
        <v>631</v>
      </c>
      <c r="O2342" s="1833" t="n">
        <f aca="false">H2342*N2342</f>
        <v>48902.5</v>
      </c>
      <c r="P2342" s="884" t="s">
        <v>2232</v>
      </c>
      <c r="Q2342" s="885" t="s">
        <v>105</v>
      </c>
      <c r="R2342" s="886" t="n">
        <v>48902.5</v>
      </c>
      <c r="S2342" s="890" t="n">
        <f aca="false">R2342/H2342</f>
        <v>631</v>
      </c>
      <c r="T2342" s="1534" t="n">
        <f aca="false">O2342-R2342</f>
        <v>0</v>
      </c>
      <c r="U2342" s="1037" t="n">
        <f aca="false">N2342-S2342</f>
        <v>0</v>
      </c>
    </row>
    <row r="2343" customFormat="false" ht="15" hidden="false" customHeight="true" outlineLevel="0" collapsed="false">
      <c r="A2343" s="1465"/>
      <c r="B2343" s="829" t="s">
        <v>86</v>
      </c>
      <c r="C2343" s="830" t="n">
        <v>2023</v>
      </c>
      <c r="D2343" s="831" t="s">
        <v>17</v>
      </c>
      <c r="E2343" s="831" t="s">
        <v>2242</v>
      </c>
      <c r="F2343" s="830"/>
      <c r="G2343" s="833"/>
      <c r="H2343" s="834" t="n">
        <v>44</v>
      </c>
      <c r="I2343" s="835"/>
      <c r="J2343" s="835"/>
      <c r="K2343" s="836" t="n">
        <f aca="false">H2343*I2343/100</f>
        <v>0</v>
      </c>
      <c r="L2343" s="837" t="n">
        <v>298</v>
      </c>
      <c r="M2343" s="1003" t="n">
        <v>1</v>
      </c>
      <c r="N2343" s="837" t="n">
        <f aca="false">L2343*M2343</f>
        <v>298</v>
      </c>
      <c r="O2343" s="837" t="n">
        <f aca="false">H2343*N2343</f>
        <v>13112</v>
      </c>
      <c r="P2343" s="838" t="s">
        <v>2195</v>
      </c>
      <c r="Q2343" s="839" t="s">
        <v>2240</v>
      </c>
      <c r="R2343" s="840" t="n">
        <v>660</v>
      </c>
      <c r="S2343" s="886" t="n">
        <f aca="false">R2343/H2343</f>
        <v>15</v>
      </c>
      <c r="T2343" s="837" t="n">
        <f aca="false">O2343-R2343-R2344</f>
        <v>0</v>
      </c>
      <c r="U2343" s="842" t="n">
        <f aca="false">N2343-S2343-S2344</f>
        <v>0</v>
      </c>
    </row>
    <row r="2344" customFormat="false" ht="15" hidden="false" customHeight="true" outlineLevel="0" collapsed="false">
      <c r="A2344" s="1465"/>
      <c r="B2344" s="829"/>
      <c r="C2344" s="830"/>
      <c r="D2344" s="843" t="s">
        <v>17</v>
      </c>
      <c r="E2344" s="843" t="s">
        <v>2242</v>
      </c>
      <c r="F2344" s="830"/>
      <c r="G2344" s="833"/>
      <c r="H2344" s="834"/>
      <c r="I2344" s="835"/>
      <c r="J2344" s="835"/>
      <c r="K2344" s="836"/>
      <c r="L2344" s="837"/>
      <c r="M2344" s="1003"/>
      <c r="N2344" s="837"/>
      <c r="O2344" s="837"/>
      <c r="P2344" s="844" t="s">
        <v>2237</v>
      </c>
      <c r="Q2344" s="845" t="s">
        <v>94</v>
      </c>
      <c r="R2344" s="846" t="n">
        <v>12452</v>
      </c>
      <c r="S2344" s="846" t="n">
        <f aca="false">R2344/H2343</f>
        <v>283</v>
      </c>
      <c r="T2344" s="837"/>
      <c r="U2344" s="842"/>
    </row>
    <row r="2345" customFormat="false" ht="15" hidden="false" customHeight="true" outlineLevel="0" collapsed="false">
      <c r="A2345" s="1465"/>
      <c r="B2345" s="847" t="s">
        <v>86</v>
      </c>
      <c r="C2345" s="847" t="n">
        <v>2023</v>
      </c>
      <c r="D2345" s="848" t="s">
        <v>17</v>
      </c>
      <c r="E2345" s="848" t="s">
        <v>2203</v>
      </c>
      <c r="F2345" s="848"/>
      <c r="G2345" s="849"/>
      <c r="H2345" s="850" t="n">
        <v>36.1</v>
      </c>
      <c r="I2345" s="851"/>
      <c r="J2345" s="851"/>
      <c r="K2345" s="852" t="n">
        <f aca="false">H2345*I2345/100</f>
        <v>0</v>
      </c>
      <c r="L2345" s="853" t="n">
        <v>260</v>
      </c>
      <c r="M2345" s="1827" t="n">
        <v>1</v>
      </c>
      <c r="N2345" s="1143" t="n">
        <f aca="false">L2345*M2345</f>
        <v>260</v>
      </c>
      <c r="O2345" s="1143" t="n">
        <f aca="false">H2345*N2345</f>
        <v>9386</v>
      </c>
      <c r="P2345" s="856" t="s">
        <v>2237</v>
      </c>
      <c r="Q2345" s="857" t="s">
        <v>94</v>
      </c>
      <c r="R2345" s="854" t="n">
        <v>9386</v>
      </c>
      <c r="S2345" s="890" t="n">
        <f aca="false">R2345/H2345</f>
        <v>260</v>
      </c>
      <c r="T2345" s="537" t="n">
        <f aca="false">O2345-R2345</f>
        <v>0</v>
      </c>
      <c r="U2345" s="892" t="n">
        <f aca="false">N2345-S2345</f>
        <v>0</v>
      </c>
    </row>
    <row r="2346" customFormat="false" ht="15" hidden="false" customHeight="true" outlineLevel="0" collapsed="false">
      <c r="A2346" s="1533" t="n">
        <v>81</v>
      </c>
      <c r="B2346" s="1028" t="s">
        <v>86</v>
      </c>
      <c r="C2346" s="1028" t="n">
        <v>2023</v>
      </c>
      <c r="D2346" s="1328" t="s">
        <v>17</v>
      </c>
      <c r="E2346" s="1328" t="s">
        <v>2192</v>
      </c>
      <c r="F2346" s="1328" t="s">
        <v>2199</v>
      </c>
      <c r="G2346" s="1030"/>
      <c r="H2346" s="1339" t="n">
        <v>41.6</v>
      </c>
      <c r="I2346" s="1517" t="n">
        <v>84</v>
      </c>
      <c r="J2346" s="1517"/>
      <c r="K2346" s="1033" t="n">
        <f aca="false">H2346*I2346/100</f>
        <v>34.944</v>
      </c>
      <c r="L2346" s="1831" t="n">
        <v>253</v>
      </c>
      <c r="M2346" s="1832" t="n">
        <v>1</v>
      </c>
      <c r="N2346" s="1341" t="n">
        <f aca="false">L2346*M2346</f>
        <v>253</v>
      </c>
      <c r="O2346" s="1833" t="n">
        <f aca="false">H2346*N2346</f>
        <v>10524.8</v>
      </c>
      <c r="P2346" s="884" t="s">
        <v>2232</v>
      </c>
      <c r="Q2346" s="885" t="s">
        <v>105</v>
      </c>
      <c r="R2346" s="886" t="n">
        <v>10524.8</v>
      </c>
      <c r="S2346" s="886" t="n">
        <f aca="false">R2346/H2346</f>
        <v>253</v>
      </c>
      <c r="T2346" s="1534" t="n">
        <f aca="false">O2346-R2346</f>
        <v>0</v>
      </c>
      <c r="U2346" s="1037" t="n">
        <f aca="false">N2346-S2346</f>
        <v>0</v>
      </c>
    </row>
    <row r="2347" customFormat="false" ht="15" hidden="false" customHeight="true" outlineLevel="0" collapsed="false">
      <c r="A2347" s="1533"/>
      <c r="B2347" s="829" t="s">
        <v>86</v>
      </c>
      <c r="C2347" s="830" t="n">
        <v>2023</v>
      </c>
      <c r="D2347" s="831" t="s">
        <v>17</v>
      </c>
      <c r="E2347" s="831" t="s">
        <v>2242</v>
      </c>
      <c r="F2347" s="830"/>
      <c r="G2347" s="833"/>
      <c r="H2347" s="834" t="n">
        <v>29.4</v>
      </c>
      <c r="I2347" s="835"/>
      <c r="J2347" s="835"/>
      <c r="K2347" s="836" t="n">
        <f aca="false">H2347*I2347/100</f>
        <v>0</v>
      </c>
      <c r="L2347" s="837" t="n">
        <v>1516</v>
      </c>
      <c r="M2347" s="1003" t="n">
        <v>1</v>
      </c>
      <c r="N2347" s="837" t="n">
        <f aca="false">L2347*M2347</f>
        <v>1516</v>
      </c>
      <c r="O2347" s="837" t="n">
        <f aca="false">H2347*N2347</f>
        <v>44570.4</v>
      </c>
      <c r="P2347" s="838" t="s">
        <v>2195</v>
      </c>
      <c r="Q2347" s="839" t="s">
        <v>2240</v>
      </c>
      <c r="R2347" s="840" t="n">
        <v>646.8</v>
      </c>
      <c r="S2347" s="840" t="n">
        <f aca="false">R2347/H2347</f>
        <v>22</v>
      </c>
      <c r="T2347" s="841" t="n">
        <f aca="false">O2347-R2347-R2348</f>
        <v>0</v>
      </c>
      <c r="U2347" s="842" t="n">
        <f aca="false">N2347-S2347-S2348</f>
        <v>0</v>
      </c>
    </row>
    <row r="2348" customFormat="false" ht="15" hidden="false" customHeight="true" outlineLevel="0" collapsed="false">
      <c r="A2348" s="1533"/>
      <c r="B2348" s="829"/>
      <c r="C2348" s="830"/>
      <c r="D2348" s="843" t="s">
        <v>17</v>
      </c>
      <c r="E2348" s="843" t="s">
        <v>2242</v>
      </c>
      <c r="F2348" s="830"/>
      <c r="G2348" s="833"/>
      <c r="H2348" s="834"/>
      <c r="I2348" s="835"/>
      <c r="J2348" s="835"/>
      <c r="K2348" s="836"/>
      <c r="L2348" s="837"/>
      <c r="M2348" s="1003"/>
      <c r="N2348" s="837"/>
      <c r="O2348" s="837"/>
      <c r="P2348" s="844" t="s">
        <v>2237</v>
      </c>
      <c r="Q2348" s="845" t="s">
        <v>94</v>
      </c>
      <c r="R2348" s="846" t="n">
        <v>43923.6</v>
      </c>
      <c r="S2348" s="846" t="n">
        <f aca="false">R2348/H2347</f>
        <v>1494</v>
      </c>
      <c r="T2348" s="841"/>
      <c r="U2348" s="842"/>
    </row>
    <row r="2349" customFormat="false" ht="15" hidden="false" customHeight="true" outlineLevel="0" collapsed="false">
      <c r="A2349" s="1533"/>
      <c r="B2349" s="1027" t="s">
        <v>86</v>
      </c>
      <c r="C2349" s="1028" t="n">
        <v>2023</v>
      </c>
      <c r="D2349" s="831" t="s">
        <v>17</v>
      </c>
      <c r="E2349" s="831" t="s">
        <v>2203</v>
      </c>
      <c r="F2349" s="1028"/>
      <c r="G2349" s="1030"/>
      <c r="H2349" s="1031" t="n">
        <v>18.5</v>
      </c>
      <c r="I2349" s="1032"/>
      <c r="J2349" s="1032"/>
      <c r="K2349" s="1033" t="n">
        <f aca="false">H2349*I2349/100</f>
        <v>0</v>
      </c>
      <c r="L2349" s="1036" t="n">
        <v>226</v>
      </c>
      <c r="M2349" s="1035" t="n">
        <v>1</v>
      </c>
      <c r="N2349" s="1036" t="n">
        <f aca="false">L2349*M2349</f>
        <v>226</v>
      </c>
      <c r="O2349" s="1036" t="n">
        <f aca="false">H2349*N2349</f>
        <v>4181</v>
      </c>
      <c r="P2349" s="838" t="s">
        <v>2195</v>
      </c>
      <c r="Q2349" s="839" t="s">
        <v>2240</v>
      </c>
      <c r="R2349" s="840" t="n">
        <v>277.5</v>
      </c>
      <c r="S2349" s="840" t="n">
        <f aca="false">R2349/H2349</f>
        <v>15</v>
      </c>
      <c r="T2349" s="1534" t="n">
        <f aca="false">O2349-R2349-R2350</f>
        <v>0</v>
      </c>
      <c r="U2349" s="1037" t="n">
        <f aca="false">N2349-S2349-S2350</f>
        <v>0</v>
      </c>
    </row>
    <row r="2350" customFormat="false" ht="15" hidden="false" customHeight="true" outlineLevel="0" collapsed="false">
      <c r="A2350" s="1533"/>
      <c r="B2350" s="1027"/>
      <c r="C2350" s="1028"/>
      <c r="D2350" s="871" t="s">
        <v>17</v>
      </c>
      <c r="E2350" s="871" t="s">
        <v>2203</v>
      </c>
      <c r="F2350" s="1028"/>
      <c r="G2350" s="1030"/>
      <c r="H2350" s="1031"/>
      <c r="I2350" s="1032"/>
      <c r="J2350" s="1032"/>
      <c r="K2350" s="1033"/>
      <c r="L2350" s="1036"/>
      <c r="M2350" s="1035"/>
      <c r="N2350" s="1036"/>
      <c r="O2350" s="1036"/>
      <c r="P2350" s="879" t="s">
        <v>2237</v>
      </c>
      <c r="Q2350" s="880" t="s">
        <v>94</v>
      </c>
      <c r="R2350" s="877" t="n">
        <v>3903.5</v>
      </c>
      <c r="S2350" s="877" t="n">
        <f aca="false">R2350/H2349</f>
        <v>211</v>
      </c>
      <c r="T2350" s="1534"/>
      <c r="U2350" s="1037"/>
    </row>
    <row r="2351" customFormat="false" ht="15" hidden="false" customHeight="true" outlineLevel="0" collapsed="false">
      <c r="A2351" s="829" t="n">
        <v>94</v>
      </c>
      <c r="B2351" s="830" t="s">
        <v>86</v>
      </c>
      <c r="C2351" s="830" t="n">
        <v>2023</v>
      </c>
      <c r="D2351" s="831" t="s">
        <v>17</v>
      </c>
      <c r="E2351" s="831" t="s">
        <v>2203</v>
      </c>
      <c r="F2351" s="1607"/>
      <c r="G2351" s="833"/>
      <c r="H2351" s="834" t="n">
        <v>71.2</v>
      </c>
      <c r="I2351" s="835"/>
      <c r="J2351" s="835"/>
      <c r="K2351" s="836" t="n">
        <f aca="false">H2351*I2351/100</f>
        <v>0</v>
      </c>
      <c r="L2351" s="837" t="n">
        <v>250</v>
      </c>
      <c r="M2351" s="1003" t="n">
        <v>1</v>
      </c>
      <c r="N2351" s="837" t="n">
        <f aca="false">L2351*M2351</f>
        <v>250</v>
      </c>
      <c r="O2351" s="837" t="n">
        <f aca="false">H2351*N2351</f>
        <v>17800</v>
      </c>
      <c r="P2351" s="838" t="s">
        <v>2195</v>
      </c>
      <c r="Q2351" s="839" t="s">
        <v>2240</v>
      </c>
      <c r="R2351" s="840" t="n">
        <v>-10822.4</v>
      </c>
      <c r="S2351" s="840" t="n">
        <f aca="false">R2351/H2351</f>
        <v>-152</v>
      </c>
      <c r="T2351" s="837" t="n">
        <f aca="false">O2351-R2351-R2352</f>
        <v>0</v>
      </c>
      <c r="U2351" s="842" t="n">
        <f aca="false">N2351-S2351-S2352</f>
        <v>0</v>
      </c>
    </row>
    <row r="2352" customFormat="false" ht="15" hidden="false" customHeight="true" outlineLevel="0" collapsed="false">
      <c r="A2352" s="829"/>
      <c r="B2352" s="830"/>
      <c r="C2352" s="830"/>
      <c r="D2352" s="843" t="s">
        <v>17</v>
      </c>
      <c r="E2352" s="843" t="s">
        <v>2203</v>
      </c>
      <c r="F2352" s="1501"/>
      <c r="G2352" s="833"/>
      <c r="H2352" s="834"/>
      <c r="I2352" s="835"/>
      <c r="J2352" s="835"/>
      <c r="K2352" s="836"/>
      <c r="L2352" s="837"/>
      <c r="M2352" s="1003"/>
      <c r="N2352" s="837"/>
      <c r="O2352" s="837"/>
      <c r="P2352" s="844" t="s">
        <v>2237</v>
      </c>
      <c r="Q2352" s="845" t="s">
        <v>2679</v>
      </c>
      <c r="R2352" s="846" t="n">
        <v>28622.4</v>
      </c>
      <c r="S2352" s="846" t="n">
        <f aca="false">R2352/H2351</f>
        <v>402</v>
      </c>
      <c r="T2352" s="837"/>
      <c r="U2352" s="842"/>
    </row>
    <row r="2353" customFormat="false" ht="15" hidden="false" customHeight="true" outlineLevel="0" collapsed="false">
      <c r="A2353" s="1087" t="n">
        <v>95</v>
      </c>
      <c r="B2353" s="847" t="s">
        <v>86</v>
      </c>
      <c r="C2353" s="847" t="n">
        <v>2023</v>
      </c>
      <c r="D2353" s="848" t="s">
        <v>17</v>
      </c>
      <c r="E2353" s="848" t="s">
        <v>2242</v>
      </c>
      <c r="F2353" s="848"/>
      <c r="G2353" s="849"/>
      <c r="H2353" s="850" t="n">
        <v>68.5</v>
      </c>
      <c r="I2353" s="851"/>
      <c r="J2353" s="851"/>
      <c r="K2353" s="852" t="n">
        <f aca="false">H2353*I2353/100</f>
        <v>0</v>
      </c>
      <c r="L2353" s="1143" t="n">
        <v>438</v>
      </c>
      <c r="M2353" s="1007" t="n">
        <v>1</v>
      </c>
      <c r="N2353" s="1143" t="n">
        <f aca="false">L2353*M2353</f>
        <v>438</v>
      </c>
      <c r="O2353" s="1143" t="n">
        <f aca="false">H2353*N2353</f>
        <v>30003</v>
      </c>
      <c r="P2353" s="856" t="s">
        <v>2232</v>
      </c>
      <c r="Q2353" s="857" t="s">
        <v>2391</v>
      </c>
      <c r="R2353" s="854" t="n">
        <v>30003</v>
      </c>
      <c r="S2353" s="854" t="n">
        <f aca="false">R2353/H2353</f>
        <v>438</v>
      </c>
      <c r="T2353" s="537" t="n">
        <f aca="false">O2353-R2353</f>
        <v>0</v>
      </c>
      <c r="U2353" s="892" t="n">
        <f aca="false">N2353-S2353</f>
        <v>0</v>
      </c>
    </row>
    <row r="2354" customFormat="false" ht="15" hidden="false" customHeight="true" outlineLevel="0" collapsed="false">
      <c r="A2354" s="1087"/>
      <c r="B2354" s="893" t="s">
        <v>86</v>
      </c>
      <c r="C2354" s="893" t="n">
        <v>2023</v>
      </c>
      <c r="D2354" s="843" t="s">
        <v>17</v>
      </c>
      <c r="E2354" s="843" t="s">
        <v>2203</v>
      </c>
      <c r="F2354" s="843"/>
      <c r="G2354" s="894"/>
      <c r="H2354" s="895" t="n">
        <v>12.4</v>
      </c>
      <c r="I2354" s="896"/>
      <c r="J2354" s="896"/>
      <c r="K2354" s="897" t="n">
        <f aca="false">H2354*I2354/100</f>
        <v>0</v>
      </c>
      <c r="L2354" s="1393" t="n">
        <v>318</v>
      </c>
      <c r="M2354" s="1106" t="n">
        <v>1</v>
      </c>
      <c r="N2354" s="1393" t="n">
        <f aca="false">L2354*M2354</f>
        <v>318</v>
      </c>
      <c r="O2354" s="1440" t="n">
        <f aca="false">H2354*N2354</f>
        <v>3943.2</v>
      </c>
      <c r="P2354" s="844" t="s">
        <v>2204</v>
      </c>
      <c r="Q2354" s="845" t="n">
        <v>15052024</v>
      </c>
      <c r="R2354" s="846" t="n">
        <v>3943.2</v>
      </c>
      <c r="S2354" s="846" t="n">
        <f aca="false">R2354/H2354</f>
        <v>318</v>
      </c>
      <c r="T2354" s="589" t="n">
        <f aca="false">O2354-R2354</f>
        <v>0</v>
      </c>
      <c r="U2354" s="902" t="n">
        <f aca="false">N2354-S2354</f>
        <v>0</v>
      </c>
    </row>
    <row r="2355" customFormat="false" ht="15" hidden="false" customHeight="true" outlineLevel="0" collapsed="false">
      <c r="A2355" s="1081" t="n">
        <v>132</v>
      </c>
      <c r="B2355" s="829" t="s">
        <v>86</v>
      </c>
      <c r="C2355" s="830" t="n">
        <v>2023</v>
      </c>
      <c r="D2355" s="831" t="s">
        <v>17</v>
      </c>
      <c r="E2355" s="831" t="s">
        <v>2242</v>
      </c>
      <c r="F2355" s="830"/>
      <c r="G2355" s="833"/>
      <c r="H2355" s="834" t="n">
        <v>60.8</v>
      </c>
      <c r="I2355" s="835"/>
      <c r="J2355" s="835"/>
      <c r="K2355" s="836" t="n">
        <f aca="false">H2355*I2355/100</f>
        <v>0</v>
      </c>
      <c r="L2355" s="837" t="n">
        <v>442</v>
      </c>
      <c r="M2355" s="1003" t="n">
        <v>1</v>
      </c>
      <c r="N2355" s="837" t="n">
        <f aca="false">L2355*M2355</f>
        <v>442</v>
      </c>
      <c r="O2355" s="837" t="n">
        <f aca="false">H2355*N2355</f>
        <v>26873.6</v>
      </c>
      <c r="P2355" s="838" t="s">
        <v>2195</v>
      </c>
      <c r="Q2355" s="839" t="s">
        <v>2240</v>
      </c>
      <c r="R2355" s="840" t="n">
        <v>-182.4</v>
      </c>
      <c r="S2355" s="840" t="n">
        <f aca="false">R2355/H2355</f>
        <v>-3</v>
      </c>
      <c r="T2355" s="837" t="n">
        <f aca="false">O2355-R2355-R2356</f>
        <v>0</v>
      </c>
      <c r="U2355" s="842" t="n">
        <f aca="false">N2355-S2355-S2356</f>
        <v>0</v>
      </c>
    </row>
    <row r="2356" customFormat="false" ht="15" hidden="false" customHeight="true" outlineLevel="0" collapsed="false">
      <c r="A2356" s="1081"/>
      <c r="B2356" s="829"/>
      <c r="C2356" s="830"/>
      <c r="D2356" s="887" t="s">
        <v>17</v>
      </c>
      <c r="E2356" s="887" t="s">
        <v>2242</v>
      </c>
      <c r="F2356" s="830"/>
      <c r="G2356" s="833"/>
      <c r="H2356" s="834"/>
      <c r="I2356" s="835"/>
      <c r="J2356" s="835"/>
      <c r="K2356" s="836"/>
      <c r="L2356" s="837"/>
      <c r="M2356" s="1003"/>
      <c r="N2356" s="837"/>
      <c r="O2356" s="837"/>
      <c r="P2356" s="888" t="s">
        <v>2232</v>
      </c>
      <c r="Q2356" s="889" t="s">
        <v>2391</v>
      </c>
      <c r="R2356" s="890" t="n">
        <v>27056</v>
      </c>
      <c r="S2356" s="890" t="n">
        <f aca="false">R2356/H2355</f>
        <v>445</v>
      </c>
      <c r="T2356" s="837"/>
      <c r="U2356" s="842"/>
    </row>
    <row r="2357" customFormat="false" ht="15" hidden="false" customHeight="true" outlineLevel="0" collapsed="false">
      <c r="A2357" s="1081"/>
      <c r="B2357" s="1072" t="s">
        <v>86</v>
      </c>
      <c r="C2357" s="1072" t="n">
        <v>2023</v>
      </c>
      <c r="D2357" s="887" t="s">
        <v>17</v>
      </c>
      <c r="E2357" s="887" t="s">
        <v>2241</v>
      </c>
      <c r="F2357" s="887"/>
      <c r="G2357" s="1062"/>
      <c r="H2357" s="1291" t="n">
        <v>11.2</v>
      </c>
      <c r="I2357" s="1292"/>
      <c r="J2357" s="1292"/>
      <c r="K2357" s="1064" t="n">
        <f aca="false">H2357*I2357/100</f>
        <v>0</v>
      </c>
      <c r="L2357" s="1082" t="n">
        <v>476</v>
      </c>
      <c r="M2357" s="1066" t="n">
        <v>1</v>
      </c>
      <c r="N2357" s="1082" t="n">
        <f aca="false">L2357*M2357</f>
        <v>476</v>
      </c>
      <c r="O2357" s="1714" t="n">
        <f aca="false">H2357*N2357</f>
        <v>5331.2</v>
      </c>
      <c r="P2357" s="888" t="s">
        <v>2204</v>
      </c>
      <c r="Q2357" s="889" t="n">
        <v>15052024</v>
      </c>
      <c r="R2357" s="890" t="n">
        <v>5331.2</v>
      </c>
      <c r="S2357" s="890" t="n">
        <f aca="false">R2357/H2357</f>
        <v>476</v>
      </c>
      <c r="T2357" s="1067" t="n">
        <f aca="false">O2357-R2357</f>
        <v>0</v>
      </c>
      <c r="U2357" s="1070" t="n">
        <f aca="false">N2357-S2357</f>
        <v>0</v>
      </c>
    </row>
    <row r="2358" customFormat="false" ht="15" hidden="false" customHeight="true" outlineLevel="0" collapsed="false">
      <c r="A2358" s="881" t="n">
        <v>155</v>
      </c>
      <c r="B2358" s="882" t="s">
        <v>86</v>
      </c>
      <c r="C2358" s="883" t="n">
        <v>2023</v>
      </c>
      <c r="D2358" s="1607" t="s">
        <v>17</v>
      </c>
      <c r="E2358" s="1607" t="s">
        <v>2192</v>
      </c>
      <c r="F2358" s="832" t="s">
        <v>1650</v>
      </c>
      <c r="G2358" s="833"/>
      <c r="H2358" s="834" t="n">
        <v>96.7</v>
      </c>
      <c r="I2358" s="1020" t="n">
        <v>87</v>
      </c>
      <c r="J2358" s="1020" t="n">
        <v>93</v>
      </c>
      <c r="K2358" s="836" t="n">
        <f aca="false">H2358*I2358/100</f>
        <v>84.129</v>
      </c>
      <c r="L2358" s="1075" t="n">
        <v>25512</v>
      </c>
      <c r="M2358" s="1003" t="n">
        <v>1</v>
      </c>
      <c r="N2358" s="1075" t="n">
        <f aca="false">L2358*M2358</f>
        <v>25512</v>
      </c>
      <c r="O2358" s="1075" t="n">
        <f aca="false">H2358*N2358</f>
        <v>2467010.4</v>
      </c>
      <c r="P2358" s="838" t="s">
        <v>2193</v>
      </c>
      <c r="Q2358" s="839" t="s">
        <v>3228</v>
      </c>
      <c r="R2358" s="840" t="n">
        <v>522180</v>
      </c>
      <c r="S2358" s="840" t="n">
        <f aca="false">R2358/H2358</f>
        <v>5400</v>
      </c>
      <c r="T2358" s="841" t="n">
        <f aca="false">O2358-R2358-R2359-R2366-R2367-R2368-R2360-R2361-R2365-R2362-R2363-R2364</f>
        <v>0</v>
      </c>
      <c r="U2358" s="842" t="n">
        <f aca="false">N2358-S2358-S2359-S2366-S2367-S2368-S2360-S2361-S2365-S2362-S2363-S2364</f>
        <v>0</v>
      </c>
    </row>
    <row r="2359" customFormat="false" ht="15" hidden="false" customHeight="true" outlineLevel="0" collapsed="false">
      <c r="A2359" s="881"/>
      <c r="B2359" s="882"/>
      <c r="C2359" s="883"/>
      <c r="D2359" s="1480" t="s">
        <v>17</v>
      </c>
      <c r="E2359" s="1480" t="s">
        <v>2192</v>
      </c>
      <c r="F2359" s="832"/>
      <c r="G2359" s="833"/>
      <c r="H2359" s="834"/>
      <c r="I2359" s="1020"/>
      <c r="J2359" s="1020"/>
      <c r="K2359" s="836"/>
      <c r="L2359" s="1075"/>
      <c r="M2359" s="1003"/>
      <c r="N2359" s="1075"/>
      <c r="O2359" s="1075"/>
      <c r="P2359" s="879" t="s">
        <v>2193</v>
      </c>
      <c r="Q2359" s="880" t="s">
        <v>3229</v>
      </c>
      <c r="R2359" s="877" t="n">
        <v>280430</v>
      </c>
      <c r="S2359" s="866" t="n">
        <f aca="false">R2359/H2358</f>
        <v>2900</v>
      </c>
      <c r="T2359" s="841"/>
      <c r="U2359" s="842"/>
    </row>
    <row r="2360" customFormat="false" ht="15" hidden="false" customHeight="true" outlineLevel="0" collapsed="false">
      <c r="A2360" s="881"/>
      <c r="B2360" s="882"/>
      <c r="C2360" s="883"/>
      <c r="D2360" s="1480" t="s">
        <v>17</v>
      </c>
      <c r="E2360" s="1480" t="s">
        <v>2192</v>
      </c>
      <c r="F2360" s="832"/>
      <c r="G2360" s="833"/>
      <c r="H2360" s="834"/>
      <c r="I2360" s="1020"/>
      <c r="J2360" s="1020"/>
      <c r="K2360" s="836"/>
      <c r="L2360" s="1075"/>
      <c r="M2360" s="1003"/>
      <c r="N2360" s="1075"/>
      <c r="O2360" s="1075"/>
      <c r="P2360" s="879" t="s">
        <v>2255</v>
      </c>
      <c r="Q2360" s="880" t="s">
        <v>3230</v>
      </c>
      <c r="R2360" s="877" t="n">
        <v>106370</v>
      </c>
      <c r="S2360" s="866" t="n">
        <f aca="false">R2360/H2358</f>
        <v>1100</v>
      </c>
      <c r="T2360" s="841"/>
      <c r="U2360" s="842"/>
    </row>
    <row r="2361" customFormat="false" ht="15" hidden="false" customHeight="true" outlineLevel="0" collapsed="false">
      <c r="A2361" s="881"/>
      <c r="B2361" s="882"/>
      <c r="C2361" s="883"/>
      <c r="D2361" s="1480" t="s">
        <v>17</v>
      </c>
      <c r="E2361" s="1480" t="s">
        <v>2192</v>
      </c>
      <c r="F2361" s="832"/>
      <c r="G2361" s="833"/>
      <c r="H2361" s="834"/>
      <c r="I2361" s="1020"/>
      <c r="J2361" s="1020"/>
      <c r="K2361" s="836"/>
      <c r="L2361" s="1075"/>
      <c r="M2361" s="1003"/>
      <c r="N2361" s="1075"/>
      <c r="O2361" s="1075"/>
      <c r="P2361" s="879" t="s">
        <v>2232</v>
      </c>
      <c r="Q2361" s="880" t="s">
        <v>3231</v>
      </c>
      <c r="R2361" s="877" t="n">
        <v>67690</v>
      </c>
      <c r="S2361" s="866" t="n">
        <f aca="false">R2361/H2358</f>
        <v>700</v>
      </c>
      <c r="T2361" s="841"/>
      <c r="U2361" s="842"/>
    </row>
    <row r="2362" customFormat="false" ht="15" hidden="false" customHeight="true" outlineLevel="0" collapsed="false">
      <c r="A2362" s="881"/>
      <c r="B2362" s="882"/>
      <c r="C2362" s="883"/>
      <c r="D2362" s="1480" t="s">
        <v>17</v>
      </c>
      <c r="E2362" s="1480" t="s">
        <v>2192</v>
      </c>
      <c r="F2362" s="832"/>
      <c r="G2362" s="833"/>
      <c r="H2362" s="834"/>
      <c r="I2362" s="1020"/>
      <c r="J2362" s="1020"/>
      <c r="K2362" s="836"/>
      <c r="L2362" s="1075"/>
      <c r="M2362" s="1003"/>
      <c r="N2362" s="1075"/>
      <c r="O2362" s="1075"/>
      <c r="P2362" s="879" t="s">
        <v>2195</v>
      </c>
      <c r="Q2362" s="880" t="s">
        <v>2240</v>
      </c>
      <c r="R2362" s="877" t="n">
        <v>60340.8</v>
      </c>
      <c r="S2362" s="866" t="n">
        <f aca="false">R2362/H2358</f>
        <v>624</v>
      </c>
      <c r="T2362" s="841"/>
      <c r="U2362" s="842"/>
    </row>
    <row r="2363" customFormat="false" ht="15" hidden="false" customHeight="true" outlineLevel="0" collapsed="false">
      <c r="A2363" s="881"/>
      <c r="B2363" s="882"/>
      <c r="C2363" s="883"/>
      <c r="D2363" s="1480" t="s">
        <v>17</v>
      </c>
      <c r="E2363" s="1480" t="s">
        <v>2192</v>
      </c>
      <c r="F2363" s="832"/>
      <c r="G2363" s="833"/>
      <c r="H2363" s="834"/>
      <c r="I2363" s="1020"/>
      <c r="J2363" s="1020"/>
      <c r="K2363" s="836"/>
      <c r="L2363" s="1075"/>
      <c r="M2363" s="1003"/>
      <c r="N2363" s="1075"/>
      <c r="O2363" s="1075"/>
      <c r="P2363" s="879" t="s">
        <v>2193</v>
      </c>
      <c r="Q2363" s="880" t="s">
        <v>2491</v>
      </c>
      <c r="R2363" s="877" t="n">
        <v>97280.2</v>
      </c>
      <c r="S2363" s="866" t="n">
        <f aca="false">R2363/H2358</f>
        <v>1006</v>
      </c>
      <c r="T2363" s="841"/>
      <c r="U2363" s="842"/>
    </row>
    <row r="2364" customFormat="false" ht="15" hidden="false" customHeight="true" outlineLevel="0" collapsed="false">
      <c r="A2364" s="881"/>
      <c r="B2364" s="882"/>
      <c r="C2364" s="883"/>
      <c r="D2364" s="1480" t="s">
        <v>17</v>
      </c>
      <c r="E2364" s="1480" t="s">
        <v>2192</v>
      </c>
      <c r="F2364" s="832"/>
      <c r="G2364" s="833"/>
      <c r="H2364" s="834"/>
      <c r="I2364" s="1020"/>
      <c r="J2364" s="1020"/>
      <c r="K2364" s="836"/>
      <c r="L2364" s="1075"/>
      <c r="M2364" s="1003"/>
      <c r="N2364" s="1075"/>
      <c r="O2364" s="1075"/>
      <c r="P2364" s="879" t="s">
        <v>2193</v>
      </c>
      <c r="Q2364" s="880" t="s">
        <v>96</v>
      </c>
      <c r="R2364" s="877" t="n">
        <v>463579.4</v>
      </c>
      <c r="S2364" s="866" t="n">
        <f aca="false">R2364/H2358</f>
        <v>4793.99586349535</v>
      </c>
      <c r="T2364" s="841"/>
      <c r="U2364" s="842"/>
    </row>
    <row r="2365" customFormat="false" ht="15" hidden="false" customHeight="true" outlineLevel="0" collapsed="false">
      <c r="A2365" s="881"/>
      <c r="B2365" s="882"/>
      <c r="C2365" s="883"/>
      <c r="D2365" s="1480" t="s">
        <v>17</v>
      </c>
      <c r="E2365" s="1480" t="s">
        <v>2192</v>
      </c>
      <c r="F2365" s="832"/>
      <c r="G2365" s="833"/>
      <c r="H2365" s="834"/>
      <c r="I2365" s="1020"/>
      <c r="J2365" s="1020"/>
      <c r="K2365" s="836"/>
      <c r="L2365" s="1075"/>
      <c r="M2365" s="1003"/>
      <c r="N2365" s="1075"/>
      <c r="O2365" s="1075"/>
      <c r="P2365" s="879" t="s">
        <v>2197</v>
      </c>
      <c r="Q2365" s="880" t="s">
        <v>2657</v>
      </c>
      <c r="R2365" s="877" t="n">
        <v>2901</v>
      </c>
      <c r="S2365" s="866" t="n">
        <f aca="false">R2365/H2358</f>
        <v>30</v>
      </c>
      <c r="T2365" s="841"/>
      <c r="U2365" s="842"/>
    </row>
    <row r="2366" customFormat="false" ht="15" hidden="false" customHeight="true" outlineLevel="0" collapsed="false">
      <c r="A2366" s="881"/>
      <c r="B2366" s="882"/>
      <c r="C2366" s="883"/>
      <c r="D2366" s="1480" t="s">
        <v>17</v>
      </c>
      <c r="E2366" s="1480" t="s">
        <v>2192</v>
      </c>
      <c r="F2366" s="832"/>
      <c r="G2366" s="833"/>
      <c r="H2366" s="834"/>
      <c r="I2366" s="1020"/>
      <c r="J2366" s="1020"/>
      <c r="K2366" s="836"/>
      <c r="L2366" s="1075"/>
      <c r="M2366" s="1003"/>
      <c r="N2366" s="1075"/>
      <c r="O2366" s="1075"/>
      <c r="P2366" s="879" t="s">
        <v>2193</v>
      </c>
      <c r="Q2366" s="880" t="s">
        <v>2828</v>
      </c>
      <c r="R2366" s="877" t="n">
        <v>232080</v>
      </c>
      <c r="S2366" s="866" t="n">
        <f aca="false">R2366/H2358</f>
        <v>2400</v>
      </c>
      <c r="T2366" s="841"/>
      <c r="U2366" s="842"/>
    </row>
    <row r="2367" customFormat="false" ht="15" hidden="false" customHeight="true" outlineLevel="0" collapsed="false">
      <c r="A2367" s="881"/>
      <c r="B2367" s="882"/>
      <c r="C2367" s="883"/>
      <c r="D2367" s="1480" t="s">
        <v>17</v>
      </c>
      <c r="E2367" s="1480" t="s">
        <v>2192</v>
      </c>
      <c r="F2367" s="832"/>
      <c r="G2367" s="833"/>
      <c r="H2367" s="834"/>
      <c r="I2367" s="1020"/>
      <c r="J2367" s="1020"/>
      <c r="K2367" s="836"/>
      <c r="L2367" s="1075"/>
      <c r="M2367" s="1003"/>
      <c r="N2367" s="1075"/>
      <c r="O2367" s="1075"/>
      <c r="P2367" s="879" t="s">
        <v>2193</v>
      </c>
      <c r="Q2367" s="880" t="s">
        <v>3232</v>
      </c>
      <c r="R2367" s="877" t="n">
        <v>121649</v>
      </c>
      <c r="S2367" s="866" t="n">
        <f aca="false">R2367/H2358</f>
        <v>1258.00413650465</v>
      </c>
      <c r="T2367" s="841"/>
      <c r="U2367" s="842"/>
    </row>
    <row r="2368" customFormat="false" ht="15" hidden="false" customHeight="true" outlineLevel="0" collapsed="false">
      <c r="A2368" s="881"/>
      <c r="B2368" s="882"/>
      <c r="C2368" s="883"/>
      <c r="D2368" s="1501" t="s">
        <v>17</v>
      </c>
      <c r="E2368" s="1501" t="s">
        <v>2192</v>
      </c>
      <c r="F2368" s="832"/>
      <c r="G2368" s="833"/>
      <c r="H2368" s="834"/>
      <c r="I2368" s="1020"/>
      <c r="J2368" s="1020"/>
      <c r="K2368" s="836"/>
      <c r="L2368" s="1075"/>
      <c r="M2368" s="1003"/>
      <c r="N2368" s="1075"/>
      <c r="O2368" s="1075"/>
      <c r="P2368" s="844" t="s">
        <v>2193</v>
      </c>
      <c r="Q2368" s="845" t="s">
        <v>3233</v>
      </c>
      <c r="R2368" s="846" t="n">
        <v>512510</v>
      </c>
      <c r="S2368" s="846" t="n">
        <f aca="false">R2368/H2358</f>
        <v>5300</v>
      </c>
      <c r="T2368" s="841"/>
      <c r="U2368" s="842"/>
    </row>
    <row r="2369" customFormat="false" ht="15" hidden="false" customHeight="true" outlineLevel="0" collapsed="false">
      <c r="A2369" s="881"/>
      <c r="B2369" s="903" t="s">
        <v>86</v>
      </c>
      <c r="C2369" s="903" t="n">
        <v>2023</v>
      </c>
      <c r="D2369" s="1351" t="s">
        <v>17</v>
      </c>
      <c r="E2369" s="1351" t="s">
        <v>2241</v>
      </c>
      <c r="F2369" s="904"/>
      <c r="G2369" s="905"/>
      <c r="H2369" s="946" t="n">
        <v>1.1</v>
      </c>
      <c r="I2369" s="1055"/>
      <c r="J2369" s="1055"/>
      <c r="K2369" s="939" t="n">
        <f aca="false">H2369*I2369/100</f>
        <v>0</v>
      </c>
      <c r="L2369" s="1137" t="n">
        <v>506</v>
      </c>
      <c r="M2369" s="1023" t="n">
        <v>1</v>
      </c>
      <c r="N2369" s="1137" t="n">
        <f aca="false">L2369*M2369</f>
        <v>506</v>
      </c>
      <c r="O2369" s="1443" t="n">
        <f aca="false">H2369*N2369</f>
        <v>556.6</v>
      </c>
      <c r="P2369" s="910" t="s">
        <v>2204</v>
      </c>
      <c r="Q2369" s="911" t="n">
        <v>26062024</v>
      </c>
      <c r="R2369" s="891" t="n">
        <v>556.6</v>
      </c>
      <c r="S2369" s="877" t="n">
        <f aca="false">R2369/H2369</f>
        <v>506</v>
      </c>
      <c r="T2369" s="1122" t="n">
        <f aca="false">O2369-R2369</f>
        <v>0</v>
      </c>
      <c r="U2369" s="1026" t="n">
        <f aca="false">N2369-S2369</f>
        <v>0</v>
      </c>
    </row>
    <row r="2370" customFormat="false" ht="15" hidden="false" customHeight="true" outlineLevel="0" collapsed="false">
      <c r="A2370" s="881"/>
      <c r="B2370" s="829" t="s">
        <v>86</v>
      </c>
      <c r="C2370" s="830" t="n">
        <v>2023</v>
      </c>
      <c r="D2370" s="831" t="s">
        <v>17</v>
      </c>
      <c r="E2370" s="831" t="s">
        <v>2242</v>
      </c>
      <c r="F2370" s="830"/>
      <c r="G2370" s="833"/>
      <c r="H2370" s="1059" t="n">
        <v>63.8</v>
      </c>
      <c r="I2370" s="835"/>
      <c r="J2370" s="835"/>
      <c r="K2370" s="836" t="n">
        <f aca="false">H2370*I2370/100</f>
        <v>0</v>
      </c>
      <c r="L2370" s="837" t="n">
        <v>738</v>
      </c>
      <c r="M2370" s="1003" t="n">
        <v>1</v>
      </c>
      <c r="N2370" s="837" t="n">
        <f aca="false">L2370*M2370</f>
        <v>738</v>
      </c>
      <c r="O2370" s="837" t="n">
        <f aca="false">H2370*N2370</f>
        <v>47084.4</v>
      </c>
      <c r="P2370" s="838" t="s">
        <v>2195</v>
      </c>
      <c r="Q2370" s="839" t="s">
        <v>2240</v>
      </c>
      <c r="R2370" s="840" t="n">
        <v>-21245.4</v>
      </c>
      <c r="S2370" s="840" t="n">
        <f aca="false">R2370/H2370</f>
        <v>-333</v>
      </c>
      <c r="T2370" s="1120" t="n">
        <f aca="false">O2370-R2370-R2371</f>
        <v>0</v>
      </c>
      <c r="U2370" s="842" t="n">
        <f aca="false">N2370-S2370-S2371</f>
        <v>0</v>
      </c>
    </row>
    <row r="2371" customFormat="false" ht="15" hidden="false" customHeight="true" outlineLevel="0" collapsed="false">
      <c r="A2371" s="881"/>
      <c r="B2371" s="829"/>
      <c r="C2371" s="830"/>
      <c r="D2371" s="843" t="s">
        <v>17</v>
      </c>
      <c r="E2371" s="843" t="s">
        <v>2242</v>
      </c>
      <c r="F2371" s="830"/>
      <c r="G2371" s="833"/>
      <c r="H2371" s="1059"/>
      <c r="I2371" s="835"/>
      <c r="J2371" s="835"/>
      <c r="K2371" s="836"/>
      <c r="L2371" s="837"/>
      <c r="M2371" s="1003"/>
      <c r="N2371" s="837"/>
      <c r="O2371" s="837"/>
      <c r="P2371" s="844" t="s">
        <v>2232</v>
      </c>
      <c r="Q2371" s="845" t="s">
        <v>2391</v>
      </c>
      <c r="R2371" s="846" t="n">
        <v>68329.8</v>
      </c>
      <c r="S2371" s="846" t="n">
        <f aca="false">R2371/H2370</f>
        <v>1071</v>
      </c>
      <c r="T2371" s="1120"/>
      <c r="U2371" s="842"/>
    </row>
    <row r="2372" customFormat="false" ht="15" hidden="false" customHeight="true" outlineLevel="0" collapsed="false">
      <c r="A2372" s="903" t="n">
        <v>157</v>
      </c>
      <c r="B2372" s="903" t="s">
        <v>2191</v>
      </c>
      <c r="C2372" s="903" t="n">
        <v>2023</v>
      </c>
      <c r="D2372" s="904" t="s">
        <v>17</v>
      </c>
      <c r="E2372" s="904" t="s">
        <v>2192</v>
      </c>
      <c r="F2372" s="904" t="s">
        <v>2130</v>
      </c>
      <c r="G2372" s="905"/>
      <c r="H2372" s="906" t="n">
        <v>40</v>
      </c>
      <c r="I2372" s="907"/>
      <c r="J2372" s="907"/>
      <c r="K2372" s="939" t="n">
        <f aca="false">H2372*I2372/100</f>
        <v>0</v>
      </c>
      <c r="L2372" s="908" t="n">
        <v>37</v>
      </c>
      <c r="M2372" s="1826" t="n">
        <v>25</v>
      </c>
      <c r="N2372" s="1137" t="n">
        <f aca="false">L2372*M2372</f>
        <v>925</v>
      </c>
      <c r="O2372" s="1443" t="n">
        <f aca="false">H2372*N2372</f>
        <v>37000</v>
      </c>
      <c r="P2372" s="910" t="s">
        <v>2232</v>
      </c>
      <c r="Q2372" s="911" t="s">
        <v>2440</v>
      </c>
      <c r="R2372" s="891" t="n">
        <v>37000</v>
      </c>
      <c r="S2372" s="854" t="n">
        <f aca="false">R2372/H2372</f>
        <v>925</v>
      </c>
      <c r="T2372" s="1058" t="n">
        <f aca="false">O2372-R2372</f>
        <v>0</v>
      </c>
      <c r="U2372" s="942" t="n">
        <f aca="false">N2372-S2372</f>
        <v>0</v>
      </c>
    </row>
    <row r="2373" customFormat="false" ht="15" hidden="false" customHeight="true" outlineLevel="0" collapsed="false">
      <c r="A2373" s="829" t="n">
        <v>213</v>
      </c>
      <c r="B2373" s="830" t="s">
        <v>2191</v>
      </c>
      <c r="C2373" s="830" t="n">
        <v>2023</v>
      </c>
      <c r="D2373" s="831" t="s">
        <v>17</v>
      </c>
      <c r="E2373" s="831" t="s">
        <v>2192</v>
      </c>
      <c r="F2373" s="832" t="s">
        <v>1651</v>
      </c>
      <c r="G2373" s="833"/>
      <c r="H2373" s="1059" t="n">
        <v>22.5</v>
      </c>
      <c r="I2373" s="835"/>
      <c r="J2373" s="835"/>
      <c r="K2373" s="836" t="n">
        <f aca="false">H2373*I2373/100</f>
        <v>0</v>
      </c>
      <c r="L2373" s="837" t="n">
        <v>75</v>
      </c>
      <c r="M2373" s="1003" t="n">
        <v>15</v>
      </c>
      <c r="N2373" s="837" t="n">
        <f aca="false">L2373*M2373</f>
        <v>1125</v>
      </c>
      <c r="O2373" s="841" t="n">
        <f aca="false">H2373*N2373</f>
        <v>25312.5</v>
      </c>
      <c r="P2373" s="884" t="s">
        <v>2193</v>
      </c>
      <c r="Q2373" s="885" t="s">
        <v>3234</v>
      </c>
      <c r="R2373" s="886" t="n">
        <v>1125</v>
      </c>
      <c r="S2373" s="886" t="n">
        <f aca="false">R2373/H2373</f>
        <v>50</v>
      </c>
      <c r="T2373" s="841" t="n">
        <f aca="false">O2373-R2373-R2376-R2375-R2374</f>
        <v>0</v>
      </c>
      <c r="U2373" s="842" t="n">
        <f aca="false">N2373-S2373-S2376-S2375-S2374</f>
        <v>0</v>
      </c>
    </row>
    <row r="2374" customFormat="false" ht="15" hidden="false" customHeight="true" outlineLevel="0" collapsed="false">
      <c r="A2374" s="829"/>
      <c r="B2374" s="830"/>
      <c r="C2374" s="830"/>
      <c r="D2374" s="860" t="s">
        <v>17</v>
      </c>
      <c r="E2374" s="860" t="s">
        <v>2192</v>
      </c>
      <c r="F2374" s="832"/>
      <c r="G2374" s="833"/>
      <c r="H2374" s="1059"/>
      <c r="I2374" s="835"/>
      <c r="J2374" s="835"/>
      <c r="K2374" s="836"/>
      <c r="L2374" s="837"/>
      <c r="M2374" s="1003"/>
      <c r="N2374" s="837"/>
      <c r="O2374" s="841"/>
      <c r="P2374" s="868" t="s">
        <v>2195</v>
      </c>
      <c r="Q2374" s="869" t="s">
        <v>3225</v>
      </c>
      <c r="R2374" s="866" t="n">
        <v>562.5</v>
      </c>
      <c r="S2374" s="866" t="n">
        <f aca="false">R2374/H2373</f>
        <v>25</v>
      </c>
      <c r="T2374" s="841"/>
      <c r="U2374" s="842"/>
    </row>
    <row r="2375" customFormat="false" ht="15" hidden="false" customHeight="true" outlineLevel="0" collapsed="false">
      <c r="A2375" s="829"/>
      <c r="B2375" s="830"/>
      <c r="C2375" s="830"/>
      <c r="D2375" s="860" t="s">
        <v>17</v>
      </c>
      <c r="E2375" s="860" t="s">
        <v>2192</v>
      </c>
      <c r="F2375" s="832"/>
      <c r="G2375" s="833"/>
      <c r="H2375" s="1059"/>
      <c r="I2375" s="835"/>
      <c r="J2375" s="835"/>
      <c r="K2375" s="836"/>
      <c r="L2375" s="837"/>
      <c r="M2375" s="1003"/>
      <c r="N2375" s="837"/>
      <c r="O2375" s="841"/>
      <c r="P2375" s="868" t="s">
        <v>2193</v>
      </c>
      <c r="Q2375" s="869" t="s">
        <v>3235</v>
      </c>
      <c r="R2375" s="866" t="n">
        <v>6075</v>
      </c>
      <c r="S2375" s="866" t="n">
        <f aca="false">R2375/H2373</f>
        <v>270</v>
      </c>
      <c r="T2375" s="841"/>
      <c r="U2375" s="842"/>
    </row>
    <row r="2376" customFormat="false" ht="15" hidden="false" customHeight="true" outlineLevel="0" collapsed="false">
      <c r="A2376" s="829"/>
      <c r="B2376" s="830"/>
      <c r="C2376" s="830"/>
      <c r="D2376" s="843" t="s">
        <v>17</v>
      </c>
      <c r="E2376" s="843" t="s">
        <v>2192</v>
      </c>
      <c r="F2376" s="832"/>
      <c r="G2376" s="833"/>
      <c r="H2376" s="1059"/>
      <c r="I2376" s="835"/>
      <c r="J2376" s="835"/>
      <c r="K2376" s="836"/>
      <c r="L2376" s="837"/>
      <c r="M2376" s="1003"/>
      <c r="N2376" s="837"/>
      <c r="O2376" s="841"/>
      <c r="P2376" s="844" t="s">
        <v>2193</v>
      </c>
      <c r="Q2376" s="845" t="s">
        <v>3236</v>
      </c>
      <c r="R2376" s="846" t="n">
        <v>17550</v>
      </c>
      <c r="S2376" s="846" t="n">
        <f aca="false">R2376/H2373</f>
        <v>780</v>
      </c>
      <c r="T2376" s="841"/>
      <c r="U2376" s="842"/>
    </row>
    <row r="2377" customFormat="false" ht="15" hidden="false" customHeight="true" outlineLevel="0" collapsed="false">
      <c r="A2377" s="847" t="n">
        <v>261</v>
      </c>
      <c r="B2377" s="847" t="s">
        <v>2191</v>
      </c>
      <c r="C2377" s="847" t="n">
        <v>2023</v>
      </c>
      <c r="D2377" s="848" t="s">
        <v>17</v>
      </c>
      <c r="E2377" s="848" t="s">
        <v>2192</v>
      </c>
      <c r="F2377" s="848" t="s">
        <v>1651</v>
      </c>
      <c r="G2377" s="849"/>
      <c r="H2377" s="949" t="n">
        <v>22.5</v>
      </c>
      <c r="I2377" s="950"/>
      <c r="J2377" s="950"/>
      <c r="K2377" s="852" t="n">
        <f aca="false">H2377*I2377/100</f>
        <v>0</v>
      </c>
      <c r="L2377" s="1143" t="n">
        <v>35</v>
      </c>
      <c r="M2377" s="1007" t="n">
        <v>15</v>
      </c>
      <c r="N2377" s="1143" t="n">
        <f aca="false">L2377*M2377</f>
        <v>525</v>
      </c>
      <c r="O2377" s="1438" t="n">
        <f aca="false">H2377*N2377</f>
        <v>11812.5</v>
      </c>
      <c r="P2377" s="856" t="s">
        <v>2193</v>
      </c>
      <c r="Q2377" s="857" t="s">
        <v>3237</v>
      </c>
      <c r="R2377" s="854" t="n">
        <v>11812.5</v>
      </c>
      <c r="S2377" s="866" t="n">
        <f aca="false">R2377/H2377</f>
        <v>525</v>
      </c>
      <c r="T2377" s="858" t="n">
        <f aca="false">O2377-R2377</f>
        <v>0</v>
      </c>
      <c r="U2377" s="537" t="n">
        <f aca="false">N2377-S2377</f>
        <v>0</v>
      </c>
    </row>
    <row r="2378" customFormat="false" ht="15" hidden="false" customHeight="true" outlineLevel="0" collapsed="false">
      <c r="A2378" s="847" t="n">
        <v>357</v>
      </c>
      <c r="B2378" s="847" t="s">
        <v>2191</v>
      </c>
      <c r="C2378" s="847" t="n">
        <v>2023</v>
      </c>
      <c r="D2378" s="848" t="s">
        <v>17</v>
      </c>
      <c r="E2378" s="848" t="s">
        <v>2192</v>
      </c>
      <c r="F2378" s="848" t="s">
        <v>1651</v>
      </c>
      <c r="G2378" s="849"/>
      <c r="H2378" s="949" t="n">
        <v>27.2</v>
      </c>
      <c r="I2378" s="950"/>
      <c r="J2378" s="950"/>
      <c r="K2378" s="852" t="n">
        <f aca="false">H2378*I2378/100</f>
        <v>0</v>
      </c>
      <c r="L2378" s="1143" t="n">
        <v>5</v>
      </c>
      <c r="M2378" s="1007" t="n">
        <v>10</v>
      </c>
      <c r="N2378" s="1143" t="n">
        <f aca="false">L2378*M2378</f>
        <v>50</v>
      </c>
      <c r="O2378" s="1143" t="n">
        <f aca="false">H2378*N2378</f>
        <v>1360</v>
      </c>
      <c r="P2378" s="856" t="s">
        <v>2193</v>
      </c>
      <c r="Q2378" s="857" t="s">
        <v>2442</v>
      </c>
      <c r="R2378" s="854" t="n">
        <v>1360</v>
      </c>
      <c r="S2378" s="866" t="n">
        <f aca="false">R2378/H2378</f>
        <v>50</v>
      </c>
      <c r="T2378" s="537" t="n">
        <f aca="false">O2378-R2378</f>
        <v>0</v>
      </c>
      <c r="U2378" s="537" t="n">
        <f aca="false">N2378-S2378</f>
        <v>0</v>
      </c>
    </row>
    <row r="2379" customFormat="false" ht="15" hidden="false" customHeight="true" outlineLevel="0" collapsed="false">
      <c r="A2379" s="903" t="n">
        <v>358</v>
      </c>
      <c r="B2379" s="903" t="s">
        <v>2191</v>
      </c>
      <c r="C2379" s="903" t="n">
        <v>2023</v>
      </c>
      <c r="D2379" s="904" t="s">
        <v>17</v>
      </c>
      <c r="E2379" s="904" t="s">
        <v>2192</v>
      </c>
      <c r="F2379" s="904" t="s">
        <v>1651</v>
      </c>
      <c r="G2379" s="905"/>
      <c r="H2379" s="946" t="n">
        <v>22.5</v>
      </c>
      <c r="I2379" s="947"/>
      <c r="J2379" s="947"/>
      <c r="K2379" s="939" t="n">
        <f aca="false">H2379*I2379/100</f>
        <v>0</v>
      </c>
      <c r="L2379" s="1137" t="n">
        <v>4</v>
      </c>
      <c r="M2379" s="1023" t="n">
        <v>15</v>
      </c>
      <c r="N2379" s="1137" t="n">
        <f aca="false">L2379*M2379</f>
        <v>60</v>
      </c>
      <c r="O2379" s="1137" t="n">
        <f aca="false">H2379*N2379</f>
        <v>1350</v>
      </c>
      <c r="P2379" s="910" t="s">
        <v>2193</v>
      </c>
      <c r="Q2379" s="911" t="s">
        <v>2442</v>
      </c>
      <c r="R2379" s="891" t="n">
        <v>1350</v>
      </c>
      <c r="S2379" s="877" t="n">
        <f aca="false">R2379/H2379</f>
        <v>60</v>
      </c>
      <c r="T2379" s="942" t="n">
        <f aca="false">O2379-R2379</f>
        <v>0</v>
      </c>
      <c r="U2379" s="942" t="n">
        <f aca="false">N2379-S2379</f>
        <v>0</v>
      </c>
    </row>
    <row r="2380" customFormat="false" ht="15" hidden="false" customHeight="true" outlineLevel="0" collapsed="false">
      <c r="A2380" s="829" t="n">
        <v>362</v>
      </c>
      <c r="B2380" s="830" t="s">
        <v>2191</v>
      </c>
      <c r="C2380" s="830" t="n">
        <v>2023</v>
      </c>
      <c r="D2380" s="831" t="s">
        <v>17</v>
      </c>
      <c r="E2380" s="831" t="s">
        <v>2192</v>
      </c>
      <c r="F2380" s="832" t="s">
        <v>1651</v>
      </c>
      <c r="G2380" s="833"/>
      <c r="H2380" s="834" t="n">
        <v>22.5</v>
      </c>
      <c r="I2380" s="835"/>
      <c r="J2380" s="835"/>
      <c r="K2380" s="836" t="n">
        <f aca="false">H2380*I2380/100</f>
        <v>0</v>
      </c>
      <c r="L2380" s="837" t="n">
        <v>6</v>
      </c>
      <c r="M2380" s="1003" t="n">
        <v>15</v>
      </c>
      <c r="N2380" s="837" t="n">
        <f aca="false">L2380*M2380</f>
        <v>90</v>
      </c>
      <c r="O2380" s="841" t="n">
        <f aca="false">H2380*N2380</f>
        <v>2025</v>
      </c>
      <c r="P2380" s="838" t="s">
        <v>2193</v>
      </c>
      <c r="Q2380" s="839" t="s">
        <v>3234</v>
      </c>
      <c r="R2380" s="840" t="n">
        <v>1012.5</v>
      </c>
      <c r="S2380" s="840" t="n">
        <f aca="false">R2380/H2380</f>
        <v>45</v>
      </c>
      <c r="T2380" s="841" t="n">
        <f aca="false">O2380-R2380-R2381</f>
        <v>0</v>
      </c>
      <c r="U2380" s="842" t="n">
        <f aca="false">N2380-S2380-S2381</f>
        <v>0</v>
      </c>
    </row>
    <row r="2381" customFormat="false" ht="15" hidden="false" customHeight="true" outlineLevel="0" collapsed="false">
      <c r="A2381" s="829"/>
      <c r="B2381" s="830"/>
      <c r="C2381" s="830"/>
      <c r="D2381" s="887" t="s">
        <v>17</v>
      </c>
      <c r="E2381" s="887" t="s">
        <v>2192</v>
      </c>
      <c r="F2381" s="832"/>
      <c r="G2381" s="833"/>
      <c r="H2381" s="834"/>
      <c r="I2381" s="835"/>
      <c r="J2381" s="835"/>
      <c r="K2381" s="836"/>
      <c r="L2381" s="837"/>
      <c r="M2381" s="1003"/>
      <c r="N2381" s="837"/>
      <c r="O2381" s="841"/>
      <c r="P2381" s="888" t="s">
        <v>2195</v>
      </c>
      <c r="Q2381" s="889" t="s">
        <v>3225</v>
      </c>
      <c r="R2381" s="890" t="n">
        <v>1012.5</v>
      </c>
      <c r="S2381" s="846" t="n">
        <f aca="false">R2381/H2380</f>
        <v>45</v>
      </c>
      <c r="T2381" s="841"/>
      <c r="U2381" s="842"/>
    </row>
    <row r="2382" customFormat="false" ht="15" hidden="false" customHeight="true" outlineLevel="0" collapsed="false">
      <c r="A2382" s="829" t="n">
        <v>422</v>
      </c>
      <c r="B2382" s="830" t="s">
        <v>2191</v>
      </c>
      <c r="C2382" s="830" t="n">
        <v>2023</v>
      </c>
      <c r="D2382" s="831" t="s">
        <v>17</v>
      </c>
      <c r="E2382" s="831" t="s">
        <v>2192</v>
      </c>
      <c r="F2382" s="832" t="s">
        <v>1651</v>
      </c>
      <c r="G2382" s="833"/>
      <c r="H2382" s="834" t="n">
        <v>22.5</v>
      </c>
      <c r="I2382" s="835"/>
      <c r="J2382" s="835"/>
      <c r="K2382" s="836" t="n">
        <f aca="false">H2382*I2382/100</f>
        <v>0</v>
      </c>
      <c r="L2382" s="837" t="n">
        <v>2</v>
      </c>
      <c r="M2382" s="1003" t="n">
        <v>15</v>
      </c>
      <c r="N2382" s="837" t="n">
        <f aca="false">L2382*M2382</f>
        <v>30</v>
      </c>
      <c r="O2382" s="837" t="n">
        <f aca="false">H2382*N2382</f>
        <v>675</v>
      </c>
      <c r="P2382" s="838" t="s">
        <v>2193</v>
      </c>
      <c r="Q2382" s="839" t="s">
        <v>2442</v>
      </c>
      <c r="R2382" s="840" t="n">
        <v>337.5</v>
      </c>
      <c r="S2382" s="840" t="n">
        <f aca="false">R2382/H2382</f>
        <v>15</v>
      </c>
      <c r="T2382" s="841" t="n">
        <f aca="false">O2382-R2382-R2383</f>
        <v>0</v>
      </c>
      <c r="U2382" s="842" t="n">
        <f aca="false">N2382-S2382-S2383</f>
        <v>0</v>
      </c>
    </row>
    <row r="2383" customFormat="false" ht="15" hidden="false" customHeight="true" outlineLevel="0" collapsed="false">
      <c r="A2383" s="829"/>
      <c r="B2383" s="830"/>
      <c r="C2383" s="830"/>
      <c r="D2383" s="887" t="s">
        <v>17</v>
      </c>
      <c r="E2383" s="887" t="s">
        <v>2192</v>
      </c>
      <c r="F2383" s="832"/>
      <c r="G2383" s="833"/>
      <c r="H2383" s="834"/>
      <c r="I2383" s="835"/>
      <c r="J2383" s="835"/>
      <c r="K2383" s="836"/>
      <c r="L2383" s="837"/>
      <c r="M2383" s="1003"/>
      <c r="N2383" s="837"/>
      <c r="O2383" s="837"/>
      <c r="P2383" s="888" t="s">
        <v>2195</v>
      </c>
      <c r="Q2383" s="889" t="s">
        <v>3225</v>
      </c>
      <c r="R2383" s="890" t="n">
        <v>337.5</v>
      </c>
      <c r="S2383" s="890" t="n">
        <f aca="false">R2383/H2382</f>
        <v>15</v>
      </c>
      <c r="T2383" s="841"/>
      <c r="U2383" s="842"/>
    </row>
    <row r="2384" customFormat="false" ht="15" hidden="false" customHeight="true" outlineLevel="0" collapsed="false">
      <c r="A2384" s="847" t="n">
        <v>583</v>
      </c>
      <c r="B2384" s="847" t="s">
        <v>2191</v>
      </c>
      <c r="C2384" s="847" t="n">
        <v>2023</v>
      </c>
      <c r="D2384" s="848" t="s">
        <v>17</v>
      </c>
      <c r="E2384" s="848" t="s">
        <v>2192</v>
      </c>
      <c r="F2384" s="848" t="s">
        <v>1651</v>
      </c>
      <c r="G2384" s="849"/>
      <c r="H2384" s="949" t="n">
        <v>22.5</v>
      </c>
      <c r="I2384" s="950"/>
      <c r="J2384" s="950"/>
      <c r="K2384" s="852" t="n">
        <f aca="false">H2384*I2384/100</f>
        <v>0</v>
      </c>
      <c r="L2384" s="1143" t="n">
        <v>1</v>
      </c>
      <c r="M2384" s="1007" t="n">
        <v>15</v>
      </c>
      <c r="N2384" s="1143" t="n">
        <f aca="false">L2384*M2384</f>
        <v>15</v>
      </c>
      <c r="O2384" s="1143" t="n">
        <f aca="false">H2384*N2384</f>
        <v>337.5</v>
      </c>
      <c r="P2384" s="856" t="s">
        <v>2193</v>
      </c>
      <c r="Q2384" s="857" t="s">
        <v>3127</v>
      </c>
      <c r="R2384" s="854" t="n">
        <v>337.5</v>
      </c>
      <c r="S2384" s="854" t="n">
        <f aca="false">R2384/H2384</f>
        <v>15</v>
      </c>
      <c r="T2384" s="537" t="n">
        <f aca="false">O2384-R2384</f>
        <v>0</v>
      </c>
      <c r="U2384" s="537" t="n">
        <f aca="false">N2384-S2384</f>
        <v>0</v>
      </c>
    </row>
    <row r="2385" customFormat="false" ht="15" hidden="false" customHeight="true" outlineLevel="0" collapsed="false">
      <c r="A2385" s="903" t="n">
        <v>587</v>
      </c>
      <c r="B2385" s="903" t="s">
        <v>2191</v>
      </c>
      <c r="C2385" s="903" t="n">
        <v>2023</v>
      </c>
      <c r="D2385" s="904" t="s">
        <v>17</v>
      </c>
      <c r="E2385" s="904" t="s">
        <v>2192</v>
      </c>
      <c r="F2385" s="904" t="s">
        <v>1652</v>
      </c>
      <c r="G2385" s="905"/>
      <c r="H2385" s="946" t="n">
        <v>37.5</v>
      </c>
      <c r="I2385" s="947"/>
      <c r="J2385" s="947"/>
      <c r="K2385" s="939" t="n">
        <f aca="false">H2385*I2385/100</f>
        <v>0</v>
      </c>
      <c r="L2385" s="1137" t="n">
        <v>4</v>
      </c>
      <c r="M2385" s="1023" t="n">
        <v>15</v>
      </c>
      <c r="N2385" s="1137" t="n">
        <f aca="false">L2385*M2385</f>
        <v>60</v>
      </c>
      <c r="O2385" s="1137" t="n">
        <f aca="false">H2385*N2385</f>
        <v>2250</v>
      </c>
      <c r="P2385" s="910" t="s">
        <v>2193</v>
      </c>
      <c r="Q2385" s="911" t="s">
        <v>3234</v>
      </c>
      <c r="R2385" s="891" t="n">
        <v>2250</v>
      </c>
      <c r="S2385" s="877" t="n">
        <f aca="false">R2385/H2385</f>
        <v>60</v>
      </c>
      <c r="T2385" s="942" t="n">
        <f aca="false">O2385-R2385</f>
        <v>0</v>
      </c>
      <c r="U2385" s="942" t="n">
        <f aca="false">N2385-S2385</f>
        <v>0</v>
      </c>
    </row>
    <row r="2386" customFormat="false" ht="15" hidden="false" customHeight="true" outlineLevel="0" collapsed="false">
      <c r="A2386" s="829" t="n">
        <v>587</v>
      </c>
      <c r="B2386" s="830" t="s">
        <v>2191</v>
      </c>
      <c r="C2386" s="830" t="n">
        <v>2023</v>
      </c>
      <c r="D2386" s="831" t="s">
        <v>17</v>
      </c>
      <c r="E2386" s="831" t="s">
        <v>2192</v>
      </c>
      <c r="F2386" s="832" t="s">
        <v>1652</v>
      </c>
      <c r="G2386" s="833"/>
      <c r="H2386" s="834" t="n">
        <v>38.6</v>
      </c>
      <c r="I2386" s="835"/>
      <c r="J2386" s="835"/>
      <c r="K2386" s="836" t="n">
        <f aca="false">H2386*I2386/100</f>
        <v>0</v>
      </c>
      <c r="L2386" s="837" t="n">
        <v>4</v>
      </c>
      <c r="M2386" s="1003" t="n">
        <v>15</v>
      </c>
      <c r="N2386" s="837" t="n">
        <f aca="false">L2386*M2386</f>
        <v>60</v>
      </c>
      <c r="O2386" s="837" t="n">
        <f aca="false">H2386*N2386</f>
        <v>2316</v>
      </c>
      <c r="P2386" s="838" t="s">
        <v>2195</v>
      </c>
      <c r="Q2386" s="839" t="s">
        <v>3225</v>
      </c>
      <c r="R2386" s="840" t="n">
        <v>617.6</v>
      </c>
      <c r="S2386" s="840" t="n">
        <f aca="false">R2386/H2386</f>
        <v>16</v>
      </c>
      <c r="T2386" s="1120" t="n">
        <f aca="false">O2386-R2386-R2387</f>
        <v>0</v>
      </c>
      <c r="U2386" s="842" t="n">
        <f aca="false">N2386-S2386-S2387</f>
        <v>0</v>
      </c>
    </row>
    <row r="2387" customFormat="false" ht="15" hidden="false" customHeight="true" outlineLevel="0" collapsed="false">
      <c r="A2387" s="829"/>
      <c r="B2387" s="830"/>
      <c r="C2387" s="830"/>
      <c r="D2387" s="887" t="s">
        <v>17</v>
      </c>
      <c r="E2387" s="887" t="s">
        <v>2192</v>
      </c>
      <c r="F2387" s="832"/>
      <c r="G2387" s="833"/>
      <c r="H2387" s="834"/>
      <c r="I2387" s="835"/>
      <c r="J2387" s="835"/>
      <c r="K2387" s="836"/>
      <c r="L2387" s="837"/>
      <c r="M2387" s="1003"/>
      <c r="N2387" s="837"/>
      <c r="O2387" s="837"/>
      <c r="P2387" s="888" t="s">
        <v>2195</v>
      </c>
      <c r="Q2387" s="889" t="s">
        <v>1375</v>
      </c>
      <c r="R2387" s="890" t="n">
        <v>1698.4</v>
      </c>
      <c r="S2387" s="846" t="n">
        <f aca="false">R2387/H2386</f>
        <v>44</v>
      </c>
      <c r="T2387" s="1120"/>
      <c r="U2387" s="842"/>
    </row>
    <row r="2388" customFormat="false" ht="15" hidden="false" customHeight="true" outlineLevel="0" collapsed="false">
      <c r="A2388" s="847" t="n">
        <v>614</v>
      </c>
      <c r="B2388" s="847" t="s">
        <v>2191</v>
      </c>
      <c r="C2388" s="847" t="n">
        <v>2023</v>
      </c>
      <c r="D2388" s="848" t="s">
        <v>17</v>
      </c>
      <c r="E2388" s="848" t="s">
        <v>2192</v>
      </c>
      <c r="F2388" s="848" t="s">
        <v>1651</v>
      </c>
      <c r="G2388" s="849"/>
      <c r="H2388" s="949" t="n">
        <v>22.5</v>
      </c>
      <c r="I2388" s="950"/>
      <c r="J2388" s="950"/>
      <c r="K2388" s="852" t="n">
        <f aca="false">H2388*I2388/100</f>
        <v>0</v>
      </c>
      <c r="L2388" s="1143" t="n">
        <v>8</v>
      </c>
      <c r="M2388" s="1007" t="n">
        <v>15</v>
      </c>
      <c r="N2388" s="1143" t="n">
        <f aca="false">L2388*M2388</f>
        <v>120</v>
      </c>
      <c r="O2388" s="1143" t="n">
        <f aca="false">H2388*N2388</f>
        <v>2700</v>
      </c>
      <c r="P2388" s="856" t="s">
        <v>2193</v>
      </c>
      <c r="Q2388" s="857" t="s">
        <v>3127</v>
      </c>
      <c r="R2388" s="854" t="n">
        <v>2700</v>
      </c>
      <c r="S2388" s="854" t="n">
        <f aca="false">R2388/H2388</f>
        <v>120</v>
      </c>
      <c r="T2388" s="537" t="n">
        <f aca="false">O2388-R2388</f>
        <v>0</v>
      </c>
      <c r="U2388" s="537" t="n">
        <f aca="false">N2388-S2388</f>
        <v>0</v>
      </c>
    </row>
    <row r="2389" customFormat="false" ht="15" hidden="false" customHeight="true" outlineLevel="0" collapsed="false">
      <c r="A2389" s="847" t="n">
        <v>615</v>
      </c>
      <c r="B2389" s="847" t="s">
        <v>2191</v>
      </c>
      <c r="C2389" s="847" t="n">
        <v>2023</v>
      </c>
      <c r="D2389" s="848" t="s">
        <v>17</v>
      </c>
      <c r="E2389" s="848" t="s">
        <v>2192</v>
      </c>
      <c r="F2389" s="848" t="s">
        <v>1652</v>
      </c>
      <c r="G2389" s="849"/>
      <c r="H2389" s="949" t="n">
        <v>22.5</v>
      </c>
      <c r="I2389" s="950"/>
      <c r="J2389" s="950"/>
      <c r="K2389" s="852" t="n">
        <f aca="false">H2389*I2389/100</f>
        <v>0</v>
      </c>
      <c r="L2389" s="1143" t="n">
        <v>19</v>
      </c>
      <c r="M2389" s="1007" t="n">
        <v>15</v>
      </c>
      <c r="N2389" s="1143" t="n">
        <f aca="false">L2389*M2389</f>
        <v>285</v>
      </c>
      <c r="O2389" s="1438" t="n">
        <f aca="false">H2389*N2389</f>
        <v>6412.5</v>
      </c>
      <c r="P2389" s="856" t="s">
        <v>2193</v>
      </c>
      <c r="Q2389" s="857" t="s">
        <v>3234</v>
      </c>
      <c r="R2389" s="854" t="n">
        <v>6412.5</v>
      </c>
      <c r="S2389" s="866" t="n">
        <f aca="false">R2389/H2389</f>
        <v>285</v>
      </c>
      <c r="T2389" s="858" t="n">
        <f aca="false">O2389-R2389</f>
        <v>0</v>
      </c>
      <c r="U2389" s="537" t="n">
        <f aca="false">N2389-S2389</f>
        <v>0</v>
      </c>
    </row>
    <row r="2390" customFormat="false" ht="15" hidden="false" customHeight="true" outlineLevel="0" collapsed="false">
      <c r="A2390" s="847" t="n">
        <v>16</v>
      </c>
      <c r="B2390" s="847" t="s">
        <v>86</v>
      </c>
      <c r="C2390" s="847" t="n">
        <v>2024</v>
      </c>
      <c r="D2390" s="848" t="s">
        <v>17</v>
      </c>
      <c r="E2390" s="848" t="s">
        <v>2192</v>
      </c>
      <c r="F2390" s="848" t="s">
        <v>2199</v>
      </c>
      <c r="G2390" s="849"/>
      <c r="H2390" s="949" t="n">
        <v>63.4</v>
      </c>
      <c r="I2390" s="950"/>
      <c r="J2390" s="950"/>
      <c r="K2390" s="852" t="n">
        <f aca="false">H2390*I2390/100</f>
        <v>0</v>
      </c>
      <c r="L2390" s="1143" t="n">
        <v>586</v>
      </c>
      <c r="M2390" s="1007" t="n">
        <v>1</v>
      </c>
      <c r="N2390" s="1143" t="n">
        <f aca="false">L2390*M2390</f>
        <v>586</v>
      </c>
      <c r="O2390" s="1386" t="n">
        <f aca="false">H2390*N2390</f>
        <v>37152.4</v>
      </c>
      <c r="P2390" s="856" t="s">
        <v>2232</v>
      </c>
      <c r="Q2390" s="857" t="s">
        <v>2391</v>
      </c>
      <c r="R2390" s="854" t="n">
        <v>37152.4</v>
      </c>
      <c r="S2390" s="854" t="n">
        <f aca="false">R2390/H2390</f>
        <v>586</v>
      </c>
      <c r="T2390" s="953" t="n">
        <f aca="false">O2390-R2390</f>
        <v>0</v>
      </c>
      <c r="U2390" s="537" t="n">
        <f aca="false">N2390-S2390</f>
        <v>0</v>
      </c>
    </row>
    <row r="2391" customFormat="false" ht="15" hidden="false" customHeight="true" outlineLevel="0" collapsed="false">
      <c r="A2391" s="847" t="n">
        <v>16</v>
      </c>
      <c r="B2391" s="847" t="s">
        <v>86</v>
      </c>
      <c r="C2391" s="847" t="n">
        <v>2024</v>
      </c>
      <c r="D2391" s="848" t="s">
        <v>17</v>
      </c>
      <c r="E2391" s="848" t="s">
        <v>2203</v>
      </c>
      <c r="F2391" s="848"/>
      <c r="G2391" s="849"/>
      <c r="H2391" s="949" t="n">
        <v>1.1</v>
      </c>
      <c r="I2391" s="950"/>
      <c r="J2391" s="950"/>
      <c r="K2391" s="852" t="n">
        <f aca="false">H2391*I2391/100</f>
        <v>0</v>
      </c>
      <c r="L2391" s="1143" t="n">
        <v>264</v>
      </c>
      <c r="M2391" s="1007" t="n">
        <v>1</v>
      </c>
      <c r="N2391" s="1143" t="n">
        <f aca="false">L2391*M2391</f>
        <v>264</v>
      </c>
      <c r="O2391" s="1386" t="n">
        <f aca="false">H2391*N2391</f>
        <v>290.4</v>
      </c>
      <c r="P2391" s="856" t="s">
        <v>2204</v>
      </c>
      <c r="Q2391" s="857" t="n">
        <v>26062024</v>
      </c>
      <c r="R2391" s="854" t="n">
        <v>290.4</v>
      </c>
      <c r="S2391" s="877" t="n">
        <f aca="false">R2391/H2391</f>
        <v>264</v>
      </c>
      <c r="T2391" s="953" t="n">
        <f aca="false">O2391-R2391</f>
        <v>0</v>
      </c>
      <c r="U2391" s="537" t="n">
        <f aca="false">N2391-S2391</f>
        <v>0</v>
      </c>
    </row>
    <row r="2392" customFormat="false" ht="15" hidden="false" customHeight="true" outlineLevel="0" collapsed="false">
      <c r="A2392" s="847" t="n">
        <v>16</v>
      </c>
      <c r="B2392" s="847" t="s">
        <v>86</v>
      </c>
      <c r="C2392" s="847" t="n">
        <v>2024</v>
      </c>
      <c r="D2392" s="848" t="s">
        <v>17</v>
      </c>
      <c r="E2392" s="848" t="s">
        <v>2241</v>
      </c>
      <c r="F2392" s="848"/>
      <c r="G2392" s="849"/>
      <c r="H2392" s="949" t="n">
        <v>3</v>
      </c>
      <c r="I2392" s="950"/>
      <c r="J2392" s="950"/>
      <c r="K2392" s="852" t="n">
        <f aca="false">H2392*I2392/100</f>
        <v>0</v>
      </c>
      <c r="L2392" s="1143" t="n">
        <v>913</v>
      </c>
      <c r="M2392" s="1007" t="n">
        <v>1</v>
      </c>
      <c r="N2392" s="1143" t="n">
        <f aca="false">L2392*M2392</f>
        <v>913</v>
      </c>
      <c r="O2392" s="1386" t="n">
        <f aca="false">H2392*N2392</f>
        <v>2739</v>
      </c>
      <c r="P2392" s="856" t="s">
        <v>2204</v>
      </c>
      <c r="Q2392" s="857" t="n">
        <v>26062024</v>
      </c>
      <c r="R2392" s="854" t="n">
        <v>2739</v>
      </c>
      <c r="S2392" s="877" t="n">
        <f aca="false">R2392/H2392</f>
        <v>913</v>
      </c>
      <c r="T2392" s="953" t="n">
        <f aca="false">O2392-R2392</f>
        <v>0</v>
      </c>
      <c r="U2392" s="537" t="n">
        <f aca="false">N2392-S2392</f>
        <v>0</v>
      </c>
    </row>
    <row r="2393" customFormat="false" ht="15" hidden="false" customHeight="true" outlineLevel="0" collapsed="false">
      <c r="A2393" s="847" t="n">
        <v>16</v>
      </c>
      <c r="B2393" s="847" t="s">
        <v>86</v>
      </c>
      <c r="C2393" s="847" t="n">
        <v>2024</v>
      </c>
      <c r="D2393" s="848" t="s">
        <v>17</v>
      </c>
      <c r="E2393" s="848" t="s">
        <v>2205</v>
      </c>
      <c r="F2393" s="848"/>
      <c r="G2393" s="849"/>
      <c r="H2393" s="949" t="n">
        <v>0</v>
      </c>
      <c r="I2393" s="950"/>
      <c r="J2393" s="950"/>
      <c r="K2393" s="852" t="n">
        <f aca="false">H2393*I2393/100</f>
        <v>0</v>
      </c>
      <c r="L2393" s="1143" t="n">
        <v>388</v>
      </c>
      <c r="M2393" s="1007" t="n">
        <v>1</v>
      </c>
      <c r="N2393" s="1143" t="n">
        <f aca="false">L2393*M2393</f>
        <v>388</v>
      </c>
      <c r="O2393" s="1386" t="n">
        <f aca="false">H2393*N2393</f>
        <v>0</v>
      </c>
      <c r="P2393" s="856" t="s">
        <v>2204</v>
      </c>
      <c r="Q2393" s="857" t="n">
        <v>26062024</v>
      </c>
      <c r="R2393" s="854" t="n">
        <v>0</v>
      </c>
      <c r="S2393" s="877" t="n">
        <v>388</v>
      </c>
      <c r="T2393" s="953" t="n">
        <f aca="false">O2393-R2393</f>
        <v>0</v>
      </c>
      <c r="U2393" s="537" t="n">
        <f aca="false">N2393-S2393</f>
        <v>0</v>
      </c>
    </row>
    <row r="2394" customFormat="false" ht="15" hidden="false" customHeight="true" outlineLevel="0" collapsed="false">
      <c r="A2394" s="903" t="n">
        <v>8</v>
      </c>
      <c r="B2394" s="903" t="s">
        <v>2207</v>
      </c>
      <c r="C2394" s="903" t="n">
        <v>2024</v>
      </c>
      <c r="D2394" s="904" t="s">
        <v>17</v>
      </c>
      <c r="E2394" s="904" t="s">
        <v>2192</v>
      </c>
      <c r="F2394" s="904" t="s">
        <v>1651</v>
      </c>
      <c r="G2394" s="905"/>
      <c r="H2394" s="946" t="n">
        <v>27.954</v>
      </c>
      <c r="I2394" s="947"/>
      <c r="J2394" s="947"/>
      <c r="K2394" s="939" t="n">
        <f aca="false">H2394*I2394/100</f>
        <v>0</v>
      </c>
      <c r="L2394" s="1137" t="n">
        <v>3480</v>
      </c>
      <c r="M2394" s="1023" t="n">
        <v>1</v>
      </c>
      <c r="N2394" s="1137" t="n">
        <f aca="false">L2394*M2394</f>
        <v>3480</v>
      </c>
      <c r="O2394" s="1384" t="n">
        <f aca="false">H2394*N2394</f>
        <v>97279.92</v>
      </c>
      <c r="P2394" s="910" t="s">
        <v>2193</v>
      </c>
      <c r="Q2394" s="911" t="s">
        <v>3224</v>
      </c>
      <c r="R2394" s="891" t="n">
        <v>97279.92</v>
      </c>
      <c r="S2394" s="877" t="n">
        <f aca="false">R2394/H2394</f>
        <v>3480</v>
      </c>
      <c r="T2394" s="948" t="n">
        <f aca="false">O2394-R2394</f>
        <v>0</v>
      </c>
      <c r="U2394" s="942" t="n">
        <f aca="false">N2394-S2394</f>
        <v>0</v>
      </c>
    </row>
    <row r="2395" customFormat="false" ht="15" hidden="false" customHeight="true" outlineLevel="0" collapsed="false">
      <c r="A2395" s="829" t="s">
        <v>3238</v>
      </c>
      <c r="B2395" s="830" t="s">
        <v>2207</v>
      </c>
      <c r="C2395" s="830" t="n">
        <v>2024</v>
      </c>
      <c r="D2395" s="831" t="s">
        <v>17</v>
      </c>
      <c r="E2395" s="831" t="s">
        <v>2192</v>
      </c>
      <c r="F2395" s="832" t="s">
        <v>1651</v>
      </c>
      <c r="G2395" s="833"/>
      <c r="H2395" s="834" t="n">
        <v>27.7722</v>
      </c>
      <c r="I2395" s="835"/>
      <c r="J2395" s="835"/>
      <c r="K2395" s="836" t="n">
        <f aca="false">H2395*I2395/100</f>
        <v>0</v>
      </c>
      <c r="L2395" s="837" t="n">
        <v>3600</v>
      </c>
      <c r="M2395" s="1003" t="n">
        <v>1</v>
      </c>
      <c r="N2395" s="837" t="n">
        <f aca="false">L2395*M2395</f>
        <v>3600</v>
      </c>
      <c r="O2395" s="943" t="n">
        <f aca="false">H2395*N2395</f>
        <v>99979.92</v>
      </c>
      <c r="P2395" s="838" t="s">
        <v>2197</v>
      </c>
      <c r="Q2395" s="839" t="s">
        <v>3056</v>
      </c>
      <c r="R2395" s="840" t="n">
        <v>84427.488</v>
      </c>
      <c r="S2395" s="840" t="n">
        <f aca="false">R2395/H2395</f>
        <v>3040</v>
      </c>
      <c r="T2395" s="837" t="n">
        <f aca="false">O2395-R2395-R2396</f>
        <v>1.45519152283669E-011</v>
      </c>
      <c r="U2395" s="842" t="n">
        <f aca="false">N2395-S2395-S2396</f>
        <v>0</v>
      </c>
    </row>
    <row r="2396" customFormat="false" ht="15" hidden="false" customHeight="true" outlineLevel="0" collapsed="false">
      <c r="A2396" s="829"/>
      <c r="B2396" s="830"/>
      <c r="C2396" s="830"/>
      <c r="D2396" s="887" t="s">
        <v>17</v>
      </c>
      <c r="E2396" s="887" t="s">
        <v>2192</v>
      </c>
      <c r="F2396" s="832"/>
      <c r="G2396" s="833"/>
      <c r="H2396" s="834"/>
      <c r="I2396" s="835"/>
      <c r="J2396" s="835"/>
      <c r="K2396" s="836"/>
      <c r="L2396" s="837"/>
      <c r="M2396" s="1003"/>
      <c r="N2396" s="837"/>
      <c r="O2396" s="943"/>
      <c r="P2396" s="888" t="s">
        <v>2197</v>
      </c>
      <c r="Q2396" s="889" t="s">
        <v>3209</v>
      </c>
      <c r="R2396" s="890" t="n">
        <v>15552.432</v>
      </c>
      <c r="S2396" s="846" t="n">
        <f aca="false">R2396/H2395</f>
        <v>560</v>
      </c>
      <c r="T2396" s="837"/>
      <c r="U2396" s="842"/>
    </row>
    <row r="2397" customFormat="false" ht="15" hidden="false" customHeight="true" outlineLevel="0" collapsed="false">
      <c r="A2397" s="847" t="n">
        <v>14</v>
      </c>
      <c r="B2397" s="847" t="s">
        <v>81</v>
      </c>
      <c r="C2397" s="847" t="n">
        <v>2024</v>
      </c>
      <c r="D2397" s="848" t="s">
        <v>17</v>
      </c>
      <c r="E2397" s="848" t="s">
        <v>2192</v>
      </c>
      <c r="F2397" s="848" t="s">
        <v>2199</v>
      </c>
      <c r="G2397" s="849"/>
      <c r="H2397" s="949" t="n">
        <v>77.8</v>
      </c>
      <c r="I2397" s="950"/>
      <c r="J2397" s="950"/>
      <c r="K2397" s="852" t="n">
        <f aca="false">H2397*I2397/100</f>
        <v>0</v>
      </c>
      <c r="L2397" s="537" t="n">
        <v>6877</v>
      </c>
      <c r="M2397" s="1007" t="n">
        <v>1</v>
      </c>
      <c r="N2397" s="537" t="n">
        <f aca="false">L2397*M2397</f>
        <v>6877</v>
      </c>
      <c r="O2397" s="953" t="n">
        <f aca="false">H2397*N2397</f>
        <v>535030.6</v>
      </c>
      <c r="P2397" s="856" t="s">
        <v>2237</v>
      </c>
      <c r="Q2397" s="857" t="s">
        <v>100</v>
      </c>
      <c r="R2397" s="1088" t="n">
        <v>535030.6</v>
      </c>
      <c r="S2397" s="877" t="n">
        <f aca="false">R2397/H2397</f>
        <v>6877</v>
      </c>
      <c r="T2397" s="953" t="n">
        <f aca="false">O2397-R2397</f>
        <v>0</v>
      </c>
      <c r="U2397" s="537" t="n">
        <f aca="false">N2397-S2397</f>
        <v>0</v>
      </c>
    </row>
    <row r="2398" customFormat="false" ht="15" hidden="false" customHeight="true" outlineLevel="0" collapsed="false">
      <c r="A2398" s="903" t="n">
        <v>15</v>
      </c>
      <c r="B2398" s="903" t="s">
        <v>81</v>
      </c>
      <c r="C2398" s="903" t="n">
        <v>2024</v>
      </c>
      <c r="D2398" s="904" t="s">
        <v>17</v>
      </c>
      <c r="E2398" s="904" t="s">
        <v>2192</v>
      </c>
      <c r="F2398" s="904" t="s">
        <v>2199</v>
      </c>
      <c r="G2398" s="905"/>
      <c r="H2398" s="946" t="n">
        <v>76.6</v>
      </c>
      <c r="I2398" s="947"/>
      <c r="J2398" s="947"/>
      <c r="K2398" s="939" t="n">
        <f aca="false">H2398*I2398/100</f>
        <v>0</v>
      </c>
      <c r="L2398" s="942" t="n">
        <v>8658</v>
      </c>
      <c r="M2398" s="1023" t="n">
        <v>1</v>
      </c>
      <c r="N2398" s="942" t="n">
        <f aca="false">L2398*M2398</f>
        <v>8658</v>
      </c>
      <c r="O2398" s="948" t="n">
        <f aca="false">H2398*N2398</f>
        <v>663202.8</v>
      </c>
      <c r="P2398" s="910" t="s">
        <v>2237</v>
      </c>
      <c r="Q2398" s="911" t="s">
        <v>2822</v>
      </c>
      <c r="R2398" s="891" t="n">
        <v>663202.8</v>
      </c>
      <c r="S2398" s="877" t="n">
        <f aca="false">R2398/H2398</f>
        <v>8658</v>
      </c>
      <c r="T2398" s="948" t="n">
        <f aca="false">O2398-R2398</f>
        <v>0</v>
      </c>
      <c r="U2398" s="942" t="n">
        <f aca="false">N2398-S2398</f>
        <v>0</v>
      </c>
    </row>
    <row r="2399" customFormat="false" ht="15" hidden="false" customHeight="true" outlineLevel="0" collapsed="false">
      <c r="A2399" s="881" t="n">
        <v>24</v>
      </c>
      <c r="B2399" s="829" t="s">
        <v>86</v>
      </c>
      <c r="C2399" s="830" t="n">
        <v>2024</v>
      </c>
      <c r="D2399" s="831" t="s">
        <v>17</v>
      </c>
      <c r="E2399" s="831" t="s">
        <v>2192</v>
      </c>
      <c r="F2399" s="832" t="s">
        <v>1650</v>
      </c>
      <c r="G2399" s="833"/>
      <c r="H2399" s="834" t="n">
        <v>91.6</v>
      </c>
      <c r="I2399" s="1020" t="n">
        <v>90</v>
      </c>
      <c r="J2399" s="835"/>
      <c r="K2399" s="836" t="n">
        <f aca="false">H2399*I2399/100</f>
        <v>82.44</v>
      </c>
      <c r="L2399" s="837" t="n">
        <v>5540</v>
      </c>
      <c r="M2399" s="1003" t="n">
        <v>1</v>
      </c>
      <c r="N2399" s="837" t="n">
        <f aca="false">L2399*M2399</f>
        <v>5540</v>
      </c>
      <c r="O2399" s="943" t="n">
        <f aca="false">H2399*N2399</f>
        <v>507464</v>
      </c>
      <c r="P2399" s="838" t="s">
        <v>2193</v>
      </c>
      <c r="Q2399" s="839" t="s">
        <v>3239</v>
      </c>
      <c r="R2399" s="840" t="n">
        <v>287624</v>
      </c>
      <c r="S2399" s="886" t="n">
        <f aca="false">R2399/H2399</f>
        <v>3140</v>
      </c>
      <c r="T2399" s="943" t="n">
        <f aca="false">O2399-R2399-R2400</f>
        <v>0</v>
      </c>
      <c r="U2399" s="842" t="n">
        <f aca="false">N2399-S2399-S2400</f>
        <v>0</v>
      </c>
    </row>
    <row r="2400" customFormat="false" ht="15" hidden="false" customHeight="true" outlineLevel="0" collapsed="false">
      <c r="A2400" s="881"/>
      <c r="B2400" s="829"/>
      <c r="C2400" s="830"/>
      <c r="D2400" s="887" t="s">
        <v>17</v>
      </c>
      <c r="E2400" s="887" t="s">
        <v>2192</v>
      </c>
      <c r="F2400" s="832"/>
      <c r="G2400" s="833"/>
      <c r="H2400" s="834"/>
      <c r="I2400" s="1020"/>
      <c r="J2400" s="835"/>
      <c r="K2400" s="836"/>
      <c r="L2400" s="837"/>
      <c r="M2400" s="1003"/>
      <c r="N2400" s="837"/>
      <c r="O2400" s="943"/>
      <c r="P2400" s="888" t="s">
        <v>2193</v>
      </c>
      <c r="Q2400" s="889" t="s">
        <v>110</v>
      </c>
      <c r="R2400" s="890" t="n">
        <v>219840</v>
      </c>
      <c r="S2400" s="846" t="n">
        <f aca="false">R2400/H2399</f>
        <v>2400</v>
      </c>
      <c r="T2400" s="943"/>
      <c r="U2400" s="842"/>
    </row>
    <row r="2401" customFormat="false" ht="15" hidden="false" customHeight="true" outlineLevel="0" collapsed="false">
      <c r="A2401" s="881"/>
      <c r="B2401" s="847" t="s">
        <v>86</v>
      </c>
      <c r="C2401" s="847" t="n">
        <v>2024</v>
      </c>
      <c r="D2401" s="848" t="s">
        <v>17</v>
      </c>
      <c r="E2401" s="848" t="s">
        <v>2242</v>
      </c>
      <c r="F2401" s="848"/>
      <c r="G2401" s="849"/>
      <c r="H2401" s="949" t="n">
        <v>72.9</v>
      </c>
      <c r="I2401" s="950" t="n">
        <v>85</v>
      </c>
      <c r="J2401" s="950"/>
      <c r="K2401" s="852" t="n">
        <f aca="false">H2401*I2401/100</f>
        <v>61.965</v>
      </c>
      <c r="L2401" s="537" t="n">
        <v>340</v>
      </c>
      <c r="M2401" s="1007" t="n">
        <v>1</v>
      </c>
      <c r="N2401" s="537" t="n">
        <f aca="false">L2401*M2401</f>
        <v>340</v>
      </c>
      <c r="O2401" s="953" t="n">
        <f aca="false">H2401*N2401</f>
        <v>24786</v>
      </c>
      <c r="P2401" s="856" t="s">
        <v>2232</v>
      </c>
      <c r="Q2401" s="857" t="s">
        <v>100</v>
      </c>
      <c r="R2401" s="854" t="n">
        <v>24786</v>
      </c>
      <c r="S2401" s="866" t="n">
        <f aca="false">R2401/H2401</f>
        <v>340</v>
      </c>
      <c r="T2401" s="953" t="n">
        <f aca="false">O2401-R2401</f>
        <v>0</v>
      </c>
      <c r="U2401" s="892" t="n">
        <f aca="false">N2401-S2401</f>
        <v>0</v>
      </c>
    </row>
    <row r="2402" customFormat="false" ht="15" hidden="false" customHeight="true" outlineLevel="0" collapsed="false">
      <c r="A2402" s="881"/>
      <c r="B2402" s="847" t="s">
        <v>86</v>
      </c>
      <c r="C2402" s="847" t="n">
        <v>2024</v>
      </c>
      <c r="D2402" s="848" t="s">
        <v>17</v>
      </c>
      <c r="E2402" s="848" t="s">
        <v>2203</v>
      </c>
      <c r="F2402" s="848"/>
      <c r="G2402" s="849"/>
      <c r="H2402" s="949" t="n">
        <v>56.3</v>
      </c>
      <c r="I2402" s="950" t="n">
        <v>70</v>
      </c>
      <c r="J2402" s="950"/>
      <c r="K2402" s="852" t="n">
        <f aca="false">H2402*I2402/100</f>
        <v>39.41</v>
      </c>
      <c r="L2402" s="537" t="n">
        <v>219</v>
      </c>
      <c r="M2402" s="1007" t="n">
        <v>1</v>
      </c>
      <c r="N2402" s="537" t="n">
        <f aca="false">L2402*M2402</f>
        <v>219</v>
      </c>
      <c r="O2402" s="953" t="n">
        <f aca="false">H2402*N2402</f>
        <v>12329.7</v>
      </c>
      <c r="P2402" s="856" t="s">
        <v>2232</v>
      </c>
      <c r="Q2402" s="857" t="s">
        <v>92</v>
      </c>
      <c r="R2402" s="854" t="n">
        <v>12329.7</v>
      </c>
      <c r="S2402" s="866" t="n">
        <f aca="false">R2402/H2402</f>
        <v>219</v>
      </c>
      <c r="T2402" s="953" t="n">
        <f aca="false">O2402-R2402</f>
        <v>0</v>
      </c>
      <c r="U2402" s="892" t="n">
        <f aca="false">N2402-S2402</f>
        <v>0</v>
      </c>
    </row>
    <row r="2403" customFormat="false" ht="15" hidden="false" customHeight="true" outlineLevel="0" collapsed="false">
      <c r="A2403" s="881"/>
      <c r="B2403" s="847" t="s">
        <v>86</v>
      </c>
      <c r="C2403" s="847" t="n">
        <v>2024</v>
      </c>
      <c r="D2403" s="848" t="s">
        <v>17</v>
      </c>
      <c r="E2403" s="848" t="s">
        <v>2241</v>
      </c>
      <c r="F2403" s="848"/>
      <c r="G2403" s="849"/>
      <c r="H2403" s="949" t="n">
        <v>35.3</v>
      </c>
      <c r="I2403" s="950" t="n">
        <v>87</v>
      </c>
      <c r="J2403" s="950"/>
      <c r="K2403" s="852" t="n">
        <f aca="false">H2403*I2403/100</f>
        <v>30.711</v>
      </c>
      <c r="L2403" s="537" t="n">
        <v>119</v>
      </c>
      <c r="M2403" s="1007" t="n">
        <v>1</v>
      </c>
      <c r="N2403" s="537" t="n">
        <f aca="false">L2403*M2403</f>
        <v>119</v>
      </c>
      <c r="O2403" s="953" t="n">
        <f aca="false">H2403*N2403</f>
        <v>4200.7</v>
      </c>
      <c r="P2403" s="856" t="s">
        <v>2204</v>
      </c>
      <c r="Q2403" s="1436" t="s">
        <v>2308</v>
      </c>
      <c r="R2403" s="1088" t="n">
        <v>4200.7</v>
      </c>
      <c r="S2403" s="866" t="n">
        <f aca="false">R2403/H2403</f>
        <v>119</v>
      </c>
      <c r="T2403" s="953" t="n">
        <f aca="false">O2403-R2403</f>
        <v>0</v>
      </c>
      <c r="U2403" s="892" t="n">
        <f aca="false">N2403-S2403</f>
        <v>0</v>
      </c>
    </row>
    <row r="2404" customFormat="false" ht="15" hidden="false" customHeight="true" outlineLevel="0" collapsed="false">
      <c r="A2404" s="881"/>
      <c r="B2404" s="1072" t="s">
        <v>86</v>
      </c>
      <c r="C2404" s="1072" t="n">
        <v>2024</v>
      </c>
      <c r="D2404" s="887" t="s">
        <v>17</v>
      </c>
      <c r="E2404" s="887" t="s">
        <v>2205</v>
      </c>
      <c r="F2404" s="887"/>
      <c r="G2404" s="1062"/>
      <c r="H2404" s="1077" t="n">
        <v>0.5</v>
      </c>
      <c r="I2404" s="1086" t="n">
        <v>0</v>
      </c>
      <c r="J2404" s="1086"/>
      <c r="K2404" s="897" t="n">
        <f aca="false">H2404*I2404/100</f>
        <v>0</v>
      </c>
      <c r="L2404" s="1067" t="n">
        <v>580</v>
      </c>
      <c r="M2404" s="1066" t="n">
        <v>1</v>
      </c>
      <c r="N2404" s="1067" t="n">
        <f aca="false">L2404*M2404</f>
        <v>580</v>
      </c>
      <c r="O2404" s="1452" t="n">
        <f aca="false">H2404*N2404</f>
        <v>290</v>
      </c>
      <c r="P2404" s="888" t="s">
        <v>2204</v>
      </c>
      <c r="Q2404" s="1320" t="s">
        <v>2206</v>
      </c>
      <c r="R2404" s="1080" t="n">
        <v>290</v>
      </c>
      <c r="S2404" s="866" t="n">
        <f aca="false">R2404/H2404</f>
        <v>580</v>
      </c>
      <c r="T2404" s="1452" t="n">
        <f aca="false">O2404-R2404</f>
        <v>0</v>
      </c>
      <c r="U2404" s="1070" t="n">
        <f aca="false">N2404-S2404</f>
        <v>0</v>
      </c>
    </row>
    <row r="2405" customFormat="false" ht="15" hidden="false" customHeight="true" outlineLevel="0" collapsed="false">
      <c r="A2405" s="881" t="n">
        <v>26</v>
      </c>
      <c r="B2405" s="882" t="s">
        <v>86</v>
      </c>
      <c r="C2405" s="883" t="n">
        <v>2024</v>
      </c>
      <c r="D2405" s="831" t="s">
        <v>17</v>
      </c>
      <c r="E2405" s="831" t="s">
        <v>2192</v>
      </c>
      <c r="F2405" s="832" t="s">
        <v>1650</v>
      </c>
      <c r="G2405" s="833"/>
      <c r="H2405" s="834" t="n">
        <v>93.4</v>
      </c>
      <c r="I2405" s="1020" t="n">
        <v>91</v>
      </c>
      <c r="J2405" s="835"/>
      <c r="K2405" s="836" t="n">
        <f aca="false">H2405*I2405/100</f>
        <v>84.994</v>
      </c>
      <c r="L2405" s="837" t="n">
        <v>6530</v>
      </c>
      <c r="M2405" s="1003" t="n">
        <v>1</v>
      </c>
      <c r="N2405" s="837" t="n">
        <f aca="false">L2405*M2405</f>
        <v>6530</v>
      </c>
      <c r="O2405" s="943" t="n">
        <f aca="false">H2405*N2405</f>
        <v>609902</v>
      </c>
      <c r="P2405" s="838" t="s">
        <v>2197</v>
      </c>
      <c r="Q2405" s="839" t="s">
        <v>3240</v>
      </c>
      <c r="R2405" s="840" t="n">
        <v>22416</v>
      </c>
      <c r="S2405" s="886" t="n">
        <f aca="false">R2405/H2405</f>
        <v>240</v>
      </c>
      <c r="T2405" s="943" t="n">
        <f aca="false">O2405-R2405-R2406-R2407</f>
        <v>0</v>
      </c>
      <c r="U2405" s="842" t="n">
        <f aca="false">N2405-S2405-S2406-S2407</f>
        <v>0</v>
      </c>
    </row>
    <row r="2406" customFormat="false" ht="15" hidden="false" customHeight="true" outlineLevel="0" collapsed="false">
      <c r="A2406" s="881"/>
      <c r="B2406" s="882"/>
      <c r="C2406" s="883"/>
      <c r="D2406" s="848" t="s">
        <v>17</v>
      </c>
      <c r="E2406" s="848" t="s">
        <v>2192</v>
      </c>
      <c r="F2406" s="832"/>
      <c r="G2406" s="833"/>
      <c r="H2406" s="834"/>
      <c r="I2406" s="1020"/>
      <c r="J2406" s="835"/>
      <c r="K2406" s="836"/>
      <c r="L2406" s="837"/>
      <c r="M2406" s="1003"/>
      <c r="N2406" s="837"/>
      <c r="O2406" s="943"/>
      <c r="P2406" s="856" t="s">
        <v>2197</v>
      </c>
      <c r="Q2406" s="857" t="s">
        <v>3241</v>
      </c>
      <c r="R2406" s="854" t="n">
        <v>526962.8</v>
      </c>
      <c r="S2406" s="866" t="n">
        <f aca="false">R2406/H2405</f>
        <v>5642</v>
      </c>
      <c r="T2406" s="943"/>
      <c r="U2406" s="842"/>
    </row>
    <row r="2407" customFormat="false" ht="15" hidden="false" customHeight="true" outlineLevel="0" collapsed="false">
      <c r="A2407" s="881"/>
      <c r="B2407" s="882"/>
      <c r="C2407" s="883"/>
      <c r="D2407" s="887" t="s">
        <v>17</v>
      </c>
      <c r="E2407" s="887" t="s">
        <v>2192</v>
      </c>
      <c r="F2407" s="832"/>
      <c r="G2407" s="833"/>
      <c r="H2407" s="834"/>
      <c r="I2407" s="1020"/>
      <c r="J2407" s="835"/>
      <c r="K2407" s="836"/>
      <c r="L2407" s="837"/>
      <c r="M2407" s="1003"/>
      <c r="N2407" s="837"/>
      <c r="O2407" s="943"/>
      <c r="P2407" s="888" t="s">
        <v>2197</v>
      </c>
      <c r="Q2407" s="889" t="s">
        <v>3242</v>
      </c>
      <c r="R2407" s="890" t="n">
        <v>60523.2</v>
      </c>
      <c r="S2407" s="890" t="n">
        <f aca="false">R2407/H2405</f>
        <v>648</v>
      </c>
      <c r="T2407" s="943"/>
      <c r="U2407" s="842"/>
    </row>
    <row r="2408" customFormat="false" ht="15" hidden="false" customHeight="true" outlineLevel="0" collapsed="false">
      <c r="A2408" s="881"/>
      <c r="B2408" s="829" t="s">
        <v>86</v>
      </c>
      <c r="C2408" s="830" t="n">
        <v>2024</v>
      </c>
      <c r="D2408" s="831" t="s">
        <v>17</v>
      </c>
      <c r="E2408" s="831" t="s">
        <v>2242</v>
      </c>
      <c r="F2408" s="830"/>
      <c r="G2408" s="833"/>
      <c r="H2408" s="834" t="n">
        <v>45.6</v>
      </c>
      <c r="I2408" s="1020" t="n">
        <v>76</v>
      </c>
      <c r="J2408" s="835"/>
      <c r="K2408" s="836" t="n">
        <f aca="false">H2408*I2408/100</f>
        <v>34.656</v>
      </c>
      <c r="L2408" s="837" t="n">
        <v>783</v>
      </c>
      <c r="M2408" s="1003" t="n">
        <v>1</v>
      </c>
      <c r="N2408" s="837" t="n">
        <f aca="false">L2408*M2408</f>
        <v>783</v>
      </c>
      <c r="O2408" s="943" t="n">
        <f aca="false">H2408*N2408</f>
        <v>35704.8</v>
      </c>
      <c r="P2408" s="838" t="s">
        <v>2232</v>
      </c>
      <c r="Q2408" s="839" t="s">
        <v>90</v>
      </c>
      <c r="R2408" s="840" t="n">
        <v>28500</v>
      </c>
      <c r="S2408" s="840" t="n">
        <f aca="false">R2408/H2408</f>
        <v>625</v>
      </c>
      <c r="T2408" s="943" t="n">
        <f aca="false">O2408-R2408-R2409</f>
        <v>0</v>
      </c>
      <c r="U2408" s="842" t="n">
        <f aca="false">N2408-S2408-S2409</f>
        <v>0</v>
      </c>
    </row>
    <row r="2409" customFormat="false" ht="15" hidden="false" customHeight="true" outlineLevel="0" collapsed="false">
      <c r="A2409" s="881"/>
      <c r="B2409" s="829"/>
      <c r="C2409" s="830"/>
      <c r="D2409" s="843" t="s">
        <v>17</v>
      </c>
      <c r="E2409" s="843" t="s">
        <v>2242</v>
      </c>
      <c r="F2409" s="830"/>
      <c r="G2409" s="833"/>
      <c r="H2409" s="834"/>
      <c r="I2409" s="1020"/>
      <c r="J2409" s="835"/>
      <c r="K2409" s="836"/>
      <c r="L2409" s="837"/>
      <c r="M2409" s="1003"/>
      <c r="N2409" s="837"/>
      <c r="O2409" s="943"/>
      <c r="P2409" s="844" t="s">
        <v>2195</v>
      </c>
      <c r="Q2409" s="845" t="s">
        <v>1375</v>
      </c>
      <c r="R2409" s="846" t="n">
        <v>7204.8</v>
      </c>
      <c r="S2409" s="890" t="n">
        <f aca="false">R2409/H2408</f>
        <v>158</v>
      </c>
      <c r="T2409" s="943"/>
      <c r="U2409" s="842"/>
    </row>
    <row r="2410" customFormat="false" ht="15" hidden="false" customHeight="true" outlineLevel="0" collapsed="false">
      <c r="A2410" s="881"/>
      <c r="B2410" s="847" t="s">
        <v>86</v>
      </c>
      <c r="C2410" s="847" t="n">
        <v>2024</v>
      </c>
      <c r="D2410" s="848" t="s">
        <v>17</v>
      </c>
      <c r="E2410" s="848" t="s">
        <v>2241</v>
      </c>
      <c r="F2410" s="848"/>
      <c r="G2410" s="849"/>
      <c r="H2410" s="949" t="n">
        <v>59.6</v>
      </c>
      <c r="I2410" s="950" t="n">
        <v>90</v>
      </c>
      <c r="J2410" s="950"/>
      <c r="K2410" s="852" t="n">
        <f aca="false">H2410*I2410/100</f>
        <v>53.64</v>
      </c>
      <c r="L2410" s="537" t="n">
        <v>343</v>
      </c>
      <c r="M2410" s="1007" t="n">
        <v>1</v>
      </c>
      <c r="N2410" s="537" t="n">
        <f aca="false">L2410*M2410</f>
        <v>343</v>
      </c>
      <c r="O2410" s="953" t="n">
        <f aca="false">H2410*N2410</f>
        <v>20442.8</v>
      </c>
      <c r="P2410" s="856" t="s">
        <v>2204</v>
      </c>
      <c r="Q2410" s="1436" t="s">
        <v>2308</v>
      </c>
      <c r="R2410" s="1088" t="n">
        <v>20442.8</v>
      </c>
      <c r="S2410" s="854" t="n">
        <f aca="false">R2410/H2410</f>
        <v>343</v>
      </c>
      <c r="T2410" s="953" t="n">
        <f aca="false">O2410-R2410</f>
        <v>0</v>
      </c>
      <c r="U2410" s="537" t="n">
        <f aca="false">N2410-S2410</f>
        <v>0</v>
      </c>
    </row>
    <row r="2411" customFormat="false" ht="15" hidden="false" customHeight="true" outlineLevel="0" collapsed="false">
      <c r="A2411" s="881"/>
      <c r="B2411" s="893" t="s">
        <v>86</v>
      </c>
      <c r="C2411" s="893" t="n">
        <v>2024</v>
      </c>
      <c r="D2411" s="843" t="s">
        <v>17</v>
      </c>
      <c r="E2411" s="843" t="s">
        <v>2205</v>
      </c>
      <c r="F2411" s="843"/>
      <c r="G2411" s="894"/>
      <c r="H2411" s="1103" t="n">
        <v>48.5</v>
      </c>
      <c r="I2411" s="1104" t="n">
        <v>80</v>
      </c>
      <c r="J2411" s="1104"/>
      <c r="K2411" s="897" t="n">
        <f aca="false">H2411*I2411/100</f>
        <v>38.8</v>
      </c>
      <c r="L2411" s="589" t="n">
        <v>886</v>
      </c>
      <c r="M2411" s="1106" t="n">
        <v>1</v>
      </c>
      <c r="N2411" s="589" t="n">
        <f aca="false">L2411*M2411</f>
        <v>886</v>
      </c>
      <c r="O2411" s="1183" t="n">
        <f aca="false">H2411*N2411</f>
        <v>42971</v>
      </c>
      <c r="P2411" s="844" t="s">
        <v>2204</v>
      </c>
      <c r="Q2411" s="900" t="s">
        <v>2206</v>
      </c>
      <c r="R2411" s="901" t="n">
        <v>42971</v>
      </c>
      <c r="S2411" s="846" t="n">
        <f aca="false">R2411/H2411</f>
        <v>886</v>
      </c>
      <c r="T2411" s="1183" t="n">
        <f aca="false">O2411-R2411</f>
        <v>0</v>
      </c>
      <c r="U2411" s="902" t="n">
        <f aca="false">N2411-S2411</f>
        <v>0</v>
      </c>
    </row>
    <row r="2412" customFormat="false" ht="15" hidden="false" customHeight="true" outlineLevel="0" collapsed="false">
      <c r="A2412" s="903" t="n">
        <v>20</v>
      </c>
      <c r="B2412" s="903" t="s">
        <v>2207</v>
      </c>
      <c r="C2412" s="903" t="n">
        <v>2024</v>
      </c>
      <c r="D2412" s="904" t="s">
        <v>17</v>
      </c>
      <c r="E2412" s="904" t="s">
        <v>2192</v>
      </c>
      <c r="F2412" s="904" t="s">
        <v>1651</v>
      </c>
      <c r="G2412" s="905"/>
      <c r="H2412" s="946" t="n">
        <v>25.9723</v>
      </c>
      <c r="I2412" s="947"/>
      <c r="J2412" s="947"/>
      <c r="K2412" s="939" t="n">
        <f aca="false">H2412*I2412/100</f>
        <v>0</v>
      </c>
      <c r="L2412" s="942" t="n">
        <v>17849</v>
      </c>
      <c r="M2412" s="1023" t="n">
        <v>1</v>
      </c>
      <c r="N2412" s="942" t="n">
        <f aca="false">L2412*M2412</f>
        <v>17849</v>
      </c>
      <c r="O2412" s="948" t="n">
        <f aca="false">H2412*N2412</f>
        <v>463579.5827</v>
      </c>
      <c r="P2412" s="910" t="s">
        <v>2193</v>
      </c>
      <c r="Q2412" s="911" t="s">
        <v>2442</v>
      </c>
      <c r="R2412" s="891" t="n">
        <v>463579.5827</v>
      </c>
      <c r="S2412" s="891" t="n">
        <f aca="false">R2412/H2412</f>
        <v>17849</v>
      </c>
      <c r="T2412" s="948" t="n">
        <f aca="false">O2412-R2412</f>
        <v>0</v>
      </c>
      <c r="U2412" s="942" t="n">
        <f aca="false">N2412-S2412</f>
        <v>0</v>
      </c>
    </row>
    <row r="2413" customFormat="false" ht="15" hidden="false" customHeight="true" outlineLevel="0" collapsed="false">
      <c r="A2413" s="829" t="s">
        <v>2517</v>
      </c>
      <c r="B2413" s="830" t="s">
        <v>2207</v>
      </c>
      <c r="C2413" s="830" t="n">
        <v>2024</v>
      </c>
      <c r="D2413" s="831" t="s">
        <v>17</v>
      </c>
      <c r="E2413" s="831" t="s">
        <v>2192</v>
      </c>
      <c r="F2413" s="832" t="s">
        <v>1651</v>
      </c>
      <c r="G2413" s="833"/>
      <c r="H2413" s="834" t="n">
        <v>25.8932</v>
      </c>
      <c r="I2413" s="835"/>
      <c r="J2413" s="835"/>
      <c r="K2413" s="836" t="n">
        <f aca="false">H2413*I2413/100</f>
        <v>0</v>
      </c>
      <c r="L2413" s="837" t="n">
        <v>18334</v>
      </c>
      <c r="M2413" s="1003" t="n">
        <v>1</v>
      </c>
      <c r="N2413" s="837" t="n">
        <f aca="false">L2413*M2413</f>
        <v>18334</v>
      </c>
      <c r="O2413" s="943" t="n">
        <f aca="false">H2413*N2413</f>
        <v>474725.9288</v>
      </c>
      <c r="P2413" s="838" t="s">
        <v>2197</v>
      </c>
      <c r="Q2413" s="839" t="s">
        <v>2787</v>
      </c>
      <c r="R2413" s="840" t="n">
        <v>58648.098</v>
      </c>
      <c r="S2413" s="840" t="n">
        <f aca="false">R2413/H2413</f>
        <v>2265</v>
      </c>
      <c r="T2413" s="943" t="n">
        <f aca="false">O2413-R2413-R2414-R2415-R2416</f>
        <v>0</v>
      </c>
      <c r="U2413" s="842" t="n">
        <f aca="false">N2413-S2413-S2414-S2415-S2416</f>
        <v>0</v>
      </c>
    </row>
    <row r="2414" customFormat="false" ht="15" hidden="false" customHeight="true" outlineLevel="0" collapsed="false">
      <c r="A2414" s="829"/>
      <c r="B2414" s="830"/>
      <c r="C2414" s="830"/>
      <c r="D2414" s="848" t="s">
        <v>17</v>
      </c>
      <c r="E2414" s="848" t="s">
        <v>2192</v>
      </c>
      <c r="F2414" s="832"/>
      <c r="G2414" s="833"/>
      <c r="H2414" s="834"/>
      <c r="I2414" s="835"/>
      <c r="J2414" s="835"/>
      <c r="K2414" s="836"/>
      <c r="L2414" s="837"/>
      <c r="M2414" s="1003"/>
      <c r="N2414" s="837"/>
      <c r="O2414" s="943"/>
      <c r="P2414" s="856" t="s">
        <v>2197</v>
      </c>
      <c r="Q2414" s="857" t="s">
        <v>3105</v>
      </c>
      <c r="R2414" s="854" t="n">
        <v>180605.07</v>
      </c>
      <c r="S2414" s="1834" t="n">
        <f aca="false">R2414/H2413</f>
        <v>6975</v>
      </c>
      <c r="T2414" s="943"/>
      <c r="U2414" s="842"/>
    </row>
    <row r="2415" customFormat="false" ht="15" hidden="false" customHeight="true" outlineLevel="0" collapsed="false">
      <c r="A2415" s="829"/>
      <c r="B2415" s="830"/>
      <c r="C2415" s="830"/>
      <c r="D2415" s="848" t="s">
        <v>17</v>
      </c>
      <c r="E2415" s="848" t="s">
        <v>2192</v>
      </c>
      <c r="F2415" s="832"/>
      <c r="G2415" s="833"/>
      <c r="H2415" s="834"/>
      <c r="I2415" s="835"/>
      <c r="J2415" s="835"/>
      <c r="K2415" s="836"/>
      <c r="L2415" s="837"/>
      <c r="M2415" s="1003"/>
      <c r="N2415" s="837"/>
      <c r="O2415" s="943"/>
      <c r="P2415" s="856" t="s">
        <v>2197</v>
      </c>
      <c r="Q2415" s="857" t="s">
        <v>2212</v>
      </c>
      <c r="R2415" s="854" t="n">
        <v>5178.64</v>
      </c>
      <c r="S2415" s="1834" t="n">
        <f aca="false">R2415/H2413</f>
        <v>200</v>
      </c>
      <c r="T2415" s="943"/>
      <c r="U2415" s="842"/>
    </row>
    <row r="2416" customFormat="false" ht="15" hidden="false" customHeight="true" outlineLevel="0" collapsed="false">
      <c r="A2416" s="829"/>
      <c r="B2416" s="830"/>
      <c r="C2416" s="830"/>
      <c r="D2416" s="887" t="s">
        <v>17</v>
      </c>
      <c r="E2416" s="887" t="s">
        <v>2192</v>
      </c>
      <c r="F2416" s="832"/>
      <c r="G2416" s="833"/>
      <c r="H2416" s="834"/>
      <c r="I2416" s="835"/>
      <c r="J2416" s="835"/>
      <c r="K2416" s="836"/>
      <c r="L2416" s="837"/>
      <c r="M2416" s="1003"/>
      <c r="N2416" s="837"/>
      <c r="O2416" s="943"/>
      <c r="P2416" s="888" t="s">
        <v>2197</v>
      </c>
      <c r="Q2416" s="889" t="s">
        <v>2928</v>
      </c>
      <c r="R2416" s="890" t="n">
        <v>230294.1208</v>
      </c>
      <c r="S2416" s="1835" t="n">
        <f aca="false">R2416/H2413</f>
        <v>8894</v>
      </c>
      <c r="T2416" s="943"/>
      <c r="U2416" s="842"/>
    </row>
    <row r="2417" customFormat="false" ht="15" hidden="false" customHeight="true" outlineLevel="0" collapsed="false">
      <c r="A2417" s="903" t="n">
        <v>22</v>
      </c>
      <c r="B2417" s="903" t="s">
        <v>2207</v>
      </c>
      <c r="C2417" s="903" t="n">
        <v>2024</v>
      </c>
      <c r="D2417" s="904" t="s">
        <v>17</v>
      </c>
      <c r="E2417" s="904" t="s">
        <v>2192</v>
      </c>
      <c r="F2417" s="904" t="s">
        <v>1651</v>
      </c>
      <c r="G2417" s="905"/>
      <c r="H2417" s="946" t="n">
        <v>23.9188</v>
      </c>
      <c r="I2417" s="947"/>
      <c r="J2417" s="947"/>
      <c r="K2417" s="939" t="n">
        <f aca="false">H2417*I2417/100</f>
        <v>0</v>
      </c>
      <c r="L2417" s="942" t="n">
        <v>12025</v>
      </c>
      <c r="M2417" s="1023" t="n">
        <v>1</v>
      </c>
      <c r="N2417" s="942" t="n">
        <f aca="false">L2417*M2417</f>
        <v>12025</v>
      </c>
      <c r="O2417" s="948" t="n">
        <f aca="false">H2417*N2417</f>
        <v>287623.57</v>
      </c>
      <c r="P2417" s="910" t="s">
        <v>2193</v>
      </c>
      <c r="Q2417" s="911" t="s">
        <v>3223</v>
      </c>
      <c r="R2417" s="891" t="n">
        <v>287623.57</v>
      </c>
      <c r="S2417" s="877" t="n">
        <f aca="false">R2417/H2417</f>
        <v>12025</v>
      </c>
      <c r="T2417" s="948" t="n">
        <f aca="false">O2417-R2417</f>
        <v>0</v>
      </c>
      <c r="U2417" s="942" t="n">
        <f aca="false">N2417-S2417</f>
        <v>0</v>
      </c>
    </row>
    <row r="2418" customFormat="false" ht="15" hidden="false" customHeight="true" outlineLevel="0" collapsed="false">
      <c r="A2418" s="829" t="s">
        <v>3243</v>
      </c>
      <c r="B2418" s="830" t="s">
        <v>2207</v>
      </c>
      <c r="C2418" s="830" t="n">
        <v>2024</v>
      </c>
      <c r="D2418" s="831" t="s">
        <v>17</v>
      </c>
      <c r="E2418" s="831" t="s">
        <v>2192</v>
      </c>
      <c r="F2418" s="832" t="s">
        <v>1651</v>
      </c>
      <c r="G2418" s="833"/>
      <c r="H2418" s="834" t="n">
        <v>23.8775</v>
      </c>
      <c r="I2418" s="835"/>
      <c r="J2418" s="835"/>
      <c r="K2418" s="836" t="n">
        <f aca="false">H2418*I2418/100</f>
        <v>0</v>
      </c>
      <c r="L2418" s="837" t="n">
        <v>12385</v>
      </c>
      <c r="M2418" s="1003" t="n">
        <v>1</v>
      </c>
      <c r="N2418" s="837" t="n">
        <f aca="false">L2418*M2418</f>
        <v>12385</v>
      </c>
      <c r="O2418" s="943" t="n">
        <f aca="false">H2418*N2418</f>
        <v>295722.8375</v>
      </c>
      <c r="P2418" s="838" t="s">
        <v>2197</v>
      </c>
      <c r="Q2418" s="839" t="s">
        <v>3220</v>
      </c>
      <c r="R2418" s="840" t="n">
        <v>47635.6125</v>
      </c>
      <c r="S2418" s="840" t="n">
        <f aca="false">R2418/H2418</f>
        <v>1995</v>
      </c>
      <c r="T2418" s="837" t="n">
        <f aca="false">O2418-R2418-R2419-R2420-R2421</f>
        <v>2.91038304567337E-011</v>
      </c>
      <c r="U2418" s="842" t="n">
        <f aca="false">N2418-S2418-S2419-S2420-S2421</f>
        <v>0</v>
      </c>
    </row>
    <row r="2419" customFormat="false" ht="15" hidden="false" customHeight="true" outlineLevel="0" collapsed="false">
      <c r="A2419" s="829"/>
      <c r="B2419" s="830"/>
      <c r="C2419" s="830"/>
      <c r="D2419" s="848" t="s">
        <v>17</v>
      </c>
      <c r="E2419" s="848" t="s">
        <v>2192</v>
      </c>
      <c r="F2419" s="832"/>
      <c r="G2419" s="833"/>
      <c r="H2419" s="834"/>
      <c r="I2419" s="835"/>
      <c r="J2419" s="835"/>
      <c r="K2419" s="836"/>
      <c r="L2419" s="837"/>
      <c r="M2419" s="1003"/>
      <c r="N2419" s="837"/>
      <c r="O2419" s="943"/>
      <c r="P2419" s="856" t="s">
        <v>2197</v>
      </c>
      <c r="Q2419" s="857" t="s">
        <v>3244</v>
      </c>
      <c r="R2419" s="854" t="n">
        <v>238536.225</v>
      </c>
      <c r="S2419" s="866" t="n">
        <f aca="false">R2419/H2418</f>
        <v>9990</v>
      </c>
      <c r="T2419" s="837"/>
      <c r="U2419" s="842"/>
    </row>
    <row r="2420" customFormat="false" ht="15" hidden="false" customHeight="true" outlineLevel="0" collapsed="false">
      <c r="A2420" s="829"/>
      <c r="B2420" s="830"/>
      <c r="C2420" s="830"/>
      <c r="D2420" s="848" t="s">
        <v>17</v>
      </c>
      <c r="E2420" s="848" t="s">
        <v>2192</v>
      </c>
      <c r="F2420" s="832"/>
      <c r="G2420" s="833"/>
      <c r="H2420" s="834"/>
      <c r="I2420" s="835"/>
      <c r="J2420" s="835"/>
      <c r="K2420" s="836"/>
      <c r="L2420" s="837"/>
      <c r="M2420" s="1003"/>
      <c r="N2420" s="837"/>
      <c r="O2420" s="943"/>
      <c r="P2420" s="856" t="s">
        <v>2197</v>
      </c>
      <c r="Q2420" s="857" t="s">
        <v>3245</v>
      </c>
      <c r="R2420" s="854" t="n">
        <v>358.1625</v>
      </c>
      <c r="S2420" s="866" t="n">
        <f aca="false">R2420/H2418</f>
        <v>15</v>
      </c>
      <c r="T2420" s="837"/>
      <c r="U2420" s="842"/>
    </row>
    <row r="2421" customFormat="false" ht="15" hidden="false" customHeight="true" outlineLevel="0" collapsed="false">
      <c r="A2421" s="829"/>
      <c r="B2421" s="830"/>
      <c r="C2421" s="830"/>
      <c r="D2421" s="887" t="s">
        <v>17</v>
      </c>
      <c r="E2421" s="887" t="s">
        <v>2192</v>
      </c>
      <c r="F2421" s="832"/>
      <c r="G2421" s="833"/>
      <c r="H2421" s="834"/>
      <c r="I2421" s="835"/>
      <c r="J2421" s="835"/>
      <c r="K2421" s="836"/>
      <c r="L2421" s="837"/>
      <c r="M2421" s="1003"/>
      <c r="N2421" s="837"/>
      <c r="O2421" s="943"/>
      <c r="P2421" s="888" t="s">
        <v>2197</v>
      </c>
      <c r="Q2421" s="889" t="s">
        <v>3246</v>
      </c>
      <c r="R2421" s="890" t="n">
        <v>9192.8375</v>
      </c>
      <c r="S2421" s="846" t="n">
        <f aca="false">R2421/H2418</f>
        <v>385</v>
      </c>
      <c r="T2421" s="837"/>
      <c r="U2421" s="842"/>
    </row>
    <row r="2422" customFormat="false" ht="15" hidden="false" customHeight="true" outlineLevel="0" collapsed="false">
      <c r="A2422" s="882" t="n">
        <v>32</v>
      </c>
      <c r="B2422" s="883" t="s">
        <v>81</v>
      </c>
      <c r="C2422" s="883" t="n">
        <v>2024</v>
      </c>
      <c r="D2422" s="831" t="s">
        <v>17</v>
      </c>
      <c r="E2422" s="831" t="s">
        <v>2192</v>
      </c>
      <c r="F2422" s="832" t="s">
        <v>2199</v>
      </c>
      <c r="G2422" s="833"/>
      <c r="H2422" s="1059" t="n">
        <v>63.4</v>
      </c>
      <c r="I2422" s="835"/>
      <c r="J2422" s="1624"/>
      <c r="K2422" s="836" t="n">
        <f aca="false">H2422*I2422/100</f>
        <v>0</v>
      </c>
      <c r="L2422" s="837" t="n">
        <v>19128</v>
      </c>
      <c r="M2422" s="1003" t="n">
        <v>1</v>
      </c>
      <c r="N2422" s="837" t="n">
        <f aca="false">L2422*M2422</f>
        <v>19128</v>
      </c>
      <c r="O2422" s="943" t="n">
        <f aca="false">H2422*N2422</f>
        <v>1212715.2</v>
      </c>
      <c r="P2422" s="838" t="s">
        <v>2255</v>
      </c>
      <c r="Q2422" s="839" t="s">
        <v>2437</v>
      </c>
      <c r="R2422" s="840" t="n">
        <v>88760</v>
      </c>
      <c r="S2422" s="840" t="n">
        <f aca="false">R2422/H2422</f>
        <v>1400</v>
      </c>
      <c r="T2422" s="943" t="n">
        <f aca="false">O2422-R2422-R2424-R2423</f>
        <v>0</v>
      </c>
      <c r="U2422" s="842" t="n">
        <f aca="false">N2422-S2422-S2424-S2423</f>
        <v>0</v>
      </c>
    </row>
    <row r="2423" customFormat="false" ht="15" hidden="false" customHeight="true" outlineLevel="0" collapsed="false">
      <c r="A2423" s="882"/>
      <c r="B2423" s="883"/>
      <c r="C2423" s="883"/>
      <c r="D2423" s="848" t="s">
        <v>17</v>
      </c>
      <c r="E2423" s="848" t="s">
        <v>2192</v>
      </c>
      <c r="F2423" s="832"/>
      <c r="G2423" s="833"/>
      <c r="H2423" s="1059"/>
      <c r="I2423" s="835"/>
      <c r="J2423" s="1352"/>
      <c r="K2423" s="836"/>
      <c r="L2423" s="837"/>
      <c r="M2423" s="1003"/>
      <c r="N2423" s="837"/>
      <c r="O2423" s="943"/>
      <c r="P2423" s="856" t="s">
        <v>2237</v>
      </c>
      <c r="Q2423" s="857" t="s">
        <v>3026</v>
      </c>
      <c r="R2423" s="854" t="n">
        <v>1092001.6</v>
      </c>
      <c r="S2423" s="866" t="n">
        <f aca="false">R2423/H2422</f>
        <v>17224</v>
      </c>
      <c r="T2423" s="943"/>
      <c r="U2423" s="842"/>
    </row>
    <row r="2424" customFormat="false" ht="15" hidden="false" customHeight="true" outlineLevel="0" collapsed="false">
      <c r="A2424" s="882"/>
      <c r="B2424" s="883"/>
      <c r="C2424" s="883"/>
      <c r="D2424" s="887" t="s">
        <v>17</v>
      </c>
      <c r="E2424" s="887" t="s">
        <v>2192</v>
      </c>
      <c r="F2424" s="832"/>
      <c r="G2424" s="833"/>
      <c r="H2424" s="1059"/>
      <c r="I2424" s="835"/>
      <c r="J2424" s="1625"/>
      <c r="K2424" s="836"/>
      <c r="L2424" s="837"/>
      <c r="M2424" s="1003"/>
      <c r="N2424" s="837"/>
      <c r="O2424" s="943"/>
      <c r="P2424" s="888" t="s">
        <v>2232</v>
      </c>
      <c r="Q2424" s="889" t="s">
        <v>3239</v>
      </c>
      <c r="R2424" s="890" t="n">
        <v>31953.6</v>
      </c>
      <c r="S2424" s="846" t="n">
        <f aca="false">R2424/H2422</f>
        <v>504</v>
      </c>
      <c r="T2424" s="943"/>
      <c r="U2424" s="842"/>
    </row>
    <row r="2425" customFormat="false" ht="15" hidden="false" customHeight="true" outlineLevel="0" collapsed="false">
      <c r="A2425" s="847" t="n">
        <v>46</v>
      </c>
      <c r="B2425" s="847" t="s">
        <v>81</v>
      </c>
      <c r="C2425" s="847" t="n">
        <v>2024</v>
      </c>
      <c r="D2425" s="848" t="s">
        <v>17</v>
      </c>
      <c r="E2425" s="848" t="s">
        <v>2192</v>
      </c>
      <c r="F2425" s="848" t="s">
        <v>2199</v>
      </c>
      <c r="G2425" s="849"/>
      <c r="H2425" s="949" t="n">
        <v>80</v>
      </c>
      <c r="I2425" s="950"/>
      <c r="J2425" s="950"/>
      <c r="K2425" s="852" t="n">
        <f aca="false">H2425*I2425/100</f>
        <v>0</v>
      </c>
      <c r="L2425" s="537" t="n">
        <v>15020</v>
      </c>
      <c r="M2425" s="1007" t="n">
        <v>1</v>
      </c>
      <c r="N2425" s="537" t="n">
        <f aca="false">L2425*M2425</f>
        <v>15020</v>
      </c>
      <c r="O2425" s="953" t="n">
        <f aca="false">H2425*N2425</f>
        <v>1201600</v>
      </c>
      <c r="P2425" s="856" t="s">
        <v>2237</v>
      </c>
      <c r="Q2425" s="857" t="s">
        <v>2407</v>
      </c>
      <c r="R2425" s="854" t="n">
        <v>1201600</v>
      </c>
      <c r="S2425" s="854" t="n">
        <f aca="false">R2425/H2425</f>
        <v>15020</v>
      </c>
      <c r="T2425" s="953" t="n">
        <f aca="false">O2425-R2425</f>
        <v>0</v>
      </c>
      <c r="U2425" s="892" t="n">
        <f aca="false">N2425-S2425</f>
        <v>0</v>
      </c>
    </row>
    <row r="2426" customFormat="false" ht="15" hidden="false" customHeight="true" outlineLevel="0" collapsed="false">
      <c r="A2426" s="859" t="n">
        <v>54</v>
      </c>
      <c r="B2426" s="859" t="s">
        <v>2207</v>
      </c>
      <c r="C2426" s="859" t="n">
        <v>2024</v>
      </c>
      <c r="D2426" s="860" t="s">
        <v>17</v>
      </c>
      <c r="E2426" s="860" t="s">
        <v>2192</v>
      </c>
      <c r="F2426" s="860" t="s">
        <v>1651</v>
      </c>
      <c r="G2426" s="861"/>
      <c r="H2426" s="980" t="n">
        <v>26.8583</v>
      </c>
      <c r="I2426" s="981"/>
      <c r="J2426" s="981"/>
      <c r="K2426" s="852" t="n">
        <f aca="false">H2426*I2426/100</f>
        <v>0</v>
      </c>
      <c r="L2426" s="543" t="n">
        <v>8241</v>
      </c>
      <c r="M2426" s="983" t="n">
        <v>1</v>
      </c>
      <c r="N2426" s="537" t="n">
        <f aca="false">L2426*M2426</f>
        <v>8241</v>
      </c>
      <c r="O2426" s="953" t="n">
        <f aca="false">H2426*N2426</f>
        <v>221339.2503</v>
      </c>
      <c r="P2426" s="868" t="s">
        <v>2193</v>
      </c>
      <c r="Q2426" s="869" t="s">
        <v>3234</v>
      </c>
      <c r="R2426" s="866" t="n">
        <v>221339.2503</v>
      </c>
      <c r="S2426" s="866" t="n">
        <f aca="false">R2426/H2426</f>
        <v>8241</v>
      </c>
      <c r="T2426" s="953" t="n">
        <f aca="false">O2426-R2426</f>
        <v>0</v>
      </c>
      <c r="U2426" s="892" t="n">
        <f aca="false">N2426-S2426</f>
        <v>0</v>
      </c>
    </row>
    <row r="2427" customFormat="false" ht="15" hidden="false" customHeight="true" outlineLevel="0" collapsed="false">
      <c r="A2427" s="859" t="s">
        <v>3247</v>
      </c>
      <c r="B2427" s="859" t="s">
        <v>2207</v>
      </c>
      <c r="C2427" s="859" t="n">
        <v>2024</v>
      </c>
      <c r="D2427" s="860" t="s">
        <v>17</v>
      </c>
      <c r="E2427" s="860" t="s">
        <v>2192</v>
      </c>
      <c r="F2427" s="860" t="s">
        <v>1651</v>
      </c>
      <c r="G2427" s="861"/>
      <c r="H2427" s="980" t="n">
        <v>26.6643</v>
      </c>
      <c r="I2427" s="981"/>
      <c r="J2427" s="981"/>
      <c r="K2427" s="852" t="n">
        <f aca="false">H2427*I2427/100</f>
        <v>0</v>
      </c>
      <c r="L2427" s="543" t="n">
        <v>8706</v>
      </c>
      <c r="M2427" s="983" t="n">
        <v>1</v>
      </c>
      <c r="N2427" s="537" t="n">
        <f aca="false">L2427*M2427</f>
        <v>8706</v>
      </c>
      <c r="O2427" s="953" t="n">
        <f aca="false">H2427*N2427</f>
        <v>232139.3958</v>
      </c>
      <c r="P2427" s="868" t="s">
        <v>2197</v>
      </c>
      <c r="Q2427" s="869" t="s">
        <v>3248</v>
      </c>
      <c r="R2427" s="866" t="n">
        <v>232139.3958</v>
      </c>
      <c r="S2427" s="866" t="n">
        <f aca="false">R2427/H2427</f>
        <v>8706</v>
      </c>
      <c r="T2427" s="953" t="n">
        <f aca="false">O2427-R2427</f>
        <v>0</v>
      </c>
      <c r="U2427" s="892" t="n">
        <f aca="false">N2427-S2427</f>
        <v>0</v>
      </c>
    </row>
    <row r="2428" customFormat="false" ht="15" hidden="false" customHeight="true" outlineLevel="0" collapsed="false">
      <c r="A2428" s="870" t="n">
        <v>50</v>
      </c>
      <c r="B2428" s="870" t="s">
        <v>81</v>
      </c>
      <c r="C2428" s="870" t="n">
        <v>2024</v>
      </c>
      <c r="D2428" s="871" t="s">
        <v>17</v>
      </c>
      <c r="E2428" s="871" t="s">
        <v>2192</v>
      </c>
      <c r="F2428" s="871" t="s">
        <v>2199</v>
      </c>
      <c r="G2428" s="872"/>
      <c r="H2428" s="1116" t="n">
        <v>60.7</v>
      </c>
      <c r="I2428" s="1117"/>
      <c r="J2428" s="1117"/>
      <c r="K2428" s="939" t="n">
        <f aca="false">H2428*I2428/100</f>
        <v>0</v>
      </c>
      <c r="L2428" s="553" t="n">
        <v>19060</v>
      </c>
      <c r="M2428" s="1000" t="n">
        <v>1</v>
      </c>
      <c r="N2428" s="942" t="n">
        <f aca="false">L2428*M2428</f>
        <v>19060</v>
      </c>
      <c r="O2428" s="948" t="n">
        <f aca="false">H2428*N2428</f>
        <v>1156942</v>
      </c>
      <c r="P2428" s="879" t="s">
        <v>2237</v>
      </c>
      <c r="Q2428" s="880" t="s">
        <v>2395</v>
      </c>
      <c r="R2428" s="877" t="n">
        <v>1156942</v>
      </c>
      <c r="S2428" s="866" t="n">
        <f aca="false">R2428/H2428</f>
        <v>19060</v>
      </c>
      <c r="T2428" s="948" t="n">
        <f aca="false">O2428-R2428</f>
        <v>0</v>
      </c>
      <c r="U2428" s="1444" t="n">
        <f aca="false">N2428-S2428</f>
        <v>0</v>
      </c>
    </row>
    <row r="2429" customFormat="false" ht="15" hidden="false" customHeight="true" outlineLevel="0" collapsed="false">
      <c r="A2429" s="881" t="n">
        <v>45</v>
      </c>
      <c r="B2429" s="829" t="s">
        <v>86</v>
      </c>
      <c r="C2429" s="830" t="n">
        <v>2024</v>
      </c>
      <c r="D2429" s="831" t="s">
        <v>17</v>
      </c>
      <c r="E2429" s="831" t="s">
        <v>2192</v>
      </c>
      <c r="F2429" s="832" t="s">
        <v>1650</v>
      </c>
      <c r="G2429" s="833"/>
      <c r="H2429" s="834" t="n">
        <v>95.9</v>
      </c>
      <c r="I2429" s="1020" t="n">
        <v>85</v>
      </c>
      <c r="J2429" s="835"/>
      <c r="K2429" s="836" t="n">
        <f aca="false">H2429*I2429/100</f>
        <v>81.515</v>
      </c>
      <c r="L2429" s="837" t="n">
        <v>11276</v>
      </c>
      <c r="M2429" s="1003" t="n">
        <v>1</v>
      </c>
      <c r="N2429" s="837" t="n">
        <f aca="false">L2429*M2429</f>
        <v>11276</v>
      </c>
      <c r="O2429" s="943" t="n">
        <f aca="false">H2429*N2429</f>
        <v>1081368.4</v>
      </c>
      <c r="P2429" s="884" t="s">
        <v>2193</v>
      </c>
      <c r="Q2429" s="885" t="s">
        <v>111</v>
      </c>
      <c r="R2429" s="886" t="n">
        <v>383600</v>
      </c>
      <c r="S2429" s="886" t="n">
        <f aca="false">R2429/H2429</f>
        <v>4000</v>
      </c>
      <c r="T2429" s="837" t="n">
        <f aca="false">O2429-R2429-R2433-R2432-R2430-R2431</f>
        <v>1.45519152283669E-010</v>
      </c>
      <c r="U2429" s="842" t="n">
        <f aca="false">N2429-S2429-S2433-S2432-S2430-S2431</f>
        <v>0</v>
      </c>
    </row>
    <row r="2430" customFormat="false" ht="15" hidden="false" customHeight="true" outlineLevel="0" collapsed="false">
      <c r="A2430" s="881"/>
      <c r="B2430" s="829"/>
      <c r="C2430" s="830"/>
      <c r="D2430" s="848" t="s">
        <v>17</v>
      </c>
      <c r="E2430" s="848" t="s">
        <v>2192</v>
      </c>
      <c r="F2430" s="832"/>
      <c r="G2430" s="833"/>
      <c r="H2430" s="834"/>
      <c r="I2430" s="1020"/>
      <c r="J2430" s="835"/>
      <c r="K2430" s="836"/>
      <c r="L2430" s="837"/>
      <c r="M2430" s="1003"/>
      <c r="N2430" s="837"/>
      <c r="O2430" s="943"/>
      <c r="P2430" s="868" t="s">
        <v>2193</v>
      </c>
      <c r="Q2430" s="869" t="s">
        <v>2964</v>
      </c>
      <c r="R2430" s="866" t="n">
        <v>129465</v>
      </c>
      <c r="S2430" s="866" t="n">
        <f aca="false">R2430/H2429</f>
        <v>1350</v>
      </c>
      <c r="T2430" s="837"/>
      <c r="U2430" s="842"/>
    </row>
    <row r="2431" customFormat="false" ht="15" hidden="false" customHeight="true" outlineLevel="0" collapsed="false">
      <c r="A2431" s="881"/>
      <c r="B2431" s="829"/>
      <c r="C2431" s="830"/>
      <c r="D2431" s="848" t="s">
        <v>17</v>
      </c>
      <c r="E2431" s="848" t="s">
        <v>2192</v>
      </c>
      <c r="F2431" s="832"/>
      <c r="G2431" s="833"/>
      <c r="H2431" s="834"/>
      <c r="I2431" s="1020"/>
      <c r="J2431" s="835"/>
      <c r="K2431" s="836"/>
      <c r="L2431" s="837"/>
      <c r="M2431" s="1003"/>
      <c r="N2431" s="837"/>
      <c r="O2431" s="943"/>
      <c r="P2431" s="868" t="s">
        <v>2232</v>
      </c>
      <c r="Q2431" s="869" t="s">
        <v>3239</v>
      </c>
      <c r="R2431" s="866" t="n">
        <v>115655.4</v>
      </c>
      <c r="S2431" s="866" t="n">
        <f aca="false">R2431/H2429</f>
        <v>1206</v>
      </c>
      <c r="T2431" s="837"/>
      <c r="U2431" s="842"/>
    </row>
    <row r="2432" customFormat="false" ht="15" hidden="false" customHeight="true" outlineLevel="0" collapsed="false">
      <c r="A2432" s="881"/>
      <c r="B2432" s="829"/>
      <c r="C2432" s="830"/>
      <c r="D2432" s="860" t="s">
        <v>17</v>
      </c>
      <c r="E2432" s="860" t="s">
        <v>2192</v>
      </c>
      <c r="F2432" s="832"/>
      <c r="G2432" s="833"/>
      <c r="H2432" s="834"/>
      <c r="I2432" s="1020"/>
      <c r="J2432" s="835"/>
      <c r="K2432" s="836"/>
      <c r="L2432" s="837"/>
      <c r="M2432" s="1003"/>
      <c r="N2432" s="837"/>
      <c r="O2432" s="943"/>
      <c r="P2432" s="868" t="s">
        <v>2193</v>
      </c>
      <c r="Q2432" s="869" t="s">
        <v>3026</v>
      </c>
      <c r="R2432" s="866" t="n">
        <v>241668</v>
      </c>
      <c r="S2432" s="866" t="n">
        <f aca="false">R2432/H2429</f>
        <v>2520</v>
      </c>
      <c r="T2432" s="837"/>
      <c r="U2432" s="842"/>
    </row>
    <row r="2433" customFormat="false" ht="15" hidden="false" customHeight="true" outlineLevel="0" collapsed="false">
      <c r="A2433" s="881"/>
      <c r="B2433" s="829"/>
      <c r="C2433" s="830"/>
      <c r="D2433" s="887" t="s">
        <v>17</v>
      </c>
      <c r="E2433" s="887" t="s">
        <v>2192</v>
      </c>
      <c r="F2433" s="832"/>
      <c r="G2433" s="833"/>
      <c r="H2433" s="834"/>
      <c r="I2433" s="1020"/>
      <c r="J2433" s="835"/>
      <c r="K2433" s="836"/>
      <c r="L2433" s="837"/>
      <c r="M2433" s="1003"/>
      <c r="N2433" s="837"/>
      <c r="O2433" s="943"/>
      <c r="P2433" s="888" t="s">
        <v>2255</v>
      </c>
      <c r="Q2433" s="889" t="s">
        <v>2437</v>
      </c>
      <c r="R2433" s="890" t="n">
        <v>210980</v>
      </c>
      <c r="S2433" s="890" t="n">
        <f aca="false">R2433/H2429</f>
        <v>2200</v>
      </c>
      <c r="T2433" s="837"/>
      <c r="U2433" s="842"/>
    </row>
    <row r="2434" customFormat="false" ht="15" hidden="false" customHeight="true" outlineLevel="0" collapsed="false">
      <c r="A2434" s="881"/>
      <c r="B2434" s="847" t="s">
        <v>86</v>
      </c>
      <c r="C2434" s="847" t="n">
        <v>2024</v>
      </c>
      <c r="D2434" s="848" t="s">
        <v>17</v>
      </c>
      <c r="E2434" s="848" t="s">
        <v>2242</v>
      </c>
      <c r="F2434" s="848"/>
      <c r="G2434" s="849"/>
      <c r="H2434" s="949" t="n">
        <v>0</v>
      </c>
      <c r="I2434" s="950"/>
      <c r="J2434" s="950"/>
      <c r="K2434" s="852" t="n">
        <f aca="false">H2434*I2434/100</f>
        <v>0</v>
      </c>
      <c r="L2434" s="537" t="n">
        <v>217</v>
      </c>
      <c r="M2434" s="1007" t="n">
        <v>1</v>
      </c>
      <c r="N2434" s="537" t="n">
        <f aca="false">L2434*M2434</f>
        <v>217</v>
      </c>
      <c r="O2434" s="953" t="n">
        <f aca="false">H2434*N2434</f>
        <v>0</v>
      </c>
      <c r="P2434" s="856" t="s">
        <v>2232</v>
      </c>
      <c r="Q2434" s="857" t="s">
        <v>2391</v>
      </c>
      <c r="R2434" s="854" t="n">
        <v>0</v>
      </c>
      <c r="S2434" s="854" t="n">
        <v>217</v>
      </c>
      <c r="T2434" s="953" t="n">
        <f aca="false">O2434-R2434</f>
        <v>0</v>
      </c>
      <c r="U2434" s="892" t="n">
        <f aca="false">N2434-S2434</f>
        <v>0</v>
      </c>
    </row>
    <row r="2435" customFormat="false" ht="15" hidden="false" customHeight="true" outlineLevel="0" collapsed="false">
      <c r="A2435" s="881"/>
      <c r="B2435" s="859" t="s">
        <v>86</v>
      </c>
      <c r="C2435" s="859" t="n">
        <v>2024</v>
      </c>
      <c r="D2435" s="860" t="s">
        <v>17</v>
      </c>
      <c r="E2435" s="860" t="s">
        <v>2203</v>
      </c>
      <c r="F2435" s="860"/>
      <c r="G2435" s="861"/>
      <c r="H2435" s="980" t="n">
        <v>46.2</v>
      </c>
      <c r="I2435" s="981"/>
      <c r="J2435" s="981"/>
      <c r="K2435" s="852" t="n">
        <f aca="false">H2435*I2435/100</f>
        <v>0</v>
      </c>
      <c r="L2435" s="543" t="n">
        <v>198</v>
      </c>
      <c r="M2435" s="983" t="n">
        <v>1</v>
      </c>
      <c r="N2435" s="537" t="n">
        <f aca="false">L2435*M2435</f>
        <v>198</v>
      </c>
      <c r="O2435" s="953" t="n">
        <f aca="false">H2435*N2435</f>
        <v>9147.6</v>
      </c>
      <c r="P2435" s="868" t="s">
        <v>2232</v>
      </c>
      <c r="Q2435" s="869" t="s">
        <v>90</v>
      </c>
      <c r="R2435" s="866" t="n">
        <v>9147.6</v>
      </c>
      <c r="S2435" s="866" t="n">
        <f aca="false">R2435/H2435</f>
        <v>198</v>
      </c>
      <c r="T2435" s="953" t="n">
        <f aca="false">O2435-R2435</f>
        <v>0</v>
      </c>
      <c r="U2435" s="892" t="n">
        <f aca="false">N2435-S2435</f>
        <v>0</v>
      </c>
    </row>
    <row r="2436" customFormat="false" ht="15" hidden="false" customHeight="true" outlineLevel="0" collapsed="false">
      <c r="A2436" s="881"/>
      <c r="B2436" s="859" t="s">
        <v>86</v>
      </c>
      <c r="C2436" s="859" t="n">
        <v>2024</v>
      </c>
      <c r="D2436" s="860" t="s">
        <v>17</v>
      </c>
      <c r="E2436" s="860" t="s">
        <v>2241</v>
      </c>
      <c r="F2436" s="860"/>
      <c r="G2436" s="861"/>
      <c r="H2436" s="980" t="n">
        <v>4.8</v>
      </c>
      <c r="I2436" s="981"/>
      <c r="J2436" s="981"/>
      <c r="K2436" s="852" t="n">
        <f aca="false">H2436*I2436/100</f>
        <v>0</v>
      </c>
      <c r="L2436" s="543" t="n">
        <v>1455</v>
      </c>
      <c r="M2436" s="983" t="n">
        <v>1</v>
      </c>
      <c r="N2436" s="537" t="n">
        <f aca="false">L2436*M2436</f>
        <v>1455</v>
      </c>
      <c r="O2436" s="953" t="n">
        <f aca="false">H2436*N2436</f>
        <v>6984</v>
      </c>
      <c r="P2436" s="868" t="s">
        <v>2204</v>
      </c>
      <c r="Q2436" s="869" t="n">
        <v>22112024</v>
      </c>
      <c r="R2436" s="866" t="n">
        <v>6984</v>
      </c>
      <c r="S2436" s="866" t="n">
        <f aca="false">R2436/H2436</f>
        <v>1455</v>
      </c>
      <c r="T2436" s="953" t="n">
        <f aca="false">O2436-R2436</f>
        <v>0</v>
      </c>
      <c r="U2436" s="892" t="n">
        <f aca="false">N2436-S2436</f>
        <v>0</v>
      </c>
    </row>
    <row r="2437" customFormat="false" ht="15" hidden="false" customHeight="true" outlineLevel="0" collapsed="false">
      <c r="A2437" s="881"/>
      <c r="B2437" s="893" t="s">
        <v>86</v>
      </c>
      <c r="C2437" s="893" t="n">
        <v>2024</v>
      </c>
      <c r="D2437" s="843" t="s">
        <v>17</v>
      </c>
      <c r="E2437" s="843" t="s">
        <v>2205</v>
      </c>
      <c r="F2437" s="843"/>
      <c r="G2437" s="894"/>
      <c r="H2437" s="1103" t="n">
        <v>13.7</v>
      </c>
      <c r="I2437" s="1104"/>
      <c r="J2437" s="1104"/>
      <c r="K2437" s="1064" t="n">
        <f aca="false">H2437*I2437/100</f>
        <v>0</v>
      </c>
      <c r="L2437" s="589" t="n">
        <v>1268</v>
      </c>
      <c r="M2437" s="1106" t="n">
        <v>1</v>
      </c>
      <c r="N2437" s="1067" t="n">
        <f aca="false">L2437*M2437</f>
        <v>1268</v>
      </c>
      <c r="O2437" s="1452" t="n">
        <f aca="false">H2437*N2437</f>
        <v>17371.6</v>
      </c>
      <c r="P2437" s="844" t="s">
        <v>2204</v>
      </c>
      <c r="Q2437" s="900" t="s">
        <v>2398</v>
      </c>
      <c r="R2437" s="846" t="n">
        <v>17371.6</v>
      </c>
      <c r="S2437" s="890" t="n">
        <f aca="false">R2437/H2437</f>
        <v>1268</v>
      </c>
      <c r="T2437" s="1452" t="n">
        <f aca="false">O2437-R2437</f>
        <v>0</v>
      </c>
      <c r="U2437" s="1070" t="n">
        <f aca="false">N2437-S2437</f>
        <v>0</v>
      </c>
    </row>
    <row r="2438" customFormat="false" ht="15" hidden="false" customHeight="true" outlineLevel="0" collapsed="false">
      <c r="A2438" s="903" t="n">
        <v>60</v>
      </c>
      <c r="B2438" s="903" t="s">
        <v>2207</v>
      </c>
      <c r="C2438" s="903" t="n">
        <v>2024</v>
      </c>
      <c r="D2438" s="904" t="s">
        <v>17</v>
      </c>
      <c r="E2438" s="904" t="s">
        <v>2192</v>
      </c>
      <c r="F2438" s="904" t="s">
        <v>1651</v>
      </c>
      <c r="G2438" s="905"/>
      <c r="H2438" s="946" t="n">
        <v>28.4358</v>
      </c>
      <c r="I2438" s="947"/>
      <c r="J2438" s="947"/>
      <c r="K2438" s="939" t="n">
        <f aca="false">H2438*I2438/100</f>
        <v>0</v>
      </c>
      <c r="L2438" s="942" t="n">
        <v>13490</v>
      </c>
      <c r="M2438" s="1023" t="n">
        <v>1</v>
      </c>
      <c r="N2438" s="942" t="n">
        <f aca="false">L2438*M2438</f>
        <v>13490</v>
      </c>
      <c r="O2438" s="948" t="n">
        <f aca="false">H2438*N2438</f>
        <v>383598.942</v>
      </c>
      <c r="P2438" s="910" t="s">
        <v>2193</v>
      </c>
      <c r="Q2438" s="911" t="s">
        <v>3236</v>
      </c>
      <c r="R2438" s="891" t="n">
        <v>383598.942</v>
      </c>
      <c r="S2438" s="891" t="n">
        <f aca="false">R2438/H2438</f>
        <v>13490</v>
      </c>
      <c r="T2438" s="948" t="n">
        <f aca="false">O2438-R2438</f>
        <v>0</v>
      </c>
      <c r="U2438" s="942" t="n">
        <f aca="false">N2438-S2438</f>
        <v>0</v>
      </c>
    </row>
    <row r="2439" customFormat="false" ht="15" hidden="false" customHeight="true" outlineLevel="0" collapsed="false">
      <c r="A2439" s="829" t="s">
        <v>3249</v>
      </c>
      <c r="B2439" s="1546" t="s">
        <v>2207</v>
      </c>
      <c r="C2439" s="1546" t="n">
        <v>2024</v>
      </c>
      <c r="D2439" s="831" t="s">
        <v>17</v>
      </c>
      <c r="E2439" s="831" t="s">
        <v>2192</v>
      </c>
      <c r="F2439" s="1607" t="s">
        <v>1651</v>
      </c>
      <c r="G2439" s="1030"/>
      <c r="H2439" s="1031" t="n">
        <v>28.1114</v>
      </c>
      <c r="I2439" s="1032"/>
      <c r="J2439" s="1032"/>
      <c r="K2439" s="1033" t="n">
        <f aca="false">H2439*I2439/100</f>
        <v>0</v>
      </c>
      <c r="L2439" s="1036" t="n">
        <v>14270</v>
      </c>
      <c r="M2439" s="1035" t="n">
        <v>1</v>
      </c>
      <c r="N2439" s="1036" t="n">
        <f aca="false">L2439*M2439</f>
        <v>14270</v>
      </c>
      <c r="O2439" s="1547" t="n">
        <f aca="false">H2439*N2439</f>
        <v>401149.678</v>
      </c>
      <c r="P2439" s="838" t="s">
        <v>2197</v>
      </c>
      <c r="Q2439" s="839" t="s">
        <v>3250</v>
      </c>
      <c r="R2439" s="840" t="n">
        <v>2811.14</v>
      </c>
      <c r="S2439" s="840" t="n">
        <f aca="false">R2439/H2439</f>
        <v>100</v>
      </c>
      <c r="T2439" s="1547" t="n">
        <f aca="false">O2439-R2439-R2442-R2443-R2440-R2441</f>
        <v>0</v>
      </c>
      <c r="U2439" s="1037" t="n">
        <f aca="false">N2439-S2439-S2442-S2443-S2440-S2441</f>
        <v>0</v>
      </c>
    </row>
    <row r="2440" customFormat="false" ht="15" hidden="false" customHeight="true" outlineLevel="0" collapsed="false">
      <c r="A2440" s="829"/>
      <c r="B2440" s="1546"/>
      <c r="C2440" s="1546"/>
      <c r="D2440" s="860" t="s">
        <v>17</v>
      </c>
      <c r="E2440" s="860" t="s">
        <v>2192</v>
      </c>
      <c r="F2440" s="1607"/>
      <c r="G2440" s="1030"/>
      <c r="H2440" s="1031"/>
      <c r="I2440" s="1032"/>
      <c r="J2440" s="1032"/>
      <c r="K2440" s="1033"/>
      <c r="L2440" s="1036"/>
      <c r="M2440" s="1035"/>
      <c r="N2440" s="1036"/>
      <c r="O2440" s="1547"/>
      <c r="P2440" s="868" t="s">
        <v>2197</v>
      </c>
      <c r="Q2440" s="869" t="s">
        <v>3251</v>
      </c>
      <c r="R2440" s="866" t="n">
        <v>280832.886</v>
      </c>
      <c r="S2440" s="866" t="n">
        <f aca="false">R2440/H2439</f>
        <v>9990</v>
      </c>
      <c r="T2440" s="1547"/>
      <c r="U2440" s="1037"/>
    </row>
    <row r="2441" customFormat="false" ht="15" hidden="false" customHeight="true" outlineLevel="0" collapsed="false">
      <c r="A2441" s="829"/>
      <c r="B2441" s="1546"/>
      <c r="C2441" s="1546"/>
      <c r="D2441" s="860" t="s">
        <v>17</v>
      </c>
      <c r="E2441" s="860" t="s">
        <v>2192</v>
      </c>
      <c r="F2441" s="1607"/>
      <c r="G2441" s="1030"/>
      <c r="H2441" s="1031"/>
      <c r="I2441" s="1032"/>
      <c r="J2441" s="1032"/>
      <c r="K2441" s="1033"/>
      <c r="L2441" s="1036"/>
      <c r="M2441" s="1035"/>
      <c r="N2441" s="1036"/>
      <c r="O2441" s="1547"/>
      <c r="P2441" s="868" t="s">
        <v>2197</v>
      </c>
      <c r="Q2441" s="869" t="s">
        <v>3252</v>
      </c>
      <c r="R2441" s="866" t="n">
        <v>49757.178</v>
      </c>
      <c r="S2441" s="866" t="n">
        <f aca="false">R2441/H2439</f>
        <v>1770</v>
      </c>
      <c r="T2441" s="1547"/>
      <c r="U2441" s="1037"/>
    </row>
    <row r="2442" customFormat="false" ht="15" hidden="false" customHeight="true" outlineLevel="0" collapsed="false">
      <c r="A2442" s="829"/>
      <c r="B2442" s="1546"/>
      <c r="C2442" s="1546"/>
      <c r="D2442" s="860" t="s">
        <v>17</v>
      </c>
      <c r="E2442" s="860" t="s">
        <v>2192</v>
      </c>
      <c r="F2442" s="1607"/>
      <c r="G2442" s="1030"/>
      <c r="H2442" s="1031"/>
      <c r="I2442" s="1032"/>
      <c r="J2442" s="1032"/>
      <c r="K2442" s="1033"/>
      <c r="L2442" s="1036"/>
      <c r="M2442" s="1035"/>
      <c r="N2442" s="1036"/>
      <c r="O2442" s="1547"/>
      <c r="P2442" s="868" t="s">
        <v>2197</v>
      </c>
      <c r="Q2442" s="869" t="s">
        <v>3253</v>
      </c>
      <c r="R2442" s="866" t="n">
        <v>2811.14</v>
      </c>
      <c r="S2442" s="866" t="n">
        <f aca="false">R2442/H2439</f>
        <v>100</v>
      </c>
      <c r="T2442" s="1547"/>
      <c r="U2442" s="1037"/>
    </row>
    <row r="2443" customFormat="false" ht="15" hidden="false" customHeight="true" outlineLevel="0" collapsed="false">
      <c r="A2443" s="829"/>
      <c r="B2443" s="1546"/>
      <c r="C2443" s="1546"/>
      <c r="D2443" s="871" t="s">
        <v>17</v>
      </c>
      <c r="E2443" s="871" t="s">
        <v>2192</v>
      </c>
      <c r="F2443" s="1607"/>
      <c r="G2443" s="1030"/>
      <c r="H2443" s="1031"/>
      <c r="I2443" s="1032"/>
      <c r="J2443" s="1032"/>
      <c r="K2443" s="1033"/>
      <c r="L2443" s="1036"/>
      <c r="M2443" s="1035"/>
      <c r="N2443" s="1036"/>
      <c r="O2443" s="1547"/>
      <c r="P2443" s="879" t="s">
        <v>2197</v>
      </c>
      <c r="Q2443" s="880" t="s">
        <v>3254</v>
      </c>
      <c r="R2443" s="877" t="n">
        <v>64937.334</v>
      </c>
      <c r="S2443" s="877" t="n">
        <f aca="false">R2443/H2439</f>
        <v>2310</v>
      </c>
      <c r="T2443" s="1547"/>
      <c r="U2443" s="1037"/>
    </row>
    <row r="2444" customFormat="false" ht="15" hidden="false" customHeight="true" outlineLevel="0" collapsed="false">
      <c r="A2444" s="881" t="n">
        <v>48</v>
      </c>
      <c r="B2444" s="829" t="s">
        <v>86</v>
      </c>
      <c r="C2444" s="830" t="n">
        <v>2024</v>
      </c>
      <c r="D2444" s="831" t="s">
        <v>17</v>
      </c>
      <c r="E2444" s="831" t="s">
        <v>2192</v>
      </c>
      <c r="F2444" s="832" t="s">
        <v>1650</v>
      </c>
      <c r="G2444" s="833"/>
      <c r="H2444" s="834" t="n">
        <v>93.7</v>
      </c>
      <c r="I2444" s="1020" t="n">
        <v>91</v>
      </c>
      <c r="J2444" s="835"/>
      <c r="K2444" s="836" t="n">
        <f aca="false">H2444*I2444/100</f>
        <v>85.267</v>
      </c>
      <c r="L2444" s="837" t="n">
        <v>9790</v>
      </c>
      <c r="M2444" s="1003" t="n">
        <v>1</v>
      </c>
      <c r="N2444" s="837" t="n">
        <f aca="false">L2444*M2444</f>
        <v>9790</v>
      </c>
      <c r="O2444" s="943" t="n">
        <f aca="false">H2444*N2444</f>
        <v>917323</v>
      </c>
      <c r="P2444" s="838" t="s">
        <v>2232</v>
      </c>
      <c r="Q2444" s="839" t="s">
        <v>3239</v>
      </c>
      <c r="R2444" s="840" t="n">
        <v>28110</v>
      </c>
      <c r="S2444" s="840" t="n">
        <f aca="false">R2444/H2444</f>
        <v>300</v>
      </c>
      <c r="T2444" s="943" t="n">
        <f aca="false">O2444-R2444-R2445</f>
        <v>0</v>
      </c>
      <c r="U2444" s="842" t="n">
        <f aca="false">N2444-S2444-S2445</f>
        <v>0</v>
      </c>
    </row>
    <row r="2445" customFormat="false" ht="15" hidden="false" customHeight="true" outlineLevel="0" collapsed="false">
      <c r="A2445" s="881"/>
      <c r="B2445" s="829"/>
      <c r="C2445" s="830"/>
      <c r="D2445" s="843" t="s">
        <v>17</v>
      </c>
      <c r="E2445" s="843" t="s">
        <v>2192</v>
      </c>
      <c r="F2445" s="832"/>
      <c r="G2445" s="833"/>
      <c r="H2445" s="834"/>
      <c r="I2445" s="1020"/>
      <c r="J2445" s="835"/>
      <c r="K2445" s="836"/>
      <c r="L2445" s="837"/>
      <c r="M2445" s="1003"/>
      <c r="N2445" s="837"/>
      <c r="O2445" s="943"/>
      <c r="P2445" s="844" t="s">
        <v>2193</v>
      </c>
      <c r="Q2445" s="845" t="s">
        <v>2969</v>
      </c>
      <c r="R2445" s="846" t="n">
        <v>889213</v>
      </c>
      <c r="S2445" s="846" t="n">
        <f aca="false">R2445/H2444</f>
        <v>9490</v>
      </c>
      <c r="T2445" s="943"/>
      <c r="U2445" s="842"/>
    </row>
    <row r="2446" customFormat="false" ht="15" hidden="false" customHeight="true" outlineLevel="0" collapsed="false">
      <c r="A2446" s="881"/>
      <c r="B2446" s="829" t="s">
        <v>86</v>
      </c>
      <c r="C2446" s="830" t="n">
        <v>2024</v>
      </c>
      <c r="D2446" s="831" t="s">
        <v>17</v>
      </c>
      <c r="E2446" s="831" t="s">
        <v>2203</v>
      </c>
      <c r="F2446" s="830"/>
      <c r="G2446" s="833"/>
      <c r="H2446" s="834" t="n">
        <v>62.3</v>
      </c>
      <c r="I2446" s="835"/>
      <c r="J2446" s="835"/>
      <c r="K2446" s="836" t="n">
        <f aca="false">H2446*I2446/100</f>
        <v>0</v>
      </c>
      <c r="L2446" s="837" t="n">
        <v>1193</v>
      </c>
      <c r="M2446" s="1003" t="n">
        <v>1</v>
      </c>
      <c r="N2446" s="837" t="n">
        <f aca="false">L2446*M2446</f>
        <v>1193</v>
      </c>
      <c r="O2446" s="943" t="n">
        <f aca="false">H2446*N2446</f>
        <v>74323.9</v>
      </c>
      <c r="P2446" s="838" t="s">
        <v>2232</v>
      </c>
      <c r="Q2446" s="839" t="s">
        <v>92</v>
      </c>
      <c r="R2446" s="840" t="n">
        <v>31150</v>
      </c>
      <c r="S2446" s="886" t="n">
        <f aca="false">R2446/H2446</f>
        <v>500</v>
      </c>
      <c r="T2446" s="943" t="n">
        <f aca="false">O2446-R2446-R2449-R2448-R2447</f>
        <v>0</v>
      </c>
      <c r="U2446" s="842" t="n">
        <f aca="false">N2446-S2446-S2449-S2448-S2447</f>
        <v>0</v>
      </c>
    </row>
    <row r="2447" customFormat="false" ht="15" hidden="false" customHeight="true" outlineLevel="0" collapsed="false">
      <c r="A2447" s="881"/>
      <c r="B2447" s="829"/>
      <c r="C2447" s="830"/>
      <c r="D2447" s="860" t="s">
        <v>17</v>
      </c>
      <c r="E2447" s="860" t="s">
        <v>2203</v>
      </c>
      <c r="F2447" s="830"/>
      <c r="G2447" s="833"/>
      <c r="H2447" s="834"/>
      <c r="I2447" s="835"/>
      <c r="J2447" s="835"/>
      <c r="K2447" s="836"/>
      <c r="L2447" s="837"/>
      <c r="M2447" s="1003"/>
      <c r="N2447" s="837"/>
      <c r="O2447" s="943"/>
      <c r="P2447" s="868" t="s">
        <v>2195</v>
      </c>
      <c r="Q2447" s="869" t="s">
        <v>1375</v>
      </c>
      <c r="R2447" s="866" t="n">
        <v>12460</v>
      </c>
      <c r="S2447" s="866" t="n">
        <f aca="false">R2447/H2446</f>
        <v>200</v>
      </c>
      <c r="T2447" s="943"/>
      <c r="U2447" s="842"/>
    </row>
    <row r="2448" customFormat="false" ht="15" hidden="false" customHeight="true" outlineLevel="0" collapsed="false">
      <c r="A2448" s="881"/>
      <c r="B2448" s="829"/>
      <c r="C2448" s="830"/>
      <c r="D2448" s="860" t="s">
        <v>17</v>
      </c>
      <c r="E2448" s="860" t="s">
        <v>2203</v>
      </c>
      <c r="F2448" s="830"/>
      <c r="G2448" s="833"/>
      <c r="H2448" s="834"/>
      <c r="I2448" s="835"/>
      <c r="J2448" s="835"/>
      <c r="K2448" s="836"/>
      <c r="L2448" s="837"/>
      <c r="M2448" s="1003"/>
      <c r="N2448" s="837"/>
      <c r="O2448" s="943"/>
      <c r="P2448" s="868" t="s">
        <v>2232</v>
      </c>
      <c r="Q2448" s="869" t="s">
        <v>2440</v>
      </c>
      <c r="R2448" s="866" t="n">
        <v>9531.9</v>
      </c>
      <c r="S2448" s="866" t="n">
        <f aca="false">R2448/H2446</f>
        <v>153</v>
      </c>
      <c r="T2448" s="943"/>
      <c r="U2448" s="842"/>
    </row>
    <row r="2449" customFormat="false" ht="15" hidden="false" customHeight="true" outlineLevel="0" collapsed="false">
      <c r="A2449" s="881"/>
      <c r="B2449" s="829"/>
      <c r="C2449" s="830"/>
      <c r="D2449" s="843" t="s">
        <v>17</v>
      </c>
      <c r="E2449" s="843" t="s">
        <v>2203</v>
      </c>
      <c r="F2449" s="830"/>
      <c r="G2449" s="833"/>
      <c r="H2449" s="834"/>
      <c r="I2449" s="835"/>
      <c r="J2449" s="835"/>
      <c r="K2449" s="836"/>
      <c r="L2449" s="837"/>
      <c r="M2449" s="1003"/>
      <c r="N2449" s="837"/>
      <c r="O2449" s="943"/>
      <c r="P2449" s="844" t="s">
        <v>2232</v>
      </c>
      <c r="Q2449" s="845" t="s">
        <v>90</v>
      </c>
      <c r="R2449" s="846" t="n">
        <v>21182</v>
      </c>
      <c r="S2449" s="846" t="n">
        <f aca="false">R2449/H2446</f>
        <v>340</v>
      </c>
      <c r="T2449" s="943"/>
      <c r="U2449" s="842"/>
    </row>
    <row r="2450" customFormat="false" ht="15" hidden="false" customHeight="true" outlineLevel="0" collapsed="false">
      <c r="A2450" s="881"/>
      <c r="B2450" s="847" t="s">
        <v>86</v>
      </c>
      <c r="C2450" s="847" t="n">
        <v>2024</v>
      </c>
      <c r="D2450" s="848" t="s">
        <v>17</v>
      </c>
      <c r="E2450" s="848" t="s">
        <v>2241</v>
      </c>
      <c r="F2450" s="848"/>
      <c r="G2450" s="849"/>
      <c r="H2450" s="949" t="n">
        <v>11.1</v>
      </c>
      <c r="I2450" s="950"/>
      <c r="J2450" s="950"/>
      <c r="K2450" s="852" t="n">
        <f aca="false">H2450*I2450/100</f>
        <v>0</v>
      </c>
      <c r="L2450" s="537" t="n">
        <v>3910</v>
      </c>
      <c r="M2450" s="1007" t="n">
        <v>1</v>
      </c>
      <c r="N2450" s="537" t="n">
        <f aca="false">L2450*M2450</f>
        <v>3910</v>
      </c>
      <c r="O2450" s="953" t="n">
        <f aca="false">H2450*N2450</f>
        <v>43401</v>
      </c>
      <c r="P2450" s="856" t="s">
        <v>2204</v>
      </c>
      <c r="Q2450" s="857" t="n">
        <v>22112024</v>
      </c>
      <c r="R2450" s="854" t="n">
        <v>43401</v>
      </c>
      <c r="S2450" s="854" t="n">
        <f aca="false">R2450/H2450</f>
        <v>3910</v>
      </c>
      <c r="T2450" s="953" t="n">
        <f aca="false">O2450-R2450</f>
        <v>0</v>
      </c>
      <c r="U2450" s="892" t="n">
        <f aca="false">N2450-S2450</f>
        <v>0</v>
      </c>
    </row>
    <row r="2451" customFormat="false" ht="15" hidden="false" customHeight="true" outlineLevel="0" collapsed="false">
      <c r="A2451" s="881"/>
      <c r="B2451" s="893" t="s">
        <v>86</v>
      </c>
      <c r="C2451" s="893" t="n">
        <v>2024</v>
      </c>
      <c r="D2451" s="843" t="s">
        <v>17</v>
      </c>
      <c r="E2451" s="843" t="s">
        <v>2205</v>
      </c>
      <c r="F2451" s="843"/>
      <c r="G2451" s="894"/>
      <c r="H2451" s="1103" t="n">
        <v>11.5</v>
      </c>
      <c r="I2451" s="1104"/>
      <c r="J2451" s="1104"/>
      <c r="K2451" s="897" t="n">
        <f aca="false">H2451*I2451/100</f>
        <v>0</v>
      </c>
      <c r="L2451" s="589" t="n">
        <v>3846</v>
      </c>
      <c r="M2451" s="1106" t="n">
        <v>1</v>
      </c>
      <c r="N2451" s="589" t="n">
        <f aca="false">L2451*M2451</f>
        <v>3846</v>
      </c>
      <c r="O2451" s="1183" t="n">
        <f aca="false">H2451*N2451</f>
        <v>44229</v>
      </c>
      <c r="P2451" s="844" t="s">
        <v>2204</v>
      </c>
      <c r="Q2451" s="845" t="n">
        <v>22112024</v>
      </c>
      <c r="R2451" s="846" t="n">
        <v>44229</v>
      </c>
      <c r="S2451" s="846" t="n">
        <f aca="false">R2451/H2451</f>
        <v>3846</v>
      </c>
      <c r="T2451" s="1183" t="n">
        <f aca="false">O2451-R2451</f>
        <v>0</v>
      </c>
      <c r="U2451" s="902" t="n">
        <f aca="false">N2451-S2451</f>
        <v>0</v>
      </c>
    </row>
    <row r="2452" customFormat="false" ht="15" hidden="false" customHeight="true" outlineLevel="0" collapsed="false">
      <c r="A2452" s="1087" t="n">
        <v>5</v>
      </c>
      <c r="B2452" s="1061" t="s">
        <v>2278</v>
      </c>
      <c r="C2452" s="1061" t="n">
        <v>2024</v>
      </c>
      <c r="D2452" s="848" t="s">
        <v>17</v>
      </c>
      <c r="E2452" s="848" t="s">
        <v>2192</v>
      </c>
      <c r="F2452" s="887" t="s">
        <v>1650</v>
      </c>
      <c r="G2452" s="1062"/>
      <c r="H2452" s="1077" t="n">
        <v>86.1074</v>
      </c>
      <c r="I2452" s="1086"/>
      <c r="J2452" s="1086"/>
      <c r="K2452" s="1064" t="n">
        <f aca="false">H2452*I2452/100</f>
        <v>0</v>
      </c>
      <c r="L2452" s="1067" t="n">
        <v>3481</v>
      </c>
      <c r="M2452" s="1066" t="n">
        <v>1</v>
      </c>
      <c r="N2452" s="1067" t="n">
        <f aca="false">L2452*M2452</f>
        <v>3481</v>
      </c>
      <c r="O2452" s="1452" t="n">
        <f aca="false">H2452*N2452</f>
        <v>299739.8594</v>
      </c>
      <c r="P2452" s="856" t="s">
        <v>2232</v>
      </c>
      <c r="Q2452" s="857" t="s">
        <v>92</v>
      </c>
      <c r="R2452" s="854" t="n">
        <v>60275.18</v>
      </c>
      <c r="S2452" s="854" t="n">
        <f aca="false">R2452/H2452</f>
        <v>700</v>
      </c>
      <c r="T2452" s="1452" t="n">
        <f aca="false">O2452-R2452-R2453</f>
        <v>0</v>
      </c>
      <c r="U2452" s="1070" t="n">
        <f aca="false">N2452-S2452-S2453</f>
        <v>0</v>
      </c>
    </row>
    <row r="2453" customFormat="false" ht="15" hidden="false" customHeight="true" outlineLevel="0" collapsed="false">
      <c r="A2453" s="1087"/>
      <c r="B2453" s="1061"/>
      <c r="C2453" s="1061"/>
      <c r="D2453" s="843" t="s">
        <v>17</v>
      </c>
      <c r="E2453" s="843" t="s">
        <v>2192</v>
      </c>
      <c r="F2453" s="887"/>
      <c r="G2453" s="1062"/>
      <c r="H2453" s="1077"/>
      <c r="I2453" s="1086"/>
      <c r="J2453" s="1086"/>
      <c r="K2453" s="1064"/>
      <c r="L2453" s="1067"/>
      <c r="M2453" s="1066"/>
      <c r="N2453" s="1067"/>
      <c r="O2453" s="1452"/>
      <c r="P2453" s="844" t="s">
        <v>2232</v>
      </c>
      <c r="Q2453" s="845" t="s">
        <v>90</v>
      </c>
      <c r="R2453" s="846" t="n">
        <v>239464.6794</v>
      </c>
      <c r="S2453" s="846" t="n">
        <f aca="false">R2453/H2452</f>
        <v>2781</v>
      </c>
      <c r="T2453" s="1452"/>
      <c r="U2453" s="1070"/>
    </row>
    <row r="2454" customFormat="false" ht="15" hidden="false" customHeight="true" outlineLevel="0" collapsed="false">
      <c r="A2454" s="847" t="n">
        <v>73</v>
      </c>
      <c r="B2454" s="847" t="s">
        <v>2207</v>
      </c>
      <c r="C2454" s="847" t="n">
        <v>2024</v>
      </c>
      <c r="D2454" s="848" t="s">
        <v>17</v>
      </c>
      <c r="E2454" s="848" t="s">
        <v>2192</v>
      </c>
      <c r="F2454" s="848" t="s">
        <v>1652</v>
      </c>
      <c r="G2454" s="849"/>
      <c r="H2454" s="949" t="n">
        <v>38.7164</v>
      </c>
      <c r="I2454" s="950"/>
      <c r="J2454" s="950"/>
      <c r="K2454" s="852" t="n">
        <f aca="false">H2454*I2454/100</f>
        <v>0</v>
      </c>
      <c r="L2454" s="537" t="n">
        <v>6242</v>
      </c>
      <c r="M2454" s="1007" t="n">
        <v>1</v>
      </c>
      <c r="N2454" s="537" t="n">
        <f aca="false">L2454*M2454</f>
        <v>6242</v>
      </c>
      <c r="O2454" s="953" t="n">
        <f aca="false">H2454*N2454</f>
        <v>241667.7688</v>
      </c>
      <c r="P2454" s="856" t="s">
        <v>2193</v>
      </c>
      <c r="Q2454" s="857" t="s">
        <v>3237</v>
      </c>
      <c r="R2454" s="854" t="n">
        <v>241667.7688</v>
      </c>
      <c r="S2454" s="854" t="n">
        <f aca="false">R2454/H2454</f>
        <v>6242</v>
      </c>
      <c r="T2454" s="953" t="n">
        <f aca="false">O2454-R2454</f>
        <v>0</v>
      </c>
      <c r="U2454" s="537" t="n">
        <f aca="false">N2454-S2454</f>
        <v>0</v>
      </c>
    </row>
    <row r="2455" customFormat="false" ht="15" hidden="false" customHeight="true" outlineLevel="0" collapsed="false">
      <c r="A2455" s="859" t="s">
        <v>3255</v>
      </c>
      <c r="B2455" s="859" t="s">
        <v>2207</v>
      </c>
      <c r="C2455" s="859" t="n">
        <v>2024</v>
      </c>
      <c r="D2455" s="860" t="s">
        <v>17</v>
      </c>
      <c r="E2455" s="860" t="s">
        <v>2192</v>
      </c>
      <c r="F2455" s="860" t="s">
        <v>1652</v>
      </c>
      <c r="G2455" s="861"/>
      <c r="H2455" s="980" t="n">
        <v>40.6088</v>
      </c>
      <c r="I2455" s="981"/>
      <c r="J2455" s="981"/>
      <c r="K2455" s="864" t="n">
        <f aca="false">H2455*I2455/100</f>
        <v>0</v>
      </c>
      <c r="L2455" s="543" t="n">
        <v>6242</v>
      </c>
      <c r="M2455" s="983" t="n">
        <v>1</v>
      </c>
      <c r="N2455" s="543" t="n">
        <f aca="false">L2455*M2455</f>
        <v>6242</v>
      </c>
      <c r="O2455" s="1449" t="n">
        <f aca="false">H2455*N2455</f>
        <v>253480.1296</v>
      </c>
      <c r="P2455" s="868" t="s">
        <v>2197</v>
      </c>
      <c r="Q2455" s="869" t="s">
        <v>3256</v>
      </c>
      <c r="R2455" s="866" t="n">
        <v>253480.1296</v>
      </c>
      <c r="S2455" s="854" t="n">
        <f aca="false">R2455/H2455</f>
        <v>6242</v>
      </c>
      <c r="T2455" s="1449" t="n">
        <f aca="false">O2455-R2455</f>
        <v>0</v>
      </c>
      <c r="U2455" s="543" t="n">
        <f aca="false">N2455-S2455</f>
        <v>0</v>
      </c>
    </row>
    <row r="2456" customFormat="false" ht="15" hidden="false" customHeight="true" outlineLevel="0" collapsed="false">
      <c r="A2456" s="870" t="n">
        <v>74</v>
      </c>
      <c r="B2456" s="870" t="s">
        <v>2207</v>
      </c>
      <c r="C2456" s="870" t="n">
        <v>2024</v>
      </c>
      <c r="D2456" s="871" t="s">
        <v>17</v>
      </c>
      <c r="E2456" s="871" t="s">
        <v>2192</v>
      </c>
      <c r="F2456" s="871" t="s">
        <v>1651</v>
      </c>
      <c r="G2456" s="872"/>
      <c r="H2456" s="1116" t="n">
        <v>32.1652</v>
      </c>
      <c r="I2456" s="1117"/>
      <c r="J2456" s="1117"/>
      <c r="K2456" s="875" t="n">
        <f aca="false">H2456*I2456/100</f>
        <v>0</v>
      </c>
      <c r="L2456" s="553" t="n">
        <v>4025</v>
      </c>
      <c r="M2456" s="1000" t="n">
        <v>1</v>
      </c>
      <c r="N2456" s="553" t="n">
        <f aca="false">L2456*M2456</f>
        <v>4025</v>
      </c>
      <c r="O2456" s="1403" t="n">
        <f aca="false">H2456*N2456</f>
        <v>129464.93</v>
      </c>
      <c r="P2456" s="879" t="s">
        <v>2193</v>
      </c>
      <c r="Q2456" s="880" t="s">
        <v>3257</v>
      </c>
      <c r="R2456" s="877" t="n">
        <v>129464.93</v>
      </c>
      <c r="S2456" s="891" t="n">
        <f aca="false">R2456/H2456</f>
        <v>4025</v>
      </c>
      <c r="T2456" s="1403" t="n">
        <f aca="false">O2456-R2456</f>
        <v>0</v>
      </c>
      <c r="U2456" s="553" t="n">
        <f aca="false">N2456-S2456</f>
        <v>0</v>
      </c>
    </row>
    <row r="2457" customFormat="false" ht="15" hidden="false" customHeight="true" outlineLevel="0" collapsed="false">
      <c r="A2457" s="829" t="s">
        <v>3258</v>
      </c>
      <c r="B2457" s="830" t="s">
        <v>2207</v>
      </c>
      <c r="C2457" s="830" t="n">
        <v>2024</v>
      </c>
      <c r="D2457" s="831" t="s">
        <v>17</v>
      </c>
      <c r="E2457" s="831" t="s">
        <v>2192</v>
      </c>
      <c r="F2457" s="832" t="s">
        <v>1651</v>
      </c>
      <c r="G2457" s="833"/>
      <c r="H2457" s="834" t="n">
        <v>31.2519</v>
      </c>
      <c r="I2457" s="835"/>
      <c r="J2457" s="835"/>
      <c r="K2457" s="836" t="n">
        <f aca="false">H2457*I2457/100</f>
        <v>0</v>
      </c>
      <c r="L2457" s="837" t="n">
        <v>4445</v>
      </c>
      <c r="M2457" s="1003" t="n">
        <v>1</v>
      </c>
      <c r="N2457" s="837" t="n">
        <f aca="false">L2457*M2457</f>
        <v>4445</v>
      </c>
      <c r="O2457" s="943" t="n">
        <f aca="false">H2457*N2457</f>
        <v>138914.6955</v>
      </c>
      <c r="P2457" s="838" t="s">
        <v>2197</v>
      </c>
      <c r="Q2457" s="839" t="s">
        <v>3259</v>
      </c>
      <c r="R2457" s="840" t="n">
        <v>71254.332</v>
      </c>
      <c r="S2457" s="840" t="n">
        <f aca="false">R2457/H2457</f>
        <v>2280</v>
      </c>
      <c r="T2457" s="943" t="n">
        <f aca="false">O2457-R2457-R2458</f>
        <v>0</v>
      </c>
      <c r="U2457" s="842" t="n">
        <f aca="false">N2457-S2457-S2458</f>
        <v>0</v>
      </c>
    </row>
    <row r="2458" customFormat="false" ht="15" hidden="false" customHeight="true" outlineLevel="0" collapsed="false">
      <c r="A2458" s="829"/>
      <c r="B2458" s="830"/>
      <c r="C2458" s="830"/>
      <c r="D2458" s="843" t="s">
        <v>17</v>
      </c>
      <c r="E2458" s="843" t="s">
        <v>2192</v>
      </c>
      <c r="F2458" s="832"/>
      <c r="G2458" s="833"/>
      <c r="H2458" s="834"/>
      <c r="I2458" s="835"/>
      <c r="J2458" s="835"/>
      <c r="K2458" s="836"/>
      <c r="L2458" s="837"/>
      <c r="M2458" s="1003"/>
      <c r="N2458" s="837"/>
      <c r="O2458" s="943"/>
      <c r="P2458" s="844" t="s">
        <v>2197</v>
      </c>
      <c r="Q2458" s="845" t="s">
        <v>3260</v>
      </c>
      <c r="R2458" s="846" t="n">
        <v>67660.3635</v>
      </c>
      <c r="S2458" s="846" t="n">
        <f aca="false">R2458/H2457</f>
        <v>2165</v>
      </c>
      <c r="T2458" s="943"/>
      <c r="U2458" s="842"/>
    </row>
    <row r="2459" customFormat="false" ht="15" hidden="false" customHeight="true" outlineLevel="0" collapsed="false">
      <c r="A2459" s="847" t="n">
        <v>14</v>
      </c>
      <c r="B2459" s="847" t="s">
        <v>2230</v>
      </c>
      <c r="C2459" s="847" t="n">
        <v>2024</v>
      </c>
      <c r="D2459" s="848" t="s">
        <v>17</v>
      </c>
      <c r="E2459" s="848" t="s">
        <v>2192</v>
      </c>
      <c r="F2459" s="848" t="s">
        <v>2199</v>
      </c>
      <c r="G2459" s="849"/>
      <c r="H2459" s="949" t="n">
        <v>57.3642</v>
      </c>
      <c r="I2459" s="950"/>
      <c r="J2459" s="950"/>
      <c r="K2459" s="852" t="n">
        <f aca="false">H2459*I2459/100</f>
        <v>0</v>
      </c>
      <c r="L2459" s="537" t="n">
        <v>5200</v>
      </c>
      <c r="M2459" s="1007" t="n">
        <v>1</v>
      </c>
      <c r="N2459" s="537" t="n">
        <f aca="false">L2459*M2459</f>
        <v>5200</v>
      </c>
      <c r="O2459" s="953" t="n">
        <f aca="false">H2459*N2459</f>
        <v>298293.84</v>
      </c>
      <c r="P2459" s="856" t="s">
        <v>2197</v>
      </c>
      <c r="Q2459" s="857" t="s">
        <v>3261</v>
      </c>
      <c r="R2459" s="854" t="n">
        <v>298293.84</v>
      </c>
      <c r="S2459" s="854" t="n">
        <f aca="false">R2459/H2459</f>
        <v>5200</v>
      </c>
      <c r="T2459" s="953" t="n">
        <f aca="false">O2459-R2459</f>
        <v>0</v>
      </c>
      <c r="U2459" s="537" t="n">
        <f aca="false">N2459-S2459</f>
        <v>0</v>
      </c>
    </row>
    <row r="2460" customFormat="false" ht="15" hidden="false" customHeight="true" outlineLevel="0" collapsed="false">
      <c r="A2460" s="859" t="n">
        <v>15</v>
      </c>
      <c r="B2460" s="859" t="s">
        <v>2230</v>
      </c>
      <c r="C2460" s="859" t="n">
        <v>2024</v>
      </c>
      <c r="D2460" s="860" t="s">
        <v>17</v>
      </c>
      <c r="E2460" s="860" t="s">
        <v>2192</v>
      </c>
      <c r="F2460" s="860" t="s">
        <v>2199</v>
      </c>
      <c r="G2460" s="861"/>
      <c r="H2460" s="980" t="n">
        <v>52.5341</v>
      </c>
      <c r="I2460" s="981"/>
      <c r="J2460" s="981"/>
      <c r="K2460" s="864" t="n">
        <f aca="false">H2460*I2460/100</f>
        <v>0</v>
      </c>
      <c r="L2460" s="543" t="n">
        <v>1975</v>
      </c>
      <c r="M2460" s="983" t="n">
        <v>1</v>
      </c>
      <c r="N2460" s="543" t="n">
        <f aca="false">L2460*M2460</f>
        <v>1975</v>
      </c>
      <c r="O2460" s="1449" t="n">
        <f aca="false">H2460*N2460</f>
        <v>103754.8475</v>
      </c>
      <c r="P2460" s="868" t="s">
        <v>2197</v>
      </c>
      <c r="Q2460" s="869" t="s">
        <v>3262</v>
      </c>
      <c r="R2460" s="866" t="n">
        <v>103754.8475</v>
      </c>
      <c r="S2460" s="866" t="n">
        <f aca="false">R2460/H2460</f>
        <v>1975</v>
      </c>
      <c r="T2460" s="1449" t="n">
        <f aca="false">O2460-R2460</f>
        <v>0</v>
      </c>
      <c r="U2460" s="543" t="n">
        <f aca="false">N2460-S2460</f>
        <v>0</v>
      </c>
    </row>
    <row r="2461" customFormat="false" ht="15" hidden="false" customHeight="true" outlineLevel="0" collapsed="false">
      <c r="A2461" s="859" t="n">
        <v>22</v>
      </c>
      <c r="B2461" s="859" t="s">
        <v>2230</v>
      </c>
      <c r="C2461" s="859" t="n">
        <v>2024</v>
      </c>
      <c r="D2461" s="860" t="s">
        <v>17</v>
      </c>
      <c r="E2461" s="860" t="s">
        <v>2192</v>
      </c>
      <c r="F2461" s="860" t="s">
        <v>1650</v>
      </c>
      <c r="G2461" s="861"/>
      <c r="H2461" s="980" t="n">
        <v>87.4223</v>
      </c>
      <c r="I2461" s="981"/>
      <c r="J2461" s="981"/>
      <c r="K2461" s="864" t="n">
        <f aca="false">H2461*I2461/100</f>
        <v>0</v>
      </c>
      <c r="L2461" s="543" t="n">
        <v>2010</v>
      </c>
      <c r="M2461" s="983" t="n">
        <v>1</v>
      </c>
      <c r="N2461" s="543" t="n">
        <f aca="false">L2461*M2461</f>
        <v>2010</v>
      </c>
      <c r="O2461" s="1449" t="n">
        <f aca="false">H2461*N2461</f>
        <v>175718.823</v>
      </c>
      <c r="P2461" s="868" t="s">
        <v>2197</v>
      </c>
      <c r="Q2461" s="869" t="s">
        <v>3263</v>
      </c>
      <c r="R2461" s="866" t="n">
        <v>175718.823</v>
      </c>
      <c r="S2461" s="866" t="n">
        <f aca="false">R2461/H2461</f>
        <v>2010</v>
      </c>
      <c r="T2461" s="1449" t="n">
        <f aca="false">O2461-R2461</f>
        <v>0</v>
      </c>
      <c r="U2461" s="543" t="n">
        <f aca="false">N2461-S2461</f>
        <v>0</v>
      </c>
    </row>
    <row r="2462" customFormat="false" ht="15" hidden="false" customHeight="true" outlineLevel="0" collapsed="false">
      <c r="A2462" s="870" t="n">
        <v>80</v>
      </c>
      <c r="B2462" s="870" t="s">
        <v>2207</v>
      </c>
      <c r="C2462" s="870" t="n">
        <v>2024</v>
      </c>
      <c r="D2462" s="871" t="s">
        <v>17</v>
      </c>
      <c r="E2462" s="871" t="s">
        <v>2192</v>
      </c>
      <c r="F2462" s="871" t="s">
        <v>1651</v>
      </c>
      <c r="G2462" s="872"/>
      <c r="H2462" s="1116" t="n">
        <v>28.6787</v>
      </c>
      <c r="I2462" s="1117"/>
      <c r="J2462" s="1117"/>
      <c r="K2462" s="875" t="n">
        <f aca="false">H2462*I2462/100</f>
        <v>0</v>
      </c>
      <c r="L2462" s="553" t="n">
        <v>31006</v>
      </c>
      <c r="M2462" s="1000" t="n">
        <v>1</v>
      </c>
      <c r="N2462" s="553" t="n">
        <f aca="false">L2462*M2462</f>
        <v>31006</v>
      </c>
      <c r="O2462" s="1403" t="n">
        <f aca="false">H2462*N2462</f>
        <v>889211.7722</v>
      </c>
      <c r="P2462" s="879" t="s">
        <v>2193</v>
      </c>
      <c r="Q2462" s="880" t="s">
        <v>3235</v>
      </c>
      <c r="R2462" s="877" t="n">
        <v>889211.7722</v>
      </c>
      <c r="S2462" s="877" t="n">
        <f aca="false">R2462/H2462</f>
        <v>31006</v>
      </c>
      <c r="T2462" s="1403" t="n">
        <f aca="false">O2462-R2462</f>
        <v>0</v>
      </c>
      <c r="U2462" s="553" t="n">
        <f aca="false">N2462-S2462</f>
        <v>0</v>
      </c>
    </row>
    <row r="2463" customFormat="false" ht="15" hidden="false" customHeight="true" outlineLevel="0" collapsed="false">
      <c r="A2463" s="829" t="s">
        <v>3264</v>
      </c>
      <c r="B2463" s="830" t="s">
        <v>2207</v>
      </c>
      <c r="C2463" s="830" t="n">
        <v>2024</v>
      </c>
      <c r="D2463" s="831" t="s">
        <v>17</v>
      </c>
      <c r="E2463" s="831" t="s">
        <v>2192</v>
      </c>
      <c r="F2463" s="832" t="s">
        <v>1651</v>
      </c>
      <c r="G2463" s="833"/>
      <c r="H2463" s="834" t="n">
        <v>28.6253</v>
      </c>
      <c r="I2463" s="835"/>
      <c r="J2463" s="835"/>
      <c r="K2463" s="836" t="n">
        <f aca="false">H2463*I2463/100</f>
        <v>0</v>
      </c>
      <c r="L2463" s="837" t="n">
        <v>31276</v>
      </c>
      <c r="M2463" s="1003" t="n">
        <v>1</v>
      </c>
      <c r="N2463" s="837" t="n">
        <f aca="false">L2463*M2463</f>
        <v>31276</v>
      </c>
      <c r="O2463" s="943" t="n">
        <f aca="false">H2463*N2463</f>
        <v>895284.8828</v>
      </c>
      <c r="P2463" s="838" t="s">
        <v>2197</v>
      </c>
      <c r="Q2463" s="839" t="s">
        <v>3265</v>
      </c>
      <c r="R2463" s="840" t="n">
        <v>224708.605</v>
      </c>
      <c r="S2463" s="840" t="n">
        <f aca="false">R2463/H2463</f>
        <v>7850</v>
      </c>
      <c r="T2463" s="943" t="n">
        <f aca="false">O2463-R2463-R2464-R2465-R2466</f>
        <v>0</v>
      </c>
      <c r="U2463" s="842" t="n">
        <f aca="false">N2463-S2463-S2464-S2465-S2466</f>
        <v>0</v>
      </c>
    </row>
    <row r="2464" customFormat="false" ht="15" hidden="false" customHeight="true" outlineLevel="0" collapsed="false">
      <c r="A2464" s="829"/>
      <c r="B2464" s="830"/>
      <c r="C2464" s="830"/>
      <c r="D2464" s="860" t="s">
        <v>17</v>
      </c>
      <c r="E2464" s="860" t="s">
        <v>2192</v>
      </c>
      <c r="F2464" s="832"/>
      <c r="G2464" s="833"/>
      <c r="H2464" s="834"/>
      <c r="I2464" s="835"/>
      <c r="J2464" s="835"/>
      <c r="K2464" s="836"/>
      <c r="L2464" s="837"/>
      <c r="M2464" s="1003"/>
      <c r="N2464" s="837"/>
      <c r="O2464" s="943"/>
      <c r="P2464" s="868" t="s">
        <v>2197</v>
      </c>
      <c r="Q2464" s="869" t="s">
        <v>3266</v>
      </c>
      <c r="R2464" s="866" t="n">
        <v>285966.747</v>
      </c>
      <c r="S2464" s="866" t="n">
        <f aca="false">R2464/H2463</f>
        <v>9990</v>
      </c>
      <c r="T2464" s="943"/>
      <c r="U2464" s="842"/>
    </row>
    <row r="2465" customFormat="false" ht="15" hidden="false" customHeight="true" outlineLevel="0" collapsed="false">
      <c r="A2465" s="829"/>
      <c r="B2465" s="830"/>
      <c r="C2465" s="830"/>
      <c r="D2465" s="860" t="s">
        <v>17</v>
      </c>
      <c r="E2465" s="860" t="s">
        <v>2192</v>
      </c>
      <c r="F2465" s="832"/>
      <c r="G2465" s="833"/>
      <c r="H2465" s="834"/>
      <c r="I2465" s="835"/>
      <c r="J2465" s="835"/>
      <c r="K2465" s="836"/>
      <c r="L2465" s="837"/>
      <c r="M2465" s="1003"/>
      <c r="N2465" s="837"/>
      <c r="O2465" s="943"/>
      <c r="P2465" s="868" t="s">
        <v>2197</v>
      </c>
      <c r="Q2465" s="869" t="s">
        <v>3267</v>
      </c>
      <c r="R2465" s="866" t="n">
        <v>285966.747</v>
      </c>
      <c r="S2465" s="866" t="n">
        <f aca="false">R2465/H2463</f>
        <v>9990</v>
      </c>
      <c r="T2465" s="943"/>
      <c r="U2465" s="842"/>
    </row>
    <row r="2466" customFormat="false" ht="15" hidden="false" customHeight="true" outlineLevel="0" collapsed="false">
      <c r="A2466" s="829"/>
      <c r="B2466" s="830"/>
      <c r="C2466" s="830"/>
      <c r="D2466" s="843" t="s">
        <v>17</v>
      </c>
      <c r="E2466" s="843" t="s">
        <v>2192</v>
      </c>
      <c r="F2466" s="832"/>
      <c r="G2466" s="833"/>
      <c r="H2466" s="834"/>
      <c r="I2466" s="835"/>
      <c r="J2466" s="835"/>
      <c r="K2466" s="836"/>
      <c r="L2466" s="837"/>
      <c r="M2466" s="1003"/>
      <c r="N2466" s="837"/>
      <c r="O2466" s="943"/>
      <c r="P2466" s="844" t="s">
        <v>2197</v>
      </c>
      <c r="Q2466" s="845" t="s">
        <v>3268</v>
      </c>
      <c r="R2466" s="846" t="n">
        <v>98642.7838</v>
      </c>
      <c r="S2466" s="846" t="n">
        <f aca="false">R2466/H2463</f>
        <v>3446</v>
      </c>
      <c r="T2466" s="943"/>
      <c r="U2466" s="842"/>
    </row>
    <row r="2467" customFormat="false" ht="15" hidden="false" customHeight="true" outlineLevel="0" collapsed="false">
      <c r="A2467" s="847" t="n">
        <v>85</v>
      </c>
      <c r="B2467" s="847" t="s">
        <v>81</v>
      </c>
      <c r="C2467" s="847" t="n">
        <v>2024</v>
      </c>
      <c r="D2467" s="848" t="s">
        <v>17</v>
      </c>
      <c r="E2467" s="848" t="s">
        <v>2192</v>
      </c>
      <c r="F2467" s="848" t="s">
        <v>2199</v>
      </c>
      <c r="G2467" s="849"/>
      <c r="H2467" s="949" t="n">
        <v>69.9</v>
      </c>
      <c r="I2467" s="950"/>
      <c r="J2467" s="950"/>
      <c r="K2467" s="852" t="n">
        <f aca="false">H2467*I2467/100</f>
        <v>0</v>
      </c>
      <c r="L2467" s="537" t="n">
        <v>7720</v>
      </c>
      <c r="M2467" s="1007" t="n">
        <v>1</v>
      </c>
      <c r="N2467" s="537" t="n">
        <f aca="false">L2467*M2467</f>
        <v>7720</v>
      </c>
      <c r="O2467" s="953" t="n">
        <f aca="false">H2467*N2467</f>
        <v>539628</v>
      </c>
      <c r="P2467" s="856" t="s">
        <v>2237</v>
      </c>
      <c r="Q2467" s="857" t="s">
        <v>2254</v>
      </c>
      <c r="R2467" s="854" t="n">
        <v>539628</v>
      </c>
      <c r="S2467" s="854" t="n">
        <f aca="false">R2467/H2467</f>
        <v>7720</v>
      </c>
      <c r="T2467" s="953" t="n">
        <f aca="false">O2467-R2467</f>
        <v>0</v>
      </c>
      <c r="U2467" s="537" t="n">
        <f aca="false">N2467-S2467</f>
        <v>0</v>
      </c>
    </row>
    <row r="2468" customFormat="false" ht="15" hidden="false" customHeight="true" outlineLevel="0" collapsed="false">
      <c r="A2468" s="903" t="n">
        <v>31</v>
      </c>
      <c r="B2468" s="903" t="s">
        <v>2230</v>
      </c>
      <c r="C2468" s="903" t="n">
        <v>2024</v>
      </c>
      <c r="D2468" s="904" t="s">
        <v>17</v>
      </c>
      <c r="E2468" s="904" t="s">
        <v>2192</v>
      </c>
      <c r="F2468" s="904" t="s">
        <v>2199</v>
      </c>
      <c r="G2468" s="905"/>
      <c r="H2468" s="946" t="n">
        <v>35.7937</v>
      </c>
      <c r="I2468" s="947"/>
      <c r="J2468" s="947"/>
      <c r="K2468" s="939" t="n">
        <f aca="false">H2468*I2468/100</f>
        <v>0</v>
      </c>
      <c r="L2468" s="942" t="n">
        <v>1300</v>
      </c>
      <c r="M2468" s="1023" t="n">
        <v>1</v>
      </c>
      <c r="N2468" s="942" t="n">
        <f aca="false">L2468*M2468</f>
        <v>1300</v>
      </c>
      <c r="O2468" s="948" t="n">
        <f aca="false">H2468*N2468</f>
        <v>46531.81</v>
      </c>
      <c r="P2468" s="910" t="s">
        <v>2197</v>
      </c>
      <c r="Q2468" s="911" t="s">
        <v>3269</v>
      </c>
      <c r="R2468" s="891" t="n">
        <v>46531.81</v>
      </c>
      <c r="S2468" s="891" t="n">
        <f aca="false">R2468/H2468</f>
        <v>1300</v>
      </c>
      <c r="T2468" s="948" t="n">
        <f aca="false">O2468-R2468</f>
        <v>0</v>
      </c>
      <c r="U2468" s="942" t="n">
        <f aca="false">N2468-S2468</f>
        <v>0</v>
      </c>
    </row>
    <row r="2469" customFormat="false" ht="15" hidden="false" customHeight="true" outlineLevel="0" collapsed="false">
      <c r="A2469" s="881" t="n">
        <v>66</v>
      </c>
      <c r="B2469" s="829" t="s">
        <v>86</v>
      </c>
      <c r="C2469" s="830" t="n">
        <v>2024</v>
      </c>
      <c r="D2469" s="831" t="s">
        <v>17</v>
      </c>
      <c r="E2469" s="831" t="s">
        <v>2192</v>
      </c>
      <c r="F2469" s="832" t="s">
        <v>1650</v>
      </c>
      <c r="G2469" s="833"/>
      <c r="H2469" s="834" t="n">
        <v>90.7</v>
      </c>
      <c r="I2469" s="835"/>
      <c r="J2469" s="835"/>
      <c r="K2469" s="836" t="n">
        <f aca="false">H2469*I2469/100</f>
        <v>0</v>
      </c>
      <c r="L2469" s="837" t="n">
        <v>4259</v>
      </c>
      <c r="M2469" s="1003" t="n">
        <v>1</v>
      </c>
      <c r="N2469" s="837" t="n">
        <f aca="false">L2469*M2469</f>
        <v>4259</v>
      </c>
      <c r="O2469" s="943" t="n">
        <f aca="false">H2469*N2469</f>
        <v>386291.3</v>
      </c>
      <c r="P2469" s="838" t="s">
        <v>2193</v>
      </c>
      <c r="Q2469" s="839" t="s">
        <v>2987</v>
      </c>
      <c r="R2469" s="840" t="n">
        <v>105121.3</v>
      </c>
      <c r="S2469" s="886" t="n">
        <f aca="false">R2469/H2469</f>
        <v>1159</v>
      </c>
      <c r="T2469" s="943" t="n">
        <f aca="false">O2469-R2469-R2470</f>
        <v>0</v>
      </c>
      <c r="U2469" s="842" t="n">
        <f aca="false">N2469-S2469-S2470</f>
        <v>0</v>
      </c>
    </row>
    <row r="2470" customFormat="false" ht="15" hidden="false" customHeight="true" outlineLevel="0" collapsed="false">
      <c r="A2470" s="881"/>
      <c r="B2470" s="829"/>
      <c r="C2470" s="830"/>
      <c r="D2470" s="887" t="s">
        <v>17</v>
      </c>
      <c r="E2470" s="887" t="s">
        <v>2192</v>
      </c>
      <c r="F2470" s="832"/>
      <c r="G2470" s="833"/>
      <c r="H2470" s="834"/>
      <c r="I2470" s="835"/>
      <c r="J2470" s="835"/>
      <c r="K2470" s="836"/>
      <c r="L2470" s="837"/>
      <c r="M2470" s="1003"/>
      <c r="N2470" s="837"/>
      <c r="O2470" s="943"/>
      <c r="P2470" s="888" t="s">
        <v>2193</v>
      </c>
      <c r="Q2470" s="889" t="s">
        <v>2988</v>
      </c>
      <c r="R2470" s="890" t="n">
        <v>281170</v>
      </c>
      <c r="S2470" s="846" t="n">
        <f aca="false">R2470/H2469</f>
        <v>3100</v>
      </c>
      <c r="T2470" s="943"/>
      <c r="U2470" s="842"/>
    </row>
    <row r="2471" customFormat="false" ht="15" hidden="false" customHeight="true" outlineLevel="0" collapsed="false">
      <c r="A2471" s="881"/>
      <c r="B2471" s="903" t="s">
        <v>86</v>
      </c>
      <c r="C2471" s="903" t="n">
        <v>2024</v>
      </c>
      <c r="D2471" s="904" t="s">
        <v>17</v>
      </c>
      <c r="E2471" s="904" t="s">
        <v>2242</v>
      </c>
      <c r="F2471" s="904"/>
      <c r="G2471" s="905"/>
      <c r="H2471" s="946" t="n">
        <v>67.1</v>
      </c>
      <c r="I2471" s="947"/>
      <c r="J2471" s="947"/>
      <c r="K2471" s="939" t="n">
        <f aca="false">H2471*I2471/100</f>
        <v>0</v>
      </c>
      <c r="L2471" s="942" t="n">
        <v>344</v>
      </c>
      <c r="M2471" s="1023" t="n">
        <v>1</v>
      </c>
      <c r="N2471" s="942" t="n">
        <f aca="false">L2471*M2471</f>
        <v>344</v>
      </c>
      <c r="O2471" s="948" t="n">
        <f aca="false">H2471*N2471</f>
        <v>23082.4</v>
      </c>
      <c r="P2471" s="910" t="s">
        <v>2232</v>
      </c>
      <c r="Q2471" s="911" t="s">
        <v>2391</v>
      </c>
      <c r="R2471" s="891" t="n">
        <v>23082.4</v>
      </c>
      <c r="S2471" s="877" t="n">
        <f aca="false">R2471/H2471</f>
        <v>344</v>
      </c>
      <c r="T2471" s="948" t="n">
        <f aca="false">O2471-R2471</f>
        <v>0</v>
      </c>
      <c r="U2471" s="1026" t="n">
        <f aca="false">N2471-S2471</f>
        <v>0</v>
      </c>
    </row>
    <row r="2472" customFormat="false" ht="15" hidden="false" customHeight="true" outlineLevel="0" collapsed="false">
      <c r="A2472" s="881"/>
      <c r="B2472" s="829" t="s">
        <v>86</v>
      </c>
      <c r="C2472" s="830" t="n">
        <v>2024</v>
      </c>
      <c r="D2472" s="831" t="s">
        <v>17</v>
      </c>
      <c r="E2472" s="831" t="s">
        <v>2203</v>
      </c>
      <c r="F2472" s="830"/>
      <c r="G2472" s="833"/>
      <c r="H2472" s="834" t="n">
        <v>63.7</v>
      </c>
      <c r="I2472" s="835"/>
      <c r="J2472" s="835"/>
      <c r="K2472" s="836" t="n">
        <f aca="false">H2472*I2472/100</f>
        <v>0</v>
      </c>
      <c r="L2472" s="837" t="n">
        <v>2363</v>
      </c>
      <c r="M2472" s="1003" t="n">
        <v>1</v>
      </c>
      <c r="N2472" s="837" t="n">
        <f aca="false">L2472*M2472</f>
        <v>2363</v>
      </c>
      <c r="O2472" s="943" t="n">
        <f aca="false">H2472*N2472</f>
        <v>150523.1</v>
      </c>
      <c r="P2472" s="838" t="s">
        <v>2232</v>
      </c>
      <c r="Q2472" s="839" t="s">
        <v>2476</v>
      </c>
      <c r="R2472" s="840" t="n">
        <v>47775</v>
      </c>
      <c r="S2472" s="840" t="n">
        <f aca="false">R2472/H2472</f>
        <v>750</v>
      </c>
      <c r="T2472" s="943" t="n">
        <f aca="false">O2472-R2472-R2473</f>
        <v>0</v>
      </c>
      <c r="U2472" s="842" t="n">
        <f aca="false">N2472-S2472-S2473</f>
        <v>0</v>
      </c>
    </row>
    <row r="2473" customFormat="false" ht="15" hidden="false" customHeight="true" outlineLevel="0" collapsed="false">
      <c r="A2473" s="881"/>
      <c r="B2473" s="829"/>
      <c r="C2473" s="830"/>
      <c r="D2473" s="887" t="s">
        <v>17</v>
      </c>
      <c r="E2473" s="887" t="s">
        <v>2203</v>
      </c>
      <c r="F2473" s="830"/>
      <c r="G2473" s="833"/>
      <c r="H2473" s="834"/>
      <c r="I2473" s="835"/>
      <c r="J2473" s="835"/>
      <c r="K2473" s="836"/>
      <c r="L2473" s="837"/>
      <c r="M2473" s="1003"/>
      <c r="N2473" s="837"/>
      <c r="O2473" s="943"/>
      <c r="P2473" s="888" t="s">
        <v>2237</v>
      </c>
      <c r="Q2473" s="889" t="s">
        <v>2679</v>
      </c>
      <c r="R2473" s="890" t="n">
        <v>102748.1</v>
      </c>
      <c r="S2473" s="846" t="n">
        <f aca="false">R2473/H2472</f>
        <v>1613</v>
      </c>
      <c r="T2473" s="943"/>
      <c r="U2473" s="842"/>
    </row>
    <row r="2474" customFormat="false" ht="15" hidden="false" customHeight="true" outlineLevel="0" collapsed="false">
      <c r="A2474" s="881"/>
      <c r="B2474" s="847" t="s">
        <v>86</v>
      </c>
      <c r="C2474" s="847" t="n">
        <v>2024</v>
      </c>
      <c r="D2474" s="848" t="s">
        <v>17</v>
      </c>
      <c r="E2474" s="848" t="s">
        <v>2241</v>
      </c>
      <c r="F2474" s="848"/>
      <c r="G2474" s="849"/>
      <c r="H2474" s="949" t="n">
        <v>0</v>
      </c>
      <c r="I2474" s="950"/>
      <c r="J2474" s="950"/>
      <c r="K2474" s="852" t="n">
        <f aca="false">H2474*I2474/100</f>
        <v>0</v>
      </c>
      <c r="L2474" s="537" t="n">
        <v>209</v>
      </c>
      <c r="M2474" s="1007" t="n">
        <v>1</v>
      </c>
      <c r="N2474" s="537" t="n">
        <f aca="false">L2474*M2474</f>
        <v>209</v>
      </c>
      <c r="O2474" s="953" t="n">
        <f aca="false">H2474*N2474</f>
        <v>0</v>
      </c>
      <c r="P2474" s="856" t="s">
        <v>2204</v>
      </c>
      <c r="Q2474" s="857" t="n">
        <v>22112024</v>
      </c>
      <c r="R2474" s="854" t="n">
        <v>0</v>
      </c>
      <c r="S2474" s="891" t="n">
        <v>209</v>
      </c>
      <c r="T2474" s="953" t="n">
        <f aca="false">O2474-R2474</f>
        <v>0</v>
      </c>
      <c r="U2474" s="892" t="n">
        <f aca="false">N2474-S2474</f>
        <v>0</v>
      </c>
    </row>
    <row r="2475" customFormat="false" ht="15" hidden="false" customHeight="true" outlineLevel="0" collapsed="false">
      <c r="A2475" s="881"/>
      <c r="B2475" s="893" t="s">
        <v>86</v>
      </c>
      <c r="C2475" s="893" t="n">
        <v>2024</v>
      </c>
      <c r="D2475" s="843" t="s">
        <v>17</v>
      </c>
      <c r="E2475" s="843" t="s">
        <v>2205</v>
      </c>
      <c r="F2475" s="843"/>
      <c r="G2475" s="843"/>
      <c r="H2475" s="895" t="n">
        <v>20.6</v>
      </c>
      <c r="I2475" s="896"/>
      <c r="J2475" s="896"/>
      <c r="K2475" s="897" t="n">
        <f aca="false">H2475*I2475/100</f>
        <v>0</v>
      </c>
      <c r="L2475" s="1067" t="n">
        <v>432</v>
      </c>
      <c r="M2475" s="1066" t="n">
        <v>1</v>
      </c>
      <c r="N2475" s="1067" t="n">
        <f aca="false">L2475*M2475</f>
        <v>432</v>
      </c>
      <c r="O2475" s="1452" t="n">
        <f aca="false">H2475*N2475</f>
        <v>8899.2</v>
      </c>
      <c r="P2475" s="888" t="s">
        <v>2204</v>
      </c>
      <c r="Q2475" s="889" t="n">
        <v>22112024</v>
      </c>
      <c r="R2475" s="890" t="n">
        <v>8899.2</v>
      </c>
      <c r="S2475" s="846" t="n">
        <f aca="false">R2475/H2475</f>
        <v>432</v>
      </c>
      <c r="T2475" s="1452" t="n">
        <f aca="false">O2475-R2475</f>
        <v>0</v>
      </c>
      <c r="U2475" s="1070" t="n">
        <f aca="false">N2475-S2475</f>
        <v>0</v>
      </c>
    </row>
    <row r="2476" customFormat="false" ht="15" hidden="false" customHeight="true" outlineLevel="0" collapsed="false">
      <c r="A2476" s="903" t="n">
        <v>96</v>
      </c>
      <c r="B2476" s="903" t="s">
        <v>2207</v>
      </c>
      <c r="C2476" s="903" t="n">
        <v>2024</v>
      </c>
      <c r="D2476" s="904" t="s">
        <v>17</v>
      </c>
      <c r="E2476" s="904" t="s">
        <v>2192</v>
      </c>
      <c r="F2476" s="904" t="s">
        <v>1652</v>
      </c>
      <c r="G2476" s="904"/>
      <c r="H2476" s="906" t="n">
        <v>45.7049</v>
      </c>
      <c r="I2476" s="907"/>
      <c r="J2476" s="907"/>
      <c r="K2476" s="939" t="n">
        <f aca="false">H2476*I2476/100</f>
        <v>0</v>
      </c>
      <c r="L2476" s="942" t="n">
        <v>2300</v>
      </c>
      <c r="M2476" s="1023" t="n">
        <v>1</v>
      </c>
      <c r="N2476" s="942" t="n">
        <f aca="false">L2476*M2476</f>
        <v>2300</v>
      </c>
      <c r="O2476" s="948" t="n">
        <f aca="false">H2476*N2476</f>
        <v>105121.27</v>
      </c>
      <c r="P2476" s="910" t="s">
        <v>2197</v>
      </c>
      <c r="Q2476" s="911" t="s">
        <v>3270</v>
      </c>
      <c r="R2476" s="891" t="n">
        <v>105121.27</v>
      </c>
      <c r="S2476" s="891" t="n">
        <f aca="false">R2476/H2476</f>
        <v>2300</v>
      </c>
      <c r="T2476" s="948" t="n">
        <f aca="false">O2476-R2476</f>
        <v>0</v>
      </c>
      <c r="U2476" s="942" t="n">
        <f aca="false">N2476-S2476</f>
        <v>0</v>
      </c>
    </row>
    <row r="2477" customFormat="false" ht="15" hidden="false" customHeight="true" outlineLevel="0" collapsed="false">
      <c r="A2477" s="1027" t="n">
        <v>97</v>
      </c>
      <c r="B2477" s="1028" t="s">
        <v>2207</v>
      </c>
      <c r="C2477" s="1028" t="n">
        <v>2024</v>
      </c>
      <c r="D2477" s="831" t="s">
        <v>17</v>
      </c>
      <c r="E2477" s="831" t="s">
        <v>2192</v>
      </c>
      <c r="F2477" s="1328" t="s">
        <v>1651</v>
      </c>
      <c r="G2477" s="1028"/>
      <c r="H2477" s="1031" t="n">
        <v>26.5781</v>
      </c>
      <c r="I2477" s="1624"/>
      <c r="J2477" s="1032"/>
      <c r="K2477" s="1033" t="n">
        <f aca="false">H2477*I2477/100</f>
        <v>0</v>
      </c>
      <c r="L2477" s="1036" t="n">
        <v>10579</v>
      </c>
      <c r="M2477" s="1035" t="n">
        <v>1</v>
      </c>
      <c r="N2477" s="1036" t="n">
        <f aca="false">L2477*M2477</f>
        <v>10579</v>
      </c>
      <c r="O2477" s="1547" t="n">
        <f aca="false">H2477*N2477</f>
        <v>281169.7199</v>
      </c>
      <c r="P2477" s="838" t="s">
        <v>2197</v>
      </c>
      <c r="Q2477" s="839" t="s">
        <v>3271</v>
      </c>
      <c r="R2477" s="840" t="n">
        <v>265515.219</v>
      </c>
      <c r="S2477" s="840" t="n">
        <f aca="false">R2477/H2477</f>
        <v>9990</v>
      </c>
      <c r="T2477" s="1036" t="n">
        <f aca="false">O2477-R2477-R2478-R2479</f>
        <v>-1.63709046319127E-011</v>
      </c>
      <c r="U2477" s="1037" t="n">
        <f aca="false">N2477-S2477-S2478-S2479</f>
        <v>0</v>
      </c>
    </row>
    <row r="2478" customFormat="false" ht="15" hidden="false" customHeight="true" outlineLevel="0" collapsed="false">
      <c r="A2478" s="1027"/>
      <c r="B2478" s="1028"/>
      <c r="C2478" s="1028"/>
      <c r="D2478" s="860" t="s">
        <v>17</v>
      </c>
      <c r="E2478" s="860" t="s">
        <v>2192</v>
      </c>
      <c r="F2478" s="1328"/>
      <c r="G2478" s="1028"/>
      <c r="H2478" s="1031"/>
      <c r="I2478" s="1352"/>
      <c r="J2478" s="1032"/>
      <c r="K2478" s="1033"/>
      <c r="L2478" s="1036"/>
      <c r="M2478" s="1035"/>
      <c r="N2478" s="1036"/>
      <c r="O2478" s="1547"/>
      <c r="P2478" s="868" t="s">
        <v>2197</v>
      </c>
      <c r="Q2478" s="869" t="s">
        <v>3272</v>
      </c>
      <c r="R2478" s="866" t="n">
        <v>398.6715</v>
      </c>
      <c r="S2478" s="866" t="n">
        <f aca="false">R2478/H2477</f>
        <v>15</v>
      </c>
      <c r="T2478" s="1036"/>
      <c r="U2478" s="1037"/>
    </row>
    <row r="2479" customFormat="false" ht="15" hidden="false" customHeight="true" outlineLevel="0" collapsed="false">
      <c r="A2479" s="1027"/>
      <c r="B2479" s="1028"/>
      <c r="C2479" s="1028"/>
      <c r="D2479" s="871" t="s">
        <v>17</v>
      </c>
      <c r="E2479" s="871" t="s">
        <v>2192</v>
      </c>
      <c r="F2479" s="1328"/>
      <c r="G2479" s="1028"/>
      <c r="H2479" s="1031"/>
      <c r="I2479" s="1352"/>
      <c r="J2479" s="1032"/>
      <c r="K2479" s="1033"/>
      <c r="L2479" s="1036"/>
      <c r="M2479" s="1035"/>
      <c r="N2479" s="1036"/>
      <c r="O2479" s="1547"/>
      <c r="P2479" s="879" t="s">
        <v>2197</v>
      </c>
      <c r="Q2479" s="880" t="s">
        <v>3273</v>
      </c>
      <c r="R2479" s="877" t="n">
        <v>15255.8294</v>
      </c>
      <c r="S2479" s="877" t="n">
        <f aca="false">R2479/H2477</f>
        <v>574</v>
      </c>
      <c r="T2479" s="1036"/>
      <c r="U2479" s="1037"/>
    </row>
    <row r="2480" customFormat="false" ht="14.25" hidden="false" customHeight="false" outlineLevel="0" collapsed="false">
      <c r="A2480" s="1533" t="n">
        <v>73</v>
      </c>
      <c r="B2480" s="829" t="s">
        <v>86</v>
      </c>
      <c r="C2480" s="830" t="n">
        <v>2024</v>
      </c>
      <c r="D2480" s="831" t="s">
        <v>17</v>
      </c>
      <c r="E2480" s="831" t="s">
        <v>2192</v>
      </c>
      <c r="F2480" s="832" t="s">
        <v>1650</v>
      </c>
      <c r="G2480" s="830"/>
      <c r="H2480" s="834" t="n">
        <v>86.4</v>
      </c>
      <c r="I2480" s="835"/>
      <c r="J2480" s="835"/>
      <c r="K2480" s="836" t="n">
        <f aca="false">H2480*I2480/100</f>
        <v>0</v>
      </c>
      <c r="L2480" s="837" t="n">
        <v>12499</v>
      </c>
      <c r="M2480" s="1003" t="n">
        <v>1</v>
      </c>
      <c r="N2480" s="837" t="n">
        <f aca="false">L2480*M2480</f>
        <v>12499</v>
      </c>
      <c r="O2480" s="943" t="n">
        <f aca="false">H2480*N2480</f>
        <v>1079913.6</v>
      </c>
      <c r="P2480" s="838" t="s">
        <v>2193</v>
      </c>
      <c r="Q2480" s="839" t="s">
        <v>2998</v>
      </c>
      <c r="R2480" s="840" t="n">
        <v>1061769.6</v>
      </c>
      <c r="S2480" s="840" t="n">
        <f aca="false">R2480/H2480</f>
        <v>12289</v>
      </c>
      <c r="T2480" s="943" t="n">
        <f aca="false">O2480-R2480-R2481</f>
        <v>0</v>
      </c>
      <c r="U2480" s="842" t="n">
        <f aca="false">N2480-S2480-S2481</f>
        <v>0</v>
      </c>
    </row>
    <row r="2481" customFormat="false" ht="15" hidden="false" customHeight="true" outlineLevel="0" collapsed="false">
      <c r="A2481" s="1533"/>
      <c r="B2481" s="829"/>
      <c r="C2481" s="830"/>
      <c r="D2481" s="887" t="s">
        <v>17</v>
      </c>
      <c r="E2481" s="887" t="s">
        <v>2192</v>
      </c>
      <c r="F2481" s="832"/>
      <c r="G2481" s="830"/>
      <c r="H2481" s="834"/>
      <c r="I2481" s="835"/>
      <c r="J2481" s="835"/>
      <c r="K2481" s="836"/>
      <c r="L2481" s="837"/>
      <c r="M2481" s="1003"/>
      <c r="N2481" s="837"/>
      <c r="O2481" s="943"/>
      <c r="P2481" s="888" t="s">
        <v>2197</v>
      </c>
      <c r="Q2481" s="889" t="s">
        <v>3274</v>
      </c>
      <c r="R2481" s="890" t="n">
        <v>18144</v>
      </c>
      <c r="S2481" s="846" t="n">
        <f aca="false">R2481/H2480</f>
        <v>210</v>
      </c>
      <c r="T2481" s="943"/>
      <c r="U2481" s="842"/>
    </row>
    <row r="2482" customFormat="false" ht="15" hidden="false" customHeight="true" outlineLevel="0" collapsed="false">
      <c r="A2482" s="1533"/>
      <c r="B2482" s="847" t="s">
        <v>86</v>
      </c>
      <c r="C2482" s="847" t="n">
        <v>2024</v>
      </c>
      <c r="D2482" s="848" t="s">
        <v>17</v>
      </c>
      <c r="E2482" s="848" t="s">
        <v>2242</v>
      </c>
      <c r="F2482" s="848"/>
      <c r="G2482" s="847"/>
      <c r="H2482" s="949" t="n">
        <v>43</v>
      </c>
      <c r="I2482" s="1669"/>
      <c r="J2482" s="950"/>
      <c r="K2482" s="852" t="n">
        <f aca="false">H2482*I2482/100</f>
        <v>0</v>
      </c>
      <c r="L2482" s="537" t="n">
        <v>100</v>
      </c>
      <c r="M2482" s="1007" t="n">
        <v>1</v>
      </c>
      <c r="N2482" s="537" t="n">
        <f aca="false">L2482*M2482</f>
        <v>100</v>
      </c>
      <c r="O2482" s="953" t="n">
        <f aca="false">H2482*N2482</f>
        <v>4300</v>
      </c>
      <c r="P2482" s="856" t="s">
        <v>2232</v>
      </c>
      <c r="Q2482" s="857" t="s">
        <v>2391</v>
      </c>
      <c r="R2482" s="854" t="n">
        <v>4300</v>
      </c>
      <c r="S2482" s="877" t="n">
        <f aca="false">R2482/H2482</f>
        <v>100</v>
      </c>
      <c r="T2482" s="953" t="n">
        <f aca="false">O2482-R2482</f>
        <v>0</v>
      </c>
      <c r="U2482" s="892" t="n">
        <f aca="false">N2482-S2482</f>
        <v>0</v>
      </c>
    </row>
    <row r="2483" customFormat="false" ht="15" hidden="false" customHeight="true" outlineLevel="0" collapsed="false">
      <c r="A2483" s="1533"/>
      <c r="B2483" s="859" t="s">
        <v>86</v>
      </c>
      <c r="C2483" s="859" t="n">
        <v>2024</v>
      </c>
      <c r="D2483" s="860" t="s">
        <v>17</v>
      </c>
      <c r="E2483" s="860" t="s">
        <v>2203</v>
      </c>
      <c r="F2483" s="860"/>
      <c r="G2483" s="859"/>
      <c r="H2483" s="980" t="n">
        <v>10.7</v>
      </c>
      <c r="I2483" s="1670"/>
      <c r="J2483" s="981"/>
      <c r="K2483" s="864" t="n">
        <f aca="false">H2483*I2483/100</f>
        <v>0</v>
      </c>
      <c r="L2483" s="543" t="n">
        <v>980</v>
      </c>
      <c r="M2483" s="983" t="n">
        <v>1</v>
      </c>
      <c r="N2483" s="543" t="n">
        <f aca="false">L2483*M2483</f>
        <v>980</v>
      </c>
      <c r="O2483" s="1449" t="n">
        <f aca="false">H2483*N2483</f>
        <v>10486</v>
      </c>
      <c r="P2483" s="868" t="s">
        <v>2204</v>
      </c>
      <c r="Q2483" s="869" t="n">
        <v>31012025</v>
      </c>
      <c r="R2483" s="866" t="n">
        <v>10486</v>
      </c>
      <c r="S2483" s="877" t="n">
        <f aca="false">R2483/H2483</f>
        <v>980</v>
      </c>
      <c r="T2483" s="953" t="n">
        <f aca="false">O2483-R2483</f>
        <v>0</v>
      </c>
      <c r="U2483" s="892" t="n">
        <f aca="false">N2483-S2483</f>
        <v>0</v>
      </c>
    </row>
    <row r="2484" customFormat="false" ht="15" hidden="false" customHeight="true" outlineLevel="0" collapsed="false">
      <c r="A2484" s="1533"/>
      <c r="B2484" s="859" t="s">
        <v>86</v>
      </c>
      <c r="C2484" s="859" t="n">
        <v>2024</v>
      </c>
      <c r="D2484" s="860" t="s">
        <v>17</v>
      </c>
      <c r="E2484" s="860" t="s">
        <v>2241</v>
      </c>
      <c r="F2484" s="860"/>
      <c r="G2484" s="859"/>
      <c r="H2484" s="980" t="n">
        <v>0</v>
      </c>
      <c r="I2484" s="1670"/>
      <c r="J2484" s="981"/>
      <c r="K2484" s="864" t="n">
        <f aca="false">H2484*I2484/100</f>
        <v>0</v>
      </c>
      <c r="L2484" s="543" t="n">
        <v>1692</v>
      </c>
      <c r="M2484" s="983" t="n">
        <v>1</v>
      </c>
      <c r="N2484" s="543" t="n">
        <f aca="false">L2484*M2484</f>
        <v>1692</v>
      </c>
      <c r="O2484" s="1449" t="n">
        <f aca="false">H2484*N2484</f>
        <v>0</v>
      </c>
      <c r="P2484" s="868" t="s">
        <v>2204</v>
      </c>
      <c r="Q2484" s="869" t="n">
        <v>22112024</v>
      </c>
      <c r="R2484" s="866" t="n">
        <v>0</v>
      </c>
      <c r="S2484" s="866" t="n">
        <v>1692</v>
      </c>
      <c r="T2484" s="953" t="n">
        <f aca="false">O2484-R2484</f>
        <v>0</v>
      </c>
      <c r="U2484" s="892" t="n">
        <f aca="false">N2484-S2484</f>
        <v>0</v>
      </c>
    </row>
    <row r="2485" customFormat="false" ht="15" hidden="false" customHeight="true" outlineLevel="0" collapsed="false">
      <c r="A2485" s="1533"/>
      <c r="B2485" s="870" t="s">
        <v>86</v>
      </c>
      <c r="C2485" s="870" t="n">
        <v>2024</v>
      </c>
      <c r="D2485" s="871" t="s">
        <v>17</v>
      </c>
      <c r="E2485" s="871" t="s">
        <v>2205</v>
      </c>
      <c r="F2485" s="871"/>
      <c r="G2485" s="870"/>
      <c r="H2485" s="1116" t="n">
        <v>0</v>
      </c>
      <c r="I2485" s="1812"/>
      <c r="J2485" s="1117"/>
      <c r="K2485" s="875" t="n">
        <f aca="false">H2485*I2485/100</f>
        <v>0</v>
      </c>
      <c r="L2485" s="553" t="n">
        <v>1450</v>
      </c>
      <c r="M2485" s="1000" t="n">
        <v>1</v>
      </c>
      <c r="N2485" s="553" t="n">
        <f aca="false">L2485*M2485</f>
        <v>1450</v>
      </c>
      <c r="O2485" s="1403" t="n">
        <f aca="false">H2485*N2485</f>
        <v>0</v>
      </c>
      <c r="P2485" s="879" t="s">
        <v>2204</v>
      </c>
      <c r="Q2485" s="880" t="n">
        <v>22112024</v>
      </c>
      <c r="R2485" s="877" t="n">
        <v>0</v>
      </c>
      <c r="S2485" s="877" t="n">
        <v>1450</v>
      </c>
      <c r="T2485" s="1403" t="n">
        <f aca="false">O2485-R2485</f>
        <v>0</v>
      </c>
      <c r="U2485" s="553" t="n">
        <f aca="false">N2485-S2485</f>
        <v>0</v>
      </c>
    </row>
    <row r="2486" customFormat="false" ht="15" hidden="false" customHeight="true" outlineLevel="0" collapsed="false">
      <c r="A2486" s="829" t="n">
        <v>112</v>
      </c>
      <c r="B2486" s="830" t="s">
        <v>2207</v>
      </c>
      <c r="C2486" s="830" t="n">
        <v>2024</v>
      </c>
      <c r="D2486" s="831" t="s">
        <v>17</v>
      </c>
      <c r="E2486" s="831" t="s">
        <v>2192</v>
      </c>
      <c r="F2486" s="832" t="s">
        <v>1651</v>
      </c>
      <c r="G2486" s="830"/>
      <c r="H2486" s="834" t="n">
        <v>25.5571</v>
      </c>
      <c r="I2486" s="835"/>
      <c r="J2486" s="835"/>
      <c r="K2486" s="836" t="n">
        <f aca="false">H2486*I2486/100</f>
        <v>0</v>
      </c>
      <c r="L2486" s="837" t="n">
        <v>41545</v>
      </c>
      <c r="M2486" s="1003" t="n">
        <v>1</v>
      </c>
      <c r="N2486" s="837" t="n">
        <f aca="false">L2486*M2486</f>
        <v>41545</v>
      </c>
      <c r="O2486" s="943" t="n">
        <f aca="false">H2486*N2486</f>
        <v>1061769.7195</v>
      </c>
      <c r="P2486" s="838" t="s">
        <v>2197</v>
      </c>
      <c r="Q2486" s="839" t="s">
        <v>3275</v>
      </c>
      <c r="R2486" s="886" t="n">
        <v>127785.5</v>
      </c>
      <c r="S2486" s="886" t="n">
        <f aca="false">R2486/H2486</f>
        <v>5000</v>
      </c>
      <c r="T2486" s="943" t="n">
        <f aca="false">O2486-R2486-R2489-R2490-R2487-R2488</f>
        <v>0</v>
      </c>
      <c r="U2486" s="842" t="n">
        <f aca="false">N2486-S2486-S2489-S2490-S2487-S2488</f>
        <v>0</v>
      </c>
    </row>
    <row r="2487" customFormat="false" ht="15" hidden="false" customHeight="true" outlineLevel="0" collapsed="false">
      <c r="A2487" s="829"/>
      <c r="B2487" s="830"/>
      <c r="C2487" s="830"/>
      <c r="D2487" s="848" t="s">
        <v>17</v>
      </c>
      <c r="E2487" s="848" t="s">
        <v>2192</v>
      </c>
      <c r="F2487" s="832"/>
      <c r="G2487" s="830"/>
      <c r="H2487" s="834"/>
      <c r="I2487" s="835"/>
      <c r="J2487" s="835"/>
      <c r="K2487" s="836"/>
      <c r="L2487" s="837"/>
      <c r="M2487" s="1003"/>
      <c r="N2487" s="837"/>
      <c r="O2487" s="943"/>
      <c r="P2487" s="856" t="s">
        <v>2197</v>
      </c>
      <c r="Q2487" s="857" t="s">
        <v>3276</v>
      </c>
      <c r="R2487" s="866" t="n">
        <v>287413.299</v>
      </c>
      <c r="S2487" s="866" t="n">
        <f aca="false">R2487/H2486</f>
        <v>11245.9277069777</v>
      </c>
      <c r="T2487" s="943"/>
      <c r="U2487" s="842"/>
    </row>
    <row r="2488" customFormat="false" ht="15" hidden="false" customHeight="true" outlineLevel="0" collapsed="false">
      <c r="A2488" s="829"/>
      <c r="B2488" s="830"/>
      <c r="C2488" s="830"/>
      <c r="D2488" s="848" t="s">
        <v>17</v>
      </c>
      <c r="E2488" s="848" t="s">
        <v>2192</v>
      </c>
      <c r="F2488" s="832"/>
      <c r="G2488" s="830"/>
      <c r="H2488" s="834"/>
      <c r="I2488" s="835"/>
      <c r="J2488" s="835"/>
      <c r="K2488" s="836"/>
      <c r="L2488" s="837"/>
      <c r="M2488" s="1003"/>
      <c r="N2488" s="837"/>
      <c r="O2488" s="943"/>
      <c r="P2488" s="856" t="s">
        <v>2197</v>
      </c>
      <c r="Q2488" s="857" t="s">
        <v>3277</v>
      </c>
      <c r="R2488" s="866" t="n">
        <v>135940.0625</v>
      </c>
      <c r="S2488" s="866" t="n">
        <f aca="false">R2488/H2486</f>
        <v>5319.07229302229</v>
      </c>
      <c r="T2488" s="943"/>
      <c r="U2488" s="842"/>
    </row>
    <row r="2489" customFormat="false" ht="15" hidden="false" customHeight="true" outlineLevel="0" collapsed="false">
      <c r="A2489" s="829"/>
      <c r="B2489" s="830"/>
      <c r="C2489" s="830"/>
      <c r="D2489" s="860" t="s">
        <v>17</v>
      </c>
      <c r="E2489" s="860" t="s">
        <v>2192</v>
      </c>
      <c r="F2489" s="832"/>
      <c r="G2489" s="830"/>
      <c r="H2489" s="834"/>
      <c r="I2489" s="835"/>
      <c r="J2489" s="835"/>
      <c r="K2489" s="836"/>
      <c r="L2489" s="837"/>
      <c r="M2489" s="1003"/>
      <c r="N2489" s="837"/>
      <c r="O2489" s="943"/>
      <c r="P2489" s="868" t="s">
        <v>2197</v>
      </c>
      <c r="Q2489" s="869" t="s">
        <v>3278</v>
      </c>
      <c r="R2489" s="866" t="n">
        <v>255315.429</v>
      </c>
      <c r="S2489" s="866" t="n">
        <f aca="false">R2489/H2486</f>
        <v>9990</v>
      </c>
      <c r="T2489" s="943"/>
      <c r="U2489" s="842"/>
    </row>
    <row r="2490" customFormat="false" ht="15" hidden="false" customHeight="true" outlineLevel="0" collapsed="false">
      <c r="A2490" s="829"/>
      <c r="B2490" s="830"/>
      <c r="C2490" s="830"/>
      <c r="D2490" s="843" t="s">
        <v>17</v>
      </c>
      <c r="E2490" s="843" t="s">
        <v>2192</v>
      </c>
      <c r="F2490" s="832"/>
      <c r="G2490" s="830"/>
      <c r="H2490" s="834"/>
      <c r="I2490" s="835"/>
      <c r="J2490" s="835"/>
      <c r="K2490" s="836"/>
      <c r="L2490" s="837"/>
      <c r="M2490" s="1003"/>
      <c r="N2490" s="837"/>
      <c r="O2490" s="943"/>
      <c r="P2490" s="844" t="s">
        <v>2197</v>
      </c>
      <c r="Q2490" s="845" t="s">
        <v>3279</v>
      </c>
      <c r="R2490" s="846" t="n">
        <v>255315.429</v>
      </c>
      <c r="S2490" s="846" t="n">
        <f aca="false">R2490/H2486</f>
        <v>9990</v>
      </c>
      <c r="T2490" s="943"/>
      <c r="U2490" s="842"/>
    </row>
    <row r="2491" customFormat="false" ht="15" hidden="false" customHeight="true" outlineLevel="0" collapsed="false">
      <c r="A2491" s="903" t="n">
        <v>145</v>
      </c>
      <c r="B2491" s="903" t="s">
        <v>2207</v>
      </c>
      <c r="C2491" s="903" t="n">
        <v>2024</v>
      </c>
      <c r="D2491" s="904" t="s">
        <v>17</v>
      </c>
      <c r="E2491" s="904" t="s">
        <v>2192</v>
      </c>
      <c r="F2491" s="904" t="s">
        <v>1652</v>
      </c>
      <c r="G2491" s="903"/>
      <c r="H2491" s="946" t="n">
        <v>39.6718</v>
      </c>
      <c r="I2491" s="947"/>
      <c r="J2491" s="947"/>
      <c r="K2491" s="939" t="n">
        <f aca="false">H2491*I2491/100</f>
        <v>0</v>
      </c>
      <c r="L2491" s="942" t="n">
        <v>1010</v>
      </c>
      <c r="M2491" s="1023" t="n">
        <v>1</v>
      </c>
      <c r="N2491" s="942" t="n">
        <f aca="false">L2491*M2491</f>
        <v>1010</v>
      </c>
      <c r="O2491" s="948" t="n">
        <f aca="false">H2491*N2491</f>
        <v>40068.518</v>
      </c>
      <c r="P2491" s="910" t="s">
        <v>2197</v>
      </c>
      <c r="Q2491" s="911" t="s">
        <v>3280</v>
      </c>
      <c r="R2491" s="891" t="n">
        <v>40068.518</v>
      </c>
      <c r="S2491" s="891" t="n">
        <f aca="false">R2491/H2491</f>
        <v>1010</v>
      </c>
      <c r="T2491" s="948" t="n">
        <f aca="false">O2491-R2491</f>
        <v>0</v>
      </c>
      <c r="U2491" s="1026" t="n">
        <f aca="false">N2491-S2491</f>
        <v>0</v>
      </c>
    </row>
    <row r="2492" customFormat="false" ht="15" hidden="false" customHeight="true" outlineLevel="0" collapsed="false">
      <c r="A2492" s="829" t="n">
        <v>146</v>
      </c>
      <c r="B2492" s="830" t="s">
        <v>2207</v>
      </c>
      <c r="C2492" s="830" t="n">
        <v>2024</v>
      </c>
      <c r="D2492" s="831" t="s">
        <v>17</v>
      </c>
      <c r="E2492" s="831" t="s">
        <v>2192</v>
      </c>
      <c r="F2492" s="832" t="s">
        <v>1651</v>
      </c>
      <c r="G2492" s="830"/>
      <c r="H2492" s="834" t="n">
        <v>32.7754</v>
      </c>
      <c r="I2492" s="835"/>
      <c r="J2492" s="835"/>
      <c r="K2492" s="1318" t="n">
        <f aca="false">H2492*I2492/100</f>
        <v>0</v>
      </c>
      <c r="L2492" s="837" t="n">
        <v>12570</v>
      </c>
      <c r="M2492" s="1003" t="n">
        <v>1</v>
      </c>
      <c r="N2492" s="837" t="n">
        <f aca="false">L2492*M2492</f>
        <v>12570</v>
      </c>
      <c r="O2492" s="943" t="n">
        <f aca="false">H2492*N2492</f>
        <v>411986.778</v>
      </c>
      <c r="P2492" s="838" t="s">
        <v>2197</v>
      </c>
      <c r="Q2492" s="839" t="s">
        <v>3281</v>
      </c>
      <c r="R2492" s="840" t="n">
        <v>327426.246</v>
      </c>
      <c r="S2492" s="840" t="n">
        <f aca="false">R2492/H2492</f>
        <v>9990</v>
      </c>
      <c r="T2492" s="943" t="n">
        <f aca="false">O2492-R2492-R2493</f>
        <v>0</v>
      </c>
      <c r="U2492" s="842" t="n">
        <f aca="false">N2492-S2492-S2493</f>
        <v>0</v>
      </c>
    </row>
    <row r="2493" customFormat="false" ht="15" hidden="false" customHeight="true" outlineLevel="0" collapsed="false">
      <c r="A2493" s="829"/>
      <c r="B2493" s="830"/>
      <c r="C2493" s="830"/>
      <c r="D2493" s="887" t="s">
        <v>17</v>
      </c>
      <c r="E2493" s="887" t="s">
        <v>2192</v>
      </c>
      <c r="F2493" s="832"/>
      <c r="G2493" s="830"/>
      <c r="H2493" s="834"/>
      <c r="I2493" s="835"/>
      <c r="J2493" s="835"/>
      <c r="K2493" s="1318"/>
      <c r="L2493" s="837"/>
      <c r="M2493" s="1003"/>
      <c r="N2493" s="837"/>
      <c r="O2493" s="943"/>
      <c r="P2493" s="888" t="s">
        <v>2197</v>
      </c>
      <c r="Q2493" s="889" t="s">
        <v>3282</v>
      </c>
      <c r="R2493" s="890" t="n">
        <v>84560.532</v>
      </c>
      <c r="S2493" s="890" t="n">
        <f aca="false">R2493/H2492</f>
        <v>2580</v>
      </c>
      <c r="T2493" s="943"/>
      <c r="U2493" s="842"/>
    </row>
    <row r="2494" customFormat="false" ht="15" hidden="false" customHeight="true" outlineLevel="0" collapsed="false">
      <c r="A2494" s="903" t="n">
        <v>154</v>
      </c>
      <c r="B2494" s="903" t="s">
        <v>81</v>
      </c>
      <c r="C2494" s="903" t="n">
        <v>2024</v>
      </c>
      <c r="D2494" s="904" t="s">
        <v>17</v>
      </c>
      <c r="E2494" s="904" t="s">
        <v>2192</v>
      </c>
      <c r="F2494" s="904" t="s">
        <v>2199</v>
      </c>
      <c r="G2494" s="903"/>
      <c r="H2494" s="946" t="n">
        <v>54.5</v>
      </c>
      <c r="I2494" s="947"/>
      <c r="J2494" s="947"/>
      <c r="K2494" s="939" t="n">
        <f aca="false">H2494*I2494/100</f>
        <v>0</v>
      </c>
      <c r="L2494" s="942" t="n">
        <v>13500</v>
      </c>
      <c r="M2494" s="1023" t="n">
        <v>1</v>
      </c>
      <c r="N2494" s="942" t="n">
        <f aca="false">L2494*M2494</f>
        <v>13500</v>
      </c>
      <c r="O2494" s="948" t="n">
        <f aca="false">H2494*N2494</f>
        <v>735750</v>
      </c>
      <c r="P2494" s="910" t="s">
        <v>2237</v>
      </c>
      <c r="Q2494" s="911" t="s">
        <v>2915</v>
      </c>
      <c r="R2494" s="891" t="n">
        <v>735750</v>
      </c>
      <c r="S2494" s="891" t="n">
        <f aca="false">R2494/H2494</f>
        <v>13500</v>
      </c>
      <c r="T2494" s="948" t="n">
        <f aca="false">O2494-R2494</f>
        <v>0</v>
      </c>
      <c r="U2494" s="1026" t="n">
        <f aca="false">N2494-S2494</f>
        <v>0</v>
      </c>
    </row>
    <row r="2495" customFormat="false" ht="15" hidden="false" customHeight="true" outlineLevel="0" collapsed="false">
      <c r="A2495" s="881" t="n">
        <v>117</v>
      </c>
      <c r="B2495" s="829" t="s">
        <v>86</v>
      </c>
      <c r="C2495" s="830" t="n">
        <v>2024</v>
      </c>
      <c r="D2495" s="831" t="s">
        <v>17</v>
      </c>
      <c r="E2495" s="831" t="s">
        <v>2192</v>
      </c>
      <c r="F2495" s="832" t="s">
        <v>1650</v>
      </c>
      <c r="G2495" s="830"/>
      <c r="H2495" s="834" t="n">
        <v>94.9</v>
      </c>
      <c r="I2495" s="835"/>
      <c r="J2495" s="835"/>
      <c r="K2495" s="836" t="n">
        <f aca="false">H2495*I2495/100</f>
        <v>0</v>
      </c>
      <c r="L2495" s="837" t="n">
        <v>8030</v>
      </c>
      <c r="M2495" s="1003" t="n">
        <v>1</v>
      </c>
      <c r="N2495" s="837" t="n">
        <f aca="false">L2495*M2495</f>
        <v>8030</v>
      </c>
      <c r="O2495" s="943" t="n">
        <f aca="false">H2495*N2495</f>
        <v>762047</v>
      </c>
      <c r="P2495" s="838" t="s">
        <v>2193</v>
      </c>
      <c r="Q2495" s="839" t="s">
        <v>3283</v>
      </c>
      <c r="R2495" s="840" t="n">
        <v>355875</v>
      </c>
      <c r="S2495" s="886" t="n">
        <f aca="false">R2495/H2495</f>
        <v>3750</v>
      </c>
      <c r="T2495" s="943" t="n">
        <f aca="false">O2495-R2495-R2498-R2497-R2496</f>
        <v>0</v>
      </c>
      <c r="U2495" s="842" t="n">
        <f aca="false">N2495-S2495-S2498-S2497-S2496</f>
        <v>0</v>
      </c>
    </row>
    <row r="2496" customFormat="false" ht="15" hidden="false" customHeight="true" outlineLevel="0" collapsed="false">
      <c r="A2496" s="881"/>
      <c r="B2496" s="829"/>
      <c r="C2496" s="830"/>
      <c r="D2496" s="848" t="s">
        <v>17</v>
      </c>
      <c r="E2496" s="848" t="s">
        <v>2192</v>
      </c>
      <c r="F2496" s="832"/>
      <c r="G2496" s="830"/>
      <c r="H2496" s="834"/>
      <c r="I2496" s="835"/>
      <c r="J2496" s="835"/>
      <c r="K2496" s="836"/>
      <c r="L2496" s="837"/>
      <c r="M2496" s="1003"/>
      <c r="N2496" s="837"/>
      <c r="O2496" s="943"/>
      <c r="P2496" s="856" t="s">
        <v>2193</v>
      </c>
      <c r="Q2496" s="857" t="s">
        <v>2624</v>
      </c>
      <c r="R2496" s="854" t="n">
        <v>336895</v>
      </c>
      <c r="S2496" s="866" t="n">
        <f aca="false">R2496/H2495</f>
        <v>3550</v>
      </c>
      <c r="T2496" s="943"/>
      <c r="U2496" s="842"/>
    </row>
    <row r="2497" customFormat="false" ht="15" hidden="false" customHeight="true" outlineLevel="0" collapsed="false">
      <c r="A2497" s="881"/>
      <c r="B2497" s="829"/>
      <c r="C2497" s="830"/>
      <c r="D2497" s="860" t="s">
        <v>17</v>
      </c>
      <c r="E2497" s="860" t="s">
        <v>2192</v>
      </c>
      <c r="F2497" s="832"/>
      <c r="G2497" s="830"/>
      <c r="H2497" s="834"/>
      <c r="I2497" s="835"/>
      <c r="J2497" s="835"/>
      <c r="K2497" s="836"/>
      <c r="L2497" s="837"/>
      <c r="M2497" s="1003"/>
      <c r="N2497" s="837"/>
      <c r="O2497" s="943"/>
      <c r="P2497" s="868" t="s">
        <v>2232</v>
      </c>
      <c r="Q2497" s="869" t="s">
        <v>2487</v>
      </c>
      <c r="R2497" s="866" t="n">
        <v>9490</v>
      </c>
      <c r="S2497" s="866" t="n">
        <f aca="false">R2497/H2495</f>
        <v>100</v>
      </c>
      <c r="T2497" s="943"/>
      <c r="U2497" s="842"/>
    </row>
    <row r="2498" customFormat="false" ht="15" hidden="false" customHeight="true" outlineLevel="0" collapsed="false">
      <c r="A2498" s="881"/>
      <c r="B2498" s="829"/>
      <c r="C2498" s="830"/>
      <c r="D2498" s="887" t="s">
        <v>17</v>
      </c>
      <c r="E2498" s="887" t="s">
        <v>2192</v>
      </c>
      <c r="F2498" s="832"/>
      <c r="G2498" s="830"/>
      <c r="H2498" s="834"/>
      <c r="I2498" s="835"/>
      <c r="J2498" s="835"/>
      <c r="K2498" s="836"/>
      <c r="L2498" s="837"/>
      <c r="M2498" s="1003"/>
      <c r="N2498" s="837"/>
      <c r="O2498" s="943"/>
      <c r="P2498" s="888" t="s">
        <v>2193</v>
      </c>
      <c r="Q2498" s="889" t="s">
        <v>3284</v>
      </c>
      <c r="R2498" s="890" t="n">
        <v>59787</v>
      </c>
      <c r="S2498" s="890" t="n">
        <f aca="false">R2498/H2495</f>
        <v>630</v>
      </c>
      <c r="T2498" s="943"/>
      <c r="U2498" s="842"/>
    </row>
    <row r="2499" customFormat="false" ht="15" hidden="false" customHeight="true" outlineLevel="0" collapsed="false">
      <c r="A2499" s="881"/>
      <c r="B2499" s="847" t="s">
        <v>86</v>
      </c>
      <c r="C2499" s="847" t="n">
        <v>2024</v>
      </c>
      <c r="D2499" s="848" t="s">
        <v>17</v>
      </c>
      <c r="E2499" s="848" t="s">
        <v>2242</v>
      </c>
      <c r="F2499" s="848"/>
      <c r="G2499" s="847"/>
      <c r="H2499" s="949" t="n">
        <v>63.8</v>
      </c>
      <c r="I2499" s="950"/>
      <c r="J2499" s="950"/>
      <c r="K2499" s="852" t="n">
        <f aca="false">H2499*I2499/100</f>
        <v>0</v>
      </c>
      <c r="L2499" s="537" t="n">
        <v>769</v>
      </c>
      <c r="M2499" s="1007" t="n">
        <v>1</v>
      </c>
      <c r="N2499" s="537" t="n">
        <f aca="false">L2499*M2499</f>
        <v>769</v>
      </c>
      <c r="O2499" s="953" t="n">
        <f aca="false">H2499*N2499</f>
        <v>49062.2</v>
      </c>
      <c r="P2499" s="856" t="s">
        <v>2232</v>
      </c>
      <c r="Q2499" s="857" t="s">
        <v>2476</v>
      </c>
      <c r="R2499" s="1088" t="n">
        <v>49062.2</v>
      </c>
      <c r="S2499" s="854" t="n">
        <f aca="false">R2499/H2499</f>
        <v>769</v>
      </c>
      <c r="T2499" s="953" t="n">
        <f aca="false">O2499-R2499</f>
        <v>0</v>
      </c>
      <c r="U2499" s="892" t="n">
        <f aca="false">N2499-S2499</f>
        <v>0</v>
      </c>
    </row>
    <row r="2500" customFormat="false" ht="15" hidden="false" customHeight="true" outlineLevel="0" collapsed="false">
      <c r="A2500" s="881"/>
      <c r="B2500" s="859" t="s">
        <v>86</v>
      </c>
      <c r="C2500" s="859" t="n">
        <v>2024</v>
      </c>
      <c r="D2500" s="860" t="s">
        <v>17</v>
      </c>
      <c r="E2500" s="860" t="s">
        <v>2203</v>
      </c>
      <c r="F2500" s="860"/>
      <c r="G2500" s="859"/>
      <c r="H2500" s="980" t="n">
        <v>24.6</v>
      </c>
      <c r="I2500" s="981"/>
      <c r="J2500" s="981"/>
      <c r="K2500" s="864" t="n">
        <f aca="false">H2500*I2500/100</f>
        <v>0</v>
      </c>
      <c r="L2500" s="543" t="n">
        <v>1557</v>
      </c>
      <c r="M2500" s="983" t="n">
        <v>1</v>
      </c>
      <c r="N2500" s="543" t="n">
        <f aca="false">L2500*M2500</f>
        <v>1557</v>
      </c>
      <c r="O2500" s="1449" t="n">
        <f aca="false">H2500*N2500</f>
        <v>38302.2</v>
      </c>
      <c r="P2500" s="868" t="s">
        <v>2237</v>
      </c>
      <c r="Q2500" s="869" t="s">
        <v>2679</v>
      </c>
      <c r="R2500" s="866" t="n">
        <v>38302.2</v>
      </c>
      <c r="S2500" s="854" t="n">
        <f aca="false">R2500/H2500</f>
        <v>1557</v>
      </c>
      <c r="T2500" s="1449" t="n">
        <f aca="false">O2500-R2500</f>
        <v>0</v>
      </c>
      <c r="U2500" s="1135" t="n">
        <f aca="false">N2500-S2500</f>
        <v>0</v>
      </c>
    </row>
    <row r="2501" customFormat="false" ht="15" hidden="false" customHeight="true" outlineLevel="0" collapsed="false">
      <c r="A2501" s="881"/>
      <c r="B2501" s="859" t="s">
        <v>86</v>
      </c>
      <c r="C2501" s="859" t="n">
        <v>2024</v>
      </c>
      <c r="D2501" s="860" t="s">
        <v>17</v>
      </c>
      <c r="E2501" s="860" t="s">
        <v>2241</v>
      </c>
      <c r="F2501" s="860"/>
      <c r="G2501" s="859"/>
      <c r="H2501" s="980" t="n">
        <v>2.6</v>
      </c>
      <c r="I2501" s="981"/>
      <c r="J2501" s="981"/>
      <c r="K2501" s="864" t="n">
        <f aca="false">H2501*I2501/100</f>
        <v>0</v>
      </c>
      <c r="L2501" s="543" t="n">
        <v>1696</v>
      </c>
      <c r="M2501" s="983" t="n">
        <v>1</v>
      </c>
      <c r="N2501" s="543" t="n">
        <f aca="false">L2501*M2501</f>
        <v>1696</v>
      </c>
      <c r="O2501" s="1449" t="n">
        <f aca="false">H2501*N2501</f>
        <v>4409.6</v>
      </c>
      <c r="P2501" s="868" t="s">
        <v>2204</v>
      </c>
      <c r="Q2501" s="869" t="n">
        <v>28022025</v>
      </c>
      <c r="R2501" s="866" t="n">
        <v>4409.6</v>
      </c>
      <c r="S2501" s="854" t="n">
        <f aca="false">R2501/H2501</f>
        <v>1696</v>
      </c>
      <c r="T2501" s="1449" t="n">
        <f aca="false">O2501-R2501</f>
        <v>0</v>
      </c>
      <c r="U2501" s="1135" t="n">
        <f aca="false">N2501-S2501</f>
        <v>0</v>
      </c>
    </row>
    <row r="2502" customFormat="false" ht="14.25" hidden="false" customHeight="false" outlineLevel="0" collapsed="false">
      <c r="A2502" s="881"/>
      <c r="B2502" s="893" t="s">
        <v>86</v>
      </c>
      <c r="C2502" s="893" t="n">
        <v>2024</v>
      </c>
      <c r="D2502" s="843" t="s">
        <v>17</v>
      </c>
      <c r="E2502" s="843" t="s">
        <v>2205</v>
      </c>
      <c r="F2502" s="843"/>
      <c r="G2502" s="893"/>
      <c r="H2502" s="1103" t="n">
        <v>0</v>
      </c>
      <c r="I2502" s="1104"/>
      <c r="J2502" s="1104"/>
      <c r="K2502" s="897" t="n">
        <f aca="false">H2502*I2502/100</f>
        <v>0</v>
      </c>
      <c r="L2502" s="589" t="n">
        <v>1256</v>
      </c>
      <c r="M2502" s="1106" t="n">
        <v>1</v>
      </c>
      <c r="N2502" s="589" t="n">
        <f aca="false">L2502*M2502</f>
        <v>1256</v>
      </c>
      <c r="O2502" s="1183" t="n">
        <f aca="false">H2502*N2502</f>
        <v>0</v>
      </c>
      <c r="P2502" s="844" t="s">
        <v>2204</v>
      </c>
      <c r="Q2502" s="845" t="n">
        <v>28022025</v>
      </c>
      <c r="R2502" s="846" t="n">
        <v>0</v>
      </c>
      <c r="S2502" s="846" t="n">
        <v>1256</v>
      </c>
      <c r="T2502" s="1183" t="n">
        <f aca="false">O2502-R2502</f>
        <v>0</v>
      </c>
      <c r="U2502" s="902" t="n">
        <f aca="false">N2502-S2502</f>
        <v>0</v>
      </c>
    </row>
    <row r="2503" customFormat="false" ht="14.25" hidden="false" customHeight="false" outlineLevel="0" collapsed="false">
      <c r="A2503" s="881" t="n">
        <v>164</v>
      </c>
      <c r="B2503" s="829" t="s">
        <v>2207</v>
      </c>
      <c r="C2503" s="830" t="n">
        <v>2024</v>
      </c>
      <c r="D2503" s="831" t="s">
        <v>17</v>
      </c>
      <c r="E2503" s="831" t="s">
        <v>2192</v>
      </c>
      <c r="F2503" s="832" t="s">
        <v>1651</v>
      </c>
      <c r="G2503" s="830"/>
      <c r="H2503" s="834" t="n">
        <v>26.9602</v>
      </c>
      <c r="I2503" s="835"/>
      <c r="J2503" s="835"/>
      <c r="K2503" s="836" t="n">
        <f aca="false">H2503*I2503/100</f>
        <v>0</v>
      </c>
      <c r="L2503" s="837" t="n">
        <v>13200</v>
      </c>
      <c r="M2503" s="1003" t="n">
        <v>1</v>
      </c>
      <c r="N2503" s="837" t="n">
        <f aca="false">L2503*M2503</f>
        <v>13200</v>
      </c>
      <c r="O2503" s="943" t="n">
        <f aca="false">H2503*N2503</f>
        <v>355874.64</v>
      </c>
      <c r="P2503" s="838" t="s">
        <v>2197</v>
      </c>
      <c r="Q2503" s="839" t="s">
        <v>3285</v>
      </c>
      <c r="R2503" s="840" t="n">
        <v>27175.8816</v>
      </c>
      <c r="S2503" s="886" t="n">
        <f aca="false">R2503/H2503</f>
        <v>1008</v>
      </c>
      <c r="T2503" s="943" t="n">
        <f aca="false">O2503-R2503-R2504-R2505-R2506</f>
        <v>0</v>
      </c>
      <c r="U2503" s="842" t="n">
        <f aca="false">N2503-S2503-S2504-S2505-S2506</f>
        <v>0</v>
      </c>
    </row>
    <row r="2504" customFormat="false" ht="14.25" hidden="false" customHeight="false" outlineLevel="0" collapsed="false">
      <c r="A2504" s="881"/>
      <c r="B2504" s="829"/>
      <c r="C2504" s="830"/>
      <c r="D2504" s="848" t="s">
        <v>17</v>
      </c>
      <c r="E2504" s="848" t="s">
        <v>2192</v>
      </c>
      <c r="F2504" s="832"/>
      <c r="G2504" s="830"/>
      <c r="H2504" s="834"/>
      <c r="I2504" s="835"/>
      <c r="J2504" s="835"/>
      <c r="K2504" s="836"/>
      <c r="L2504" s="837"/>
      <c r="M2504" s="1003"/>
      <c r="N2504" s="837"/>
      <c r="O2504" s="943"/>
      <c r="P2504" s="856" t="s">
        <v>2197</v>
      </c>
      <c r="Q2504" s="857" t="s">
        <v>3286</v>
      </c>
      <c r="R2504" s="854" t="n">
        <v>50685.176</v>
      </c>
      <c r="S2504" s="866" t="n">
        <f aca="false">R2504/H2503</f>
        <v>1880</v>
      </c>
      <c r="T2504" s="943"/>
      <c r="U2504" s="842"/>
    </row>
    <row r="2505" customFormat="false" ht="14.25" hidden="false" customHeight="false" outlineLevel="0" collapsed="false">
      <c r="A2505" s="881"/>
      <c r="B2505" s="829"/>
      <c r="C2505" s="830"/>
      <c r="D2505" s="848" t="s">
        <v>17</v>
      </c>
      <c r="E2505" s="848" t="s">
        <v>2192</v>
      </c>
      <c r="F2505" s="832"/>
      <c r="G2505" s="830"/>
      <c r="H2505" s="834"/>
      <c r="I2505" s="835"/>
      <c r="J2505" s="835"/>
      <c r="K2505" s="836"/>
      <c r="L2505" s="837"/>
      <c r="M2505" s="1003"/>
      <c r="N2505" s="837"/>
      <c r="O2505" s="943"/>
      <c r="P2505" s="856" t="s">
        <v>2197</v>
      </c>
      <c r="Q2505" s="857" t="s">
        <v>3287</v>
      </c>
      <c r="R2505" s="854" t="n">
        <v>78049.779</v>
      </c>
      <c r="S2505" s="866" t="n">
        <f aca="false">R2505/H2503</f>
        <v>2895</v>
      </c>
      <c r="T2505" s="943"/>
      <c r="U2505" s="842"/>
    </row>
    <row r="2506" customFormat="false" ht="14.25" hidden="false" customHeight="false" outlineLevel="0" collapsed="false">
      <c r="A2506" s="881"/>
      <c r="B2506" s="829"/>
      <c r="C2506" s="830"/>
      <c r="D2506" s="887" t="s">
        <v>17</v>
      </c>
      <c r="E2506" s="887" t="s">
        <v>2192</v>
      </c>
      <c r="F2506" s="832"/>
      <c r="G2506" s="830"/>
      <c r="H2506" s="834"/>
      <c r="I2506" s="835"/>
      <c r="J2506" s="835"/>
      <c r="K2506" s="836"/>
      <c r="L2506" s="837"/>
      <c r="M2506" s="1003"/>
      <c r="N2506" s="837"/>
      <c r="O2506" s="943"/>
      <c r="P2506" s="888" t="s">
        <v>2197</v>
      </c>
      <c r="Q2506" s="889" t="s">
        <v>3288</v>
      </c>
      <c r="R2506" s="890" t="n">
        <v>199963.8034</v>
      </c>
      <c r="S2506" s="846" t="n">
        <f aca="false">R2506/H2503</f>
        <v>7417</v>
      </c>
      <c r="T2506" s="943"/>
      <c r="U2506" s="842"/>
    </row>
    <row r="2507" customFormat="false" ht="15" hidden="false" customHeight="true" outlineLevel="0" collapsed="false">
      <c r="A2507" s="847" t="n">
        <v>165</v>
      </c>
      <c r="B2507" s="847" t="s">
        <v>2207</v>
      </c>
      <c r="C2507" s="847" t="n">
        <v>2024</v>
      </c>
      <c r="D2507" s="848" t="s">
        <v>17</v>
      </c>
      <c r="E2507" s="848" t="s">
        <v>2192</v>
      </c>
      <c r="F2507" s="848" t="s">
        <v>1652</v>
      </c>
      <c r="G2507" s="847"/>
      <c r="H2507" s="949" t="n">
        <v>39.3335</v>
      </c>
      <c r="I2507" s="950"/>
      <c r="J2507" s="950"/>
      <c r="K2507" s="852" t="n">
        <f aca="false">H2507*I2507/100</f>
        <v>0</v>
      </c>
      <c r="L2507" s="537" t="n">
        <v>1520</v>
      </c>
      <c r="M2507" s="1007" t="n">
        <v>1</v>
      </c>
      <c r="N2507" s="537" t="n">
        <f aca="false">L2507*M2507</f>
        <v>1520</v>
      </c>
      <c r="O2507" s="953" t="n">
        <f aca="false">H2507*N2507</f>
        <v>59786.92</v>
      </c>
      <c r="P2507" s="856" t="s">
        <v>2197</v>
      </c>
      <c r="Q2507" s="857" t="s">
        <v>3289</v>
      </c>
      <c r="R2507" s="854" t="n">
        <v>59786.92</v>
      </c>
      <c r="S2507" s="891" t="n">
        <f aca="false">R2507/H2507</f>
        <v>1520</v>
      </c>
      <c r="T2507" s="953" t="n">
        <f aca="false">O2507-R2507</f>
        <v>0</v>
      </c>
      <c r="U2507" s="537" t="n">
        <f aca="false">N2507-S2507</f>
        <v>0</v>
      </c>
    </row>
    <row r="2508" customFormat="false" ht="15" hidden="false" customHeight="true" outlineLevel="0" collapsed="false">
      <c r="A2508" s="847" t="n">
        <v>58</v>
      </c>
      <c r="B2508" s="847" t="s">
        <v>2230</v>
      </c>
      <c r="C2508" s="847" t="n">
        <v>2024</v>
      </c>
      <c r="D2508" s="848" t="s">
        <v>17</v>
      </c>
      <c r="E2508" s="848" t="s">
        <v>2192</v>
      </c>
      <c r="F2508" s="848" t="s">
        <v>2199</v>
      </c>
      <c r="G2508" s="847"/>
      <c r="H2508" s="949" t="n">
        <v>59.5921</v>
      </c>
      <c r="I2508" s="950"/>
      <c r="J2508" s="950"/>
      <c r="K2508" s="852" t="n">
        <f aca="false">H2508*I2508/100</f>
        <v>0</v>
      </c>
      <c r="L2508" s="537" t="n">
        <v>1625</v>
      </c>
      <c r="M2508" s="1007" t="n">
        <v>1</v>
      </c>
      <c r="N2508" s="537" t="n">
        <f aca="false">L2508*M2508</f>
        <v>1625</v>
      </c>
      <c r="O2508" s="953" t="n">
        <f aca="false">H2508*N2508</f>
        <v>96837.1625</v>
      </c>
      <c r="P2508" s="856" t="s">
        <v>2232</v>
      </c>
      <c r="Q2508" s="857" t="s">
        <v>2487</v>
      </c>
      <c r="R2508" s="854" t="n">
        <v>96837.1625</v>
      </c>
      <c r="S2508" s="866" t="n">
        <f aca="false">R2508/H2508</f>
        <v>1625</v>
      </c>
      <c r="T2508" s="953" t="n">
        <f aca="false">O2508-R2508</f>
        <v>0</v>
      </c>
      <c r="U2508" s="543" t="n">
        <f aca="false">N2508-S2508</f>
        <v>0</v>
      </c>
    </row>
    <row r="2509" customFormat="false" ht="15" hidden="false" customHeight="true" outlineLevel="0" collapsed="false">
      <c r="A2509" s="903" t="s">
        <v>2488</v>
      </c>
      <c r="B2509" s="903" t="s">
        <v>2230</v>
      </c>
      <c r="C2509" s="903" t="n">
        <v>2024</v>
      </c>
      <c r="D2509" s="904" t="s">
        <v>17</v>
      </c>
      <c r="E2509" s="904" t="s">
        <v>2192</v>
      </c>
      <c r="F2509" s="904" t="s">
        <v>2199</v>
      </c>
      <c r="G2509" s="903"/>
      <c r="H2509" s="946" t="n">
        <v>61.6389</v>
      </c>
      <c r="I2509" s="947"/>
      <c r="J2509" s="947"/>
      <c r="K2509" s="939" t="n">
        <f aca="false">H2509*I2509/100</f>
        <v>0</v>
      </c>
      <c r="L2509" s="942" t="n">
        <v>1725</v>
      </c>
      <c r="M2509" s="1023" t="n">
        <v>1</v>
      </c>
      <c r="N2509" s="942" t="n">
        <f aca="false">L2509*M2509</f>
        <v>1725</v>
      </c>
      <c r="O2509" s="948" t="n">
        <f aca="false">H2509*N2509</f>
        <v>106327.1025</v>
      </c>
      <c r="P2509" s="910" t="s">
        <v>2197</v>
      </c>
      <c r="Q2509" s="911" t="s">
        <v>3290</v>
      </c>
      <c r="R2509" s="891" t="n">
        <v>106327.1025</v>
      </c>
      <c r="S2509" s="877" t="n">
        <f aca="false">R2509/H2509</f>
        <v>1725</v>
      </c>
      <c r="T2509" s="948" t="n">
        <f aca="false">O2509-R2509</f>
        <v>0</v>
      </c>
      <c r="U2509" s="553" t="n">
        <f aca="false">N2509-S2509</f>
        <v>0</v>
      </c>
    </row>
    <row r="2510" customFormat="false" ht="15" hidden="false" customHeight="true" outlineLevel="0" collapsed="false">
      <c r="A2510" s="882" t="n">
        <v>188</v>
      </c>
      <c r="B2510" s="883" t="s">
        <v>2207</v>
      </c>
      <c r="C2510" s="883" t="n">
        <v>2024</v>
      </c>
      <c r="D2510" s="831" t="s">
        <v>17</v>
      </c>
      <c r="E2510" s="831" t="s">
        <v>2192</v>
      </c>
      <c r="F2510" s="832" t="s">
        <v>1651</v>
      </c>
      <c r="G2510" s="883"/>
      <c r="H2510" s="834" t="n">
        <v>28.5143</v>
      </c>
      <c r="I2510" s="835"/>
      <c r="J2510" s="835"/>
      <c r="K2510" s="836" t="n">
        <f aca="false">H2510*I2510/100</f>
        <v>0</v>
      </c>
      <c r="L2510" s="837" t="n">
        <v>11812</v>
      </c>
      <c r="M2510" s="1003" t="n">
        <v>1</v>
      </c>
      <c r="N2510" s="837" t="n">
        <f aca="false">L2510*M2510</f>
        <v>11812</v>
      </c>
      <c r="O2510" s="943" t="n">
        <f aca="false">H2510*N2510</f>
        <v>336810.9116</v>
      </c>
      <c r="P2510" s="838" t="s">
        <v>2197</v>
      </c>
      <c r="Q2510" s="839" t="s">
        <v>3291</v>
      </c>
      <c r="R2510" s="1145" t="n">
        <v>17536.2945</v>
      </c>
      <c r="S2510" s="840" t="n">
        <f aca="false">R2510/H2510</f>
        <v>615</v>
      </c>
      <c r="T2510" s="943" t="n">
        <f aca="false">O2510-R2510-R2511-R2512</f>
        <v>0</v>
      </c>
      <c r="U2510" s="842" t="n">
        <f aca="false">N2510-S2510-S2511-S2512</f>
        <v>-1.81898940354586E-012</v>
      </c>
    </row>
    <row r="2511" customFormat="false" ht="15" hidden="false" customHeight="true" outlineLevel="0" collapsed="false">
      <c r="A2511" s="882"/>
      <c r="B2511" s="883"/>
      <c r="C2511" s="883"/>
      <c r="D2511" s="848" t="s">
        <v>17</v>
      </c>
      <c r="E2511" s="848" t="s">
        <v>2192</v>
      </c>
      <c r="F2511" s="832"/>
      <c r="G2511" s="883"/>
      <c r="H2511" s="834"/>
      <c r="I2511" s="835"/>
      <c r="J2511" s="835"/>
      <c r="K2511" s="836"/>
      <c r="L2511" s="837"/>
      <c r="M2511" s="1003"/>
      <c r="N2511" s="837"/>
      <c r="O2511" s="943"/>
      <c r="P2511" s="856" t="s">
        <v>2197</v>
      </c>
      <c r="Q2511" s="857" t="s">
        <v>3292</v>
      </c>
      <c r="R2511" s="854" t="n">
        <v>284857.857</v>
      </c>
      <c r="S2511" s="866" t="n">
        <f aca="false">R2511/H2510</f>
        <v>9990</v>
      </c>
      <c r="T2511" s="943"/>
      <c r="U2511" s="842"/>
    </row>
    <row r="2512" customFormat="false" ht="15" hidden="false" customHeight="true" outlineLevel="0" collapsed="false">
      <c r="A2512" s="882"/>
      <c r="B2512" s="883"/>
      <c r="C2512" s="883"/>
      <c r="D2512" s="887" t="s">
        <v>17</v>
      </c>
      <c r="E2512" s="887" t="s">
        <v>2192</v>
      </c>
      <c r="F2512" s="832"/>
      <c r="G2512" s="883"/>
      <c r="H2512" s="834"/>
      <c r="I2512" s="835"/>
      <c r="J2512" s="835"/>
      <c r="K2512" s="836"/>
      <c r="L2512" s="837"/>
      <c r="M2512" s="1003"/>
      <c r="N2512" s="837"/>
      <c r="O2512" s="943"/>
      <c r="P2512" s="888" t="s">
        <v>2197</v>
      </c>
      <c r="Q2512" s="889" t="s">
        <v>3293</v>
      </c>
      <c r="R2512" s="890" t="n">
        <v>34416.7601</v>
      </c>
      <c r="S2512" s="846" t="n">
        <f aca="false">R2512/H2510</f>
        <v>1207</v>
      </c>
      <c r="T2512" s="943"/>
      <c r="U2512" s="842"/>
    </row>
    <row r="2513" customFormat="false" ht="15" hidden="false" customHeight="true" outlineLevel="0" collapsed="false">
      <c r="A2513" s="954" t="n">
        <v>3</v>
      </c>
      <c r="B2513" s="954" t="s">
        <v>2191</v>
      </c>
      <c r="C2513" s="954" t="n">
        <v>2025</v>
      </c>
      <c r="D2513" s="955" t="s">
        <v>17</v>
      </c>
      <c r="E2513" s="955" t="s">
        <v>2192</v>
      </c>
      <c r="F2513" s="955" t="s">
        <v>1651</v>
      </c>
      <c r="G2513" s="954"/>
      <c r="H2513" s="957" t="n">
        <v>25.796</v>
      </c>
      <c r="I2513" s="958"/>
      <c r="J2513" s="958"/>
      <c r="K2513" s="959" t="n">
        <f aca="false">H2513*I2513/100</f>
        <v>0</v>
      </c>
      <c r="L2513" s="960" t="n">
        <v>806</v>
      </c>
      <c r="M2513" s="1201" t="n">
        <v>1</v>
      </c>
      <c r="N2513" s="960" t="n">
        <f aca="false">L2513*M2513</f>
        <v>806</v>
      </c>
      <c r="O2513" s="967" t="n">
        <f aca="false">H2513*N2513</f>
        <v>20791.576</v>
      </c>
      <c r="P2513" s="963"/>
      <c r="Q2513" s="964"/>
      <c r="R2513" s="1205"/>
      <c r="S2513" s="1205"/>
      <c r="T2513" s="967" t="n">
        <f aca="false">O2513-R2513</f>
        <v>20791.576</v>
      </c>
      <c r="U2513" s="960" t="n">
        <f aca="false">N2513-S2513</f>
        <v>806</v>
      </c>
    </row>
    <row r="2514" customFormat="false" ht="15" hidden="false" customHeight="true" outlineLevel="0" collapsed="false">
      <c r="A2514" s="954" t="n">
        <v>435</v>
      </c>
      <c r="B2514" s="954" t="s">
        <v>2191</v>
      </c>
      <c r="C2514" s="954" t="n">
        <v>2025</v>
      </c>
      <c r="D2514" s="955" t="s">
        <v>17</v>
      </c>
      <c r="E2514" s="955" t="s">
        <v>2192</v>
      </c>
      <c r="F2514" s="955" t="s">
        <v>1651</v>
      </c>
      <c r="G2514" s="954"/>
      <c r="H2514" s="957" t="n">
        <v>28.6253</v>
      </c>
      <c r="I2514" s="958"/>
      <c r="J2514" s="958"/>
      <c r="K2514" s="959" t="n">
        <f aca="false">H2514*I2514/100</f>
        <v>0</v>
      </c>
      <c r="L2514" s="960" t="n">
        <v>20</v>
      </c>
      <c r="M2514" s="1201" t="n">
        <v>1</v>
      </c>
      <c r="N2514" s="960" t="n">
        <f aca="false">L2514*M2514</f>
        <v>20</v>
      </c>
      <c r="O2514" s="967" t="n">
        <f aca="false">H2514*N2514</f>
        <v>572.506</v>
      </c>
      <c r="P2514" s="963"/>
      <c r="Q2514" s="964"/>
      <c r="R2514" s="1205"/>
      <c r="S2514" s="1205"/>
      <c r="T2514" s="967" t="n">
        <f aca="false">O2514-R2514</f>
        <v>572.506</v>
      </c>
      <c r="U2514" s="960" t="n">
        <f aca="false">N2514-S2514</f>
        <v>20</v>
      </c>
    </row>
    <row r="2515" customFormat="false" ht="15" hidden="false" customHeight="true" outlineLevel="0" collapsed="false">
      <c r="A2515" s="954" t="n">
        <v>555</v>
      </c>
      <c r="B2515" s="954" t="s">
        <v>2191</v>
      </c>
      <c r="C2515" s="954" t="n">
        <v>2025</v>
      </c>
      <c r="D2515" s="955" t="s">
        <v>17</v>
      </c>
      <c r="E2515" s="955" t="s">
        <v>2192</v>
      </c>
      <c r="F2515" s="955" t="s">
        <v>1651</v>
      </c>
      <c r="G2515" s="954"/>
      <c r="H2515" s="957" t="n">
        <v>25.5571</v>
      </c>
      <c r="I2515" s="958"/>
      <c r="J2515" s="958"/>
      <c r="K2515" s="959" t="n">
        <f aca="false">H2515*I2515/100</f>
        <v>0</v>
      </c>
      <c r="L2515" s="960" t="n">
        <v>42</v>
      </c>
      <c r="M2515" s="1201" t="n">
        <v>15</v>
      </c>
      <c r="N2515" s="960" t="n">
        <f aca="false">L2515*M2515</f>
        <v>630</v>
      </c>
      <c r="O2515" s="967" t="n">
        <f aca="false">H2515*N2515</f>
        <v>16100.973</v>
      </c>
      <c r="P2515" s="963"/>
      <c r="Q2515" s="964"/>
      <c r="R2515" s="1205"/>
      <c r="S2515" s="1205"/>
      <c r="T2515" s="967" t="n">
        <f aca="false">O2515-R2515</f>
        <v>16100.973</v>
      </c>
      <c r="U2515" s="960" t="n">
        <f aca="false">N2515-S2515</f>
        <v>630</v>
      </c>
    </row>
    <row r="2516" customFormat="false" ht="15" hidden="false" customHeight="true" outlineLevel="0" collapsed="false">
      <c r="A2516" s="954" t="n">
        <v>557</v>
      </c>
      <c r="B2516" s="954" t="s">
        <v>2191</v>
      </c>
      <c r="C2516" s="954" t="n">
        <v>2025</v>
      </c>
      <c r="D2516" s="955" t="s">
        <v>17</v>
      </c>
      <c r="E2516" s="955" t="s">
        <v>2192</v>
      </c>
      <c r="F2516" s="955" t="s">
        <v>1651</v>
      </c>
      <c r="G2516" s="954"/>
      <c r="H2516" s="957" t="n">
        <v>28.7701</v>
      </c>
      <c r="I2516" s="958"/>
      <c r="J2516" s="958"/>
      <c r="K2516" s="959" t="n">
        <f aca="false">H2516*I2516/100</f>
        <v>0</v>
      </c>
      <c r="L2516" s="960" t="n">
        <v>1</v>
      </c>
      <c r="M2516" s="1201" t="n">
        <v>15</v>
      </c>
      <c r="N2516" s="960" t="n">
        <f aca="false">L2516*M2516</f>
        <v>15</v>
      </c>
      <c r="O2516" s="967" t="n">
        <f aca="false">H2516*N2516</f>
        <v>431.5515</v>
      </c>
      <c r="P2516" s="963"/>
      <c r="Q2516" s="964"/>
      <c r="R2516" s="1205"/>
      <c r="S2516" s="1205"/>
      <c r="T2516" s="967" t="n">
        <f aca="false">O2516-R2516</f>
        <v>431.5515</v>
      </c>
      <c r="U2516" s="960" t="n">
        <f aca="false">N2516-S2516</f>
        <v>15</v>
      </c>
    </row>
    <row r="2517" customFormat="false" ht="14.25" hidden="false" customHeight="false" outlineLevel="0" collapsed="false">
      <c r="A2517" s="1480"/>
      <c r="B2517" s="859"/>
      <c r="C2517" s="859"/>
      <c r="D2517" s="860"/>
      <c r="E2517" s="860"/>
      <c r="F2517" s="860"/>
      <c r="G2517" s="860"/>
      <c r="H2517" s="862"/>
      <c r="I2517" s="863"/>
      <c r="J2517" s="863"/>
      <c r="K2517" s="864"/>
      <c r="L2517" s="1824"/>
      <c r="M2517" s="1824"/>
      <c r="N2517" s="866"/>
      <c r="O2517" s="1383"/>
      <c r="P2517" s="868"/>
      <c r="Q2517" s="869"/>
      <c r="R2517" s="866"/>
      <c r="S2517" s="866"/>
      <c r="T2517" s="543"/>
      <c r="U2517" s="859"/>
    </row>
    <row r="2518" customFormat="false" ht="14.25" hidden="false" customHeight="false" outlineLevel="0" collapsed="false">
      <c r="A2518" s="1081"/>
      <c r="B2518" s="250"/>
      <c r="C2518" s="250"/>
      <c r="D2518" s="1836"/>
      <c r="E2518" s="1836"/>
      <c r="F2518" s="1836"/>
      <c r="G2518" s="250"/>
      <c r="H2518" s="1837"/>
      <c r="I2518" s="1837"/>
      <c r="J2518" s="1837"/>
      <c r="K2518" s="1838"/>
      <c r="L2518" s="1839" t="n">
        <f aca="false">SUBTOTAL(109,L3:L2517)</f>
        <v>11625177.14433</v>
      </c>
      <c r="M2518" s="256"/>
      <c r="N2518" s="1839" t="n">
        <f aca="false">SUBTOTAL(109,N3:N2517)</f>
        <v>11766016.9919</v>
      </c>
      <c r="O2518" s="1840" t="n">
        <f aca="false">SUBTOTAL(109,O3:O2517)</f>
        <v>693369596.852437</v>
      </c>
      <c r="P2518" s="1841"/>
      <c r="Q2518" s="40"/>
      <c r="R2518" s="1839" t="n">
        <f aca="false">SUBTOTAL(109,R3:R2517)</f>
        <v>666675462.683701</v>
      </c>
      <c r="S2518" s="1839" t="n">
        <f aca="false">SUBTOTAL(109,S3:S2517)</f>
        <v>11292923.3354988</v>
      </c>
      <c r="T2518" s="1840" t="n">
        <f aca="false">SUBTOTAL(109,T3:T2517)</f>
        <v>26694134.1691371</v>
      </c>
      <c r="U2518" s="1842" t="n">
        <f aca="false">SUBTOTAL(109,U3:U2517)</f>
        <v>473093.656401239</v>
      </c>
    </row>
    <row r="2519" customFormat="false" ht="14.25" hidden="false" customHeight="false" outlineLevel="0" collapsed="false">
      <c r="A2519" s="108"/>
      <c r="B2519" s="108"/>
      <c r="C2519" s="108"/>
      <c r="D2519" s="153"/>
      <c r="E2519" s="153"/>
      <c r="F2519" s="153"/>
      <c r="G2519" s="153"/>
      <c r="L2519" s="689"/>
      <c r="N2519" s="689"/>
      <c r="O2519" s="689"/>
      <c r="P2519" s="689"/>
      <c r="Q2519" s="689"/>
    </row>
    <row r="2520" customFormat="false" ht="19.7" hidden="false" customHeight="false" outlineLevel="0" collapsed="false">
      <c r="A2520" s="826" t="s">
        <v>3294</v>
      </c>
      <c r="B2520" s="826"/>
      <c r="C2520" s="826"/>
      <c r="D2520" s="826"/>
      <c r="E2520" s="826"/>
      <c r="F2520" s="826"/>
      <c r="G2520" s="826"/>
      <c r="H2520" s="826"/>
      <c r="I2520" s="826"/>
      <c r="J2520" s="826"/>
      <c r="K2520" s="826"/>
      <c r="L2520" s="826"/>
      <c r="M2520" s="827"/>
      <c r="N2520" s="827"/>
      <c r="O2520" s="1843" t="n">
        <f aca="false">O2518-R2518</f>
        <v>26694134.168736</v>
      </c>
      <c r="P2520" s="827"/>
      <c r="Q2520" s="827"/>
    </row>
    <row r="2521" customFormat="false" ht="15" hidden="false" customHeight="true" outlineLevel="0" collapsed="false">
      <c r="A2521" s="108"/>
      <c r="B2521" s="108"/>
      <c r="C2521" s="108"/>
      <c r="D2521" s="1844" t="s">
        <v>1647</v>
      </c>
      <c r="E2521" s="425" t="s">
        <v>3295</v>
      </c>
      <c r="F2521" s="1844" t="s">
        <v>3296</v>
      </c>
      <c r="G2521" s="425" t="s">
        <v>3297</v>
      </c>
      <c r="H2521" s="1844" t="s">
        <v>3298</v>
      </c>
      <c r="I2521" s="1844" t="s">
        <v>3299</v>
      </c>
      <c r="J2521" s="1844"/>
      <c r="K2521" s="1844" t="s">
        <v>3300</v>
      </c>
      <c r="L2521" s="1844" t="s">
        <v>3301</v>
      </c>
      <c r="N2521" s="48"/>
    </row>
    <row r="2522" customFormat="false" ht="14.25" hidden="false" customHeight="false" outlineLevel="0" collapsed="false">
      <c r="A2522" s="52" t="s">
        <v>5</v>
      </c>
      <c r="B2522" s="108"/>
      <c r="C2522" s="108"/>
      <c r="D2522" s="45" t="n">
        <f aca="false">SUMIFS(T3:T2517,D3:D2517,"Marandú")</f>
        <v>539524.2505</v>
      </c>
      <c r="E2522" s="45" t="n">
        <f aca="false">SUMIFS(T3:T2517,D3:D2517,"Marandú",B3:B2517,"Devolução")</f>
        <v>315680.0475</v>
      </c>
      <c r="F2522" s="45" t="n">
        <f aca="false">SUMIFS(T3:T2517,D3:D2517,"Marandú",E3:E2517,"Semente")-E2522</f>
        <v>203385.403</v>
      </c>
      <c r="G2522" s="45" t="n">
        <f aca="false">SUMIFS(T3:T2517,D3:D2517,"Marandú",E3:E2517,"Intermediaria")</f>
        <v>0</v>
      </c>
      <c r="H2522" s="45" t="n">
        <f aca="false">SUMIFS(T3:T2517,D3:D2517,"Marandú",E3:E2517,"Torrão")</f>
        <v>5144.4</v>
      </c>
      <c r="I2522" s="45" t="n">
        <f aca="false">SUMIFS(T3:T2517,D3:D2517,"Marandú",E3:E2517,"Palha")</f>
        <v>15314.4</v>
      </c>
      <c r="J2522" s="45"/>
      <c r="K2522" s="45" t="n">
        <f aca="false">SUMIFS(T3:T2517,D3:D2517,"Marandú",E3:E2517,"residuo")</f>
        <v>0</v>
      </c>
      <c r="L2522" s="45" t="n">
        <f aca="false">SUMIFS(R3:R2517,D3:D2517,"Marandú",Q3:Q2517,"BALANÇO")</f>
        <v>-9400.1</v>
      </c>
      <c r="N2522" s="48"/>
    </row>
    <row r="2523" customFormat="false" ht="14.25" hidden="false" customHeight="false" outlineLevel="0" collapsed="false">
      <c r="A2523" s="52" t="s">
        <v>6</v>
      </c>
      <c r="B2523" s="108"/>
      <c r="C2523" s="108"/>
      <c r="D2523" s="45" t="n">
        <f aca="false">SUMIFS(T3:T2517,D3:D2517,"Piatã")</f>
        <v>793276.8247</v>
      </c>
      <c r="E2523" s="45" t="n">
        <f aca="false">SUMIFS(T3:T2517,D3:D2517,"Piatã",B3:B2517,"Devolução")</f>
        <v>17699.024</v>
      </c>
      <c r="F2523" s="45" t="n">
        <f aca="false">SUMIFS(T3:T2517,D3:D2517,"Piatã",E3:E2517,"Semente")-E2523</f>
        <v>759359.8007</v>
      </c>
      <c r="G2523" s="45" t="n">
        <f aca="false">SUMIFS(T3:T2517,D3:D2517,"Piatã",E3:E2517,"Intermediaria")</f>
        <v>15490</v>
      </c>
      <c r="H2523" s="45" t="n">
        <f aca="false">SUMIFS(T3:T2517,D3:D2517,"Piatã",E3:E2517,"Torrão")</f>
        <v>0</v>
      </c>
      <c r="I2523" s="45" t="n">
        <f aca="false">SUMIFS(T3:T2517,D3:D2517,"Piatã",E3:E2517,"Palha")</f>
        <v>0</v>
      </c>
      <c r="J2523" s="45"/>
      <c r="K2523" s="45" t="n">
        <f aca="false">SUMIFS(T3:T2517,D3:D2517,"Piatã",E3:E2517,"residuo")</f>
        <v>728</v>
      </c>
      <c r="L2523" s="45" t="n">
        <f aca="false">SUMIFS(R3:R2517,D3:D2517,"Piatã",Q3:Q2517,"BALANÇO")</f>
        <v>-28052.4</v>
      </c>
      <c r="N2523" s="48"/>
    </row>
    <row r="2524" customFormat="false" ht="14.25" hidden="false" customHeight="false" outlineLevel="0" collapsed="false">
      <c r="A2524" s="52" t="s">
        <v>7</v>
      </c>
      <c r="B2524" s="108"/>
      <c r="C2524" s="108"/>
      <c r="D2524" s="45" t="n">
        <f aca="false">SUMIFS(T3:T2517,D3:D2517,"Decumbens")</f>
        <v>639455.922</v>
      </c>
      <c r="E2524" s="45" t="n">
        <f aca="false">SUMIFS(T3:T2517,D3:D2517,"Decumbens",B3:B2517,"Devolução")</f>
        <v>42838.1205</v>
      </c>
      <c r="F2524" s="45" t="n">
        <f aca="false">SUMIFS(T3:T2517,D3:D2517,"Decumbens",E3:E2517,"Semente")-E2524</f>
        <v>503959.4015</v>
      </c>
      <c r="G2524" s="45" t="n">
        <f aca="false">SUMIFS(T3:T2517,D3:D2517,"Decumbens",E3:E2517,"Intermediaria")</f>
        <v>40205</v>
      </c>
      <c r="H2524" s="45" t="n">
        <f aca="false">SUMIFS(T3:T2517,D3:D2517,"Decumbens",E3:E2517,"Torrão")</f>
        <v>9919.8</v>
      </c>
      <c r="I2524" s="45" t="n">
        <f aca="false">SUMIFS(T3:T2517,D3:D2517,"Decumbens",E3:E2517,"Palha")</f>
        <v>42533.6</v>
      </c>
      <c r="J2524" s="45"/>
      <c r="K2524" s="45" t="n">
        <f aca="false">SUMIFS(T3:T2517,D3:D2517,"Decumbens",E3:E2517,"residuo")</f>
        <v>0</v>
      </c>
      <c r="L2524" s="45" t="n">
        <f aca="false">SUMIFS(R3:R2517,D3:D2517,"Decumbens",Q3:Q2517,"BALANÇO")</f>
        <v>2036.8</v>
      </c>
      <c r="N2524" s="48"/>
    </row>
    <row r="2525" customFormat="false" ht="14.25" hidden="false" customHeight="false" outlineLevel="0" collapsed="false">
      <c r="A2525" s="52" t="s">
        <v>8</v>
      </c>
      <c r="B2525" s="108"/>
      <c r="C2525" s="108"/>
      <c r="D2525" s="45" t="n">
        <f aca="false">SUMIFS(T3:T2517,D3:D2517,"Xaraés")</f>
        <v>268223.8683</v>
      </c>
      <c r="E2525" s="45" t="n">
        <f aca="false">SUMIFS(T3:T2517,D3:D2517,"Xaraés",B3:B2517,"Devolução")</f>
        <v>74578.568</v>
      </c>
      <c r="F2525" s="45" t="n">
        <f aca="false">SUMIFS(T3:T2517,D3:D2517,"Xaraés",E3:E2517,"Semente")-E2525</f>
        <v>191181.3003</v>
      </c>
      <c r="G2525" s="45" t="n">
        <f aca="false">SUMIFS(T3:T2517,D3:D2517,"Xaraés",E3:E2517,"Intermediaria")</f>
        <v>0</v>
      </c>
      <c r="H2525" s="45" t="n">
        <f aca="false">SUMIFS(T3:T2517,D3:D2517,"Xaraés",E3:E2517,"Torrão")</f>
        <v>0</v>
      </c>
      <c r="I2525" s="45" t="n">
        <f aca="false">SUMIFS(T3:T2517,D3:D2517,"Xaraés",E3:E2517,"Palha")</f>
        <v>2464</v>
      </c>
      <c r="J2525" s="45"/>
      <c r="K2525" s="45" t="n">
        <f aca="false">SUMIFS(T3:T2517,D3:D2517,"Xaraés",E3:E2517,"residuo")</f>
        <v>0</v>
      </c>
      <c r="L2525" s="45" t="n">
        <f aca="false">SUMIFS(R3:R2517,D3:D2517,"Xaraés",Q3:Q2517,"BALANÇO")</f>
        <v>-49042.116</v>
      </c>
      <c r="N2525" s="48"/>
    </row>
    <row r="2526" customFormat="false" ht="14.25" hidden="false" customHeight="false" outlineLevel="0" collapsed="false">
      <c r="A2526" s="52" t="s">
        <v>9</v>
      </c>
      <c r="B2526" s="108"/>
      <c r="C2526" s="108"/>
      <c r="D2526" s="45" t="n">
        <f aca="false">SUMIFS(T3:T2517,D3:D2517,"MG-4")</f>
        <v>0</v>
      </c>
      <c r="E2526" s="45" t="n">
        <f aca="false">SUMIFS(T3:T2517,D3:D2517,"MG-4",B3:B2517,"Devolução")</f>
        <v>0</v>
      </c>
      <c r="F2526" s="45" t="n">
        <f aca="false">SUMIFS(T3:T2517,D3:D2517,"MG-4",E3:E2517,"Semente")-E2526</f>
        <v>0</v>
      </c>
      <c r="G2526" s="45" t="n">
        <f aca="false">SUMIFS(T3:T2517,D3:D2517,"MG-4",E3:E2517,"Intermediaria")</f>
        <v>0</v>
      </c>
      <c r="H2526" s="45" t="n">
        <f aca="false">SUMIFS(T3:T2517,D3:D2517,"MG-4",E3:E2517,"Torrão")</f>
        <v>0</v>
      </c>
      <c r="I2526" s="45" t="n">
        <f aca="false">SUMIFS(T3:T2517,D3:D2517,"MG-4",E3:E2517,"Palha")</f>
        <v>0</v>
      </c>
      <c r="J2526" s="45"/>
      <c r="K2526" s="45" t="n">
        <f aca="false">SUMIFS(T3:T2517,D3:D2517,"MG-4",E3:E2517,"residuo")</f>
        <v>0</v>
      </c>
      <c r="L2526" s="45" t="n">
        <f aca="false">SUMIFS(R3:R2517,D3:D2517,"MG-4",Q3:Q2517,"BALANÇO")</f>
        <v>0</v>
      </c>
      <c r="N2526" s="48"/>
    </row>
    <row r="2527" customFormat="false" ht="14.25" hidden="false" customHeight="false" outlineLevel="0" collapsed="false">
      <c r="A2527" s="52" t="s">
        <v>10</v>
      </c>
      <c r="B2527" s="108"/>
      <c r="C2527" s="108"/>
      <c r="D2527" s="45" t="n">
        <f aca="false">SUMIFS(T3:T2517,D3:D2517,"Ruziziensis")</f>
        <v>15588740.7745</v>
      </c>
      <c r="E2527" s="45" t="n">
        <f aca="false">SUMIFS(T3:T2517,D3:D2517,"Ruziziensis",B3:B2517,"Devolução")</f>
        <v>552151.05</v>
      </c>
      <c r="F2527" s="45" t="n">
        <f aca="false">SUMIFS(T3:T2517,D3:D2517,"Ruziziensis",E3:E2517,"Semente")-E2527</f>
        <v>13696395.5245</v>
      </c>
      <c r="G2527" s="45" t="n">
        <f aca="false">SUMIFS(T3:T2517,D3:D2517,"Ruziziensis",E3:E2517,"Intermediaria")</f>
        <v>43071.6</v>
      </c>
      <c r="H2527" s="45" t="n">
        <f aca="false">SUMIFS(T3:T2517,D3:D2517,"Ruziziensis",E3:E2517,"Torrão")</f>
        <v>709705.1</v>
      </c>
      <c r="I2527" s="45" t="n">
        <f aca="false">SUMIFS(T3:T2517,D3:D2517,"Ruziziensis",E3:E2517,"Palha")</f>
        <v>587417.5</v>
      </c>
      <c r="J2527" s="45"/>
      <c r="K2527" s="45" t="n">
        <f aca="false">SUMIFS(T37:T2520,D37:D2520,"Ruziziensis",E37:E2520,"residuo")</f>
        <v>0</v>
      </c>
      <c r="L2527" s="45" t="n">
        <f aca="false">SUMIFS(R3:R2517,D3:D2517,"Ruziziensis",Q3:Q2517,"BALANÇO")</f>
        <v>0</v>
      </c>
      <c r="N2527" s="48"/>
    </row>
    <row r="2528" customFormat="false" ht="14.25" hidden="false" customHeight="false" outlineLevel="0" collapsed="false">
      <c r="A2528" s="52" t="s">
        <v>11</v>
      </c>
      <c r="B2528" s="108"/>
      <c r="C2528" s="108"/>
      <c r="D2528" s="45" t="n">
        <f aca="false">SUMIFS(T3:T2517,D3:D2517,"Humidicola")</f>
        <v>427677.3805</v>
      </c>
      <c r="E2528" s="45" t="n">
        <f aca="false">SUMIFS(T3:T2517,D3:D2517,"Humidicola",B3:B2517,"Devolução")</f>
        <v>140420.2545</v>
      </c>
      <c r="F2528" s="45" t="n">
        <f aca="false">SUMIFS(T3:T2517,D3:D2517,"Humidicola",E3:E2517,"Semente")-E2528</f>
        <v>213229.262</v>
      </c>
      <c r="G2528" s="45" t="n">
        <f aca="false">SUMIFS(T3:T2517,D3:D2517,"Humidicola",E3:E2517,"Intermediaria")</f>
        <v>0</v>
      </c>
      <c r="H2528" s="45" t="n">
        <f aca="false">SUMIFS(T3:T2517,D3:D2517,"Humidicola",E3:E2517,"Torrão")</f>
        <v>0</v>
      </c>
      <c r="I2528" s="45" t="n">
        <f aca="false">SUMIFS(T3:T2517,D3:D2517,"Humidicola",E3:E2517,"Palha")</f>
        <v>74027.864</v>
      </c>
      <c r="J2528" s="45"/>
      <c r="K2528" s="45" t="n">
        <f aca="false">SUMIFS(T3:T2517,D3:D2517,"Humidicola",E3:E2517,"residuo")</f>
        <v>0</v>
      </c>
      <c r="L2528" s="45" t="n">
        <f aca="false">SUMIFS(R3:R2517,D3:D2517,"Humidicola",Q3:Q2517,"BALANÇO")</f>
        <v>20768.5</v>
      </c>
      <c r="N2528" s="48"/>
    </row>
    <row r="2529" customFormat="false" ht="14.25" hidden="false" customHeight="false" outlineLevel="0" collapsed="false">
      <c r="A2529" s="52" t="s">
        <v>12</v>
      </c>
      <c r="B2529" s="108"/>
      <c r="C2529" s="108"/>
      <c r="D2529" s="45" t="n">
        <f aca="false">SUMIFS(T3:T2517,D3:D2517,"Llanero")</f>
        <v>694327.1476</v>
      </c>
      <c r="E2529" s="45" t="n">
        <f aca="false">SUMIFS(T3:T2517,D3:D2517,"Llanero",B3:B2517,"Devolução")</f>
        <v>0</v>
      </c>
      <c r="F2529" s="45" t="n">
        <f aca="false">SUMIFS(T3:T2517,D3:D2517,"Llanero",E3:E2517,"Semente")-E2529</f>
        <v>630752.4476</v>
      </c>
      <c r="G2529" s="45" t="n">
        <f aca="false">SUMIFS(T3:T2517,D3:D2517,"Llanero",E3:E2517,"Intermediaria")</f>
        <v>22448.7</v>
      </c>
      <c r="H2529" s="45" t="n">
        <f aca="false">SUMIFS(T3:T2517,D3:D2517,"Llanero",E3:E2517,"Torrão")</f>
        <v>41005.4</v>
      </c>
      <c r="I2529" s="45" t="n">
        <f aca="false">SUMIFS(T3:T2517,D3:D2517,"Llanero",E3:E2517,"Palha")</f>
        <v>120.6</v>
      </c>
      <c r="J2529" s="45"/>
      <c r="K2529" s="45" t="n">
        <f aca="false">SUMIFS(T3:T2517,D3:D2517,"Llanero",E3:E2517,"residuo")</f>
        <v>0</v>
      </c>
      <c r="L2529" s="45" t="n">
        <f aca="false">SUMIFS(R3:R2517,D3:D2517,"Llanero",Q3:Q2517,"BALANÇO")</f>
        <v>-2356.6</v>
      </c>
      <c r="N2529" s="48"/>
    </row>
    <row r="2530" customFormat="false" ht="14.25" hidden="false" customHeight="false" outlineLevel="0" collapsed="false">
      <c r="A2530" s="52" t="s">
        <v>13</v>
      </c>
      <c r="B2530" s="108"/>
      <c r="C2530" s="108"/>
      <c r="D2530" s="45" t="n">
        <f aca="false">SUMIFS(T3:T2517,D3:D2517,"Mombaça")</f>
        <v>3272111.85923708</v>
      </c>
      <c r="E2530" s="45" t="n">
        <f aca="false">SUMIFS(T3:T2517,D3:D2517,"Mombaça",B3:B2517,"Devolução")</f>
        <v>-0.000362920000043232</v>
      </c>
      <c r="F2530" s="45" t="n">
        <f aca="false">SUMIFS(T3:T2517,D3:D2517,"Mombaça",E3:E2517,"Semente")-E2530</f>
        <v>70688.7991999999</v>
      </c>
      <c r="G2530" s="45" t="n">
        <f aca="false">SUMIFS(T3:T2517,D3:D2517,"Mombaça",E3:E2517,"Intermediaria")</f>
        <v>1587509.9604</v>
      </c>
      <c r="H2530" s="45" t="n">
        <f aca="false">SUMIFS(T3:T2517,D3:D2517,"Mombaça",E3:E2517,"Torrão")</f>
        <v>0</v>
      </c>
      <c r="I2530" s="45" t="n">
        <f aca="false">SUMIFS(T3:T2517,D3:D2517,"Mombaça",E3:E2517,"Palha")</f>
        <v>1613913.1</v>
      </c>
      <c r="J2530" s="45"/>
      <c r="K2530" s="45" t="n">
        <f aca="false">SUMIFS(T3:T2517,D3:D2517,"Mombaça",E3:E2517,"residuo")</f>
        <v>0</v>
      </c>
      <c r="L2530" s="45" t="n">
        <f aca="false">SUMIFS(R3:R2517,D3:D2517,"Mombaça",Q3:Q2517,"BALANÇO")</f>
        <v>17650.1</v>
      </c>
      <c r="N2530" s="48"/>
    </row>
    <row r="2531" customFormat="false" ht="14.25" hidden="false" customHeight="false" outlineLevel="0" collapsed="false">
      <c r="A2531" s="52" t="s">
        <v>14</v>
      </c>
      <c r="B2531" s="108"/>
      <c r="C2531" s="108"/>
      <c r="D2531" s="45" t="n">
        <f aca="false">SUMIFS(T3:T2517,D3:D2517,"Tanzania")</f>
        <v>32447</v>
      </c>
      <c r="E2531" s="45" t="n">
        <f aca="false">SUMIFS(T3:T2517,D3:D2517,"Tanzania",B3:B2517,"Devolução")</f>
        <v>0</v>
      </c>
      <c r="F2531" s="45" t="n">
        <f aca="false">SUMIFS(T3:T2517,D3:D2517,"Tanzania",E3:E2517,"Semente")-E2531</f>
        <v>32447</v>
      </c>
      <c r="G2531" s="45" t="n">
        <f aca="false">SUMIFS(T3:T2517,D3:D2517,"Tanzania",E3:E2517,"Intermediaria")</f>
        <v>0</v>
      </c>
      <c r="H2531" s="45" t="n">
        <f aca="false">SUMIFS(T3:T2517,D3:D2517,"Tanzania",E3:E2517,"Torrão")</f>
        <v>0</v>
      </c>
      <c r="I2531" s="45" t="n">
        <f aca="false">SUMIFS(T3:T2517,D3:D2517,"Tanzania",E3:E2517,"Palha")</f>
        <v>0</v>
      </c>
      <c r="J2531" s="45"/>
      <c r="K2531" s="45" t="n">
        <f aca="false">SUMIFS(T3:T2517,D3:D2517,"Tanzania",E3:E2517,"residuo")</f>
        <v>0</v>
      </c>
      <c r="L2531" s="45" t="n">
        <f aca="false">SUMIFS(R3:R2517,D3:D2517,"Tanzania",Q3:Q2517,"BALANÇO")</f>
        <v>0</v>
      </c>
      <c r="N2531" s="48"/>
    </row>
    <row r="2532" customFormat="false" ht="14.25" hidden="false" customHeight="false" outlineLevel="0" collapsed="false">
      <c r="A2532" s="52" t="s">
        <v>15</v>
      </c>
      <c r="B2532" s="108"/>
      <c r="C2532" s="108"/>
      <c r="D2532" s="45" t="n">
        <f aca="false">SUMIFS(T3:T2517,D3:D2517,"Massai")</f>
        <v>670351.1482</v>
      </c>
      <c r="E2532" s="45" t="n">
        <f aca="false">SUMIFS(T3:T2517,D3:D2517,"Massai",B3:B2517,"Devolução")</f>
        <v>39191.748</v>
      </c>
      <c r="F2532" s="45" t="n">
        <f aca="false">SUMIFS(T3:T2517,D3:D2517,"Massai",E3:E2517,"Semente")-E2532</f>
        <v>0.000199999936739914</v>
      </c>
      <c r="G2532" s="45" t="n">
        <f aca="false">SUMIFS(T3:T2517,D3:D2517,"Massai",E3:E2517,"intermediaria")</f>
        <v>30523</v>
      </c>
      <c r="H2532" s="45" t="n">
        <f aca="false">SUMIFS(T3:T2517,D3:D2517,"Massai",E3:E2517,"Torrão")</f>
        <v>99270</v>
      </c>
      <c r="I2532" s="45" t="n">
        <f aca="false">SUMIFS(T3:T2517,D3:D2517,"Massai",E3:E2517,"Palha")</f>
        <v>358599.8</v>
      </c>
      <c r="J2532" s="45"/>
      <c r="K2532" s="45" t="n">
        <f aca="false">SUMIFS(T3:T2517,D3:D2517,"Massai",E3:E2517,"residuo")</f>
        <v>142766.6</v>
      </c>
      <c r="L2532" s="45" t="n">
        <f aca="false">SUMIFS(R3:R2517,D3:D2517,"Massai",Q3:Q2517,"BALANÇO")</f>
        <v>190220.2</v>
      </c>
      <c r="N2532" s="48"/>
    </row>
    <row r="2533" customFormat="false" ht="14.25" hidden="false" customHeight="false" outlineLevel="0" collapsed="false">
      <c r="A2533" s="52" t="s">
        <v>16</v>
      </c>
      <c r="B2533" s="108"/>
      <c r="C2533" s="108"/>
      <c r="D2533" s="45" t="n">
        <f aca="false">SUMIFS(T3:T2517,D3:D2517,"Aruana")</f>
        <v>174672.3948</v>
      </c>
      <c r="E2533" s="45" t="n">
        <f aca="false">SUMIFS(T3:T2517,D3:D2517,"Aruana",B3:B2517,"Devolução")</f>
        <v>39487.4948</v>
      </c>
      <c r="F2533" s="45" t="n">
        <f aca="false">SUMIFS(T3:T2517,D3:D2517,"Aruana",E3:E2517,"Semente")-E2533</f>
        <v>135184.9</v>
      </c>
      <c r="G2533" s="45" t="n">
        <f aca="false">SUMIFS(T3:T2517,D3:D2517,"Aruana",E3:E2517,"Intermediaria")</f>
        <v>0</v>
      </c>
      <c r="H2533" s="45" t="n">
        <f aca="false">SUMIFS(T3:T2517,D3:D2517,"Aruana",E3:E2517,"Torrão")</f>
        <v>0</v>
      </c>
      <c r="I2533" s="45" t="n">
        <f aca="false">SUMIFS(T3:T2517,D3:D2517,"Aruana",E3:E2517,"Palha")</f>
        <v>0</v>
      </c>
      <c r="J2533" s="45"/>
      <c r="K2533" s="45" t="n">
        <f aca="false">SUMIFS(T3:T2517,D3:D2517,"Aruana",E3:E2517,"residuo")</f>
        <v>0</v>
      </c>
      <c r="L2533" s="45" t="n">
        <f aca="false">SUMIFS(R3:R2517,D3:D2517,"Aruana",Q3:Q2517,"BALANÇO")</f>
        <v>0</v>
      </c>
      <c r="N2533" s="48"/>
    </row>
    <row r="2534" customFormat="false" ht="14.25" hidden="false" customHeight="false" outlineLevel="0" collapsed="false">
      <c r="A2534" s="52" t="s">
        <v>17</v>
      </c>
      <c r="B2534" s="108"/>
      <c r="C2534" s="108"/>
      <c r="D2534" s="45" t="n">
        <f aca="false">SUMIFS(T3:T2517,D3:D2517,"Zuri")</f>
        <v>268854.2065</v>
      </c>
      <c r="E2534" s="45" t="n">
        <f aca="false">SUMIFS(T3:T2517,D3:D2517,"Zuri",B3:B2517,"Devolução")</f>
        <v>37896.6065</v>
      </c>
      <c r="F2534" s="45" t="n">
        <f aca="false">SUMIFS(T3:T2517,D3:D2517,"Zuri",E3:E2517,"Semente")-E2534</f>
        <v>230958</v>
      </c>
      <c r="G2534" s="45" t="n">
        <f aca="false">SUMIFS(T3:T2517,D3:D2517,"Zuri",E3:E2517,"Intermediaria")</f>
        <v>-0.400000000008731</v>
      </c>
      <c r="H2534" s="45" t="n">
        <f aca="false">SUMIFS(T3:T2517,D3:D2517,"Zuri",E3:E2517,"Torrão")</f>
        <v>0</v>
      </c>
      <c r="I2534" s="45" t="n">
        <f aca="false">SUMIFS(T3:T2517,D3:D2517,"Zuri",E3:E2517,"Palha")</f>
        <v>0</v>
      </c>
      <c r="J2534" s="45"/>
      <c r="K2534" s="45" t="n">
        <f aca="false">SUMIFS(T3:T2517,D3:D2517,"Zuri",E3:E2517,"residuo")</f>
        <v>0</v>
      </c>
      <c r="L2534" s="45" t="n">
        <f aca="false">SUMIFS(R3:R2517,D3:D2517,"Zuri",Q3:Q2517,"BALANÇO")</f>
        <v>54718.8</v>
      </c>
      <c r="N2534" s="48"/>
    </row>
    <row r="2535" customFormat="false" ht="14.25" hidden="false" customHeight="false" outlineLevel="0" collapsed="false">
      <c r="A2535" s="52" t="s">
        <v>18</v>
      </c>
      <c r="B2535" s="108"/>
      <c r="C2535" s="108"/>
      <c r="D2535" s="45" t="n">
        <f aca="false">SUMIFS(T3:T2517,D3:D2517,"Paiaguas")</f>
        <v>754397.1203</v>
      </c>
      <c r="E2535" s="45" t="n">
        <f aca="false">SUMIFS(T3:T2517,D3:D2517,"Paiaguas",B3:B2517,"Devolução")</f>
        <v>16505.82</v>
      </c>
      <c r="F2535" s="45" t="n">
        <f aca="false">SUMIFS(T3:T2517,D3:D2517,"Paiaguas",E3:E2517,"Semente")-E2535</f>
        <v>731635.3003</v>
      </c>
      <c r="G2535" s="45" t="n">
        <f aca="false">SUMIFS(T3:T2517,D3:D2517,"Paiaguas",E3:E2517,"Intermediaria")</f>
        <v>6256</v>
      </c>
      <c r="H2535" s="45" t="n">
        <f aca="false">SUMIFS(T3:T2517,D3:D2517,"Paiaguas",E3:E2517,"Torrão")</f>
        <v>0</v>
      </c>
      <c r="I2535" s="45" t="n">
        <f aca="false">SUMIFS(T3:T2517,D3:D2517,"Paiaguas",E3:E2517,"Palha")</f>
        <v>0</v>
      </c>
      <c r="J2535" s="45"/>
      <c r="K2535" s="45" t="n">
        <f aca="false">SUMIFS(T3:T2517,D3:D2517,"Paiaguas",E3:E2517,"residuo")</f>
        <v>0</v>
      </c>
      <c r="L2535" s="45" t="n">
        <f aca="false">SUMIFS(R3:R2517,D3:D2517,"Paiaguas",Q3:Q2517,"BALANÇO")</f>
        <v>0</v>
      </c>
      <c r="N2535" s="48"/>
    </row>
    <row r="2536" customFormat="false" ht="14.25" hidden="false" customHeight="false" outlineLevel="0" collapsed="false">
      <c r="A2536" s="52" t="s">
        <v>19</v>
      </c>
      <c r="B2536" s="108"/>
      <c r="C2536" s="108"/>
      <c r="D2536" s="45" t="n">
        <f aca="false">SUMIFS(T3:T2517,D3:D2517,"Tamani")</f>
        <v>950178.192</v>
      </c>
      <c r="E2536" s="45" t="n">
        <f aca="false">SUMIFS(T3:T2517,D3:D2517,"Tamani",B3:B2517,"Devolução")</f>
        <v>174523.6485</v>
      </c>
      <c r="F2536" s="45" t="n">
        <f aca="false">SUMIFS(T3:T2517,D3:D2517,"Tamani",E3:E2517,"Semente")-E2536</f>
        <v>613447.7435</v>
      </c>
      <c r="G2536" s="45" t="n">
        <f aca="false">SUMIFS(T3:T2517,D3:D2517,"Tamani",E3:E2517,"Intermediaria")</f>
        <v>162206.8</v>
      </c>
      <c r="H2536" s="45" t="n">
        <f aca="false">SUMIFS(T3:T2517,D3:D2517,"Tamani",E3:E2517,"Torrão")</f>
        <v>0</v>
      </c>
      <c r="I2536" s="45" t="n">
        <f aca="false">SUMIFS(T3:T2517,D3:D2517,"Tamani",E3:E2517,"Palha")</f>
        <v>0</v>
      </c>
      <c r="J2536" s="45"/>
      <c r="K2536" s="45" t="n">
        <f aca="false">SUMIFS(T3:T2517,D3:D2517,"Tamani",E3:E2517,"residuo")</f>
        <v>0</v>
      </c>
      <c r="L2536" s="45" t="n">
        <f aca="false">SUMIFS(R3:R2517,D3:D2517,"Tamani",Q3:Q2517,"BALANÇO")</f>
        <v>22553.6</v>
      </c>
      <c r="N2536" s="48"/>
    </row>
    <row r="2537" customFormat="false" ht="14.25" hidden="false" customHeight="false" outlineLevel="0" collapsed="false">
      <c r="A2537" s="52" t="s">
        <v>172</v>
      </c>
      <c r="B2537" s="108"/>
      <c r="C2537" s="108"/>
      <c r="D2537" s="45" t="n">
        <f aca="false">SUMIFS(T3:T2517,D3:D2517,"Sorgo")</f>
        <v>4435</v>
      </c>
      <c r="E2537" s="45" t="n">
        <f aca="false">SUMIFS(T3:T2517,D3:D2517,"Sorgo",B3:B2517,"Devolução")</f>
        <v>0</v>
      </c>
      <c r="F2537" s="45" t="n">
        <f aca="false">SUMIFS(T3:T2517,D3:D2517,"Sorgo",E3:E2517,"Semente")-E2537</f>
        <v>4082</v>
      </c>
      <c r="G2537" s="45" t="n">
        <f aca="false">SUMIFS(T3:T2517,D3:D2517,"Sorgo",E3:E2517,"Intermediaria")</f>
        <v>0</v>
      </c>
      <c r="H2537" s="45" t="n">
        <f aca="false">SUMIFS(T3:T2517,D3:D2517,"Sorgo",E3:E2517,"Torrão")</f>
        <v>0</v>
      </c>
      <c r="I2537" s="45" t="n">
        <f aca="false">SUMIFS(T3:T2517,D3:D2517,"Sorgo",E3:E2517,"Palha")</f>
        <v>0</v>
      </c>
      <c r="J2537" s="45"/>
      <c r="K2537" s="45" t="n">
        <f aca="false">SUMIFS(T3:T2517,D3:D2517,"Sorgo",E3:E2517,"residuo")</f>
        <v>353</v>
      </c>
      <c r="L2537" s="45" t="n">
        <f aca="false">SUMIFS(R3:R2517,D3:D2517,"Sorgo",Q3:Q2517,"BALANÇO")</f>
        <v>0</v>
      </c>
      <c r="N2537" s="48"/>
    </row>
    <row r="2538" customFormat="false" ht="14.25" hidden="false" customHeight="false" outlineLevel="0" collapsed="false">
      <c r="A2538" s="52" t="s">
        <v>22</v>
      </c>
      <c r="B2538" s="108"/>
      <c r="C2538" s="108"/>
      <c r="D2538" s="45" t="n">
        <f aca="false">SUMIFS(T3:T2517,D3:D2517,"Quenia")</f>
        <v>269833.4</v>
      </c>
      <c r="E2538" s="45" t="n">
        <f aca="false">SUMIFS(T3:T2517,D3:D2517,"Quenia",B3:B2517,"Devolução")</f>
        <v>0</v>
      </c>
      <c r="F2538" s="45" t="n">
        <f aca="false">SUMIFS(T3:T2517,D3:D2517,"Quenia",E3:E2517,"Semente")-E2538</f>
        <v>269833.4</v>
      </c>
      <c r="G2538" s="45" t="n">
        <f aca="false">SUMIFS(T3:T2517,D3:D2517,"Quenia",E3:E2517,"Intermediaria")</f>
        <v>0</v>
      </c>
      <c r="H2538" s="45" t="n">
        <f aca="false">SUMIFS(T3:T2517,D3:D2517,"Quenia",E3:E2517,"Torrão")</f>
        <v>0</v>
      </c>
      <c r="I2538" s="45" t="n">
        <f aca="false">SUMIFS(T3:T2517,D3:D2517,"Quenia",E3:E2517,"Palha")</f>
        <v>0</v>
      </c>
      <c r="J2538" s="45"/>
      <c r="K2538" s="45" t="n">
        <f aca="false">SUMIFS(T3:T2517,D3:D2517,"Quenia",E3:E2517,"residuo")</f>
        <v>0</v>
      </c>
      <c r="L2538" s="45" t="n">
        <f aca="false">SUMIFS(R3:R2517,D3:D2517,"Quenia",Q3:Q2517,"BALANÇO")</f>
        <v>0</v>
      </c>
      <c r="N2538" s="48"/>
    </row>
    <row r="2539" customFormat="false" ht="14.25" hidden="false" customHeight="false" outlineLevel="0" collapsed="false">
      <c r="A2539" s="52" t="s">
        <v>20</v>
      </c>
      <c r="B2539" s="108"/>
      <c r="C2539" s="108"/>
      <c r="D2539" s="45" t="n">
        <f aca="false">SUMIFS(T3:T2517,D3:D2517,"Integra")</f>
        <v>1314450.68</v>
      </c>
      <c r="E2539" s="45" t="n">
        <f aca="false">SUMIFS(T3:T2517,D3:D2517,"Integra",B3:B2517,"Devolução")</f>
        <v>317883.58</v>
      </c>
      <c r="F2539" s="45" t="n">
        <f aca="false">SUMIFS(T3:T2517,D3:D2517,"Integra",E3:E2517,"Semente")-E2539</f>
        <v>956124.7</v>
      </c>
      <c r="G2539" s="45" t="n">
        <f aca="false">SUMIFS(T3:T2517,D3:D2517,"Integra",E3:E2517,"Intermediaria")</f>
        <v>0</v>
      </c>
      <c r="H2539" s="45" t="n">
        <f aca="false">SUMIFS(T3:T2517,D3:D2517,"Integra",E3:E2517,"Torrão")</f>
        <v>40442.4</v>
      </c>
      <c r="I2539" s="45" t="n">
        <f aca="false">SUMIFS(T3:T2517,D3:D2517,"Integra",E3:E2517,"Palha")</f>
        <v>0</v>
      </c>
      <c r="J2539" s="45"/>
      <c r="K2539" s="45" t="n">
        <f aca="false">SUMIFS(T3:T2517,D3:D2517,"Integra",E3:E2517,"residuo")</f>
        <v>0</v>
      </c>
      <c r="L2539" s="45" t="n">
        <f aca="false">SUMIFS(R3:R2517,D3:D2517,"Integra",Q3:Q2517,"BALANÇO")</f>
        <v>350441</v>
      </c>
      <c r="N2539" s="48"/>
    </row>
    <row r="2540" customFormat="false" ht="14.25" hidden="false" customHeight="false" outlineLevel="0" collapsed="false">
      <c r="A2540" s="52" t="s">
        <v>2144</v>
      </c>
      <c r="B2540" s="108"/>
      <c r="C2540" s="108"/>
      <c r="D2540" s="45" t="n">
        <f aca="false">SUMIFS(T3:T2517,D3:D2517,"Grof 1463")</f>
        <v>0</v>
      </c>
      <c r="E2540" s="45" t="n">
        <f aca="false">SUMIFS(T3:T2517,D3:D2517,"Grof 1463",B3:B2517,"Devolução")</f>
        <v>0</v>
      </c>
      <c r="F2540" s="45" t="n">
        <f aca="false">SUMIFS(T3:T2517,D3:D2517,"Grof 1463",E3:E2517,"Semente")-E2540</f>
        <v>0</v>
      </c>
      <c r="G2540" s="45" t="n">
        <f aca="false">SUMIFS(T3:T2517,D3:D2517,"Grof 1463",E3:E2517,"Intermediaria")</f>
        <v>0</v>
      </c>
      <c r="H2540" s="45" t="n">
        <f aca="false">SUMIFS(T3:T2517,D3:D2517,"Grof 1463",E3:E2517,"Torrão")</f>
        <v>0</v>
      </c>
      <c r="I2540" s="45" t="n">
        <f aca="false">SUMIFS(T3:T2517,D3:D2517,"Grof 1463",E3:E2517,"Palha")</f>
        <v>0</v>
      </c>
      <c r="J2540" s="45"/>
      <c r="K2540" s="45" t="n">
        <f aca="false">SUMIFS(T3:T2517,D3:D2517,"Grof 1463",E3:E2517,"residuo")</f>
        <v>0</v>
      </c>
      <c r="L2540" s="45" t="n">
        <f aca="false">SUMIFS(R3:R2517,D3:D2517,"Grof 1463",Q3:Q2517,"BALANÇO")</f>
        <v>0</v>
      </c>
      <c r="N2540" s="48"/>
    </row>
    <row r="2541" customFormat="false" ht="14.25" hidden="false" customHeight="false" outlineLevel="0" collapsed="false">
      <c r="A2541" s="52" t="s">
        <v>23</v>
      </c>
      <c r="B2541" s="108"/>
      <c r="C2541" s="108"/>
      <c r="D2541" s="45" t="n">
        <f aca="false">SUMIFS(T3:T2517,D3:D2517,"Estilosante")</f>
        <v>2140</v>
      </c>
      <c r="E2541" s="45" t="n">
        <f aca="false">SUMIFS(T3:T2517,D3:D2517,"Estilosante",B3:B2517,"Devolução")</f>
        <v>10</v>
      </c>
      <c r="F2541" s="45" t="n">
        <f aca="false">SUMIFS(T3:T2517,D3:D2517,"Estilosante",E3:E2517,"Semente")-E2541</f>
        <v>0</v>
      </c>
      <c r="G2541" s="45" t="n">
        <f aca="false">SUMIFS(T3:T2517,D3:D2517,"Estilosante",E3:E2517,"Intermediaria")</f>
        <v>1080</v>
      </c>
      <c r="H2541" s="45" t="n">
        <f aca="false">SUMIFS(T3:T2517,D3:D2517,"Estilosante",E3:E2517,"Torrão")</f>
        <v>0</v>
      </c>
      <c r="I2541" s="45" t="n">
        <f aca="false">SUMIFS(T3:T2517,D3:D2517,"Estilosante",E3:E2517,"Palha")</f>
        <v>508</v>
      </c>
      <c r="J2541" s="45"/>
      <c r="K2541" s="45" t="n">
        <f aca="false">SUMIFS(T3:T2517,D3:D2517,"Estilosante",E3:E2517,"residuo")</f>
        <v>542</v>
      </c>
      <c r="L2541" s="45" t="n">
        <f aca="false">SUMIFS(R3:R2517,D3:D2517,"Estilosante",Q3:Q2517,"BALANÇO")</f>
        <v>-167</v>
      </c>
      <c r="N2541" s="48"/>
    </row>
    <row r="2542" customFormat="false" ht="14.25" hidden="false" customHeight="false" outlineLevel="0" collapsed="false">
      <c r="A2542" s="52" t="s">
        <v>73</v>
      </c>
      <c r="B2542" s="108"/>
      <c r="C2542" s="108"/>
      <c r="D2542" s="45" t="n">
        <f aca="false">SUMIFS(T3:T2517,D3:D2517,"Sarandi")</f>
        <v>11322</v>
      </c>
      <c r="E2542" s="45" t="n">
        <f aca="false">SUMIFS(T3:T2517,D3:D2517,"Sarandi",B3:B2517,"Devolução")</f>
        <v>0</v>
      </c>
      <c r="F2542" s="45" t="n">
        <f aca="false">SUMIFS(T3:T2517,D3:D2517,"Sarandi",E3:E2517,"Semente")-E2542</f>
        <v>11322</v>
      </c>
      <c r="G2542" s="45" t="n">
        <f aca="false">SUMIFS(T3:T2517,D3:D2517,"Sarandi",E3:E2517,"Intermediaria")</f>
        <v>0</v>
      </c>
      <c r="H2542" s="45" t="n">
        <f aca="false">SUMIFS(T3:T2517,D3:D2517,"Sarandi",E3:E2517,"Torrão")</f>
        <v>0</v>
      </c>
      <c r="I2542" s="45" t="n">
        <f aca="false">SUMIFS(T3:T2517,D3:D2517,"Sarandi",E3:E2517,"Palha")</f>
        <v>0</v>
      </c>
      <c r="J2542" s="45"/>
      <c r="K2542" s="45" t="n">
        <f aca="false">SUMIFS(T3:T2517,D3:D2517,"Sarandi",E3:E2517,"residuo")</f>
        <v>0</v>
      </c>
      <c r="L2542" s="45" t="n">
        <f aca="false">SUMIFS(R3:R2517,D3:D2517,"Sarandi",Q3:Q2517,"BALANÇO")</f>
        <v>0</v>
      </c>
      <c r="N2542" s="48"/>
    </row>
    <row r="2543" customFormat="false" ht="14.25" hidden="false" customHeight="false" outlineLevel="0" collapsed="false">
      <c r="A2543" s="52" t="s">
        <v>21</v>
      </c>
      <c r="B2543" s="108"/>
      <c r="C2543" s="108"/>
      <c r="D2543" s="45" t="n">
        <f aca="false">SUMIFS(T3:T2517,D3:D2517,"Milheto")</f>
        <v>0</v>
      </c>
      <c r="E2543" s="45" t="n">
        <f aca="false">SUMIFS(T3:T2517,D3:D2517,"Milheto",B3:B2517,"Devolução")</f>
        <v>0</v>
      </c>
      <c r="F2543" s="45" t="n">
        <f aca="false">SUMIFS(T3:T2517,D3:D2517,"Milheto",E3:E2517,"Semente")-E2543</f>
        <v>0</v>
      </c>
      <c r="G2543" s="45" t="n">
        <f aca="false">SUMIFS(T3:T2517,D3:D2517,"Milheto",E3:E2517,"Intermediaria")</f>
        <v>0</v>
      </c>
      <c r="H2543" s="45" t="n">
        <f aca="false">SUMIFS(T3:T2517,D3:D2517,"Milheto",E3:E2517,"Torrão")</f>
        <v>0</v>
      </c>
      <c r="I2543" s="45" t="n">
        <f aca="false">SUMIFS(T3:T2517,D3:D2517,"Milheto",E3:E2517,"Palha")</f>
        <v>0</v>
      </c>
      <c r="J2543" s="45"/>
      <c r="K2543" s="45" t="n">
        <f aca="false">SUMIFS(T3:T2517,D3:D2517,"Milheto",E3:E2517,"residuo")</f>
        <v>0</v>
      </c>
      <c r="L2543" s="45" t="n">
        <f aca="false">SUMIFS(R3:R2517,D3:D2517,"Milheto",Q3:Q2517,"BALANÇO")</f>
        <v>0</v>
      </c>
      <c r="N2543" s="48"/>
    </row>
    <row r="2544" customFormat="false" ht="14.25" hidden="false" customHeight="false" outlineLevel="0" collapsed="false">
      <c r="A2544" s="52" t="s">
        <v>74</v>
      </c>
      <c r="B2544" s="108"/>
      <c r="C2544" s="108"/>
      <c r="D2544" s="45" t="n">
        <f aca="false">SUMIFS(T3:T2517,D3:D2517,"Sudão")</f>
        <v>15711</v>
      </c>
      <c r="E2544" s="45" t="n">
        <f aca="false">SUMIFS(T3:T2517,D3:D2517,"Sudão",B3:B2517,"Devolução")</f>
        <v>0</v>
      </c>
      <c r="F2544" s="45" t="n">
        <f aca="false">SUMIFS(T3:T2517,D3:D2517,"Sudão",E3:E2517,"Semente")-E2544</f>
        <v>15711</v>
      </c>
      <c r="G2544" s="45" t="n">
        <f aca="false">SUMIFS(T3:T2517,D3:D2517,"Sudão",E3:E2517,"Intermediaria")</f>
        <v>0</v>
      </c>
      <c r="H2544" s="45" t="n">
        <f aca="false">SUMIFS(T3:T2517,D3:D2517,"Sudão",E3:E2517,"Torrão")</f>
        <v>0</v>
      </c>
      <c r="I2544" s="45" t="n">
        <f aca="false">SUMIFS(T3:T2517,D3:D2517,"Sudão",E3:E2517,"Palha")</f>
        <v>0</v>
      </c>
      <c r="J2544" s="45"/>
      <c r="K2544" s="45" t="n">
        <f aca="false">SUMIFS(T3:T2517,D3:D2517,"Sudão",E3:E2517,"residuo")</f>
        <v>0</v>
      </c>
      <c r="L2544" s="45" t="n">
        <f aca="false">SUMIFS(R3:R2517,D3:D2517,"Sudão",Q3:Q2517,"BALANÇO")</f>
        <v>0</v>
      </c>
      <c r="N2544" s="48"/>
    </row>
    <row r="2545" customFormat="false" ht="14.25" hidden="false" customHeight="false" outlineLevel="0" collapsed="false">
      <c r="A2545" s="52" t="s">
        <v>173</v>
      </c>
      <c r="B2545" s="108"/>
      <c r="C2545" s="108"/>
      <c r="D2545" s="45" t="n">
        <f aca="false">SUMIFS(T3:T2517,D3:D2517,"Crotalaria")</f>
        <v>2004</v>
      </c>
      <c r="E2545" s="45" t="n">
        <f aca="false">SUMIFS(T3:T2517,D3:D2517,"Crotalaria",B3:B2517,"Devolução")</f>
        <v>0</v>
      </c>
      <c r="F2545" s="45" t="n">
        <f aca="false">SUMIFS(T3:T2517,D3:D2517,"Crotalaria",E3:E2517,"Semente")-E2545</f>
        <v>2004</v>
      </c>
      <c r="G2545" s="45" t="n">
        <f aca="false">SUMIFS(T3:T2517,D3:D2517,"Crotalaria",E3:E2517,"Intermediaria")</f>
        <v>0</v>
      </c>
      <c r="H2545" s="45" t="n">
        <f aca="false">SUMIFS(T3:T2517,D3:D2517,"Crotalaria",E3:E2517,"Torrão")</f>
        <v>0</v>
      </c>
      <c r="I2545" s="45" t="n">
        <f aca="false">SUMIFS(T3:T2517,D3:D2517,"Crotalaria",E3:E2517,"Palha")</f>
        <v>0</v>
      </c>
      <c r="J2545" s="45"/>
      <c r="K2545" s="45" t="n">
        <f aca="false">SUMIFS(T3:T2517,D3:D2517,"Crotalaria",E3:E2517,"residuo")</f>
        <v>0</v>
      </c>
      <c r="L2545" s="45" t="n">
        <f aca="false">SUMIFS(R3:R2517,D3:D2517,"Crotalaria",Q3:Q2517,"BALANÇO")</f>
        <v>0</v>
      </c>
      <c r="N2545" s="48"/>
    </row>
    <row r="2546" customFormat="false" ht="14.25" hidden="false" customHeight="false" outlineLevel="0" collapsed="false">
      <c r="A2546" s="52"/>
      <c r="B2546" s="108"/>
      <c r="C2546" s="108"/>
      <c r="D2546" s="153"/>
      <c r="E2546" s="153"/>
      <c r="F2546" s="153"/>
      <c r="G2546" s="1845"/>
      <c r="H2546" s="153"/>
      <c r="I2546" s="153"/>
      <c r="J2546" s="153"/>
      <c r="K2546" s="153"/>
      <c r="L2546" s="1846"/>
      <c r="N2546" s="48"/>
    </row>
    <row r="2547" customFormat="false" ht="14.25" hidden="false" customHeight="false" outlineLevel="0" collapsed="false">
      <c r="A2547" s="43" t="s">
        <v>1675</v>
      </c>
      <c r="B2547" s="108"/>
      <c r="C2547" s="108"/>
      <c r="D2547" s="1847" t="n">
        <f aca="false">SUM(D2522:D2546)</f>
        <v>26694134.1691371</v>
      </c>
      <c r="E2547" s="1847" t="n">
        <f aca="false">SUM(E2522:E2546)</f>
        <v>1768865.96193708</v>
      </c>
      <c r="F2547" s="1847" t="n">
        <f aca="false">SUM(F2522:F2546)</f>
        <v>19271701.9828</v>
      </c>
      <c r="G2547" s="1847" t="n">
        <f aca="false">SUM(G2522:G2546)</f>
        <v>1908790.6604</v>
      </c>
      <c r="H2547" s="1847" t="n">
        <f aca="false">SUM(H2522:H2546)</f>
        <v>905487.1</v>
      </c>
      <c r="I2547" s="1847" t="n">
        <f aca="false">SUM(I2522:I2546)</f>
        <v>2694898.864</v>
      </c>
      <c r="J2547" s="1847"/>
      <c r="K2547" s="1847" t="n">
        <f aca="false">SUM(K2522:K2546)</f>
        <v>144389.6</v>
      </c>
      <c r="L2547" s="1847" t="n">
        <f aca="false">SUM(L2522:L2546)</f>
        <v>569370.784</v>
      </c>
      <c r="N2547" s="48"/>
    </row>
    <row r="2548" customFormat="false" ht="14.25" hidden="false" customHeight="false" outlineLevel="0" collapsed="false">
      <c r="A2548" s="108"/>
      <c r="B2548" s="108"/>
      <c r="C2548" s="108"/>
      <c r="D2548" s="153"/>
      <c r="E2548" s="153"/>
      <c r="F2548" s="153"/>
      <c r="G2548" s="153"/>
      <c r="N2548" s="48"/>
    </row>
  </sheetData>
  <autoFilter ref="A2:U2517"/>
  <mergeCells count="6838">
    <mergeCell ref="A1:U1"/>
    <mergeCell ref="A3:A4"/>
    <mergeCell ref="B3:B4"/>
    <mergeCell ref="C3:C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T3:T4"/>
    <mergeCell ref="U3:U4"/>
    <mergeCell ref="A8:A12"/>
    <mergeCell ref="B8:B10"/>
    <mergeCell ref="C8:C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T8:T10"/>
    <mergeCell ref="U8:U10"/>
    <mergeCell ref="A15:A20"/>
    <mergeCell ref="B15:B20"/>
    <mergeCell ref="C15:C20"/>
    <mergeCell ref="F15:F20"/>
    <mergeCell ref="G15:G20"/>
    <mergeCell ref="H15:H20"/>
    <mergeCell ref="I15:I20"/>
    <mergeCell ref="J15:J20"/>
    <mergeCell ref="K15:K20"/>
    <mergeCell ref="L15:L20"/>
    <mergeCell ref="M15:M20"/>
    <mergeCell ref="N15:N20"/>
    <mergeCell ref="O15:O20"/>
    <mergeCell ref="T15:T20"/>
    <mergeCell ref="U15:U20"/>
    <mergeCell ref="A22:A23"/>
    <mergeCell ref="B22:B23"/>
    <mergeCell ref="C22:C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T22:T23"/>
    <mergeCell ref="U22:U23"/>
    <mergeCell ref="A24:A25"/>
    <mergeCell ref="B24:B25"/>
    <mergeCell ref="C24:C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T24:T25"/>
    <mergeCell ref="U24:U25"/>
    <mergeCell ref="A26:A27"/>
    <mergeCell ref="B26:B27"/>
    <mergeCell ref="C26:C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T26:T27"/>
    <mergeCell ref="U26:U27"/>
    <mergeCell ref="A29:A30"/>
    <mergeCell ref="B29:B30"/>
    <mergeCell ref="C29:C30"/>
    <mergeCell ref="F29:F30"/>
    <mergeCell ref="G29:G30"/>
    <mergeCell ref="H29:H30"/>
    <mergeCell ref="I29:I30"/>
    <mergeCell ref="J29:J30"/>
    <mergeCell ref="K29:K30"/>
    <mergeCell ref="L29:L30"/>
    <mergeCell ref="M29:M30"/>
    <mergeCell ref="N29:N30"/>
    <mergeCell ref="O29:O30"/>
    <mergeCell ref="T29:T30"/>
    <mergeCell ref="U29:U30"/>
    <mergeCell ref="A40:A41"/>
    <mergeCell ref="B40:B41"/>
    <mergeCell ref="C40:C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T40:T41"/>
    <mergeCell ref="U40:U41"/>
    <mergeCell ref="A46:A49"/>
    <mergeCell ref="B46:B49"/>
    <mergeCell ref="C46:C49"/>
    <mergeCell ref="F46:F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T46:T49"/>
    <mergeCell ref="U46:U49"/>
    <mergeCell ref="A52:A57"/>
    <mergeCell ref="B52:B54"/>
    <mergeCell ref="C52:C54"/>
    <mergeCell ref="F52:F54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T52:T54"/>
    <mergeCell ref="U52:U54"/>
    <mergeCell ref="B56:B57"/>
    <mergeCell ref="C56:C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T56:T57"/>
    <mergeCell ref="U56:U57"/>
    <mergeCell ref="A59:A60"/>
    <mergeCell ref="B59:B60"/>
    <mergeCell ref="C59:C60"/>
    <mergeCell ref="F59:F60"/>
    <mergeCell ref="G59:G60"/>
    <mergeCell ref="H59:H60"/>
    <mergeCell ref="I59:I60"/>
    <mergeCell ref="J59:J60"/>
    <mergeCell ref="K59:K60"/>
    <mergeCell ref="L59:L60"/>
    <mergeCell ref="M59:M60"/>
    <mergeCell ref="N59:N60"/>
    <mergeCell ref="O59:O60"/>
    <mergeCell ref="T59:T60"/>
    <mergeCell ref="U59:U60"/>
    <mergeCell ref="A62:A66"/>
    <mergeCell ref="B62:B64"/>
    <mergeCell ref="C62:C64"/>
    <mergeCell ref="F62:F64"/>
    <mergeCell ref="G62:G64"/>
    <mergeCell ref="H62:H64"/>
    <mergeCell ref="I62:I64"/>
    <mergeCell ref="K62:K64"/>
    <mergeCell ref="L62:L64"/>
    <mergeCell ref="M62:M64"/>
    <mergeCell ref="N62:N64"/>
    <mergeCell ref="O62:O64"/>
    <mergeCell ref="T62:T64"/>
    <mergeCell ref="U62:U64"/>
    <mergeCell ref="B65:B66"/>
    <mergeCell ref="C65:C66"/>
    <mergeCell ref="F65:F66"/>
    <mergeCell ref="G65:G66"/>
    <mergeCell ref="H65:H66"/>
    <mergeCell ref="I65:I66"/>
    <mergeCell ref="J65:J66"/>
    <mergeCell ref="K65:K66"/>
    <mergeCell ref="L65:L66"/>
    <mergeCell ref="M65:M66"/>
    <mergeCell ref="N65:N66"/>
    <mergeCell ref="O65:O66"/>
    <mergeCell ref="T65:T66"/>
    <mergeCell ref="U65:U66"/>
    <mergeCell ref="A67:A71"/>
    <mergeCell ref="B67:B70"/>
    <mergeCell ref="C67:C70"/>
    <mergeCell ref="F67:F70"/>
    <mergeCell ref="G67:G70"/>
    <mergeCell ref="H67:H70"/>
    <mergeCell ref="I67:I70"/>
    <mergeCell ref="J67:J70"/>
    <mergeCell ref="K67:K70"/>
    <mergeCell ref="L67:L70"/>
    <mergeCell ref="M67:M70"/>
    <mergeCell ref="N67:N70"/>
    <mergeCell ref="O67:O70"/>
    <mergeCell ref="T67:T70"/>
    <mergeCell ref="U67:U70"/>
    <mergeCell ref="A72:A75"/>
    <mergeCell ref="B72:B74"/>
    <mergeCell ref="C72:C74"/>
    <mergeCell ref="F72:F74"/>
    <mergeCell ref="G72:G74"/>
    <mergeCell ref="H72:H74"/>
    <mergeCell ref="I72:I74"/>
    <mergeCell ref="J72:J74"/>
    <mergeCell ref="K72:K74"/>
    <mergeCell ref="L72:L74"/>
    <mergeCell ref="M72:M74"/>
    <mergeCell ref="N72:N74"/>
    <mergeCell ref="O72:O74"/>
    <mergeCell ref="T72:T74"/>
    <mergeCell ref="U72:U74"/>
    <mergeCell ref="A76:A82"/>
    <mergeCell ref="B76:B81"/>
    <mergeCell ref="C76:C81"/>
    <mergeCell ref="F76:F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T76:T81"/>
    <mergeCell ref="U76:U81"/>
    <mergeCell ref="A83:A86"/>
    <mergeCell ref="B83:B85"/>
    <mergeCell ref="C83:C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O83:O85"/>
    <mergeCell ref="T83:T85"/>
    <mergeCell ref="U83:U85"/>
    <mergeCell ref="A87:A89"/>
    <mergeCell ref="B87:B89"/>
    <mergeCell ref="C87:C89"/>
    <mergeCell ref="F87:F89"/>
    <mergeCell ref="G87:G89"/>
    <mergeCell ref="H87:H89"/>
    <mergeCell ref="I87:I89"/>
    <mergeCell ref="J87:J89"/>
    <mergeCell ref="K87:K89"/>
    <mergeCell ref="L87:L89"/>
    <mergeCell ref="M87:M89"/>
    <mergeCell ref="N87:N89"/>
    <mergeCell ref="O87:O89"/>
    <mergeCell ref="T87:T89"/>
    <mergeCell ref="U87:U89"/>
    <mergeCell ref="A90:A91"/>
    <mergeCell ref="A92:A93"/>
    <mergeCell ref="B92:B93"/>
    <mergeCell ref="C92:C93"/>
    <mergeCell ref="F92:F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T92:T93"/>
    <mergeCell ref="U92:U93"/>
    <mergeCell ref="A96:A97"/>
    <mergeCell ref="B96:B97"/>
    <mergeCell ref="C96:C97"/>
    <mergeCell ref="F96:F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T96:T97"/>
    <mergeCell ref="U96:U97"/>
    <mergeCell ref="A99:A101"/>
    <mergeCell ref="A102:A103"/>
    <mergeCell ref="B102:B103"/>
    <mergeCell ref="C102:C103"/>
    <mergeCell ref="F102:F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T102:T103"/>
    <mergeCell ref="U102:U103"/>
    <mergeCell ref="A105:A110"/>
    <mergeCell ref="B105:B110"/>
    <mergeCell ref="C105:C110"/>
    <mergeCell ref="F105:F110"/>
    <mergeCell ref="G105:G110"/>
    <mergeCell ref="H105:H110"/>
    <mergeCell ref="I105:I110"/>
    <mergeCell ref="J105:J110"/>
    <mergeCell ref="K105:K110"/>
    <mergeCell ref="L105:L110"/>
    <mergeCell ref="M105:M110"/>
    <mergeCell ref="N105:N110"/>
    <mergeCell ref="O105:O110"/>
    <mergeCell ref="T105:T110"/>
    <mergeCell ref="U105:U110"/>
    <mergeCell ref="A113:A114"/>
    <mergeCell ref="B113:B114"/>
    <mergeCell ref="C113:C114"/>
    <mergeCell ref="F113:F114"/>
    <mergeCell ref="G113:G114"/>
    <mergeCell ref="H113:H114"/>
    <mergeCell ref="I113:I114"/>
    <mergeCell ref="J113:J114"/>
    <mergeCell ref="K113:K114"/>
    <mergeCell ref="L113:L114"/>
    <mergeCell ref="M113:M114"/>
    <mergeCell ref="N113:N114"/>
    <mergeCell ref="O113:O114"/>
    <mergeCell ref="T113:T114"/>
    <mergeCell ref="U113:U114"/>
    <mergeCell ref="A116:A118"/>
    <mergeCell ref="B116:B118"/>
    <mergeCell ref="C116:C118"/>
    <mergeCell ref="F116:F118"/>
    <mergeCell ref="G116:G118"/>
    <mergeCell ref="H116:H118"/>
    <mergeCell ref="I116:I118"/>
    <mergeCell ref="J116:J118"/>
    <mergeCell ref="K116:K118"/>
    <mergeCell ref="L116:L118"/>
    <mergeCell ref="M116:M118"/>
    <mergeCell ref="N116:N118"/>
    <mergeCell ref="O116:O118"/>
    <mergeCell ref="T116:T118"/>
    <mergeCell ref="U116:U118"/>
    <mergeCell ref="A120:A122"/>
    <mergeCell ref="B120:B122"/>
    <mergeCell ref="C120:C122"/>
    <mergeCell ref="F120:F122"/>
    <mergeCell ref="G120:G122"/>
    <mergeCell ref="H120:H122"/>
    <mergeCell ref="I120:I122"/>
    <mergeCell ref="J120:J122"/>
    <mergeCell ref="K120:K122"/>
    <mergeCell ref="L120:L122"/>
    <mergeCell ref="M120:M122"/>
    <mergeCell ref="N120:N122"/>
    <mergeCell ref="O120:O122"/>
    <mergeCell ref="T120:T122"/>
    <mergeCell ref="U120:U122"/>
    <mergeCell ref="A128:A130"/>
    <mergeCell ref="B128:B130"/>
    <mergeCell ref="C128:C130"/>
    <mergeCell ref="F128:F130"/>
    <mergeCell ref="G128:G130"/>
    <mergeCell ref="H128:H130"/>
    <mergeCell ref="I128:I130"/>
    <mergeCell ref="J128:J130"/>
    <mergeCell ref="K128:K130"/>
    <mergeCell ref="L128:L130"/>
    <mergeCell ref="M128:M130"/>
    <mergeCell ref="N128:N130"/>
    <mergeCell ref="O128:O130"/>
    <mergeCell ref="T128:T130"/>
    <mergeCell ref="U128:U130"/>
    <mergeCell ref="A133:A134"/>
    <mergeCell ref="B133:B134"/>
    <mergeCell ref="C133:C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T133:T134"/>
    <mergeCell ref="U133:U134"/>
    <mergeCell ref="A136:A140"/>
    <mergeCell ref="B136:B137"/>
    <mergeCell ref="C136:C137"/>
    <mergeCell ref="F136:F137"/>
    <mergeCell ref="G136:G137"/>
    <mergeCell ref="H136:H137"/>
    <mergeCell ref="I136:I137"/>
    <mergeCell ref="J136:J137"/>
    <mergeCell ref="K136:K137"/>
    <mergeCell ref="L136:L137"/>
    <mergeCell ref="M136:M137"/>
    <mergeCell ref="N136:N137"/>
    <mergeCell ref="O136:O137"/>
    <mergeCell ref="T136:T137"/>
    <mergeCell ref="U136:U137"/>
    <mergeCell ref="A141:A144"/>
    <mergeCell ref="A146:A148"/>
    <mergeCell ref="B146:B148"/>
    <mergeCell ref="C146:C148"/>
    <mergeCell ref="F146:F148"/>
    <mergeCell ref="G146:G148"/>
    <mergeCell ref="H146:H148"/>
    <mergeCell ref="I146:I148"/>
    <mergeCell ref="J146:J148"/>
    <mergeCell ref="K146:K148"/>
    <mergeCell ref="L146:L148"/>
    <mergeCell ref="M146:M148"/>
    <mergeCell ref="N146:N148"/>
    <mergeCell ref="O146:O148"/>
    <mergeCell ref="T146:T148"/>
    <mergeCell ref="U146:U148"/>
    <mergeCell ref="A150:A151"/>
    <mergeCell ref="B150:B151"/>
    <mergeCell ref="C150:C151"/>
    <mergeCell ref="F150:F151"/>
    <mergeCell ref="G150:G151"/>
    <mergeCell ref="H150:H151"/>
    <mergeCell ref="I150:I151"/>
    <mergeCell ref="J150:J151"/>
    <mergeCell ref="K150:K151"/>
    <mergeCell ref="L150:L151"/>
    <mergeCell ref="M150:M151"/>
    <mergeCell ref="N150:N151"/>
    <mergeCell ref="O150:O151"/>
    <mergeCell ref="T150:T151"/>
    <mergeCell ref="U150:U151"/>
    <mergeCell ref="A154:A155"/>
    <mergeCell ref="B154:B155"/>
    <mergeCell ref="C154:C155"/>
    <mergeCell ref="F154:F155"/>
    <mergeCell ref="G154:G155"/>
    <mergeCell ref="H154:H155"/>
    <mergeCell ref="I154:I155"/>
    <mergeCell ref="J154:J155"/>
    <mergeCell ref="K154:K155"/>
    <mergeCell ref="L154:L155"/>
    <mergeCell ref="M154:M155"/>
    <mergeCell ref="N154:N155"/>
    <mergeCell ref="O154:O155"/>
    <mergeCell ref="T154:T155"/>
    <mergeCell ref="U154:U155"/>
    <mergeCell ref="A157:A159"/>
    <mergeCell ref="B157:B158"/>
    <mergeCell ref="C157:C158"/>
    <mergeCell ref="F157:F158"/>
    <mergeCell ref="G157:G158"/>
    <mergeCell ref="H157:H158"/>
    <mergeCell ref="J157:J158"/>
    <mergeCell ref="K157:K158"/>
    <mergeCell ref="L157:L158"/>
    <mergeCell ref="M157:M158"/>
    <mergeCell ref="N157:N158"/>
    <mergeCell ref="O157:O158"/>
    <mergeCell ref="T157:T158"/>
    <mergeCell ref="U157:U158"/>
    <mergeCell ref="A160:A162"/>
    <mergeCell ref="B160:B162"/>
    <mergeCell ref="C160:C162"/>
    <mergeCell ref="F160:F162"/>
    <mergeCell ref="G160:G162"/>
    <mergeCell ref="H160:H162"/>
    <mergeCell ref="I160:I162"/>
    <mergeCell ref="J160:J162"/>
    <mergeCell ref="K160:K162"/>
    <mergeCell ref="L160:L162"/>
    <mergeCell ref="M160:M162"/>
    <mergeCell ref="N160:N162"/>
    <mergeCell ref="O160:O162"/>
    <mergeCell ref="T160:T162"/>
    <mergeCell ref="U160:U162"/>
    <mergeCell ref="A169:A171"/>
    <mergeCell ref="A172:A173"/>
    <mergeCell ref="A174:A175"/>
    <mergeCell ref="A176:A177"/>
    <mergeCell ref="B176:B177"/>
    <mergeCell ref="C176:C177"/>
    <mergeCell ref="F176:F177"/>
    <mergeCell ref="G176:G177"/>
    <mergeCell ref="H176:H177"/>
    <mergeCell ref="I176:I177"/>
    <mergeCell ref="J176:J177"/>
    <mergeCell ref="K176:K177"/>
    <mergeCell ref="L176:L177"/>
    <mergeCell ref="M176:M177"/>
    <mergeCell ref="N176:N177"/>
    <mergeCell ref="O176:O177"/>
    <mergeCell ref="T176:T177"/>
    <mergeCell ref="U176:U177"/>
    <mergeCell ref="A182:A185"/>
    <mergeCell ref="B182:B184"/>
    <mergeCell ref="C182:C184"/>
    <mergeCell ref="F182:F184"/>
    <mergeCell ref="G182:G184"/>
    <mergeCell ref="H182:H184"/>
    <mergeCell ref="I182:I184"/>
    <mergeCell ref="J182:J184"/>
    <mergeCell ref="K182:K184"/>
    <mergeCell ref="L182:L184"/>
    <mergeCell ref="M182:M184"/>
    <mergeCell ref="N182:N184"/>
    <mergeCell ref="O182:O184"/>
    <mergeCell ref="T182:T184"/>
    <mergeCell ref="U182:U184"/>
    <mergeCell ref="A187:A194"/>
    <mergeCell ref="B187:B194"/>
    <mergeCell ref="C187:C194"/>
    <mergeCell ref="F187:F194"/>
    <mergeCell ref="G187:G194"/>
    <mergeCell ref="H187:H194"/>
    <mergeCell ref="I187:I194"/>
    <mergeCell ref="J187:J194"/>
    <mergeCell ref="K187:K194"/>
    <mergeCell ref="L187:L194"/>
    <mergeCell ref="M187:M194"/>
    <mergeCell ref="N187:N194"/>
    <mergeCell ref="O187:O194"/>
    <mergeCell ref="T187:T194"/>
    <mergeCell ref="U187:U194"/>
    <mergeCell ref="A196:A198"/>
    <mergeCell ref="B196:B198"/>
    <mergeCell ref="C196:C198"/>
    <mergeCell ref="F196:F198"/>
    <mergeCell ref="G196:G198"/>
    <mergeCell ref="H196:H198"/>
    <mergeCell ref="I196:I198"/>
    <mergeCell ref="J196:J198"/>
    <mergeCell ref="K196:K198"/>
    <mergeCell ref="L196:L198"/>
    <mergeCell ref="M196:M198"/>
    <mergeCell ref="N196:N198"/>
    <mergeCell ref="O196:O198"/>
    <mergeCell ref="T196:T198"/>
    <mergeCell ref="U196:U198"/>
    <mergeCell ref="A206:A208"/>
    <mergeCell ref="B206:B208"/>
    <mergeCell ref="C206:C208"/>
    <mergeCell ref="F206:F208"/>
    <mergeCell ref="G206:G208"/>
    <mergeCell ref="H206:H208"/>
    <mergeCell ref="I206:I208"/>
    <mergeCell ref="J206:J208"/>
    <mergeCell ref="K206:K208"/>
    <mergeCell ref="L206:L208"/>
    <mergeCell ref="M206:M208"/>
    <mergeCell ref="N206:N208"/>
    <mergeCell ref="O206:O208"/>
    <mergeCell ref="T206:T208"/>
    <mergeCell ref="U206:U208"/>
    <mergeCell ref="A213:A214"/>
    <mergeCell ref="B213:B214"/>
    <mergeCell ref="C213:C214"/>
    <mergeCell ref="F213:F214"/>
    <mergeCell ref="G213:G214"/>
    <mergeCell ref="H213:H214"/>
    <mergeCell ref="I213:I214"/>
    <mergeCell ref="J213:J214"/>
    <mergeCell ref="K213:K214"/>
    <mergeCell ref="L213:L214"/>
    <mergeCell ref="M213:M214"/>
    <mergeCell ref="N213:N214"/>
    <mergeCell ref="O213:O214"/>
    <mergeCell ref="T213:T214"/>
    <mergeCell ref="U213:U214"/>
    <mergeCell ref="A215:A216"/>
    <mergeCell ref="B215:B216"/>
    <mergeCell ref="C215:C216"/>
    <mergeCell ref="F215:F216"/>
    <mergeCell ref="G215:G216"/>
    <mergeCell ref="H215:H216"/>
    <mergeCell ref="I215:I216"/>
    <mergeCell ref="J215:J216"/>
    <mergeCell ref="K215:K216"/>
    <mergeCell ref="L215:L216"/>
    <mergeCell ref="M215:M216"/>
    <mergeCell ref="N215:N216"/>
    <mergeCell ref="O215:O216"/>
    <mergeCell ref="T215:T216"/>
    <mergeCell ref="U215:U216"/>
    <mergeCell ref="A218:A220"/>
    <mergeCell ref="B218:B220"/>
    <mergeCell ref="C218:C220"/>
    <mergeCell ref="F218:F220"/>
    <mergeCell ref="G218:G220"/>
    <mergeCell ref="H218:H220"/>
    <mergeCell ref="I218:I220"/>
    <mergeCell ref="J218:J220"/>
    <mergeCell ref="K218:K220"/>
    <mergeCell ref="L218:L220"/>
    <mergeCell ref="M218:M220"/>
    <mergeCell ref="N218:N220"/>
    <mergeCell ref="O218:O220"/>
    <mergeCell ref="T218:T220"/>
    <mergeCell ref="U218:U220"/>
    <mergeCell ref="A222:A224"/>
    <mergeCell ref="B222:B224"/>
    <mergeCell ref="C222:C224"/>
    <mergeCell ref="F222:F224"/>
    <mergeCell ref="G222:G224"/>
    <mergeCell ref="H222:H224"/>
    <mergeCell ref="I222:I224"/>
    <mergeCell ref="K222:K224"/>
    <mergeCell ref="L222:L224"/>
    <mergeCell ref="M222:M224"/>
    <mergeCell ref="N222:N224"/>
    <mergeCell ref="O222:O224"/>
    <mergeCell ref="T222:T224"/>
    <mergeCell ref="U222:U224"/>
    <mergeCell ref="A225:A226"/>
    <mergeCell ref="B225:B226"/>
    <mergeCell ref="C225:C226"/>
    <mergeCell ref="F225:F226"/>
    <mergeCell ref="G225:G226"/>
    <mergeCell ref="H225:H226"/>
    <mergeCell ref="J225:J226"/>
    <mergeCell ref="K225:K226"/>
    <mergeCell ref="L225:L226"/>
    <mergeCell ref="M225:M226"/>
    <mergeCell ref="N225:N226"/>
    <mergeCell ref="O225:O226"/>
    <mergeCell ref="T225:T226"/>
    <mergeCell ref="U225:U226"/>
    <mergeCell ref="A230:A232"/>
    <mergeCell ref="B230:B232"/>
    <mergeCell ref="C230:C232"/>
    <mergeCell ref="F230:F232"/>
    <mergeCell ref="G230:G232"/>
    <mergeCell ref="H230:H232"/>
    <mergeCell ref="I230:I232"/>
    <mergeCell ref="J230:J232"/>
    <mergeCell ref="K230:K232"/>
    <mergeCell ref="L230:L232"/>
    <mergeCell ref="M230:M232"/>
    <mergeCell ref="N230:N232"/>
    <mergeCell ref="O230:O232"/>
    <mergeCell ref="T230:T232"/>
    <mergeCell ref="U230:U232"/>
    <mergeCell ref="A234:A236"/>
    <mergeCell ref="B235:B236"/>
    <mergeCell ref="C235:C236"/>
    <mergeCell ref="F235:F236"/>
    <mergeCell ref="G235:G236"/>
    <mergeCell ref="H235:H236"/>
    <mergeCell ref="I235:I236"/>
    <mergeCell ref="J235:J236"/>
    <mergeCell ref="K235:K236"/>
    <mergeCell ref="L235:L236"/>
    <mergeCell ref="M235:M236"/>
    <mergeCell ref="N235:N236"/>
    <mergeCell ref="O235:O236"/>
    <mergeCell ref="T235:T236"/>
    <mergeCell ref="U235:U236"/>
    <mergeCell ref="A239:A241"/>
    <mergeCell ref="B239:B241"/>
    <mergeCell ref="C239:C241"/>
    <mergeCell ref="F239:F241"/>
    <mergeCell ref="G239:G241"/>
    <mergeCell ref="H239:H241"/>
    <mergeCell ref="I239:I241"/>
    <mergeCell ref="J239:J241"/>
    <mergeCell ref="K239:K241"/>
    <mergeCell ref="L239:L241"/>
    <mergeCell ref="M239:M241"/>
    <mergeCell ref="N239:N241"/>
    <mergeCell ref="O239:O241"/>
    <mergeCell ref="T239:T241"/>
    <mergeCell ref="U239:U241"/>
    <mergeCell ref="A245:A246"/>
    <mergeCell ref="B245:B246"/>
    <mergeCell ref="C245:C246"/>
    <mergeCell ref="F245:F246"/>
    <mergeCell ref="G245:G246"/>
    <mergeCell ref="H245:H246"/>
    <mergeCell ref="I245:I246"/>
    <mergeCell ref="J245:J246"/>
    <mergeCell ref="K245:K246"/>
    <mergeCell ref="L245:L246"/>
    <mergeCell ref="M245:M246"/>
    <mergeCell ref="N245:N246"/>
    <mergeCell ref="O245:O246"/>
    <mergeCell ref="T245:T246"/>
    <mergeCell ref="U245:U246"/>
    <mergeCell ref="A247:A250"/>
    <mergeCell ref="B247:B248"/>
    <mergeCell ref="C247:C248"/>
    <mergeCell ref="F247:F248"/>
    <mergeCell ref="G247:G248"/>
    <mergeCell ref="H247:H248"/>
    <mergeCell ref="I247:I248"/>
    <mergeCell ref="J247:J248"/>
    <mergeCell ref="K247:K248"/>
    <mergeCell ref="L247:L248"/>
    <mergeCell ref="M247:M248"/>
    <mergeCell ref="N247:N248"/>
    <mergeCell ref="O247:O248"/>
    <mergeCell ref="T247:T248"/>
    <mergeCell ref="U247:U248"/>
    <mergeCell ref="A251:A252"/>
    <mergeCell ref="A253:A257"/>
    <mergeCell ref="B253:B257"/>
    <mergeCell ref="C253:C257"/>
    <mergeCell ref="F253:F257"/>
    <mergeCell ref="G253:G257"/>
    <mergeCell ref="H253:H257"/>
    <mergeCell ref="I253:I257"/>
    <mergeCell ref="J253:J257"/>
    <mergeCell ref="K253:K257"/>
    <mergeCell ref="L253:L257"/>
    <mergeCell ref="M253:M257"/>
    <mergeCell ref="N253:N257"/>
    <mergeCell ref="O253:O257"/>
    <mergeCell ref="T253:T257"/>
    <mergeCell ref="U253:U257"/>
    <mergeCell ref="A258:A260"/>
    <mergeCell ref="A262:A264"/>
    <mergeCell ref="B262:B264"/>
    <mergeCell ref="C262:C264"/>
    <mergeCell ref="F262:F264"/>
    <mergeCell ref="G262:G264"/>
    <mergeCell ref="H262:H264"/>
    <mergeCell ref="I262:I264"/>
    <mergeCell ref="J262:J264"/>
    <mergeCell ref="K262:K264"/>
    <mergeCell ref="L262:L264"/>
    <mergeCell ref="M262:M264"/>
    <mergeCell ref="N262:N264"/>
    <mergeCell ref="O262:O264"/>
    <mergeCell ref="T262:T264"/>
    <mergeCell ref="U262:U264"/>
    <mergeCell ref="A266:A271"/>
    <mergeCell ref="B266:B271"/>
    <mergeCell ref="C266:C271"/>
    <mergeCell ref="F266:F271"/>
    <mergeCell ref="G266:G271"/>
    <mergeCell ref="H266:H271"/>
    <mergeCell ref="I266:I271"/>
    <mergeCell ref="J266:J271"/>
    <mergeCell ref="K266:K271"/>
    <mergeCell ref="L266:L271"/>
    <mergeCell ref="M266:M271"/>
    <mergeCell ref="N266:N271"/>
    <mergeCell ref="O266:O271"/>
    <mergeCell ref="T266:T271"/>
    <mergeCell ref="U266:U271"/>
    <mergeCell ref="A274:A277"/>
    <mergeCell ref="B274:B275"/>
    <mergeCell ref="C274:C275"/>
    <mergeCell ref="F274:F275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T274:T275"/>
    <mergeCell ref="U274:U275"/>
    <mergeCell ref="A278:A282"/>
    <mergeCell ref="B278:B280"/>
    <mergeCell ref="C278:C280"/>
    <mergeCell ref="F278:F280"/>
    <mergeCell ref="G278:G280"/>
    <mergeCell ref="H278:H280"/>
    <mergeCell ref="I278:I280"/>
    <mergeCell ref="J278:J280"/>
    <mergeCell ref="K278:K280"/>
    <mergeCell ref="L278:L280"/>
    <mergeCell ref="M278:M280"/>
    <mergeCell ref="N278:N280"/>
    <mergeCell ref="O278:O280"/>
    <mergeCell ref="T278:T280"/>
    <mergeCell ref="U278:U280"/>
    <mergeCell ref="A284:A285"/>
    <mergeCell ref="B284:B285"/>
    <mergeCell ref="C284:C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N284:N285"/>
    <mergeCell ref="O284:O285"/>
    <mergeCell ref="T284:T285"/>
    <mergeCell ref="U284:U285"/>
    <mergeCell ref="A287:A290"/>
    <mergeCell ref="B287:B290"/>
    <mergeCell ref="C287:C290"/>
    <mergeCell ref="F287:F290"/>
    <mergeCell ref="G287:G290"/>
    <mergeCell ref="H287:H290"/>
    <mergeCell ref="I287:I290"/>
    <mergeCell ref="J287:J290"/>
    <mergeCell ref="K287:K290"/>
    <mergeCell ref="L287:L290"/>
    <mergeCell ref="M287:M290"/>
    <mergeCell ref="N287:N290"/>
    <mergeCell ref="O287:O290"/>
    <mergeCell ref="T287:T290"/>
    <mergeCell ref="U287:U290"/>
    <mergeCell ref="A293:A294"/>
    <mergeCell ref="B293:B294"/>
    <mergeCell ref="C293:C294"/>
    <mergeCell ref="F293:F294"/>
    <mergeCell ref="G293:G294"/>
    <mergeCell ref="H293:H294"/>
    <mergeCell ref="I293:I294"/>
    <mergeCell ref="J293:J294"/>
    <mergeCell ref="K293:K294"/>
    <mergeCell ref="L293:L294"/>
    <mergeCell ref="M293:M294"/>
    <mergeCell ref="N293:N294"/>
    <mergeCell ref="O293:O294"/>
    <mergeCell ref="T293:T294"/>
    <mergeCell ref="U293:U294"/>
    <mergeCell ref="A296:A297"/>
    <mergeCell ref="B296:B297"/>
    <mergeCell ref="C296:C297"/>
    <mergeCell ref="F296:F297"/>
    <mergeCell ref="G296:G297"/>
    <mergeCell ref="H296:H297"/>
    <mergeCell ref="I296:I297"/>
    <mergeCell ref="J296:J297"/>
    <mergeCell ref="K296:K297"/>
    <mergeCell ref="L296:L297"/>
    <mergeCell ref="M296:M297"/>
    <mergeCell ref="N296:N297"/>
    <mergeCell ref="O296:O297"/>
    <mergeCell ref="T296:T297"/>
    <mergeCell ref="U296:U297"/>
    <mergeCell ref="A299:A300"/>
    <mergeCell ref="B299:B300"/>
    <mergeCell ref="C299:C300"/>
    <mergeCell ref="F299:F300"/>
    <mergeCell ref="G299:G300"/>
    <mergeCell ref="H299:H300"/>
    <mergeCell ref="I299:I300"/>
    <mergeCell ref="J299:J300"/>
    <mergeCell ref="K299:K300"/>
    <mergeCell ref="L299:L300"/>
    <mergeCell ref="M299:M300"/>
    <mergeCell ref="N299:N300"/>
    <mergeCell ref="O299:O300"/>
    <mergeCell ref="T299:T300"/>
    <mergeCell ref="U299:U300"/>
    <mergeCell ref="A302:A307"/>
    <mergeCell ref="B302:B307"/>
    <mergeCell ref="C302:C307"/>
    <mergeCell ref="F302:F307"/>
    <mergeCell ref="G302:G307"/>
    <mergeCell ref="H302:H307"/>
    <mergeCell ref="I302:I307"/>
    <mergeCell ref="J302:J307"/>
    <mergeCell ref="K302:K307"/>
    <mergeCell ref="L302:L307"/>
    <mergeCell ref="M302:M307"/>
    <mergeCell ref="N302:N307"/>
    <mergeCell ref="O302:O307"/>
    <mergeCell ref="T302:T307"/>
    <mergeCell ref="U302:U307"/>
    <mergeCell ref="A308:A310"/>
    <mergeCell ref="B308:B310"/>
    <mergeCell ref="C308:C310"/>
    <mergeCell ref="F308:F310"/>
    <mergeCell ref="G308:G310"/>
    <mergeCell ref="H308:H310"/>
    <mergeCell ref="I308:I310"/>
    <mergeCell ref="J308:J310"/>
    <mergeCell ref="K308:K310"/>
    <mergeCell ref="L308:L310"/>
    <mergeCell ref="M308:M310"/>
    <mergeCell ref="N308:N310"/>
    <mergeCell ref="O308:O310"/>
    <mergeCell ref="T308:T310"/>
    <mergeCell ref="U308:U310"/>
    <mergeCell ref="A313:A314"/>
    <mergeCell ref="B313:B314"/>
    <mergeCell ref="C313:C314"/>
    <mergeCell ref="F313:F314"/>
    <mergeCell ref="G313:G314"/>
    <mergeCell ref="H313:H314"/>
    <mergeCell ref="I313:I314"/>
    <mergeCell ref="J313:J314"/>
    <mergeCell ref="K313:K314"/>
    <mergeCell ref="L313:L314"/>
    <mergeCell ref="M313:M314"/>
    <mergeCell ref="N313:N314"/>
    <mergeCell ref="O313:O314"/>
    <mergeCell ref="T313:T314"/>
    <mergeCell ref="U313:U314"/>
    <mergeCell ref="A316:A317"/>
    <mergeCell ref="A319:A321"/>
    <mergeCell ref="B319:B321"/>
    <mergeCell ref="C319:C321"/>
    <mergeCell ref="F319:F321"/>
    <mergeCell ref="G319:G321"/>
    <mergeCell ref="H319:H321"/>
    <mergeCell ref="I319:I321"/>
    <mergeCell ref="J319:J321"/>
    <mergeCell ref="K319:K321"/>
    <mergeCell ref="L319:L321"/>
    <mergeCell ref="M319:M321"/>
    <mergeCell ref="N319:N321"/>
    <mergeCell ref="O319:O321"/>
    <mergeCell ref="T319:T321"/>
    <mergeCell ref="U319:U321"/>
    <mergeCell ref="A334:A335"/>
    <mergeCell ref="A336:A337"/>
    <mergeCell ref="B336:B337"/>
    <mergeCell ref="C336:C337"/>
    <mergeCell ref="F336:F337"/>
    <mergeCell ref="G336:G337"/>
    <mergeCell ref="H336:H337"/>
    <mergeCell ref="I336:I337"/>
    <mergeCell ref="J336:J337"/>
    <mergeCell ref="K336:K337"/>
    <mergeCell ref="L336:L337"/>
    <mergeCell ref="M336:M337"/>
    <mergeCell ref="N336:N337"/>
    <mergeCell ref="O336:O337"/>
    <mergeCell ref="T336:T337"/>
    <mergeCell ref="U336:U337"/>
    <mergeCell ref="A340:A346"/>
    <mergeCell ref="B340:B342"/>
    <mergeCell ref="C340:C342"/>
    <mergeCell ref="F340:F342"/>
    <mergeCell ref="G340:G342"/>
    <mergeCell ref="H340:H342"/>
    <mergeCell ref="I340:I342"/>
    <mergeCell ref="J340:J342"/>
    <mergeCell ref="K340:K342"/>
    <mergeCell ref="L340:L342"/>
    <mergeCell ref="M340:M342"/>
    <mergeCell ref="N340:N342"/>
    <mergeCell ref="O340:O342"/>
    <mergeCell ref="T340:T342"/>
    <mergeCell ref="U340:U342"/>
    <mergeCell ref="A349:A357"/>
    <mergeCell ref="B349:B354"/>
    <mergeCell ref="C349:C354"/>
    <mergeCell ref="F349:F354"/>
    <mergeCell ref="G349:G354"/>
    <mergeCell ref="H349:H354"/>
    <mergeCell ref="I349:I354"/>
    <mergeCell ref="J349:J354"/>
    <mergeCell ref="K349:K354"/>
    <mergeCell ref="L349:L354"/>
    <mergeCell ref="M349:M354"/>
    <mergeCell ref="N349:N354"/>
    <mergeCell ref="O349:O354"/>
    <mergeCell ref="T349:T354"/>
    <mergeCell ref="U349:U354"/>
    <mergeCell ref="A360:A371"/>
    <mergeCell ref="B360:B367"/>
    <mergeCell ref="C360:C367"/>
    <mergeCell ref="F360:F367"/>
    <mergeCell ref="G360:G367"/>
    <mergeCell ref="H360:H367"/>
    <mergeCell ref="I360:I367"/>
    <mergeCell ref="J360:J367"/>
    <mergeCell ref="K360:K367"/>
    <mergeCell ref="L360:L367"/>
    <mergeCell ref="M360:M367"/>
    <mergeCell ref="N360:N367"/>
    <mergeCell ref="O360:O367"/>
    <mergeCell ref="T360:T367"/>
    <mergeCell ref="U360:U367"/>
    <mergeCell ref="A373:A377"/>
    <mergeCell ref="A380:A382"/>
    <mergeCell ref="B380:B382"/>
    <mergeCell ref="C380:C382"/>
    <mergeCell ref="F380:F382"/>
    <mergeCell ref="G380:G382"/>
    <mergeCell ref="H380:H382"/>
    <mergeCell ref="I380:I382"/>
    <mergeCell ref="J380:J382"/>
    <mergeCell ref="K380:K382"/>
    <mergeCell ref="L380:L382"/>
    <mergeCell ref="M380:M382"/>
    <mergeCell ref="N380:N382"/>
    <mergeCell ref="O380:O382"/>
    <mergeCell ref="T380:T382"/>
    <mergeCell ref="U380:U382"/>
    <mergeCell ref="A383:A387"/>
    <mergeCell ref="A390:A393"/>
    <mergeCell ref="A394:A397"/>
    <mergeCell ref="A398:A401"/>
    <mergeCell ref="A407:A408"/>
    <mergeCell ref="B407:B408"/>
    <mergeCell ref="C407:C408"/>
    <mergeCell ref="F407:F408"/>
    <mergeCell ref="G407:G408"/>
    <mergeCell ref="H407:H408"/>
    <mergeCell ref="I407:I408"/>
    <mergeCell ref="J407:J408"/>
    <mergeCell ref="K407:K408"/>
    <mergeCell ref="L407:L408"/>
    <mergeCell ref="M407:M408"/>
    <mergeCell ref="N407:N408"/>
    <mergeCell ref="O407:O408"/>
    <mergeCell ref="T407:T408"/>
    <mergeCell ref="U407:U408"/>
    <mergeCell ref="A410:A411"/>
    <mergeCell ref="B410:B411"/>
    <mergeCell ref="C410:C411"/>
    <mergeCell ref="F410:F411"/>
    <mergeCell ref="G410:G411"/>
    <mergeCell ref="H410:H411"/>
    <mergeCell ref="I410:I411"/>
    <mergeCell ref="J410:J411"/>
    <mergeCell ref="K410:K411"/>
    <mergeCell ref="L410:L411"/>
    <mergeCell ref="M410:M411"/>
    <mergeCell ref="N410:N411"/>
    <mergeCell ref="O410:O411"/>
    <mergeCell ref="T410:T411"/>
    <mergeCell ref="U410:U411"/>
    <mergeCell ref="A416:A419"/>
    <mergeCell ref="B416:B418"/>
    <mergeCell ref="C416:C418"/>
    <mergeCell ref="F416:F418"/>
    <mergeCell ref="G416:G418"/>
    <mergeCell ref="H416:H418"/>
    <mergeCell ref="I416:I418"/>
    <mergeCell ref="J416:J418"/>
    <mergeCell ref="K416:K418"/>
    <mergeCell ref="L416:L418"/>
    <mergeCell ref="M416:M418"/>
    <mergeCell ref="N416:N418"/>
    <mergeCell ref="O416:O418"/>
    <mergeCell ref="T416:T418"/>
    <mergeCell ref="U416:U418"/>
    <mergeCell ref="A420:A423"/>
    <mergeCell ref="B420:B422"/>
    <mergeCell ref="C420:C422"/>
    <mergeCell ref="F420:F422"/>
    <mergeCell ref="G420:G422"/>
    <mergeCell ref="H420:H422"/>
    <mergeCell ref="I420:I422"/>
    <mergeCell ref="J420:J422"/>
    <mergeCell ref="K420:K422"/>
    <mergeCell ref="L420:L422"/>
    <mergeCell ref="M420:M422"/>
    <mergeCell ref="N420:N422"/>
    <mergeCell ref="O420:O422"/>
    <mergeCell ref="T420:T422"/>
    <mergeCell ref="U420:U422"/>
    <mergeCell ref="A428:A434"/>
    <mergeCell ref="B428:B429"/>
    <mergeCell ref="C428:C429"/>
    <mergeCell ref="F428:F429"/>
    <mergeCell ref="G428:G429"/>
    <mergeCell ref="H428:H429"/>
    <mergeCell ref="I428:I429"/>
    <mergeCell ref="J428:J429"/>
    <mergeCell ref="K428:K429"/>
    <mergeCell ref="L428:L429"/>
    <mergeCell ref="M428:M429"/>
    <mergeCell ref="N428:N429"/>
    <mergeCell ref="O428:O429"/>
    <mergeCell ref="T428:T429"/>
    <mergeCell ref="U428:U429"/>
    <mergeCell ref="B430:B432"/>
    <mergeCell ref="C430:C432"/>
    <mergeCell ref="F430:F432"/>
    <mergeCell ref="G430:G432"/>
    <mergeCell ref="H430:H432"/>
    <mergeCell ref="I430:I432"/>
    <mergeCell ref="J430:J432"/>
    <mergeCell ref="K430:K432"/>
    <mergeCell ref="L430:L432"/>
    <mergeCell ref="M430:M432"/>
    <mergeCell ref="N430:N432"/>
    <mergeCell ref="O430:O432"/>
    <mergeCell ref="T430:T432"/>
    <mergeCell ref="U430:U432"/>
    <mergeCell ref="A435:A439"/>
    <mergeCell ref="A440:A442"/>
    <mergeCell ref="B440:B441"/>
    <mergeCell ref="C440:C441"/>
    <mergeCell ref="F440:F441"/>
    <mergeCell ref="G440:G441"/>
    <mergeCell ref="H440:H441"/>
    <mergeCell ref="I440:I441"/>
    <mergeCell ref="J440:J441"/>
    <mergeCell ref="K440:K441"/>
    <mergeCell ref="L440:L441"/>
    <mergeCell ref="M440:M441"/>
    <mergeCell ref="N440:N441"/>
    <mergeCell ref="O440:O441"/>
    <mergeCell ref="T440:T441"/>
    <mergeCell ref="U440:U441"/>
    <mergeCell ref="A443:A447"/>
    <mergeCell ref="A451:A452"/>
    <mergeCell ref="B451:B452"/>
    <mergeCell ref="C451:C452"/>
    <mergeCell ref="F451:F452"/>
    <mergeCell ref="G451:G452"/>
    <mergeCell ref="H451:H452"/>
    <mergeCell ref="I451:I452"/>
    <mergeCell ref="J451:J452"/>
    <mergeCell ref="K451:K452"/>
    <mergeCell ref="L451:L452"/>
    <mergeCell ref="M451:M452"/>
    <mergeCell ref="N451:N452"/>
    <mergeCell ref="O451:O452"/>
    <mergeCell ref="T451:T452"/>
    <mergeCell ref="U451:U452"/>
    <mergeCell ref="A455:A458"/>
    <mergeCell ref="B455:B458"/>
    <mergeCell ref="C455:C458"/>
    <mergeCell ref="F455:F458"/>
    <mergeCell ref="G455:G458"/>
    <mergeCell ref="H455:H458"/>
    <mergeCell ref="I455:I458"/>
    <mergeCell ref="J455:J458"/>
    <mergeCell ref="K455:K458"/>
    <mergeCell ref="L455:L458"/>
    <mergeCell ref="M455:M458"/>
    <mergeCell ref="N455:N458"/>
    <mergeCell ref="O455:O458"/>
    <mergeCell ref="T455:T458"/>
    <mergeCell ref="U455:U458"/>
    <mergeCell ref="A459:A460"/>
    <mergeCell ref="B459:B460"/>
    <mergeCell ref="C459:C460"/>
    <mergeCell ref="F459:F460"/>
    <mergeCell ref="G459:G460"/>
    <mergeCell ref="H459:H460"/>
    <mergeCell ref="I459:I460"/>
    <mergeCell ref="J459:J460"/>
    <mergeCell ref="K459:K460"/>
    <mergeCell ref="L459:L460"/>
    <mergeCell ref="M459:M460"/>
    <mergeCell ref="N459:N460"/>
    <mergeCell ref="O459:O460"/>
    <mergeCell ref="T459:T460"/>
    <mergeCell ref="U459:U460"/>
    <mergeCell ref="A465:A469"/>
    <mergeCell ref="B465:B466"/>
    <mergeCell ref="C465:C466"/>
    <mergeCell ref="F465:F466"/>
    <mergeCell ref="G465:G466"/>
    <mergeCell ref="H465:H466"/>
    <mergeCell ref="I465:I466"/>
    <mergeCell ref="J465:J466"/>
    <mergeCell ref="K465:K466"/>
    <mergeCell ref="L465:L466"/>
    <mergeCell ref="M465:M466"/>
    <mergeCell ref="N465:N466"/>
    <mergeCell ref="O465:O466"/>
    <mergeCell ref="T465:T466"/>
    <mergeCell ref="U465:U466"/>
    <mergeCell ref="A470:A472"/>
    <mergeCell ref="A473:A474"/>
    <mergeCell ref="B473:B474"/>
    <mergeCell ref="C473:C474"/>
    <mergeCell ref="F473:F474"/>
    <mergeCell ref="G473:G474"/>
    <mergeCell ref="H473:H474"/>
    <mergeCell ref="I473:I474"/>
    <mergeCell ref="J473:J474"/>
    <mergeCell ref="K473:K474"/>
    <mergeCell ref="L473:L474"/>
    <mergeCell ref="M473:M474"/>
    <mergeCell ref="N473:N474"/>
    <mergeCell ref="O473:O474"/>
    <mergeCell ref="T473:T474"/>
    <mergeCell ref="U473:U474"/>
    <mergeCell ref="A482:A483"/>
    <mergeCell ref="B482:B483"/>
    <mergeCell ref="C482:C483"/>
    <mergeCell ref="F482:F483"/>
    <mergeCell ref="G482:G483"/>
    <mergeCell ref="H482:H483"/>
    <mergeCell ref="I482:I483"/>
    <mergeCell ref="J482:J483"/>
    <mergeCell ref="K482:K483"/>
    <mergeCell ref="L482:L483"/>
    <mergeCell ref="M482:M483"/>
    <mergeCell ref="N482:N483"/>
    <mergeCell ref="O482:O483"/>
    <mergeCell ref="T482:T483"/>
    <mergeCell ref="U482:U483"/>
    <mergeCell ref="A484:A486"/>
    <mergeCell ref="B484:B486"/>
    <mergeCell ref="C484:C486"/>
    <mergeCell ref="F484:F486"/>
    <mergeCell ref="G484:G486"/>
    <mergeCell ref="H484:H486"/>
    <mergeCell ref="I484:I486"/>
    <mergeCell ref="J484:J486"/>
    <mergeCell ref="K484:K486"/>
    <mergeCell ref="L484:L486"/>
    <mergeCell ref="M484:M486"/>
    <mergeCell ref="N484:N486"/>
    <mergeCell ref="O484:O486"/>
    <mergeCell ref="T484:T486"/>
    <mergeCell ref="U484:U486"/>
    <mergeCell ref="A490:A491"/>
    <mergeCell ref="B490:B491"/>
    <mergeCell ref="C490:C491"/>
    <mergeCell ref="F490:F491"/>
    <mergeCell ref="G490:G491"/>
    <mergeCell ref="H490:H491"/>
    <mergeCell ref="I490:I491"/>
    <mergeCell ref="J490:J491"/>
    <mergeCell ref="K490:K491"/>
    <mergeCell ref="L490:L491"/>
    <mergeCell ref="M490:M491"/>
    <mergeCell ref="N490:N491"/>
    <mergeCell ref="O490:O491"/>
    <mergeCell ref="T490:T491"/>
    <mergeCell ref="U490:U491"/>
    <mergeCell ref="A493:A495"/>
    <mergeCell ref="B493:B495"/>
    <mergeCell ref="C493:C495"/>
    <mergeCell ref="F493:F495"/>
    <mergeCell ref="G493:G495"/>
    <mergeCell ref="H493:H495"/>
    <mergeCell ref="I493:I495"/>
    <mergeCell ref="J493:J495"/>
    <mergeCell ref="K493:K495"/>
    <mergeCell ref="L493:L495"/>
    <mergeCell ref="M493:M495"/>
    <mergeCell ref="N493:N495"/>
    <mergeCell ref="O493:O495"/>
    <mergeCell ref="T493:T495"/>
    <mergeCell ref="U493:U495"/>
    <mergeCell ref="A496:A498"/>
    <mergeCell ref="B497:B498"/>
    <mergeCell ref="C497:C498"/>
    <mergeCell ref="F497:F498"/>
    <mergeCell ref="H497:H498"/>
    <mergeCell ref="I497:I498"/>
    <mergeCell ref="J497:J498"/>
    <mergeCell ref="K497:K498"/>
    <mergeCell ref="L497:L498"/>
    <mergeCell ref="M497:M498"/>
    <mergeCell ref="N497:N498"/>
    <mergeCell ref="O497:O498"/>
    <mergeCell ref="T497:T498"/>
    <mergeCell ref="U497:U498"/>
    <mergeCell ref="A500:A503"/>
    <mergeCell ref="A504:A510"/>
    <mergeCell ref="B504:B509"/>
    <mergeCell ref="C504:C509"/>
    <mergeCell ref="F504:F509"/>
    <mergeCell ref="G504:G509"/>
    <mergeCell ref="H504:H509"/>
    <mergeCell ref="I504:I509"/>
    <mergeCell ref="J504:J509"/>
    <mergeCell ref="K504:K509"/>
    <mergeCell ref="L504:L509"/>
    <mergeCell ref="M504:M509"/>
    <mergeCell ref="N504:N509"/>
    <mergeCell ref="O504:O509"/>
    <mergeCell ref="T504:T509"/>
    <mergeCell ref="U504:U509"/>
    <mergeCell ref="A511:A516"/>
    <mergeCell ref="B511:B514"/>
    <mergeCell ref="C511:C514"/>
    <mergeCell ref="F511:F514"/>
    <mergeCell ref="G511:G514"/>
    <mergeCell ref="H511:H514"/>
    <mergeCell ref="I511:I514"/>
    <mergeCell ref="J511:J514"/>
    <mergeCell ref="K511:K514"/>
    <mergeCell ref="L511:L514"/>
    <mergeCell ref="M511:M514"/>
    <mergeCell ref="N511:N514"/>
    <mergeCell ref="O511:O514"/>
    <mergeCell ref="T511:T514"/>
    <mergeCell ref="U511:U514"/>
    <mergeCell ref="A520:A521"/>
    <mergeCell ref="A522:A527"/>
    <mergeCell ref="B522:B524"/>
    <mergeCell ref="C522:C524"/>
    <mergeCell ref="F522:F524"/>
    <mergeCell ref="G522:G524"/>
    <mergeCell ref="H522:H524"/>
    <mergeCell ref="I522:I524"/>
    <mergeCell ref="J522:J524"/>
    <mergeCell ref="K522:K524"/>
    <mergeCell ref="L522:L524"/>
    <mergeCell ref="M522:M524"/>
    <mergeCell ref="N522:N524"/>
    <mergeCell ref="O522:O524"/>
    <mergeCell ref="T522:T524"/>
    <mergeCell ref="U522:U524"/>
    <mergeCell ref="A528:A531"/>
    <mergeCell ref="B528:B531"/>
    <mergeCell ref="C528:C531"/>
    <mergeCell ref="F528:F531"/>
    <mergeCell ref="G528:G531"/>
    <mergeCell ref="H528:H531"/>
    <mergeCell ref="I528:I531"/>
    <mergeCell ref="J528:J531"/>
    <mergeCell ref="K528:K531"/>
    <mergeCell ref="L528:L531"/>
    <mergeCell ref="M528:M531"/>
    <mergeCell ref="N528:N531"/>
    <mergeCell ref="O528:O531"/>
    <mergeCell ref="T528:T531"/>
    <mergeCell ref="U528:U531"/>
    <mergeCell ref="A533:A535"/>
    <mergeCell ref="B533:B535"/>
    <mergeCell ref="C533:C535"/>
    <mergeCell ref="F533:F535"/>
    <mergeCell ref="G533:G535"/>
    <mergeCell ref="H533:H535"/>
    <mergeCell ref="I533:I535"/>
    <mergeCell ref="J533:J535"/>
    <mergeCell ref="K533:K535"/>
    <mergeCell ref="L533:L535"/>
    <mergeCell ref="M533:M535"/>
    <mergeCell ref="N533:N535"/>
    <mergeCell ref="O533:O535"/>
    <mergeCell ref="T533:T535"/>
    <mergeCell ref="U533:U535"/>
    <mergeCell ref="A536:A540"/>
    <mergeCell ref="B536:B540"/>
    <mergeCell ref="C536:C540"/>
    <mergeCell ref="F536:F540"/>
    <mergeCell ref="G536:G540"/>
    <mergeCell ref="H536:H540"/>
    <mergeCell ref="I536:I540"/>
    <mergeCell ref="J536:J540"/>
    <mergeCell ref="K536:K540"/>
    <mergeCell ref="L536:L540"/>
    <mergeCell ref="M536:M540"/>
    <mergeCell ref="N536:N540"/>
    <mergeCell ref="O536:O540"/>
    <mergeCell ref="T536:T540"/>
    <mergeCell ref="U536:U540"/>
    <mergeCell ref="A542:A543"/>
    <mergeCell ref="B542:B543"/>
    <mergeCell ref="C542:C543"/>
    <mergeCell ref="F542:F543"/>
    <mergeCell ref="G542:G543"/>
    <mergeCell ref="H542:H543"/>
    <mergeCell ref="I542:I543"/>
    <mergeCell ref="J542:J543"/>
    <mergeCell ref="K542:K543"/>
    <mergeCell ref="L542:L543"/>
    <mergeCell ref="M542:M543"/>
    <mergeCell ref="N542:N543"/>
    <mergeCell ref="O542:O543"/>
    <mergeCell ref="T542:T543"/>
    <mergeCell ref="U542:U543"/>
    <mergeCell ref="A544:A546"/>
    <mergeCell ref="B544:B546"/>
    <mergeCell ref="C544:C546"/>
    <mergeCell ref="F544:F546"/>
    <mergeCell ref="G544:G546"/>
    <mergeCell ref="H544:H546"/>
    <mergeCell ref="I544:I546"/>
    <mergeCell ref="J544:J546"/>
    <mergeCell ref="K544:K546"/>
    <mergeCell ref="L544:L546"/>
    <mergeCell ref="M544:M546"/>
    <mergeCell ref="N544:N546"/>
    <mergeCell ref="O544:O546"/>
    <mergeCell ref="T544:T546"/>
    <mergeCell ref="U544:U546"/>
    <mergeCell ref="A548:A549"/>
    <mergeCell ref="B548:B549"/>
    <mergeCell ref="C548:C549"/>
    <mergeCell ref="F548:F549"/>
    <mergeCell ref="G548:G549"/>
    <mergeCell ref="H548:H549"/>
    <mergeCell ref="I548:I549"/>
    <mergeCell ref="J548:J549"/>
    <mergeCell ref="K548:K549"/>
    <mergeCell ref="L548:L549"/>
    <mergeCell ref="M548:M549"/>
    <mergeCell ref="N548:N549"/>
    <mergeCell ref="O548:O549"/>
    <mergeCell ref="T548:T549"/>
    <mergeCell ref="U548:U549"/>
    <mergeCell ref="A551:A553"/>
    <mergeCell ref="B551:B553"/>
    <mergeCell ref="C551:C553"/>
    <mergeCell ref="F551:F553"/>
    <mergeCell ref="G551:G553"/>
    <mergeCell ref="H551:H553"/>
    <mergeCell ref="I551:I553"/>
    <mergeCell ref="J551:J553"/>
    <mergeCell ref="K551:K553"/>
    <mergeCell ref="L551:L553"/>
    <mergeCell ref="M551:M553"/>
    <mergeCell ref="N551:N553"/>
    <mergeCell ref="O551:O553"/>
    <mergeCell ref="T551:T553"/>
    <mergeCell ref="U551:U553"/>
    <mergeCell ref="A554:A561"/>
    <mergeCell ref="B554:B556"/>
    <mergeCell ref="C554:C556"/>
    <mergeCell ref="F554:F556"/>
    <mergeCell ref="G554:G556"/>
    <mergeCell ref="H554:H556"/>
    <mergeCell ref="I554:I556"/>
    <mergeCell ref="J554:J556"/>
    <mergeCell ref="K554:K556"/>
    <mergeCell ref="L554:L556"/>
    <mergeCell ref="M554:M556"/>
    <mergeCell ref="N554:N556"/>
    <mergeCell ref="O554:O556"/>
    <mergeCell ref="T554:T556"/>
    <mergeCell ref="U554:U556"/>
    <mergeCell ref="B558:B559"/>
    <mergeCell ref="C558:C559"/>
    <mergeCell ref="F558:F559"/>
    <mergeCell ref="G558:G559"/>
    <mergeCell ref="H558:H559"/>
    <mergeCell ref="I558:I559"/>
    <mergeCell ref="J558:J559"/>
    <mergeCell ref="K558:K559"/>
    <mergeCell ref="L558:L559"/>
    <mergeCell ref="M558:M559"/>
    <mergeCell ref="N558:N559"/>
    <mergeCell ref="O558:O559"/>
    <mergeCell ref="T558:T559"/>
    <mergeCell ref="U558:U559"/>
    <mergeCell ref="A563:A565"/>
    <mergeCell ref="B563:B565"/>
    <mergeCell ref="C563:C565"/>
    <mergeCell ref="F563:F565"/>
    <mergeCell ref="G563:G565"/>
    <mergeCell ref="H563:H565"/>
    <mergeCell ref="I563:I565"/>
    <mergeCell ref="J563:J565"/>
    <mergeCell ref="K563:K565"/>
    <mergeCell ref="L563:L565"/>
    <mergeCell ref="M563:M565"/>
    <mergeCell ref="N563:N565"/>
    <mergeCell ref="O563:O565"/>
    <mergeCell ref="T563:T565"/>
    <mergeCell ref="U563:U565"/>
    <mergeCell ref="A567:A572"/>
    <mergeCell ref="B567:B572"/>
    <mergeCell ref="C567:C572"/>
    <mergeCell ref="F567:F572"/>
    <mergeCell ref="G567:G572"/>
    <mergeCell ref="H567:H572"/>
    <mergeCell ref="I567:I572"/>
    <mergeCell ref="J567:J572"/>
    <mergeCell ref="K567:K572"/>
    <mergeCell ref="L567:L572"/>
    <mergeCell ref="M567:M572"/>
    <mergeCell ref="N567:N572"/>
    <mergeCell ref="O567:O572"/>
    <mergeCell ref="T567:T572"/>
    <mergeCell ref="U567:U572"/>
    <mergeCell ref="A576:A583"/>
    <mergeCell ref="B576:B579"/>
    <mergeCell ref="C576:C579"/>
    <mergeCell ref="F576:F579"/>
    <mergeCell ref="G576:G579"/>
    <mergeCell ref="H576:H579"/>
    <mergeCell ref="I576:I579"/>
    <mergeCell ref="J576:J579"/>
    <mergeCell ref="K576:K579"/>
    <mergeCell ref="L576:L579"/>
    <mergeCell ref="M576:M579"/>
    <mergeCell ref="N576:N579"/>
    <mergeCell ref="O576:O579"/>
    <mergeCell ref="T576:T579"/>
    <mergeCell ref="U576:U579"/>
    <mergeCell ref="A585:A591"/>
    <mergeCell ref="B585:B591"/>
    <mergeCell ref="C585:C591"/>
    <mergeCell ref="F585:F591"/>
    <mergeCell ref="G585:G591"/>
    <mergeCell ref="H585:H591"/>
    <mergeCell ref="I585:I591"/>
    <mergeCell ref="J585:J591"/>
    <mergeCell ref="K585:K591"/>
    <mergeCell ref="L585:L591"/>
    <mergeCell ref="M585:M591"/>
    <mergeCell ref="N585:N591"/>
    <mergeCell ref="O585:O591"/>
    <mergeCell ref="T585:T591"/>
    <mergeCell ref="U585:U591"/>
    <mergeCell ref="A592:A593"/>
    <mergeCell ref="B592:B593"/>
    <mergeCell ref="C592:C593"/>
    <mergeCell ref="F592:F593"/>
    <mergeCell ref="G592:G593"/>
    <mergeCell ref="H592:H593"/>
    <mergeCell ref="I592:I593"/>
    <mergeCell ref="J592:J593"/>
    <mergeCell ref="K592:K593"/>
    <mergeCell ref="L592:L593"/>
    <mergeCell ref="M592:M593"/>
    <mergeCell ref="N592:N593"/>
    <mergeCell ref="O592:O593"/>
    <mergeCell ref="T592:T593"/>
    <mergeCell ref="U592:U593"/>
    <mergeCell ref="A595:A596"/>
    <mergeCell ref="B595:B596"/>
    <mergeCell ref="C595:C596"/>
    <mergeCell ref="F595:F596"/>
    <mergeCell ref="G595:G596"/>
    <mergeCell ref="H595:H596"/>
    <mergeCell ref="J595:J596"/>
    <mergeCell ref="K595:K596"/>
    <mergeCell ref="L595:L596"/>
    <mergeCell ref="M595:M596"/>
    <mergeCell ref="N595:N596"/>
    <mergeCell ref="O595:O596"/>
    <mergeCell ref="T595:T596"/>
    <mergeCell ref="U595:U596"/>
    <mergeCell ref="A598:A600"/>
    <mergeCell ref="A603:A611"/>
    <mergeCell ref="B603:B607"/>
    <mergeCell ref="C603:C607"/>
    <mergeCell ref="F603:F607"/>
    <mergeCell ref="G603:G607"/>
    <mergeCell ref="H603:H607"/>
    <mergeCell ref="I603:I607"/>
    <mergeCell ref="J603:J607"/>
    <mergeCell ref="K603:K607"/>
    <mergeCell ref="L603:L607"/>
    <mergeCell ref="M603:M607"/>
    <mergeCell ref="N603:N607"/>
    <mergeCell ref="O603:O607"/>
    <mergeCell ref="T603:T607"/>
    <mergeCell ref="U603:U607"/>
    <mergeCell ref="B610:B611"/>
    <mergeCell ref="C610:C611"/>
    <mergeCell ref="F610:F611"/>
    <mergeCell ref="G610:G611"/>
    <mergeCell ref="H610:H611"/>
    <mergeCell ref="I610:I611"/>
    <mergeCell ref="J610:J611"/>
    <mergeCell ref="K610:K611"/>
    <mergeCell ref="L610:L611"/>
    <mergeCell ref="M610:M611"/>
    <mergeCell ref="N610:N611"/>
    <mergeCell ref="O610:O611"/>
    <mergeCell ref="T610:T611"/>
    <mergeCell ref="U610:U611"/>
    <mergeCell ref="A613:A618"/>
    <mergeCell ref="B613:B618"/>
    <mergeCell ref="C613:C618"/>
    <mergeCell ref="F613:F618"/>
    <mergeCell ref="G613:G618"/>
    <mergeCell ref="H613:H618"/>
    <mergeCell ref="I613:I618"/>
    <mergeCell ref="J613:J618"/>
    <mergeCell ref="K613:K618"/>
    <mergeCell ref="L613:L618"/>
    <mergeCell ref="M613:M618"/>
    <mergeCell ref="N613:N618"/>
    <mergeCell ref="O613:O618"/>
    <mergeCell ref="T613:T618"/>
    <mergeCell ref="U613:U618"/>
    <mergeCell ref="A619:A621"/>
    <mergeCell ref="B619:B621"/>
    <mergeCell ref="C619:C621"/>
    <mergeCell ref="F619:F621"/>
    <mergeCell ref="G619:G621"/>
    <mergeCell ref="H619:H621"/>
    <mergeCell ref="I619:I621"/>
    <mergeCell ref="J619:J621"/>
    <mergeCell ref="K619:K621"/>
    <mergeCell ref="L619:L621"/>
    <mergeCell ref="M619:M621"/>
    <mergeCell ref="N619:N621"/>
    <mergeCell ref="O619:O621"/>
    <mergeCell ref="T619:T621"/>
    <mergeCell ref="U619:U621"/>
    <mergeCell ref="A622:A626"/>
    <mergeCell ref="A627:A634"/>
    <mergeCell ref="B627:B630"/>
    <mergeCell ref="C627:C630"/>
    <mergeCell ref="F627:F630"/>
    <mergeCell ref="G627:G630"/>
    <mergeCell ref="H627:H630"/>
    <mergeCell ref="I627:I630"/>
    <mergeCell ref="J627:J630"/>
    <mergeCell ref="K627:K630"/>
    <mergeCell ref="L627:L630"/>
    <mergeCell ref="M627:M630"/>
    <mergeCell ref="N627:N630"/>
    <mergeCell ref="O627:O630"/>
    <mergeCell ref="T627:T630"/>
    <mergeCell ref="U627:U630"/>
    <mergeCell ref="A635:A636"/>
    <mergeCell ref="B635:B636"/>
    <mergeCell ref="C635:C636"/>
    <mergeCell ref="F635:F636"/>
    <mergeCell ref="G635:G636"/>
    <mergeCell ref="H635:H636"/>
    <mergeCell ref="I635:I636"/>
    <mergeCell ref="K635:K636"/>
    <mergeCell ref="L635:L636"/>
    <mergeCell ref="M635:M636"/>
    <mergeCell ref="N635:N636"/>
    <mergeCell ref="O635:O636"/>
    <mergeCell ref="T635:T636"/>
    <mergeCell ref="U635:U636"/>
    <mergeCell ref="A639:A644"/>
    <mergeCell ref="B639:B644"/>
    <mergeCell ref="C639:C644"/>
    <mergeCell ref="F639:F644"/>
    <mergeCell ref="G639:G644"/>
    <mergeCell ref="H639:H644"/>
    <mergeCell ref="I639:I644"/>
    <mergeCell ref="J639:J644"/>
    <mergeCell ref="K639:K644"/>
    <mergeCell ref="L639:L644"/>
    <mergeCell ref="M639:M644"/>
    <mergeCell ref="N639:N644"/>
    <mergeCell ref="O639:O644"/>
    <mergeCell ref="T639:T644"/>
    <mergeCell ref="U639:U644"/>
    <mergeCell ref="A645:A646"/>
    <mergeCell ref="B645:B646"/>
    <mergeCell ref="C645:C646"/>
    <mergeCell ref="F645:F646"/>
    <mergeCell ref="G645:G646"/>
    <mergeCell ref="H645:H646"/>
    <mergeCell ref="K645:K646"/>
    <mergeCell ref="L645:L646"/>
    <mergeCell ref="M645:M646"/>
    <mergeCell ref="N645:N646"/>
    <mergeCell ref="O645:O646"/>
    <mergeCell ref="T645:T646"/>
    <mergeCell ref="U645:U646"/>
    <mergeCell ref="A647:A649"/>
    <mergeCell ref="B647:B649"/>
    <mergeCell ref="C647:C649"/>
    <mergeCell ref="F647:F649"/>
    <mergeCell ref="G647:G649"/>
    <mergeCell ref="H647:H649"/>
    <mergeCell ref="I647:I649"/>
    <mergeCell ref="J647:J649"/>
    <mergeCell ref="K647:K649"/>
    <mergeCell ref="L647:L649"/>
    <mergeCell ref="M647:M649"/>
    <mergeCell ref="N647:N649"/>
    <mergeCell ref="O647:O649"/>
    <mergeCell ref="T647:T649"/>
    <mergeCell ref="U647:U649"/>
    <mergeCell ref="A650:A651"/>
    <mergeCell ref="B650:B651"/>
    <mergeCell ref="C650:C651"/>
    <mergeCell ref="F650:F651"/>
    <mergeCell ref="G650:G651"/>
    <mergeCell ref="H650:H651"/>
    <mergeCell ref="I650:I651"/>
    <mergeCell ref="J650:J651"/>
    <mergeCell ref="K650:K651"/>
    <mergeCell ref="L650:L651"/>
    <mergeCell ref="M650:M651"/>
    <mergeCell ref="N650:N651"/>
    <mergeCell ref="O650:O651"/>
    <mergeCell ref="T650:T651"/>
    <mergeCell ref="U650:U651"/>
    <mergeCell ref="A657:A658"/>
    <mergeCell ref="B657:B658"/>
    <mergeCell ref="C657:C658"/>
    <mergeCell ref="F657:F658"/>
    <mergeCell ref="G657:G658"/>
    <mergeCell ref="H657:H658"/>
    <mergeCell ref="I657:I658"/>
    <mergeCell ref="J657:J658"/>
    <mergeCell ref="K657:K658"/>
    <mergeCell ref="L657:L658"/>
    <mergeCell ref="M657:M658"/>
    <mergeCell ref="N657:N658"/>
    <mergeCell ref="O657:O658"/>
    <mergeCell ref="T657:T658"/>
    <mergeCell ref="U657:U658"/>
    <mergeCell ref="A659:A664"/>
    <mergeCell ref="B659:B663"/>
    <mergeCell ref="C659:C663"/>
    <mergeCell ref="F659:F663"/>
    <mergeCell ref="G659:G663"/>
    <mergeCell ref="H659:H663"/>
    <mergeCell ref="I659:I663"/>
    <mergeCell ref="J659:J663"/>
    <mergeCell ref="K659:K663"/>
    <mergeCell ref="L659:L663"/>
    <mergeCell ref="M659:M663"/>
    <mergeCell ref="N659:N663"/>
    <mergeCell ref="O659:O663"/>
    <mergeCell ref="T659:T663"/>
    <mergeCell ref="U659:U663"/>
    <mergeCell ref="A665:A668"/>
    <mergeCell ref="B665:B667"/>
    <mergeCell ref="C665:C667"/>
    <mergeCell ref="F665:F667"/>
    <mergeCell ref="G665:G667"/>
    <mergeCell ref="H665:H667"/>
    <mergeCell ref="I665:I667"/>
    <mergeCell ref="J665:J667"/>
    <mergeCell ref="K665:K667"/>
    <mergeCell ref="L665:L667"/>
    <mergeCell ref="M665:M667"/>
    <mergeCell ref="N665:N667"/>
    <mergeCell ref="O665:O667"/>
    <mergeCell ref="T665:T667"/>
    <mergeCell ref="U665:U667"/>
    <mergeCell ref="A669:A671"/>
    <mergeCell ref="B669:B670"/>
    <mergeCell ref="C669:C670"/>
    <mergeCell ref="F669:F670"/>
    <mergeCell ref="G669:G670"/>
    <mergeCell ref="H669:H670"/>
    <mergeCell ref="I669:I670"/>
    <mergeCell ref="J669:J670"/>
    <mergeCell ref="K669:K670"/>
    <mergeCell ref="L669:L670"/>
    <mergeCell ref="M669:M670"/>
    <mergeCell ref="N669:N670"/>
    <mergeCell ref="O669:O670"/>
    <mergeCell ref="T669:T670"/>
    <mergeCell ref="U669:U670"/>
    <mergeCell ref="A672:A673"/>
    <mergeCell ref="B672:B673"/>
    <mergeCell ref="C672:C673"/>
    <mergeCell ref="F672:F673"/>
    <mergeCell ref="G672:G673"/>
    <mergeCell ref="H672:H673"/>
    <mergeCell ref="I672:I673"/>
    <mergeCell ref="J672:J673"/>
    <mergeCell ref="K672:K673"/>
    <mergeCell ref="L672:L673"/>
    <mergeCell ref="M672:M673"/>
    <mergeCell ref="N672:N673"/>
    <mergeCell ref="O672:O673"/>
    <mergeCell ref="T672:T673"/>
    <mergeCell ref="U672:U673"/>
    <mergeCell ref="A674:A676"/>
    <mergeCell ref="B674:B676"/>
    <mergeCell ref="C674:C676"/>
    <mergeCell ref="F674:F676"/>
    <mergeCell ref="G674:G676"/>
    <mergeCell ref="H674:H676"/>
    <mergeCell ref="I674:I676"/>
    <mergeCell ref="J674:J676"/>
    <mergeCell ref="K674:K676"/>
    <mergeCell ref="L674:L676"/>
    <mergeCell ref="M674:M676"/>
    <mergeCell ref="N674:N676"/>
    <mergeCell ref="O674:O676"/>
    <mergeCell ref="T674:T676"/>
    <mergeCell ref="U674:U676"/>
    <mergeCell ref="A678:A679"/>
    <mergeCell ref="B678:B679"/>
    <mergeCell ref="C678:C679"/>
    <mergeCell ref="F678:F679"/>
    <mergeCell ref="G678:G679"/>
    <mergeCell ref="H678:H679"/>
    <mergeCell ref="I678:I679"/>
    <mergeCell ref="J678:J679"/>
    <mergeCell ref="K678:K679"/>
    <mergeCell ref="L678:L679"/>
    <mergeCell ref="M678:M679"/>
    <mergeCell ref="N678:N679"/>
    <mergeCell ref="O678:O679"/>
    <mergeCell ref="T678:T679"/>
    <mergeCell ref="U678:U679"/>
    <mergeCell ref="A680:A683"/>
    <mergeCell ref="A685:A687"/>
    <mergeCell ref="A688:A693"/>
    <mergeCell ref="B688:B693"/>
    <mergeCell ref="C688:C693"/>
    <mergeCell ref="F688:F693"/>
    <mergeCell ref="G688:G693"/>
    <mergeCell ref="H688:H693"/>
    <mergeCell ref="I688:I693"/>
    <mergeCell ref="J688:J693"/>
    <mergeCell ref="K688:K693"/>
    <mergeCell ref="L688:L693"/>
    <mergeCell ref="M688:M693"/>
    <mergeCell ref="N688:N693"/>
    <mergeCell ref="O688:O693"/>
    <mergeCell ref="T688:T693"/>
    <mergeCell ref="U688:U693"/>
    <mergeCell ref="A694:A698"/>
    <mergeCell ref="A699:A702"/>
    <mergeCell ref="B699:B702"/>
    <mergeCell ref="C699:C702"/>
    <mergeCell ref="F699:F702"/>
    <mergeCell ref="G699:G702"/>
    <mergeCell ref="H699:H702"/>
    <mergeCell ref="I699:I702"/>
    <mergeCell ref="J699:J702"/>
    <mergeCell ref="K699:K702"/>
    <mergeCell ref="L699:L702"/>
    <mergeCell ref="M699:M702"/>
    <mergeCell ref="N699:N702"/>
    <mergeCell ref="O699:O702"/>
    <mergeCell ref="T699:T702"/>
    <mergeCell ref="U699:U702"/>
    <mergeCell ref="A705:A713"/>
    <mergeCell ref="B705:B709"/>
    <mergeCell ref="C705:C709"/>
    <mergeCell ref="F705:F709"/>
    <mergeCell ref="G705:G709"/>
    <mergeCell ref="H705:H709"/>
    <mergeCell ref="I705:I709"/>
    <mergeCell ref="J705:J709"/>
    <mergeCell ref="K705:K709"/>
    <mergeCell ref="L705:L709"/>
    <mergeCell ref="M705:M709"/>
    <mergeCell ref="N705:N709"/>
    <mergeCell ref="O705:O709"/>
    <mergeCell ref="T705:T709"/>
    <mergeCell ref="U705:U709"/>
    <mergeCell ref="B710:B711"/>
    <mergeCell ref="C710:C711"/>
    <mergeCell ref="F710:F711"/>
    <mergeCell ref="G710:G711"/>
    <mergeCell ref="H710:H711"/>
    <mergeCell ref="I710:I711"/>
    <mergeCell ref="J710:J711"/>
    <mergeCell ref="K710:K711"/>
    <mergeCell ref="L710:L711"/>
    <mergeCell ref="M710:M711"/>
    <mergeCell ref="N710:N711"/>
    <mergeCell ref="O710:O711"/>
    <mergeCell ref="T710:T711"/>
    <mergeCell ref="U710:U711"/>
    <mergeCell ref="A714:A719"/>
    <mergeCell ref="B714:B716"/>
    <mergeCell ref="C714:C716"/>
    <mergeCell ref="F714:F716"/>
    <mergeCell ref="G714:G716"/>
    <mergeCell ref="H714:H716"/>
    <mergeCell ref="I714:I716"/>
    <mergeCell ref="J714:J716"/>
    <mergeCell ref="K714:K716"/>
    <mergeCell ref="L714:L716"/>
    <mergeCell ref="M714:M716"/>
    <mergeCell ref="N714:N716"/>
    <mergeCell ref="O714:O716"/>
    <mergeCell ref="T714:T716"/>
    <mergeCell ref="U714:U716"/>
    <mergeCell ref="A720:A727"/>
    <mergeCell ref="B720:B727"/>
    <mergeCell ref="C720:C727"/>
    <mergeCell ref="F720:F727"/>
    <mergeCell ref="G720:G727"/>
    <mergeCell ref="H720:H727"/>
    <mergeCell ref="I720:I727"/>
    <mergeCell ref="J720:J727"/>
    <mergeCell ref="K720:K727"/>
    <mergeCell ref="L720:L727"/>
    <mergeCell ref="M720:M727"/>
    <mergeCell ref="N720:N727"/>
    <mergeCell ref="O720:O727"/>
    <mergeCell ref="T720:T727"/>
    <mergeCell ref="U720:U727"/>
    <mergeCell ref="A728:A734"/>
    <mergeCell ref="B728:B734"/>
    <mergeCell ref="C728:C734"/>
    <mergeCell ref="F728:F734"/>
    <mergeCell ref="G728:G734"/>
    <mergeCell ref="H728:H734"/>
    <mergeCell ref="I728:I734"/>
    <mergeCell ref="J728:J734"/>
    <mergeCell ref="K728:K734"/>
    <mergeCell ref="L728:L734"/>
    <mergeCell ref="M728:M734"/>
    <mergeCell ref="N728:N734"/>
    <mergeCell ref="O728:O734"/>
    <mergeCell ref="T728:T734"/>
    <mergeCell ref="U728:U734"/>
    <mergeCell ref="A736:A737"/>
    <mergeCell ref="B736:B737"/>
    <mergeCell ref="C736:C737"/>
    <mergeCell ref="F736:F737"/>
    <mergeCell ref="G736:G737"/>
    <mergeCell ref="H736:H737"/>
    <mergeCell ref="I736:I737"/>
    <mergeCell ref="J736:J737"/>
    <mergeCell ref="K736:K737"/>
    <mergeCell ref="L736:L737"/>
    <mergeCell ref="M736:M737"/>
    <mergeCell ref="N736:N737"/>
    <mergeCell ref="O736:O737"/>
    <mergeCell ref="T736:T737"/>
    <mergeCell ref="U736:U737"/>
    <mergeCell ref="A738:A739"/>
    <mergeCell ref="B738:B739"/>
    <mergeCell ref="C738:C739"/>
    <mergeCell ref="F738:F739"/>
    <mergeCell ref="G738:G739"/>
    <mergeCell ref="H738:H739"/>
    <mergeCell ref="I738:I739"/>
    <mergeCell ref="J738:J739"/>
    <mergeCell ref="K738:K739"/>
    <mergeCell ref="L738:L739"/>
    <mergeCell ref="M738:M739"/>
    <mergeCell ref="N738:N739"/>
    <mergeCell ref="O738:O739"/>
    <mergeCell ref="T738:T739"/>
    <mergeCell ref="U738:U739"/>
    <mergeCell ref="A743:A748"/>
    <mergeCell ref="B743:B744"/>
    <mergeCell ref="C743:C744"/>
    <mergeCell ref="F743:F744"/>
    <mergeCell ref="G743:G744"/>
    <mergeCell ref="H743:H744"/>
    <mergeCell ref="I743:I744"/>
    <mergeCell ref="J743:J744"/>
    <mergeCell ref="K743:K744"/>
    <mergeCell ref="L743:L744"/>
    <mergeCell ref="M743:M744"/>
    <mergeCell ref="N743:N744"/>
    <mergeCell ref="O743:O744"/>
    <mergeCell ref="T743:T744"/>
    <mergeCell ref="U743:U744"/>
    <mergeCell ref="A749:A755"/>
    <mergeCell ref="B749:B752"/>
    <mergeCell ref="C749:C752"/>
    <mergeCell ref="F749:F752"/>
    <mergeCell ref="G749:G752"/>
    <mergeCell ref="H749:H752"/>
    <mergeCell ref="I749:I752"/>
    <mergeCell ref="J749:J752"/>
    <mergeCell ref="K749:K752"/>
    <mergeCell ref="L749:L752"/>
    <mergeCell ref="M749:M752"/>
    <mergeCell ref="N749:N752"/>
    <mergeCell ref="O749:O752"/>
    <mergeCell ref="T749:T752"/>
    <mergeCell ref="U749:U752"/>
    <mergeCell ref="A757:A759"/>
    <mergeCell ref="B757:B759"/>
    <mergeCell ref="C757:C759"/>
    <mergeCell ref="F757:F759"/>
    <mergeCell ref="G757:G759"/>
    <mergeCell ref="H757:H759"/>
    <mergeCell ref="I757:I759"/>
    <mergeCell ref="J757:J759"/>
    <mergeCell ref="K757:K759"/>
    <mergeCell ref="L757:L759"/>
    <mergeCell ref="M757:M759"/>
    <mergeCell ref="N757:N759"/>
    <mergeCell ref="O757:O759"/>
    <mergeCell ref="T757:T759"/>
    <mergeCell ref="U757:U759"/>
    <mergeCell ref="A760:A767"/>
    <mergeCell ref="B760:B763"/>
    <mergeCell ref="C760:C763"/>
    <mergeCell ref="F760:F763"/>
    <mergeCell ref="G760:G763"/>
    <mergeCell ref="H760:H763"/>
    <mergeCell ref="I760:I763"/>
    <mergeCell ref="J760:J763"/>
    <mergeCell ref="K760:K763"/>
    <mergeCell ref="L760:L763"/>
    <mergeCell ref="M760:M763"/>
    <mergeCell ref="N760:N763"/>
    <mergeCell ref="O760:O763"/>
    <mergeCell ref="T760:T763"/>
    <mergeCell ref="U760:U763"/>
    <mergeCell ref="A768:A769"/>
    <mergeCell ref="B768:B769"/>
    <mergeCell ref="C768:C769"/>
    <mergeCell ref="F768:F769"/>
    <mergeCell ref="G768:G769"/>
    <mergeCell ref="H768:H769"/>
    <mergeCell ref="I768:I769"/>
    <mergeCell ref="J768:J769"/>
    <mergeCell ref="K768:K769"/>
    <mergeCell ref="L768:L769"/>
    <mergeCell ref="M768:M769"/>
    <mergeCell ref="N768:N769"/>
    <mergeCell ref="O768:O769"/>
    <mergeCell ref="T768:T769"/>
    <mergeCell ref="U768:U769"/>
    <mergeCell ref="A770:A772"/>
    <mergeCell ref="B770:B772"/>
    <mergeCell ref="C770:C772"/>
    <mergeCell ref="F770:F772"/>
    <mergeCell ref="G770:G772"/>
    <mergeCell ref="H770:H772"/>
    <mergeCell ref="I770:I772"/>
    <mergeCell ref="J770:J772"/>
    <mergeCell ref="K770:K772"/>
    <mergeCell ref="L770:L772"/>
    <mergeCell ref="M770:M772"/>
    <mergeCell ref="N770:N772"/>
    <mergeCell ref="O770:O772"/>
    <mergeCell ref="T770:T772"/>
    <mergeCell ref="U770:U772"/>
    <mergeCell ref="A773:A775"/>
    <mergeCell ref="B773:B775"/>
    <mergeCell ref="C773:C775"/>
    <mergeCell ref="F773:F775"/>
    <mergeCell ref="G773:G775"/>
    <mergeCell ref="H773:H775"/>
    <mergeCell ref="I773:I775"/>
    <mergeCell ref="J773:J775"/>
    <mergeCell ref="K773:K775"/>
    <mergeCell ref="L773:L775"/>
    <mergeCell ref="M773:M775"/>
    <mergeCell ref="N773:N775"/>
    <mergeCell ref="O773:O775"/>
    <mergeCell ref="T773:T775"/>
    <mergeCell ref="U773:U775"/>
    <mergeCell ref="A776:A778"/>
    <mergeCell ref="B776:B778"/>
    <mergeCell ref="C776:C778"/>
    <mergeCell ref="F776:F778"/>
    <mergeCell ref="G776:G778"/>
    <mergeCell ref="H776:H778"/>
    <mergeCell ref="I776:I778"/>
    <mergeCell ref="J776:J778"/>
    <mergeCell ref="K776:K778"/>
    <mergeCell ref="L776:L778"/>
    <mergeCell ref="M776:M778"/>
    <mergeCell ref="N776:N778"/>
    <mergeCell ref="O776:O778"/>
    <mergeCell ref="T776:T778"/>
    <mergeCell ref="U776:U778"/>
    <mergeCell ref="A779:A780"/>
    <mergeCell ref="B779:B780"/>
    <mergeCell ref="C779:C780"/>
    <mergeCell ref="F779:F780"/>
    <mergeCell ref="G779:G780"/>
    <mergeCell ref="H779:H780"/>
    <mergeCell ref="I779:I780"/>
    <mergeCell ref="J779:J780"/>
    <mergeCell ref="K779:K780"/>
    <mergeCell ref="L779:L780"/>
    <mergeCell ref="M779:M780"/>
    <mergeCell ref="N779:N780"/>
    <mergeCell ref="O779:O780"/>
    <mergeCell ref="T779:T780"/>
    <mergeCell ref="U779:U780"/>
    <mergeCell ref="A781:A782"/>
    <mergeCell ref="B781:B782"/>
    <mergeCell ref="C781:C782"/>
    <mergeCell ref="F781:F782"/>
    <mergeCell ref="G781:G782"/>
    <mergeCell ref="H781:H782"/>
    <mergeCell ref="I781:I782"/>
    <mergeCell ref="J781:J782"/>
    <mergeCell ref="K781:K782"/>
    <mergeCell ref="L781:L782"/>
    <mergeCell ref="M781:M782"/>
    <mergeCell ref="N781:N782"/>
    <mergeCell ref="O781:O782"/>
    <mergeCell ref="T781:T782"/>
    <mergeCell ref="U781:U782"/>
    <mergeCell ref="A783:A786"/>
    <mergeCell ref="A804:A805"/>
    <mergeCell ref="B804:B805"/>
    <mergeCell ref="C804:C805"/>
    <mergeCell ref="F804:F805"/>
    <mergeCell ref="G804:G805"/>
    <mergeCell ref="H804:H805"/>
    <mergeCell ref="I804:I805"/>
    <mergeCell ref="J804:J805"/>
    <mergeCell ref="K804:K805"/>
    <mergeCell ref="L804:L805"/>
    <mergeCell ref="M804:M805"/>
    <mergeCell ref="N804:N805"/>
    <mergeCell ref="O804:O805"/>
    <mergeCell ref="T804:T805"/>
    <mergeCell ref="U804:U805"/>
    <mergeCell ref="A806:A810"/>
    <mergeCell ref="B806:B807"/>
    <mergeCell ref="C806:C807"/>
    <mergeCell ref="F806:F807"/>
    <mergeCell ref="G806:G807"/>
    <mergeCell ref="H806:H807"/>
    <mergeCell ref="I806:I807"/>
    <mergeCell ref="J806:J807"/>
    <mergeCell ref="K806:K807"/>
    <mergeCell ref="L806:L807"/>
    <mergeCell ref="M806:M807"/>
    <mergeCell ref="N806:N807"/>
    <mergeCell ref="O806:O807"/>
    <mergeCell ref="T806:T807"/>
    <mergeCell ref="U806:U807"/>
    <mergeCell ref="B809:B810"/>
    <mergeCell ref="C809:C810"/>
    <mergeCell ref="F809:F810"/>
    <mergeCell ref="G809:G810"/>
    <mergeCell ref="H809:H810"/>
    <mergeCell ref="I809:I810"/>
    <mergeCell ref="J809:J810"/>
    <mergeCell ref="K809:K810"/>
    <mergeCell ref="L809:L810"/>
    <mergeCell ref="M809:M810"/>
    <mergeCell ref="N809:N810"/>
    <mergeCell ref="O809:O810"/>
    <mergeCell ref="T809:T810"/>
    <mergeCell ref="U809:U810"/>
    <mergeCell ref="A811:A812"/>
    <mergeCell ref="B811:B812"/>
    <mergeCell ref="C811:C812"/>
    <mergeCell ref="F811:F812"/>
    <mergeCell ref="G811:G812"/>
    <mergeCell ref="H811:H812"/>
    <mergeCell ref="I811:I812"/>
    <mergeCell ref="J811:J812"/>
    <mergeCell ref="K811:K812"/>
    <mergeCell ref="L811:L812"/>
    <mergeCell ref="M811:M812"/>
    <mergeCell ref="N811:N812"/>
    <mergeCell ref="O811:O812"/>
    <mergeCell ref="T811:T812"/>
    <mergeCell ref="U811:U812"/>
    <mergeCell ref="A813:A814"/>
    <mergeCell ref="B813:B814"/>
    <mergeCell ref="C813:C814"/>
    <mergeCell ref="F813:F814"/>
    <mergeCell ref="G813:G814"/>
    <mergeCell ref="H813:H814"/>
    <mergeCell ref="I813:I814"/>
    <mergeCell ref="J813:J814"/>
    <mergeCell ref="K813:K814"/>
    <mergeCell ref="L813:L814"/>
    <mergeCell ref="M813:M814"/>
    <mergeCell ref="N813:N814"/>
    <mergeCell ref="O813:O814"/>
    <mergeCell ref="T813:T814"/>
    <mergeCell ref="U813:U814"/>
    <mergeCell ref="A815:A820"/>
    <mergeCell ref="B815:B819"/>
    <mergeCell ref="C815:C819"/>
    <mergeCell ref="F815:F819"/>
    <mergeCell ref="G815:G819"/>
    <mergeCell ref="H815:H819"/>
    <mergeCell ref="I815:I819"/>
    <mergeCell ref="J815:J819"/>
    <mergeCell ref="K815:K819"/>
    <mergeCell ref="L815:L819"/>
    <mergeCell ref="M815:M819"/>
    <mergeCell ref="N815:N819"/>
    <mergeCell ref="O815:O819"/>
    <mergeCell ref="T815:T819"/>
    <mergeCell ref="U815:U819"/>
    <mergeCell ref="A821:A823"/>
    <mergeCell ref="B821:B822"/>
    <mergeCell ref="C821:C822"/>
    <mergeCell ref="F821:F822"/>
    <mergeCell ref="G821:G822"/>
    <mergeCell ref="H821:H822"/>
    <mergeCell ref="I821:I822"/>
    <mergeCell ref="J821:J822"/>
    <mergeCell ref="K821:K822"/>
    <mergeCell ref="L821:L822"/>
    <mergeCell ref="M821:M822"/>
    <mergeCell ref="N821:N822"/>
    <mergeCell ref="O821:O822"/>
    <mergeCell ref="T821:T822"/>
    <mergeCell ref="U821:U822"/>
    <mergeCell ref="A824:A829"/>
    <mergeCell ref="B824:B826"/>
    <mergeCell ref="C824:C826"/>
    <mergeCell ref="F824:F826"/>
    <mergeCell ref="G824:G826"/>
    <mergeCell ref="H824:H826"/>
    <mergeCell ref="I824:I826"/>
    <mergeCell ref="J824:J826"/>
    <mergeCell ref="K824:K826"/>
    <mergeCell ref="L824:L826"/>
    <mergeCell ref="M824:M826"/>
    <mergeCell ref="N824:N826"/>
    <mergeCell ref="O824:O826"/>
    <mergeCell ref="T824:T826"/>
    <mergeCell ref="U824:U826"/>
    <mergeCell ref="A831:A836"/>
    <mergeCell ref="B831:B834"/>
    <mergeCell ref="C831:C834"/>
    <mergeCell ref="F831:F834"/>
    <mergeCell ref="G831:G834"/>
    <mergeCell ref="H831:H834"/>
    <mergeCell ref="I831:I834"/>
    <mergeCell ref="J831:J834"/>
    <mergeCell ref="K831:K834"/>
    <mergeCell ref="L831:L834"/>
    <mergeCell ref="M831:M834"/>
    <mergeCell ref="N831:N834"/>
    <mergeCell ref="O831:O834"/>
    <mergeCell ref="T831:T834"/>
    <mergeCell ref="U831:U834"/>
    <mergeCell ref="A837:A844"/>
    <mergeCell ref="B837:B841"/>
    <mergeCell ref="C837:C841"/>
    <mergeCell ref="F837:F841"/>
    <mergeCell ref="G837:G841"/>
    <mergeCell ref="H837:H841"/>
    <mergeCell ref="I837:I841"/>
    <mergeCell ref="J837:J841"/>
    <mergeCell ref="K837:K841"/>
    <mergeCell ref="L837:L841"/>
    <mergeCell ref="M837:M841"/>
    <mergeCell ref="N837:N841"/>
    <mergeCell ref="O837:O841"/>
    <mergeCell ref="T837:T841"/>
    <mergeCell ref="U837:U841"/>
    <mergeCell ref="B842:B843"/>
    <mergeCell ref="C842:C843"/>
    <mergeCell ref="F842:F843"/>
    <mergeCell ref="G842:G843"/>
    <mergeCell ref="H842:H843"/>
    <mergeCell ref="I842:I843"/>
    <mergeCell ref="J842:J843"/>
    <mergeCell ref="K842:K843"/>
    <mergeCell ref="L842:L843"/>
    <mergeCell ref="M842:M843"/>
    <mergeCell ref="N842:N843"/>
    <mergeCell ref="O842:O843"/>
    <mergeCell ref="T842:T843"/>
    <mergeCell ref="U842:U843"/>
    <mergeCell ref="A845:A846"/>
    <mergeCell ref="B845:B846"/>
    <mergeCell ref="C845:C846"/>
    <mergeCell ref="F845:F846"/>
    <mergeCell ref="G845:G846"/>
    <mergeCell ref="H845:H846"/>
    <mergeCell ref="I845:I846"/>
    <mergeCell ref="J845:J846"/>
    <mergeCell ref="K845:K846"/>
    <mergeCell ref="L845:L846"/>
    <mergeCell ref="M845:M846"/>
    <mergeCell ref="N845:N846"/>
    <mergeCell ref="O845:O846"/>
    <mergeCell ref="T845:T846"/>
    <mergeCell ref="U845:U846"/>
    <mergeCell ref="A850:A851"/>
    <mergeCell ref="B850:B851"/>
    <mergeCell ref="C850:C851"/>
    <mergeCell ref="F850:F851"/>
    <mergeCell ref="G850:G851"/>
    <mergeCell ref="H850:H851"/>
    <mergeCell ref="I850:I851"/>
    <mergeCell ref="J850:J851"/>
    <mergeCell ref="K850:K851"/>
    <mergeCell ref="L850:L851"/>
    <mergeCell ref="M850:M851"/>
    <mergeCell ref="N850:N851"/>
    <mergeCell ref="O850:O851"/>
    <mergeCell ref="T850:T851"/>
    <mergeCell ref="U850:U851"/>
    <mergeCell ref="A855:A857"/>
    <mergeCell ref="A859:A860"/>
    <mergeCell ref="B859:B860"/>
    <mergeCell ref="C859:C860"/>
    <mergeCell ref="F859:F860"/>
    <mergeCell ref="G859:G860"/>
    <mergeCell ref="H859:H860"/>
    <mergeCell ref="I859:I860"/>
    <mergeCell ref="J859:J860"/>
    <mergeCell ref="K859:K860"/>
    <mergeCell ref="L859:L860"/>
    <mergeCell ref="M859:M860"/>
    <mergeCell ref="N859:N860"/>
    <mergeCell ref="O859:O860"/>
    <mergeCell ref="T859:T860"/>
    <mergeCell ref="U859:U860"/>
    <mergeCell ref="A865:A871"/>
    <mergeCell ref="B865:B868"/>
    <mergeCell ref="C865:C868"/>
    <mergeCell ref="F865:F868"/>
    <mergeCell ref="G865:G868"/>
    <mergeCell ref="H865:H868"/>
    <mergeCell ref="I865:I868"/>
    <mergeCell ref="J865:J868"/>
    <mergeCell ref="K865:K868"/>
    <mergeCell ref="L865:L868"/>
    <mergeCell ref="M865:M868"/>
    <mergeCell ref="N865:N868"/>
    <mergeCell ref="O865:O868"/>
    <mergeCell ref="T865:T868"/>
    <mergeCell ref="U865:U868"/>
    <mergeCell ref="A873:A874"/>
    <mergeCell ref="B873:B874"/>
    <mergeCell ref="C873:C874"/>
    <mergeCell ref="F873:F874"/>
    <mergeCell ref="G873:G874"/>
    <mergeCell ref="H873:H874"/>
    <mergeCell ref="I873:I874"/>
    <mergeCell ref="J873:J874"/>
    <mergeCell ref="K873:K874"/>
    <mergeCell ref="L873:L874"/>
    <mergeCell ref="M873:M874"/>
    <mergeCell ref="N873:N874"/>
    <mergeCell ref="O873:O874"/>
    <mergeCell ref="T873:T874"/>
    <mergeCell ref="U873:U874"/>
    <mergeCell ref="A875:A884"/>
    <mergeCell ref="B875:B878"/>
    <mergeCell ref="C875:C878"/>
    <mergeCell ref="F875:F878"/>
    <mergeCell ref="G875:G878"/>
    <mergeCell ref="H875:H878"/>
    <mergeCell ref="I875:I878"/>
    <mergeCell ref="J875:J878"/>
    <mergeCell ref="K875:K878"/>
    <mergeCell ref="L875:L878"/>
    <mergeCell ref="M875:M878"/>
    <mergeCell ref="N875:N878"/>
    <mergeCell ref="O875:O878"/>
    <mergeCell ref="T875:T878"/>
    <mergeCell ref="U875:U878"/>
    <mergeCell ref="B880:B882"/>
    <mergeCell ref="C880:C882"/>
    <mergeCell ref="F880:F882"/>
    <mergeCell ref="G880:G882"/>
    <mergeCell ref="H880:H882"/>
    <mergeCell ref="I880:I882"/>
    <mergeCell ref="J880:J882"/>
    <mergeCell ref="K880:K882"/>
    <mergeCell ref="L880:L882"/>
    <mergeCell ref="M880:M882"/>
    <mergeCell ref="N880:N882"/>
    <mergeCell ref="O880:O882"/>
    <mergeCell ref="T880:T882"/>
    <mergeCell ref="U880:U882"/>
    <mergeCell ref="A885:A890"/>
    <mergeCell ref="B885:B886"/>
    <mergeCell ref="C885:C886"/>
    <mergeCell ref="F885:F886"/>
    <mergeCell ref="G885:G886"/>
    <mergeCell ref="H885:H886"/>
    <mergeCell ref="I885:I886"/>
    <mergeCell ref="J885:J886"/>
    <mergeCell ref="K885:K886"/>
    <mergeCell ref="L885:L886"/>
    <mergeCell ref="M885:M886"/>
    <mergeCell ref="N885:N886"/>
    <mergeCell ref="O885:O886"/>
    <mergeCell ref="T885:T886"/>
    <mergeCell ref="U885:U886"/>
    <mergeCell ref="A892:A893"/>
    <mergeCell ref="B892:B893"/>
    <mergeCell ref="C892:C893"/>
    <mergeCell ref="F892:F893"/>
    <mergeCell ref="G892:G893"/>
    <mergeCell ref="H892:H893"/>
    <mergeCell ref="I892:I893"/>
    <mergeCell ref="J892:J893"/>
    <mergeCell ref="K892:K893"/>
    <mergeCell ref="L892:L893"/>
    <mergeCell ref="M892:M893"/>
    <mergeCell ref="N892:N893"/>
    <mergeCell ref="O892:O893"/>
    <mergeCell ref="T892:T893"/>
    <mergeCell ref="U892:U893"/>
    <mergeCell ref="A897:A900"/>
    <mergeCell ref="B897:B900"/>
    <mergeCell ref="C897:C900"/>
    <mergeCell ref="F897:F900"/>
    <mergeCell ref="G897:G900"/>
    <mergeCell ref="H897:H900"/>
    <mergeCell ref="I897:I900"/>
    <mergeCell ref="J897:J900"/>
    <mergeCell ref="K897:K900"/>
    <mergeCell ref="L897:L900"/>
    <mergeCell ref="M897:M900"/>
    <mergeCell ref="N897:N900"/>
    <mergeCell ref="O897:O900"/>
    <mergeCell ref="T897:T900"/>
    <mergeCell ref="U897:U900"/>
    <mergeCell ref="A901:A902"/>
    <mergeCell ref="B901:B902"/>
    <mergeCell ref="C901:C902"/>
    <mergeCell ref="F901:F902"/>
    <mergeCell ref="G901:G902"/>
    <mergeCell ref="H901:H902"/>
    <mergeCell ref="I901:I902"/>
    <mergeCell ref="J901:J902"/>
    <mergeCell ref="K901:K902"/>
    <mergeCell ref="L901:L902"/>
    <mergeCell ref="M901:M902"/>
    <mergeCell ref="N901:N902"/>
    <mergeCell ref="O901:O902"/>
    <mergeCell ref="T901:T902"/>
    <mergeCell ref="U901:U902"/>
    <mergeCell ref="A906:A908"/>
    <mergeCell ref="B906:B908"/>
    <mergeCell ref="C906:C908"/>
    <mergeCell ref="F906:F908"/>
    <mergeCell ref="G906:G908"/>
    <mergeCell ref="H906:H908"/>
    <mergeCell ref="I906:I908"/>
    <mergeCell ref="J906:J908"/>
    <mergeCell ref="K906:K908"/>
    <mergeCell ref="L906:L908"/>
    <mergeCell ref="M906:M908"/>
    <mergeCell ref="N906:N908"/>
    <mergeCell ref="O906:O908"/>
    <mergeCell ref="T906:T908"/>
    <mergeCell ref="U906:U908"/>
    <mergeCell ref="A909:A914"/>
    <mergeCell ref="B909:B910"/>
    <mergeCell ref="C909:C910"/>
    <mergeCell ref="F909:F910"/>
    <mergeCell ref="G909:G910"/>
    <mergeCell ref="H909:H910"/>
    <mergeCell ref="I909:I910"/>
    <mergeCell ref="J909:J910"/>
    <mergeCell ref="K909:K910"/>
    <mergeCell ref="L909:L910"/>
    <mergeCell ref="M909:M910"/>
    <mergeCell ref="N909:N910"/>
    <mergeCell ref="O909:O910"/>
    <mergeCell ref="T909:T910"/>
    <mergeCell ref="U909:U910"/>
    <mergeCell ref="A915:A917"/>
    <mergeCell ref="B915:B917"/>
    <mergeCell ref="C915:C917"/>
    <mergeCell ref="F915:F917"/>
    <mergeCell ref="G915:G917"/>
    <mergeCell ref="H915:H917"/>
    <mergeCell ref="I915:I917"/>
    <mergeCell ref="J915:J917"/>
    <mergeCell ref="K915:K917"/>
    <mergeCell ref="L915:L917"/>
    <mergeCell ref="M915:M917"/>
    <mergeCell ref="N915:N917"/>
    <mergeCell ref="O915:O917"/>
    <mergeCell ref="T915:T917"/>
    <mergeCell ref="U915:U917"/>
    <mergeCell ref="A920:A926"/>
    <mergeCell ref="B920:B922"/>
    <mergeCell ref="C920:C922"/>
    <mergeCell ref="F920:F922"/>
    <mergeCell ref="G920:G922"/>
    <mergeCell ref="H920:H922"/>
    <mergeCell ref="I920:I922"/>
    <mergeCell ref="J920:J922"/>
    <mergeCell ref="K920:K922"/>
    <mergeCell ref="L920:L922"/>
    <mergeCell ref="M920:M922"/>
    <mergeCell ref="N920:N922"/>
    <mergeCell ref="O920:O922"/>
    <mergeCell ref="T920:T922"/>
    <mergeCell ref="U920:U922"/>
    <mergeCell ref="A929:A932"/>
    <mergeCell ref="B929:B932"/>
    <mergeCell ref="C929:C932"/>
    <mergeCell ref="F929:F932"/>
    <mergeCell ref="G929:G932"/>
    <mergeCell ref="H929:H932"/>
    <mergeCell ref="I929:I932"/>
    <mergeCell ref="J929:J932"/>
    <mergeCell ref="K929:K932"/>
    <mergeCell ref="L929:L932"/>
    <mergeCell ref="M929:M932"/>
    <mergeCell ref="N929:N932"/>
    <mergeCell ref="O929:O932"/>
    <mergeCell ref="T929:T932"/>
    <mergeCell ref="U929:U932"/>
    <mergeCell ref="A933:A938"/>
    <mergeCell ref="B933:B935"/>
    <mergeCell ref="C933:C935"/>
    <mergeCell ref="F933:F935"/>
    <mergeCell ref="G933:G935"/>
    <mergeCell ref="H933:H935"/>
    <mergeCell ref="I933:I935"/>
    <mergeCell ref="J933:J935"/>
    <mergeCell ref="K933:K935"/>
    <mergeCell ref="L933:L935"/>
    <mergeCell ref="M933:M935"/>
    <mergeCell ref="N933:N935"/>
    <mergeCell ref="O933:O935"/>
    <mergeCell ref="T933:T935"/>
    <mergeCell ref="U933:U935"/>
    <mergeCell ref="A939:A940"/>
    <mergeCell ref="B939:B940"/>
    <mergeCell ref="C939:C940"/>
    <mergeCell ref="F939:F940"/>
    <mergeCell ref="G939:G940"/>
    <mergeCell ref="H939:H940"/>
    <mergeCell ref="I939:I940"/>
    <mergeCell ref="J939:J940"/>
    <mergeCell ref="K939:K940"/>
    <mergeCell ref="L939:L940"/>
    <mergeCell ref="M939:M940"/>
    <mergeCell ref="N939:N940"/>
    <mergeCell ref="O939:O940"/>
    <mergeCell ref="T939:T940"/>
    <mergeCell ref="U939:U940"/>
    <mergeCell ref="A941:A942"/>
    <mergeCell ref="B941:B942"/>
    <mergeCell ref="C941:C942"/>
    <mergeCell ref="F941:F942"/>
    <mergeCell ref="G941:G942"/>
    <mergeCell ref="H941:H942"/>
    <mergeCell ref="I941:I942"/>
    <mergeCell ref="J941:J942"/>
    <mergeCell ref="K941:K942"/>
    <mergeCell ref="L941:L942"/>
    <mergeCell ref="M941:M942"/>
    <mergeCell ref="N941:N942"/>
    <mergeCell ref="O941:O942"/>
    <mergeCell ref="T941:T942"/>
    <mergeCell ref="U941:U942"/>
    <mergeCell ref="A944:A945"/>
    <mergeCell ref="B944:B945"/>
    <mergeCell ref="C944:C945"/>
    <mergeCell ref="F944:F945"/>
    <mergeCell ref="G944:G945"/>
    <mergeCell ref="H944:H945"/>
    <mergeCell ref="I944:I945"/>
    <mergeCell ref="J944:J945"/>
    <mergeCell ref="K944:K945"/>
    <mergeCell ref="L944:L945"/>
    <mergeCell ref="M944:M945"/>
    <mergeCell ref="N944:N945"/>
    <mergeCell ref="O944:O945"/>
    <mergeCell ref="T944:T945"/>
    <mergeCell ref="U944:U945"/>
    <mergeCell ref="A946:A947"/>
    <mergeCell ref="B946:B947"/>
    <mergeCell ref="C946:C947"/>
    <mergeCell ref="F946:F947"/>
    <mergeCell ref="G946:G947"/>
    <mergeCell ref="H946:H947"/>
    <mergeCell ref="J946:J947"/>
    <mergeCell ref="K946:K947"/>
    <mergeCell ref="L946:L947"/>
    <mergeCell ref="M946:M947"/>
    <mergeCell ref="N946:N947"/>
    <mergeCell ref="O946:O947"/>
    <mergeCell ref="T946:T947"/>
    <mergeCell ref="U946:U947"/>
    <mergeCell ref="A958:A959"/>
    <mergeCell ref="B958:B959"/>
    <mergeCell ref="C958:C959"/>
    <mergeCell ref="F958:F959"/>
    <mergeCell ref="G958:G959"/>
    <mergeCell ref="H958:H959"/>
    <mergeCell ref="J958:J959"/>
    <mergeCell ref="K958:K959"/>
    <mergeCell ref="L958:L959"/>
    <mergeCell ref="M958:M959"/>
    <mergeCell ref="N958:N959"/>
    <mergeCell ref="O958:O959"/>
    <mergeCell ref="T958:T959"/>
    <mergeCell ref="U958:U959"/>
    <mergeCell ref="A963:A964"/>
    <mergeCell ref="B963:B964"/>
    <mergeCell ref="C963:C964"/>
    <mergeCell ref="F963:F964"/>
    <mergeCell ref="G963:G964"/>
    <mergeCell ref="H963:H964"/>
    <mergeCell ref="I963:I964"/>
    <mergeCell ref="J963:J964"/>
    <mergeCell ref="K963:K964"/>
    <mergeCell ref="L963:L964"/>
    <mergeCell ref="M963:M964"/>
    <mergeCell ref="N963:N964"/>
    <mergeCell ref="O963:O964"/>
    <mergeCell ref="T963:T964"/>
    <mergeCell ref="U963:U964"/>
    <mergeCell ref="A984:A985"/>
    <mergeCell ref="B984:B985"/>
    <mergeCell ref="C984:C985"/>
    <mergeCell ref="F984:F985"/>
    <mergeCell ref="G984:G985"/>
    <mergeCell ref="H984:H985"/>
    <mergeCell ref="I984:I985"/>
    <mergeCell ref="J984:J985"/>
    <mergeCell ref="K984:K985"/>
    <mergeCell ref="L984:L985"/>
    <mergeCell ref="M984:M985"/>
    <mergeCell ref="N984:N985"/>
    <mergeCell ref="O984:O985"/>
    <mergeCell ref="T984:T985"/>
    <mergeCell ref="U984:U985"/>
    <mergeCell ref="A986:A987"/>
    <mergeCell ref="A988:A990"/>
    <mergeCell ref="B988:B990"/>
    <mergeCell ref="C988:C990"/>
    <mergeCell ref="F988:F990"/>
    <mergeCell ref="G988:G990"/>
    <mergeCell ref="H988:H990"/>
    <mergeCell ref="I988:I990"/>
    <mergeCell ref="J988:J990"/>
    <mergeCell ref="K988:K990"/>
    <mergeCell ref="L988:L990"/>
    <mergeCell ref="M988:M990"/>
    <mergeCell ref="N988:N990"/>
    <mergeCell ref="O988:O990"/>
    <mergeCell ref="T988:T990"/>
    <mergeCell ref="U988:U990"/>
    <mergeCell ref="A992:A994"/>
    <mergeCell ref="B992:B994"/>
    <mergeCell ref="C992:C994"/>
    <mergeCell ref="F992:F994"/>
    <mergeCell ref="G992:G994"/>
    <mergeCell ref="H992:H994"/>
    <mergeCell ref="I992:I994"/>
    <mergeCell ref="J992:J994"/>
    <mergeCell ref="K992:K994"/>
    <mergeCell ref="L992:L994"/>
    <mergeCell ref="M992:M994"/>
    <mergeCell ref="N992:N994"/>
    <mergeCell ref="O992:O994"/>
    <mergeCell ref="T992:T994"/>
    <mergeCell ref="U992:U994"/>
    <mergeCell ref="A995:A997"/>
    <mergeCell ref="B996:B997"/>
    <mergeCell ref="C996:C997"/>
    <mergeCell ref="F996:F997"/>
    <mergeCell ref="G996:G997"/>
    <mergeCell ref="H996:H997"/>
    <mergeCell ref="I996:I997"/>
    <mergeCell ref="J996:J997"/>
    <mergeCell ref="K996:K997"/>
    <mergeCell ref="L996:L997"/>
    <mergeCell ref="M996:M997"/>
    <mergeCell ref="N996:N997"/>
    <mergeCell ref="O996:O997"/>
    <mergeCell ref="T996:T997"/>
    <mergeCell ref="U996:U997"/>
    <mergeCell ref="A998:A999"/>
    <mergeCell ref="B998:B999"/>
    <mergeCell ref="C998:C999"/>
    <mergeCell ref="F998:F999"/>
    <mergeCell ref="G998:G999"/>
    <mergeCell ref="H998:H999"/>
    <mergeCell ref="I998:I999"/>
    <mergeCell ref="J998:J999"/>
    <mergeCell ref="K998:K999"/>
    <mergeCell ref="L998:L999"/>
    <mergeCell ref="M998:M999"/>
    <mergeCell ref="N998:N999"/>
    <mergeCell ref="O998:O999"/>
    <mergeCell ref="T998:T999"/>
    <mergeCell ref="U998:U999"/>
    <mergeCell ref="A1006:A1010"/>
    <mergeCell ref="B1006:B1007"/>
    <mergeCell ref="C1006:C1007"/>
    <mergeCell ref="F1006:F1007"/>
    <mergeCell ref="G1006:G1007"/>
    <mergeCell ref="H1006:H1007"/>
    <mergeCell ref="I1006:I1007"/>
    <mergeCell ref="J1006:J1007"/>
    <mergeCell ref="K1006:K1007"/>
    <mergeCell ref="L1006:L1007"/>
    <mergeCell ref="M1006:M1007"/>
    <mergeCell ref="N1006:N1007"/>
    <mergeCell ref="O1006:O1007"/>
    <mergeCell ref="T1006:T1007"/>
    <mergeCell ref="U1006:U1007"/>
    <mergeCell ref="B1009:B1010"/>
    <mergeCell ref="C1009:C1010"/>
    <mergeCell ref="F1009:F1010"/>
    <mergeCell ref="G1009:G1010"/>
    <mergeCell ref="H1009:H1010"/>
    <mergeCell ref="I1009:I1010"/>
    <mergeCell ref="J1009:J1010"/>
    <mergeCell ref="K1009:K1010"/>
    <mergeCell ref="L1009:L1010"/>
    <mergeCell ref="M1009:M1010"/>
    <mergeCell ref="N1009:N1010"/>
    <mergeCell ref="O1009:O1010"/>
    <mergeCell ref="T1009:T1010"/>
    <mergeCell ref="U1009:U1010"/>
    <mergeCell ref="A1011:A1012"/>
    <mergeCell ref="A1017:A1018"/>
    <mergeCell ref="B1017:B1018"/>
    <mergeCell ref="C1017:C1018"/>
    <mergeCell ref="F1017:F1018"/>
    <mergeCell ref="G1017:G1018"/>
    <mergeCell ref="H1017:H1018"/>
    <mergeCell ref="I1017:I1018"/>
    <mergeCell ref="J1017:J1018"/>
    <mergeCell ref="K1017:K1018"/>
    <mergeCell ref="L1017:L1018"/>
    <mergeCell ref="M1017:M1018"/>
    <mergeCell ref="N1017:N1018"/>
    <mergeCell ref="O1017:O1018"/>
    <mergeCell ref="T1017:T1018"/>
    <mergeCell ref="U1017:U1018"/>
    <mergeCell ref="A1024:A1027"/>
    <mergeCell ref="A1028:A1033"/>
    <mergeCell ref="B1028:B1033"/>
    <mergeCell ref="C1028:C1033"/>
    <mergeCell ref="F1028:F1033"/>
    <mergeCell ref="G1028:G1033"/>
    <mergeCell ref="H1028:H1033"/>
    <mergeCell ref="I1028:I1033"/>
    <mergeCell ref="J1028:J1033"/>
    <mergeCell ref="K1028:K1033"/>
    <mergeCell ref="L1028:L1033"/>
    <mergeCell ref="M1028:M1033"/>
    <mergeCell ref="N1028:N1033"/>
    <mergeCell ref="O1028:O1033"/>
    <mergeCell ref="T1028:T1033"/>
    <mergeCell ref="U1028:U1033"/>
    <mergeCell ref="A1036:A1037"/>
    <mergeCell ref="B1036:B1037"/>
    <mergeCell ref="C1036:C1037"/>
    <mergeCell ref="F1036:F1037"/>
    <mergeCell ref="G1036:G1037"/>
    <mergeCell ref="H1036:H1037"/>
    <mergeCell ref="I1036:I1037"/>
    <mergeCell ref="J1036:J1037"/>
    <mergeCell ref="K1036:K1037"/>
    <mergeCell ref="L1036:L1037"/>
    <mergeCell ref="M1036:M1037"/>
    <mergeCell ref="N1036:N1037"/>
    <mergeCell ref="O1036:O1037"/>
    <mergeCell ref="T1036:T1037"/>
    <mergeCell ref="U1036:U1037"/>
    <mergeCell ref="A1040:A1044"/>
    <mergeCell ref="B1040:B1044"/>
    <mergeCell ref="C1040:C1044"/>
    <mergeCell ref="F1040:F1044"/>
    <mergeCell ref="G1040:G1044"/>
    <mergeCell ref="H1040:H1044"/>
    <mergeCell ref="I1040:I1044"/>
    <mergeCell ref="J1040:J1044"/>
    <mergeCell ref="K1040:K1044"/>
    <mergeCell ref="L1040:L1044"/>
    <mergeCell ref="M1040:M1044"/>
    <mergeCell ref="N1040:N1044"/>
    <mergeCell ref="O1040:O1044"/>
    <mergeCell ref="T1040:T1044"/>
    <mergeCell ref="U1040:U1044"/>
    <mergeCell ref="A1049:A1052"/>
    <mergeCell ref="A1055:A1061"/>
    <mergeCell ref="B1055:B1061"/>
    <mergeCell ref="C1055:C1061"/>
    <mergeCell ref="F1055:F1061"/>
    <mergeCell ref="G1055:G1061"/>
    <mergeCell ref="H1055:H1061"/>
    <mergeCell ref="I1055:I1061"/>
    <mergeCell ref="J1055:J1061"/>
    <mergeCell ref="K1055:K1061"/>
    <mergeCell ref="L1055:L1061"/>
    <mergeCell ref="M1055:M1061"/>
    <mergeCell ref="N1055:N1061"/>
    <mergeCell ref="O1055:O1061"/>
    <mergeCell ref="T1055:T1061"/>
    <mergeCell ref="U1055:U1061"/>
    <mergeCell ref="A1063:A1065"/>
    <mergeCell ref="B1063:B1065"/>
    <mergeCell ref="C1063:C1065"/>
    <mergeCell ref="F1063:F1065"/>
    <mergeCell ref="G1063:G1065"/>
    <mergeCell ref="H1063:H1065"/>
    <mergeCell ref="I1063:I1065"/>
    <mergeCell ref="J1063:J1065"/>
    <mergeCell ref="K1063:K1065"/>
    <mergeCell ref="L1063:L1065"/>
    <mergeCell ref="M1063:M1065"/>
    <mergeCell ref="N1063:N1065"/>
    <mergeCell ref="O1063:O1065"/>
    <mergeCell ref="T1063:T1065"/>
    <mergeCell ref="U1063:U1065"/>
    <mergeCell ref="A1066:A1068"/>
    <mergeCell ref="B1066:B1068"/>
    <mergeCell ref="C1066:C1068"/>
    <mergeCell ref="F1066:F1068"/>
    <mergeCell ref="G1066:G1068"/>
    <mergeCell ref="H1066:H1068"/>
    <mergeCell ref="I1066:I1068"/>
    <mergeCell ref="J1066:J1068"/>
    <mergeCell ref="K1066:K1068"/>
    <mergeCell ref="L1066:L1068"/>
    <mergeCell ref="M1066:M1068"/>
    <mergeCell ref="N1066:N1068"/>
    <mergeCell ref="O1066:O1068"/>
    <mergeCell ref="T1066:T1068"/>
    <mergeCell ref="U1066:U1068"/>
    <mergeCell ref="A1070:A1075"/>
    <mergeCell ref="B1070:B1072"/>
    <mergeCell ref="C1070:C1072"/>
    <mergeCell ref="F1070:F1072"/>
    <mergeCell ref="G1070:G1072"/>
    <mergeCell ref="H1070:H1072"/>
    <mergeCell ref="I1070:I1072"/>
    <mergeCell ref="J1070:J1072"/>
    <mergeCell ref="K1070:K1072"/>
    <mergeCell ref="L1070:L1072"/>
    <mergeCell ref="M1070:M1072"/>
    <mergeCell ref="N1070:N1072"/>
    <mergeCell ref="O1070:O1072"/>
    <mergeCell ref="T1070:T1072"/>
    <mergeCell ref="U1070:U1072"/>
    <mergeCell ref="A1076:A1078"/>
    <mergeCell ref="B1076:B1078"/>
    <mergeCell ref="C1076:C1078"/>
    <mergeCell ref="F1076:F1078"/>
    <mergeCell ref="G1076:G1078"/>
    <mergeCell ref="H1076:H1078"/>
    <mergeCell ref="I1076:I1078"/>
    <mergeCell ref="J1076:J1078"/>
    <mergeCell ref="K1076:K1078"/>
    <mergeCell ref="L1076:L1078"/>
    <mergeCell ref="M1076:M1078"/>
    <mergeCell ref="N1076:N1078"/>
    <mergeCell ref="O1076:O1078"/>
    <mergeCell ref="T1076:T1078"/>
    <mergeCell ref="U1076:U1078"/>
    <mergeCell ref="A1079:A1081"/>
    <mergeCell ref="B1079:B1081"/>
    <mergeCell ref="C1079:C1081"/>
    <mergeCell ref="F1079:F1081"/>
    <mergeCell ref="G1079:G1081"/>
    <mergeCell ref="H1079:H1081"/>
    <mergeCell ref="I1079:I1081"/>
    <mergeCell ref="J1079:J1081"/>
    <mergeCell ref="K1079:K1081"/>
    <mergeCell ref="L1079:L1081"/>
    <mergeCell ref="M1079:M1081"/>
    <mergeCell ref="N1079:N1081"/>
    <mergeCell ref="O1079:O1081"/>
    <mergeCell ref="T1079:T1081"/>
    <mergeCell ref="U1079:U1081"/>
    <mergeCell ref="A1082:A1083"/>
    <mergeCell ref="B1082:B1083"/>
    <mergeCell ref="C1082:C1083"/>
    <mergeCell ref="F1082:F1083"/>
    <mergeCell ref="G1082:G1083"/>
    <mergeCell ref="H1082:H1083"/>
    <mergeCell ref="I1082:I1083"/>
    <mergeCell ref="J1082:J1083"/>
    <mergeCell ref="K1082:K1083"/>
    <mergeCell ref="L1082:L1083"/>
    <mergeCell ref="M1082:M1083"/>
    <mergeCell ref="N1082:N1083"/>
    <mergeCell ref="O1082:O1083"/>
    <mergeCell ref="T1082:T1083"/>
    <mergeCell ref="U1082:U1083"/>
    <mergeCell ref="A1084:A1085"/>
    <mergeCell ref="B1084:B1085"/>
    <mergeCell ref="C1084:C1085"/>
    <mergeCell ref="F1084:F1085"/>
    <mergeCell ref="G1084:G1085"/>
    <mergeCell ref="H1084:H1085"/>
    <mergeCell ref="I1084:I1085"/>
    <mergeCell ref="J1084:J1085"/>
    <mergeCell ref="K1084:K1085"/>
    <mergeCell ref="L1084:L1085"/>
    <mergeCell ref="M1084:M1085"/>
    <mergeCell ref="N1084:N1085"/>
    <mergeCell ref="O1084:O1085"/>
    <mergeCell ref="T1084:T1085"/>
    <mergeCell ref="U1084:U1085"/>
    <mergeCell ref="A1087:A1092"/>
    <mergeCell ref="B1088:B1089"/>
    <mergeCell ref="C1088:C1089"/>
    <mergeCell ref="F1088:F1089"/>
    <mergeCell ref="G1088:G1089"/>
    <mergeCell ref="H1088:H1089"/>
    <mergeCell ref="I1088:I1089"/>
    <mergeCell ref="J1088:J1089"/>
    <mergeCell ref="K1088:K1089"/>
    <mergeCell ref="L1088:L1089"/>
    <mergeCell ref="M1088:M1089"/>
    <mergeCell ref="N1088:N1089"/>
    <mergeCell ref="O1088:O1089"/>
    <mergeCell ref="T1088:T1089"/>
    <mergeCell ref="U1088:U1089"/>
    <mergeCell ref="A1093:A1097"/>
    <mergeCell ref="B1093:B1094"/>
    <mergeCell ref="C1093:C1094"/>
    <mergeCell ref="F1093:F1094"/>
    <mergeCell ref="H1093:H1094"/>
    <mergeCell ref="I1093:I1094"/>
    <mergeCell ref="J1093:J1094"/>
    <mergeCell ref="K1093:K1094"/>
    <mergeCell ref="L1093:L1094"/>
    <mergeCell ref="M1093:M1094"/>
    <mergeCell ref="N1093:N1094"/>
    <mergeCell ref="O1093:O1094"/>
    <mergeCell ref="T1093:T1094"/>
    <mergeCell ref="U1093:U1094"/>
    <mergeCell ref="A1099:A1102"/>
    <mergeCell ref="B1099:B1102"/>
    <mergeCell ref="C1099:C1102"/>
    <mergeCell ref="F1099:F1102"/>
    <mergeCell ref="G1099:G1102"/>
    <mergeCell ref="H1099:H1102"/>
    <mergeCell ref="I1099:I1102"/>
    <mergeCell ref="J1099:J1102"/>
    <mergeCell ref="K1099:K1102"/>
    <mergeCell ref="L1099:L1102"/>
    <mergeCell ref="M1099:M1102"/>
    <mergeCell ref="N1099:N1102"/>
    <mergeCell ref="O1099:O1102"/>
    <mergeCell ref="T1099:T1102"/>
    <mergeCell ref="U1099:U1102"/>
    <mergeCell ref="A1104:A1107"/>
    <mergeCell ref="B1104:B1107"/>
    <mergeCell ref="C1104:C1107"/>
    <mergeCell ref="F1104:F1107"/>
    <mergeCell ref="G1104:G1107"/>
    <mergeCell ref="H1104:H1107"/>
    <mergeCell ref="I1104:I1107"/>
    <mergeCell ref="K1104:K1107"/>
    <mergeCell ref="L1104:L1107"/>
    <mergeCell ref="M1104:M1107"/>
    <mergeCell ref="N1104:N1107"/>
    <mergeCell ref="O1104:O1107"/>
    <mergeCell ref="T1104:T1107"/>
    <mergeCell ref="U1104:U1107"/>
    <mergeCell ref="A1108:A1109"/>
    <mergeCell ref="B1108:B1109"/>
    <mergeCell ref="C1108:C1109"/>
    <mergeCell ref="F1108:F1109"/>
    <mergeCell ref="G1108:G1109"/>
    <mergeCell ref="H1108:H1109"/>
    <mergeCell ref="I1108:I1109"/>
    <mergeCell ref="J1108:J1109"/>
    <mergeCell ref="K1108:K1109"/>
    <mergeCell ref="L1108:L1109"/>
    <mergeCell ref="M1108:M1109"/>
    <mergeCell ref="N1108:N1109"/>
    <mergeCell ref="O1108:O1109"/>
    <mergeCell ref="T1108:T1109"/>
    <mergeCell ref="U1108:U1109"/>
    <mergeCell ref="A1110:A1116"/>
    <mergeCell ref="B1110:B1112"/>
    <mergeCell ref="C1110:C1112"/>
    <mergeCell ref="F1110:F1112"/>
    <mergeCell ref="G1110:G1112"/>
    <mergeCell ref="H1110:H1112"/>
    <mergeCell ref="I1110:I1112"/>
    <mergeCell ref="J1110:J1112"/>
    <mergeCell ref="K1110:K1112"/>
    <mergeCell ref="L1110:L1112"/>
    <mergeCell ref="M1110:M1112"/>
    <mergeCell ref="N1110:N1112"/>
    <mergeCell ref="O1110:O1112"/>
    <mergeCell ref="T1110:T1112"/>
    <mergeCell ref="U1110:U1112"/>
    <mergeCell ref="B1113:B1114"/>
    <mergeCell ref="C1113:C1114"/>
    <mergeCell ref="F1113:F1114"/>
    <mergeCell ref="G1113:G1114"/>
    <mergeCell ref="H1113:H1114"/>
    <mergeCell ref="I1113:I1114"/>
    <mergeCell ref="J1113:J1114"/>
    <mergeCell ref="K1113:K1114"/>
    <mergeCell ref="L1113:L1114"/>
    <mergeCell ref="M1113:M1114"/>
    <mergeCell ref="N1113:N1114"/>
    <mergeCell ref="O1113:O1114"/>
    <mergeCell ref="T1113:T1114"/>
    <mergeCell ref="U1113:U1114"/>
    <mergeCell ref="A1118:A1121"/>
    <mergeCell ref="B1118:B1121"/>
    <mergeCell ref="C1118:C1121"/>
    <mergeCell ref="F1118:F1121"/>
    <mergeCell ref="G1118:G1121"/>
    <mergeCell ref="H1118:H1121"/>
    <mergeCell ref="I1118:I1121"/>
    <mergeCell ref="J1118:J1121"/>
    <mergeCell ref="K1118:K1121"/>
    <mergeCell ref="L1118:L1121"/>
    <mergeCell ref="M1118:M1121"/>
    <mergeCell ref="N1118:N1121"/>
    <mergeCell ref="O1118:O1121"/>
    <mergeCell ref="T1118:T1121"/>
    <mergeCell ref="U1118:U1121"/>
    <mergeCell ref="A1122:A1123"/>
    <mergeCell ref="B1122:B1123"/>
    <mergeCell ref="C1122:C1123"/>
    <mergeCell ref="F1122:F1123"/>
    <mergeCell ref="G1122:G1123"/>
    <mergeCell ref="H1122:H1123"/>
    <mergeCell ref="I1122:I1123"/>
    <mergeCell ref="J1122:J1123"/>
    <mergeCell ref="K1122:K1123"/>
    <mergeCell ref="L1122:L1123"/>
    <mergeCell ref="M1122:M1123"/>
    <mergeCell ref="N1122:N1123"/>
    <mergeCell ref="O1122:O1123"/>
    <mergeCell ref="T1122:T1123"/>
    <mergeCell ref="U1122:U1123"/>
    <mergeCell ref="A1125:A1126"/>
    <mergeCell ref="B1125:B1126"/>
    <mergeCell ref="C1125:C1126"/>
    <mergeCell ref="F1125:F1126"/>
    <mergeCell ref="G1125:G1126"/>
    <mergeCell ref="H1125:H1126"/>
    <mergeCell ref="I1125:I1126"/>
    <mergeCell ref="J1125:J1126"/>
    <mergeCell ref="K1125:K1126"/>
    <mergeCell ref="L1125:L1126"/>
    <mergeCell ref="M1125:M1126"/>
    <mergeCell ref="N1125:N1126"/>
    <mergeCell ref="O1125:O1126"/>
    <mergeCell ref="T1125:T1126"/>
    <mergeCell ref="U1125:U1126"/>
    <mergeCell ref="A1132:A1137"/>
    <mergeCell ref="B1132:B1133"/>
    <mergeCell ref="C1132:C1133"/>
    <mergeCell ref="F1132:F1133"/>
    <mergeCell ref="G1132:G1133"/>
    <mergeCell ref="H1132:H1133"/>
    <mergeCell ref="I1132:I1133"/>
    <mergeCell ref="J1132:J1133"/>
    <mergeCell ref="K1132:K1133"/>
    <mergeCell ref="L1132:L1133"/>
    <mergeCell ref="M1132:M1133"/>
    <mergeCell ref="N1132:N1133"/>
    <mergeCell ref="O1132:O1133"/>
    <mergeCell ref="T1132:T1133"/>
    <mergeCell ref="U1132:U1133"/>
    <mergeCell ref="B1134:B1135"/>
    <mergeCell ref="C1134:C1135"/>
    <mergeCell ref="F1134:F1135"/>
    <mergeCell ref="G1134:G1135"/>
    <mergeCell ref="H1134:H1135"/>
    <mergeCell ref="I1134:I1135"/>
    <mergeCell ref="J1134:J1135"/>
    <mergeCell ref="K1134:K1135"/>
    <mergeCell ref="L1134:L1135"/>
    <mergeCell ref="M1134:M1135"/>
    <mergeCell ref="N1134:N1135"/>
    <mergeCell ref="O1134:O1135"/>
    <mergeCell ref="T1134:T1135"/>
    <mergeCell ref="U1134:U1135"/>
    <mergeCell ref="A1141:A1145"/>
    <mergeCell ref="B1141:B1142"/>
    <mergeCell ref="C1141:C1142"/>
    <mergeCell ref="F1141:F1142"/>
    <mergeCell ref="G1141:G1142"/>
    <mergeCell ref="H1141:H1142"/>
    <mergeCell ref="I1141:I1142"/>
    <mergeCell ref="J1141:J1142"/>
    <mergeCell ref="K1141:K1142"/>
    <mergeCell ref="L1141:L1142"/>
    <mergeCell ref="M1141:M1142"/>
    <mergeCell ref="N1141:N1142"/>
    <mergeCell ref="O1141:O1142"/>
    <mergeCell ref="T1141:T1142"/>
    <mergeCell ref="U1141:U1142"/>
    <mergeCell ref="A1146:A1151"/>
    <mergeCell ref="B1146:B1147"/>
    <mergeCell ref="C1146:C1147"/>
    <mergeCell ref="F1146:F1147"/>
    <mergeCell ref="G1146:G1147"/>
    <mergeCell ref="H1146:H1147"/>
    <mergeCell ref="I1146:I1147"/>
    <mergeCell ref="J1146:J1147"/>
    <mergeCell ref="K1146:K1147"/>
    <mergeCell ref="L1146:L1147"/>
    <mergeCell ref="M1146:M1147"/>
    <mergeCell ref="N1146:N1147"/>
    <mergeCell ref="O1146:O1147"/>
    <mergeCell ref="T1146:T1147"/>
    <mergeCell ref="U1146:U1147"/>
    <mergeCell ref="A1152:A1153"/>
    <mergeCell ref="B1152:B1153"/>
    <mergeCell ref="C1152:C1153"/>
    <mergeCell ref="F1152:F1153"/>
    <mergeCell ref="G1152:G1153"/>
    <mergeCell ref="H1152:H1153"/>
    <mergeCell ref="I1152:I1153"/>
    <mergeCell ref="K1152:K1153"/>
    <mergeCell ref="L1152:L1153"/>
    <mergeCell ref="M1152:M1153"/>
    <mergeCell ref="N1152:N1153"/>
    <mergeCell ref="O1152:O1153"/>
    <mergeCell ref="T1152:T1153"/>
    <mergeCell ref="U1152:U1153"/>
    <mergeCell ref="A1154:A1159"/>
    <mergeCell ref="B1154:B1155"/>
    <mergeCell ref="C1154:C1155"/>
    <mergeCell ref="F1154:F1155"/>
    <mergeCell ref="G1154:G1155"/>
    <mergeCell ref="H1154:H1155"/>
    <mergeCell ref="I1154:I1155"/>
    <mergeCell ref="J1154:J1155"/>
    <mergeCell ref="K1154:K1155"/>
    <mergeCell ref="L1154:L1155"/>
    <mergeCell ref="M1154:M1155"/>
    <mergeCell ref="N1154:N1155"/>
    <mergeCell ref="O1154:O1155"/>
    <mergeCell ref="T1154:T1155"/>
    <mergeCell ref="U1154:U1155"/>
    <mergeCell ref="B1156:B1157"/>
    <mergeCell ref="C1156:C1157"/>
    <mergeCell ref="F1156:F1157"/>
    <mergeCell ref="G1156:G1157"/>
    <mergeCell ref="H1156:H1157"/>
    <mergeCell ref="I1156:I1157"/>
    <mergeCell ref="J1156:J1157"/>
    <mergeCell ref="K1156:K1157"/>
    <mergeCell ref="L1156:L1157"/>
    <mergeCell ref="M1156:M1157"/>
    <mergeCell ref="N1156:N1157"/>
    <mergeCell ref="O1156:O1157"/>
    <mergeCell ref="T1156:T1157"/>
    <mergeCell ref="U1156:U1157"/>
    <mergeCell ref="A1160:A1162"/>
    <mergeCell ref="B1160:B1162"/>
    <mergeCell ref="C1160:C1162"/>
    <mergeCell ref="F1160:F1162"/>
    <mergeCell ref="G1160:G1162"/>
    <mergeCell ref="H1160:H1162"/>
    <mergeCell ref="I1160:I1162"/>
    <mergeCell ref="J1160:J1162"/>
    <mergeCell ref="K1160:K1162"/>
    <mergeCell ref="L1160:L1162"/>
    <mergeCell ref="M1160:M1162"/>
    <mergeCell ref="N1160:N1162"/>
    <mergeCell ref="O1160:O1162"/>
    <mergeCell ref="T1160:T1162"/>
    <mergeCell ref="U1160:U1162"/>
    <mergeCell ref="A1164:A1169"/>
    <mergeCell ref="B1164:B1166"/>
    <mergeCell ref="C1164:C1166"/>
    <mergeCell ref="F1164:F1166"/>
    <mergeCell ref="G1164:G1166"/>
    <mergeCell ref="H1164:H1166"/>
    <mergeCell ref="I1164:I1166"/>
    <mergeCell ref="J1164:J1166"/>
    <mergeCell ref="K1164:K1166"/>
    <mergeCell ref="L1164:L1166"/>
    <mergeCell ref="M1164:M1166"/>
    <mergeCell ref="N1164:N1166"/>
    <mergeCell ref="O1164:O1166"/>
    <mergeCell ref="T1164:T1166"/>
    <mergeCell ref="U1164:U1166"/>
    <mergeCell ref="A1170:A1171"/>
    <mergeCell ref="B1170:B1171"/>
    <mergeCell ref="C1170:C1171"/>
    <mergeCell ref="F1170:F1171"/>
    <mergeCell ref="G1170:G1171"/>
    <mergeCell ref="H1170:H1171"/>
    <mergeCell ref="I1170:I1171"/>
    <mergeCell ref="J1170:J1171"/>
    <mergeCell ref="K1170:K1171"/>
    <mergeCell ref="L1170:L1171"/>
    <mergeCell ref="M1170:M1171"/>
    <mergeCell ref="N1170:N1171"/>
    <mergeCell ref="O1170:O1171"/>
    <mergeCell ref="T1170:T1171"/>
    <mergeCell ref="U1170:U1171"/>
    <mergeCell ref="A1172:A1175"/>
    <mergeCell ref="A1179:A1183"/>
    <mergeCell ref="A1184:A1188"/>
    <mergeCell ref="B1184:B1188"/>
    <mergeCell ref="C1184:C1188"/>
    <mergeCell ref="F1184:F1188"/>
    <mergeCell ref="G1184:G1188"/>
    <mergeCell ref="H1184:H1188"/>
    <mergeCell ref="I1184:I1188"/>
    <mergeCell ref="J1184:J1188"/>
    <mergeCell ref="K1184:K1188"/>
    <mergeCell ref="L1184:L1188"/>
    <mergeCell ref="M1184:M1188"/>
    <mergeCell ref="N1184:N1188"/>
    <mergeCell ref="O1184:O1188"/>
    <mergeCell ref="T1184:T1188"/>
    <mergeCell ref="U1184:U1188"/>
    <mergeCell ref="A1190:A1196"/>
    <mergeCell ref="B1190:B1192"/>
    <mergeCell ref="C1190:C1192"/>
    <mergeCell ref="F1190:F1192"/>
    <mergeCell ref="G1190:G1192"/>
    <mergeCell ref="H1190:H1192"/>
    <mergeCell ref="I1190:I1192"/>
    <mergeCell ref="J1190:J1192"/>
    <mergeCell ref="K1190:K1192"/>
    <mergeCell ref="L1190:L1192"/>
    <mergeCell ref="M1190:M1192"/>
    <mergeCell ref="N1190:N1192"/>
    <mergeCell ref="O1190:O1192"/>
    <mergeCell ref="T1190:T1192"/>
    <mergeCell ref="U1190:U1192"/>
    <mergeCell ref="A1199:A1200"/>
    <mergeCell ref="B1199:B1200"/>
    <mergeCell ref="C1199:C1200"/>
    <mergeCell ref="F1199:F1200"/>
    <mergeCell ref="G1199:G1200"/>
    <mergeCell ref="H1199:H1200"/>
    <mergeCell ref="I1199:I1200"/>
    <mergeCell ref="J1199:J1200"/>
    <mergeCell ref="K1199:K1200"/>
    <mergeCell ref="L1199:L1200"/>
    <mergeCell ref="M1199:M1200"/>
    <mergeCell ref="N1199:N1200"/>
    <mergeCell ref="O1199:O1200"/>
    <mergeCell ref="T1199:T1200"/>
    <mergeCell ref="U1199:U1200"/>
    <mergeCell ref="A1201:A1202"/>
    <mergeCell ref="B1201:B1202"/>
    <mergeCell ref="C1201:C1202"/>
    <mergeCell ref="F1201:F1202"/>
    <mergeCell ref="G1201:G1202"/>
    <mergeCell ref="H1201:H1202"/>
    <mergeCell ref="I1201:I1202"/>
    <mergeCell ref="J1201:J1202"/>
    <mergeCell ref="K1201:K1202"/>
    <mergeCell ref="L1201:L1202"/>
    <mergeCell ref="M1201:M1202"/>
    <mergeCell ref="N1201:N1202"/>
    <mergeCell ref="O1201:O1202"/>
    <mergeCell ref="T1201:T1202"/>
    <mergeCell ref="U1201:U1202"/>
    <mergeCell ref="A1204:A1212"/>
    <mergeCell ref="B1204:B1206"/>
    <mergeCell ref="C1204:C1206"/>
    <mergeCell ref="F1204:F1206"/>
    <mergeCell ref="G1204:G1206"/>
    <mergeCell ref="H1204:H1206"/>
    <mergeCell ref="I1204:I1206"/>
    <mergeCell ref="J1204:J1206"/>
    <mergeCell ref="K1204:K1206"/>
    <mergeCell ref="L1204:L1206"/>
    <mergeCell ref="M1204:M1206"/>
    <mergeCell ref="N1204:N1206"/>
    <mergeCell ref="O1204:O1206"/>
    <mergeCell ref="T1204:T1206"/>
    <mergeCell ref="U1204:U1206"/>
    <mergeCell ref="B1207:B1208"/>
    <mergeCell ref="C1207:C1208"/>
    <mergeCell ref="F1207:F1208"/>
    <mergeCell ref="G1207:G1208"/>
    <mergeCell ref="H1207:H1208"/>
    <mergeCell ref="I1207:I1208"/>
    <mergeCell ref="J1207:J1208"/>
    <mergeCell ref="K1207:K1208"/>
    <mergeCell ref="L1207:L1208"/>
    <mergeCell ref="M1207:M1208"/>
    <mergeCell ref="N1207:N1208"/>
    <mergeCell ref="O1207:O1208"/>
    <mergeCell ref="T1207:T1208"/>
    <mergeCell ref="U1207:U1208"/>
    <mergeCell ref="B1209:B1210"/>
    <mergeCell ref="C1209:C1210"/>
    <mergeCell ref="F1209:F1210"/>
    <mergeCell ref="G1209:G1210"/>
    <mergeCell ref="H1209:H1210"/>
    <mergeCell ref="I1209:I1210"/>
    <mergeCell ref="J1209:J1210"/>
    <mergeCell ref="K1209:K1210"/>
    <mergeCell ref="L1209:L1210"/>
    <mergeCell ref="M1209:M1210"/>
    <mergeCell ref="N1209:N1210"/>
    <mergeCell ref="O1209:O1210"/>
    <mergeCell ref="T1209:T1210"/>
    <mergeCell ref="U1209:U1210"/>
    <mergeCell ref="A1213:A1214"/>
    <mergeCell ref="B1213:B1214"/>
    <mergeCell ref="C1213:C1214"/>
    <mergeCell ref="F1213:F1214"/>
    <mergeCell ref="G1213:G1214"/>
    <mergeCell ref="H1213:H1214"/>
    <mergeCell ref="I1213:I1214"/>
    <mergeCell ref="J1213:J1214"/>
    <mergeCell ref="K1213:K1214"/>
    <mergeCell ref="L1213:L1214"/>
    <mergeCell ref="M1213:M1214"/>
    <mergeCell ref="N1213:N1214"/>
    <mergeCell ref="O1213:O1214"/>
    <mergeCell ref="T1213:T1214"/>
    <mergeCell ref="U1213:U1214"/>
    <mergeCell ref="A1215:A1217"/>
    <mergeCell ref="B1215:B1217"/>
    <mergeCell ref="C1215:C1217"/>
    <mergeCell ref="F1215:F1217"/>
    <mergeCell ref="G1215:G1217"/>
    <mergeCell ref="H1215:H1217"/>
    <mergeCell ref="I1215:I1217"/>
    <mergeCell ref="J1215:J1217"/>
    <mergeCell ref="K1215:K1217"/>
    <mergeCell ref="L1215:L1217"/>
    <mergeCell ref="M1215:M1217"/>
    <mergeCell ref="N1215:N1217"/>
    <mergeCell ref="O1215:O1217"/>
    <mergeCell ref="T1215:T1217"/>
    <mergeCell ref="U1215:U1217"/>
    <mergeCell ref="A1218:A1219"/>
    <mergeCell ref="B1218:B1219"/>
    <mergeCell ref="C1218:C1219"/>
    <mergeCell ref="F1218:F1219"/>
    <mergeCell ref="G1218:G1219"/>
    <mergeCell ref="H1218:H1219"/>
    <mergeCell ref="I1218:I1219"/>
    <mergeCell ref="J1218:J1219"/>
    <mergeCell ref="K1218:K1219"/>
    <mergeCell ref="L1218:L1219"/>
    <mergeCell ref="M1218:M1219"/>
    <mergeCell ref="N1218:N1219"/>
    <mergeCell ref="O1218:O1219"/>
    <mergeCell ref="T1218:T1219"/>
    <mergeCell ref="U1218:U1219"/>
    <mergeCell ref="A1221:A1226"/>
    <mergeCell ref="B1221:B1222"/>
    <mergeCell ref="C1221:C1222"/>
    <mergeCell ref="F1221:F1222"/>
    <mergeCell ref="G1221:G1222"/>
    <mergeCell ref="H1221:H1222"/>
    <mergeCell ref="I1221:I1222"/>
    <mergeCell ref="J1221:J1222"/>
    <mergeCell ref="K1221:K1222"/>
    <mergeCell ref="L1221:L1222"/>
    <mergeCell ref="M1221:M1222"/>
    <mergeCell ref="N1221:N1222"/>
    <mergeCell ref="O1221:O1222"/>
    <mergeCell ref="T1221:T1222"/>
    <mergeCell ref="U1221:U1222"/>
    <mergeCell ref="A1228:A1233"/>
    <mergeCell ref="B1228:B1229"/>
    <mergeCell ref="C1228:C1229"/>
    <mergeCell ref="F1228:F1229"/>
    <mergeCell ref="G1228:G1229"/>
    <mergeCell ref="H1228:H1229"/>
    <mergeCell ref="I1228:I1229"/>
    <mergeCell ref="J1228:J1229"/>
    <mergeCell ref="K1228:K1229"/>
    <mergeCell ref="L1228:L1229"/>
    <mergeCell ref="M1228:M1229"/>
    <mergeCell ref="N1228:N1229"/>
    <mergeCell ref="O1228:O1229"/>
    <mergeCell ref="T1228:T1229"/>
    <mergeCell ref="U1228:U1229"/>
    <mergeCell ref="A1234:A1236"/>
    <mergeCell ref="B1234:B1236"/>
    <mergeCell ref="F1234:F1236"/>
    <mergeCell ref="G1234:G1236"/>
    <mergeCell ref="H1234:H1236"/>
    <mergeCell ref="I1234:I1236"/>
    <mergeCell ref="J1234:J1236"/>
    <mergeCell ref="K1234:K1236"/>
    <mergeCell ref="L1234:L1236"/>
    <mergeCell ref="M1234:M1236"/>
    <mergeCell ref="N1234:N1236"/>
    <mergeCell ref="O1234:O1236"/>
    <mergeCell ref="T1234:T1236"/>
    <mergeCell ref="U1234:U1236"/>
    <mergeCell ref="A1237:A1238"/>
    <mergeCell ref="B1237:B1238"/>
    <mergeCell ref="F1237:F1238"/>
    <mergeCell ref="G1237:G1238"/>
    <mergeCell ref="H1237:H1238"/>
    <mergeCell ref="I1237:I1238"/>
    <mergeCell ref="J1237:J1238"/>
    <mergeCell ref="K1237:K1238"/>
    <mergeCell ref="L1237:L1238"/>
    <mergeCell ref="M1237:M1238"/>
    <mergeCell ref="N1237:N1238"/>
    <mergeCell ref="O1237:O1238"/>
    <mergeCell ref="T1237:T1238"/>
    <mergeCell ref="U1237:U1238"/>
    <mergeCell ref="A1243:A1250"/>
    <mergeCell ref="B1243:B1250"/>
    <mergeCell ref="C1243:C1250"/>
    <mergeCell ref="F1243:F1250"/>
    <mergeCell ref="G1243:G1250"/>
    <mergeCell ref="H1243:H1250"/>
    <mergeCell ref="I1243:I1250"/>
    <mergeCell ref="J1243:J1250"/>
    <mergeCell ref="K1243:K1250"/>
    <mergeCell ref="L1243:L1250"/>
    <mergeCell ref="M1243:M1250"/>
    <mergeCell ref="N1243:N1250"/>
    <mergeCell ref="O1243:O1250"/>
    <mergeCell ref="T1243:T1250"/>
    <mergeCell ref="U1243:U1250"/>
    <mergeCell ref="A1251:A1253"/>
    <mergeCell ref="B1251:B1253"/>
    <mergeCell ref="C1251:C1253"/>
    <mergeCell ref="F1251:F1253"/>
    <mergeCell ref="G1251:G1253"/>
    <mergeCell ref="H1251:H1253"/>
    <mergeCell ref="I1251:I1253"/>
    <mergeCell ref="J1251:J1253"/>
    <mergeCell ref="K1251:K1253"/>
    <mergeCell ref="L1251:L1253"/>
    <mergeCell ref="M1251:M1253"/>
    <mergeCell ref="N1251:N1253"/>
    <mergeCell ref="O1251:O1253"/>
    <mergeCell ref="T1251:T1253"/>
    <mergeCell ref="U1251:U1253"/>
    <mergeCell ref="A1258:A1260"/>
    <mergeCell ref="B1258:B1260"/>
    <mergeCell ref="C1258:C1260"/>
    <mergeCell ref="F1258:F1260"/>
    <mergeCell ref="G1258:G1260"/>
    <mergeCell ref="H1258:H1260"/>
    <mergeCell ref="I1258:I1260"/>
    <mergeCell ref="J1258:J1260"/>
    <mergeCell ref="K1258:K1260"/>
    <mergeCell ref="L1258:L1260"/>
    <mergeCell ref="M1258:M1260"/>
    <mergeCell ref="N1258:N1260"/>
    <mergeCell ref="O1258:O1260"/>
    <mergeCell ref="T1258:T1260"/>
    <mergeCell ref="U1258:U1260"/>
    <mergeCell ref="A1262:A1269"/>
    <mergeCell ref="B1262:B1266"/>
    <mergeCell ref="C1262:C1266"/>
    <mergeCell ref="F1262:F1266"/>
    <mergeCell ref="G1262:G1266"/>
    <mergeCell ref="H1262:H1266"/>
    <mergeCell ref="I1262:I1266"/>
    <mergeCell ref="J1262:J1266"/>
    <mergeCell ref="K1262:K1266"/>
    <mergeCell ref="L1262:L1266"/>
    <mergeCell ref="M1262:M1266"/>
    <mergeCell ref="N1262:N1266"/>
    <mergeCell ref="O1262:O1266"/>
    <mergeCell ref="T1262:T1266"/>
    <mergeCell ref="U1262:U1266"/>
    <mergeCell ref="A1275:A1276"/>
    <mergeCell ref="B1275:B1276"/>
    <mergeCell ref="C1275:C1276"/>
    <mergeCell ref="F1275:F1276"/>
    <mergeCell ref="G1275:G1276"/>
    <mergeCell ref="H1275:H1276"/>
    <mergeCell ref="I1275:I1276"/>
    <mergeCell ref="J1275:J1276"/>
    <mergeCell ref="K1275:K1276"/>
    <mergeCell ref="L1275:L1276"/>
    <mergeCell ref="M1275:M1276"/>
    <mergeCell ref="N1275:N1276"/>
    <mergeCell ref="O1275:O1276"/>
    <mergeCell ref="T1275:T1276"/>
    <mergeCell ref="U1275:U1276"/>
    <mergeCell ref="A1279:A1284"/>
    <mergeCell ref="B1279:B1284"/>
    <mergeCell ref="C1279:C1284"/>
    <mergeCell ref="F1279:F1284"/>
    <mergeCell ref="G1279:G1284"/>
    <mergeCell ref="H1279:H1284"/>
    <mergeCell ref="I1279:I1284"/>
    <mergeCell ref="J1279:J1284"/>
    <mergeCell ref="K1279:K1284"/>
    <mergeCell ref="L1279:L1284"/>
    <mergeCell ref="M1279:M1284"/>
    <mergeCell ref="N1279:N1284"/>
    <mergeCell ref="O1279:O1284"/>
    <mergeCell ref="T1279:T1284"/>
    <mergeCell ref="U1279:U1284"/>
    <mergeCell ref="A1286:A1288"/>
    <mergeCell ref="B1286:B1288"/>
    <mergeCell ref="C1286:C1288"/>
    <mergeCell ref="F1286:F1288"/>
    <mergeCell ref="G1286:G1288"/>
    <mergeCell ref="H1286:H1288"/>
    <mergeCell ref="I1286:I1288"/>
    <mergeCell ref="K1286:K1288"/>
    <mergeCell ref="L1286:L1288"/>
    <mergeCell ref="M1286:M1288"/>
    <mergeCell ref="N1286:N1288"/>
    <mergeCell ref="O1286:O1288"/>
    <mergeCell ref="T1286:T1288"/>
    <mergeCell ref="U1286:U1288"/>
    <mergeCell ref="A1289:A1290"/>
    <mergeCell ref="B1289:B1290"/>
    <mergeCell ref="C1289:C1290"/>
    <mergeCell ref="F1289:F1290"/>
    <mergeCell ref="G1289:G1290"/>
    <mergeCell ref="H1289:H1290"/>
    <mergeCell ref="I1289:I1290"/>
    <mergeCell ref="J1289:J1290"/>
    <mergeCell ref="K1289:K1290"/>
    <mergeCell ref="L1289:L1290"/>
    <mergeCell ref="M1289:M1290"/>
    <mergeCell ref="N1289:N1290"/>
    <mergeCell ref="O1289:O1290"/>
    <mergeCell ref="T1289:T1290"/>
    <mergeCell ref="U1289:U1290"/>
    <mergeCell ref="A1291:A1292"/>
    <mergeCell ref="B1291:B1292"/>
    <mergeCell ref="C1291:C1292"/>
    <mergeCell ref="F1291:F1292"/>
    <mergeCell ref="G1291:G1292"/>
    <mergeCell ref="H1291:H1292"/>
    <mergeCell ref="I1291:I1292"/>
    <mergeCell ref="J1291:J1292"/>
    <mergeCell ref="K1291:K1292"/>
    <mergeCell ref="L1291:L1292"/>
    <mergeCell ref="M1291:M1292"/>
    <mergeCell ref="N1291:N1292"/>
    <mergeCell ref="O1291:O1292"/>
    <mergeCell ref="T1291:T1292"/>
    <mergeCell ref="U1291:U1292"/>
    <mergeCell ref="A1293:A1295"/>
    <mergeCell ref="B1293:B1295"/>
    <mergeCell ref="C1293:C1295"/>
    <mergeCell ref="F1293:F1295"/>
    <mergeCell ref="G1293:G1295"/>
    <mergeCell ref="H1293:H1295"/>
    <mergeCell ref="I1293:I1295"/>
    <mergeCell ref="K1293:K1295"/>
    <mergeCell ref="L1293:L1295"/>
    <mergeCell ref="M1293:M1295"/>
    <mergeCell ref="N1293:N1295"/>
    <mergeCell ref="O1293:O1295"/>
    <mergeCell ref="T1293:T1295"/>
    <mergeCell ref="U1293:U1295"/>
    <mergeCell ref="A1296:A1302"/>
    <mergeCell ref="B1296:B1302"/>
    <mergeCell ref="C1296:C1302"/>
    <mergeCell ref="F1296:F1302"/>
    <mergeCell ref="G1296:G1302"/>
    <mergeCell ref="H1296:H1302"/>
    <mergeCell ref="I1296:I1302"/>
    <mergeCell ref="K1296:K1302"/>
    <mergeCell ref="L1296:L1302"/>
    <mergeCell ref="M1296:M1302"/>
    <mergeCell ref="N1296:N1302"/>
    <mergeCell ref="O1296:O1302"/>
    <mergeCell ref="T1296:T1302"/>
    <mergeCell ref="U1296:U1302"/>
    <mergeCell ref="A1305:A1306"/>
    <mergeCell ref="A1307:A1309"/>
    <mergeCell ref="B1307:B1309"/>
    <mergeCell ref="C1307:C1309"/>
    <mergeCell ref="F1307:F1309"/>
    <mergeCell ref="G1307:G1309"/>
    <mergeCell ref="H1307:H1309"/>
    <mergeCell ref="I1307:I1309"/>
    <mergeCell ref="J1307:J1309"/>
    <mergeCell ref="K1307:K1309"/>
    <mergeCell ref="L1307:L1309"/>
    <mergeCell ref="M1307:M1309"/>
    <mergeCell ref="N1307:N1309"/>
    <mergeCell ref="O1307:O1309"/>
    <mergeCell ref="T1307:T1309"/>
    <mergeCell ref="U1307:U1309"/>
    <mergeCell ref="A1311:A1314"/>
    <mergeCell ref="B1311:B1314"/>
    <mergeCell ref="C1311:C1314"/>
    <mergeCell ref="F1311:F1314"/>
    <mergeCell ref="G1311:G1314"/>
    <mergeCell ref="H1311:H1314"/>
    <mergeCell ref="I1311:I1314"/>
    <mergeCell ref="J1311:J1314"/>
    <mergeCell ref="K1311:K1314"/>
    <mergeCell ref="L1311:L1314"/>
    <mergeCell ref="M1311:M1314"/>
    <mergeCell ref="N1311:N1314"/>
    <mergeCell ref="O1311:O1314"/>
    <mergeCell ref="T1311:T1314"/>
    <mergeCell ref="U1311:U1314"/>
    <mergeCell ref="A1318:A1319"/>
    <mergeCell ref="A1320:A1321"/>
    <mergeCell ref="B1320:B1321"/>
    <mergeCell ref="C1320:C1321"/>
    <mergeCell ref="F1320:F1321"/>
    <mergeCell ref="G1320:G1321"/>
    <mergeCell ref="H1320:H1321"/>
    <mergeCell ref="I1320:I1321"/>
    <mergeCell ref="J1320:J1321"/>
    <mergeCell ref="K1320:K1321"/>
    <mergeCell ref="L1320:L1321"/>
    <mergeCell ref="M1320:M1321"/>
    <mergeCell ref="N1320:N1321"/>
    <mergeCell ref="O1320:O1321"/>
    <mergeCell ref="T1320:T1321"/>
    <mergeCell ref="U1320:U1321"/>
    <mergeCell ref="A1323:A1324"/>
    <mergeCell ref="A1325:A1328"/>
    <mergeCell ref="B1325:B1326"/>
    <mergeCell ref="C1325:C1326"/>
    <mergeCell ref="F1325:F1326"/>
    <mergeCell ref="G1325:G1326"/>
    <mergeCell ref="H1325:H1326"/>
    <mergeCell ref="I1325:I1326"/>
    <mergeCell ref="J1325:J1326"/>
    <mergeCell ref="K1325:K1326"/>
    <mergeCell ref="L1325:L1326"/>
    <mergeCell ref="M1325:M1326"/>
    <mergeCell ref="N1325:N1326"/>
    <mergeCell ref="O1325:O1326"/>
    <mergeCell ref="T1325:T1326"/>
    <mergeCell ref="U1325:U1326"/>
    <mergeCell ref="A1329:A1331"/>
    <mergeCell ref="B1329:B1331"/>
    <mergeCell ref="C1329:C1331"/>
    <mergeCell ref="F1329:F1331"/>
    <mergeCell ref="G1329:G1331"/>
    <mergeCell ref="H1329:H1331"/>
    <mergeCell ref="I1329:I1331"/>
    <mergeCell ref="J1329:J1331"/>
    <mergeCell ref="K1329:K1331"/>
    <mergeCell ref="L1329:L1331"/>
    <mergeCell ref="M1329:M1331"/>
    <mergeCell ref="N1329:N1331"/>
    <mergeCell ref="O1329:O1331"/>
    <mergeCell ref="T1329:T1331"/>
    <mergeCell ref="U1329:U1331"/>
    <mergeCell ref="A1335:A1336"/>
    <mergeCell ref="B1335:B1336"/>
    <mergeCell ref="C1335:C1336"/>
    <mergeCell ref="F1335:F1336"/>
    <mergeCell ref="G1335:G1336"/>
    <mergeCell ref="H1335:H1336"/>
    <mergeCell ref="I1335:I1336"/>
    <mergeCell ref="J1335:J1336"/>
    <mergeCell ref="K1335:K1336"/>
    <mergeCell ref="L1335:L1336"/>
    <mergeCell ref="M1335:M1336"/>
    <mergeCell ref="N1335:N1336"/>
    <mergeCell ref="O1335:O1336"/>
    <mergeCell ref="T1335:T1336"/>
    <mergeCell ref="U1335:U1336"/>
    <mergeCell ref="A1339:A1340"/>
    <mergeCell ref="B1339:B1340"/>
    <mergeCell ref="C1339:C1340"/>
    <mergeCell ref="F1339:F1340"/>
    <mergeCell ref="G1339:G1340"/>
    <mergeCell ref="H1339:H1340"/>
    <mergeCell ref="I1339:I1340"/>
    <mergeCell ref="J1339:J1340"/>
    <mergeCell ref="K1339:K1340"/>
    <mergeCell ref="L1339:L1340"/>
    <mergeCell ref="M1339:M1340"/>
    <mergeCell ref="N1339:N1340"/>
    <mergeCell ref="O1339:O1340"/>
    <mergeCell ref="T1339:T1340"/>
    <mergeCell ref="U1339:U1340"/>
    <mergeCell ref="A1343:A1345"/>
    <mergeCell ref="B1343:B1345"/>
    <mergeCell ref="C1343:C1345"/>
    <mergeCell ref="F1343:F1345"/>
    <mergeCell ref="G1343:G1345"/>
    <mergeCell ref="H1343:H1345"/>
    <mergeCell ref="I1343:I1345"/>
    <mergeCell ref="J1343:J1345"/>
    <mergeCell ref="K1343:K1345"/>
    <mergeCell ref="L1343:L1345"/>
    <mergeCell ref="M1343:M1345"/>
    <mergeCell ref="N1343:N1345"/>
    <mergeCell ref="O1343:O1345"/>
    <mergeCell ref="T1343:T1345"/>
    <mergeCell ref="U1343:U1345"/>
    <mergeCell ref="A1348:A1353"/>
    <mergeCell ref="B1348:B1351"/>
    <mergeCell ref="C1348:C1351"/>
    <mergeCell ref="F1348:F1351"/>
    <mergeCell ref="G1348:G1351"/>
    <mergeCell ref="H1348:H1351"/>
    <mergeCell ref="I1348:I1351"/>
    <mergeCell ref="J1348:J1351"/>
    <mergeCell ref="K1348:K1351"/>
    <mergeCell ref="L1348:L1351"/>
    <mergeCell ref="M1348:M1351"/>
    <mergeCell ref="N1348:N1351"/>
    <mergeCell ref="O1348:O1351"/>
    <mergeCell ref="T1348:T1351"/>
    <mergeCell ref="U1348:U1351"/>
    <mergeCell ref="A1354:A1357"/>
    <mergeCell ref="B1354:B1355"/>
    <mergeCell ref="C1354:C1355"/>
    <mergeCell ref="F1354:F1355"/>
    <mergeCell ref="H1354:H1355"/>
    <mergeCell ref="I1354:I1355"/>
    <mergeCell ref="J1354:J1355"/>
    <mergeCell ref="K1354:K1355"/>
    <mergeCell ref="L1354:L1355"/>
    <mergeCell ref="M1354:M1355"/>
    <mergeCell ref="N1354:N1355"/>
    <mergeCell ref="O1354:O1355"/>
    <mergeCell ref="T1354:T1355"/>
    <mergeCell ref="U1354:U1355"/>
    <mergeCell ref="A1359:A1360"/>
    <mergeCell ref="B1359:B1360"/>
    <mergeCell ref="C1359:C1360"/>
    <mergeCell ref="F1359:F1360"/>
    <mergeCell ref="G1359:G1360"/>
    <mergeCell ref="H1359:H1360"/>
    <mergeCell ref="I1359:I1360"/>
    <mergeCell ref="J1359:J1360"/>
    <mergeCell ref="K1359:K1360"/>
    <mergeCell ref="L1359:L1360"/>
    <mergeCell ref="M1359:M1360"/>
    <mergeCell ref="N1359:N1360"/>
    <mergeCell ref="O1359:O1360"/>
    <mergeCell ref="T1359:T1360"/>
    <mergeCell ref="U1359:U1360"/>
    <mergeCell ref="A1363:A1369"/>
    <mergeCell ref="B1363:B1364"/>
    <mergeCell ref="C1363:C1364"/>
    <mergeCell ref="F1363:F1364"/>
    <mergeCell ref="G1363:G1364"/>
    <mergeCell ref="H1363:H1364"/>
    <mergeCell ref="I1363:I1364"/>
    <mergeCell ref="J1363:J1364"/>
    <mergeCell ref="K1363:K1364"/>
    <mergeCell ref="L1363:L1364"/>
    <mergeCell ref="M1363:M1364"/>
    <mergeCell ref="N1363:N1364"/>
    <mergeCell ref="O1363:O1364"/>
    <mergeCell ref="T1363:T1364"/>
    <mergeCell ref="U1363:U1364"/>
    <mergeCell ref="B1366:B1367"/>
    <mergeCell ref="C1366:C1367"/>
    <mergeCell ref="F1366:F1367"/>
    <mergeCell ref="G1366:G1367"/>
    <mergeCell ref="H1366:H1367"/>
    <mergeCell ref="I1366:I1367"/>
    <mergeCell ref="K1366:K1367"/>
    <mergeCell ref="L1366:L1367"/>
    <mergeCell ref="M1366:M1367"/>
    <mergeCell ref="N1366:N1367"/>
    <mergeCell ref="O1366:O1367"/>
    <mergeCell ref="T1366:T1367"/>
    <mergeCell ref="U1366:U1367"/>
    <mergeCell ref="A1371:A1373"/>
    <mergeCell ref="B1371:B1373"/>
    <mergeCell ref="C1371:C1373"/>
    <mergeCell ref="F1371:F1373"/>
    <mergeCell ref="G1371:G1373"/>
    <mergeCell ref="H1371:H1373"/>
    <mergeCell ref="I1371:I1373"/>
    <mergeCell ref="J1371:J1373"/>
    <mergeCell ref="K1371:K1373"/>
    <mergeCell ref="L1371:L1373"/>
    <mergeCell ref="M1371:M1373"/>
    <mergeCell ref="N1371:N1373"/>
    <mergeCell ref="O1371:O1373"/>
    <mergeCell ref="T1371:T1373"/>
    <mergeCell ref="U1371:U1373"/>
    <mergeCell ref="A1375:A1376"/>
    <mergeCell ref="B1375:B1376"/>
    <mergeCell ref="C1375:C1376"/>
    <mergeCell ref="F1375:F1376"/>
    <mergeCell ref="G1375:G1376"/>
    <mergeCell ref="H1375:H1376"/>
    <mergeCell ref="I1375:I1376"/>
    <mergeCell ref="J1375:J1376"/>
    <mergeCell ref="K1375:K1376"/>
    <mergeCell ref="L1375:L1376"/>
    <mergeCell ref="M1375:M1376"/>
    <mergeCell ref="N1375:N1376"/>
    <mergeCell ref="O1375:O1376"/>
    <mergeCell ref="T1375:T1376"/>
    <mergeCell ref="U1375:U1376"/>
    <mergeCell ref="A1377:A1378"/>
    <mergeCell ref="B1377:B1378"/>
    <mergeCell ref="C1377:C1378"/>
    <mergeCell ref="F1377:F1378"/>
    <mergeCell ref="G1377:G1378"/>
    <mergeCell ref="H1377:H1378"/>
    <mergeCell ref="I1377:I1378"/>
    <mergeCell ref="J1377:J1378"/>
    <mergeCell ref="K1377:K1378"/>
    <mergeCell ref="L1377:L1378"/>
    <mergeCell ref="M1377:M1378"/>
    <mergeCell ref="N1377:N1378"/>
    <mergeCell ref="O1377:O1378"/>
    <mergeCell ref="T1377:T1378"/>
    <mergeCell ref="U1377:U1378"/>
    <mergeCell ref="A1379:A1380"/>
    <mergeCell ref="B1379:B1380"/>
    <mergeCell ref="C1379:C1380"/>
    <mergeCell ref="F1379:F1380"/>
    <mergeCell ref="G1379:G1380"/>
    <mergeCell ref="H1379:H1380"/>
    <mergeCell ref="I1379:I1380"/>
    <mergeCell ref="J1379:J1380"/>
    <mergeCell ref="K1379:K1380"/>
    <mergeCell ref="L1379:L1380"/>
    <mergeCell ref="M1379:M1380"/>
    <mergeCell ref="N1379:N1380"/>
    <mergeCell ref="O1379:O1380"/>
    <mergeCell ref="T1379:T1380"/>
    <mergeCell ref="U1379:U1380"/>
    <mergeCell ref="A1383:A1386"/>
    <mergeCell ref="B1383:B1386"/>
    <mergeCell ref="C1383:C1386"/>
    <mergeCell ref="F1383:F1386"/>
    <mergeCell ref="G1383:G1386"/>
    <mergeCell ref="H1383:H1386"/>
    <mergeCell ref="I1383:I1386"/>
    <mergeCell ref="J1383:J1386"/>
    <mergeCell ref="K1383:K1386"/>
    <mergeCell ref="L1383:L1386"/>
    <mergeCell ref="M1383:M1386"/>
    <mergeCell ref="N1383:N1386"/>
    <mergeCell ref="O1383:O1386"/>
    <mergeCell ref="T1383:T1386"/>
    <mergeCell ref="U1383:U1386"/>
    <mergeCell ref="A1389:A1390"/>
    <mergeCell ref="B1389:B1390"/>
    <mergeCell ref="C1389:C1390"/>
    <mergeCell ref="F1389:F1390"/>
    <mergeCell ref="G1389:G1390"/>
    <mergeCell ref="H1389:H1390"/>
    <mergeCell ref="I1389:I1390"/>
    <mergeCell ref="J1389:J1390"/>
    <mergeCell ref="K1389:K1390"/>
    <mergeCell ref="L1389:L1390"/>
    <mergeCell ref="M1389:M1390"/>
    <mergeCell ref="N1389:N1390"/>
    <mergeCell ref="O1389:O1390"/>
    <mergeCell ref="T1389:T1390"/>
    <mergeCell ref="U1389:U1390"/>
    <mergeCell ref="A1394:A1400"/>
    <mergeCell ref="B1394:B1396"/>
    <mergeCell ref="C1394:C1396"/>
    <mergeCell ref="F1394:F1396"/>
    <mergeCell ref="G1394:G1396"/>
    <mergeCell ref="H1394:H1396"/>
    <mergeCell ref="I1394:I1396"/>
    <mergeCell ref="J1394:J1396"/>
    <mergeCell ref="K1394:K1396"/>
    <mergeCell ref="L1394:L1396"/>
    <mergeCell ref="M1394:M1396"/>
    <mergeCell ref="N1394:N1396"/>
    <mergeCell ref="O1394:O1396"/>
    <mergeCell ref="T1394:T1396"/>
    <mergeCell ref="U1394:U1396"/>
    <mergeCell ref="A1402:A1405"/>
    <mergeCell ref="B1402:B1405"/>
    <mergeCell ref="C1402:C1405"/>
    <mergeCell ref="F1402:F1405"/>
    <mergeCell ref="G1402:G1405"/>
    <mergeCell ref="H1402:H1405"/>
    <mergeCell ref="I1402:I1405"/>
    <mergeCell ref="J1402:J1405"/>
    <mergeCell ref="K1402:K1405"/>
    <mergeCell ref="L1402:L1405"/>
    <mergeCell ref="M1402:M1405"/>
    <mergeCell ref="N1402:N1405"/>
    <mergeCell ref="O1402:O1405"/>
    <mergeCell ref="T1402:T1405"/>
    <mergeCell ref="U1402:U1405"/>
    <mergeCell ref="A1406:A1410"/>
    <mergeCell ref="B1406:B1407"/>
    <mergeCell ref="C1406:C1407"/>
    <mergeCell ref="F1406:F1407"/>
    <mergeCell ref="G1406:G1407"/>
    <mergeCell ref="H1406:H1407"/>
    <mergeCell ref="I1406:I1407"/>
    <mergeCell ref="J1406:J1407"/>
    <mergeCell ref="K1406:K1407"/>
    <mergeCell ref="L1406:L1407"/>
    <mergeCell ref="M1406:M1407"/>
    <mergeCell ref="N1406:N1407"/>
    <mergeCell ref="O1406:O1407"/>
    <mergeCell ref="T1406:T1407"/>
    <mergeCell ref="U1406:U1407"/>
    <mergeCell ref="A1411:A1412"/>
    <mergeCell ref="B1411:B1412"/>
    <mergeCell ref="C1411:C1412"/>
    <mergeCell ref="F1411:F1412"/>
    <mergeCell ref="G1411:G1412"/>
    <mergeCell ref="H1411:H1412"/>
    <mergeCell ref="I1411:I1412"/>
    <mergeCell ref="J1411:J1412"/>
    <mergeCell ref="K1411:K1412"/>
    <mergeCell ref="L1411:L1412"/>
    <mergeCell ref="M1411:M1412"/>
    <mergeCell ref="N1411:N1412"/>
    <mergeCell ref="O1411:O1412"/>
    <mergeCell ref="T1411:T1412"/>
    <mergeCell ref="U1411:U1412"/>
    <mergeCell ref="A1414:A1415"/>
    <mergeCell ref="B1414:B1415"/>
    <mergeCell ref="C1414:C1415"/>
    <mergeCell ref="F1414:F1415"/>
    <mergeCell ref="G1414:G1415"/>
    <mergeCell ref="H1414:H1415"/>
    <mergeCell ref="I1414:I1415"/>
    <mergeCell ref="J1414:J1415"/>
    <mergeCell ref="K1414:K1415"/>
    <mergeCell ref="L1414:L1415"/>
    <mergeCell ref="M1414:M1415"/>
    <mergeCell ref="N1414:N1415"/>
    <mergeCell ref="O1414:O1415"/>
    <mergeCell ref="T1414:T1415"/>
    <mergeCell ref="U1414:U1415"/>
    <mergeCell ref="A1417:A1423"/>
    <mergeCell ref="B1417:B1420"/>
    <mergeCell ref="C1417:C1420"/>
    <mergeCell ref="F1417:F1420"/>
    <mergeCell ref="G1417:G1420"/>
    <mergeCell ref="H1417:H1420"/>
    <mergeCell ref="I1417:I1420"/>
    <mergeCell ref="J1417:J1420"/>
    <mergeCell ref="K1417:K1420"/>
    <mergeCell ref="L1417:L1420"/>
    <mergeCell ref="M1417:M1420"/>
    <mergeCell ref="N1417:N1420"/>
    <mergeCell ref="O1417:O1420"/>
    <mergeCell ref="T1417:T1420"/>
    <mergeCell ref="U1417:U1420"/>
    <mergeCell ref="A1424:A1425"/>
    <mergeCell ref="B1424:B1425"/>
    <mergeCell ref="C1424:C1425"/>
    <mergeCell ref="F1424:F1425"/>
    <mergeCell ref="G1424:G1425"/>
    <mergeCell ref="H1424:H1425"/>
    <mergeCell ref="I1424:I1425"/>
    <mergeCell ref="J1424:J1425"/>
    <mergeCell ref="K1424:K1425"/>
    <mergeCell ref="L1424:L1425"/>
    <mergeCell ref="M1424:M1425"/>
    <mergeCell ref="N1424:N1425"/>
    <mergeCell ref="O1424:O1425"/>
    <mergeCell ref="T1424:T1425"/>
    <mergeCell ref="U1424:U1425"/>
    <mergeCell ref="A1426:A1428"/>
    <mergeCell ref="B1426:B1428"/>
    <mergeCell ref="C1426:C1428"/>
    <mergeCell ref="F1426:F1428"/>
    <mergeCell ref="G1426:G1428"/>
    <mergeCell ref="H1426:H1428"/>
    <mergeCell ref="I1426:I1428"/>
    <mergeCell ref="J1426:J1428"/>
    <mergeCell ref="K1426:K1428"/>
    <mergeCell ref="L1426:L1428"/>
    <mergeCell ref="M1426:M1428"/>
    <mergeCell ref="N1426:N1428"/>
    <mergeCell ref="O1426:O1428"/>
    <mergeCell ref="T1426:T1428"/>
    <mergeCell ref="U1426:U1428"/>
    <mergeCell ref="A1429:A1434"/>
    <mergeCell ref="B1429:B1431"/>
    <mergeCell ref="C1429:C1431"/>
    <mergeCell ref="F1429:F1431"/>
    <mergeCell ref="G1429:G1431"/>
    <mergeCell ref="H1429:H1431"/>
    <mergeCell ref="I1429:I1431"/>
    <mergeCell ref="J1429:J1431"/>
    <mergeCell ref="K1429:K1431"/>
    <mergeCell ref="L1429:L1431"/>
    <mergeCell ref="M1429:M1431"/>
    <mergeCell ref="N1429:N1431"/>
    <mergeCell ref="O1429:O1431"/>
    <mergeCell ref="T1429:T1431"/>
    <mergeCell ref="U1429:U1431"/>
    <mergeCell ref="A1438:A1445"/>
    <mergeCell ref="B1438:B1442"/>
    <mergeCell ref="C1438:C1442"/>
    <mergeCell ref="F1438:F1442"/>
    <mergeCell ref="G1438:G1442"/>
    <mergeCell ref="H1438:H1442"/>
    <mergeCell ref="I1438:I1442"/>
    <mergeCell ref="J1438:J1442"/>
    <mergeCell ref="K1438:K1442"/>
    <mergeCell ref="L1438:L1442"/>
    <mergeCell ref="M1438:M1442"/>
    <mergeCell ref="N1438:N1442"/>
    <mergeCell ref="O1438:O1442"/>
    <mergeCell ref="T1438:T1442"/>
    <mergeCell ref="U1438:U1442"/>
    <mergeCell ref="A1446:A1447"/>
    <mergeCell ref="A1448:A1455"/>
    <mergeCell ref="B1448:B1450"/>
    <mergeCell ref="C1448:C1450"/>
    <mergeCell ref="F1448:F1450"/>
    <mergeCell ref="G1448:G1450"/>
    <mergeCell ref="H1448:H1450"/>
    <mergeCell ref="I1448:I1450"/>
    <mergeCell ref="J1448:J1450"/>
    <mergeCell ref="K1448:K1450"/>
    <mergeCell ref="L1448:L1450"/>
    <mergeCell ref="M1448:M1450"/>
    <mergeCell ref="N1448:N1450"/>
    <mergeCell ref="O1448:O1450"/>
    <mergeCell ref="T1448:T1450"/>
    <mergeCell ref="U1448:U1450"/>
    <mergeCell ref="B1451:B1452"/>
    <mergeCell ref="C1451:C1452"/>
    <mergeCell ref="F1451:F1452"/>
    <mergeCell ref="G1451:G1452"/>
    <mergeCell ref="H1451:H1452"/>
    <mergeCell ref="I1451:I1452"/>
    <mergeCell ref="J1451:J1452"/>
    <mergeCell ref="K1451:K1452"/>
    <mergeCell ref="L1451:L1452"/>
    <mergeCell ref="M1451:M1452"/>
    <mergeCell ref="N1451:N1452"/>
    <mergeCell ref="O1451:O1452"/>
    <mergeCell ref="T1451:T1452"/>
    <mergeCell ref="U1451:U1452"/>
    <mergeCell ref="B1454:B1455"/>
    <mergeCell ref="C1454:C1455"/>
    <mergeCell ref="F1454:F1455"/>
    <mergeCell ref="G1454:G1455"/>
    <mergeCell ref="H1454:H1455"/>
    <mergeCell ref="I1454:I1455"/>
    <mergeCell ref="J1454:J1455"/>
    <mergeCell ref="K1454:K1455"/>
    <mergeCell ref="L1454:L1455"/>
    <mergeCell ref="M1454:M1455"/>
    <mergeCell ref="N1454:N1455"/>
    <mergeCell ref="O1454:O1455"/>
    <mergeCell ref="T1454:T1455"/>
    <mergeCell ref="U1454:U1455"/>
    <mergeCell ref="A1456:A1458"/>
    <mergeCell ref="B1456:B1458"/>
    <mergeCell ref="C1456:C1458"/>
    <mergeCell ref="F1456:F1458"/>
    <mergeCell ref="G1456:G1458"/>
    <mergeCell ref="H1456:H1458"/>
    <mergeCell ref="I1456:I1458"/>
    <mergeCell ref="J1456:J1458"/>
    <mergeCell ref="K1456:K1458"/>
    <mergeCell ref="L1456:L1458"/>
    <mergeCell ref="M1456:M1458"/>
    <mergeCell ref="N1456:N1458"/>
    <mergeCell ref="O1456:O1458"/>
    <mergeCell ref="T1456:T1458"/>
    <mergeCell ref="U1456:U1458"/>
    <mergeCell ref="A1460:A1461"/>
    <mergeCell ref="B1460:B1461"/>
    <mergeCell ref="C1460:C1461"/>
    <mergeCell ref="F1460:F1461"/>
    <mergeCell ref="G1460:G1461"/>
    <mergeCell ref="H1460:H1461"/>
    <mergeCell ref="I1460:I1461"/>
    <mergeCell ref="J1460:J1461"/>
    <mergeCell ref="K1460:K1461"/>
    <mergeCell ref="L1460:L1461"/>
    <mergeCell ref="M1460:M1461"/>
    <mergeCell ref="N1460:N1461"/>
    <mergeCell ref="O1460:O1461"/>
    <mergeCell ref="T1460:T1461"/>
    <mergeCell ref="U1460:U1461"/>
    <mergeCell ref="A1464:A1467"/>
    <mergeCell ref="B1464:B1467"/>
    <mergeCell ref="C1464:C1467"/>
    <mergeCell ref="F1464:F1467"/>
    <mergeCell ref="G1464:G1467"/>
    <mergeCell ref="H1464:H1467"/>
    <mergeCell ref="I1464:I1467"/>
    <mergeCell ref="J1464:J1467"/>
    <mergeCell ref="K1464:K1467"/>
    <mergeCell ref="L1464:L1467"/>
    <mergeCell ref="M1464:M1467"/>
    <mergeCell ref="N1464:N1467"/>
    <mergeCell ref="O1464:O1467"/>
    <mergeCell ref="T1464:T1467"/>
    <mergeCell ref="U1464:U1467"/>
    <mergeCell ref="A1468:A1470"/>
    <mergeCell ref="B1468:B1470"/>
    <mergeCell ref="C1468:C1470"/>
    <mergeCell ref="F1468:F1470"/>
    <mergeCell ref="G1468:G1470"/>
    <mergeCell ref="H1468:H1470"/>
    <mergeCell ref="J1468:J1470"/>
    <mergeCell ref="K1468:K1470"/>
    <mergeCell ref="L1468:L1470"/>
    <mergeCell ref="M1468:M1470"/>
    <mergeCell ref="N1468:N1470"/>
    <mergeCell ref="O1468:O1470"/>
    <mergeCell ref="T1468:T1470"/>
    <mergeCell ref="U1468:U1470"/>
    <mergeCell ref="A1471:A1472"/>
    <mergeCell ref="B1471:B1472"/>
    <mergeCell ref="C1471:C1472"/>
    <mergeCell ref="F1471:F1472"/>
    <mergeCell ref="G1471:G1472"/>
    <mergeCell ref="H1471:H1472"/>
    <mergeCell ref="I1471:I1472"/>
    <mergeCell ref="J1471:J1472"/>
    <mergeCell ref="K1471:K1472"/>
    <mergeCell ref="L1471:L1472"/>
    <mergeCell ref="M1471:M1472"/>
    <mergeCell ref="N1471:N1472"/>
    <mergeCell ref="O1471:O1472"/>
    <mergeCell ref="T1471:T1472"/>
    <mergeCell ref="U1471:U1472"/>
    <mergeCell ref="A1479:A1484"/>
    <mergeCell ref="B1479:B1481"/>
    <mergeCell ref="C1479:C1481"/>
    <mergeCell ref="F1479:F1481"/>
    <mergeCell ref="G1479:G1481"/>
    <mergeCell ref="H1479:H1481"/>
    <mergeCell ref="I1479:I1481"/>
    <mergeCell ref="J1479:J1481"/>
    <mergeCell ref="K1479:K1481"/>
    <mergeCell ref="L1479:L1481"/>
    <mergeCell ref="M1479:M1481"/>
    <mergeCell ref="N1479:N1481"/>
    <mergeCell ref="O1479:O1481"/>
    <mergeCell ref="T1479:T1481"/>
    <mergeCell ref="U1479:U1481"/>
    <mergeCell ref="A1486:A1488"/>
    <mergeCell ref="B1486:B1488"/>
    <mergeCell ref="C1486:C1488"/>
    <mergeCell ref="F1486:F1488"/>
    <mergeCell ref="G1486:G1488"/>
    <mergeCell ref="H1486:H1488"/>
    <mergeCell ref="I1486:I1488"/>
    <mergeCell ref="J1486:J1488"/>
    <mergeCell ref="K1486:K1488"/>
    <mergeCell ref="L1486:L1488"/>
    <mergeCell ref="M1486:M1488"/>
    <mergeCell ref="N1486:N1488"/>
    <mergeCell ref="O1486:O1488"/>
    <mergeCell ref="T1486:T1488"/>
    <mergeCell ref="U1486:U1488"/>
    <mergeCell ref="A1490:A1494"/>
    <mergeCell ref="B1490:B1491"/>
    <mergeCell ref="C1490:C1491"/>
    <mergeCell ref="F1490:F1491"/>
    <mergeCell ref="G1490:G1491"/>
    <mergeCell ref="H1490:H1491"/>
    <mergeCell ref="I1490:I1491"/>
    <mergeCell ref="J1490:J1491"/>
    <mergeCell ref="K1490:K1491"/>
    <mergeCell ref="L1490:L1491"/>
    <mergeCell ref="M1490:M1491"/>
    <mergeCell ref="N1490:N1491"/>
    <mergeCell ref="O1490:O1491"/>
    <mergeCell ref="T1490:T1491"/>
    <mergeCell ref="U1490:U1491"/>
    <mergeCell ref="B1493:B1494"/>
    <mergeCell ref="C1493:C1494"/>
    <mergeCell ref="F1493:F1494"/>
    <mergeCell ref="G1493:G1494"/>
    <mergeCell ref="H1493:H1494"/>
    <mergeCell ref="I1493:I1494"/>
    <mergeCell ref="J1493:J1494"/>
    <mergeCell ref="K1493:K1494"/>
    <mergeCell ref="L1493:L1494"/>
    <mergeCell ref="M1493:M1494"/>
    <mergeCell ref="N1493:N1494"/>
    <mergeCell ref="O1493:O1494"/>
    <mergeCell ref="T1493:T1494"/>
    <mergeCell ref="U1493:U1494"/>
    <mergeCell ref="A1495:A1499"/>
    <mergeCell ref="B1495:B1496"/>
    <mergeCell ref="C1495:C1496"/>
    <mergeCell ref="F1495:F1496"/>
    <mergeCell ref="G1495:G1496"/>
    <mergeCell ref="H1495:H1496"/>
    <mergeCell ref="I1495:I1496"/>
    <mergeCell ref="J1495:J1496"/>
    <mergeCell ref="K1495:K1496"/>
    <mergeCell ref="L1495:L1496"/>
    <mergeCell ref="M1495:M1496"/>
    <mergeCell ref="N1495:N1496"/>
    <mergeCell ref="O1495:O1496"/>
    <mergeCell ref="T1495:T1496"/>
    <mergeCell ref="U1495:U1496"/>
    <mergeCell ref="B1497:B1498"/>
    <mergeCell ref="C1497:C1498"/>
    <mergeCell ref="F1497:F1498"/>
    <mergeCell ref="G1497:G1498"/>
    <mergeCell ref="H1497:H1498"/>
    <mergeCell ref="I1497:I1498"/>
    <mergeCell ref="J1497:J1498"/>
    <mergeCell ref="K1497:K1498"/>
    <mergeCell ref="L1497:L1498"/>
    <mergeCell ref="M1497:M1498"/>
    <mergeCell ref="N1497:N1498"/>
    <mergeCell ref="O1497:O1498"/>
    <mergeCell ref="T1497:T1498"/>
    <mergeCell ref="U1497:U1498"/>
    <mergeCell ref="A1500:A1506"/>
    <mergeCell ref="B1500:B1502"/>
    <mergeCell ref="C1500:C1502"/>
    <mergeCell ref="F1500:F1502"/>
    <mergeCell ref="G1500:G1502"/>
    <mergeCell ref="H1500:H1502"/>
    <mergeCell ref="I1500:I1502"/>
    <mergeCell ref="J1500:J1502"/>
    <mergeCell ref="K1500:K1502"/>
    <mergeCell ref="L1500:L1502"/>
    <mergeCell ref="M1500:M1502"/>
    <mergeCell ref="N1500:N1502"/>
    <mergeCell ref="O1500:O1502"/>
    <mergeCell ref="T1500:T1502"/>
    <mergeCell ref="U1500:U1502"/>
    <mergeCell ref="A1507:A1510"/>
    <mergeCell ref="B1507:B1510"/>
    <mergeCell ref="C1507:C1510"/>
    <mergeCell ref="F1507:F1510"/>
    <mergeCell ref="G1507:G1510"/>
    <mergeCell ref="H1507:H1510"/>
    <mergeCell ref="I1507:I1510"/>
    <mergeCell ref="J1507:J1510"/>
    <mergeCell ref="K1507:K1510"/>
    <mergeCell ref="L1507:L1510"/>
    <mergeCell ref="M1507:M1510"/>
    <mergeCell ref="N1507:N1510"/>
    <mergeCell ref="O1507:O1510"/>
    <mergeCell ref="T1507:T1510"/>
    <mergeCell ref="U1507:U1510"/>
    <mergeCell ref="A1511:A1513"/>
    <mergeCell ref="B1511:B1513"/>
    <mergeCell ref="C1511:C1513"/>
    <mergeCell ref="F1511:F1513"/>
    <mergeCell ref="G1511:G1513"/>
    <mergeCell ref="H1511:H1513"/>
    <mergeCell ref="I1511:I1513"/>
    <mergeCell ref="J1511:J1513"/>
    <mergeCell ref="K1511:K1513"/>
    <mergeCell ref="L1511:L1513"/>
    <mergeCell ref="M1511:M1513"/>
    <mergeCell ref="N1511:N1513"/>
    <mergeCell ref="O1511:O1513"/>
    <mergeCell ref="T1511:T1513"/>
    <mergeCell ref="U1511:U1513"/>
    <mergeCell ref="A1514:A1515"/>
    <mergeCell ref="B1514:B1515"/>
    <mergeCell ref="C1514:C1515"/>
    <mergeCell ref="F1514:F1515"/>
    <mergeCell ref="G1514:G1515"/>
    <mergeCell ref="H1514:H1515"/>
    <mergeCell ref="I1514:I1515"/>
    <mergeCell ref="J1514:J1515"/>
    <mergeCell ref="K1514:K1515"/>
    <mergeCell ref="L1514:L1515"/>
    <mergeCell ref="M1514:M1515"/>
    <mergeCell ref="N1514:N1515"/>
    <mergeCell ref="O1514:O1515"/>
    <mergeCell ref="T1514:T1515"/>
    <mergeCell ref="U1514:U1515"/>
    <mergeCell ref="A1516:A1518"/>
    <mergeCell ref="B1516:B1518"/>
    <mergeCell ref="C1516:C1518"/>
    <mergeCell ref="F1516:F1518"/>
    <mergeCell ref="G1516:G1518"/>
    <mergeCell ref="H1516:H1518"/>
    <mergeCell ref="I1516:I1518"/>
    <mergeCell ref="J1516:J1518"/>
    <mergeCell ref="K1516:K1518"/>
    <mergeCell ref="L1516:L1518"/>
    <mergeCell ref="M1516:M1518"/>
    <mergeCell ref="N1516:N1518"/>
    <mergeCell ref="O1516:O1518"/>
    <mergeCell ref="T1516:T1518"/>
    <mergeCell ref="U1516:U1518"/>
    <mergeCell ref="A1519:A1522"/>
    <mergeCell ref="B1519:B1522"/>
    <mergeCell ref="C1519:C1522"/>
    <mergeCell ref="F1519:F1522"/>
    <mergeCell ref="G1519:G1522"/>
    <mergeCell ref="H1519:H1522"/>
    <mergeCell ref="I1519:I1522"/>
    <mergeCell ref="J1519:J1522"/>
    <mergeCell ref="K1519:K1522"/>
    <mergeCell ref="L1519:L1522"/>
    <mergeCell ref="M1519:M1522"/>
    <mergeCell ref="N1519:N1522"/>
    <mergeCell ref="O1519:O1522"/>
    <mergeCell ref="T1519:T1522"/>
    <mergeCell ref="U1519:U1522"/>
    <mergeCell ref="A1523:A1524"/>
    <mergeCell ref="B1523:B1524"/>
    <mergeCell ref="C1523:C1524"/>
    <mergeCell ref="F1523:F1524"/>
    <mergeCell ref="G1523:G1524"/>
    <mergeCell ref="H1523:H1524"/>
    <mergeCell ref="I1523:I1524"/>
    <mergeCell ref="J1523:J1524"/>
    <mergeCell ref="K1523:K1524"/>
    <mergeCell ref="L1523:L1524"/>
    <mergeCell ref="M1523:M1524"/>
    <mergeCell ref="N1523:N1524"/>
    <mergeCell ref="O1523:O1524"/>
    <mergeCell ref="T1523:T1524"/>
    <mergeCell ref="U1523:U1524"/>
    <mergeCell ref="A1528:A1531"/>
    <mergeCell ref="A1533:A1535"/>
    <mergeCell ref="A1538:A1540"/>
    <mergeCell ref="A1541:A1543"/>
    <mergeCell ref="A1544:A1546"/>
    <mergeCell ref="A1552:A1556"/>
    <mergeCell ref="B1552:B1556"/>
    <mergeCell ref="C1552:C1556"/>
    <mergeCell ref="F1552:F1556"/>
    <mergeCell ref="G1552:G1556"/>
    <mergeCell ref="H1552:H1556"/>
    <mergeCell ref="I1552:I1556"/>
    <mergeCell ref="J1552:J1556"/>
    <mergeCell ref="K1552:K1556"/>
    <mergeCell ref="L1552:L1556"/>
    <mergeCell ref="M1552:M1556"/>
    <mergeCell ref="N1552:N1556"/>
    <mergeCell ref="O1552:O1556"/>
    <mergeCell ref="T1552:T1556"/>
    <mergeCell ref="U1552:U1556"/>
    <mergeCell ref="A1563:A1564"/>
    <mergeCell ref="B1563:B1564"/>
    <mergeCell ref="C1563:C1564"/>
    <mergeCell ref="F1563:F1564"/>
    <mergeCell ref="G1563:G1564"/>
    <mergeCell ref="H1563:H1564"/>
    <mergeCell ref="I1563:I1564"/>
    <mergeCell ref="J1563:J1564"/>
    <mergeCell ref="K1563:K1564"/>
    <mergeCell ref="L1563:L1564"/>
    <mergeCell ref="M1563:M1564"/>
    <mergeCell ref="N1563:N1564"/>
    <mergeCell ref="O1563:O1564"/>
    <mergeCell ref="T1563:T1564"/>
    <mergeCell ref="U1563:U1564"/>
    <mergeCell ref="A1565:A1572"/>
    <mergeCell ref="B1565:B1572"/>
    <mergeCell ref="C1565:C1572"/>
    <mergeCell ref="F1565:F1572"/>
    <mergeCell ref="G1565:G1572"/>
    <mergeCell ref="H1565:H1572"/>
    <mergeCell ref="I1565:I1572"/>
    <mergeCell ref="J1565:J1572"/>
    <mergeCell ref="K1565:K1572"/>
    <mergeCell ref="L1565:L1572"/>
    <mergeCell ref="M1565:M1572"/>
    <mergeCell ref="N1565:N1572"/>
    <mergeCell ref="O1565:O1572"/>
    <mergeCell ref="T1565:T1572"/>
    <mergeCell ref="U1565:U1572"/>
    <mergeCell ref="A1575:A1576"/>
    <mergeCell ref="B1575:B1576"/>
    <mergeCell ref="C1575:C1576"/>
    <mergeCell ref="F1575:F1576"/>
    <mergeCell ref="G1575:G1576"/>
    <mergeCell ref="H1575:H1576"/>
    <mergeCell ref="I1575:I1576"/>
    <mergeCell ref="J1575:J1576"/>
    <mergeCell ref="K1575:K1576"/>
    <mergeCell ref="L1575:L1576"/>
    <mergeCell ref="M1575:M1576"/>
    <mergeCell ref="N1575:N1576"/>
    <mergeCell ref="O1575:O1576"/>
    <mergeCell ref="T1575:T1576"/>
    <mergeCell ref="U1575:U1576"/>
    <mergeCell ref="A1578:A1579"/>
    <mergeCell ref="A1586:A1591"/>
    <mergeCell ref="B1586:B1588"/>
    <mergeCell ref="C1586:C1588"/>
    <mergeCell ref="F1586:F1588"/>
    <mergeCell ref="G1586:G1588"/>
    <mergeCell ref="H1586:H1588"/>
    <mergeCell ref="I1586:I1588"/>
    <mergeCell ref="J1586:J1588"/>
    <mergeCell ref="K1586:K1588"/>
    <mergeCell ref="L1586:L1588"/>
    <mergeCell ref="M1586:M1588"/>
    <mergeCell ref="N1586:N1588"/>
    <mergeCell ref="O1586:O1588"/>
    <mergeCell ref="T1586:T1588"/>
    <mergeCell ref="U1586:U1588"/>
    <mergeCell ref="A1592:A1595"/>
    <mergeCell ref="B1592:B1595"/>
    <mergeCell ref="C1592:C1595"/>
    <mergeCell ref="F1592:F1595"/>
    <mergeCell ref="G1592:G1595"/>
    <mergeCell ref="H1592:H1595"/>
    <mergeCell ref="I1592:I1595"/>
    <mergeCell ref="J1592:J1595"/>
    <mergeCell ref="K1592:K1595"/>
    <mergeCell ref="L1592:L1595"/>
    <mergeCell ref="M1592:M1595"/>
    <mergeCell ref="N1592:N1595"/>
    <mergeCell ref="O1592:O1595"/>
    <mergeCell ref="T1592:T1595"/>
    <mergeCell ref="U1592:U1595"/>
    <mergeCell ref="A1601:A1607"/>
    <mergeCell ref="B1601:B1603"/>
    <mergeCell ref="C1601:C1603"/>
    <mergeCell ref="F1601:F1603"/>
    <mergeCell ref="G1601:G1603"/>
    <mergeCell ref="H1601:H1603"/>
    <mergeCell ref="I1601:I1603"/>
    <mergeCell ref="J1601:J1603"/>
    <mergeCell ref="K1601:K1603"/>
    <mergeCell ref="L1601:L1603"/>
    <mergeCell ref="M1601:M1603"/>
    <mergeCell ref="N1601:N1603"/>
    <mergeCell ref="O1601:O1603"/>
    <mergeCell ref="T1601:T1603"/>
    <mergeCell ref="U1601:U1603"/>
    <mergeCell ref="B1607:B1608"/>
    <mergeCell ref="C1607:C1608"/>
    <mergeCell ref="F1607:F1608"/>
    <mergeCell ref="G1607:G1608"/>
    <mergeCell ref="H1607:H1608"/>
    <mergeCell ref="I1607:I1608"/>
    <mergeCell ref="J1607:J1608"/>
    <mergeCell ref="K1607:K1608"/>
    <mergeCell ref="L1607:L1608"/>
    <mergeCell ref="M1607:M1608"/>
    <mergeCell ref="N1607:N1608"/>
    <mergeCell ref="O1607:O1608"/>
    <mergeCell ref="T1607:T1608"/>
    <mergeCell ref="U1607:U1608"/>
    <mergeCell ref="A1609:A1614"/>
    <mergeCell ref="B1613:B1614"/>
    <mergeCell ref="C1613:C1614"/>
    <mergeCell ref="F1613:F1614"/>
    <mergeCell ref="G1613:G1614"/>
    <mergeCell ref="H1613:H1614"/>
    <mergeCell ref="I1613:I1614"/>
    <mergeCell ref="J1613:J1614"/>
    <mergeCell ref="K1613:K1614"/>
    <mergeCell ref="L1613:L1614"/>
    <mergeCell ref="M1613:M1614"/>
    <mergeCell ref="N1613:N1614"/>
    <mergeCell ref="O1613:O1614"/>
    <mergeCell ref="T1613:T1614"/>
    <mergeCell ref="U1613:U1614"/>
    <mergeCell ref="A1617:A1623"/>
    <mergeCell ref="B1617:B1620"/>
    <mergeCell ref="C1617:C1620"/>
    <mergeCell ref="F1617:F1620"/>
    <mergeCell ref="G1617:G1620"/>
    <mergeCell ref="H1617:H1620"/>
    <mergeCell ref="I1617:I1620"/>
    <mergeCell ref="J1617:J1620"/>
    <mergeCell ref="K1617:K1620"/>
    <mergeCell ref="L1617:L1620"/>
    <mergeCell ref="M1617:M1620"/>
    <mergeCell ref="N1617:N1620"/>
    <mergeCell ref="O1617:O1620"/>
    <mergeCell ref="T1617:T1620"/>
    <mergeCell ref="U1617:U1620"/>
    <mergeCell ref="A1627:A1630"/>
    <mergeCell ref="B1627:B1630"/>
    <mergeCell ref="C1627:C1630"/>
    <mergeCell ref="F1627:F1630"/>
    <mergeCell ref="G1627:G1630"/>
    <mergeCell ref="H1627:H1630"/>
    <mergeCell ref="I1627:I1630"/>
    <mergeCell ref="J1627:J1630"/>
    <mergeCell ref="K1627:K1630"/>
    <mergeCell ref="L1627:L1630"/>
    <mergeCell ref="M1627:M1630"/>
    <mergeCell ref="N1627:N1630"/>
    <mergeCell ref="O1627:O1630"/>
    <mergeCell ref="T1627:T1630"/>
    <mergeCell ref="U1627:U1630"/>
    <mergeCell ref="A1631:A1633"/>
    <mergeCell ref="B1631:B1633"/>
    <mergeCell ref="C1631:C1633"/>
    <mergeCell ref="F1631:F1633"/>
    <mergeCell ref="G1631:G1633"/>
    <mergeCell ref="H1631:H1633"/>
    <mergeCell ref="I1631:I1633"/>
    <mergeCell ref="J1631:J1633"/>
    <mergeCell ref="K1631:K1633"/>
    <mergeCell ref="L1631:L1633"/>
    <mergeCell ref="M1631:M1633"/>
    <mergeCell ref="N1631:N1633"/>
    <mergeCell ref="O1631:O1633"/>
    <mergeCell ref="T1631:T1633"/>
    <mergeCell ref="U1631:U1633"/>
    <mergeCell ref="A1634:A1638"/>
    <mergeCell ref="B1634:B1635"/>
    <mergeCell ref="C1634:C1635"/>
    <mergeCell ref="F1634:F1635"/>
    <mergeCell ref="G1634:G1635"/>
    <mergeCell ref="H1634:H1635"/>
    <mergeCell ref="I1634:I1635"/>
    <mergeCell ref="J1634:J1635"/>
    <mergeCell ref="K1634:K1635"/>
    <mergeCell ref="L1634:L1635"/>
    <mergeCell ref="M1634:M1635"/>
    <mergeCell ref="N1634:N1635"/>
    <mergeCell ref="O1634:O1635"/>
    <mergeCell ref="T1634:T1635"/>
    <mergeCell ref="U1634:U1635"/>
    <mergeCell ref="A1640:A1650"/>
    <mergeCell ref="B1640:B1647"/>
    <mergeCell ref="C1640:C1647"/>
    <mergeCell ref="F1640:F1647"/>
    <mergeCell ref="G1640:G1647"/>
    <mergeCell ref="H1640:H1647"/>
    <mergeCell ref="I1640:I1647"/>
    <mergeCell ref="J1640:J1647"/>
    <mergeCell ref="K1640:K1647"/>
    <mergeCell ref="L1640:L1647"/>
    <mergeCell ref="M1640:M1647"/>
    <mergeCell ref="N1640:N1647"/>
    <mergeCell ref="O1640:O1647"/>
    <mergeCell ref="T1640:T1647"/>
    <mergeCell ref="U1640:U1647"/>
    <mergeCell ref="A1651:A1653"/>
    <mergeCell ref="B1651:B1653"/>
    <mergeCell ref="C1651:C1653"/>
    <mergeCell ref="F1651:F1653"/>
    <mergeCell ref="G1651:G1653"/>
    <mergeCell ref="H1651:H1653"/>
    <mergeCell ref="I1651:I1653"/>
    <mergeCell ref="J1651:J1653"/>
    <mergeCell ref="K1651:K1653"/>
    <mergeCell ref="L1651:L1653"/>
    <mergeCell ref="M1651:M1653"/>
    <mergeCell ref="N1651:N1653"/>
    <mergeCell ref="O1651:O1653"/>
    <mergeCell ref="T1651:T1653"/>
    <mergeCell ref="U1651:U1653"/>
    <mergeCell ref="A1656:A1661"/>
    <mergeCell ref="B1656:B1658"/>
    <mergeCell ref="C1656:C1658"/>
    <mergeCell ref="F1656:F1658"/>
    <mergeCell ref="G1656:G1658"/>
    <mergeCell ref="H1656:H1658"/>
    <mergeCell ref="I1656:I1658"/>
    <mergeCell ref="J1656:J1658"/>
    <mergeCell ref="K1656:K1658"/>
    <mergeCell ref="L1656:L1658"/>
    <mergeCell ref="M1656:M1658"/>
    <mergeCell ref="N1656:N1658"/>
    <mergeCell ref="O1656:O1658"/>
    <mergeCell ref="T1656:T1658"/>
    <mergeCell ref="U1656:U1658"/>
    <mergeCell ref="A1662:A1664"/>
    <mergeCell ref="B1662:B1664"/>
    <mergeCell ref="C1662:C1664"/>
    <mergeCell ref="F1662:F1664"/>
    <mergeCell ref="G1662:G1664"/>
    <mergeCell ref="H1662:H1664"/>
    <mergeCell ref="I1662:I1664"/>
    <mergeCell ref="J1662:J1664"/>
    <mergeCell ref="K1662:K1664"/>
    <mergeCell ref="L1662:L1664"/>
    <mergeCell ref="M1662:M1664"/>
    <mergeCell ref="N1662:N1664"/>
    <mergeCell ref="O1662:O1664"/>
    <mergeCell ref="T1662:T1664"/>
    <mergeCell ref="U1662:U1664"/>
    <mergeCell ref="A1665:A1666"/>
    <mergeCell ref="B1665:B1666"/>
    <mergeCell ref="C1665:C1666"/>
    <mergeCell ref="F1665:F1666"/>
    <mergeCell ref="G1665:G1666"/>
    <mergeCell ref="H1665:H1666"/>
    <mergeCell ref="I1665:I1666"/>
    <mergeCell ref="J1665:J1666"/>
    <mergeCell ref="K1665:K1666"/>
    <mergeCell ref="L1665:L1666"/>
    <mergeCell ref="M1665:M1666"/>
    <mergeCell ref="N1665:N1666"/>
    <mergeCell ref="O1665:O1666"/>
    <mergeCell ref="T1665:T1666"/>
    <mergeCell ref="U1665:U1666"/>
    <mergeCell ref="A1667:A1668"/>
    <mergeCell ref="B1667:B1668"/>
    <mergeCell ref="C1667:C1668"/>
    <mergeCell ref="F1667:F1668"/>
    <mergeCell ref="G1667:G1668"/>
    <mergeCell ref="H1667:H1668"/>
    <mergeCell ref="I1667:I1668"/>
    <mergeCell ref="J1667:J1668"/>
    <mergeCell ref="K1667:K1668"/>
    <mergeCell ref="L1667:L1668"/>
    <mergeCell ref="M1667:M1668"/>
    <mergeCell ref="N1667:N1668"/>
    <mergeCell ref="O1667:O1668"/>
    <mergeCell ref="T1667:T1668"/>
    <mergeCell ref="U1667:U1668"/>
    <mergeCell ref="A1669:A1674"/>
    <mergeCell ref="B1669:B1671"/>
    <mergeCell ref="C1669:C1671"/>
    <mergeCell ref="F1669:F1671"/>
    <mergeCell ref="G1669:G1671"/>
    <mergeCell ref="H1669:H1671"/>
    <mergeCell ref="I1669:I1671"/>
    <mergeCell ref="J1669:J1671"/>
    <mergeCell ref="K1669:K1671"/>
    <mergeCell ref="L1669:L1671"/>
    <mergeCell ref="M1669:M1671"/>
    <mergeCell ref="N1669:N1671"/>
    <mergeCell ref="O1669:O1671"/>
    <mergeCell ref="T1669:T1671"/>
    <mergeCell ref="U1669:U1671"/>
    <mergeCell ref="A1676:A1684"/>
    <mergeCell ref="B1676:B1680"/>
    <mergeCell ref="C1676:C1680"/>
    <mergeCell ref="F1676:F1680"/>
    <mergeCell ref="G1676:G1680"/>
    <mergeCell ref="H1676:H1680"/>
    <mergeCell ref="I1676:I1680"/>
    <mergeCell ref="J1676:J1680"/>
    <mergeCell ref="K1676:K1680"/>
    <mergeCell ref="L1676:L1680"/>
    <mergeCell ref="M1676:M1680"/>
    <mergeCell ref="N1676:N1680"/>
    <mergeCell ref="O1676:O1680"/>
    <mergeCell ref="T1676:T1680"/>
    <mergeCell ref="U1676:U1680"/>
    <mergeCell ref="A1685:A1686"/>
    <mergeCell ref="B1685:B1686"/>
    <mergeCell ref="C1685:C1686"/>
    <mergeCell ref="F1685:F1686"/>
    <mergeCell ref="H1685:H1686"/>
    <mergeCell ref="I1685:I1686"/>
    <mergeCell ref="J1685:J1686"/>
    <mergeCell ref="K1685:K1686"/>
    <mergeCell ref="L1685:L1686"/>
    <mergeCell ref="M1685:M1686"/>
    <mergeCell ref="N1685:N1686"/>
    <mergeCell ref="O1685:O1686"/>
    <mergeCell ref="T1685:T1686"/>
    <mergeCell ref="U1685:U1686"/>
    <mergeCell ref="A1687:A1688"/>
    <mergeCell ref="B1687:B1688"/>
    <mergeCell ref="C1687:C1688"/>
    <mergeCell ref="F1687:F1688"/>
    <mergeCell ref="G1687:G1688"/>
    <mergeCell ref="H1687:H1688"/>
    <mergeCell ref="I1687:I1688"/>
    <mergeCell ref="J1687:J1688"/>
    <mergeCell ref="K1687:K1688"/>
    <mergeCell ref="L1687:L1688"/>
    <mergeCell ref="M1687:M1688"/>
    <mergeCell ref="N1687:N1688"/>
    <mergeCell ref="O1687:O1688"/>
    <mergeCell ref="T1687:T1688"/>
    <mergeCell ref="U1687:U1688"/>
    <mergeCell ref="A1691:A1697"/>
    <mergeCell ref="B1691:B1693"/>
    <mergeCell ref="C1691:C1693"/>
    <mergeCell ref="F1691:F1693"/>
    <mergeCell ref="G1691:G1693"/>
    <mergeCell ref="H1691:H1693"/>
    <mergeCell ref="I1691:I1693"/>
    <mergeCell ref="J1691:J1693"/>
    <mergeCell ref="K1691:K1693"/>
    <mergeCell ref="L1691:L1693"/>
    <mergeCell ref="M1691:M1693"/>
    <mergeCell ref="N1691:N1693"/>
    <mergeCell ref="O1691:O1693"/>
    <mergeCell ref="T1691:T1693"/>
    <mergeCell ref="U1691:U1693"/>
    <mergeCell ref="A1700:A1706"/>
    <mergeCell ref="B1700:B1702"/>
    <mergeCell ref="C1700:C1702"/>
    <mergeCell ref="F1700:F1702"/>
    <mergeCell ref="G1700:G1702"/>
    <mergeCell ref="H1700:H1702"/>
    <mergeCell ref="I1700:I1702"/>
    <mergeCell ref="J1700:J1702"/>
    <mergeCell ref="K1700:K1702"/>
    <mergeCell ref="L1700:L1702"/>
    <mergeCell ref="M1700:M1702"/>
    <mergeCell ref="N1700:N1702"/>
    <mergeCell ref="O1700:O1702"/>
    <mergeCell ref="T1700:T1702"/>
    <mergeCell ref="U1700:U1702"/>
    <mergeCell ref="A1709:A1711"/>
    <mergeCell ref="B1709:B1711"/>
    <mergeCell ref="C1709:C1711"/>
    <mergeCell ref="F1709:F1711"/>
    <mergeCell ref="G1709:G1711"/>
    <mergeCell ref="H1709:H1711"/>
    <mergeCell ref="I1709:I1711"/>
    <mergeCell ref="K1709:K1711"/>
    <mergeCell ref="L1709:L1711"/>
    <mergeCell ref="M1709:M1711"/>
    <mergeCell ref="N1709:N1711"/>
    <mergeCell ref="O1709:O1711"/>
    <mergeCell ref="T1709:T1711"/>
    <mergeCell ref="U1709:U1711"/>
    <mergeCell ref="A1719:A1723"/>
    <mergeCell ref="A1724:A1727"/>
    <mergeCell ref="B1724:B1725"/>
    <mergeCell ref="C1724:C1725"/>
    <mergeCell ref="F1724:F1725"/>
    <mergeCell ref="G1724:G1725"/>
    <mergeCell ref="H1724:H1725"/>
    <mergeCell ref="I1724:I1725"/>
    <mergeCell ref="J1724:J1725"/>
    <mergeCell ref="K1724:K1725"/>
    <mergeCell ref="L1724:L1725"/>
    <mergeCell ref="M1724:M1725"/>
    <mergeCell ref="N1724:N1725"/>
    <mergeCell ref="O1724:O1725"/>
    <mergeCell ref="T1724:T1725"/>
    <mergeCell ref="U1724:U1725"/>
    <mergeCell ref="A1728:A1732"/>
    <mergeCell ref="B1728:B1730"/>
    <mergeCell ref="C1728:C1730"/>
    <mergeCell ref="F1728:F1730"/>
    <mergeCell ref="G1728:G1730"/>
    <mergeCell ref="H1728:H1730"/>
    <mergeCell ref="I1728:I1730"/>
    <mergeCell ref="J1728:J1730"/>
    <mergeCell ref="K1728:K1730"/>
    <mergeCell ref="L1728:L1730"/>
    <mergeCell ref="M1728:M1730"/>
    <mergeCell ref="N1728:N1730"/>
    <mergeCell ref="O1728:O1730"/>
    <mergeCell ref="T1728:T1730"/>
    <mergeCell ref="U1728:U1730"/>
    <mergeCell ref="A1733:A1739"/>
    <mergeCell ref="B1733:B1735"/>
    <mergeCell ref="C1733:C1735"/>
    <mergeCell ref="F1733:F1735"/>
    <mergeCell ref="G1733:G1735"/>
    <mergeCell ref="H1733:H1735"/>
    <mergeCell ref="I1733:I1735"/>
    <mergeCell ref="K1733:K1735"/>
    <mergeCell ref="L1733:L1735"/>
    <mergeCell ref="M1733:M1735"/>
    <mergeCell ref="N1733:N1735"/>
    <mergeCell ref="O1733:O1735"/>
    <mergeCell ref="T1733:T1735"/>
    <mergeCell ref="U1733:U1735"/>
    <mergeCell ref="A1740:A1741"/>
    <mergeCell ref="B1740:B1741"/>
    <mergeCell ref="C1740:C1741"/>
    <mergeCell ref="F1740:F1741"/>
    <mergeCell ref="G1740:G1741"/>
    <mergeCell ref="H1740:H1741"/>
    <mergeCell ref="I1740:I1741"/>
    <mergeCell ref="J1740:J1741"/>
    <mergeCell ref="K1740:K1741"/>
    <mergeCell ref="L1740:L1741"/>
    <mergeCell ref="M1740:M1741"/>
    <mergeCell ref="N1740:N1741"/>
    <mergeCell ref="O1740:O1741"/>
    <mergeCell ref="T1740:T1741"/>
    <mergeCell ref="U1740:U1741"/>
    <mergeCell ref="A1745:A1750"/>
    <mergeCell ref="B1745:B1750"/>
    <mergeCell ref="C1745:C1750"/>
    <mergeCell ref="F1745:F1750"/>
    <mergeCell ref="G1745:G1750"/>
    <mergeCell ref="H1745:H1750"/>
    <mergeCell ref="I1745:I1750"/>
    <mergeCell ref="J1745:J1750"/>
    <mergeCell ref="K1745:K1750"/>
    <mergeCell ref="L1745:L1750"/>
    <mergeCell ref="M1745:M1750"/>
    <mergeCell ref="N1745:N1750"/>
    <mergeCell ref="O1745:O1750"/>
    <mergeCell ref="T1745:T1750"/>
    <mergeCell ref="U1745:U1750"/>
    <mergeCell ref="A1751:A1754"/>
    <mergeCell ref="A1755:A1756"/>
    <mergeCell ref="B1755:B1756"/>
    <mergeCell ref="C1755:C1756"/>
    <mergeCell ref="F1755:F1756"/>
    <mergeCell ref="G1755:G1756"/>
    <mergeCell ref="H1755:H1756"/>
    <mergeCell ref="I1755:I1756"/>
    <mergeCell ref="J1755:J1756"/>
    <mergeCell ref="K1755:K1756"/>
    <mergeCell ref="L1755:L1756"/>
    <mergeCell ref="M1755:M1756"/>
    <mergeCell ref="N1755:N1756"/>
    <mergeCell ref="O1755:O1756"/>
    <mergeCell ref="T1755:T1756"/>
    <mergeCell ref="U1755:U1756"/>
    <mergeCell ref="A1757:A1758"/>
    <mergeCell ref="B1757:B1758"/>
    <mergeCell ref="C1757:C1758"/>
    <mergeCell ref="F1757:F1758"/>
    <mergeCell ref="G1757:G1758"/>
    <mergeCell ref="H1757:H1758"/>
    <mergeCell ref="I1757:I1758"/>
    <mergeCell ref="J1757:J1758"/>
    <mergeCell ref="K1757:K1758"/>
    <mergeCell ref="L1757:L1758"/>
    <mergeCell ref="M1757:M1758"/>
    <mergeCell ref="N1757:N1758"/>
    <mergeCell ref="O1757:O1758"/>
    <mergeCell ref="T1757:T1758"/>
    <mergeCell ref="U1757:U1758"/>
    <mergeCell ref="A1759:A1760"/>
    <mergeCell ref="B1759:B1760"/>
    <mergeCell ref="C1759:C1760"/>
    <mergeCell ref="F1759:F1760"/>
    <mergeCell ref="G1759:G1760"/>
    <mergeCell ref="H1759:H1760"/>
    <mergeCell ref="I1759:I1760"/>
    <mergeCell ref="J1759:J1760"/>
    <mergeCell ref="K1759:K1760"/>
    <mergeCell ref="L1759:L1760"/>
    <mergeCell ref="M1759:M1760"/>
    <mergeCell ref="N1759:N1760"/>
    <mergeCell ref="O1759:O1760"/>
    <mergeCell ref="T1759:T1760"/>
    <mergeCell ref="U1759:U1760"/>
    <mergeCell ref="A1761:A1762"/>
    <mergeCell ref="B1761:B1762"/>
    <mergeCell ref="C1761:C1762"/>
    <mergeCell ref="F1761:F1762"/>
    <mergeCell ref="G1761:G1762"/>
    <mergeCell ref="H1761:H1762"/>
    <mergeCell ref="I1761:I1762"/>
    <mergeCell ref="J1761:J1762"/>
    <mergeCell ref="K1761:K1762"/>
    <mergeCell ref="L1761:L1762"/>
    <mergeCell ref="M1761:M1762"/>
    <mergeCell ref="N1761:N1762"/>
    <mergeCell ref="O1761:O1762"/>
    <mergeCell ref="T1761:T1762"/>
    <mergeCell ref="U1761:U1762"/>
    <mergeCell ref="A1763:A1769"/>
    <mergeCell ref="B1763:B1766"/>
    <mergeCell ref="C1763:C1766"/>
    <mergeCell ref="F1763:F1766"/>
    <mergeCell ref="G1763:G1766"/>
    <mergeCell ref="H1763:H1766"/>
    <mergeCell ref="I1763:I1766"/>
    <mergeCell ref="J1763:J1766"/>
    <mergeCell ref="K1763:K1766"/>
    <mergeCell ref="L1763:L1766"/>
    <mergeCell ref="M1763:M1766"/>
    <mergeCell ref="N1763:N1766"/>
    <mergeCell ref="O1763:O1766"/>
    <mergeCell ref="T1763:T1766"/>
    <mergeCell ref="U1763:U1766"/>
    <mergeCell ref="A1770:A1775"/>
    <mergeCell ref="B1770:B1771"/>
    <mergeCell ref="C1770:C1771"/>
    <mergeCell ref="F1770:F1771"/>
    <mergeCell ref="G1770:G1771"/>
    <mergeCell ref="H1770:H1771"/>
    <mergeCell ref="I1770:I1771"/>
    <mergeCell ref="J1770:J1771"/>
    <mergeCell ref="K1770:K1771"/>
    <mergeCell ref="L1770:L1771"/>
    <mergeCell ref="M1770:M1771"/>
    <mergeCell ref="N1770:N1771"/>
    <mergeCell ref="O1770:O1771"/>
    <mergeCell ref="T1770:T1771"/>
    <mergeCell ref="U1770:U1771"/>
    <mergeCell ref="A1776:A1779"/>
    <mergeCell ref="A1780:A1783"/>
    <mergeCell ref="A1784:A1787"/>
    <mergeCell ref="A1788:A1792"/>
    <mergeCell ref="B1788:B1792"/>
    <mergeCell ref="C1788:C1792"/>
    <mergeCell ref="F1788:F1792"/>
    <mergeCell ref="G1788:G1792"/>
    <mergeCell ref="H1788:H1792"/>
    <mergeCell ref="I1788:I1792"/>
    <mergeCell ref="J1788:J1792"/>
    <mergeCell ref="K1788:K1792"/>
    <mergeCell ref="L1788:L1792"/>
    <mergeCell ref="M1788:M1792"/>
    <mergeCell ref="N1788:N1792"/>
    <mergeCell ref="O1788:O1792"/>
    <mergeCell ref="T1788:T1792"/>
    <mergeCell ref="U1788:U1792"/>
    <mergeCell ref="A1793:A1795"/>
    <mergeCell ref="B1793:B1795"/>
    <mergeCell ref="C1793:C1795"/>
    <mergeCell ref="F1793:F1795"/>
    <mergeCell ref="G1793:G1795"/>
    <mergeCell ref="H1793:H1795"/>
    <mergeCell ref="I1793:I1795"/>
    <mergeCell ref="J1793:J1795"/>
    <mergeCell ref="K1793:K1795"/>
    <mergeCell ref="L1793:L1795"/>
    <mergeCell ref="M1793:M1795"/>
    <mergeCell ref="N1793:N1795"/>
    <mergeCell ref="O1793:O1795"/>
    <mergeCell ref="T1793:T1795"/>
    <mergeCell ref="U1793:U1795"/>
    <mergeCell ref="A1796:A1800"/>
    <mergeCell ref="B1796:B1800"/>
    <mergeCell ref="C1796:C1800"/>
    <mergeCell ref="F1796:F1800"/>
    <mergeCell ref="G1796:G1800"/>
    <mergeCell ref="H1796:H1800"/>
    <mergeCell ref="I1796:I1800"/>
    <mergeCell ref="K1796:K1800"/>
    <mergeCell ref="L1796:L1800"/>
    <mergeCell ref="M1796:M1800"/>
    <mergeCell ref="N1796:N1800"/>
    <mergeCell ref="O1796:O1800"/>
    <mergeCell ref="T1796:T1800"/>
    <mergeCell ref="U1796:U1800"/>
    <mergeCell ref="A1803:A1807"/>
    <mergeCell ref="B1803:B1804"/>
    <mergeCell ref="C1803:C1804"/>
    <mergeCell ref="F1803:F1804"/>
    <mergeCell ref="G1803:G1804"/>
    <mergeCell ref="H1803:H1804"/>
    <mergeCell ref="I1803:I1804"/>
    <mergeCell ref="J1803:J1804"/>
    <mergeCell ref="K1803:K1804"/>
    <mergeCell ref="L1803:L1804"/>
    <mergeCell ref="M1803:M1804"/>
    <mergeCell ref="N1803:N1804"/>
    <mergeCell ref="O1803:O1804"/>
    <mergeCell ref="T1803:T1804"/>
    <mergeCell ref="U1803:U1804"/>
    <mergeCell ref="A1808:A1811"/>
    <mergeCell ref="A1812:A1816"/>
    <mergeCell ref="B1812:B1813"/>
    <mergeCell ref="C1812:C1813"/>
    <mergeCell ref="F1812:F1813"/>
    <mergeCell ref="G1812:G1813"/>
    <mergeCell ref="H1812:H1813"/>
    <mergeCell ref="I1812:I1813"/>
    <mergeCell ref="J1812:J1813"/>
    <mergeCell ref="K1812:K1813"/>
    <mergeCell ref="L1812:L1813"/>
    <mergeCell ref="M1812:M1813"/>
    <mergeCell ref="N1812:N1813"/>
    <mergeCell ref="O1812:O1813"/>
    <mergeCell ref="T1812:T1813"/>
    <mergeCell ref="U1812:U1813"/>
    <mergeCell ref="A1817:A1821"/>
    <mergeCell ref="B1817:B1818"/>
    <mergeCell ref="C1817:C1818"/>
    <mergeCell ref="F1817:F1818"/>
    <mergeCell ref="G1817:G1818"/>
    <mergeCell ref="H1817:H1818"/>
    <mergeCell ref="I1817:I1818"/>
    <mergeCell ref="J1817:J1818"/>
    <mergeCell ref="K1817:K1818"/>
    <mergeCell ref="L1817:L1818"/>
    <mergeCell ref="M1817:M1818"/>
    <mergeCell ref="N1817:N1818"/>
    <mergeCell ref="O1817:O1818"/>
    <mergeCell ref="T1817:T1818"/>
    <mergeCell ref="U1817:U1818"/>
    <mergeCell ref="A1824:A1828"/>
    <mergeCell ref="B1824:B1828"/>
    <mergeCell ref="C1824:C1828"/>
    <mergeCell ref="F1824:F1828"/>
    <mergeCell ref="G1824:G1828"/>
    <mergeCell ref="H1824:H1828"/>
    <mergeCell ref="I1824:I1828"/>
    <mergeCell ref="J1824:J1828"/>
    <mergeCell ref="K1824:K1828"/>
    <mergeCell ref="L1824:L1828"/>
    <mergeCell ref="M1824:M1828"/>
    <mergeCell ref="N1824:N1828"/>
    <mergeCell ref="O1824:O1828"/>
    <mergeCell ref="T1824:T1828"/>
    <mergeCell ref="U1824:U1828"/>
    <mergeCell ref="A1830:A1836"/>
    <mergeCell ref="B1830:B1833"/>
    <mergeCell ref="C1830:C1833"/>
    <mergeCell ref="F1830:F1833"/>
    <mergeCell ref="G1830:G1833"/>
    <mergeCell ref="H1830:H1833"/>
    <mergeCell ref="I1830:I1833"/>
    <mergeCell ref="J1830:J1833"/>
    <mergeCell ref="K1830:K1833"/>
    <mergeCell ref="L1830:L1833"/>
    <mergeCell ref="M1830:M1833"/>
    <mergeCell ref="N1830:N1833"/>
    <mergeCell ref="O1830:O1833"/>
    <mergeCell ref="T1830:T1833"/>
    <mergeCell ref="U1830:U1833"/>
    <mergeCell ref="A1839:A1842"/>
    <mergeCell ref="B1839:B1842"/>
    <mergeCell ref="C1839:C1842"/>
    <mergeCell ref="F1839:F1842"/>
    <mergeCell ref="G1839:G1842"/>
    <mergeCell ref="H1839:H1842"/>
    <mergeCell ref="I1839:I1842"/>
    <mergeCell ref="J1839:J1842"/>
    <mergeCell ref="K1839:K1842"/>
    <mergeCell ref="L1839:L1842"/>
    <mergeCell ref="M1839:M1842"/>
    <mergeCell ref="N1839:N1842"/>
    <mergeCell ref="O1839:O1842"/>
    <mergeCell ref="T1839:T1842"/>
    <mergeCell ref="U1839:U1842"/>
    <mergeCell ref="A1845:A1846"/>
    <mergeCell ref="B1845:B1846"/>
    <mergeCell ref="C1845:C1846"/>
    <mergeCell ref="F1845:F1846"/>
    <mergeCell ref="G1845:G1846"/>
    <mergeCell ref="H1845:H1846"/>
    <mergeCell ref="I1845:I1846"/>
    <mergeCell ref="J1845:J1846"/>
    <mergeCell ref="K1845:K1846"/>
    <mergeCell ref="L1845:L1846"/>
    <mergeCell ref="M1845:M1846"/>
    <mergeCell ref="N1845:N1846"/>
    <mergeCell ref="O1845:O1846"/>
    <mergeCell ref="T1845:T1846"/>
    <mergeCell ref="U1845:U1846"/>
    <mergeCell ref="A1847:A1848"/>
    <mergeCell ref="B1847:B1848"/>
    <mergeCell ref="C1847:C1848"/>
    <mergeCell ref="F1847:F1848"/>
    <mergeCell ref="G1847:G1848"/>
    <mergeCell ref="H1847:H1848"/>
    <mergeCell ref="I1847:I1848"/>
    <mergeCell ref="J1847:J1848"/>
    <mergeCell ref="K1847:K1848"/>
    <mergeCell ref="L1847:L1848"/>
    <mergeCell ref="M1847:M1848"/>
    <mergeCell ref="N1847:N1848"/>
    <mergeCell ref="O1847:O1848"/>
    <mergeCell ref="T1847:T1848"/>
    <mergeCell ref="U1847:U1848"/>
    <mergeCell ref="A1849:A1850"/>
    <mergeCell ref="B1849:B1850"/>
    <mergeCell ref="C1849:C1850"/>
    <mergeCell ref="F1849:F1850"/>
    <mergeCell ref="G1849:G1850"/>
    <mergeCell ref="H1849:H1850"/>
    <mergeCell ref="I1849:I1850"/>
    <mergeCell ref="J1849:J1850"/>
    <mergeCell ref="K1849:K1850"/>
    <mergeCell ref="L1849:L1850"/>
    <mergeCell ref="M1849:M1850"/>
    <mergeCell ref="N1849:N1850"/>
    <mergeCell ref="O1849:O1850"/>
    <mergeCell ref="T1849:T1850"/>
    <mergeCell ref="U1849:U1850"/>
    <mergeCell ref="A1851:A1852"/>
    <mergeCell ref="B1851:B1852"/>
    <mergeCell ref="C1851:C1852"/>
    <mergeCell ref="F1851:F1852"/>
    <mergeCell ref="G1851:G1852"/>
    <mergeCell ref="H1851:H1852"/>
    <mergeCell ref="I1851:I1852"/>
    <mergeCell ref="J1851:J1852"/>
    <mergeCell ref="K1851:K1852"/>
    <mergeCell ref="L1851:L1852"/>
    <mergeCell ref="M1851:M1852"/>
    <mergeCell ref="N1851:N1852"/>
    <mergeCell ref="O1851:O1852"/>
    <mergeCell ref="T1851:T1852"/>
    <mergeCell ref="U1851:U1852"/>
    <mergeCell ref="A1855:A1859"/>
    <mergeCell ref="B1855:B1856"/>
    <mergeCell ref="C1855:C1856"/>
    <mergeCell ref="F1855:F1856"/>
    <mergeCell ref="G1855:G1856"/>
    <mergeCell ref="H1855:H1856"/>
    <mergeCell ref="I1855:I1856"/>
    <mergeCell ref="J1855:J1856"/>
    <mergeCell ref="K1855:K1856"/>
    <mergeCell ref="L1855:L1856"/>
    <mergeCell ref="M1855:M1856"/>
    <mergeCell ref="N1855:N1856"/>
    <mergeCell ref="O1855:O1856"/>
    <mergeCell ref="T1855:T1856"/>
    <mergeCell ref="U1855:U1856"/>
    <mergeCell ref="A1860:A1863"/>
    <mergeCell ref="B1860:B1863"/>
    <mergeCell ref="C1860:C1863"/>
    <mergeCell ref="F1860:F1863"/>
    <mergeCell ref="G1860:G1863"/>
    <mergeCell ref="H1860:H1863"/>
    <mergeCell ref="I1860:I1863"/>
    <mergeCell ref="J1860:J1863"/>
    <mergeCell ref="K1860:K1863"/>
    <mergeCell ref="L1860:L1863"/>
    <mergeCell ref="M1860:M1863"/>
    <mergeCell ref="N1860:N1863"/>
    <mergeCell ref="O1860:O1863"/>
    <mergeCell ref="T1860:T1863"/>
    <mergeCell ref="U1860:U1863"/>
    <mergeCell ref="A1866:A1870"/>
    <mergeCell ref="B1866:B1867"/>
    <mergeCell ref="C1866:C1867"/>
    <mergeCell ref="F1866:F1867"/>
    <mergeCell ref="G1866:G1867"/>
    <mergeCell ref="H1866:H1867"/>
    <mergeCell ref="I1866:I1867"/>
    <mergeCell ref="J1866:J1867"/>
    <mergeCell ref="K1866:K1867"/>
    <mergeCell ref="L1866:L1867"/>
    <mergeCell ref="M1866:M1867"/>
    <mergeCell ref="N1866:N1867"/>
    <mergeCell ref="O1866:O1867"/>
    <mergeCell ref="T1866:T1867"/>
    <mergeCell ref="U1866:U1867"/>
    <mergeCell ref="A1871:A1874"/>
    <mergeCell ref="A1876:A1877"/>
    <mergeCell ref="B1876:B1877"/>
    <mergeCell ref="C1876:C1877"/>
    <mergeCell ref="F1876:F1877"/>
    <mergeCell ref="G1876:G1877"/>
    <mergeCell ref="H1876:H1877"/>
    <mergeCell ref="I1876:I1877"/>
    <mergeCell ref="J1876:J1877"/>
    <mergeCell ref="K1876:K1877"/>
    <mergeCell ref="L1876:L1877"/>
    <mergeCell ref="M1876:M1877"/>
    <mergeCell ref="N1876:N1877"/>
    <mergeCell ref="O1876:O1877"/>
    <mergeCell ref="T1876:T1877"/>
    <mergeCell ref="U1876:U1877"/>
    <mergeCell ref="A1879:A1883"/>
    <mergeCell ref="A1884:A1886"/>
    <mergeCell ref="B1884:B1886"/>
    <mergeCell ref="C1884:C1886"/>
    <mergeCell ref="F1884:F1886"/>
    <mergeCell ref="G1884:G1886"/>
    <mergeCell ref="H1884:H1886"/>
    <mergeCell ref="I1884:I1886"/>
    <mergeCell ref="K1884:K1886"/>
    <mergeCell ref="L1884:L1886"/>
    <mergeCell ref="M1884:M1886"/>
    <mergeCell ref="N1884:N1886"/>
    <mergeCell ref="O1884:O1886"/>
    <mergeCell ref="T1884:T1886"/>
    <mergeCell ref="U1884:U1886"/>
    <mergeCell ref="A1887:A1888"/>
    <mergeCell ref="B1887:B1888"/>
    <mergeCell ref="C1887:C1888"/>
    <mergeCell ref="F1887:F1888"/>
    <mergeCell ref="G1887:G1888"/>
    <mergeCell ref="H1887:H1888"/>
    <mergeCell ref="I1887:I1888"/>
    <mergeCell ref="K1887:K1888"/>
    <mergeCell ref="L1887:L1888"/>
    <mergeCell ref="M1887:M1888"/>
    <mergeCell ref="N1887:N1888"/>
    <mergeCell ref="O1887:O1888"/>
    <mergeCell ref="T1887:T1888"/>
    <mergeCell ref="U1887:U1888"/>
    <mergeCell ref="A1889:A1891"/>
    <mergeCell ref="B1889:B1891"/>
    <mergeCell ref="C1889:C1891"/>
    <mergeCell ref="F1889:F1891"/>
    <mergeCell ref="G1889:G1891"/>
    <mergeCell ref="H1889:H1891"/>
    <mergeCell ref="I1889:I1891"/>
    <mergeCell ref="J1889:J1891"/>
    <mergeCell ref="K1889:K1891"/>
    <mergeCell ref="L1889:L1891"/>
    <mergeCell ref="M1889:M1891"/>
    <mergeCell ref="N1889:N1891"/>
    <mergeCell ref="O1889:O1891"/>
    <mergeCell ref="T1889:T1891"/>
    <mergeCell ref="U1889:U1891"/>
    <mergeCell ref="A1892:A1895"/>
    <mergeCell ref="A1896:A1897"/>
    <mergeCell ref="B1896:B1897"/>
    <mergeCell ref="C1896:C1897"/>
    <mergeCell ref="F1896:F1897"/>
    <mergeCell ref="G1896:G1897"/>
    <mergeCell ref="H1896:H1897"/>
    <mergeCell ref="I1896:I1897"/>
    <mergeCell ref="J1896:J1897"/>
    <mergeCell ref="K1896:K1897"/>
    <mergeCell ref="L1896:L1897"/>
    <mergeCell ref="M1896:M1897"/>
    <mergeCell ref="N1896:N1897"/>
    <mergeCell ref="O1896:O1897"/>
    <mergeCell ref="T1896:T1897"/>
    <mergeCell ref="U1896:U1897"/>
    <mergeCell ref="A1898:A1899"/>
    <mergeCell ref="B1898:B1899"/>
    <mergeCell ref="C1898:C1899"/>
    <mergeCell ref="F1898:F1899"/>
    <mergeCell ref="G1898:G1899"/>
    <mergeCell ref="H1898:H1899"/>
    <mergeCell ref="I1898:I1899"/>
    <mergeCell ref="J1898:J1899"/>
    <mergeCell ref="K1898:K1899"/>
    <mergeCell ref="L1898:L1899"/>
    <mergeCell ref="M1898:M1899"/>
    <mergeCell ref="N1898:N1899"/>
    <mergeCell ref="O1898:O1899"/>
    <mergeCell ref="T1898:T1899"/>
    <mergeCell ref="U1898:U1899"/>
    <mergeCell ref="A1900:A1901"/>
    <mergeCell ref="B1900:B1901"/>
    <mergeCell ref="C1900:C1901"/>
    <mergeCell ref="F1900:F1901"/>
    <mergeCell ref="G1900:G1901"/>
    <mergeCell ref="H1900:H1901"/>
    <mergeCell ref="I1900:I1901"/>
    <mergeCell ref="J1900:J1901"/>
    <mergeCell ref="K1900:K1901"/>
    <mergeCell ref="L1900:L1901"/>
    <mergeCell ref="M1900:M1901"/>
    <mergeCell ref="N1900:N1901"/>
    <mergeCell ref="O1900:O1901"/>
    <mergeCell ref="T1900:T1901"/>
    <mergeCell ref="U1900:U1901"/>
    <mergeCell ref="A1902:A1905"/>
    <mergeCell ref="B1902:B1905"/>
    <mergeCell ref="C1902:C1905"/>
    <mergeCell ref="F1902:F1905"/>
    <mergeCell ref="H1902:H1905"/>
    <mergeCell ref="I1902:I1905"/>
    <mergeCell ref="J1902:J1905"/>
    <mergeCell ref="K1902:K1905"/>
    <mergeCell ref="L1902:L1905"/>
    <mergeCell ref="M1902:M1905"/>
    <mergeCell ref="N1902:N1905"/>
    <mergeCell ref="O1902:O1905"/>
    <mergeCell ref="T1902:T1905"/>
    <mergeCell ref="U1902:U1905"/>
    <mergeCell ref="A1906:A1909"/>
    <mergeCell ref="B1906:B1909"/>
    <mergeCell ref="C1906:C1909"/>
    <mergeCell ref="F1906:F1909"/>
    <mergeCell ref="G1906:G1909"/>
    <mergeCell ref="H1906:H1909"/>
    <mergeCell ref="K1906:K1909"/>
    <mergeCell ref="L1906:L1909"/>
    <mergeCell ref="M1906:M1909"/>
    <mergeCell ref="N1906:N1909"/>
    <mergeCell ref="O1906:O1909"/>
    <mergeCell ref="T1906:T1909"/>
    <mergeCell ref="U1906:U1909"/>
    <mergeCell ref="A1910:A1913"/>
    <mergeCell ref="A1914:A1915"/>
    <mergeCell ref="B1914:B1915"/>
    <mergeCell ref="C1914:C1915"/>
    <mergeCell ref="F1914:F1915"/>
    <mergeCell ref="G1914:G1915"/>
    <mergeCell ref="H1914:H1915"/>
    <mergeCell ref="I1914:I1915"/>
    <mergeCell ref="J1914:J1915"/>
    <mergeCell ref="K1914:K1915"/>
    <mergeCell ref="L1914:L1915"/>
    <mergeCell ref="M1914:M1915"/>
    <mergeCell ref="N1914:N1915"/>
    <mergeCell ref="O1914:O1915"/>
    <mergeCell ref="T1914:T1915"/>
    <mergeCell ref="U1914:U1915"/>
    <mergeCell ref="A1917:A1921"/>
    <mergeCell ref="A1922:A1924"/>
    <mergeCell ref="B1922:B1924"/>
    <mergeCell ref="C1922:C1924"/>
    <mergeCell ref="F1922:F1924"/>
    <mergeCell ref="G1922:G1924"/>
    <mergeCell ref="H1922:H1924"/>
    <mergeCell ref="I1922:I1924"/>
    <mergeCell ref="J1922:J1924"/>
    <mergeCell ref="K1922:K1924"/>
    <mergeCell ref="L1922:L1924"/>
    <mergeCell ref="M1922:M1924"/>
    <mergeCell ref="N1922:N1924"/>
    <mergeCell ref="O1922:O1924"/>
    <mergeCell ref="T1922:T1924"/>
    <mergeCell ref="U1922:U1924"/>
    <mergeCell ref="A1925:A1927"/>
    <mergeCell ref="B1925:B1927"/>
    <mergeCell ref="C1925:C1927"/>
    <mergeCell ref="F1925:F1927"/>
    <mergeCell ref="G1925:G1927"/>
    <mergeCell ref="H1925:H1927"/>
    <mergeCell ref="I1925:I1927"/>
    <mergeCell ref="J1925:J1927"/>
    <mergeCell ref="K1925:K1927"/>
    <mergeCell ref="L1925:L1927"/>
    <mergeCell ref="M1925:M1927"/>
    <mergeCell ref="N1925:N1927"/>
    <mergeCell ref="O1925:O1927"/>
    <mergeCell ref="T1925:T1927"/>
    <mergeCell ref="U1925:U1927"/>
    <mergeCell ref="A1928:A1930"/>
    <mergeCell ref="B1928:B1930"/>
    <mergeCell ref="C1928:C1930"/>
    <mergeCell ref="F1928:F1930"/>
    <mergeCell ref="G1928:G1930"/>
    <mergeCell ref="H1928:H1930"/>
    <mergeCell ref="I1928:I1930"/>
    <mergeCell ref="J1928:J1930"/>
    <mergeCell ref="K1928:K1930"/>
    <mergeCell ref="L1928:L1930"/>
    <mergeCell ref="M1928:M1930"/>
    <mergeCell ref="N1928:N1930"/>
    <mergeCell ref="O1928:O1930"/>
    <mergeCell ref="T1928:T1930"/>
    <mergeCell ref="U1928:U1930"/>
    <mergeCell ref="A1931:A1936"/>
    <mergeCell ref="B1931:B1936"/>
    <mergeCell ref="C1931:C1936"/>
    <mergeCell ref="F1931:F1936"/>
    <mergeCell ref="G1931:G1936"/>
    <mergeCell ref="H1931:H1936"/>
    <mergeCell ref="I1931:I1936"/>
    <mergeCell ref="J1931:J1936"/>
    <mergeCell ref="K1931:K1936"/>
    <mergeCell ref="L1931:L1936"/>
    <mergeCell ref="M1931:M1936"/>
    <mergeCell ref="N1931:N1936"/>
    <mergeCell ref="O1931:O1936"/>
    <mergeCell ref="T1931:T1936"/>
    <mergeCell ref="U1931:U1936"/>
    <mergeCell ref="A1937:A1938"/>
    <mergeCell ref="B1937:B1938"/>
    <mergeCell ref="C1937:C1938"/>
    <mergeCell ref="F1937:F1938"/>
    <mergeCell ref="G1937:G1938"/>
    <mergeCell ref="H1937:H1938"/>
    <mergeCell ref="I1937:I1938"/>
    <mergeCell ref="J1937:J1938"/>
    <mergeCell ref="K1937:K1938"/>
    <mergeCell ref="L1937:L1938"/>
    <mergeCell ref="M1937:M1938"/>
    <mergeCell ref="N1937:N1938"/>
    <mergeCell ref="O1937:O1938"/>
    <mergeCell ref="T1937:T1938"/>
    <mergeCell ref="U1937:U1938"/>
    <mergeCell ref="A1940:A1941"/>
    <mergeCell ref="B1940:B1941"/>
    <mergeCell ref="C1940:C1941"/>
    <mergeCell ref="F1940:F1941"/>
    <mergeCell ref="G1940:G1941"/>
    <mergeCell ref="H1940:H1941"/>
    <mergeCell ref="I1940:I1941"/>
    <mergeCell ref="J1940:J1941"/>
    <mergeCell ref="K1940:K1941"/>
    <mergeCell ref="L1940:L1941"/>
    <mergeCell ref="M1940:M1941"/>
    <mergeCell ref="N1940:N1941"/>
    <mergeCell ref="O1940:O1941"/>
    <mergeCell ref="T1940:T1941"/>
    <mergeCell ref="U1940:U1941"/>
    <mergeCell ref="A1947:A1949"/>
    <mergeCell ref="B1947:B1949"/>
    <mergeCell ref="C1947:C1949"/>
    <mergeCell ref="F1947:F1949"/>
    <mergeCell ref="G1947:G1949"/>
    <mergeCell ref="H1947:H1949"/>
    <mergeCell ref="I1947:I1949"/>
    <mergeCell ref="J1947:J1949"/>
    <mergeCell ref="K1947:K1949"/>
    <mergeCell ref="L1947:L1949"/>
    <mergeCell ref="M1947:M1949"/>
    <mergeCell ref="N1947:N1949"/>
    <mergeCell ref="O1947:O1949"/>
    <mergeCell ref="T1947:T1949"/>
    <mergeCell ref="U1947:U1949"/>
    <mergeCell ref="A1951:A1952"/>
    <mergeCell ref="B1951:B1952"/>
    <mergeCell ref="C1951:C1952"/>
    <mergeCell ref="F1951:F1952"/>
    <mergeCell ref="G1951:G1952"/>
    <mergeCell ref="H1951:H1952"/>
    <mergeCell ref="I1951:I1952"/>
    <mergeCell ref="J1951:J1952"/>
    <mergeCell ref="K1951:K1952"/>
    <mergeCell ref="L1951:L1952"/>
    <mergeCell ref="M1951:M1952"/>
    <mergeCell ref="N1951:N1952"/>
    <mergeCell ref="O1951:O1952"/>
    <mergeCell ref="T1951:T1952"/>
    <mergeCell ref="U1951:U1952"/>
    <mergeCell ref="A1953:A1956"/>
    <mergeCell ref="B1953:B1956"/>
    <mergeCell ref="C1953:C1956"/>
    <mergeCell ref="F1953:F1956"/>
    <mergeCell ref="G1953:G1956"/>
    <mergeCell ref="H1953:H1956"/>
    <mergeCell ref="I1953:I1956"/>
    <mergeCell ref="J1953:J1956"/>
    <mergeCell ref="K1953:K1956"/>
    <mergeCell ref="L1953:L1956"/>
    <mergeCell ref="M1953:M1956"/>
    <mergeCell ref="N1953:N1956"/>
    <mergeCell ref="O1953:O1956"/>
    <mergeCell ref="T1953:T1956"/>
    <mergeCell ref="U1953:U1956"/>
    <mergeCell ref="A1957:A1958"/>
    <mergeCell ref="B1957:B1958"/>
    <mergeCell ref="C1957:C1958"/>
    <mergeCell ref="F1957:F1958"/>
    <mergeCell ref="G1957:G1958"/>
    <mergeCell ref="H1957:H1958"/>
    <mergeCell ref="I1957:I1958"/>
    <mergeCell ref="K1957:K1958"/>
    <mergeCell ref="L1957:L1958"/>
    <mergeCell ref="M1957:M1958"/>
    <mergeCell ref="N1957:N1958"/>
    <mergeCell ref="O1957:O1958"/>
    <mergeCell ref="T1957:T1958"/>
    <mergeCell ref="U1957:U1958"/>
    <mergeCell ref="A1959:A1960"/>
    <mergeCell ref="B1959:B1960"/>
    <mergeCell ref="C1959:C1960"/>
    <mergeCell ref="F1959:F1960"/>
    <mergeCell ref="G1959:G1960"/>
    <mergeCell ref="H1959:H1960"/>
    <mergeCell ref="I1959:I1960"/>
    <mergeCell ref="J1959:J1960"/>
    <mergeCell ref="K1959:K1960"/>
    <mergeCell ref="L1959:L1960"/>
    <mergeCell ref="M1959:M1960"/>
    <mergeCell ref="N1959:N1960"/>
    <mergeCell ref="O1959:O1960"/>
    <mergeCell ref="T1959:T1960"/>
    <mergeCell ref="U1959:U1960"/>
    <mergeCell ref="A1964:A1967"/>
    <mergeCell ref="B1964:B1967"/>
    <mergeCell ref="C1964:C1967"/>
    <mergeCell ref="F1964:F1967"/>
    <mergeCell ref="G1964:G1967"/>
    <mergeCell ref="H1964:H1967"/>
    <mergeCell ref="I1964:I1967"/>
    <mergeCell ref="J1964:J1967"/>
    <mergeCell ref="K1964:K1967"/>
    <mergeCell ref="L1964:L1967"/>
    <mergeCell ref="M1964:M1967"/>
    <mergeCell ref="N1964:N1967"/>
    <mergeCell ref="O1964:O1967"/>
    <mergeCell ref="T1964:T1967"/>
    <mergeCell ref="U1964:U1967"/>
    <mergeCell ref="A1968:A1969"/>
    <mergeCell ref="B1968:B1969"/>
    <mergeCell ref="C1968:C1969"/>
    <mergeCell ref="F1968:F1969"/>
    <mergeCell ref="G1968:G1969"/>
    <mergeCell ref="H1968:H1969"/>
    <mergeCell ref="I1968:I1969"/>
    <mergeCell ref="J1968:J1969"/>
    <mergeCell ref="K1968:K1969"/>
    <mergeCell ref="L1968:L1969"/>
    <mergeCell ref="M1968:M1969"/>
    <mergeCell ref="N1968:N1969"/>
    <mergeCell ref="O1968:O1969"/>
    <mergeCell ref="T1968:T1969"/>
    <mergeCell ref="U1968:U1969"/>
    <mergeCell ref="A1973:A1976"/>
    <mergeCell ref="A1977:A1980"/>
    <mergeCell ref="A1981:A1984"/>
    <mergeCell ref="A1985:A1989"/>
    <mergeCell ref="A1990:A1993"/>
    <mergeCell ref="B1990:B1993"/>
    <mergeCell ref="C1990:C1993"/>
    <mergeCell ref="F1990:F1993"/>
    <mergeCell ref="G1990:G1993"/>
    <mergeCell ref="H1990:H1993"/>
    <mergeCell ref="I1990:I1993"/>
    <mergeCell ref="K1990:K1993"/>
    <mergeCell ref="L1990:L1993"/>
    <mergeCell ref="M1990:M1993"/>
    <mergeCell ref="N1990:N1993"/>
    <mergeCell ref="O1990:O1993"/>
    <mergeCell ref="T1990:T1993"/>
    <mergeCell ref="U1990:U1993"/>
    <mergeCell ref="A2020:A2022"/>
    <mergeCell ref="B2020:B2022"/>
    <mergeCell ref="C2020:C2022"/>
    <mergeCell ref="F2020:F2022"/>
    <mergeCell ref="G2020:G2022"/>
    <mergeCell ref="H2020:H2022"/>
    <mergeCell ref="I2020:I2022"/>
    <mergeCell ref="J2020:J2022"/>
    <mergeCell ref="K2020:K2022"/>
    <mergeCell ref="L2020:L2022"/>
    <mergeCell ref="M2020:M2022"/>
    <mergeCell ref="N2020:N2022"/>
    <mergeCell ref="O2020:O2022"/>
    <mergeCell ref="T2020:T2022"/>
    <mergeCell ref="U2020:U2022"/>
    <mergeCell ref="A2026:A2027"/>
    <mergeCell ref="B2026:B2027"/>
    <mergeCell ref="C2026:C2027"/>
    <mergeCell ref="F2026:F2027"/>
    <mergeCell ref="G2026:G2027"/>
    <mergeCell ref="H2026:H2027"/>
    <mergeCell ref="I2026:I2027"/>
    <mergeCell ref="J2026:J2027"/>
    <mergeCell ref="K2026:K2027"/>
    <mergeCell ref="L2026:L2027"/>
    <mergeCell ref="M2026:M2027"/>
    <mergeCell ref="N2026:N2027"/>
    <mergeCell ref="O2026:O2027"/>
    <mergeCell ref="T2026:T2027"/>
    <mergeCell ref="U2026:U2027"/>
    <mergeCell ref="A2028:A2029"/>
    <mergeCell ref="B2028:B2029"/>
    <mergeCell ref="C2028:C2029"/>
    <mergeCell ref="F2028:F2029"/>
    <mergeCell ref="G2028:G2029"/>
    <mergeCell ref="H2028:H2029"/>
    <mergeCell ref="I2028:I2029"/>
    <mergeCell ref="J2028:J2029"/>
    <mergeCell ref="K2028:K2029"/>
    <mergeCell ref="L2028:L2029"/>
    <mergeCell ref="M2028:M2029"/>
    <mergeCell ref="N2028:N2029"/>
    <mergeCell ref="O2028:O2029"/>
    <mergeCell ref="T2028:T2029"/>
    <mergeCell ref="U2028:U2029"/>
    <mergeCell ref="A2031:A2032"/>
    <mergeCell ref="A2033:A2037"/>
    <mergeCell ref="B2033:B2035"/>
    <mergeCell ref="C2033:C2035"/>
    <mergeCell ref="F2033:F2035"/>
    <mergeCell ref="G2033:G2035"/>
    <mergeCell ref="H2033:H2035"/>
    <mergeCell ref="I2033:I2035"/>
    <mergeCell ref="K2033:K2035"/>
    <mergeCell ref="L2033:L2035"/>
    <mergeCell ref="M2033:M2035"/>
    <mergeCell ref="N2033:N2035"/>
    <mergeCell ref="O2033:O2035"/>
    <mergeCell ref="T2033:T2035"/>
    <mergeCell ref="U2033:U2035"/>
    <mergeCell ref="B2036:B2037"/>
    <mergeCell ref="C2036:C2037"/>
    <mergeCell ref="F2036:F2037"/>
    <mergeCell ref="G2036:G2037"/>
    <mergeCell ref="H2036:H2037"/>
    <mergeCell ref="I2036:I2037"/>
    <mergeCell ref="J2036:J2037"/>
    <mergeCell ref="K2036:K2037"/>
    <mergeCell ref="L2036:L2037"/>
    <mergeCell ref="M2036:M2037"/>
    <mergeCell ref="N2036:N2037"/>
    <mergeCell ref="O2036:O2037"/>
    <mergeCell ref="T2036:T2037"/>
    <mergeCell ref="U2036:U2037"/>
    <mergeCell ref="A2038:A2041"/>
    <mergeCell ref="B2041:B2042"/>
    <mergeCell ref="C2041:C2042"/>
    <mergeCell ref="F2041:F2042"/>
    <mergeCell ref="G2041:G2042"/>
    <mergeCell ref="H2041:H2042"/>
    <mergeCell ref="I2041:I2042"/>
    <mergeCell ref="J2041:J2042"/>
    <mergeCell ref="K2041:K2042"/>
    <mergeCell ref="L2041:L2042"/>
    <mergeCell ref="M2041:M2042"/>
    <mergeCell ref="N2041:N2042"/>
    <mergeCell ref="O2041:O2042"/>
    <mergeCell ref="T2041:T2042"/>
    <mergeCell ref="U2041:U2042"/>
    <mergeCell ref="A2043:A2044"/>
    <mergeCell ref="A2045:A2046"/>
    <mergeCell ref="A2049:A2052"/>
    <mergeCell ref="B2049:B2050"/>
    <mergeCell ref="C2049:C2050"/>
    <mergeCell ref="F2049:F2050"/>
    <mergeCell ref="G2049:G2050"/>
    <mergeCell ref="H2049:H2050"/>
    <mergeCell ref="I2049:I2050"/>
    <mergeCell ref="J2049:J2050"/>
    <mergeCell ref="K2049:K2050"/>
    <mergeCell ref="L2049:L2050"/>
    <mergeCell ref="M2049:M2050"/>
    <mergeCell ref="N2049:N2050"/>
    <mergeCell ref="O2049:O2050"/>
    <mergeCell ref="T2049:T2050"/>
    <mergeCell ref="U2049:U2050"/>
    <mergeCell ref="A2056:A2058"/>
    <mergeCell ref="A2060:A2061"/>
    <mergeCell ref="B2060:B2061"/>
    <mergeCell ref="C2060:C2061"/>
    <mergeCell ref="F2060:F2061"/>
    <mergeCell ref="G2060:G2061"/>
    <mergeCell ref="H2060:H2061"/>
    <mergeCell ref="I2060:I2061"/>
    <mergeCell ref="J2060:J2061"/>
    <mergeCell ref="K2060:K2061"/>
    <mergeCell ref="L2060:L2061"/>
    <mergeCell ref="M2060:M2061"/>
    <mergeCell ref="N2060:N2061"/>
    <mergeCell ref="O2060:O2061"/>
    <mergeCell ref="T2060:T2061"/>
    <mergeCell ref="U2060:U2061"/>
    <mergeCell ref="A2063:A2072"/>
    <mergeCell ref="B2063:B2068"/>
    <mergeCell ref="C2063:C2068"/>
    <mergeCell ref="F2063:F2068"/>
    <mergeCell ref="G2063:G2068"/>
    <mergeCell ref="H2063:H2068"/>
    <mergeCell ref="I2063:I2068"/>
    <mergeCell ref="J2063:J2068"/>
    <mergeCell ref="K2063:K2068"/>
    <mergeCell ref="L2063:L2068"/>
    <mergeCell ref="M2063:M2068"/>
    <mergeCell ref="N2063:N2068"/>
    <mergeCell ref="O2063:O2068"/>
    <mergeCell ref="T2063:T2068"/>
    <mergeCell ref="U2063:U2068"/>
    <mergeCell ref="A2074:A2076"/>
    <mergeCell ref="B2074:B2076"/>
    <mergeCell ref="C2074:C2076"/>
    <mergeCell ref="F2074:F2076"/>
    <mergeCell ref="G2074:G2076"/>
    <mergeCell ref="H2074:H2076"/>
    <mergeCell ref="I2074:I2076"/>
    <mergeCell ref="J2074:J2076"/>
    <mergeCell ref="K2074:K2076"/>
    <mergeCell ref="L2074:L2076"/>
    <mergeCell ref="M2074:M2076"/>
    <mergeCell ref="N2074:N2076"/>
    <mergeCell ref="O2074:O2076"/>
    <mergeCell ref="T2074:T2076"/>
    <mergeCell ref="U2074:U2076"/>
    <mergeCell ref="A2078:A2079"/>
    <mergeCell ref="B2078:B2079"/>
    <mergeCell ref="C2078:C2079"/>
    <mergeCell ref="F2078:F2079"/>
    <mergeCell ref="H2078:H2079"/>
    <mergeCell ref="I2078:I2079"/>
    <mergeCell ref="K2078:K2079"/>
    <mergeCell ref="L2078:L2079"/>
    <mergeCell ref="M2078:M2079"/>
    <mergeCell ref="N2078:N2079"/>
    <mergeCell ref="O2078:O2079"/>
    <mergeCell ref="T2078:T2079"/>
    <mergeCell ref="U2078:U2079"/>
    <mergeCell ref="A2081:A2082"/>
    <mergeCell ref="B2081:B2082"/>
    <mergeCell ref="C2081:C2082"/>
    <mergeCell ref="F2081:F2082"/>
    <mergeCell ref="G2081:G2082"/>
    <mergeCell ref="H2081:H2082"/>
    <mergeCell ref="I2081:I2082"/>
    <mergeCell ref="J2081:J2082"/>
    <mergeCell ref="K2081:K2082"/>
    <mergeCell ref="L2081:L2082"/>
    <mergeCell ref="M2081:M2082"/>
    <mergeCell ref="N2081:N2082"/>
    <mergeCell ref="O2081:O2082"/>
    <mergeCell ref="T2081:T2082"/>
    <mergeCell ref="U2081:U2082"/>
    <mergeCell ref="A2085:A2087"/>
    <mergeCell ref="B2085:B2087"/>
    <mergeCell ref="C2085:C2087"/>
    <mergeCell ref="F2085:F2087"/>
    <mergeCell ref="G2085:G2087"/>
    <mergeCell ref="H2085:H2087"/>
    <mergeCell ref="I2085:I2087"/>
    <mergeCell ref="J2085:J2087"/>
    <mergeCell ref="K2085:K2087"/>
    <mergeCell ref="L2085:L2087"/>
    <mergeCell ref="M2085:M2087"/>
    <mergeCell ref="N2085:N2087"/>
    <mergeCell ref="O2085:O2087"/>
    <mergeCell ref="T2085:T2087"/>
    <mergeCell ref="U2085:U2087"/>
    <mergeCell ref="A2102:A2103"/>
    <mergeCell ref="B2102:B2103"/>
    <mergeCell ref="C2102:C2103"/>
    <mergeCell ref="F2102:F2103"/>
    <mergeCell ref="G2102:G2103"/>
    <mergeCell ref="H2102:H2103"/>
    <mergeCell ref="I2102:I2103"/>
    <mergeCell ref="J2102:J2103"/>
    <mergeCell ref="K2102:K2103"/>
    <mergeCell ref="L2102:L2103"/>
    <mergeCell ref="M2102:M2103"/>
    <mergeCell ref="N2102:N2103"/>
    <mergeCell ref="O2102:O2103"/>
    <mergeCell ref="T2102:T2103"/>
    <mergeCell ref="U2102:U2103"/>
    <mergeCell ref="A2104:A2105"/>
    <mergeCell ref="B2104:B2105"/>
    <mergeCell ref="C2104:C2105"/>
    <mergeCell ref="F2104:F2105"/>
    <mergeCell ref="G2104:G2105"/>
    <mergeCell ref="H2104:H2105"/>
    <mergeCell ref="I2104:I2105"/>
    <mergeCell ref="J2104:J2105"/>
    <mergeCell ref="K2104:K2105"/>
    <mergeCell ref="L2104:L2105"/>
    <mergeCell ref="M2104:M2105"/>
    <mergeCell ref="N2104:N2105"/>
    <mergeCell ref="O2104:O2105"/>
    <mergeCell ref="T2104:T2105"/>
    <mergeCell ref="U2104:U2105"/>
    <mergeCell ref="A2111:A2113"/>
    <mergeCell ref="B2111:B2113"/>
    <mergeCell ref="C2111:C2113"/>
    <mergeCell ref="F2111:F2113"/>
    <mergeCell ref="G2111:G2113"/>
    <mergeCell ref="H2111:H2113"/>
    <mergeCell ref="I2111:I2113"/>
    <mergeCell ref="J2111:J2113"/>
    <mergeCell ref="K2111:K2113"/>
    <mergeCell ref="L2111:L2113"/>
    <mergeCell ref="M2111:M2113"/>
    <mergeCell ref="N2111:N2113"/>
    <mergeCell ref="O2111:O2113"/>
    <mergeCell ref="T2111:T2113"/>
    <mergeCell ref="U2111:U2113"/>
    <mergeCell ref="A2114:A2116"/>
    <mergeCell ref="B2114:B2115"/>
    <mergeCell ref="C2114:C2115"/>
    <mergeCell ref="F2114:F2115"/>
    <mergeCell ref="G2114:G2115"/>
    <mergeCell ref="H2114:H2115"/>
    <mergeCell ref="I2114:I2115"/>
    <mergeCell ref="J2114:J2115"/>
    <mergeCell ref="K2114:K2115"/>
    <mergeCell ref="L2114:L2115"/>
    <mergeCell ref="M2114:M2115"/>
    <mergeCell ref="N2114:N2115"/>
    <mergeCell ref="O2114:O2115"/>
    <mergeCell ref="T2114:T2115"/>
    <mergeCell ref="U2114:U2115"/>
    <mergeCell ref="A2117:A2119"/>
    <mergeCell ref="B2117:B2119"/>
    <mergeCell ref="C2117:C2119"/>
    <mergeCell ref="F2117:F2119"/>
    <mergeCell ref="G2117:G2119"/>
    <mergeCell ref="H2117:H2119"/>
    <mergeCell ref="I2117:I2119"/>
    <mergeCell ref="J2117:J2119"/>
    <mergeCell ref="K2117:K2119"/>
    <mergeCell ref="L2117:L2119"/>
    <mergeCell ref="M2117:M2119"/>
    <mergeCell ref="N2117:N2119"/>
    <mergeCell ref="O2117:O2119"/>
    <mergeCell ref="T2117:T2119"/>
    <mergeCell ref="U2117:U2119"/>
    <mergeCell ref="A2120:A2121"/>
    <mergeCell ref="A2122:A2123"/>
    <mergeCell ref="B2122:B2123"/>
    <mergeCell ref="C2122:C2123"/>
    <mergeCell ref="F2122:F2123"/>
    <mergeCell ref="G2122:G2123"/>
    <mergeCell ref="H2122:H2123"/>
    <mergeCell ref="I2122:I2123"/>
    <mergeCell ref="J2122:J2123"/>
    <mergeCell ref="K2122:K2123"/>
    <mergeCell ref="L2122:L2123"/>
    <mergeCell ref="M2122:M2123"/>
    <mergeCell ref="N2122:N2123"/>
    <mergeCell ref="O2122:O2123"/>
    <mergeCell ref="T2122:T2123"/>
    <mergeCell ref="U2122:U2123"/>
    <mergeCell ref="A2125:A2127"/>
    <mergeCell ref="B2125:B2127"/>
    <mergeCell ref="C2125:C2127"/>
    <mergeCell ref="F2125:F2127"/>
    <mergeCell ref="G2125:G2127"/>
    <mergeCell ref="H2125:H2127"/>
    <mergeCell ref="I2125:I2127"/>
    <mergeCell ref="K2125:K2127"/>
    <mergeCell ref="L2125:L2127"/>
    <mergeCell ref="M2125:M2127"/>
    <mergeCell ref="N2125:N2127"/>
    <mergeCell ref="O2125:O2127"/>
    <mergeCell ref="T2125:T2127"/>
    <mergeCell ref="U2125:U2127"/>
    <mergeCell ref="A2131:A2134"/>
    <mergeCell ref="B2131:B2134"/>
    <mergeCell ref="C2131:C2134"/>
    <mergeCell ref="F2131:F2134"/>
    <mergeCell ref="G2131:G2134"/>
    <mergeCell ref="H2131:H2134"/>
    <mergeCell ref="I2131:I2134"/>
    <mergeCell ref="J2131:J2134"/>
    <mergeCell ref="K2131:K2134"/>
    <mergeCell ref="L2131:L2134"/>
    <mergeCell ref="M2131:M2134"/>
    <mergeCell ref="N2131:N2134"/>
    <mergeCell ref="O2131:O2134"/>
    <mergeCell ref="T2131:T2134"/>
    <mergeCell ref="U2131:U2134"/>
    <mergeCell ref="A2141:A2148"/>
    <mergeCell ref="B2141:B2147"/>
    <mergeCell ref="C2141:C2147"/>
    <mergeCell ref="F2141:F2147"/>
    <mergeCell ref="G2141:G2147"/>
    <mergeCell ref="H2141:H2147"/>
    <mergeCell ref="I2141:I2147"/>
    <mergeCell ref="J2141:J2147"/>
    <mergeCell ref="K2141:K2147"/>
    <mergeCell ref="L2141:L2147"/>
    <mergeCell ref="M2141:M2147"/>
    <mergeCell ref="N2141:N2147"/>
    <mergeCell ref="O2141:O2147"/>
    <mergeCell ref="T2141:T2147"/>
    <mergeCell ref="U2141:U2147"/>
    <mergeCell ref="A2149:A2150"/>
    <mergeCell ref="A2151:A2152"/>
    <mergeCell ref="A2153:A2156"/>
    <mergeCell ref="B2153:B2156"/>
    <mergeCell ref="C2153:C2156"/>
    <mergeCell ref="F2153:F2156"/>
    <mergeCell ref="G2153:G2156"/>
    <mergeCell ref="H2153:H2156"/>
    <mergeCell ref="I2153:I2156"/>
    <mergeCell ref="J2153:J2156"/>
    <mergeCell ref="K2153:K2156"/>
    <mergeCell ref="L2153:L2156"/>
    <mergeCell ref="M2153:M2156"/>
    <mergeCell ref="N2153:N2156"/>
    <mergeCell ref="O2153:O2156"/>
    <mergeCell ref="T2153:T2156"/>
    <mergeCell ref="U2153:U2156"/>
    <mergeCell ref="A2158:A2161"/>
    <mergeCell ref="B2158:B2161"/>
    <mergeCell ref="C2158:C2161"/>
    <mergeCell ref="F2158:F2161"/>
    <mergeCell ref="G2158:G2161"/>
    <mergeCell ref="H2158:H2161"/>
    <mergeCell ref="I2158:I2161"/>
    <mergeCell ref="J2158:J2161"/>
    <mergeCell ref="K2158:K2161"/>
    <mergeCell ref="L2158:L2161"/>
    <mergeCell ref="M2158:M2161"/>
    <mergeCell ref="N2158:N2161"/>
    <mergeCell ref="O2158:O2161"/>
    <mergeCell ref="T2158:T2161"/>
    <mergeCell ref="U2158:U2161"/>
    <mergeCell ref="A2166:A2167"/>
    <mergeCell ref="B2166:B2167"/>
    <mergeCell ref="C2166:C2167"/>
    <mergeCell ref="F2166:F2167"/>
    <mergeCell ref="G2166:G2167"/>
    <mergeCell ref="H2166:H2167"/>
    <mergeCell ref="I2166:I2167"/>
    <mergeCell ref="J2166:J2167"/>
    <mergeCell ref="K2166:K2167"/>
    <mergeCell ref="L2166:L2167"/>
    <mergeCell ref="M2166:M2167"/>
    <mergeCell ref="N2166:N2167"/>
    <mergeCell ref="O2166:O2167"/>
    <mergeCell ref="T2166:T2167"/>
    <mergeCell ref="U2166:U2167"/>
    <mergeCell ref="A2169:A2174"/>
    <mergeCell ref="B2169:B2174"/>
    <mergeCell ref="C2169:C2174"/>
    <mergeCell ref="F2169:F2174"/>
    <mergeCell ref="G2169:G2174"/>
    <mergeCell ref="H2169:H2174"/>
    <mergeCell ref="I2169:I2174"/>
    <mergeCell ref="J2169:J2174"/>
    <mergeCell ref="K2169:K2174"/>
    <mergeCell ref="L2169:L2174"/>
    <mergeCell ref="M2169:M2174"/>
    <mergeCell ref="N2169:N2174"/>
    <mergeCell ref="O2169:O2174"/>
    <mergeCell ref="T2169:T2174"/>
    <mergeCell ref="U2169:U2174"/>
    <mergeCell ref="A2175:A2183"/>
    <mergeCell ref="B2175:B2178"/>
    <mergeCell ref="C2175:C2178"/>
    <mergeCell ref="F2175:F2178"/>
    <mergeCell ref="G2175:G2178"/>
    <mergeCell ref="H2175:H2178"/>
    <mergeCell ref="I2175:I2178"/>
    <mergeCell ref="J2175:J2178"/>
    <mergeCell ref="K2175:K2178"/>
    <mergeCell ref="L2175:L2178"/>
    <mergeCell ref="M2175:M2178"/>
    <mergeCell ref="N2175:N2178"/>
    <mergeCell ref="O2175:O2178"/>
    <mergeCell ref="T2175:T2178"/>
    <mergeCell ref="U2175:U2178"/>
    <mergeCell ref="B2180:B2182"/>
    <mergeCell ref="C2180:C2182"/>
    <mergeCell ref="F2180:F2182"/>
    <mergeCell ref="G2180:G2182"/>
    <mergeCell ref="H2180:H2182"/>
    <mergeCell ref="I2180:I2182"/>
    <mergeCell ref="J2180:J2182"/>
    <mergeCell ref="K2180:K2182"/>
    <mergeCell ref="L2180:L2182"/>
    <mergeCell ref="M2180:M2182"/>
    <mergeCell ref="N2180:N2182"/>
    <mergeCell ref="O2180:O2182"/>
    <mergeCell ref="T2180:T2182"/>
    <mergeCell ref="U2180:U2182"/>
    <mergeCell ref="A2184:A2189"/>
    <mergeCell ref="B2184:B2186"/>
    <mergeCell ref="C2184:C2186"/>
    <mergeCell ref="F2184:F2186"/>
    <mergeCell ref="H2184:H2186"/>
    <mergeCell ref="I2184:I2186"/>
    <mergeCell ref="J2184:J2186"/>
    <mergeCell ref="K2184:K2186"/>
    <mergeCell ref="L2184:L2186"/>
    <mergeCell ref="M2184:M2186"/>
    <mergeCell ref="N2184:N2186"/>
    <mergeCell ref="O2184:O2186"/>
    <mergeCell ref="T2184:T2186"/>
    <mergeCell ref="U2184:U2186"/>
    <mergeCell ref="A2190:A2194"/>
    <mergeCell ref="B2190:B2191"/>
    <mergeCell ref="C2190:C2191"/>
    <mergeCell ref="F2190:F2191"/>
    <mergeCell ref="G2190:G2191"/>
    <mergeCell ref="H2190:H2191"/>
    <mergeCell ref="I2190:I2191"/>
    <mergeCell ref="J2190:J2191"/>
    <mergeCell ref="K2190:K2191"/>
    <mergeCell ref="L2190:L2191"/>
    <mergeCell ref="M2190:M2191"/>
    <mergeCell ref="N2190:N2191"/>
    <mergeCell ref="O2190:O2191"/>
    <mergeCell ref="T2190:T2191"/>
    <mergeCell ref="U2190:U2191"/>
    <mergeCell ref="A2196:A2198"/>
    <mergeCell ref="B2196:B2198"/>
    <mergeCell ref="C2196:C2198"/>
    <mergeCell ref="F2196:F2198"/>
    <mergeCell ref="G2196:G2198"/>
    <mergeCell ref="H2196:H2198"/>
    <mergeCell ref="I2196:I2198"/>
    <mergeCell ref="J2196:J2198"/>
    <mergeCell ref="K2196:K2198"/>
    <mergeCell ref="L2196:L2198"/>
    <mergeCell ref="M2196:M2198"/>
    <mergeCell ref="N2196:N2198"/>
    <mergeCell ref="O2196:O2198"/>
    <mergeCell ref="T2196:T2198"/>
    <mergeCell ref="U2196:U2198"/>
    <mergeCell ref="A2202:A2203"/>
    <mergeCell ref="B2202:B2203"/>
    <mergeCell ref="C2202:C2203"/>
    <mergeCell ref="F2202:F2203"/>
    <mergeCell ref="G2202:G2203"/>
    <mergeCell ref="H2202:H2203"/>
    <mergeCell ref="I2202:I2203"/>
    <mergeCell ref="J2202:J2203"/>
    <mergeCell ref="K2202:K2203"/>
    <mergeCell ref="L2202:L2203"/>
    <mergeCell ref="M2202:M2203"/>
    <mergeCell ref="N2202:N2203"/>
    <mergeCell ref="O2202:O2203"/>
    <mergeCell ref="T2202:T2203"/>
    <mergeCell ref="U2202:U2203"/>
    <mergeCell ref="A2204:A2205"/>
    <mergeCell ref="B2204:B2205"/>
    <mergeCell ref="C2204:C2205"/>
    <mergeCell ref="F2204:F2205"/>
    <mergeCell ref="G2204:G2205"/>
    <mergeCell ref="H2204:H2205"/>
    <mergeCell ref="I2204:I2205"/>
    <mergeCell ref="J2204:J2205"/>
    <mergeCell ref="K2204:K2205"/>
    <mergeCell ref="L2204:L2205"/>
    <mergeCell ref="M2204:M2205"/>
    <mergeCell ref="N2204:N2205"/>
    <mergeCell ref="O2204:O2205"/>
    <mergeCell ref="T2204:T2205"/>
    <mergeCell ref="U2204:U2205"/>
    <mergeCell ref="A2207:A2212"/>
    <mergeCell ref="B2207:B2212"/>
    <mergeCell ref="C2207:C2212"/>
    <mergeCell ref="F2207:F2212"/>
    <mergeCell ref="G2207:G2212"/>
    <mergeCell ref="H2207:H2212"/>
    <mergeCell ref="I2207:I2212"/>
    <mergeCell ref="J2207:J2212"/>
    <mergeCell ref="K2207:K2212"/>
    <mergeCell ref="L2207:L2212"/>
    <mergeCell ref="M2207:M2212"/>
    <mergeCell ref="N2207:N2212"/>
    <mergeCell ref="O2207:O2212"/>
    <mergeCell ref="T2207:T2212"/>
    <mergeCell ref="U2207:U2212"/>
    <mergeCell ref="A2217:A2222"/>
    <mergeCell ref="B2217:B2218"/>
    <mergeCell ref="C2217:C2218"/>
    <mergeCell ref="F2217:F2218"/>
    <mergeCell ref="G2217:G2218"/>
    <mergeCell ref="H2217:H2218"/>
    <mergeCell ref="I2217:I2218"/>
    <mergeCell ref="J2217:J2218"/>
    <mergeCell ref="K2217:K2218"/>
    <mergeCell ref="L2217:L2218"/>
    <mergeCell ref="M2217:M2218"/>
    <mergeCell ref="N2217:N2218"/>
    <mergeCell ref="O2217:O2218"/>
    <mergeCell ref="T2217:T2218"/>
    <mergeCell ref="U2217:U2218"/>
    <mergeCell ref="A2224:A2229"/>
    <mergeCell ref="B2224:B2229"/>
    <mergeCell ref="C2224:C2229"/>
    <mergeCell ref="F2224:F2229"/>
    <mergeCell ref="G2224:G2229"/>
    <mergeCell ref="H2224:H2229"/>
    <mergeCell ref="I2224:I2229"/>
    <mergeCell ref="J2224:J2229"/>
    <mergeCell ref="K2224:K2229"/>
    <mergeCell ref="L2224:L2229"/>
    <mergeCell ref="M2224:M2229"/>
    <mergeCell ref="N2224:N2229"/>
    <mergeCell ref="O2224:O2229"/>
    <mergeCell ref="T2224:T2229"/>
    <mergeCell ref="U2224:U2229"/>
    <mergeCell ref="A2230:A2232"/>
    <mergeCell ref="A2235:A2237"/>
    <mergeCell ref="B2235:B2237"/>
    <mergeCell ref="C2235:C2237"/>
    <mergeCell ref="F2235:F2237"/>
    <mergeCell ref="G2235:G2237"/>
    <mergeCell ref="H2235:H2237"/>
    <mergeCell ref="J2235:J2237"/>
    <mergeCell ref="K2235:K2237"/>
    <mergeCell ref="L2235:L2237"/>
    <mergeCell ref="M2235:M2237"/>
    <mergeCell ref="N2235:N2237"/>
    <mergeCell ref="O2235:O2237"/>
    <mergeCell ref="T2235:T2237"/>
    <mergeCell ref="U2235:U2237"/>
    <mergeCell ref="A2239:A2245"/>
    <mergeCell ref="B2239:B2242"/>
    <mergeCell ref="C2239:C2242"/>
    <mergeCell ref="F2239:F2242"/>
    <mergeCell ref="G2239:G2242"/>
    <mergeCell ref="H2239:H2242"/>
    <mergeCell ref="I2239:I2242"/>
    <mergeCell ref="J2239:J2242"/>
    <mergeCell ref="K2239:K2242"/>
    <mergeCell ref="L2239:L2242"/>
    <mergeCell ref="M2239:M2242"/>
    <mergeCell ref="N2239:N2242"/>
    <mergeCell ref="O2239:O2242"/>
    <mergeCell ref="T2239:T2242"/>
    <mergeCell ref="U2239:U2242"/>
    <mergeCell ref="A2246:A2248"/>
    <mergeCell ref="B2246:B2248"/>
    <mergeCell ref="C2246:C2248"/>
    <mergeCell ref="F2246:F2248"/>
    <mergeCell ref="H2246:H2248"/>
    <mergeCell ref="I2246:I2248"/>
    <mergeCell ref="J2246:J2248"/>
    <mergeCell ref="K2246:K2248"/>
    <mergeCell ref="L2246:L2248"/>
    <mergeCell ref="M2246:M2248"/>
    <mergeCell ref="N2246:N2248"/>
    <mergeCell ref="O2246:O2248"/>
    <mergeCell ref="T2246:T2248"/>
    <mergeCell ref="U2246:U2248"/>
    <mergeCell ref="A2250:A2251"/>
    <mergeCell ref="B2250:B2251"/>
    <mergeCell ref="C2250:C2251"/>
    <mergeCell ref="F2250:F2251"/>
    <mergeCell ref="G2250:G2251"/>
    <mergeCell ref="H2250:H2251"/>
    <mergeCell ref="I2250:I2251"/>
    <mergeCell ref="J2250:J2251"/>
    <mergeCell ref="K2250:K2251"/>
    <mergeCell ref="L2250:L2251"/>
    <mergeCell ref="M2250:M2251"/>
    <mergeCell ref="N2250:N2251"/>
    <mergeCell ref="O2250:O2251"/>
    <mergeCell ref="T2250:T2251"/>
    <mergeCell ref="U2250:U2251"/>
    <mergeCell ref="A2255:A2265"/>
    <mergeCell ref="B2255:B2261"/>
    <mergeCell ref="C2255:C2261"/>
    <mergeCell ref="F2255:F2261"/>
    <mergeCell ref="G2255:G2261"/>
    <mergeCell ref="H2255:H2261"/>
    <mergeCell ref="I2255:I2261"/>
    <mergeCell ref="J2255:J2261"/>
    <mergeCell ref="K2255:K2261"/>
    <mergeCell ref="L2255:L2261"/>
    <mergeCell ref="M2255:M2261"/>
    <mergeCell ref="N2255:N2261"/>
    <mergeCell ref="O2255:O2261"/>
    <mergeCell ref="T2255:T2261"/>
    <mergeCell ref="U2255:U2261"/>
    <mergeCell ref="A2266:A2267"/>
    <mergeCell ref="B2266:B2267"/>
    <mergeCell ref="C2266:C2267"/>
    <mergeCell ref="F2266:F2267"/>
    <mergeCell ref="G2266:G2267"/>
    <mergeCell ref="H2266:H2267"/>
    <mergeCell ref="I2266:I2267"/>
    <mergeCell ref="J2266:J2267"/>
    <mergeCell ref="K2266:K2267"/>
    <mergeCell ref="L2266:L2267"/>
    <mergeCell ref="M2266:M2267"/>
    <mergeCell ref="N2266:N2267"/>
    <mergeCell ref="O2266:O2267"/>
    <mergeCell ref="T2266:T2267"/>
    <mergeCell ref="U2266:U2267"/>
    <mergeCell ref="A2268:A2270"/>
    <mergeCell ref="B2268:B2270"/>
    <mergeCell ref="C2268:C2270"/>
    <mergeCell ref="F2268:F2270"/>
    <mergeCell ref="G2268:G2270"/>
    <mergeCell ref="H2268:H2270"/>
    <mergeCell ref="I2268:I2270"/>
    <mergeCell ref="J2268:J2270"/>
    <mergeCell ref="K2268:K2270"/>
    <mergeCell ref="L2268:L2270"/>
    <mergeCell ref="M2268:M2270"/>
    <mergeCell ref="N2268:N2270"/>
    <mergeCell ref="O2268:O2270"/>
    <mergeCell ref="T2268:T2270"/>
    <mergeCell ref="U2268:U2270"/>
    <mergeCell ref="A2272:A2274"/>
    <mergeCell ref="B2272:B2274"/>
    <mergeCell ref="C2272:C2274"/>
    <mergeCell ref="F2272:F2274"/>
    <mergeCell ref="G2272:G2274"/>
    <mergeCell ref="H2272:H2274"/>
    <mergeCell ref="I2272:I2274"/>
    <mergeCell ref="J2272:J2274"/>
    <mergeCell ref="K2272:K2274"/>
    <mergeCell ref="L2272:L2274"/>
    <mergeCell ref="M2272:M2274"/>
    <mergeCell ref="N2272:N2274"/>
    <mergeCell ref="O2272:O2274"/>
    <mergeCell ref="T2272:T2274"/>
    <mergeCell ref="U2272:U2274"/>
    <mergeCell ref="A2275:A2276"/>
    <mergeCell ref="B2275:B2276"/>
    <mergeCell ref="C2275:C2276"/>
    <mergeCell ref="F2275:F2276"/>
    <mergeCell ref="G2275:G2276"/>
    <mergeCell ref="H2275:H2276"/>
    <mergeCell ref="I2275:I2276"/>
    <mergeCell ref="J2275:J2276"/>
    <mergeCell ref="K2275:K2276"/>
    <mergeCell ref="L2275:L2276"/>
    <mergeCell ref="M2275:M2276"/>
    <mergeCell ref="N2275:N2276"/>
    <mergeCell ref="O2275:O2276"/>
    <mergeCell ref="T2275:T2276"/>
    <mergeCell ref="U2275:U2276"/>
    <mergeCell ref="A2279:A2285"/>
    <mergeCell ref="B2279:B2282"/>
    <mergeCell ref="C2279:C2282"/>
    <mergeCell ref="F2279:F2282"/>
    <mergeCell ref="G2279:G2282"/>
    <mergeCell ref="H2279:H2282"/>
    <mergeCell ref="I2279:I2282"/>
    <mergeCell ref="J2279:J2282"/>
    <mergeCell ref="K2279:K2282"/>
    <mergeCell ref="L2279:L2282"/>
    <mergeCell ref="M2279:M2282"/>
    <mergeCell ref="N2279:N2282"/>
    <mergeCell ref="O2279:O2282"/>
    <mergeCell ref="T2279:T2282"/>
    <mergeCell ref="U2279:U2282"/>
    <mergeCell ref="A2289:A2292"/>
    <mergeCell ref="B2289:B2292"/>
    <mergeCell ref="C2289:C2292"/>
    <mergeCell ref="F2289:F2292"/>
    <mergeCell ref="G2289:G2292"/>
    <mergeCell ref="H2289:H2292"/>
    <mergeCell ref="I2289:I2292"/>
    <mergeCell ref="J2289:J2292"/>
    <mergeCell ref="K2289:K2292"/>
    <mergeCell ref="L2289:L2292"/>
    <mergeCell ref="M2289:M2292"/>
    <mergeCell ref="N2289:N2292"/>
    <mergeCell ref="O2289:O2292"/>
    <mergeCell ref="T2289:T2292"/>
    <mergeCell ref="U2289:U2292"/>
    <mergeCell ref="A2293:A2297"/>
    <mergeCell ref="B2293:B2297"/>
    <mergeCell ref="C2293:C2297"/>
    <mergeCell ref="F2293:F2297"/>
    <mergeCell ref="G2293:G2297"/>
    <mergeCell ref="H2293:H2297"/>
    <mergeCell ref="I2293:I2297"/>
    <mergeCell ref="J2293:J2297"/>
    <mergeCell ref="K2293:K2297"/>
    <mergeCell ref="L2293:L2297"/>
    <mergeCell ref="M2293:M2297"/>
    <mergeCell ref="N2293:N2297"/>
    <mergeCell ref="O2293:O2297"/>
    <mergeCell ref="T2293:T2297"/>
    <mergeCell ref="U2293:U2297"/>
    <mergeCell ref="A2298:A2299"/>
    <mergeCell ref="B2298:B2299"/>
    <mergeCell ref="C2298:C2299"/>
    <mergeCell ref="F2298:F2299"/>
    <mergeCell ref="G2298:G2299"/>
    <mergeCell ref="H2298:H2299"/>
    <mergeCell ref="I2298:I2299"/>
    <mergeCell ref="J2298:J2299"/>
    <mergeCell ref="K2298:K2299"/>
    <mergeCell ref="L2298:L2299"/>
    <mergeCell ref="M2298:M2299"/>
    <mergeCell ref="N2298:N2299"/>
    <mergeCell ref="O2298:O2299"/>
    <mergeCell ref="T2298:T2299"/>
    <mergeCell ref="U2298:U2299"/>
    <mergeCell ref="A2300:A2305"/>
    <mergeCell ref="B2300:B2302"/>
    <mergeCell ref="C2300:C2302"/>
    <mergeCell ref="F2300:F2302"/>
    <mergeCell ref="G2300:G2302"/>
    <mergeCell ref="H2300:H2302"/>
    <mergeCell ref="I2300:I2302"/>
    <mergeCell ref="J2300:J2302"/>
    <mergeCell ref="K2300:K2302"/>
    <mergeCell ref="L2300:L2302"/>
    <mergeCell ref="M2300:M2302"/>
    <mergeCell ref="N2300:N2302"/>
    <mergeCell ref="O2300:O2302"/>
    <mergeCell ref="T2300:T2302"/>
    <mergeCell ref="U2300:U2302"/>
    <mergeCell ref="A2309:A2311"/>
    <mergeCell ref="A2318:A2319"/>
    <mergeCell ref="B2318:B2319"/>
    <mergeCell ref="C2318:C2319"/>
    <mergeCell ref="F2318:F2319"/>
    <mergeCell ref="G2318:G2319"/>
    <mergeCell ref="H2318:H2319"/>
    <mergeCell ref="I2318:I2319"/>
    <mergeCell ref="J2318:J2319"/>
    <mergeCell ref="K2318:K2319"/>
    <mergeCell ref="L2318:L2319"/>
    <mergeCell ref="M2318:M2319"/>
    <mergeCell ref="N2318:N2319"/>
    <mergeCell ref="O2318:O2319"/>
    <mergeCell ref="T2318:T2319"/>
    <mergeCell ref="U2318:U2319"/>
    <mergeCell ref="A2321:A2322"/>
    <mergeCell ref="B2321:B2322"/>
    <mergeCell ref="C2321:C2322"/>
    <mergeCell ref="F2321:F2322"/>
    <mergeCell ref="G2321:G2322"/>
    <mergeCell ref="H2321:H2322"/>
    <mergeCell ref="I2321:I2322"/>
    <mergeCell ref="J2321:J2322"/>
    <mergeCell ref="K2321:K2322"/>
    <mergeCell ref="L2321:L2322"/>
    <mergeCell ref="M2321:M2322"/>
    <mergeCell ref="N2321:N2322"/>
    <mergeCell ref="O2321:O2322"/>
    <mergeCell ref="T2321:T2322"/>
    <mergeCell ref="U2321:U2322"/>
    <mergeCell ref="A2327:A2328"/>
    <mergeCell ref="B2327:B2328"/>
    <mergeCell ref="C2327:C2328"/>
    <mergeCell ref="F2327:F2328"/>
    <mergeCell ref="G2327:G2328"/>
    <mergeCell ref="H2327:H2328"/>
    <mergeCell ref="I2327:I2328"/>
    <mergeCell ref="J2327:J2328"/>
    <mergeCell ref="K2327:K2328"/>
    <mergeCell ref="L2327:L2328"/>
    <mergeCell ref="M2327:M2328"/>
    <mergeCell ref="N2327:N2328"/>
    <mergeCell ref="O2327:O2328"/>
    <mergeCell ref="T2327:T2328"/>
    <mergeCell ref="U2327:U2328"/>
    <mergeCell ref="A2330:A2331"/>
    <mergeCell ref="B2330:B2331"/>
    <mergeCell ref="C2330:C2331"/>
    <mergeCell ref="F2330:F2331"/>
    <mergeCell ref="G2330:G2331"/>
    <mergeCell ref="H2330:H2331"/>
    <mergeCell ref="I2330:I2331"/>
    <mergeCell ref="J2330:J2331"/>
    <mergeCell ref="K2330:K2331"/>
    <mergeCell ref="L2330:L2331"/>
    <mergeCell ref="M2330:M2331"/>
    <mergeCell ref="N2330:N2331"/>
    <mergeCell ref="O2330:O2331"/>
    <mergeCell ref="T2330:T2331"/>
    <mergeCell ref="U2330:U2331"/>
    <mergeCell ref="A2332:A2333"/>
    <mergeCell ref="B2332:B2333"/>
    <mergeCell ref="C2332:C2333"/>
    <mergeCell ref="F2332:F2333"/>
    <mergeCell ref="G2332:G2333"/>
    <mergeCell ref="H2332:H2333"/>
    <mergeCell ref="I2332:I2333"/>
    <mergeCell ref="J2332:J2333"/>
    <mergeCell ref="K2332:K2333"/>
    <mergeCell ref="L2332:L2333"/>
    <mergeCell ref="M2332:M2333"/>
    <mergeCell ref="N2332:N2333"/>
    <mergeCell ref="O2332:O2333"/>
    <mergeCell ref="T2332:T2333"/>
    <mergeCell ref="U2332:U2333"/>
    <mergeCell ref="A2334:A2337"/>
    <mergeCell ref="B2334:B2335"/>
    <mergeCell ref="C2334:C2335"/>
    <mergeCell ref="F2334:F2335"/>
    <mergeCell ref="G2334:G2335"/>
    <mergeCell ref="H2334:H2335"/>
    <mergeCell ref="I2334:I2335"/>
    <mergeCell ref="J2334:J2335"/>
    <mergeCell ref="K2334:K2335"/>
    <mergeCell ref="L2334:L2335"/>
    <mergeCell ref="M2334:M2335"/>
    <mergeCell ref="N2334:N2335"/>
    <mergeCell ref="O2334:O2335"/>
    <mergeCell ref="T2334:T2335"/>
    <mergeCell ref="U2334:U2335"/>
    <mergeCell ref="B2336:B2337"/>
    <mergeCell ref="C2336:C2337"/>
    <mergeCell ref="F2336:F2337"/>
    <mergeCell ref="G2336:G2337"/>
    <mergeCell ref="H2336:H2337"/>
    <mergeCell ref="I2336:I2337"/>
    <mergeCell ref="J2336:J2337"/>
    <mergeCell ref="K2336:K2337"/>
    <mergeCell ref="L2336:L2337"/>
    <mergeCell ref="M2336:M2337"/>
    <mergeCell ref="N2336:N2337"/>
    <mergeCell ref="O2336:O2337"/>
    <mergeCell ref="T2336:T2337"/>
    <mergeCell ref="U2336:U2337"/>
    <mergeCell ref="A2338:A2341"/>
    <mergeCell ref="B2338:B2341"/>
    <mergeCell ref="C2338:C2341"/>
    <mergeCell ref="F2338:F2341"/>
    <mergeCell ref="G2338:G2341"/>
    <mergeCell ref="H2338:H2341"/>
    <mergeCell ref="I2338:I2341"/>
    <mergeCell ref="J2338:J2341"/>
    <mergeCell ref="K2338:K2341"/>
    <mergeCell ref="L2338:L2341"/>
    <mergeCell ref="M2338:M2341"/>
    <mergeCell ref="N2338:N2341"/>
    <mergeCell ref="O2338:O2341"/>
    <mergeCell ref="T2338:T2341"/>
    <mergeCell ref="U2338:U2341"/>
    <mergeCell ref="A2342:A2345"/>
    <mergeCell ref="B2343:B2344"/>
    <mergeCell ref="C2343:C2344"/>
    <mergeCell ref="F2343:F2344"/>
    <mergeCell ref="G2343:G2344"/>
    <mergeCell ref="H2343:H2344"/>
    <mergeCell ref="I2343:I2344"/>
    <mergeCell ref="J2343:J2344"/>
    <mergeCell ref="K2343:K2344"/>
    <mergeCell ref="L2343:L2344"/>
    <mergeCell ref="M2343:M2344"/>
    <mergeCell ref="N2343:N2344"/>
    <mergeCell ref="O2343:O2344"/>
    <mergeCell ref="T2343:T2344"/>
    <mergeCell ref="U2343:U2344"/>
    <mergeCell ref="A2346:A2350"/>
    <mergeCell ref="B2347:B2348"/>
    <mergeCell ref="C2347:C2348"/>
    <mergeCell ref="F2347:F2348"/>
    <mergeCell ref="G2347:G2348"/>
    <mergeCell ref="H2347:H2348"/>
    <mergeCell ref="I2347:I2348"/>
    <mergeCell ref="J2347:J2348"/>
    <mergeCell ref="K2347:K2348"/>
    <mergeCell ref="L2347:L2348"/>
    <mergeCell ref="M2347:M2348"/>
    <mergeCell ref="N2347:N2348"/>
    <mergeCell ref="O2347:O2348"/>
    <mergeCell ref="T2347:T2348"/>
    <mergeCell ref="U2347:U2348"/>
    <mergeCell ref="B2349:B2350"/>
    <mergeCell ref="C2349:C2350"/>
    <mergeCell ref="F2349:F2350"/>
    <mergeCell ref="G2349:G2350"/>
    <mergeCell ref="H2349:H2350"/>
    <mergeCell ref="I2349:I2350"/>
    <mergeCell ref="J2349:J2350"/>
    <mergeCell ref="K2349:K2350"/>
    <mergeCell ref="L2349:L2350"/>
    <mergeCell ref="M2349:M2350"/>
    <mergeCell ref="N2349:N2350"/>
    <mergeCell ref="O2349:O2350"/>
    <mergeCell ref="T2349:T2350"/>
    <mergeCell ref="U2349:U2350"/>
    <mergeCell ref="A2351:A2352"/>
    <mergeCell ref="B2351:B2352"/>
    <mergeCell ref="C2351:C2352"/>
    <mergeCell ref="G2351:G2352"/>
    <mergeCell ref="H2351:H2352"/>
    <mergeCell ref="I2351:I2352"/>
    <mergeCell ref="J2351:J2352"/>
    <mergeCell ref="K2351:K2352"/>
    <mergeCell ref="L2351:L2352"/>
    <mergeCell ref="M2351:M2352"/>
    <mergeCell ref="N2351:N2352"/>
    <mergeCell ref="O2351:O2352"/>
    <mergeCell ref="T2351:T2352"/>
    <mergeCell ref="U2351:U2352"/>
    <mergeCell ref="A2353:A2354"/>
    <mergeCell ref="A2355:A2357"/>
    <mergeCell ref="B2355:B2356"/>
    <mergeCell ref="C2355:C2356"/>
    <mergeCell ref="F2355:F2356"/>
    <mergeCell ref="G2355:G2356"/>
    <mergeCell ref="H2355:H2356"/>
    <mergeCell ref="I2355:I2356"/>
    <mergeCell ref="J2355:J2356"/>
    <mergeCell ref="K2355:K2356"/>
    <mergeCell ref="L2355:L2356"/>
    <mergeCell ref="M2355:M2356"/>
    <mergeCell ref="N2355:N2356"/>
    <mergeCell ref="O2355:O2356"/>
    <mergeCell ref="T2355:T2356"/>
    <mergeCell ref="U2355:U2356"/>
    <mergeCell ref="A2358:A2371"/>
    <mergeCell ref="B2358:B2368"/>
    <mergeCell ref="C2358:C2368"/>
    <mergeCell ref="F2358:F2368"/>
    <mergeCell ref="G2358:G2368"/>
    <mergeCell ref="H2358:H2368"/>
    <mergeCell ref="I2358:I2368"/>
    <mergeCell ref="J2358:J2368"/>
    <mergeCell ref="K2358:K2368"/>
    <mergeCell ref="L2358:L2368"/>
    <mergeCell ref="M2358:M2368"/>
    <mergeCell ref="N2358:N2368"/>
    <mergeCell ref="O2358:O2368"/>
    <mergeCell ref="T2358:T2368"/>
    <mergeCell ref="U2358:U2368"/>
    <mergeCell ref="B2370:B2371"/>
    <mergeCell ref="C2370:C2371"/>
    <mergeCell ref="F2370:F2371"/>
    <mergeCell ref="G2370:G2371"/>
    <mergeCell ref="H2370:H2371"/>
    <mergeCell ref="I2370:I2371"/>
    <mergeCell ref="J2370:J2371"/>
    <mergeCell ref="K2370:K2371"/>
    <mergeCell ref="L2370:L2371"/>
    <mergeCell ref="M2370:M2371"/>
    <mergeCell ref="N2370:N2371"/>
    <mergeCell ref="O2370:O2371"/>
    <mergeCell ref="T2370:T2371"/>
    <mergeCell ref="U2370:U2371"/>
    <mergeCell ref="A2373:A2376"/>
    <mergeCell ref="B2373:B2376"/>
    <mergeCell ref="C2373:C2376"/>
    <mergeCell ref="F2373:F2376"/>
    <mergeCell ref="G2373:G2376"/>
    <mergeCell ref="H2373:H2376"/>
    <mergeCell ref="I2373:I2376"/>
    <mergeCell ref="J2373:J2376"/>
    <mergeCell ref="K2373:K2376"/>
    <mergeCell ref="L2373:L2376"/>
    <mergeCell ref="M2373:M2376"/>
    <mergeCell ref="N2373:N2376"/>
    <mergeCell ref="O2373:O2376"/>
    <mergeCell ref="T2373:T2376"/>
    <mergeCell ref="U2373:U2376"/>
    <mergeCell ref="A2380:A2381"/>
    <mergeCell ref="B2380:B2381"/>
    <mergeCell ref="C2380:C2381"/>
    <mergeCell ref="F2380:F2381"/>
    <mergeCell ref="G2380:G2381"/>
    <mergeCell ref="H2380:H2381"/>
    <mergeCell ref="I2380:I2381"/>
    <mergeCell ref="J2380:J2381"/>
    <mergeCell ref="K2380:K2381"/>
    <mergeCell ref="L2380:L2381"/>
    <mergeCell ref="M2380:M2381"/>
    <mergeCell ref="N2380:N2381"/>
    <mergeCell ref="O2380:O2381"/>
    <mergeCell ref="T2380:T2381"/>
    <mergeCell ref="U2380:U2381"/>
    <mergeCell ref="A2382:A2383"/>
    <mergeCell ref="B2382:B2383"/>
    <mergeCell ref="C2382:C2383"/>
    <mergeCell ref="F2382:F2383"/>
    <mergeCell ref="G2382:G2383"/>
    <mergeCell ref="H2382:H2383"/>
    <mergeCell ref="I2382:I2383"/>
    <mergeCell ref="J2382:J2383"/>
    <mergeCell ref="K2382:K2383"/>
    <mergeCell ref="L2382:L2383"/>
    <mergeCell ref="M2382:M2383"/>
    <mergeCell ref="N2382:N2383"/>
    <mergeCell ref="O2382:O2383"/>
    <mergeCell ref="T2382:T2383"/>
    <mergeCell ref="U2382:U2383"/>
    <mergeCell ref="A2386:A2387"/>
    <mergeCell ref="B2386:B2387"/>
    <mergeCell ref="C2386:C2387"/>
    <mergeCell ref="F2386:F2387"/>
    <mergeCell ref="G2386:G2387"/>
    <mergeCell ref="H2386:H2387"/>
    <mergeCell ref="I2386:I2387"/>
    <mergeCell ref="J2386:J2387"/>
    <mergeCell ref="K2386:K2387"/>
    <mergeCell ref="L2386:L2387"/>
    <mergeCell ref="M2386:M2387"/>
    <mergeCell ref="N2386:N2387"/>
    <mergeCell ref="O2386:O2387"/>
    <mergeCell ref="T2386:T2387"/>
    <mergeCell ref="U2386:U2387"/>
    <mergeCell ref="A2395:A2396"/>
    <mergeCell ref="B2395:B2396"/>
    <mergeCell ref="C2395:C2396"/>
    <mergeCell ref="F2395:F2396"/>
    <mergeCell ref="G2395:G2396"/>
    <mergeCell ref="H2395:H2396"/>
    <mergeCell ref="I2395:I2396"/>
    <mergeCell ref="J2395:J2396"/>
    <mergeCell ref="K2395:K2396"/>
    <mergeCell ref="L2395:L2396"/>
    <mergeCell ref="M2395:M2396"/>
    <mergeCell ref="N2395:N2396"/>
    <mergeCell ref="O2395:O2396"/>
    <mergeCell ref="T2395:T2396"/>
    <mergeCell ref="U2395:U2396"/>
    <mergeCell ref="A2399:A2404"/>
    <mergeCell ref="B2399:B2400"/>
    <mergeCell ref="C2399:C2400"/>
    <mergeCell ref="F2399:F2400"/>
    <mergeCell ref="G2399:G2400"/>
    <mergeCell ref="H2399:H2400"/>
    <mergeCell ref="I2399:I2400"/>
    <mergeCell ref="J2399:J2400"/>
    <mergeCell ref="K2399:K2400"/>
    <mergeCell ref="L2399:L2400"/>
    <mergeCell ref="M2399:M2400"/>
    <mergeCell ref="N2399:N2400"/>
    <mergeCell ref="O2399:O2400"/>
    <mergeCell ref="T2399:T2400"/>
    <mergeCell ref="U2399:U2400"/>
    <mergeCell ref="A2405:A2411"/>
    <mergeCell ref="B2405:B2407"/>
    <mergeCell ref="C2405:C2407"/>
    <mergeCell ref="F2405:F2407"/>
    <mergeCell ref="G2405:G2407"/>
    <mergeCell ref="H2405:H2407"/>
    <mergeCell ref="I2405:I2407"/>
    <mergeCell ref="J2405:J2407"/>
    <mergeCell ref="K2405:K2407"/>
    <mergeCell ref="L2405:L2407"/>
    <mergeCell ref="M2405:M2407"/>
    <mergeCell ref="N2405:N2407"/>
    <mergeCell ref="O2405:O2407"/>
    <mergeCell ref="T2405:T2407"/>
    <mergeCell ref="U2405:U2407"/>
    <mergeCell ref="B2408:B2409"/>
    <mergeCell ref="C2408:C2409"/>
    <mergeCell ref="F2408:F2409"/>
    <mergeCell ref="G2408:G2409"/>
    <mergeCell ref="H2408:H2409"/>
    <mergeCell ref="I2408:I2409"/>
    <mergeCell ref="J2408:J2409"/>
    <mergeCell ref="K2408:K2409"/>
    <mergeCell ref="L2408:L2409"/>
    <mergeCell ref="M2408:M2409"/>
    <mergeCell ref="N2408:N2409"/>
    <mergeCell ref="O2408:O2409"/>
    <mergeCell ref="T2408:T2409"/>
    <mergeCell ref="U2408:U2409"/>
    <mergeCell ref="A2413:A2416"/>
    <mergeCell ref="B2413:B2416"/>
    <mergeCell ref="C2413:C2416"/>
    <mergeCell ref="F2413:F2416"/>
    <mergeCell ref="G2413:G2416"/>
    <mergeCell ref="H2413:H2416"/>
    <mergeCell ref="I2413:I2416"/>
    <mergeCell ref="J2413:J2416"/>
    <mergeCell ref="K2413:K2416"/>
    <mergeCell ref="L2413:L2416"/>
    <mergeCell ref="M2413:M2416"/>
    <mergeCell ref="N2413:N2416"/>
    <mergeCell ref="O2413:O2416"/>
    <mergeCell ref="T2413:T2416"/>
    <mergeCell ref="U2413:U2416"/>
    <mergeCell ref="A2418:A2421"/>
    <mergeCell ref="B2418:B2421"/>
    <mergeCell ref="C2418:C2421"/>
    <mergeCell ref="F2418:F2421"/>
    <mergeCell ref="G2418:G2421"/>
    <mergeCell ref="H2418:H2421"/>
    <mergeCell ref="I2418:I2421"/>
    <mergeCell ref="J2418:J2421"/>
    <mergeCell ref="K2418:K2421"/>
    <mergeCell ref="L2418:L2421"/>
    <mergeCell ref="M2418:M2421"/>
    <mergeCell ref="N2418:N2421"/>
    <mergeCell ref="O2418:O2421"/>
    <mergeCell ref="T2418:T2421"/>
    <mergeCell ref="U2418:U2421"/>
    <mergeCell ref="A2422:A2424"/>
    <mergeCell ref="B2422:B2424"/>
    <mergeCell ref="C2422:C2424"/>
    <mergeCell ref="F2422:F2424"/>
    <mergeCell ref="G2422:G2424"/>
    <mergeCell ref="H2422:H2424"/>
    <mergeCell ref="I2422:I2424"/>
    <mergeCell ref="K2422:K2424"/>
    <mergeCell ref="L2422:L2424"/>
    <mergeCell ref="M2422:M2424"/>
    <mergeCell ref="N2422:N2424"/>
    <mergeCell ref="O2422:O2424"/>
    <mergeCell ref="T2422:T2424"/>
    <mergeCell ref="U2422:U2424"/>
    <mergeCell ref="A2429:A2437"/>
    <mergeCell ref="B2429:B2433"/>
    <mergeCell ref="C2429:C2433"/>
    <mergeCell ref="F2429:F2433"/>
    <mergeCell ref="G2429:G2433"/>
    <mergeCell ref="H2429:H2433"/>
    <mergeCell ref="I2429:I2433"/>
    <mergeCell ref="J2429:J2433"/>
    <mergeCell ref="K2429:K2433"/>
    <mergeCell ref="L2429:L2433"/>
    <mergeCell ref="M2429:M2433"/>
    <mergeCell ref="N2429:N2433"/>
    <mergeCell ref="O2429:O2433"/>
    <mergeCell ref="T2429:T2433"/>
    <mergeCell ref="U2429:U2433"/>
    <mergeCell ref="A2439:A2443"/>
    <mergeCell ref="B2439:B2443"/>
    <mergeCell ref="C2439:C2443"/>
    <mergeCell ref="F2439:F2443"/>
    <mergeCell ref="G2439:G2443"/>
    <mergeCell ref="H2439:H2443"/>
    <mergeCell ref="I2439:I2443"/>
    <mergeCell ref="J2439:J2443"/>
    <mergeCell ref="K2439:K2443"/>
    <mergeCell ref="L2439:L2443"/>
    <mergeCell ref="M2439:M2443"/>
    <mergeCell ref="N2439:N2443"/>
    <mergeCell ref="O2439:O2443"/>
    <mergeCell ref="T2439:T2443"/>
    <mergeCell ref="U2439:U2443"/>
    <mergeCell ref="A2444:A2451"/>
    <mergeCell ref="B2444:B2445"/>
    <mergeCell ref="C2444:C2445"/>
    <mergeCell ref="F2444:F2445"/>
    <mergeCell ref="G2444:G2445"/>
    <mergeCell ref="H2444:H2445"/>
    <mergeCell ref="I2444:I2445"/>
    <mergeCell ref="J2444:J2445"/>
    <mergeCell ref="K2444:K2445"/>
    <mergeCell ref="L2444:L2445"/>
    <mergeCell ref="M2444:M2445"/>
    <mergeCell ref="N2444:N2445"/>
    <mergeCell ref="O2444:O2445"/>
    <mergeCell ref="T2444:T2445"/>
    <mergeCell ref="U2444:U2445"/>
    <mergeCell ref="B2446:B2449"/>
    <mergeCell ref="C2446:C2449"/>
    <mergeCell ref="F2446:F2449"/>
    <mergeCell ref="G2446:G2449"/>
    <mergeCell ref="H2446:H2449"/>
    <mergeCell ref="I2446:I2449"/>
    <mergeCell ref="J2446:J2449"/>
    <mergeCell ref="K2446:K2449"/>
    <mergeCell ref="L2446:L2449"/>
    <mergeCell ref="M2446:M2449"/>
    <mergeCell ref="N2446:N2449"/>
    <mergeCell ref="O2446:O2449"/>
    <mergeCell ref="T2446:T2449"/>
    <mergeCell ref="U2446:U2449"/>
    <mergeCell ref="A2452:A2453"/>
    <mergeCell ref="B2452:B2453"/>
    <mergeCell ref="C2452:C2453"/>
    <mergeCell ref="F2452:F2453"/>
    <mergeCell ref="G2452:G2453"/>
    <mergeCell ref="H2452:H2453"/>
    <mergeCell ref="I2452:I2453"/>
    <mergeCell ref="J2452:J2453"/>
    <mergeCell ref="K2452:K2453"/>
    <mergeCell ref="L2452:L2453"/>
    <mergeCell ref="M2452:M2453"/>
    <mergeCell ref="N2452:N2453"/>
    <mergeCell ref="O2452:O2453"/>
    <mergeCell ref="T2452:T2453"/>
    <mergeCell ref="U2452:U2453"/>
    <mergeCell ref="A2457:A2458"/>
    <mergeCell ref="B2457:B2458"/>
    <mergeCell ref="C2457:C2458"/>
    <mergeCell ref="F2457:F2458"/>
    <mergeCell ref="G2457:G2458"/>
    <mergeCell ref="H2457:H2458"/>
    <mergeCell ref="I2457:I2458"/>
    <mergeCell ref="J2457:J2458"/>
    <mergeCell ref="K2457:K2458"/>
    <mergeCell ref="L2457:L2458"/>
    <mergeCell ref="M2457:M2458"/>
    <mergeCell ref="N2457:N2458"/>
    <mergeCell ref="O2457:O2458"/>
    <mergeCell ref="T2457:T2458"/>
    <mergeCell ref="U2457:U2458"/>
    <mergeCell ref="A2463:A2466"/>
    <mergeCell ref="B2463:B2466"/>
    <mergeCell ref="C2463:C2466"/>
    <mergeCell ref="F2463:F2466"/>
    <mergeCell ref="G2463:G2466"/>
    <mergeCell ref="H2463:H2466"/>
    <mergeCell ref="I2463:I2466"/>
    <mergeCell ref="J2463:J2466"/>
    <mergeCell ref="K2463:K2466"/>
    <mergeCell ref="L2463:L2466"/>
    <mergeCell ref="M2463:M2466"/>
    <mergeCell ref="N2463:N2466"/>
    <mergeCell ref="O2463:O2466"/>
    <mergeCell ref="T2463:T2466"/>
    <mergeCell ref="U2463:U2466"/>
    <mergeCell ref="A2469:A2475"/>
    <mergeCell ref="B2469:B2470"/>
    <mergeCell ref="C2469:C2470"/>
    <mergeCell ref="F2469:F2470"/>
    <mergeCell ref="G2469:G2470"/>
    <mergeCell ref="H2469:H2470"/>
    <mergeCell ref="I2469:I2470"/>
    <mergeCell ref="J2469:J2470"/>
    <mergeCell ref="K2469:K2470"/>
    <mergeCell ref="L2469:L2470"/>
    <mergeCell ref="M2469:M2470"/>
    <mergeCell ref="N2469:N2470"/>
    <mergeCell ref="O2469:O2470"/>
    <mergeCell ref="T2469:T2470"/>
    <mergeCell ref="U2469:U2470"/>
    <mergeCell ref="B2472:B2473"/>
    <mergeCell ref="C2472:C2473"/>
    <mergeCell ref="F2472:F2473"/>
    <mergeCell ref="G2472:G2473"/>
    <mergeCell ref="H2472:H2473"/>
    <mergeCell ref="I2472:I2473"/>
    <mergeCell ref="J2472:J2473"/>
    <mergeCell ref="K2472:K2473"/>
    <mergeCell ref="L2472:L2473"/>
    <mergeCell ref="M2472:M2473"/>
    <mergeCell ref="N2472:N2473"/>
    <mergeCell ref="O2472:O2473"/>
    <mergeCell ref="T2472:T2473"/>
    <mergeCell ref="U2472:U2473"/>
    <mergeCell ref="A2477:A2479"/>
    <mergeCell ref="B2477:B2479"/>
    <mergeCell ref="C2477:C2479"/>
    <mergeCell ref="F2477:F2479"/>
    <mergeCell ref="G2477:G2479"/>
    <mergeCell ref="H2477:H2479"/>
    <mergeCell ref="J2477:J2479"/>
    <mergeCell ref="K2477:K2479"/>
    <mergeCell ref="L2477:L2479"/>
    <mergeCell ref="M2477:M2479"/>
    <mergeCell ref="N2477:N2479"/>
    <mergeCell ref="O2477:O2479"/>
    <mergeCell ref="T2477:T2479"/>
    <mergeCell ref="U2477:U2479"/>
    <mergeCell ref="A2480:A2485"/>
    <mergeCell ref="B2480:B2481"/>
    <mergeCell ref="C2480:C2481"/>
    <mergeCell ref="F2480:F2481"/>
    <mergeCell ref="G2480:G2481"/>
    <mergeCell ref="H2480:H2481"/>
    <mergeCell ref="I2480:I2481"/>
    <mergeCell ref="J2480:J2481"/>
    <mergeCell ref="K2480:K2481"/>
    <mergeCell ref="L2480:L2481"/>
    <mergeCell ref="M2480:M2481"/>
    <mergeCell ref="N2480:N2481"/>
    <mergeCell ref="O2480:O2481"/>
    <mergeCell ref="T2480:T2481"/>
    <mergeCell ref="U2480:U2481"/>
    <mergeCell ref="A2486:A2490"/>
    <mergeCell ref="B2486:B2490"/>
    <mergeCell ref="C2486:C2490"/>
    <mergeCell ref="F2486:F2490"/>
    <mergeCell ref="G2486:G2490"/>
    <mergeCell ref="H2486:H2490"/>
    <mergeCell ref="I2486:I2490"/>
    <mergeCell ref="J2486:J2490"/>
    <mergeCell ref="K2486:K2490"/>
    <mergeCell ref="L2486:L2490"/>
    <mergeCell ref="M2486:M2490"/>
    <mergeCell ref="N2486:N2490"/>
    <mergeCell ref="O2486:O2490"/>
    <mergeCell ref="T2486:T2490"/>
    <mergeCell ref="U2486:U2490"/>
    <mergeCell ref="A2492:A2493"/>
    <mergeCell ref="B2492:B2493"/>
    <mergeCell ref="C2492:C2493"/>
    <mergeCell ref="F2492:F2493"/>
    <mergeCell ref="G2492:G2493"/>
    <mergeCell ref="H2492:H2493"/>
    <mergeCell ref="I2492:I2493"/>
    <mergeCell ref="J2492:J2493"/>
    <mergeCell ref="K2492:K2493"/>
    <mergeCell ref="L2492:L2493"/>
    <mergeCell ref="M2492:M2493"/>
    <mergeCell ref="N2492:N2493"/>
    <mergeCell ref="O2492:O2493"/>
    <mergeCell ref="T2492:T2493"/>
    <mergeCell ref="U2492:U2493"/>
    <mergeCell ref="A2495:A2502"/>
    <mergeCell ref="B2495:B2498"/>
    <mergeCell ref="C2495:C2498"/>
    <mergeCell ref="F2495:F2498"/>
    <mergeCell ref="G2495:G2498"/>
    <mergeCell ref="H2495:H2498"/>
    <mergeCell ref="I2495:I2498"/>
    <mergeCell ref="J2495:J2498"/>
    <mergeCell ref="K2495:K2498"/>
    <mergeCell ref="L2495:L2498"/>
    <mergeCell ref="M2495:M2498"/>
    <mergeCell ref="N2495:N2498"/>
    <mergeCell ref="O2495:O2498"/>
    <mergeCell ref="T2495:T2498"/>
    <mergeCell ref="U2495:U2498"/>
    <mergeCell ref="A2503:A2506"/>
    <mergeCell ref="B2503:B2506"/>
    <mergeCell ref="C2503:C2506"/>
    <mergeCell ref="F2503:F2506"/>
    <mergeCell ref="G2503:G2506"/>
    <mergeCell ref="H2503:H2506"/>
    <mergeCell ref="I2503:I2506"/>
    <mergeCell ref="J2503:J2506"/>
    <mergeCell ref="K2503:K2506"/>
    <mergeCell ref="L2503:L2506"/>
    <mergeCell ref="M2503:M2506"/>
    <mergeCell ref="N2503:N2506"/>
    <mergeCell ref="O2503:O2506"/>
    <mergeCell ref="T2503:T2506"/>
    <mergeCell ref="U2503:U2506"/>
    <mergeCell ref="A2510:A2512"/>
    <mergeCell ref="B2510:B2512"/>
    <mergeCell ref="C2510:C2512"/>
    <mergeCell ref="F2510:F2512"/>
    <mergeCell ref="G2510:G2512"/>
    <mergeCell ref="H2510:H2512"/>
    <mergeCell ref="I2510:I2512"/>
    <mergeCell ref="J2510:J2512"/>
    <mergeCell ref="K2510:K2512"/>
    <mergeCell ref="L2510:L2512"/>
    <mergeCell ref="M2510:M2512"/>
    <mergeCell ref="N2510:N2512"/>
    <mergeCell ref="O2510:O2512"/>
    <mergeCell ref="T2510:T2512"/>
    <mergeCell ref="U2510:U2512"/>
    <mergeCell ref="A2520:L2520"/>
  </mergeCells>
  <printOptions headings="false" gridLines="false" gridLinesSet="true" horizontalCentered="false" verticalCentered="false"/>
  <pageMargins left="0.118055555555556" right="0.118055555555556" top="0.7875" bottom="0.393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Q201"/>
  <sheetViews>
    <sheetView showFormulas="false" showGridLines="true" showRowColHeaders="true" showZeros="true" rightToLeft="false" tabSelected="false" showOutlineSymbols="true" defaultGridColor="true" view="normal" topLeftCell="A152" colorId="64" zoomScale="80" zoomScaleNormal="80" zoomScalePageLayoutView="100" workbookViewId="0">
      <selection pane="topLeft" activeCell="Q126" activeCellId="0" sqref="Q12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4.27"/>
    <col collapsed="false" customWidth="true" hidden="false" outlineLevel="0" max="2" min="2" style="0" width="14.54"/>
    <col collapsed="false" customWidth="true" hidden="false" outlineLevel="0" max="3" min="3" style="0" width="16.18"/>
    <col collapsed="false" customWidth="true" hidden="false" outlineLevel="0" max="4" min="4" style="0" width="11.73"/>
    <col collapsed="false" customWidth="true" hidden="false" outlineLevel="0" max="5" min="5" style="0" width="13"/>
    <col collapsed="false" customWidth="true" hidden="false" outlineLevel="0" max="6" min="6" style="0" width="9.82"/>
    <col collapsed="false" customWidth="true" hidden="false" outlineLevel="0" max="7" min="7" style="0" width="9.54"/>
    <col collapsed="false" customWidth="true" hidden="false" outlineLevel="0" max="8" min="8" style="0" width="5"/>
    <col collapsed="false" customWidth="true" hidden="false" outlineLevel="0" max="9" min="9" style="0" width="5.27"/>
    <col collapsed="false" customWidth="true" hidden="false" outlineLevel="0" max="10" min="10" style="0" width="10.45"/>
    <col collapsed="false" customWidth="true" hidden="false" outlineLevel="0" max="11" min="11" style="0" width="3.54"/>
    <col collapsed="false" customWidth="true" hidden="false" outlineLevel="0" max="12" min="12" style="0" width="9.73"/>
    <col collapsed="false" customWidth="true" hidden="false" outlineLevel="0" max="13" min="13" style="0" width="16"/>
    <col collapsed="false" customWidth="true" hidden="false" outlineLevel="0" max="14" min="14" style="0" width="13.27"/>
    <col collapsed="false" customWidth="true" hidden="false" outlineLevel="0" max="15" min="15" style="0" width="11.54"/>
    <col collapsed="false" customWidth="true" hidden="false" outlineLevel="0" max="16" min="16" style="0" width="16.54"/>
    <col collapsed="false" customWidth="true" hidden="false" outlineLevel="0" max="17" min="17" style="0" width="22.82"/>
  </cols>
  <sheetData>
    <row r="1" customFormat="false" ht="16.5" hidden="false" customHeight="true" outlineLevel="0" collapsed="false">
      <c r="A1" s="1848" t="s">
        <v>3302</v>
      </c>
      <c r="B1" s="1848"/>
      <c r="C1" s="1848"/>
      <c r="D1" s="1848"/>
      <c r="E1" s="1848"/>
      <c r="F1" s="1848"/>
      <c r="G1" s="1848"/>
      <c r="H1" s="1848"/>
      <c r="I1" s="1848"/>
      <c r="J1" s="1848"/>
      <c r="K1" s="1848"/>
      <c r="L1" s="1848"/>
      <c r="M1" s="1848"/>
      <c r="N1" s="1848"/>
      <c r="O1" s="1848"/>
      <c r="P1" s="1848"/>
      <c r="Q1" s="1848"/>
    </row>
    <row r="2" customFormat="false" ht="16.5" hidden="false" customHeight="true" outlineLevel="0" collapsed="false">
      <c r="A2" s="1849" t="s">
        <v>2176</v>
      </c>
      <c r="B2" s="1850" t="s">
        <v>3303</v>
      </c>
      <c r="C2" s="1850" t="s">
        <v>2178</v>
      </c>
      <c r="D2" s="1850" t="s">
        <v>1</v>
      </c>
      <c r="E2" s="1850" t="s">
        <v>2179</v>
      </c>
      <c r="F2" s="1850" t="s">
        <v>2180</v>
      </c>
      <c r="G2" s="1850" t="s">
        <v>31</v>
      </c>
      <c r="H2" s="1850" t="s">
        <v>142</v>
      </c>
      <c r="I2" s="1850" t="s">
        <v>2183</v>
      </c>
      <c r="J2" s="1850" t="s">
        <v>2184</v>
      </c>
      <c r="K2" s="1850" t="s">
        <v>2185</v>
      </c>
      <c r="L2" s="1850" t="s">
        <v>2186</v>
      </c>
      <c r="M2" s="1850" t="s">
        <v>1647</v>
      </c>
      <c r="N2" s="1850" t="s">
        <v>3304</v>
      </c>
      <c r="O2" s="1850" t="s">
        <v>1690</v>
      </c>
      <c r="P2" s="1850" t="s">
        <v>3305</v>
      </c>
      <c r="Q2" s="1850" t="s">
        <v>3306</v>
      </c>
    </row>
    <row r="3" customFormat="false" ht="16.5" hidden="false" customHeight="true" outlineLevel="0" collapsed="false">
      <c r="A3" s="1851" t="n">
        <v>2</v>
      </c>
      <c r="B3" s="969" t="s">
        <v>86</v>
      </c>
      <c r="C3" s="969" t="n">
        <v>2021</v>
      </c>
      <c r="D3" s="929" t="s">
        <v>12</v>
      </c>
      <c r="E3" s="929" t="s">
        <v>2192</v>
      </c>
      <c r="F3" s="929" t="s">
        <v>1650</v>
      </c>
      <c r="G3" s="1852" t="n">
        <v>92</v>
      </c>
      <c r="H3" s="1853"/>
      <c r="I3" s="973" t="n">
        <f aca="false">G3*H3/100</f>
        <v>0</v>
      </c>
      <c r="J3" s="933" t="n">
        <v>5571</v>
      </c>
      <c r="K3" s="1854" t="n">
        <v>1</v>
      </c>
      <c r="L3" s="933" t="n">
        <f aca="false">J3*K3</f>
        <v>5571</v>
      </c>
      <c r="M3" s="932" t="n">
        <f aca="false">L3*G3</f>
        <v>512532</v>
      </c>
      <c r="N3" s="1855" t="n">
        <f aca="false">'COM.'!U11</f>
        <v>2.28486281851274</v>
      </c>
      <c r="O3" s="1856" t="n">
        <f aca="false">G3*N3</f>
        <v>210.207379303172</v>
      </c>
      <c r="P3" s="1856" t="n">
        <f aca="false">L3*O3</f>
        <v>1171065.31009797</v>
      </c>
      <c r="Q3" s="1857" t="n">
        <v>3</v>
      </c>
    </row>
    <row r="4" customFormat="false" ht="16.5" hidden="false" customHeight="true" outlineLevel="0" collapsed="false">
      <c r="A4" s="1851" t="n">
        <v>23</v>
      </c>
      <c r="B4" s="1858" t="s">
        <v>86</v>
      </c>
      <c r="C4" s="1858" t="n">
        <v>2021</v>
      </c>
      <c r="D4" s="1859" t="s">
        <v>11</v>
      </c>
      <c r="E4" s="1859" t="s">
        <v>2192</v>
      </c>
      <c r="F4" s="1859" t="s">
        <v>1650</v>
      </c>
      <c r="G4" s="1860" t="n">
        <v>53.76</v>
      </c>
      <c r="H4" s="1861"/>
      <c r="I4" s="973" t="n">
        <f aca="false">G4*H4/100</f>
        <v>0</v>
      </c>
      <c r="J4" s="1862" t="n">
        <v>1792</v>
      </c>
      <c r="K4" s="1863" t="n">
        <v>1</v>
      </c>
      <c r="L4" s="933" t="n">
        <f aca="false">J4*K4</f>
        <v>1792</v>
      </c>
      <c r="M4" s="932" t="n">
        <f aca="false">L4*G4</f>
        <v>96337.92</v>
      </c>
      <c r="N4" s="1855" t="n">
        <f aca="false">'COM.'!U10</f>
        <v>1.96128856227294</v>
      </c>
      <c r="O4" s="1856" t="n">
        <f aca="false">G4*N4</f>
        <v>105.438873107793</v>
      </c>
      <c r="P4" s="1856" t="n">
        <f aca="false">L4*O4</f>
        <v>188946.460609166</v>
      </c>
      <c r="Q4" s="1857" t="n">
        <v>1</v>
      </c>
    </row>
    <row r="5" customFormat="false" ht="16.5" hidden="false" customHeight="true" outlineLevel="0" collapsed="false">
      <c r="A5" s="1851" t="n">
        <v>33</v>
      </c>
      <c r="B5" s="1858" t="s">
        <v>86</v>
      </c>
      <c r="C5" s="1858" t="n">
        <v>2022</v>
      </c>
      <c r="D5" s="1859" t="s">
        <v>19</v>
      </c>
      <c r="E5" s="1859" t="s">
        <v>2192</v>
      </c>
      <c r="F5" s="1859" t="s">
        <v>2199</v>
      </c>
      <c r="G5" s="1860" t="n">
        <v>51</v>
      </c>
      <c r="H5" s="1861"/>
      <c r="I5" s="973" t="n">
        <f aca="false">G5*H5/100</f>
        <v>0</v>
      </c>
      <c r="J5" s="1862" t="n">
        <v>1800</v>
      </c>
      <c r="K5" s="1863" t="n">
        <v>1</v>
      </c>
      <c r="L5" s="933" t="n">
        <f aca="false">J5*K5</f>
        <v>1800</v>
      </c>
      <c r="M5" s="932" t="n">
        <f aca="false">L5*G5</f>
        <v>91800</v>
      </c>
      <c r="N5" s="1855" t="n">
        <f aca="false">'COM.'!U18</f>
        <v>0.377633871995541</v>
      </c>
      <c r="O5" s="1856" t="n">
        <f aca="false">G5*N5</f>
        <v>19.2593274717726</v>
      </c>
      <c r="P5" s="1856" t="n">
        <f aca="false">L5*O5</f>
        <v>34666.7894491906</v>
      </c>
      <c r="Q5" s="1857" t="n">
        <v>5</v>
      </c>
    </row>
    <row r="6" customFormat="false" ht="16.5" hidden="false" customHeight="true" outlineLevel="0" collapsed="false">
      <c r="A6" s="1851" t="n">
        <v>80</v>
      </c>
      <c r="B6" s="1858" t="s">
        <v>2230</v>
      </c>
      <c r="C6" s="1858" t="n">
        <v>2022</v>
      </c>
      <c r="D6" s="1859" t="s">
        <v>7</v>
      </c>
      <c r="E6" s="1859" t="s">
        <v>2192</v>
      </c>
      <c r="F6" s="1859" t="s">
        <v>1650</v>
      </c>
      <c r="G6" s="1860" t="n">
        <v>94.5</v>
      </c>
      <c r="H6" s="1861"/>
      <c r="I6" s="973" t="n">
        <f aca="false">G6*H6/100</f>
        <v>0</v>
      </c>
      <c r="J6" s="1862" t="n">
        <v>780</v>
      </c>
      <c r="K6" s="1863" t="n">
        <v>1</v>
      </c>
      <c r="L6" s="933" t="n">
        <f aca="false">J6*K6</f>
        <v>780</v>
      </c>
      <c r="M6" s="932" t="n">
        <f aca="false">L6*G6</f>
        <v>73710</v>
      </c>
      <c r="N6" s="1855" t="n">
        <f aca="false">'COM.'!U6</f>
        <v>0.296035364286203</v>
      </c>
      <c r="O6" s="1856" t="n">
        <f aca="false">G6*N6</f>
        <v>27.9753419250462</v>
      </c>
      <c r="P6" s="1856" t="n">
        <f aca="false">L6*O6</f>
        <v>21820.766701536</v>
      </c>
      <c r="Q6" s="1857" t="n">
        <v>7</v>
      </c>
    </row>
    <row r="7" customFormat="false" ht="16.5" hidden="false" customHeight="true" outlineLevel="0" collapsed="false">
      <c r="A7" s="1864" t="n">
        <v>97</v>
      </c>
      <c r="B7" s="1865" t="s">
        <v>86</v>
      </c>
      <c r="C7" s="1865" t="n">
        <v>2022</v>
      </c>
      <c r="D7" s="1866" t="s">
        <v>75</v>
      </c>
      <c r="E7" s="1866" t="s">
        <v>2242</v>
      </c>
      <c r="F7" s="1866"/>
      <c r="G7" s="1867" t="n">
        <v>1</v>
      </c>
      <c r="H7" s="1868"/>
      <c r="I7" s="1212" t="n">
        <f aca="false">G7*H7/100</f>
        <v>0</v>
      </c>
      <c r="J7" s="1869" t="n">
        <v>848</v>
      </c>
      <c r="K7" s="1870" t="n">
        <v>1</v>
      </c>
      <c r="L7" s="1218" t="n">
        <f aca="false">J7*K7</f>
        <v>848</v>
      </c>
      <c r="M7" s="1871" t="n">
        <f aca="false">L7*G7</f>
        <v>848</v>
      </c>
      <c r="N7" s="1872"/>
      <c r="O7" s="1873"/>
      <c r="P7" s="1873"/>
      <c r="Q7" s="1874"/>
    </row>
    <row r="8" customFormat="false" ht="16.5" hidden="false" customHeight="true" outlineLevel="0" collapsed="false">
      <c r="A8" s="1851" t="n">
        <v>113</v>
      </c>
      <c r="B8" s="1858" t="s">
        <v>81</v>
      </c>
      <c r="C8" s="1858" t="n">
        <v>2022</v>
      </c>
      <c r="D8" s="1859" t="s">
        <v>74</v>
      </c>
      <c r="E8" s="1859" t="s">
        <v>2192</v>
      </c>
      <c r="F8" s="1859"/>
      <c r="G8" s="1860" t="n">
        <v>1</v>
      </c>
      <c r="H8" s="1861"/>
      <c r="I8" s="973" t="n">
        <f aca="false">G8*H8/100</f>
        <v>0</v>
      </c>
      <c r="J8" s="1862" t="n">
        <v>1428</v>
      </c>
      <c r="K8" s="1863" t="n">
        <v>1</v>
      </c>
      <c r="L8" s="933" t="n">
        <f aca="false">J8*K8</f>
        <v>1428</v>
      </c>
      <c r="M8" s="932" t="n">
        <f aca="false">L8*G8</f>
        <v>1428</v>
      </c>
      <c r="N8" s="1855"/>
      <c r="O8" s="1856"/>
      <c r="P8" s="1856"/>
      <c r="Q8" s="1857"/>
    </row>
    <row r="9" customFormat="false" ht="16.5" hidden="false" customHeight="true" outlineLevel="0" collapsed="false">
      <c r="A9" s="1864" t="n">
        <v>196</v>
      </c>
      <c r="B9" s="1865" t="s">
        <v>35</v>
      </c>
      <c r="C9" s="1865" t="n">
        <v>2022</v>
      </c>
      <c r="D9" s="1866" t="s">
        <v>13</v>
      </c>
      <c r="E9" s="1866" t="s">
        <v>2203</v>
      </c>
      <c r="F9" s="1866"/>
      <c r="G9" s="1867" t="n">
        <v>47.1</v>
      </c>
      <c r="H9" s="1868"/>
      <c r="I9" s="1212" t="n">
        <f aca="false">G9*H9/100</f>
        <v>0</v>
      </c>
      <c r="J9" s="1869" t="n">
        <v>1505</v>
      </c>
      <c r="K9" s="1870" t="n">
        <v>1</v>
      </c>
      <c r="L9" s="1218" t="n">
        <f aca="false">J9*K9</f>
        <v>1505</v>
      </c>
      <c r="M9" s="1871" t="n">
        <f aca="false">L9*G9</f>
        <v>70885.5</v>
      </c>
      <c r="N9" s="1872"/>
      <c r="O9" s="1873"/>
      <c r="P9" s="1873"/>
      <c r="Q9" s="1874" t="s">
        <v>3307</v>
      </c>
    </row>
    <row r="10" customFormat="false" ht="16.5" hidden="false" customHeight="true" outlineLevel="0" collapsed="false">
      <c r="A10" s="1864" t="n">
        <v>197</v>
      </c>
      <c r="B10" s="1865" t="s">
        <v>35</v>
      </c>
      <c r="C10" s="1865" t="n">
        <v>2022</v>
      </c>
      <c r="D10" s="1866" t="s">
        <v>13</v>
      </c>
      <c r="E10" s="1866" t="s">
        <v>2203</v>
      </c>
      <c r="F10" s="1866"/>
      <c r="G10" s="1867" t="n">
        <v>88.6</v>
      </c>
      <c r="H10" s="1868"/>
      <c r="I10" s="1212" t="n">
        <f aca="false">G10*H10/100</f>
        <v>0</v>
      </c>
      <c r="J10" s="1869" t="n">
        <v>1115</v>
      </c>
      <c r="K10" s="1870" t="n">
        <v>1</v>
      </c>
      <c r="L10" s="1218" t="n">
        <f aca="false">J10*K10</f>
        <v>1115</v>
      </c>
      <c r="M10" s="1871" t="n">
        <f aca="false">L10*G10</f>
        <v>98789</v>
      </c>
      <c r="N10" s="1872"/>
      <c r="O10" s="1873"/>
      <c r="P10" s="1873"/>
      <c r="Q10" s="1874" t="s">
        <v>3308</v>
      </c>
    </row>
    <row r="11" customFormat="false" ht="16.5" hidden="false" customHeight="true" outlineLevel="0" collapsed="false">
      <c r="A11" s="1864" t="n">
        <v>198</v>
      </c>
      <c r="B11" s="1865" t="s">
        <v>35</v>
      </c>
      <c r="C11" s="1865" t="n">
        <v>2022</v>
      </c>
      <c r="D11" s="1866" t="s">
        <v>13</v>
      </c>
      <c r="E11" s="1866" t="s">
        <v>2203</v>
      </c>
      <c r="F11" s="1866"/>
      <c r="G11" s="1867" t="n">
        <v>87.8</v>
      </c>
      <c r="H11" s="1868"/>
      <c r="I11" s="1212" t="n">
        <f aca="false">G11*H11/100</f>
        <v>0</v>
      </c>
      <c r="J11" s="1869" t="n">
        <v>3700</v>
      </c>
      <c r="K11" s="1870" t="n">
        <v>1</v>
      </c>
      <c r="L11" s="1218" t="n">
        <f aca="false">J11*K11</f>
        <v>3700</v>
      </c>
      <c r="M11" s="1871" t="n">
        <f aca="false">L11*G11</f>
        <v>324860</v>
      </c>
      <c r="N11" s="1872"/>
      <c r="O11" s="1873"/>
      <c r="P11" s="1873"/>
      <c r="Q11" s="1874" t="s">
        <v>3309</v>
      </c>
    </row>
    <row r="12" customFormat="false" ht="16.5" hidden="false" customHeight="true" outlineLevel="0" collapsed="false">
      <c r="A12" s="1851" t="n">
        <v>13</v>
      </c>
      <c r="B12" s="1858" t="s">
        <v>86</v>
      </c>
      <c r="C12" s="1858" t="n">
        <v>2023</v>
      </c>
      <c r="D12" s="1859" t="s">
        <v>11</v>
      </c>
      <c r="E12" s="1859" t="s">
        <v>2192</v>
      </c>
      <c r="F12" s="1859" t="s">
        <v>1650</v>
      </c>
      <c r="G12" s="1860" t="n">
        <v>58.6</v>
      </c>
      <c r="H12" s="1861"/>
      <c r="I12" s="973" t="n">
        <f aca="false">G12*H12/100</f>
        <v>0</v>
      </c>
      <c r="J12" s="1862" t="n">
        <v>1832.5</v>
      </c>
      <c r="K12" s="1863" t="n">
        <v>1</v>
      </c>
      <c r="L12" s="933" t="n">
        <f aca="false">J12*K12</f>
        <v>1832.5</v>
      </c>
      <c r="M12" s="932" t="n">
        <f aca="false">L12*G12</f>
        <v>107384.5</v>
      </c>
      <c r="N12" s="1855" t="n">
        <f aca="false">'COM.'!U10</f>
        <v>1.96128856227294</v>
      </c>
      <c r="O12" s="1856" t="n">
        <f aca="false">G12*N12</f>
        <v>114.931509749194</v>
      </c>
      <c r="P12" s="1856" t="n">
        <f aca="false">L12*O12</f>
        <v>210611.991615399</v>
      </c>
      <c r="Q12" s="1857" t="n">
        <v>1</v>
      </c>
    </row>
    <row r="13" customFormat="false" ht="16.5" hidden="false" customHeight="true" outlineLevel="0" collapsed="false">
      <c r="A13" s="1851" t="n">
        <v>14</v>
      </c>
      <c r="B13" s="1858" t="s">
        <v>86</v>
      </c>
      <c r="C13" s="1858" t="n">
        <v>2023</v>
      </c>
      <c r="D13" s="1859" t="s">
        <v>14</v>
      </c>
      <c r="E13" s="1859" t="s">
        <v>2192</v>
      </c>
      <c r="F13" s="1859" t="s">
        <v>1650</v>
      </c>
      <c r="G13" s="1860" t="n">
        <v>91.4</v>
      </c>
      <c r="H13" s="1861"/>
      <c r="I13" s="973" t="n">
        <f aca="false">G13*H13/100</f>
        <v>0</v>
      </c>
      <c r="J13" s="1862" t="n">
        <v>355</v>
      </c>
      <c r="K13" s="1863" t="n">
        <v>1</v>
      </c>
      <c r="L13" s="933" t="n">
        <f aca="false">J13*K13</f>
        <v>355</v>
      </c>
      <c r="M13" s="932" t="n">
        <f aca="false">L13*G13</f>
        <v>32447</v>
      </c>
      <c r="N13" s="1855"/>
      <c r="O13" s="1856"/>
      <c r="P13" s="1856"/>
      <c r="Q13" s="1857" t="n">
        <v>14</v>
      </c>
    </row>
    <row r="14" customFormat="false" ht="16.5" hidden="false" customHeight="true" outlineLevel="0" collapsed="false">
      <c r="A14" s="1851" t="n">
        <v>20</v>
      </c>
      <c r="B14" s="1858" t="s">
        <v>86</v>
      </c>
      <c r="C14" s="1858" t="n">
        <v>2023</v>
      </c>
      <c r="D14" s="1859" t="s">
        <v>20</v>
      </c>
      <c r="E14" s="1859" t="s">
        <v>2192</v>
      </c>
      <c r="F14" s="1859" t="s">
        <v>1650</v>
      </c>
      <c r="G14" s="1860" t="n">
        <v>91</v>
      </c>
      <c r="H14" s="1861"/>
      <c r="I14" s="973" t="n">
        <f aca="false">G14*H14/100</f>
        <v>0</v>
      </c>
      <c r="J14" s="1862" t="n">
        <v>1020</v>
      </c>
      <c r="K14" s="1863" t="n">
        <v>1</v>
      </c>
      <c r="L14" s="933" t="n">
        <f aca="false">J14*K14</f>
        <v>1020</v>
      </c>
      <c r="M14" s="932" t="n">
        <f aca="false">L14*G14</f>
        <v>92820</v>
      </c>
      <c r="N14" s="1855"/>
      <c r="O14" s="1856"/>
      <c r="P14" s="1856"/>
      <c r="Q14" s="1857" t="n">
        <v>64</v>
      </c>
    </row>
    <row r="15" customFormat="false" ht="16.5" hidden="false" customHeight="true" outlineLevel="0" collapsed="false">
      <c r="A15" s="1864" t="n">
        <v>22</v>
      </c>
      <c r="B15" s="1865" t="s">
        <v>86</v>
      </c>
      <c r="C15" s="1865" t="n">
        <v>2023</v>
      </c>
      <c r="D15" s="1866" t="s">
        <v>15</v>
      </c>
      <c r="E15" s="1866" t="s">
        <v>2203</v>
      </c>
      <c r="F15" s="1866"/>
      <c r="G15" s="1867" t="n">
        <v>57</v>
      </c>
      <c r="H15" s="1868"/>
      <c r="I15" s="1212" t="n">
        <f aca="false">G15*H15/100</f>
        <v>0</v>
      </c>
      <c r="J15" s="1869" t="n">
        <v>62</v>
      </c>
      <c r="K15" s="1870" t="n">
        <v>1</v>
      </c>
      <c r="L15" s="1218" t="n">
        <f aca="false">J15*K15</f>
        <v>62</v>
      </c>
      <c r="M15" s="1871" t="n">
        <f aca="false">L15*G15</f>
        <v>3534</v>
      </c>
      <c r="N15" s="1872"/>
      <c r="O15" s="1873"/>
      <c r="P15" s="1873"/>
      <c r="Q15" s="1874"/>
    </row>
    <row r="16" customFormat="false" ht="16.5" hidden="false" customHeight="true" outlineLevel="0" collapsed="false">
      <c r="A16" s="1864" t="n">
        <v>33</v>
      </c>
      <c r="B16" s="1865" t="s">
        <v>81</v>
      </c>
      <c r="C16" s="1865" t="n">
        <v>2023</v>
      </c>
      <c r="D16" s="1866" t="s">
        <v>73</v>
      </c>
      <c r="E16" s="1866" t="s">
        <v>2192</v>
      </c>
      <c r="F16" s="1866"/>
      <c r="G16" s="1867" t="n">
        <v>1</v>
      </c>
      <c r="H16" s="1868"/>
      <c r="I16" s="1212" t="n">
        <f aca="false">G16*H16/100</f>
        <v>0</v>
      </c>
      <c r="J16" s="1869" t="n">
        <v>1022</v>
      </c>
      <c r="K16" s="1870" t="n">
        <v>1</v>
      </c>
      <c r="L16" s="1869" t="n">
        <f aca="false">J16*K16</f>
        <v>1022</v>
      </c>
      <c r="M16" s="1875" t="n">
        <f aca="false">L16*G16</f>
        <v>1022</v>
      </c>
      <c r="N16" s="1876"/>
      <c r="O16" s="1877"/>
      <c r="P16" s="1877"/>
      <c r="Q16" s="1874" t="s">
        <v>3310</v>
      </c>
    </row>
    <row r="17" customFormat="false" ht="16.5" hidden="false" customHeight="true" outlineLevel="0" collapsed="false">
      <c r="A17" s="1864" t="n">
        <v>36</v>
      </c>
      <c r="B17" s="1865" t="s">
        <v>86</v>
      </c>
      <c r="C17" s="1865" t="n">
        <v>2023</v>
      </c>
      <c r="D17" s="1866" t="s">
        <v>11</v>
      </c>
      <c r="E17" s="1866" t="s">
        <v>2203</v>
      </c>
      <c r="F17" s="1866"/>
      <c r="G17" s="1867" t="n">
        <v>15.7</v>
      </c>
      <c r="H17" s="1868"/>
      <c r="I17" s="1212" t="n">
        <f aca="false">G17*H17/100</f>
        <v>0</v>
      </c>
      <c r="J17" s="1869" t="n">
        <v>545</v>
      </c>
      <c r="K17" s="1870" t="n">
        <v>1</v>
      </c>
      <c r="L17" s="1218" t="n">
        <f aca="false">J17*K17</f>
        <v>545</v>
      </c>
      <c r="M17" s="1871" t="n">
        <f aca="false">L17*G17</f>
        <v>8556.5</v>
      </c>
      <c r="N17" s="1872"/>
      <c r="O17" s="1873"/>
      <c r="P17" s="1873"/>
      <c r="Q17" s="1874" t="s">
        <v>3311</v>
      </c>
    </row>
    <row r="18" customFormat="false" ht="16.5" hidden="false" customHeight="true" outlineLevel="0" collapsed="false">
      <c r="A18" s="1864" t="n">
        <v>39</v>
      </c>
      <c r="B18" s="1865" t="s">
        <v>86</v>
      </c>
      <c r="C18" s="1865" t="n">
        <v>2023</v>
      </c>
      <c r="D18" s="1866" t="s">
        <v>11</v>
      </c>
      <c r="E18" s="1866" t="s">
        <v>2203</v>
      </c>
      <c r="F18" s="1866"/>
      <c r="G18" s="1867" t="n">
        <v>9.1</v>
      </c>
      <c r="H18" s="1868"/>
      <c r="I18" s="1212" t="n">
        <f aca="false">G18*H18/100</f>
        <v>0</v>
      </c>
      <c r="J18" s="1869" t="n">
        <v>223</v>
      </c>
      <c r="K18" s="1870" t="n">
        <v>1</v>
      </c>
      <c r="L18" s="1218" t="n">
        <f aca="false">J18*K18</f>
        <v>223</v>
      </c>
      <c r="M18" s="1871" t="n">
        <f aca="false">L18*G18</f>
        <v>2029.3</v>
      </c>
      <c r="N18" s="1872"/>
      <c r="O18" s="1873"/>
      <c r="P18" s="1873"/>
      <c r="Q18" s="1874" t="s">
        <v>3312</v>
      </c>
    </row>
    <row r="19" customFormat="false" ht="16.5" hidden="false" customHeight="true" outlineLevel="0" collapsed="false">
      <c r="A19" s="1864" t="n">
        <v>40</v>
      </c>
      <c r="B19" s="1865" t="s">
        <v>86</v>
      </c>
      <c r="C19" s="1865" t="n">
        <v>2023</v>
      </c>
      <c r="D19" s="1866" t="s">
        <v>11</v>
      </c>
      <c r="E19" s="1866" t="s">
        <v>2203</v>
      </c>
      <c r="F19" s="1866"/>
      <c r="G19" s="1867" t="n">
        <v>15.8</v>
      </c>
      <c r="H19" s="1868"/>
      <c r="I19" s="1212" t="n">
        <f aca="false">G19*H19/100</f>
        <v>0</v>
      </c>
      <c r="J19" s="1869" t="n">
        <v>133</v>
      </c>
      <c r="K19" s="1870" t="n">
        <v>1</v>
      </c>
      <c r="L19" s="1218" t="n">
        <f aca="false">J19*K19</f>
        <v>133</v>
      </c>
      <c r="M19" s="1871" t="n">
        <f aca="false">L19*G19</f>
        <v>2101.4</v>
      </c>
      <c r="N19" s="1872"/>
      <c r="O19" s="1873"/>
      <c r="P19" s="1873"/>
      <c r="Q19" s="1874" t="s">
        <v>3313</v>
      </c>
    </row>
    <row r="20" customFormat="false" ht="16.5" hidden="false" customHeight="true" outlineLevel="0" collapsed="false">
      <c r="A20" s="1878" t="n">
        <v>46</v>
      </c>
      <c r="B20" s="1865" t="s">
        <v>86</v>
      </c>
      <c r="C20" s="1865" t="n">
        <v>2023</v>
      </c>
      <c r="D20" s="1866" t="s">
        <v>19</v>
      </c>
      <c r="E20" s="1866" t="s">
        <v>2242</v>
      </c>
      <c r="F20" s="1866"/>
      <c r="G20" s="1867" t="n">
        <v>55.4</v>
      </c>
      <c r="H20" s="1868"/>
      <c r="I20" s="1879" t="n">
        <f aca="false">G20*H20/100</f>
        <v>0</v>
      </c>
      <c r="J20" s="1869" t="n">
        <v>884</v>
      </c>
      <c r="K20" s="1870" t="n">
        <v>1</v>
      </c>
      <c r="L20" s="1218" t="n">
        <f aca="false">J20*K20</f>
        <v>884</v>
      </c>
      <c r="M20" s="1871" t="n">
        <f aca="false">L20*G20</f>
        <v>48973.6</v>
      </c>
      <c r="N20" s="1872"/>
      <c r="O20" s="1873"/>
      <c r="P20" s="1873"/>
      <c r="Q20" s="1874" t="s">
        <v>3314</v>
      </c>
    </row>
    <row r="21" customFormat="false" ht="16.5" hidden="false" customHeight="true" outlineLevel="0" collapsed="false">
      <c r="A21" s="1864" t="n">
        <v>47</v>
      </c>
      <c r="B21" s="1207" t="s">
        <v>86</v>
      </c>
      <c r="C21" s="1207" t="n">
        <v>2023</v>
      </c>
      <c r="D21" s="1208" t="s">
        <v>13</v>
      </c>
      <c r="E21" s="1208" t="s">
        <v>2203</v>
      </c>
      <c r="F21" s="1208"/>
      <c r="G21" s="1801" t="n">
        <v>85.8</v>
      </c>
      <c r="H21" s="1802" t="n">
        <v>10</v>
      </c>
      <c r="I21" s="1212" t="n">
        <f aca="false">G21*H21/100</f>
        <v>8.58</v>
      </c>
      <c r="J21" s="1218" t="n">
        <v>6461</v>
      </c>
      <c r="K21" s="1880" t="n">
        <v>1</v>
      </c>
      <c r="L21" s="1218" t="n">
        <f aca="false">J21*K21</f>
        <v>6461</v>
      </c>
      <c r="M21" s="1871" t="n">
        <f aca="false">L21*G21</f>
        <v>554353.8</v>
      </c>
      <c r="N21" s="1872"/>
      <c r="O21" s="1873"/>
      <c r="P21" s="1873"/>
      <c r="Q21" s="1874" t="s">
        <v>3315</v>
      </c>
    </row>
    <row r="22" customFormat="false" ht="16.5" hidden="false" customHeight="true" outlineLevel="0" collapsed="false">
      <c r="A22" s="1881" t="n">
        <v>53</v>
      </c>
      <c r="B22" s="1858" t="s">
        <v>86</v>
      </c>
      <c r="C22" s="1858" t="n">
        <v>2023</v>
      </c>
      <c r="D22" s="1859" t="s">
        <v>19</v>
      </c>
      <c r="E22" s="1859" t="s">
        <v>2192</v>
      </c>
      <c r="F22" s="1859" t="s">
        <v>1650</v>
      </c>
      <c r="G22" s="1860" t="n">
        <v>92.4</v>
      </c>
      <c r="H22" s="1861"/>
      <c r="I22" s="1882" t="n">
        <f aca="false">G22*H22/100</f>
        <v>0</v>
      </c>
      <c r="J22" s="1862" t="n">
        <v>1954</v>
      </c>
      <c r="K22" s="1863" t="n">
        <v>1</v>
      </c>
      <c r="L22" s="1862" t="n">
        <f aca="false">J22*K22</f>
        <v>1954</v>
      </c>
      <c r="M22" s="1883" t="n">
        <f aca="false">L22*G22</f>
        <v>180549.6</v>
      </c>
      <c r="N22" s="1884" t="n">
        <f aca="false">'COM.'!U18</f>
        <v>0.377633871995541</v>
      </c>
      <c r="O22" s="1856" t="n">
        <f aca="false">G22*N22</f>
        <v>34.893369772388</v>
      </c>
      <c r="P22" s="1856" t="n">
        <f aca="false">L22*O22</f>
        <v>68181.6445352461</v>
      </c>
      <c r="Q22" s="1857" t="n">
        <v>5</v>
      </c>
    </row>
    <row r="23" customFormat="false" ht="16.5" hidden="false" customHeight="true" outlineLevel="0" collapsed="false">
      <c r="A23" s="1878" t="n">
        <v>53</v>
      </c>
      <c r="B23" s="1865" t="s">
        <v>86</v>
      </c>
      <c r="C23" s="1865" t="n">
        <v>2023</v>
      </c>
      <c r="D23" s="1866" t="s">
        <v>19</v>
      </c>
      <c r="E23" s="1866" t="s">
        <v>2242</v>
      </c>
      <c r="F23" s="1866"/>
      <c r="G23" s="1867" t="n">
        <v>60.4</v>
      </c>
      <c r="H23" s="1868"/>
      <c r="I23" s="1879" t="n">
        <f aca="false">G23*H23/100</f>
        <v>0</v>
      </c>
      <c r="J23" s="1869" t="n">
        <v>240</v>
      </c>
      <c r="K23" s="1870" t="n">
        <v>1</v>
      </c>
      <c r="L23" s="1869" t="n">
        <f aca="false">J23*K23</f>
        <v>240</v>
      </c>
      <c r="M23" s="1875" t="n">
        <f aca="false">L23*G23</f>
        <v>14496</v>
      </c>
      <c r="N23" s="1876"/>
      <c r="O23" s="1877"/>
      <c r="P23" s="1877"/>
      <c r="Q23" s="1874" t="s">
        <v>3314</v>
      </c>
    </row>
    <row r="24" customFormat="false" ht="16.5" hidden="false" customHeight="true" outlineLevel="0" collapsed="false">
      <c r="A24" s="1864" t="n">
        <v>54</v>
      </c>
      <c r="B24" s="1207" t="s">
        <v>86</v>
      </c>
      <c r="C24" s="1207" t="n">
        <v>2023</v>
      </c>
      <c r="D24" s="1208" t="s">
        <v>13</v>
      </c>
      <c r="E24" s="1208" t="s">
        <v>2203</v>
      </c>
      <c r="F24" s="1208"/>
      <c r="G24" s="1801" t="n">
        <v>93.3</v>
      </c>
      <c r="H24" s="1802" t="n">
        <v>12</v>
      </c>
      <c r="I24" s="1212" t="n">
        <f aca="false">G24*H24/100</f>
        <v>11.196</v>
      </c>
      <c r="J24" s="1218" t="n">
        <v>6056</v>
      </c>
      <c r="K24" s="1880" t="n">
        <v>1</v>
      </c>
      <c r="L24" s="1218" t="n">
        <f aca="false">J24*K24</f>
        <v>6056</v>
      </c>
      <c r="M24" s="1871" t="n">
        <f aca="false">L24*G24</f>
        <v>565024.8</v>
      </c>
      <c r="N24" s="1872"/>
      <c r="O24" s="1873"/>
      <c r="P24" s="1873"/>
      <c r="Q24" s="1874" t="s">
        <v>3316</v>
      </c>
    </row>
    <row r="25" customFormat="false" ht="16.5" hidden="false" customHeight="true" outlineLevel="0" collapsed="false">
      <c r="A25" s="1864" t="n">
        <v>56</v>
      </c>
      <c r="B25" s="1207" t="s">
        <v>86</v>
      </c>
      <c r="C25" s="1207" t="n">
        <v>2023</v>
      </c>
      <c r="D25" s="1208" t="s">
        <v>7</v>
      </c>
      <c r="E25" s="1208" t="s">
        <v>2242</v>
      </c>
      <c r="F25" s="1208"/>
      <c r="G25" s="1801" t="n">
        <v>73.1</v>
      </c>
      <c r="H25" s="1802"/>
      <c r="I25" s="1212" t="n">
        <f aca="false">G25*H25/100</f>
        <v>0</v>
      </c>
      <c r="J25" s="1218" t="n">
        <v>550</v>
      </c>
      <c r="K25" s="1880" t="n">
        <v>1</v>
      </c>
      <c r="L25" s="1218" t="n">
        <f aca="false">J25*K25</f>
        <v>550</v>
      </c>
      <c r="M25" s="1871" t="n">
        <f aca="false">L25*G25</f>
        <v>40205</v>
      </c>
      <c r="N25" s="1872"/>
      <c r="O25" s="1873"/>
      <c r="P25" s="1873"/>
      <c r="Q25" s="1874" t="s">
        <v>3317</v>
      </c>
    </row>
    <row r="26" customFormat="false" ht="16.5" hidden="false" customHeight="true" outlineLevel="0" collapsed="false">
      <c r="A26" s="1878" t="n">
        <v>58</v>
      </c>
      <c r="B26" s="1865" t="s">
        <v>86</v>
      </c>
      <c r="C26" s="1865" t="n">
        <v>2023</v>
      </c>
      <c r="D26" s="1866" t="s">
        <v>12</v>
      </c>
      <c r="E26" s="1866" t="s">
        <v>2242</v>
      </c>
      <c r="F26" s="1866"/>
      <c r="G26" s="1867" t="n">
        <v>18.4</v>
      </c>
      <c r="H26" s="1868"/>
      <c r="I26" s="1212" t="n">
        <f aca="false">G26*H26/100</f>
        <v>0</v>
      </c>
      <c r="J26" s="1869" t="n">
        <v>213</v>
      </c>
      <c r="K26" s="1870" t="n">
        <v>1</v>
      </c>
      <c r="L26" s="1869" t="n">
        <f aca="false">J26*K26</f>
        <v>213</v>
      </c>
      <c r="M26" s="1875" t="n">
        <f aca="false">L26*G26</f>
        <v>3919.2</v>
      </c>
      <c r="N26" s="1876"/>
      <c r="O26" s="1877"/>
      <c r="P26" s="1877"/>
      <c r="Q26" s="1874" t="s">
        <v>3318</v>
      </c>
    </row>
    <row r="27" customFormat="false" ht="16.5" hidden="false" customHeight="true" outlineLevel="0" collapsed="false">
      <c r="A27" s="1864" t="n">
        <v>60</v>
      </c>
      <c r="B27" s="1865" t="s">
        <v>86</v>
      </c>
      <c r="C27" s="1865" t="n">
        <v>2023</v>
      </c>
      <c r="D27" s="1866" t="s">
        <v>12</v>
      </c>
      <c r="E27" s="1866" t="s">
        <v>2242</v>
      </c>
      <c r="F27" s="1866"/>
      <c r="G27" s="1867" t="n">
        <v>34.5</v>
      </c>
      <c r="H27" s="1868"/>
      <c r="I27" s="1212" t="n">
        <f aca="false">G27*H27/100</f>
        <v>0</v>
      </c>
      <c r="J27" s="1869" t="n">
        <v>307</v>
      </c>
      <c r="K27" s="1870" t="n">
        <v>1</v>
      </c>
      <c r="L27" s="1218" t="n">
        <f aca="false">J27*K27</f>
        <v>307</v>
      </c>
      <c r="M27" s="1871" t="n">
        <f aca="false">L27*G27</f>
        <v>10591.5</v>
      </c>
      <c r="N27" s="1872"/>
      <c r="O27" s="1873"/>
      <c r="P27" s="1873"/>
      <c r="Q27" s="1874" t="s">
        <v>3318</v>
      </c>
    </row>
    <row r="28" customFormat="false" ht="16.5" hidden="false" customHeight="true" outlineLevel="0" collapsed="false">
      <c r="A28" s="1864" t="n">
        <v>70</v>
      </c>
      <c r="B28" s="1207" t="s">
        <v>86</v>
      </c>
      <c r="C28" s="1207" t="n">
        <v>2023</v>
      </c>
      <c r="D28" s="1208" t="s">
        <v>11</v>
      </c>
      <c r="E28" s="1208" t="s">
        <v>2203</v>
      </c>
      <c r="F28" s="1208"/>
      <c r="G28" s="1801" t="n">
        <v>33</v>
      </c>
      <c r="H28" s="1802"/>
      <c r="I28" s="1212" t="n">
        <f aca="false">G28*H28/100</f>
        <v>0</v>
      </c>
      <c r="J28" s="1218" t="n">
        <v>363</v>
      </c>
      <c r="K28" s="1885" t="n">
        <v>1</v>
      </c>
      <c r="L28" s="1218" t="n">
        <f aca="false">J28*K28</f>
        <v>363</v>
      </c>
      <c r="M28" s="1871" t="n">
        <f aca="false">L28*G28</f>
        <v>11979</v>
      </c>
      <c r="N28" s="1872"/>
      <c r="O28" s="1873"/>
      <c r="P28" s="1873"/>
      <c r="Q28" s="1886" t="s">
        <v>3319</v>
      </c>
    </row>
    <row r="29" customFormat="false" ht="16.5" hidden="false" customHeight="true" outlineLevel="0" collapsed="false">
      <c r="A29" s="1851" t="n">
        <v>72</v>
      </c>
      <c r="B29" s="969" t="s">
        <v>86</v>
      </c>
      <c r="C29" s="969" t="n">
        <v>2023</v>
      </c>
      <c r="D29" s="929" t="s">
        <v>17</v>
      </c>
      <c r="E29" s="929" t="s">
        <v>2192</v>
      </c>
      <c r="F29" s="929" t="s">
        <v>1650</v>
      </c>
      <c r="G29" s="1852" t="n">
        <v>94.5</v>
      </c>
      <c r="H29" s="1853"/>
      <c r="I29" s="973" t="n">
        <f aca="false">G29*H29/100</f>
        <v>0</v>
      </c>
      <c r="J29" s="933" t="n">
        <v>2444</v>
      </c>
      <c r="K29" s="1887" t="n">
        <v>1</v>
      </c>
      <c r="L29" s="933" t="n">
        <f aca="false">J29*K29</f>
        <v>2444</v>
      </c>
      <c r="M29" s="932" t="n">
        <f aca="false">L29*G29</f>
        <v>230958</v>
      </c>
      <c r="N29" s="1855" t="n">
        <f aca="false">'COM.'!U16</f>
        <v>0.197036789564851</v>
      </c>
      <c r="O29" s="1856" t="n">
        <f aca="false">G29*N29</f>
        <v>18.6199766138784</v>
      </c>
      <c r="P29" s="1856" t="n">
        <f aca="false">L29*O29</f>
        <v>45507.2228443189</v>
      </c>
      <c r="Q29" s="1888" t="n">
        <v>11</v>
      </c>
    </row>
    <row r="30" customFormat="false" ht="16.5" hidden="false" customHeight="true" outlineLevel="0" collapsed="false">
      <c r="A30" s="1851" t="n">
        <v>85</v>
      </c>
      <c r="B30" s="1858" t="s">
        <v>86</v>
      </c>
      <c r="C30" s="1858" t="n">
        <v>2023</v>
      </c>
      <c r="D30" s="1859" t="s">
        <v>19</v>
      </c>
      <c r="E30" s="1859" t="s">
        <v>2192</v>
      </c>
      <c r="F30" s="1859" t="s">
        <v>2199</v>
      </c>
      <c r="G30" s="1860" t="n">
        <v>69.9</v>
      </c>
      <c r="H30" s="1861"/>
      <c r="I30" s="973" t="n">
        <f aca="false">G30*H30/100</f>
        <v>0</v>
      </c>
      <c r="J30" s="1862" t="n">
        <v>1238</v>
      </c>
      <c r="K30" s="1863" t="n">
        <v>1</v>
      </c>
      <c r="L30" s="933" t="n">
        <f aca="false">J30*K30</f>
        <v>1238</v>
      </c>
      <c r="M30" s="932" t="n">
        <f aca="false">L30*G30</f>
        <v>86536.2</v>
      </c>
      <c r="N30" s="1855" t="n">
        <f aca="false">'COM.'!U18</f>
        <v>0.377633871995541</v>
      </c>
      <c r="O30" s="1856" t="n">
        <f aca="false">G30*N30</f>
        <v>26.3966076524883</v>
      </c>
      <c r="P30" s="1856" t="n">
        <f aca="false">L30*O30</f>
        <v>32679.0002737805</v>
      </c>
      <c r="Q30" s="1857" t="n">
        <v>5</v>
      </c>
    </row>
    <row r="31" customFormat="false" ht="16.5" hidden="false" customHeight="true" outlineLevel="0" collapsed="false">
      <c r="A31" s="1864" t="n">
        <v>85</v>
      </c>
      <c r="B31" s="1865" t="s">
        <v>86</v>
      </c>
      <c r="C31" s="1865" t="n">
        <v>2023</v>
      </c>
      <c r="D31" s="1866" t="s">
        <v>19</v>
      </c>
      <c r="E31" s="1866" t="s">
        <v>2242</v>
      </c>
      <c r="F31" s="1866"/>
      <c r="G31" s="1867" t="n">
        <v>60.4</v>
      </c>
      <c r="H31" s="1868"/>
      <c r="I31" s="1212" t="n">
        <f aca="false">G31*H31/100</f>
        <v>0</v>
      </c>
      <c r="J31" s="1869" t="n">
        <v>241</v>
      </c>
      <c r="K31" s="1870" t="n">
        <v>1</v>
      </c>
      <c r="L31" s="1218" t="n">
        <f aca="false">J31*K31</f>
        <v>241</v>
      </c>
      <c r="M31" s="1871" t="n">
        <f aca="false">L31*G31</f>
        <v>14556.4</v>
      </c>
      <c r="N31" s="1872"/>
      <c r="O31" s="1873"/>
      <c r="P31" s="1873"/>
      <c r="Q31" s="1874" t="s">
        <v>3314</v>
      </c>
    </row>
    <row r="32" customFormat="false" ht="16.5" hidden="false" customHeight="true" outlineLevel="0" collapsed="false">
      <c r="A32" s="1851" t="n">
        <v>99</v>
      </c>
      <c r="B32" s="969" t="s">
        <v>86</v>
      </c>
      <c r="C32" s="969" t="n">
        <v>2023</v>
      </c>
      <c r="D32" s="929" t="s">
        <v>19</v>
      </c>
      <c r="E32" s="929" t="s">
        <v>2192</v>
      </c>
      <c r="F32" s="929" t="s">
        <v>1650</v>
      </c>
      <c r="G32" s="1852" t="n">
        <v>82.8</v>
      </c>
      <c r="H32" s="1853"/>
      <c r="I32" s="1882" t="n">
        <f aca="false">G32*H32/100</f>
        <v>0</v>
      </c>
      <c r="J32" s="933" t="n">
        <v>1280</v>
      </c>
      <c r="K32" s="1854" t="n">
        <v>1</v>
      </c>
      <c r="L32" s="933" t="n">
        <f aca="false">J32*K32</f>
        <v>1280</v>
      </c>
      <c r="M32" s="932" t="n">
        <f aca="false">L32*G32</f>
        <v>105984</v>
      </c>
      <c r="N32" s="1855" t="n">
        <f aca="false">'COM.'!U18</f>
        <v>0.377633871995541</v>
      </c>
      <c r="O32" s="1856" t="n">
        <f aca="false">G32*N32</f>
        <v>31.2680846012308</v>
      </c>
      <c r="P32" s="1856" t="n">
        <f aca="false">L32*O32</f>
        <v>40023.1482895754</v>
      </c>
      <c r="Q32" s="1888" t="n">
        <v>5</v>
      </c>
    </row>
    <row r="33" customFormat="false" ht="16.5" hidden="false" customHeight="true" outlineLevel="0" collapsed="false">
      <c r="A33" s="1864" t="n">
        <v>99</v>
      </c>
      <c r="B33" s="1207" t="s">
        <v>86</v>
      </c>
      <c r="C33" s="1207" t="n">
        <v>2023</v>
      </c>
      <c r="D33" s="1208" t="s">
        <v>19</v>
      </c>
      <c r="E33" s="1208" t="s">
        <v>2242</v>
      </c>
      <c r="F33" s="1208"/>
      <c r="G33" s="1801" t="n">
        <v>66.4</v>
      </c>
      <c r="H33" s="1802"/>
      <c r="I33" s="1879" t="n">
        <f aca="false">G33*H33/100</f>
        <v>0</v>
      </c>
      <c r="J33" s="1218" t="n">
        <v>754</v>
      </c>
      <c r="K33" s="1880" t="n">
        <v>1</v>
      </c>
      <c r="L33" s="1218" t="n">
        <f aca="false">J33*K33</f>
        <v>754</v>
      </c>
      <c r="M33" s="1871" t="n">
        <f aca="false">L33*G33</f>
        <v>50065.6</v>
      </c>
      <c r="N33" s="1872"/>
      <c r="O33" s="1873"/>
      <c r="P33" s="1873"/>
      <c r="Q33" s="1886" t="s">
        <v>3314</v>
      </c>
    </row>
    <row r="34" customFormat="false" ht="16.5" hidden="false" customHeight="true" outlineLevel="0" collapsed="false">
      <c r="A34" s="1889" t="n">
        <v>116</v>
      </c>
      <c r="B34" s="969" t="s">
        <v>86</v>
      </c>
      <c r="C34" s="969" t="n">
        <v>2023</v>
      </c>
      <c r="D34" s="929" t="s">
        <v>42</v>
      </c>
      <c r="E34" s="929" t="s">
        <v>2192</v>
      </c>
      <c r="F34" s="929" t="s">
        <v>1650</v>
      </c>
      <c r="G34" s="1852" t="n">
        <v>93.4</v>
      </c>
      <c r="H34" s="1853"/>
      <c r="I34" s="973" t="n">
        <f aca="false">G34*H34/100</f>
        <v>0</v>
      </c>
      <c r="J34" s="933" t="n">
        <v>1067</v>
      </c>
      <c r="K34" s="1854" t="n">
        <v>1</v>
      </c>
      <c r="L34" s="933" t="n">
        <f aca="false">J34*K34</f>
        <v>1067</v>
      </c>
      <c r="M34" s="932" t="n">
        <f aca="false">L34*G34</f>
        <v>99657.8</v>
      </c>
      <c r="N34" s="1855" t="n">
        <f aca="false">'COM.'!U7</f>
        <v>0.194186016101058</v>
      </c>
      <c r="O34" s="1856" t="n">
        <f aca="false">G34*N34</f>
        <v>18.1369739038388</v>
      </c>
      <c r="P34" s="1856" t="n">
        <f aca="false">L34*O34</f>
        <v>19352.151155396</v>
      </c>
      <c r="Q34" s="1888" t="n">
        <v>10</v>
      </c>
    </row>
    <row r="35" customFormat="false" ht="16.5" hidden="false" customHeight="true" outlineLevel="0" collapsed="false">
      <c r="A35" s="1890" t="n">
        <v>129</v>
      </c>
      <c r="B35" s="1207" t="s">
        <v>86</v>
      </c>
      <c r="C35" s="1207" t="n">
        <v>2023</v>
      </c>
      <c r="D35" s="1208" t="s">
        <v>19</v>
      </c>
      <c r="E35" s="1208" t="s">
        <v>2242</v>
      </c>
      <c r="F35" s="1208"/>
      <c r="G35" s="1801" t="n">
        <v>22.4</v>
      </c>
      <c r="H35" s="1802"/>
      <c r="I35" s="1212" t="n">
        <f aca="false">G35*H35/100</f>
        <v>0</v>
      </c>
      <c r="J35" s="1218" t="n">
        <v>1523</v>
      </c>
      <c r="K35" s="1880" t="n">
        <v>1</v>
      </c>
      <c r="L35" s="1218" t="n">
        <f aca="false">J35*K35</f>
        <v>1523</v>
      </c>
      <c r="M35" s="1871" t="n">
        <f aca="false">L35*G35</f>
        <v>34115.2</v>
      </c>
      <c r="N35" s="1872"/>
      <c r="O35" s="1873"/>
      <c r="P35" s="1873"/>
      <c r="Q35" s="1886" t="s">
        <v>3314</v>
      </c>
    </row>
    <row r="36" customFormat="false" ht="16.5" hidden="false" customHeight="true" outlineLevel="0" collapsed="false">
      <c r="A36" s="1878" t="n">
        <v>140</v>
      </c>
      <c r="B36" s="1865" t="s">
        <v>86</v>
      </c>
      <c r="C36" s="1865" t="n">
        <v>2023</v>
      </c>
      <c r="D36" s="1866" t="s">
        <v>12</v>
      </c>
      <c r="E36" s="1866" t="s">
        <v>2241</v>
      </c>
      <c r="F36" s="1866"/>
      <c r="G36" s="1867" t="n">
        <v>59.4</v>
      </c>
      <c r="H36" s="1868"/>
      <c r="I36" s="1212" t="n">
        <f aca="false">G36*H36/100</f>
        <v>0</v>
      </c>
      <c r="J36" s="1869" t="n">
        <v>639</v>
      </c>
      <c r="K36" s="1870" t="n">
        <v>1</v>
      </c>
      <c r="L36" s="1218" t="n">
        <f aca="false">J36*K36</f>
        <v>639</v>
      </c>
      <c r="M36" s="1871" t="n">
        <f aca="false">L36*G36</f>
        <v>37956.6</v>
      </c>
      <c r="N36" s="1872"/>
      <c r="O36" s="1873"/>
      <c r="P36" s="1873"/>
      <c r="Q36" s="1874" t="s">
        <v>3318</v>
      </c>
    </row>
    <row r="37" customFormat="false" ht="16.5" hidden="false" customHeight="true" outlineLevel="0" collapsed="false">
      <c r="A37" s="1881" t="n">
        <v>155</v>
      </c>
      <c r="B37" s="1858" t="s">
        <v>81</v>
      </c>
      <c r="C37" s="1858" t="n">
        <v>2023</v>
      </c>
      <c r="D37" s="1859" t="s">
        <v>173</v>
      </c>
      <c r="E37" s="1859" t="s">
        <v>2192</v>
      </c>
      <c r="F37" s="1859" t="s">
        <v>1650</v>
      </c>
      <c r="G37" s="1860" t="n">
        <v>1</v>
      </c>
      <c r="H37" s="1861"/>
      <c r="I37" s="973" t="n">
        <f aca="false">G37*H37/100</f>
        <v>0</v>
      </c>
      <c r="J37" s="1862" t="n">
        <v>2004</v>
      </c>
      <c r="K37" s="1863" t="n">
        <v>1</v>
      </c>
      <c r="L37" s="933" t="n">
        <f aca="false">J37*K37</f>
        <v>2004</v>
      </c>
      <c r="M37" s="932" t="n">
        <f aca="false">L37*G37</f>
        <v>2004</v>
      </c>
      <c r="N37" s="1855"/>
      <c r="O37" s="1856"/>
      <c r="P37" s="1856"/>
      <c r="Q37" s="1857" t="n">
        <v>9</v>
      </c>
    </row>
    <row r="38" customFormat="false" ht="16.5" hidden="false" customHeight="true" outlineLevel="0" collapsed="false">
      <c r="A38" s="1878" t="s">
        <v>2305</v>
      </c>
      <c r="B38" s="1865" t="s">
        <v>86</v>
      </c>
      <c r="C38" s="1865" t="n">
        <v>2023</v>
      </c>
      <c r="D38" s="1866" t="s">
        <v>75</v>
      </c>
      <c r="E38" s="1866" t="s">
        <v>2205</v>
      </c>
      <c r="F38" s="1866"/>
      <c r="G38" s="1867" t="n">
        <v>1</v>
      </c>
      <c r="H38" s="1868"/>
      <c r="I38" s="1212" t="n">
        <f aca="false">G38*H38/100</f>
        <v>0</v>
      </c>
      <c r="J38" s="1869" t="n">
        <v>160</v>
      </c>
      <c r="K38" s="1870" t="n">
        <v>1</v>
      </c>
      <c r="L38" s="1218" t="n">
        <f aca="false">J38*K38</f>
        <v>160</v>
      </c>
      <c r="M38" s="1871" t="n">
        <f aca="false">L38*G38</f>
        <v>160</v>
      </c>
      <c r="N38" s="1872"/>
      <c r="O38" s="1873"/>
      <c r="P38" s="1873"/>
      <c r="Q38" s="1874" t="s">
        <v>3319</v>
      </c>
    </row>
    <row r="39" customFormat="false" ht="16.5" hidden="false" customHeight="true" outlineLevel="0" collapsed="false">
      <c r="A39" s="1878" t="s">
        <v>2305</v>
      </c>
      <c r="B39" s="1865" t="s">
        <v>86</v>
      </c>
      <c r="C39" s="1865" t="n">
        <v>2023</v>
      </c>
      <c r="D39" s="1866" t="s">
        <v>75</v>
      </c>
      <c r="E39" s="1866" t="s">
        <v>2242</v>
      </c>
      <c r="F39" s="1866"/>
      <c r="G39" s="1867" t="n">
        <v>1</v>
      </c>
      <c r="H39" s="1868"/>
      <c r="I39" s="1212" t="n">
        <f aca="false">G39*H39/100</f>
        <v>0</v>
      </c>
      <c r="J39" s="1869" t="n">
        <v>232</v>
      </c>
      <c r="K39" s="1870" t="n">
        <v>1</v>
      </c>
      <c r="L39" s="1218" t="n">
        <f aca="false">J39*K39</f>
        <v>232</v>
      </c>
      <c r="M39" s="1871" t="n">
        <f aca="false">L39*G39</f>
        <v>232</v>
      </c>
      <c r="N39" s="1872"/>
      <c r="O39" s="1873"/>
      <c r="P39" s="1873"/>
      <c r="Q39" s="1874" t="s">
        <v>3317</v>
      </c>
    </row>
    <row r="40" customFormat="false" ht="16.5" hidden="false" customHeight="true" outlineLevel="0" collapsed="false">
      <c r="A40" s="1878" t="s">
        <v>3320</v>
      </c>
      <c r="B40" s="1865" t="s">
        <v>86</v>
      </c>
      <c r="C40" s="1865" t="n">
        <v>2023</v>
      </c>
      <c r="D40" s="1866" t="s">
        <v>75</v>
      </c>
      <c r="E40" s="1866" t="s">
        <v>2205</v>
      </c>
      <c r="F40" s="1866"/>
      <c r="G40" s="1867" t="n">
        <v>1</v>
      </c>
      <c r="H40" s="1868"/>
      <c r="I40" s="1212" t="n">
        <f aca="false">G40*H40/100</f>
        <v>0</v>
      </c>
      <c r="J40" s="1869" t="n">
        <v>252</v>
      </c>
      <c r="K40" s="1870" t="n">
        <v>1</v>
      </c>
      <c r="L40" s="1218" t="n">
        <f aca="false">J40*K40</f>
        <v>252</v>
      </c>
      <c r="M40" s="1871" t="n">
        <f aca="false">L40*G40</f>
        <v>252</v>
      </c>
      <c r="N40" s="1872"/>
      <c r="O40" s="1873"/>
      <c r="P40" s="1873"/>
      <c r="Q40" s="1874" t="s">
        <v>3319</v>
      </c>
    </row>
    <row r="41" customFormat="false" ht="16.5" hidden="false" customHeight="true" outlineLevel="0" collapsed="false">
      <c r="A41" s="1878" t="s">
        <v>2307</v>
      </c>
      <c r="B41" s="1865" t="s">
        <v>86</v>
      </c>
      <c r="C41" s="1865" t="n">
        <v>2023</v>
      </c>
      <c r="D41" s="1866" t="s">
        <v>75</v>
      </c>
      <c r="E41" s="1866" t="s">
        <v>2203</v>
      </c>
      <c r="F41" s="1866"/>
      <c r="G41" s="1867" t="n">
        <v>1</v>
      </c>
      <c r="H41" s="1868"/>
      <c r="I41" s="1212" t="n">
        <f aca="false">G41*H41/100</f>
        <v>0</v>
      </c>
      <c r="J41" s="1869" t="n">
        <v>508</v>
      </c>
      <c r="K41" s="1870" t="n">
        <v>1</v>
      </c>
      <c r="L41" s="1218" t="n">
        <f aca="false">J41*K41</f>
        <v>508</v>
      </c>
      <c r="M41" s="1871" t="n">
        <f aca="false">L41*G41</f>
        <v>508</v>
      </c>
      <c r="N41" s="1872"/>
      <c r="O41" s="1873"/>
      <c r="P41" s="1873"/>
      <c r="Q41" s="1874" t="s">
        <v>3319</v>
      </c>
    </row>
    <row r="42" customFormat="false" ht="16.5" hidden="false" customHeight="true" outlineLevel="0" collapsed="false">
      <c r="A42" s="1878" t="s">
        <v>2307</v>
      </c>
      <c r="B42" s="1865" t="s">
        <v>86</v>
      </c>
      <c r="C42" s="1865" t="n">
        <v>2023</v>
      </c>
      <c r="D42" s="1866" t="s">
        <v>75</v>
      </c>
      <c r="E42" s="1866" t="s">
        <v>2205</v>
      </c>
      <c r="F42" s="1866"/>
      <c r="G42" s="1867" t="n">
        <v>1</v>
      </c>
      <c r="H42" s="1868"/>
      <c r="I42" s="1212" t="n">
        <f aca="false">G42*H42/100</f>
        <v>0</v>
      </c>
      <c r="J42" s="1869" t="n">
        <v>113</v>
      </c>
      <c r="K42" s="1870" t="n">
        <v>1</v>
      </c>
      <c r="L42" s="1218" t="n">
        <f aca="false">J42*K42</f>
        <v>113</v>
      </c>
      <c r="M42" s="1871" t="n">
        <f aca="false">L42*G42</f>
        <v>113</v>
      </c>
      <c r="N42" s="1872"/>
      <c r="O42" s="1873"/>
      <c r="P42" s="1873"/>
      <c r="Q42" s="1874" t="s">
        <v>3319</v>
      </c>
    </row>
    <row r="43" customFormat="false" ht="16.5" hidden="false" customHeight="true" outlineLevel="0" collapsed="false">
      <c r="A43" s="1864" t="n">
        <v>177</v>
      </c>
      <c r="B43" s="1207" t="s">
        <v>86</v>
      </c>
      <c r="C43" s="1207" t="n">
        <v>2023</v>
      </c>
      <c r="D43" s="1208" t="s">
        <v>75</v>
      </c>
      <c r="E43" s="1208" t="s">
        <v>2205</v>
      </c>
      <c r="F43" s="1208"/>
      <c r="G43" s="1801" t="n">
        <v>1</v>
      </c>
      <c r="H43" s="1212"/>
      <c r="I43" s="1212" t="n">
        <f aca="false">G43*H43/100</f>
        <v>0</v>
      </c>
      <c r="J43" s="1218" t="n">
        <v>17</v>
      </c>
      <c r="K43" s="1880" t="n">
        <v>1</v>
      </c>
      <c r="L43" s="1218" t="n">
        <f aca="false">J43*K43</f>
        <v>17</v>
      </c>
      <c r="M43" s="1871" t="n">
        <f aca="false">L43*G43</f>
        <v>17</v>
      </c>
      <c r="N43" s="1872"/>
      <c r="O43" s="1873"/>
      <c r="P43" s="1873"/>
      <c r="Q43" s="1209" t="s">
        <v>3319</v>
      </c>
    </row>
    <row r="44" customFormat="false" ht="16.5" hidden="false" customHeight="true" outlineLevel="0" collapsed="false">
      <c r="A44" s="1851" t="n">
        <v>226</v>
      </c>
      <c r="B44" s="969" t="s">
        <v>86</v>
      </c>
      <c r="C44" s="969" t="n">
        <v>2023</v>
      </c>
      <c r="D44" s="929" t="s">
        <v>172</v>
      </c>
      <c r="E44" s="929" t="s">
        <v>2192</v>
      </c>
      <c r="F44" s="929" t="s">
        <v>1650</v>
      </c>
      <c r="G44" s="1852" t="n">
        <v>1</v>
      </c>
      <c r="H44" s="973"/>
      <c r="I44" s="973" t="n">
        <f aca="false">G44*H44/100</f>
        <v>0</v>
      </c>
      <c r="J44" s="933" t="n">
        <v>82</v>
      </c>
      <c r="K44" s="1854" t="n">
        <v>1</v>
      </c>
      <c r="L44" s="933" t="n">
        <f aca="false">J44*K44</f>
        <v>82</v>
      </c>
      <c r="M44" s="932" t="n">
        <f aca="false">L44*G44</f>
        <v>82</v>
      </c>
      <c r="N44" s="1855" t="n">
        <f aca="false">'COM.'!U21</f>
        <v>11</v>
      </c>
      <c r="O44" s="1856" t="n">
        <f aca="false">G44*N44</f>
        <v>11</v>
      </c>
      <c r="P44" s="1856" t="n">
        <f aca="false">L44*O44</f>
        <v>902</v>
      </c>
      <c r="Q44" s="970"/>
    </row>
    <row r="45" customFormat="false" ht="16.5" hidden="false" customHeight="true" outlineLevel="0" collapsed="false">
      <c r="A45" s="1864" t="n">
        <v>226</v>
      </c>
      <c r="B45" s="1207" t="s">
        <v>86</v>
      </c>
      <c r="C45" s="1207" t="n">
        <v>2023</v>
      </c>
      <c r="D45" s="1208" t="s">
        <v>172</v>
      </c>
      <c r="E45" s="1208" t="s">
        <v>2205</v>
      </c>
      <c r="F45" s="1208"/>
      <c r="G45" s="1801" t="n">
        <v>1</v>
      </c>
      <c r="H45" s="1212"/>
      <c r="I45" s="1212" t="n">
        <f aca="false">G45*H45/100</f>
        <v>0</v>
      </c>
      <c r="J45" s="1218" t="n">
        <v>353</v>
      </c>
      <c r="K45" s="1880" t="n">
        <v>1</v>
      </c>
      <c r="L45" s="1218" t="n">
        <f aca="false">J45*K45</f>
        <v>353</v>
      </c>
      <c r="M45" s="1871" t="n">
        <f aca="false">L45*G45</f>
        <v>353</v>
      </c>
      <c r="N45" s="1872"/>
      <c r="O45" s="1873"/>
      <c r="P45" s="1873"/>
      <c r="Q45" s="1209"/>
    </row>
    <row r="46" customFormat="false" ht="16.5" hidden="false" customHeight="true" outlineLevel="0" collapsed="false">
      <c r="A46" s="1851" t="n">
        <v>230</v>
      </c>
      <c r="B46" s="969" t="s">
        <v>86</v>
      </c>
      <c r="C46" s="969" t="n">
        <v>2023</v>
      </c>
      <c r="D46" s="929" t="s">
        <v>7</v>
      </c>
      <c r="E46" s="929" t="s">
        <v>2192</v>
      </c>
      <c r="F46" s="929" t="s">
        <v>2199</v>
      </c>
      <c r="G46" s="1852" t="n">
        <v>77.2</v>
      </c>
      <c r="H46" s="973"/>
      <c r="I46" s="973" t="n">
        <f aca="false">G46*H46/100</f>
        <v>0</v>
      </c>
      <c r="J46" s="933" t="n">
        <v>655</v>
      </c>
      <c r="K46" s="1854" t="n">
        <v>1</v>
      </c>
      <c r="L46" s="933" t="n">
        <f aca="false">J46*K46</f>
        <v>655</v>
      </c>
      <c r="M46" s="932" t="n">
        <f aca="false">L46*G46</f>
        <v>50566</v>
      </c>
      <c r="N46" s="1855" t="n">
        <f aca="false">'COM.'!U6</f>
        <v>0.296035364286203</v>
      </c>
      <c r="O46" s="1856" t="n">
        <f aca="false">G46*N46</f>
        <v>22.8539301228949</v>
      </c>
      <c r="P46" s="1856" t="n">
        <f aca="false">L46*O46</f>
        <v>14969.3242304962</v>
      </c>
      <c r="Q46" s="970" t="n">
        <v>7</v>
      </c>
    </row>
    <row r="47" customFormat="false" ht="16.5" hidden="false" customHeight="true" outlineLevel="0" collapsed="false">
      <c r="A47" s="1891" t="n">
        <v>254</v>
      </c>
      <c r="B47" s="1414" t="s">
        <v>2191</v>
      </c>
      <c r="C47" s="1414" t="n">
        <v>2023</v>
      </c>
      <c r="D47" s="1415" t="s">
        <v>11</v>
      </c>
      <c r="E47" s="1415" t="s">
        <v>2192</v>
      </c>
      <c r="F47" s="1415" t="s">
        <v>1651</v>
      </c>
      <c r="G47" s="1892" t="n">
        <v>12.5</v>
      </c>
      <c r="H47" s="1419"/>
      <c r="I47" s="1419" t="n">
        <f aca="false">G47*H47/100</f>
        <v>0</v>
      </c>
      <c r="J47" s="1426" t="n">
        <v>34</v>
      </c>
      <c r="K47" s="1893" t="n">
        <v>10</v>
      </c>
      <c r="L47" s="1426" t="n">
        <f aca="false">J47*K47</f>
        <v>340</v>
      </c>
      <c r="M47" s="1894" t="n">
        <f aca="false">L47*G47</f>
        <v>4250</v>
      </c>
      <c r="N47" s="1895" t="n">
        <f aca="false">VEN!T27</f>
        <v>3.81534727870092</v>
      </c>
      <c r="O47" s="1896" t="n">
        <f aca="false">G47*N47</f>
        <v>47.6918409837615</v>
      </c>
      <c r="P47" s="1896" t="n">
        <f aca="false">L47*O47</f>
        <v>16215.2259344789</v>
      </c>
      <c r="Q47" s="1416" t="s">
        <v>3321</v>
      </c>
    </row>
    <row r="48" customFormat="false" ht="16.5" hidden="false" customHeight="true" outlineLevel="0" collapsed="false">
      <c r="A48" s="1897" t="n">
        <v>337</v>
      </c>
      <c r="B48" s="1898" t="s">
        <v>2191</v>
      </c>
      <c r="C48" s="1898" t="n">
        <v>2023</v>
      </c>
      <c r="D48" s="1899" t="s">
        <v>75</v>
      </c>
      <c r="E48" s="1899" t="s">
        <v>2192</v>
      </c>
      <c r="F48" s="1899" t="s">
        <v>1650</v>
      </c>
      <c r="G48" s="1900" t="n">
        <v>1</v>
      </c>
      <c r="H48" s="1901"/>
      <c r="I48" s="1901" t="n">
        <f aca="false">G48*H48/100</f>
        <v>0</v>
      </c>
      <c r="J48" s="1902" t="n">
        <v>1</v>
      </c>
      <c r="K48" s="1903" t="n">
        <v>10</v>
      </c>
      <c r="L48" s="1902" t="n">
        <f aca="false">J48*K48</f>
        <v>10</v>
      </c>
      <c r="M48" s="1904" t="n">
        <f aca="false">L48*G48</f>
        <v>10</v>
      </c>
      <c r="N48" s="1905" t="n">
        <f aca="false">O48/G48</f>
        <v>40</v>
      </c>
      <c r="O48" s="1906" t="n">
        <v>40</v>
      </c>
      <c r="P48" s="1906" t="n">
        <f aca="false">M48*N48</f>
        <v>400</v>
      </c>
      <c r="Q48" s="1907" t="s">
        <v>3322</v>
      </c>
    </row>
    <row r="49" customFormat="false" ht="16.5" hidden="false" customHeight="true" outlineLevel="0" collapsed="false">
      <c r="A49" s="1891" t="n">
        <v>520</v>
      </c>
      <c r="B49" s="1414" t="s">
        <v>2191</v>
      </c>
      <c r="C49" s="1414" t="n">
        <v>2023</v>
      </c>
      <c r="D49" s="1415" t="s">
        <v>7</v>
      </c>
      <c r="E49" s="1415" t="s">
        <v>2192</v>
      </c>
      <c r="F49" s="1415" t="s">
        <v>1651</v>
      </c>
      <c r="G49" s="1892" t="n">
        <v>29.7</v>
      </c>
      <c r="H49" s="1419"/>
      <c r="I49" s="1419" t="n">
        <f aca="false">G49*H49/100</f>
        <v>0</v>
      </c>
      <c r="J49" s="1426" t="n">
        <v>33</v>
      </c>
      <c r="K49" s="1893" t="n">
        <v>15</v>
      </c>
      <c r="L49" s="1426" t="n">
        <f aca="false">J49*K49</f>
        <v>495</v>
      </c>
      <c r="M49" s="1894" t="n">
        <f aca="false">L49*G49</f>
        <v>14701.5</v>
      </c>
      <c r="N49" s="1895" t="n">
        <f aca="false">VEN!T15</f>
        <v>0.496223999326628</v>
      </c>
      <c r="O49" s="1896" t="n">
        <f aca="false">G49*N49</f>
        <v>14.7378527800009</v>
      </c>
      <c r="P49" s="1896" t="n">
        <f aca="false">L49*O49</f>
        <v>7295.23712610043</v>
      </c>
      <c r="Q49" s="1416" t="s">
        <v>3321</v>
      </c>
    </row>
    <row r="50" customFormat="false" ht="16.5" hidden="false" customHeight="true" outlineLevel="0" collapsed="false">
      <c r="A50" s="1864" t="n">
        <v>220923</v>
      </c>
      <c r="B50" s="1207" t="s">
        <v>86</v>
      </c>
      <c r="C50" s="1207" t="n">
        <v>2023</v>
      </c>
      <c r="D50" s="1208" t="s">
        <v>15</v>
      </c>
      <c r="E50" s="1208" t="s">
        <v>2203</v>
      </c>
      <c r="F50" s="1208"/>
      <c r="G50" s="1801" t="n">
        <v>0</v>
      </c>
      <c r="H50" s="1212"/>
      <c r="I50" s="1212" t="n">
        <f aca="false">G50*H50/100</f>
        <v>0</v>
      </c>
      <c r="J50" s="1218" t="n">
        <v>703</v>
      </c>
      <c r="K50" s="1880" t="n">
        <v>1</v>
      </c>
      <c r="L50" s="1218" t="n">
        <f aca="false">J50*K50</f>
        <v>703</v>
      </c>
      <c r="M50" s="1871" t="n">
        <f aca="false">L50*G50</f>
        <v>0</v>
      </c>
      <c r="N50" s="1872"/>
      <c r="O50" s="1873"/>
      <c r="P50" s="1873"/>
      <c r="Q50" s="1209"/>
    </row>
    <row r="51" customFormat="false" ht="16.5" hidden="false" customHeight="true" outlineLevel="0" collapsed="false">
      <c r="A51" s="1851" t="n">
        <v>6</v>
      </c>
      <c r="B51" s="969" t="s">
        <v>86</v>
      </c>
      <c r="C51" s="969" t="n">
        <v>2024</v>
      </c>
      <c r="D51" s="929" t="s">
        <v>7</v>
      </c>
      <c r="E51" s="929" t="s">
        <v>2192</v>
      </c>
      <c r="F51" s="929" t="s">
        <v>2199</v>
      </c>
      <c r="G51" s="1852" t="n">
        <v>42.2</v>
      </c>
      <c r="H51" s="973"/>
      <c r="I51" s="973" t="n">
        <f aca="false">G51*H51/100</f>
        <v>0</v>
      </c>
      <c r="J51" s="933" t="n">
        <v>417</v>
      </c>
      <c r="K51" s="1854" t="n">
        <v>1</v>
      </c>
      <c r="L51" s="933" t="n">
        <f aca="false">J51*K51</f>
        <v>417</v>
      </c>
      <c r="M51" s="932" t="n">
        <f aca="false">L51*G51</f>
        <v>17597.4</v>
      </c>
      <c r="N51" s="1855" t="n">
        <f aca="false">'COM.'!U6</f>
        <v>0.296035364286203</v>
      </c>
      <c r="O51" s="1856" t="n">
        <f aca="false">G51*N51</f>
        <v>12.4926923728778</v>
      </c>
      <c r="P51" s="1856" t="n">
        <f aca="false">L51*O51</f>
        <v>5209.45271949003</v>
      </c>
      <c r="Q51" s="970" t="n">
        <v>7</v>
      </c>
    </row>
    <row r="52" customFormat="false" ht="16.5" hidden="false" customHeight="true" outlineLevel="0" collapsed="false">
      <c r="A52" s="1851" t="n">
        <v>10</v>
      </c>
      <c r="B52" s="969" t="s">
        <v>86</v>
      </c>
      <c r="C52" s="969" t="n">
        <v>2024</v>
      </c>
      <c r="D52" s="929" t="s">
        <v>11</v>
      </c>
      <c r="E52" s="929" t="s">
        <v>2192</v>
      </c>
      <c r="F52" s="929" t="s">
        <v>2199</v>
      </c>
      <c r="G52" s="1852" t="n">
        <v>35.74</v>
      </c>
      <c r="H52" s="973"/>
      <c r="I52" s="973" t="n">
        <f aca="false">G52*H52/100</f>
        <v>0</v>
      </c>
      <c r="J52" s="933" t="n">
        <v>266</v>
      </c>
      <c r="K52" s="1854" t="n">
        <v>1</v>
      </c>
      <c r="L52" s="933" t="n">
        <f aca="false">J52*K52</f>
        <v>266</v>
      </c>
      <c r="M52" s="932" t="n">
        <f aca="false">L52*G52</f>
        <v>9506.84</v>
      </c>
      <c r="N52" s="1855" t="n">
        <f aca="false">'COM.'!U10</f>
        <v>1.96128856227294</v>
      </c>
      <c r="O52" s="1856" t="n">
        <f aca="false">G52*N52</f>
        <v>70.096453215635</v>
      </c>
      <c r="P52" s="1856" t="n">
        <f aca="false">L52*O52</f>
        <v>18645.6565553589</v>
      </c>
      <c r="Q52" s="970" t="n">
        <v>1</v>
      </c>
    </row>
    <row r="53" customFormat="false" ht="16.5" hidden="false" customHeight="true" outlineLevel="0" collapsed="false">
      <c r="A53" s="1851" t="n">
        <v>15</v>
      </c>
      <c r="B53" s="969" t="s">
        <v>86</v>
      </c>
      <c r="C53" s="969" t="n">
        <v>2024</v>
      </c>
      <c r="D53" s="929" t="s">
        <v>19</v>
      </c>
      <c r="E53" s="929" t="s">
        <v>2192</v>
      </c>
      <c r="F53" s="929" t="s">
        <v>2199</v>
      </c>
      <c r="G53" s="1852" t="n">
        <v>76.1</v>
      </c>
      <c r="H53" s="973"/>
      <c r="I53" s="973" t="n">
        <f aca="false">G53*H53/100</f>
        <v>0</v>
      </c>
      <c r="J53" s="933" t="n">
        <v>525</v>
      </c>
      <c r="K53" s="1854" t="n">
        <v>1</v>
      </c>
      <c r="L53" s="933" t="n">
        <f aca="false">J53*K53</f>
        <v>525</v>
      </c>
      <c r="M53" s="1908" t="n">
        <f aca="false">L53*G53</f>
        <v>39952.5</v>
      </c>
      <c r="N53" s="1855" t="n">
        <f aca="false">'COM.'!U18</f>
        <v>0.377633871995541</v>
      </c>
      <c r="O53" s="1856" t="n">
        <f aca="false">G53*N53</f>
        <v>28.7379376588607</v>
      </c>
      <c r="P53" s="1856" t="n">
        <f aca="false">L53*O53</f>
        <v>15087.4172709018</v>
      </c>
      <c r="Q53" s="970" t="n">
        <v>5</v>
      </c>
    </row>
    <row r="54" customFormat="false" ht="16.5" hidden="false" customHeight="true" outlineLevel="0" collapsed="false">
      <c r="A54" s="1864" t="n">
        <v>15</v>
      </c>
      <c r="B54" s="1207" t="s">
        <v>86</v>
      </c>
      <c r="C54" s="1207" t="n">
        <v>2024</v>
      </c>
      <c r="D54" s="1208" t="s">
        <v>19</v>
      </c>
      <c r="E54" s="1208" t="s">
        <v>2203</v>
      </c>
      <c r="F54" s="1208"/>
      <c r="G54" s="1801" t="n">
        <v>0</v>
      </c>
      <c r="H54" s="1212"/>
      <c r="I54" s="1212" t="n">
        <f aca="false">G54*H54/100</f>
        <v>0</v>
      </c>
      <c r="J54" s="1218" t="n">
        <v>425</v>
      </c>
      <c r="K54" s="1880" t="n">
        <v>1</v>
      </c>
      <c r="L54" s="1218" t="n">
        <f aca="false">J54*K54</f>
        <v>425</v>
      </c>
      <c r="M54" s="1400" t="n">
        <f aca="false">L54*G54</f>
        <v>0</v>
      </c>
      <c r="N54" s="1872"/>
      <c r="O54" s="1873"/>
      <c r="P54" s="1873"/>
      <c r="Q54" s="1209" t="s">
        <v>3307</v>
      </c>
    </row>
    <row r="55" customFormat="false" ht="16.5" hidden="false" customHeight="true" outlineLevel="0" collapsed="false">
      <c r="A55" s="1851" t="n">
        <v>16</v>
      </c>
      <c r="B55" s="969" t="s">
        <v>81</v>
      </c>
      <c r="C55" s="969" t="n">
        <v>2024</v>
      </c>
      <c r="D55" s="929" t="s">
        <v>74</v>
      </c>
      <c r="E55" s="929" t="s">
        <v>2192</v>
      </c>
      <c r="F55" s="929" t="s">
        <v>2199</v>
      </c>
      <c r="G55" s="1852" t="n">
        <v>1</v>
      </c>
      <c r="H55" s="973"/>
      <c r="I55" s="973" t="n">
        <f aca="false">G55*H55/100</f>
        <v>0</v>
      </c>
      <c r="J55" s="933" t="n">
        <v>13437</v>
      </c>
      <c r="K55" s="1854" t="n">
        <v>1</v>
      </c>
      <c r="L55" s="933" t="n">
        <f aca="false">J55*K55</f>
        <v>13437</v>
      </c>
      <c r="M55" s="1908" t="n">
        <f aca="false">L55*G55</f>
        <v>13437</v>
      </c>
      <c r="N55" s="1855"/>
      <c r="O55" s="1856"/>
      <c r="P55" s="1856"/>
      <c r="Q55" s="1909" t="s">
        <v>3323</v>
      </c>
    </row>
    <row r="56" customFormat="false" ht="16.5" hidden="false" customHeight="true" outlineLevel="0" collapsed="false">
      <c r="A56" s="1851" t="n">
        <v>19</v>
      </c>
      <c r="B56" s="969" t="s">
        <v>86</v>
      </c>
      <c r="C56" s="969" t="n">
        <v>2024</v>
      </c>
      <c r="D56" s="929" t="s">
        <v>12</v>
      </c>
      <c r="E56" s="929" t="s">
        <v>2192</v>
      </c>
      <c r="F56" s="929" t="s">
        <v>2199</v>
      </c>
      <c r="G56" s="1852" t="n">
        <v>75.3</v>
      </c>
      <c r="H56" s="973"/>
      <c r="I56" s="973" t="n">
        <f aca="false">G56*H56/100</f>
        <v>0</v>
      </c>
      <c r="J56" s="933" t="n">
        <v>1570</v>
      </c>
      <c r="K56" s="1854" t="n">
        <v>1</v>
      </c>
      <c r="L56" s="933" t="n">
        <f aca="false">J56*K56</f>
        <v>1570</v>
      </c>
      <c r="M56" s="1908" t="n">
        <f aca="false">L56*G56</f>
        <v>118221</v>
      </c>
      <c r="N56" s="1855" t="n">
        <f aca="false">'COM.'!U11</f>
        <v>2.28486281851274</v>
      </c>
      <c r="O56" s="1856" t="n">
        <f aca="false">G56*N56</f>
        <v>172.050170234009</v>
      </c>
      <c r="P56" s="1856" t="n">
        <f aca="false">L56*O56</f>
        <v>270118.767267395</v>
      </c>
      <c r="Q56" s="970" t="n">
        <v>4</v>
      </c>
    </row>
    <row r="57" customFormat="false" ht="16.5" hidden="false" customHeight="true" outlineLevel="0" collapsed="false">
      <c r="A57" s="1864" t="n">
        <v>19</v>
      </c>
      <c r="B57" s="1207" t="s">
        <v>86</v>
      </c>
      <c r="C57" s="1207" t="n">
        <v>2024</v>
      </c>
      <c r="D57" s="1208" t="s">
        <v>12</v>
      </c>
      <c r="E57" s="1208" t="s">
        <v>2242</v>
      </c>
      <c r="F57" s="1208"/>
      <c r="G57" s="1801" t="n">
        <v>44.1</v>
      </c>
      <c r="H57" s="1212"/>
      <c r="I57" s="1212" t="n">
        <f aca="false">G57*H57/100</f>
        <v>0</v>
      </c>
      <c r="J57" s="1218" t="n">
        <v>180</v>
      </c>
      <c r="K57" s="1880" t="n">
        <v>1</v>
      </c>
      <c r="L57" s="1218" t="n">
        <f aca="false">J57*K57</f>
        <v>180</v>
      </c>
      <c r="M57" s="1400" t="n">
        <f aca="false">L57*G57</f>
        <v>7938</v>
      </c>
      <c r="N57" s="1872"/>
      <c r="O57" s="1873"/>
      <c r="P57" s="1873"/>
      <c r="Q57" s="1209" t="s">
        <v>3318</v>
      </c>
    </row>
    <row r="58" customFormat="false" ht="16.5" hidden="false" customHeight="true" outlineLevel="0" collapsed="false">
      <c r="A58" s="1864" t="n">
        <v>23</v>
      </c>
      <c r="B58" s="1207" t="s">
        <v>86</v>
      </c>
      <c r="C58" s="1207" t="n">
        <v>2024</v>
      </c>
      <c r="D58" s="1208" t="s">
        <v>11</v>
      </c>
      <c r="E58" s="1208" t="s">
        <v>2203</v>
      </c>
      <c r="F58" s="1208"/>
      <c r="G58" s="1801" t="n">
        <v>4.672</v>
      </c>
      <c r="H58" s="1212"/>
      <c r="I58" s="1212" t="n">
        <f aca="false">G58*H58/100</f>
        <v>0</v>
      </c>
      <c r="J58" s="1218" t="n">
        <v>2187</v>
      </c>
      <c r="K58" s="1880" t="n">
        <v>1</v>
      </c>
      <c r="L58" s="1218" t="n">
        <f aca="false">J58*K58</f>
        <v>2187</v>
      </c>
      <c r="M58" s="1400" t="n">
        <f aca="false">L58*G58</f>
        <v>10217.664</v>
      </c>
      <c r="N58" s="1872"/>
      <c r="O58" s="1873"/>
      <c r="P58" s="1873"/>
      <c r="Q58" s="1209" t="s">
        <v>3324</v>
      </c>
    </row>
    <row r="59" customFormat="false" ht="16.5" hidden="false" customHeight="true" outlineLevel="0" collapsed="false">
      <c r="A59" s="1864" t="n">
        <v>25</v>
      </c>
      <c r="B59" s="1207" t="s">
        <v>86</v>
      </c>
      <c r="C59" s="1207" t="n">
        <v>2024</v>
      </c>
      <c r="D59" s="1208" t="s">
        <v>11</v>
      </c>
      <c r="E59" s="1208" t="s">
        <v>2203</v>
      </c>
      <c r="F59" s="1208"/>
      <c r="G59" s="1801" t="n">
        <v>16.8</v>
      </c>
      <c r="H59" s="1212"/>
      <c r="I59" s="1212" t="n">
        <f aca="false">G59*H59/100</f>
        <v>0</v>
      </c>
      <c r="J59" s="1218" t="n">
        <v>2330</v>
      </c>
      <c r="K59" s="1880" t="n">
        <v>1</v>
      </c>
      <c r="L59" s="1218" t="n">
        <f aca="false">J59*K59</f>
        <v>2330</v>
      </c>
      <c r="M59" s="1400" t="n">
        <f aca="false">L59*G59</f>
        <v>39144</v>
      </c>
      <c r="N59" s="1872"/>
      <c r="O59" s="1873"/>
      <c r="P59" s="1873"/>
      <c r="Q59" s="1209" t="s">
        <v>3319</v>
      </c>
    </row>
    <row r="60" customFormat="false" ht="16.5" hidden="false" customHeight="true" outlineLevel="0" collapsed="false">
      <c r="A60" s="1851" t="n">
        <v>28</v>
      </c>
      <c r="B60" s="969" t="s">
        <v>86</v>
      </c>
      <c r="C60" s="969" t="n">
        <v>2024</v>
      </c>
      <c r="D60" s="929" t="s">
        <v>19</v>
      </c>
      <c r="E60" s="929" t="s">
        <v>2192</v>
      </c>
      <c r="F60" s="929" t="s">
        <v>1650</v>
      </c>
      <c r="G60" s="1852" t="n">
        <v>91.9</v>
      </c>
      <c r="H60" s="973"/>
      <c r="I60" s="973" t="n">
        <f aca="false">G60*H60/100</f>
        <v>0</v>
      </c>
      <c r="J60" s="933" t="n">
        <v>1182</v>
      </c>
      <c r="K60" s="1854" t="n">
        <v>1</v>
      </c>
      <c r="L60" s="933" t="n">
        <f aca="false">J60*K60</f>
        <v>1182</v>
      </c>
      <c r="M60" s="1908" t="n">
        <f aca="false">L60*G60</f>
        <v>108625.8</v>
      </c>
      <c r="N60" s="1855" t="n">
        <f aca="false">'COM.'!U18</f>
        <v>0.377633871995541</v>
      </c>
      <c r="O60" s="1856" t="n">
        <f aca="false">G60*N60</f>
        <v>34.7045528363902</v>
      </c>
      <c r="P60" s="1856" t="n">
        <f aca="false">L60*O60</f>
        <v>41020.7814526132</v>
      </c>
      <c r="Q60" s="1909" t="s">
        <v>3325</v>
      </c>
    </row>
    <row r="61" customFormat="false" ht="16.5" hidden="false" customHeight="true" outlineLevel="0" collapsed="false">
      <c r="A61" s="1851" t="n">
        <v>33</v>
      </c>
      <c r="B61" s="969" t="s">
        <v>81</v>
      </c>
      <c r="C61" s="969" t="n">
        <v>2024</v>
      </c>
      <c r="D61" s="929" t="s">
        <v>22</v>
      </c>
      <c r="E61" s="929" t="s">
        <v>2192</v>
      </c>
      <c r="F61" s="929" t="s">
        <v>2199</v>
      </c>
      <c r="G61" s="1852" t="n">
        <v>36.9</v>
      </c>
      <c r="H61" s="973"/>
      <c r="I61" s="973" t="n">
        <f aca="false">G61*H61/100</f>
        <v>0</v>
      </c>
      <c r="J61" s="933" t="n">
        <v>648</v>
      </c>
      <c r="K61" s="1854" t="n">
        <v>1</v>
      </c>
      <c r="L61" s="933" t="n">
        <f aca="false">J61*K61</f>
        <v>648</v>
      </c>
      <c r="M61" s="1908" t="n">
        <f aca="false">L61*G61</f>
        <v>23911.2</v>
      </c>
      <c r="N61" s="1855" t="n">
        <f aca="false">'COM.'!U20</f>
        <v>0.758623322455105</v>
      </c>
      <c r="O61" s="1856" t="n">
        <f aca="false">G61*N61</f>
        <v>27.9932005985934</v>
      </c>
      <c r="P61" s="1856" t="n">
        <f aca="false">L61*O61</f>
        <v>18139.5939878885</v>
      </c>
      <c r="Q61" s="970" t="n">
        <v>2</v>
      </c>
    </row>
    <row r="62" customFormat="false" ht="16.5" hidden="false" customHeight="true" outlineLevel="0" collapsed="false">
      <c r="A62" s="1851" t="n">
        <v>36</v>
      </c>
      <c r="B62" s="969" t="s">
        <v>81</v>
      </c>
      <c r="C62" s="969" t="n">
        <v>2024</v>
      </c>
      <c r="D62" s="929" t="s">
        <v>16</v>
      </c>
      <c r="E62" s="929" t="s">
        <v>2192</v>
      </c>
      <c r="F62" s="929" t="s">
        <v>1650</v>
      </c>
      <c r="G62" s="1852" t="n">
        <v>91.9</v>
      </c>
      <c r="H62" s="973"/>
      <c r="I62" s="973" t="n">
        <f aca="false">G62*H62/100</f>
        <v>0</v>
      </c>
      <c r="J62" s="933" t="n">
        <v>1471</v>
      </c>
      <c r="K62" s="1854" t="n">
        <v>1</v>
      </c>
      <c r="L62" s="933" t="n">
        <f aca="false">J62*K62</f>
        <v>1471</v>
      </c>
      <c r="M62" s="1908" t="n">
        <f aca="false">L62*G62</f>
        <v>135184.9</v>
      </c>
      <c r="N62" s="1855" t="n">
        <f aca="false">'COM.'!U15</f>
        <v>0.431701114519273</v>
      </c>
      <c r="O62" s="1856" t="n">
        <f aca="false">G62*N62</f>
        <v>39.6733324243212</v>
      </c>
      <c r="P62" s="1856" t="n">
        <f aca="false">L62*O62</f>
        <v>58359.4719961765</v>
      </c>
      <c r="Q62" s="1910" t="n">
        <v>2</v>
      </c>
    </row>
    <row r="63" customFormat="false" ht="16.5" hidden="false" customHeight="true" outlineLevel="0" collapsed="false">
      <c r="A63" s="1851" t="n">
        <v>37</v>
      </c>
      <c r="B63" s="969" t="s">
        <v>81</v>
      </c>
      <c r="C63" s="969" t="n">
        <v>2024</v>
      </c>
      <c r="D63" s="929" t="s">
        <v>22</v>
      </c>
      <c r="E63" s="929" t="s">
        <v>2192</v>
      </c>
      <c r="F63" s="929" t="s">
        <v>1650</v>
      </c>
      <c r="G63" s="1852" t="n">
        <v>93.4</v>
      </c>
      <c r="H63" s="973"/>
      <c r="I63" s="973" t="n">
        <f aca="false">G63*H63/100</f>
        <v>0</v>
      </c>
      <c r="J63" s="933" t="n">
        <v>2633</v>
      </c>
      <c r="K63" s="1854" t="n">
        <v>1</v>
      </c>
      <c r="L63" s="933" t="n">
        <f aca="false">J63*K63</f>
        <v>2633</v>
      </c>
      <c r="M63" s="1908" t="n">
        <f aca="false">L63*G63</f>
        <v>245922.2</v>
      </c>
      <c r="N63" s="1855" t="n">
        <f aca="false">'COM.'!U20</f>
        <v>0.758623322455105</v>
      </c>
      <c r="O63" s="1856" t="n">
        <f aca="false">G63*N63</f>
        <v>70.8554183173069</v>
      </c>
      <c r="P63" s="1856" t="n">
        <f aca="false">L63*O63</f>
        <v>186562.316429469</v>
      </c>
      <c r="Q63" s="1910" t="n">
        <v>2</v>
      </c>
    </row>
    <row r="64" customFormat="false" ht="16.5" hidden="false" customHeight="true" outlineLevel="0" collapsed="false">
      <c r="A64" s="1851" t="n">
        <v>40</v>
      </c>
      <c r="B64" s="969" t="s">
        <v>81</v>
      </c>
      <c r="C64" s="969" t="n">
        <v>2024</v>
      </c>
      <c r="D64" s="929" t="s">
        <v>74</v>
      </c>
      <c r="E64" s="929" t="s">
        <v>2192</v>
      </c>
      <c r="F64" s="929" t="s">
        <v>2199</v>
      </c>
      <c r="G64" s="1852" t="n">
        <v>1</v>
      </c>
      <c r="H64" s="973"/>
      <c r="I64" s="973" t="n">
        <f aca="false">G64*H64/100</f>
        <v>0</v>
      </c>
      <c r="J64" s="933" t="n">
        <v>845</v>
      </c>
      <c r="K64" s="1854" t="n">
        <v>1</v>
      </c>
      <c r="L64" s="933" t="n">
        <f aca="false">J64*K64</f>
        <v>845</v>
      </c>
      <c r="M64" s="1908" t="n">
        <f aca="false">L64*G64</f>
        <v>845</v>
      </c>
      <c r="N64" s="1855"/>
      <c r="O64" s="1856"/>
      <c r="P64" s="1856"/>
      <c r="Q64" s="970" t="n">
        <v>13</v>
      </c>
    </row>
    <row r="65" customFormat="false" ht="16.5" hidden="false" customHeight="true" outlineLevel="0" collapsed="false">
      <c r="A65" s="1864" t="n">
        <v>41</v>
      </c>
      <c r="B65" s="1207" t="s">
        <v>86</v>
      </c>
      <c r="C65" s="1207" t="n">
        <v>2024</v>
      </c>
      <c r="D65" s="1208" t="s">
        <v>15</v>
      </c>
      <c r="E65" s="1208" t="s">
        <v>2203</v>
      </c>
      <c r="F65" s="1208"/>
      <c r="G65" s="1801" t="n">
        <v>56.8</v>
      </c>
      <c r="H65" s="1212"/>
      <c r="I65" s="1212" t="n">
        <f aca="false">G65*H65/100</f>
        <v>0</v>
      </c>
      <c r="J65" s="1218" t="n">
        <v>432</v>
      </c>
      <c r="K65" s="1880" t="n">
        <v>1</v>
      </c>
      <c r="L65" s="1218" t="n">
        <f aca="false">J65*K65</f>
        <v>432</v>
      </c>
      <c r="M65" s="1400" t="n">
        <f aca="false">L65*G65</f>
        <v>24537.6</v>
      </c>
      <c r="N65" s="1872"/>
      <c r="O65" s="1873"/>
      <c r="P65" s="1873"/>
      <c r="Q65" s="1209"/>
    </row>
    <row r="66" customFormat="false" ht="16.5" hidden="false" customHeight="true" outlineLevel="0" collapsed="false">
      <c r="A66" s="1864" t="n">
        <v>41</v>
      </c>
      <c r="B66" s="1207" t="s">
        <v>86</v>
      </c>
      <c r="C66" s="1207" t="n">
        <v>2024</v>
      </c>
      <c r="D66" s="1208" t="s">
        <v>15</v>
      </c>
      <c r="E66" s="1208" t="s">
        <v>2241</v>
      </c>
      <c r="F66" s="1208"/>
      <c r="G66" s="1801" t="n">
        <v>39.4</v>
      </c>
      <c r="H66" s="1212"/>
      <c r="I66" s="1212" t="n">
        <f aca="false">G66*H66/100</f>
        <v>0</v>
      </c>
      <c r="J66" s="1218" t="n">
        <v>684</v>
      </c>
      <c r="K66" s="1880" t="n">
        <v>1</v>
      </c>
      <c r="L66" s="1218" t="n">
        <f aca="false">J66*K66</f>
        <v>684</v>
      </c>
      <c r="M66" s="1400" t="n">
        <f aca="false">L66*G66</f>
        <v>26949.6</v>
      </c>
      <c r="N66" s="1872"/>
      <c r="O66" s="1873"/>
      <c r="P66" s="1873"/>
      <c r="Q66" s="1209"/>
    </row>
    <row r="67" customFormat="false" ht="16.5" hidden="false" customHeight="true" outlineLevel="0" collapsed="false">
      <c r="A67" s="1851" t="n">
        <v>55</v>
      </c>
      <c r="B67" s="969" t="s">
        <v>86</v>
      </c>
      <c r="C67" s="969" t="n">
        <v>2024</v>
      </c>
      <c r="D67" s="929" t="s">
        <v>10</v>
      </c>
      <c r="E67" s="929" t="s">
        <v>2192</v>
      </c>
      <c r="F67" s="929" t="s">
        <v>1650</v>
      </c>
      <c r="G67" s="1852" t="n">
        <v>92.7</v>
      </c>
      <c r="H67" s="973" t="n">
        <v>54</v>
      </c>
      <c r="I67" s="973" t="n">
        <f aca="false">G67*H67/100</f>
        <v>50.058</v>
      </c>
      <c r="J67" s="933" t="n">
        <v>31780</v>
      </c>
      <c r="K67" s="1854" t="n">
        <v>1</v>
      </c>
      <c r="L67" s="933" t="n">
        <f aca="false">J67*K67</f>
        <v>31780</v>
      </c>
      <c r="M67" s="933" t="n">
        <f aca="false">L67*G67</f>
        <v>2946006</v>
      </c>
      <c r="N67" s="1855" t="n">
        <f aca="false">'COM.'!U9</f>
        <v>0.0913215081989931</v>
      </c>
      <c r="O67" s="1856" t="n">
        <f aca="false">G67*N67</f>
        <v>8.46550381004666</v>
      </c>
      <c r="P67" s="1856" t="n">
        <f aca="false">L67*O67</f>
        <v>269033.711083283</v>
      </c>
      <c r="Q67" s="970" t="s">
        <v>3326</v>
      </c>
    </row>
    <row r="68" customFormat="false" ht="16.5" hidden="false" customHeight="true" outlineLevel="0" collapsed="false">
      <c r="A68" s="1864" t="n">
        <v>60</v>
      </c>
      <c r="B68" s="1207" t="s">
        <v>86</v>
      </c>
      <c r="C68" s="1207" t="n">
        <v>2024</v>
      </c>
      <c r="D68" s="1208" t="s">
        <v>7</v>
      </c>
      <c r="E68" s="1208" t="s">
        <v>2203</v>
      </c>
      <c r="F68" s="1208"/>
      <c r="G68" s="1801" t="n">
        <v>52.3</v>
      </c>
      <c r="H68" s="1212"/>
      <c r="I68" s="1212" t="n">
        <f aca="false">G68*H68/100</f>
        <v>0</v>
      </c>
      <c r="J68" s="1218" t="n">
        <v>688</v>
      </c>
      <c r="K68" s="1880" t="n">
        <v>1</v>
      </c>
      <c r="L68" s="1218" t="n">
        <f aca="false">J68*K68</f>
        <v>688</v>
      </c>
      <c r="M68" s="1400" t="n">
        <f aca="false">L68*G68</f>
        <v>35982.4</v>
      </c>
      <c r="N68" s="1872"/>
      <c r="O68" s="1873"/>
      <c r="P68" s="1873"/>
      <c r="Q68" s="1209" t="s">
        <v>3317</v>
      </c>
    </row>
    <row r="69" customFormat="false" ht="16.5" hidden="false" customHeight="true" outlineLevel="0" collapsed="false">
      <c r="A69" s="1864" t="n">
        <v>60</v>
      </c>
      <c r="B69" s="1207" t="s">
        <v>86</v>
      </c>
      <c r="C69" s="1207" t="n">
        <v>2024</v>
      </c>
      <c r="D69" s="1208" t="s">
        <v>7</v>
      </c>
      <c r="E69" s="1208" t="s">
        <v>2241</v>
      </c>
      <c r="F69" s="1208"/>
      <c r="G69" s="1801" t="n">
        <v>50.1</v>
      </c>
      <c r="H69" s="1212"/>
      <c r="I69" s="1212" t="n">
        <f aca="false">G69*H69/100</f>
        <v>0</v>
      </c>
      <c r="J69" s="1218" t="n">
        <v>198</v>
      </c>
      <c r="K69" s="1880" t="n">
        <v>1</v>
      </c>
      <c r="L69" s="1218" t="n">
        <f aca="false">J69*K69</f>
        <v>198</v>
      </c>
      <c r="M69" s="1400" t="n">
        <f aca="false">L69*G69</f>
        <v>9919.8</v>
      </c>
      <c r="N69" s="1872"/>
      <c r="O69" s="1873"/>
      <c r="P69" s="1873"/>
      <c r="Q69" s="1209" t="s">
        <v>3317</v>
      </c>
    </row>
    <row r="70" customFormat="false" ht="16.5" hidden="false" customHeight="true" outlineLevel="0" collapsed="false">
      <c r="A70" s="1891" t="n">
        <v>61</v>
      </c>
      <c r="B70" s="1414" t="s">
        <v>2191</v>
      </c>
      <c r="C70" s="1414" t="n">
        <v>2024</v>
      </c>
      <c r="D70" s="1415" t="s">
        <v>10</v>
      </c>
      <c r="E70" s="1415" t="s">
        <v>2192</v>
      </c>
      <c r="F70" s="1415" t="s">
        <v>1652</v>
      </c>
      <c r="G70" s="1892" t="n">
        <v>43.1426</v>
      </c>
      <c r="H70" s="1419"/>
      <c r="I70" s="1419" t="n">
        <f aca="false">G70*H70/100</f>
        <v>0</v>
      </c>
      <c r="J70" s="1426" t="n">
        <v>236</v>
      </c>
      <c r="K70" s="1893" t="n">
        <v>15</v>
      </c>
      <c r="L70" s="1426" t="n">
        <f aca="false">J70*K70</f>
        <v>3540</v>
      </c>
      <c r="M70" s="1894" t="n">
        <f aca="false">L70*G70</f>
        <v>152724.804</v>
      </c>
      <c r="N70" s="1895" t="n">
        <f aca="false">VEN!T25</f>
        <v>0.29360427564008</v>
      </c>
      <c r="O70" s="1896" t="n">
        <f aca="false">G70*N70</f>
        <v>12.6668518222297</v>
      </c>
      <c r="P70" s="1896" t="n">
        <f aca="false">L70*O70</f>
        <v>44840.6554506932</v>
      </c>
      <c r="Q70" s="1416" t="s">
        <v>3321</v>
      </c>
    </row>
    <row r="71" customFormat="false" ht="16.5" hidden="false" customHeight="true" outlineLevel="0" collapsed="false">
      <c r="A71" s="1864" t="n">
        <v>61</v>
      </c>
      <c r="B71" s="1207" t="s">
        <v>86</v>
      </c>
      <c r="C71" s="1207" t="n">
        <v>2024</v>
      </c>
      <c r="D71" s="1208" t="s">
        <v>7</v>
      </c>
      <c r="E71" s="1208" t="s">
        <v>2203</v>
      </c>
      <c r="F71" s="1208"/>
      <c r="G71" s="1801" t="n">
        <v>43.1</v>
      </c>
      <c r="H71" s="1212"/>
      <c r="I71" s="1212" t="n">
        <f aca="false">G71*H71/100</f>
        <v>0</v>
      </c>
      <c r="J71" s="1218" t="n">
        <v>152</v>
      </c>
      <c r="K71" s="1880" t="n">
        <v>1</v>
      </c>
      <c r="L71" s="1218" t="n">
        <f aca="false">J71*K71</f>
        <v>152</v>
      </c>
      <c r="M71" s="1400" t="n">
        <f aca="false">L71*G71</f>
        <v>6551.2</v>
      </c>
      <c r="N71" s="1872"/>
      <c r="O71" s="1873"/>
      <c r="P71" s="1873"/>
      <c r="Q71" s="1209" t="s">
        <v>3317</v>
      </c>
    </row>
    <row r="72" customFormat="false" ht="16.5" hidden="false" customHeight="true" outlineLevel="0" collapsed="false">
      <c r="A72" s="1851" t="n">
        <v>62</v>
      </c>
      <c r="B72" s="969" t="s">
        <v>81</v>
      </c>
      <c r="C72" s="969" t="n">
        <v>2024</v>
      </c>
      <c r="D72" s="929" t="s">
        <v>73</v>
      </c>
      <c r="E72" s="929" t="s">
        <v>2192</v>
      </c>
      <c r="F72" s="929" t="s">
        <v>2199</v>
      </c>
      <c r="G72" s="1852" t="n">
        <v>1</v>
      </c>
      <c r="H72" s="973"/>
      <c r="I72" s="973" t="n">
        <f aca="false">G72*H72/100</f>
        <v>0</v>
      </c>
      <c r="J72" s="933" t="n">
        <v>6160</v>
      </c>
      <c r="K72" s="1854" t="n">
        <v>1</v>
      </c>
      <c r="L72" s="933" t="n">
        <f aca="false">J72*K72</f>
        <v>6160</v>
      </c>
      <c r="M72" s="1908" t="n">
        <f aca="false">L72*G72</f>
        <v>6160</v>
      </c>
      <c r="N72" s="1855"/>
      <c r="O72" s="1856"/>
      <c r="P72" s="1856"/>
      <c r="Q72" s="970" t="s">
        <v>3327</v>
      </c>
    </row>
    <row r="73" customFormat="false" ht="16.5" hidden="false" customHeight="true" outlineLevel="0" collapsed="false">
      <c r="A73" s="1851" t="n">
        <v>63</v>
      </c>
      <c r="B73" s="969" t="s">
        <v>81</v>
      </c>
      <c r="C73" s="969" t="n">
        <v>2024</v>
      </c>
      <c r="D73" s="929" t="s">
        <v>73</v>
      </c>
      <c r="E73" s="929" t="s">
        <v>2192</v>
      </c>
      <c r="F73" s="929" t="s">
        <v>2199</v>
      </c>
      <c r="G73" s="1852" t="n">
        <v>1</v>
      </c>
      <c r="H73" s="973"/>
      <c r="I73" s="973" t="n">
        <f aca="false">G73*H73/100</f>
        <v>0</v>
      </c>
      <c r="J73" s="933" t="n">
        <v>2160</v>
      </c>
      <c r="K73" s="1854" t="n">
        <v>1</v>
      </c>
      <c r="L73" s="933" t="n">
        <f aca="false">J73*K73</f>
        <v>2160</v>
      </c>
      <c r="M73" s="1908" t="n">
        <f aca="false">L73*G73</f>
        <v>2160</v>
      </c>
      <c r="N73" s="1855"/>
      <c r="O73" s="1856"/>
      <c r="P73" s="1856"/>
      <c r="Q73" s="970" t="s">
        <v>3327</v>
      </c>
    </row>
    <row r="74" customFormat="false" ht="16.5" hidden="false" customHeight="true" outlineLevel="0" collapsed="false">
      <c r="A74" s="1851" t="n">
        <v>64</v>
      </c>
      <c r="B74" s="969" t="s">
        <v>81</v>
      </c>
      <c r="C74" s="969" t="n">
        <v>2024</v>
      </c>
      <c r="D74" s="929" t="s">
        <v>73</v>
      </c>
      <c r="E74" s="929" t="s">
        <v>2192</v>
      </c>
      <c r="F74" s="929" t="s">
        <v>2199</v>
      </c>
      <c r="G74" s="1852" t="n">
        <v>1</v>
      </c>
      <c r="H74" s="973"/>
      <c r="I74" s="973" t="n">
        <f aca="false">G74*H74/100</f>
        <v>0</v>
      </c>
      <c r="J74" s="933" t="n">
        <v>320</v>
      </c>
      <c r="K74" s="1854" t="n">
        <v>1</v>
      </c>
      <c r="L74" s="933" t="n">
        <f aca="false">J74*K74</f>
        <v>320</v>
      </c>
      <c r="M74" s="1908" t="n">
        <f aca="false">L74*G74</f>
        <v>320</v>
      </c>
      <c r="N74" s="1855"/>
      <c r="O74" s="1856"/>
      <c r="P74" s="1856"/>
      <c r="Q74" s="970" t="s">
        <v>3327</v>
      </c>
    </row>
    <row r="75" customFormat="false" ht="16.5" hidden="false" customHeight="true" outlineLevel="0" collapsed="false">
      <c r="A75" s="1851" t="n">
        <v>65</v>
      </c>
      <c r="B75" s="969" t="s">
        <v>81</v>
      </c>
      <c r="C75" s="969" t="n">
        <v>2024</v>
      </c>
      <c r="D75" s="929" t="s">
        <v>73</v>
      </c>
      <c r="E75" s="929" t="s">
        <v>2192</v>
      </c>
      <c r="F75" s="929" t="s">
        <v>2199</v>
      </c>
      <c r="G75" s="1852" t="n">
        <v>1</v>
      </c>
      <c r="H75" s="973"/>
      <c r="I75" s="973" t="n">
        <f aca="false">G75*H75/100</f>
        <v>0</v>
      </c>
      <c r="J75" s="933" t="n">
        <v>1660</v>
      </c>
      <c r="K75" s="1854" t="n">
        <v>1</v>
      </c>
      <c r="L75" s="933" t="n">
        <f aca="false">J75*K75</f>
        <v>1660</v>
      </c>
      <c r="M75" s="1908" t="n">
        <f aca="false">L75*G75</f>
        <v>1660</v>
      </c>
      <c r="N75" s="1855"/>
      <c r="O75" s="1856"/>
      <c r="P75" s="1856"/>
      <c r="Q75" s="970" t="s">
        <v>3327</v>
      </c>
    </row>
    <row r="76" customFormat="false" ht="16.5" hidden="false" customHeight="true" outlineLevel="0" collapsed="false">
      <c r="A76" s="1891" t="n">
        <v>67</v>
      </c>
      <c r="B76" s="1414" t="s">
        <v>2191</v>
      </c>
      <c r="C76" s="1414" t="n">
        <v>2024</v>
      </c>
      <c r="D76" s="1415" t="s">
        <v>15</v>
      </c>
      <c r="E76" s="1415" t="s">
        <v>2192</v>
      </c>
      <c r="F76" s="1415" t="s">
        <v>1651</v>
      </c>
      <c r="G76" s="1892" t="n">
        <v>22.5</v>
      </c>
      <c r="H76" s="1419"/>
      <c r="I76" s="1419" t="n">
        <f aca="false">G76*H76/100</f>
        <v>0</v>
      </c>
      <c r="J76" s="1426" t="n">
        <v>27</v>
      </c>
      <c r="K76" s="1893" t="n">
        <v>15</v>
      </c>
      <c r="L76" s="1426" t="n">
        <f aca="false">J76*K76</f>
        <v>405</v>
      </c>
      <c r="M76" s="1425" t="n">
        <f aca="false">L76*G76</f>
        <v>9112.5</v>
      </c>
      <c r="N76" s="1895" t="n">
        <f aca="false">VEN!T42</f>
        <v>0.692085194689985</v>
      </c>
      <c r="O76" s="1896" t="n">
        <f aca="false">G76*N76</f>
        <v>15.5719168805247</v>
      </c>
      <c r="P76" s="1896" t="n">
        <f aca="false">L76*O76</f>
        <v>6306.62633661249</v>
      </c>
      <c r="Q76" s="1416" t="s">
        <v>3321</v>
      </c>
    </row>
    <row r="77" customFormat="false" ht="16.5" hidden="false" customHeight="true" outlineLevel="0" collapsed="false">
      <c r="A77" s="1864" t="n">
        <v>68</v>
      </c>
      <c r="B77" s="1207" t="s">
        <v>86</v>
      </c>
      <c r="C77" s="1207" t="n">
        <v>2024</v>
      </c>
      <c r="D77" s="1208" t="s">
        <v>15</v>
      </c>
      <c r="E77" s="1208" t="s">
        <v>2203</v>
      </c>
      <c r="F77" s="1208"/>
      <c r="G77" s="1801" t="n">
        <v>31.9</v>
      </c>
      <c r="H77" s="1212"/>
      <c r="I77" s="1879" t="n">
        <f aca="false">G77*H77/100</f>
        <v>0</v>
      </c>
      <c r="J77" s="1218" t="n">
        <v>3386</v>
      </c>
      <c r="K77" s="1880" t="n">
        <v>1</v>
      </c>
      <c r="L77" s="1218" t="n">
        <f aca="false">J77*K77</f>
        <v>3386</v>
      </c>
      <c r="M77" s="1871" t="n">
        <f aca="false">L77*G77</f>
        <v>108013.4</v>
      </c>
      <c r="N77" s="1872"/>
      <c r="O77" s="1873"/>
      <c r="P77" s="1873"/>
      <c r="Q77" s="1209"/>
    </row>
    <row r="78" customFormat="false" ht="16.5" hidden="false" customHeight="true" outlineLevel="0" collapsed="false">
      <c r="A78" s="1851" t="n">
        <v>80</v>
      </c>
      <c r="B78" s="969" t="s">
        <v>86</v>
      </c>
      <c r="C78" s="969" t="n">
        <v>2024</v>
      </c>
      <c r="D78" s="929" t="s">
        <v>10</v>
      </c>
      <c r="E78" s="929" t="s">
        <v>2192</v>
      </c>
      <c r="F78" s="929" t="s">
        <v>1650</v>
      </c>
      <c r="G78" s="1852" t="n">
        <v>93</v>
      </c>
      <c r="H78" s="973" t="n">
        <v>54</v>
      </c>
      <c r="I78" s="973" t="n">
        <f aca="false">G78*H78/100</f>
        <v>50.22</v>
      </c>
      <c r="J78" s="933" t="n">
        <v>15761</v>
      </c>
      <c r="K78" s="1854" t="n">
        <v>1</v>
      </c>
      <c r="L78" s="933" t="n">
        <f aca="false">J78*K78</f>
        <v>15761</v>
      </c>
      <c r="M78" s="933" t="n">
        <f aca="false">L78*G78</f>
        <v>1465773</v>
      </c>
      <c r="N78" s="1855" t="n">
        <f aca="false">'COM.'!U9</f>
        <v>0.0913215081989931</v>
      </c>
      <c r="O78" s="1856" t="n">
        <f aca="false">G78*N78</f>
        <v>8.49290026250636</v>
      </c>
      <c r="P78" s="1856" t="n">
        <f aca="false">L78*O78</f>
        <v>133856.601037363</v>
      </c>
      <c r="Q78" s="1910" t="s">
        <v>3328</v>
      </c>
    </row>
    <row r="79" customFormat="false" ht="16.5" hidden="false" customHeight="true" outlineLevel="0" collapsed="false">
      <c r="A79" s="1851" t="n">
        <v>83</v>
      </c>
      <c r="B79" s="969" t="s">
        <v>2230</v>
      </c>
      <c r="C79" s="969" t="n">
        <v>2024</v>
      </c>
      <c r="D79" s="929" t="s">
        <v>10</v>
      </c>
      <c r="E79" s="929" t="s">
        <v>2192</v>
      </c>
      <c r="F79" s="929" t="s">
        <v>1650</v>
      </c>
      <c r="G79" s="1852" t="n">
        <v>95.0665</v>
      </c>
      <c r="H79" s="973" t="n">
        <v>82</v>
      </c>
      <c r="I79" s="973" t="n">
        <f aca="false">G79*H79/100</f>
        <v>77.95453</v>
      </c>
      <c r="J79" s="933" t="n">
        <v>49050</v>
      </c>
      <c r="K79" s="1854" t="n">
        <v>1</v>
      </c>
      <c r="L79" s="933" t="n">
        <f aca="false">J79*K79</f>
        <v>49050</v>
      </c>
      <c r="M79" s="1911" t="n">
        <f aca="false">L79*G79</f>
        <v>4663011.825</v>
      </c>
      <c r="N79" s="1855" t="n">
        <f aca="false">'COM.'!U9</f>
        <v>0.0913215081989931</v>
      </c>
      <c r="O79" s="1856" t="n">
        <f aca="false">G79*N79</f>
        <v>8.68161615919957</v>
      </c>
      <c r="P79" s="1856" t="n">
        <f aca="false">L79*O79</f>
        <v>425833.272608739</v>
      </c>
      <c r="Q79" s="970" t="s">
        <v>3329</v>
      </c>
    </row>
    <row r="80" customFormat="false" ht="16.5" hidden="false" customHeight="true" outlineLevel="0" collapsed="false">
      <c r="A80" s="1851" t="n">
        <v>87</v>
      </c>
      <c r="B80" s="969" t="s">
        <v>81</v>
      </c>
      <c r="C80" s="969" t="n">
        <v>2024</v>
      </c>
      <c r="D80" s="929" t="s">
        <v>18</v>
      </c>
      <c r="E80" s="929" t="s">
        <v>2192</v>
      </c>
      <c r="F80" s="929" t="s">
        <v>2199</v>
      </c>
      <c r="G80" s="1852" t="n">
        <v>87.3</v>
      </c>
      <c r="H80" s="973"/>
      <c r="I80" s="973" t="n">
        <f aca="false">G80*H80/100</f>
        <v>0</v>
      </c>
      <c r="J80" s="933" t="n">
        <v>1085</v>
      </c>
      <c r="K80" s="1854" t="n">
        <v>1</v>
      </c>
      <c r="L80" s="933" t="n">
        <f aca="false">J80*K80</f>
        <v>1085</v>
      </c>
      <c r="M80" s="1908" t="n">
        <f aca="false">L80*G80</f>
        <v>94720.5</v>
      </c>
      <c r="N80" s="1855" t="n">
        <f aca="false">'COM.'!U17</f>
        <v>0.339184754905096</v>
      </c>
      <c r="O80" s="1856" t="n">
        <f aca="false">G80*N80</f>
        <v>29.6108291032149</v>
      </c>
      <c r="P80" s="1856" t="n">
        <f aca="false">L80*O80</f>
        <v>32127.7495769882</v>
      </c>
      <c r="Q80" s="970" t="n">
        <v>8</v>
      </c>
    </row>
    <row r="81" customFormat="false" ht="16.5" hidden="false" customHeight="true" outlineLevel="0" collapsed="false">
      <c r="A81" s="1851" t="n">
        <v>91</v>
      </c>
      <c r="B81" s="969" t="s">
        <v>86</v>
      </c>
      <c r="C81" s="969" t="n">
        <v>2024</v>
      </c>
      <c r="D81" s="929" t="s">
        <v>20</v>
      </c>
      <c r="E81" s="929" t="s">
        <v>2192</v>
      </c>
      <c r="F81" s="929" t="s">
        <v>1650</v>
      </c>
      <c r="G81" s="1852" t="n">
        <v>93.1</v>
      </c>
      <c r="H81" s="973"/>
      <c r="I81" s="973" t="n">
        <f aca="false">G81*H81/100</f>
        <v>0</v>
      </c>
      <c r="J81" s="933" t="n">
        <v>1065</v>
      </c>
      <c r="K81" s="1854" t="n">
        <v>1</v>
      </c>
      <c r="L81" s="933" t="n">
        <f aca="false">J81*K81</f>
        <v>1065</v>
      </c>
      <c r="M81" s="932" t="n">
        <f aca="false">L81*G81</f>
        <v>99151.5</v>
      </c>
      <c r="N81" s="1855"/>
      <c r="O81" s="1856"/>
      <c r="P81" s="1856"/>
      <c r="Q81" s="970" t="n">
        <v>64</v>
      </c>
    </row>
    <row r="82" customFormat="false" ht="16.5" hidden="false" customHeight="true" outlineLevel="0" collapsed="false">
      <c r="A82" s="1851" t="n">
        <v>92</v>
      </c>
      <c r="B82" s="969" t="s">
        <v>86</v>
      </c>
      <c r="C82" s="969" t="n">
        <v>2024</v>
      </c>
      <c r="D82" s="929" t="s">
        <v>18</v>
      </c>
      <c r="E82" s="929" t="s">
        <v>2192</v>
      </c>
      <c r="F82" s="929"/>
      <c r="G82" s="1852" t="n">
        <v>96.4</v>
      </c>
      <c r="H82" s="973"/>
      <c r="I82" s="973" t="n">
        <f aca="false">G82*H82/100</f>
        <v>0</v>
      </c>
      <c r="J82" s="933" t="n">
        <v>6607</v>
      </c>
      <c r="K82" s="1854" t="n">
        <v>1</v>
      </c>
      <c r="L82" s="933" t="n">
        <f aca="false">J82*K82</f>
        <v>6607</v>
      </c>
      <c r="M82" s="932" t="n">
        <f aca="false">L82*G82</f>
        <v>636914.8</v>
      </c>
      <c r="N82" s="1855" t="n">
        <f aca="false">'COM.'!U17</f>
        <v>0.339184754905096</v>
      </c>
      <c r="O82" s="1856" t="n">
        <f aca="false">G82*N82</f>
        <v>32.6974103728513</v>
      </c>
      <c r="P82" s="1856" t="n">
        <f aca="false">L82*O82</f>
        <v>216031.790333428</v>
      </c>
      <c r="Q82" s="1909" t="s">
        <v>3330</v>
      </c>
    </row>
    <row r="83" customFormat="false" ht="16.5" hidden="false" customHeight="true" outlineLevel="0" collapsed="false">
      <c r="A83" s="1864" t="n">
        <v>92</v>
      </c>
      <c r="B83" s="1207" t="s">
        <v>86</v>
      </c>
      <c r="C83" s="1207" t="n">
        <v>2024</v>
      </c>
      <c r="D83" s="1208" t="s">
        <v>18</v>
      </c>
      <c r="E83" s="1208" t="s">
        <v>2242</v>
      </c>
      <c r="F83" s="1208"/>
      <c r="G83" s="1801" t="n">
        <v>27.2</v>
      </c>
      <c r="H83" s="1212"/>
      <c r="I83" s="1212" t="n">
        <f aca="false">G83*H83/100</f>
        <v>0</v>
      </c>
      <c r="J83" s="1218" t="n">
        <v>230</v>
      </c>
      <c r="K83" s="1880" t="n">
        <v>1</v>
      </c>
      <c r="L83" s="1218" t="n">
        <f aca="false">J83*K83</f>
        <v>230</v>
      </c>
      <c r="M83" s="1871" t="n">
        <f aca="false">L83*G83</f>
        <v>6256</v>
      </c>
      <c r="N83" s="1872"/>
      <c r="O83" s="1873"/>
      <c r="P83" s="1873"/>
      <c r="Q83" s="1209" t="s">
        <v>3307</v>
      </c>
    </row>
    <row r="84" customFormat="false" ht="16.5" hidden="false" customHeight="true" outlineLevel="0" collapsed="false">
      <c r="A84" s="1851" t="n">
        <v>94</v>
      </c>
      <c r="B84" s="969" t="s">
        <v>86</v>
      </c>
      <c r="C84" s="969" t="n">
        <v>2024</v>
      </c>
      <c r="D84" s="929" t="s">
        <v>7</v>
      </c>
      <c r="E84" s="929" t="s">
        <v>2192</v>
      </c>
      <c r="F84" s="929" t="s">
        <v>1650</v>
      </c>
      <c r="G84" s="1852" t="n">
        <v>91.9</v>
      </c>
      <c r="H84" s="973"/>
      <c r="I84" s="973" t="n">
        <f aca="false">G84*H84/100</f>
        <v>0</v>
      </c>
      <c r="J84" s="933" t="n">
        <v>3940</v>
      </c>
      <c r="K84" s="1854" t="n">
        <v>1</v>
      </c>
      <c r="L84" s="933" t="n">
        <f aca="false">J84*K84</f>
        <v>3940</v>
      </c>
      <c r="M84" s="932" t="n">
        <f aca="false">L84*G84</f>
        <v>362086</v>
      </c>
      <c r="N84" s="1855" t="n">
        <f aca="false">'COM.'!U6</f>
        <v>0.296035364286203</v>
      </c>
      <c r="O84" s="1856" t="n">
        <f aca="false">G84*N84</f>
        <v>27.2056499779021</v>
      </c>
      <c r="P84" s="1856" t="n">
        <f aca="false">L84*O84</f>
        <v>107190.260912934</v>
      </c>
      <c r="Q84" s="970" t="n">
        <v>7</v>
      </c>
    </row>
    <row r="85" customFormat="false" ht="16.5" hidden="false" customHeight="true" outlineLevel="0" collapsed="false">
      <c r="A85" s="1864" t="n">
        <v>98</v>
      </c>
      <c r="B85" s="1207" t="s">
        <v>86</v>
      </c>
      <c r="C85" s="1207" t="n">
        <v>2024</v>
      </c>
      <c r="D85" s="1208" t="s">
        <v>12</v>
      </c>
      <c r="E85" s="1208" t="s">
        <v>2203</v>
      </c>
      <c r="F85" s="1208"/>
      <c r="G85" s="1801" t="n">
        <v>0.9</v>
      </c>
      <c r="H85" s="1212"/>
      <c r="I85" s="1212" t="n">
        <f aca="false">G85*H85/100</f>
        <v>0</v>
      </c>
      <c r="J85" s="1218" t="n">
        <v>134</v>
      </c>
      <c r="K85" s="1880" t="n">
        <v>1</v>
      </c>
      <c r="L85" s="1218" t="n">
        <f aca="false">J85*K85</f>
        <v>134</v>
      </c>
      <c r="M85" s="1871" t="n">
        <f aca="false">L85*G85</f>
        <v>120.6</v>
      </c>
      <c r="N85" s="1872"/>
      <c r="O85" s="1873"/>
      <c r="P85" s="1873"/>
      <c r="Q85" s="1209" t="s">
        <v>3318</v>
      </c>
    </row>
    <row r="86" customFormat="false" ht="16.5" hidden="false" customHeight="true" outlineLevel="0" collapsed="false">
      <c r="A86" s="1864" t="n">
        <v>98</v>
      </c>
      <c r="B86" s="1207" t="s">
        <v>86</v>
      </c>
      <c r="C86" s="1207" t="n">
        <v>2024</v>
      </c>
      <c r="D86" s="1208" t="s">
        <v>12</v>
      </c>
      <c r="E86" s="1208" t="s">
        <v>2241</v>
      </c>
      <c r="F86" s="1208"/>
      <c r="G86" s="1801" t="n">
        <v>20.6</v>
      </c>
      <c r="H86" s="1212"/>
      <c r="I86" s="1212" t="n">
        <f aca="false">G86*H86/100</f>
        <v>0</v>
      </c>
      <c r="J86" s="1218" t="n">
        <v>148</v>
      </c>
      <c r="K86" s="1880" t="n">
        <v>1</v>
      </c>
      <c r="L86" s="1218" t="n">
        <f aca="false">J86*K86</f>
        <v>148</v>
      </c>
      <c r="M86" s="1871" t="n">
        <f aca="false">L86*G86</f>
        <v>3048.8</v>
      </c>
      <c r="N86" s="1872"/>
      <c r="O86" s="1873"/>
      <c r="P86" s="1873"/>
      <c r="Q86" s="1209" t="s">
        <v>3318</v>
      </c>
    </row>
    <row r="87" customFormat="false" ht="16.5" hidden="false" customHeight="true" outlineLevel="0" collapsed="false">
      <c r="A87" s="1864" t="n">
        <v>98</v>
      </c>
      <c r="B87" s="1207" t="s">
        <v>86</v>
      </c>
      <c r="C87" s="1207" t="n">
        <v>2024</v>
      </c>
      <c r="D87" s="1208" t="s">
        <v>12</v>
      </c>
      <c r="E87" s="1208" t="s">
        <v>2205</v>
      </c>
      <c r="F87" s="1208"/>
      <c r="G87" s="1801" t="n">
        <v>0</v>
      </c>
      <c r="H87" s="1212"/>
      <c r="I87" s="1212" t="n">
        <f aca="false">G87*H87/100</f>
        <v>0</v>
      </c>
      <c r="J87" s="1218" t="n">
        <v>57</v>
      </c>
      <c r="K87" s="1880" t="n">
        <v>1</v>
      </c>
      <c r="L87" s="1218" t="n">
        <f aca="false">J87*K87</f>
        <v>57</v>
      </c>
      <c r="M87" s="1871" t="n">
        <f aca="false">L87*G87</f>
        <v>0</v>
      </c>
      <c r="N87" s="1872"/>
      <c r="O87" s="1873"/>
      <c r="P87" s="1873"/>
      <c r="Q87" s="1209" t="s">
        <v>3318</v>
      </c>
    </row>
    <row r="88" customFormat="false" ht="16.5" hidden="false" customHeight="true" outlineLevel="0" collapsed="false">
      <c r="A88" s="1864" t="n">
        <v>99</v>
      </c>
      <c r="B88" s="1207" t="s">
        <v>86</v>
      </c>
      <c r="C88" s="1207" t="n">
        <v>2024</v>
      </c>
      <c r="D88" s="1208" t="s">
        <v>12</v>
      </c>
      <c r="E88" s="1208" t="s">
        <v>2205</v>
      </c>
      <c r="F88" s="1208"/>
      <c r="G88" s="1801" t="n">
        <v>0</v>
      </c>
      <c r="H88" s="1212"/>
      <c r="I88" s="1212" t="n">
        <f aca="false">G88*H88/100</f>
        <v>0</v>
      </c>
      <c r="J88" s="1218" t="n">
        <v>263</v>
      </c>
      <c r="K88" s="1880" t="n">
        <v>1</v>
      </c>
      <c r="L88" s="1218" t="n">
        <f aca="false">J88*K88</f>
        <v>263</v>
      </c>
      <c r="M88" s="1871" t="n">
        <f aca="false">L88*G88</f>
        <v>0</v>
      </c>
      <c r="N88" s="1872"/>
      <c r="O88" s="1873"/>
      <c r="P88" s="1873"/>
      <c r="Q88" s="1912" t="s">
        <v>3318</v>
      </c>
    </row>
    <row r="89" customFormat="false" ht="16.5" hidden="false" customHeight="true" outlineLevel="0" collapsed="false">
      <c r="A89" s="1864" t="n">
        <v>101</v>
      </c>
      <c r="B89" s="1207" t="s">
        <v>86</v>
      </c>
      <c r="C89" s="1207" t="n">
        <v>2024</v>
      </c>
      <c r="D89" s="1208" t="s">
        <v>15</v>
      </c>
      <c r="E89" s="1208" t="s">
        <v>2242</v>
      </c>
      <c r="F89" s="1208"/>
      <c r="G89" s="1801" t="n">
        <v>65.5</v>
      </c>
      <c r="H89" s="1212"/>
      <c r="I89" s="1212" t="n">
        <f aca="false">G89*H89/100</f>
        <v>0</v>
      </c>
      <c r="J89" s="1218" t="n">
        <v>466</v>
      </c>
      <c r="K89" s="1880" t="n">
        <v>1</v>
      </c>
      <c r="L89" s="1218" t="n">
        <f aca="false">J89*K89</f>
        <v>466</v>
      </c>
      <c r="M89" s="1871" t="n">
        <f aca="false">L89*G89</f>
        <v>30523</v>
      </c>
      <c r="N89" s="1872"/>
      <c r="O89" s="1873"/>
      <c r="P89" s="1873"/>
      <c r="Q89" s="1912"/>
    </row>
    <row r="90" customFormat="false" ht="16.5" hidden="false" customHeight="true" outlineLevel="0" collapsed="false">
      <c r="A90" s="1864" t="n">
        <v>101</v>
      </c>
      <c r="B90" s="1207" t="s">
        <v>86</v>
      </c>
      <c r="C90" s="1207" t="n">
        <v>2024</v>
      </c>
      <c r="D90" s="1208" t="s">
        <v>15</v>
      </c>
      <c r="E90" s="1208" t="s">
        <v>2203</v>
      </c>
      <c r="F90" s="1208"/>
      <c r="G90" s="1801" t="n">
        <v>51.6</v>
      </c>
      <c r="H90" s="1212"/>
      <c r="I90" s="1212" t="n">
        <f aca="false">G90*H90/100</f>
        <v>0</v>
      </c>
      <c r="J90" s="1218" t="n">
        <v>2176</v>
      </c>
      <c r="K90" s="1880" t="n">
        <v>1</v>
      </c>
      <c r="L90" s="1218" t="n">
        <f aca="false">J90*K90</f>
        <v>2176</v>
      </c>
      <c r="M90" s="1871" t="n">
        <f aca="false">L90*G90</f>
        <v>112281.6</v>
      </c>
      <c r="N90" s="1872"/>
      <c r="O90" s="1873"/>
      <c r="P90" s="1873"/>
      <c r="Q90" s="1912"/>
    </row>
    <row r="91" customFormat="false" ht="16.5" hidden="false" customHeight="true" outlineLevel="0" collapsed="false">
      <c r="A91" s="1864" t="n">
        <v>101</v>
      </c>
      <c r="B91" s="1207" t="s">
        <v>86</v>
      </c>
      <c r="C91" s="1207" t="n">
        <v>2024</v>
      </c>
      <c r="D91" s="1208" t="s">
        <v>15</v>
      </c>
      <c r="E91" s="1208" t="s">
        <v>2241</v>
      </c>
      <c r="F91" s="1208"/>
      <c r="G91" s="1801" t="n">
        <v>19</v>
      </c>
      <c r="H91" s="1212"/>
      <c r="I91" s="1212" t="n">
        <f aca="false">G91*H91/100</f>
        <v>0</v>
      </c>
      <c r="J91" s="1218" t="n">
        <v>2277</v>
      </c>
      <c r="K91" s="1880" t="n">
        <v>1</v>
      </c>
      <c r="L91" s="1218" t="n">
        <f aca="false">J91*K91</f>
        <v>2277</v>
      </c>
      <c r="M91" s="1871" t="n">
        <f aca="false">L91*G91</f>
        <v>43263</v>
      </c>
      <c r="N91" s="1872"/>
      <c r="O91" s="1873"/>
      <c r="P91" s="1873"/>
      <c r="Q91" s="1912"/>
    </row>
    <row r="92" customFormat="false" ht="16.5" hidden="false" customHeight="true" outlineLevel="0" collapsed="false">
      <c r="A92" s="1864" t="n">
        <v>101</v>
      </c>
      <c r="B92" s="1207" t="s">
        <v>86</v>
      </c>
      <c r="C92" s="1207" t="n">
        <v>2024</v>
      </c>
      <c r="D92" s="1208" t="s">
        <v>15</v>
      </c>
      <c r="E92" s="1208" t="s">
        <v>2205</v>
      </c>
      <c r="F92" s="1208"/>
      <c r="G92" s="1801" t="n">
        <v>30.2</v>
      </c>
      <c r="H92" s="1212"/>
      <c r="I92" s="1212" t="n">
        <f aca="false">G92*H92/100</f>
        <v>0</v>
      </c>
      <c r="J92" s="1218" t="n">
        <v>3835</v>
      </c>
      <c r="K92" s="1880" t="n">
        <v>1</v>
      </c>
      <c r="L92" s="1218" t="n">
        <f aca="false">J92*K92</f>
        <v>3835</v>
      </c>
      <c r="M92" s="1871" t="n">
        <f aca="false">L92*G92</f>
        <v>115817</v>
      </c>
      <c r="N92" s="1872"/>
      <c r="O92" s="1873"/>
      <c r="P92" s="1873"/>
      <c r="Q92" s="1912"/>
    </row>
    <row r="93" customFormat="false" ht="16.5" hidden="false" customHeight="true" outlineLevel="0" collapsed="false">
      <c r="A93" s="1851" t="n">
        <v>107</v>
      </c>
      <c r="B93" s="969" t="s">
        <v>86</v>
      </c>
      <c r="C93" s="969" t="n">
        <v>2024</v>
      </c>
      <c r="D93" s="929" t="s">
        <v>10</v>
      </c>
      <c r="E93" s="929" t="s">
        <v>2192</v>
      </c>
      <c r="F93" s="929" t="s">
        <v>1650</v>
      </c>
      <c r="G93" s="1852" t="n">
        <v>97.1</v>
      </c>
      <c r="H93" s="973" t="n">
        <v>62</v>
      </c>
      <c r="I93" s="973" t="n">
        <f aca="false">G93*H93/100</f>
        <v>60.202</v>
      </c>
      <c r="J93" s="933" t="n">
        <v>12710</v>
      </c>
      <c r="K93" s="1854" t="n">
        <v>1</v>
      </c>
      <c r="L93" s="933" t="n">
        <f aca="false">J93*K93</f>
        <v>12710</v>
      </c>
      <c r="M93" s="933" t="n">
        <f aca="false">L93*G93</f>
        <v>1234141</v>
      </c>
      <c r="N93" s="1855" t="n">
        <f aca="false">'COM.'!U9</f>
        <v>0.0913215081989931</v>
      </c>
      <c r="O93" s="1856" t="n">
        <f aca="false">G93*N93</f>
        <v>8.86731844612223</v>
      </c>
      <c r="P93" s="1856" t="n">
        <f aca="false">L93*O93</f>
        <v>112703.617450214</v>
      </c>
      <c r="Q93" s="1910" t="s">
        <v>3331</v>
      </c>
    </row>
    <row r="94" customFormat="false" ht="16.5" hidden="false" customHeight="true" outlineLevel="0" collapsed="false">
      <c r="A94" s="1851" t="n">
        <v>112</v>
      </c>
      <c r="B94" s="969" t="s">
        <v>81</v>
      </c>
      <c r="C94" s="969" t="n">
        <v>2024</v>
      </c>
      <c r="D94" s="929" t="s">
        <v>172</v>
      </c>
      <c r="E94" s="929" t="s">
        <v>2192</v>
      </c>
      <c r="F94" s="929" t="s">
        <v>1650</v>
      </c>
      <c r="G94" s="1852" t="n">
        <v>1</v>
      </c>
      <c r="H94" s="973"/>
      <c r="I94" s="973" t="n">
        <f aca="false">G94*H94/100</f>
        <v>0</v>
      </c>
      <c r="J94" s="933" t="n">
        <v>2000</v>
      </c>
      <c r="K94" s="1854" t="n">
        <v>1</v>
      </c>
      <c r="L94" s="933" t="n">
        <f aca="false">J94*K94</f>
        <v>2000</v>
      </c>
      <c r="M94" s="932" t="n">
        <f aca="false">L94*G94</f>
        <v>2000</v>
      </c>
      <c r="N94" s="1855" t="n">
        <f aca="false">'COM.'!U21</f>
        <v>11</v>
      </c>
      <c r="O94" s="1856" t="n">
        <f aca="false">G94*N94</f>
        <v>11</v>
      </c>
      <c r="P94" s="1856" t="n">
        <f aca="false">L94*O94</f>
        <v>22000</v>
      </c>
      <c r="Q94" s="1910"/>
    </row>
    <row r="95" customFormat="false" ht="16.5" hidden="false" customHeight="true" outlineLevel="0" collapsed="false">
      <c r="A95" s="1864" t="n">
        <v>113</v>
      </c>
      <c r="B95" s="1207" t="s">
        <v>86</v>
      </c>
      <c r="C95" s="1207" t="n">
        <v>2024</v>
      </c>
      <c r="D95" s="1208" t="s">
        <v>15</v>
      </c>
      <c r="E95" s="1208" t="s">
        <v>2203</v>
      </c>
      <c r="F95" s="1208"/>
      <c r="G95" s="1801" t="n">
        <v>46.2</v>
      </c>
      <c r="H95" s="1212"/>
      <c r="I95" s="1212" t="n">
        <f aca="false">G95*H95/100</f>
        <v>0</v>
      </c>
      <c r="J95" s="1218" t="n">
        <v>2386</v>
      </c>
      <c r="K95" s="1880" t="n">
        <v>1</v>
      </c>
      <c r="L95" s="1218" t="n">
        <f aca="false">J95*K95</f>
        <v>2386</v>
      </c>
      <c r="M95" s="1871" t="n">
        <f aca="false">L95*G95</f>
        <v>110233.2</v>
      </c>
      <c r="N95" s="1872"/>
      <c r="O95" s="1873"/>
      <c r="P95" s="1873"/>
      <c r="Q95" s="1912"/>
    </row>
    <row r="96" customFormat="false" ht="16.5" hidden="false" customHeight="true" outlineLevel="0" collapsed="false">
      <c r="A96" s="1864" t="n">
        <v>113</v>
      </c>
      <c r="B96" s="1207" t="s">
        <v>86</v>
      </c>
      <c r="C96" s="1207" t="n">
        <v>2024</v>
      </c>
      <c r="D96" s="1208" t="s">
        <v>15</v>
      </c>
      <c r="E96" s="1208" t="s">
        <v>2241</v>
      </c>
      <c r="F96" s="1208"/>
      <c r="G96" s="1801" t="n">
        <v>38.1</v>
      </c>
      <c r="H96" s="1212"/>
      <c r="I96" s="1212" t="n">
        <f aca="false">G96*H96/100</f>
        <v>0</v>
      </c>
      <c r="J96" s="1218" t="n">
        <v>1470</v>
      </c>
      <c r="K96" s="1880" t="n">
        <v>1</v>
      </c>
      <c r="L96" s="1218" t="n">
        <f aca="false">J96*K96</f>
        <v>1470</v>
      </c>
      <c r="M96" s="1871" t="n">
        <f aca="false">L96*G96</f>
        <v>56007</v>
      </c>
      <c r="N96" s="1872"/>
      <c r="O96" s="1873"/>
      <c r="P96" s="1873"/>
      <c r="Q96" s="1912"/>
    </row>
    <row r="97" customFormat="false" ht="16.5" hidden="false" customHeight="true" outlineLevel="0" collapsed="false">
      <c r="A97" s="1864" t="n">
        <v>113</v>
      </c>
      <c r="B97" s="1207" t="s">
        <v>86</v>
      </c>
      <c r="C97" s="1207" t="n">
        <v>2024</v>
      </c>
      <c r="D97" s="1208" t="s">
        <v>15</v>
      </c>
      <c r="E97" s="1208" t="s">
        <v>2205</v>
      </c>
      <c r="F97" s="1208"/>
      <c r="G97" s="1801" t="n">
        <v>0</v>
      </c>
      <c r="H97" s="1212"/>
      <c r="I97" s="1212" t="n">
        <f aca="false">G97*H97/100</f>
        <v>0</v>
      </c>
      <c r="J97" s="1218" t="n">
        <v>465</v>
      </c>
      <c r="K97" s="1880" t="n">
        <v>1</v>
      </c>
      <c r="L97" s="1218" t="n">
        <f aca="false">J97*K97</f>
        <v>465</v>
      </c>
      <c r="M97" s="1871" t="n">
        <f aca="false">L97*G97</f>
        <v>0</v>
      </c>
      <c r="N97" s="1872"/>
      <c r="O97" s="1873"/>
      <c r="P97" s="1873"/>
      <c r="Q97" s="1912"/>
    </row>
    <row r="98" customFormat="false" ht="16.5" hidden="false" customHeight="true" outlineLevel="0" collapsed="false">
      <c r="A98" s="1851" t="n">
        <v>139</v>
      </c>
      <c r="B98" s="969" t="s">
        <v>81</v>
      </c>
      <c r="C98" s="969" t="n">
        <v>2024</v>
      </c>
      <c r="D98" s="929" t="s">
        <v>172</v>
      </c>
      <c r="E98" s="929" t="s">
        <v>2192</v>
      </c>
      <c r="F98" s="929" t="s">
        <v>1650</v>
      </c>
      <c r="G98" s="1852" t="n">
        <v>1</v>
      </c>
      <c r="H98" s="973"/>
      <c r="I98" s="973" t="n">
        <f aca="false">G98*H98/100</f>
        <v>0</v>
      </c>
      <c r="J98" s="933" t="n">
        <v>2000</v>
      </c>
      <c r="K98" s="1854" t="n">
        <v>1</v>
      </c>
      <c r="L98" s="933" t="n">
        <f aca="false">J98*K98</f>
        <v>2000</v>
      </c>
      <c r="M98" s="932" t="n">
        <f aca="false">L98*G98</f>
        <v>2000</v>
      </c>
      <c r="N98" s="1855" t="n">
        <f aca="false">'COM.'!U21</f>
        <v>11</v>
      </c>
      <c r="O98" s="1856" t="n">
        <f aca="false">G98*N98</f>
        <v>11</v>
      </c>
      <c r="P98" s="1856" t="n">
        <f aca="false">L98*O98</f>
        <v>22000</v>
      </c>
      <c r="Q98" s="1910" t="s">
        <v>3321</v>
      </c>
    </row>
    <row r="99" customFormat="false" ht="16.5" hidden="false" customHeight="true" outlineLevel="0" collapsed="false">
      <c r="A99" s="1851" t="n">
        <v>141</v>
      </c>
      <c r="B99" s="969" t="s">
        <v>86</v>
      </c>
      <c r="C99" s="969" t="n">
        <v>2024</v>
      </c>
      <c r="D99" s="929" t="s">
        <v>42</v>
      </c>
      <c r="E99" s="929" t="s">
        <v>2192</v>
      </c>
      <c r="F99" s="929" t="s">
        <v>1650</v>
      </c>
      <c r="G99" s="1852" t="n">
        <v>95.7</v>
      </c>
      <c r="H99" s="973" t="n">
        <v>74</v>
      </c>
      <c r="I99" s="973" t="n">
        <f aca="false">G99*H99/100</f>
        <v>70.818</v>
      </c>
      <c r="J99" s="933" t="n">
        <v>530</v>
      </c>
      <c r="K99" s="1854" t="n">
        <v>1</v>
      </c>
      <c r="L99" s="933" t="n">
        <f aca="false">J99*K99</f>
        <v>530</v>
      </c>
      <c r="M99" s="932" t="n">
        <f aca="false">L99*G99</f>
        <v>50721</v>
      </c>
      <c r="N99" s="1855" t="n">
        <f aca="false">'COM.'!U7</f>
        <v>0.194186016101058</v>
      </c>
      <c r="O99" s="1856" t="n">
        <f aca="false">G99*N99</f>
        <v>18.5836017408713</v>
      </c>
      <c r="P99" s="1856" t="n">
        <f aca="false">L99*O99</f>
        <v>9849.30892266177</v>
      </c>
      <c r="Q99" s="970" t="n">
        <v>10</v>
      </c>
    </row>
    <row r="100" customFormat="false" ht="16.5" hidden="false" customHeight="true" outlineLevel="0" collapsed="false">
      <c r="A100" s="1851" t="n">
        <v>142</v>
      </c>
      <c r="B100" s="969" t="s">
        <v>86</v>
      </c>
      <c r="C100" s="969" t="n">
        <v>2024</v>
      </c>
      <c r="D100" s="929" t="s">
        <v>10</v>
      </c>
      <c r="E100" s="929" t="s">
        <v>2192</v>
      </c>
      <c r="F100" s="929" t="s">
        <v>2199</v>
      </c>
      <c r="G100" s="1852" t="n">
        <v>84.1</v>
      </c>
      <c r="H100" s="973" t="n">
        <v>73</v>
      </c>
      <c r="I100" s="973" t="n">
        <f aca="false">G100*H100/100</f>
        <v>61.393</v>
      </c>
      <c r="J100" s="933" t="n">
        <v>40279</v>
      </c>
      <c r="K100" s="1854" t="n">
        <v>1</v>
      </c>
      <c r="L100" s="933" t="n">
        <f aca="false">J100*K100</f>
        <v>40279</v>
      </c>
      <c r="M100" s="1729" t="n">
        <f aca="false">L100*G100</f>
        <v>3387463.9</v>
      </c>
      <c r="N100" s="1855" t="n">
        <f aca="false">'COM.'!U9</f>
        <v>0.0913215081989931</v>
      </c>
      <c r="O100" s="1856" t="n">
        <f aca="false">G100*N100</f>
        <v>7.68013883953532</v>
      </c>
      <c r="P100" s="1856" t="n">
        <f aca="false">L100*O100</f>
        <v>309348.312317643</v>
      </c>
      <c r="Q100" s="1910" t="s">
        <v>3332</v>
      </c>
    </row>
    <row r="101" customFormat="false" ht="16.5" hidden="false" customHeight="true" outlineLevel="0" collapsed="false">
      <c r="A101" s="1864" t="n">
        <v>142</v>
      </c>
      <c r="B101" s="1207" t="s">
        <v>86</v>
      </c>
      <c r="C101" s="1207" t="n">
        <v>2024</v>
      </c>
      <c r="D101" s="1208" t="s">
        <v>10</v>
      </c>
      <c r="E101" s="1208" t="s">
        <v>2203</v>
      </c>
      <c r="F101" s="1208"/>
      <c r="G101" s="1801" t="n">
        <v>44.4</v>
      </c>
      <c r="H101" s="1212"/>
      <c r="I101" s="1212" t="n">
        <f aca="false">G101*H101/100</f>
        <v>0</v>
      </c>
      <c r="J101" s="1218" t="n">
        <v>12125</v>
      </c>
      <c r="K101" s="1880" t="n">
        <v>1</v>
      </c>
      <c r="L101" s="1218" t="n">
        <f aca="false">J101*K101</f>
        <v>12125</v>
      </c>
      <c r="M101" s="1871" t="n">
        <f aca="false">L101*G101</f>
        <v>538350</v>
      </c>
      <c r="N101" s="1872"/>
      <c r="O101" s="1873"/>
      <c r="P101" s="1873"/>
      <c r="Q101" s="1912" t="s">
        <v>3333</v>
      </c>
    </row>
    <row r="102" customFormat="false" ht="16.5" hidden="false" customHeight="true" outlineLevel="0" collapsed="false">
      <c r="A102" s="1864" t="n">
        <v>142</v>
      </c>
      <c r="B102" s="1207" t="s">
        <v>86</v>
      </c>
      <c r="C102" s="1207" t="n">
        <v>2024</v>
      </c>
      <c r="D102" s="1208" t="s">
        <v>10</v>
      </c>
      <c r="E102" s="1208" t="s">
        <v>2241</v>
      </c>
      <c r="F102" s="1208"/>
      <c r="G102" s="1801" t="n">
        <v>47.7</v>
      </c>
      <c r="H102" s="1212"/>
      <c r="I102" s="1212" t="n">
        <f aca="false">G102*H102/100</f>
        <v>0</v>
      </c>
      <c r="J102" s="1218" t="n">
        <v>14243</v>
      </c>
      <c r="K102" s="1880" t="n">
        <v>1</v>
      </c>
      <c r="L102" s="1218" t="n">
        <f aca="false">J102*K102</f>
        <v>14243</v>
      </c>
      <c r="M102" s="1871" t="n">
        <f aca="false">L102*G102</f>
        <v>679391.1</v>
      </c>
      <c r="N102" s="1872"/>
      <c r="O102" s="1873"/>
      <c r="P102" s="1873"/>
      <c r="Q102" s="1912" t="s">
        <v>3334</v>
      </c>
    </row>
    <row r="103" customFormat="false" ht="16.5" hidden="false" customHeight="true" outlineLevel="0" collapsed="false">
      <c r="A103" s="1851" t="n">
        <v>144</v>
      </c>
      <c r="B103" s="969" t="s">
        <v>86</v>
      </c>
      <c r="C103" s="969" t="n">
        <v>2024</v>
      </c>
      <c r="D103" s="929" t="s">
        <v>13</v>
      </c>
      <c r="E103" s="929" t="s">
        <v>2192</v>
      </c>
      <c r="F103" s="929" t="s">
        <v>1650</v>
      </c>
      <c r="G103" s="1852" t="n">
        <v>97.1</v>
      </c>
      <c r="H103" s="973" t="n">
        <v>86</v>
      </c>
      <c r="I103" s="973" t="n">
        <f aca="false">G103*H103/100</f>
        <v>83.506</v>
      </c>
      <c r="J103" s="933" t="n">
        <v>728</v>
      </c>
      <c r="K103" s="1854" t="n">
        <v>1</v>
      </c>
      <c r="L103" s="933" t="n">
        <f aca="false">J103*K103</f>
        <v>728</v>
      </c>
      <c r="M103" s="932" t="n">
        <f aca="false">L103*G103</f>
        <v>70688.8</v>
      </c>
      <c r="N103" s="1855" t="n">
        <f aca="false">'COM.'!U12</f>
        <v>0.209290042680318</v>
      </c>
      <c r="O103" s="1856" t="n">
        <f aca="false">G103*N103</f>
        <v>20.3220631442589</v>
      </c>
      <c r="P103" s="1856" t="n">
        <f aca="false">L103*O103</f>
        <v>14794.4619690204</v>
      </c>
      <c r="Q103" s="1910" t="n">
        <v>14</v>
      </c>
    </row>
    <row r="104" customFormat="false" ht="16.5" hidden="false" customHeight="true" outlineLevel="0" collapsed="false">
      <c r="A104" s="1864" t="n">
        <v>145</v>
      </c>
      <c r="B104" s="1207" t="s">
        <v>86</v>
      </c>
      <c r="C104" s="1207" t="n">
        <v>2024</v>
      </c>
      <c r="D104" s="1208" t="s">
        <v>10</v>
      </c>
      <c r="E104" s="1208" t="s">
        <v>2242</v>
      </c>
      <c r="F104" s="1208"/>
      <c r="G104" s="1801" t="n">
        <v>70</v>
      </c>
      <c r="H104" s="1212"/>
      <c r="I104" s="1212" t="n">
        <f aca="false">G104*H104/100</f>
        <v>0</v>
      </c>
      <c r="J104" s="1218" t="n">
        <v>372</v>
      </c>
      <c r="K104" s="1880" t="n">
        <v>1</v>
      </c>
      <c r="L104" s="1218" t="n">
        <f aca="false">J104*K104</f>
        <v>372</v>
      </c>
      <c r="M104" s="1871" t="n">
        <f aca="false">L104*G104</f>
        <v>26040</v>
      </c>
      <c r="N104" s="1872"/>
      <c r="O104" s="1873"/>
      <c r="P104" s="1873"/>
      <c r="Q104" s="1912" t="s">
        <v>3335</v>
      </c>
    </row>
    <row r="105" customFormat="false" ht="16.5" hidden="false" customHeight="true" outlineLevel="0" collapsed="false">
      <c r="A105" s="1864" t="n">
        <v>145</v>
      </c>
      <c r="B105" s="1207" t="s">
        <v>86</v>
      </c>
      <c r="C105" s="1207" t="n">
        <v>2024</v>
      </c>
      <c r="D105" s="1208" t="s">
        <v>10</v>
      </c>
      <c r="E105" s="1208" t="s">
        <v>2203</v>
      </c>
      <c r="F105" s="1208"/>
      <c r="G105" s="1801" t="n">
        <v>47</v>
      </c>
      <c r="H105" s="1212"/>
      <c r="I105" s="1212" t="n">
        <f aca="false">G105*H105/100</f>
        <v>0</v>
      </c>
      <c r="J105" s="1218" t="n">
        <v>482</v>
      </c>
      <c r="K105" s="1880" t="n">
        <v>1</v>
      </c>
      <c r="L105" s="1218" t="n">
        <f aca="false">J105*K105</f>
        <v>482</v>
      </c>
      <c r="M105" s="1871" t="n">
        <f aca="false">L105*G105</f>
        <v>22654</v>
      </c>
      <c r="N105" s="1872"/>
      <c r="O105" s="1873"/>
      <c r="P105" s="1873"/>
      <c r="Q105" s="1912" t="s">
        <v>3336</v>
      </c>
    </row>
    <row r="106" customFormat="false" ht="16.5" hidden="false" customHeight="true" outlineLevel="0" collapsed="false">
      <c r="A106" s="1864" t="n">
        <v>145</v>
      </c>
      <c r="B106" s="1207" t="s">
        <v>86</v>
      </c>
      <c r="C106" s="1207" t="n">
        <v>2024</v>
      </c>
      <c r="D106" s="1208" t="s">
        <v>10</v>
      </c>
      <c r="E106" s="1208" t="s">
        <v>2205</v>
      </c>
      <c r="F106" s="1208"/>
      <c r="G106" s="1801" t="n">
        <v>0</v>
      </c>
      <c r="H106" s="1212"/>
      <c r="I106" s="1212" t="n">
        <f aca="false">G106*H106/100</f>
        <v>0</v>
      </c>
      <c r="J106" s="1218" t="n">
        <v>520</v>
      </c>
      <c r="K106" s="1880" t="n">
        <v>1</v>
      </c>
      <c r="L106" s="1218" t="n">
        <f aca="false">J106*K106</f>
        <v>520</v>
      </c>
      <c r="M106" s="1871" t="n">
        <f aca="false">L106*G106</f>
        <v>0</v>
      </c>
      <c r="N106" s="1872"/>
      <c r="O106" s="1873"/>
      <c r="P106" s="1873"/>
      <c r="Q106" s="1912" t="s">
        <v>3335</v>
      </c>
    </row>
    <row r="107" customFormat="false" ht="16.5" hidden="false" customHeight="true" outlineLevel="0" collapsed="false">
      <c r="A107" s="1864" t="n">
        <v>146</v>
      </c>
      <c r="B107" s="1207" t="s">
        <v>86</v>
      </c>
      <c r="C107" s="1207" t="n">
        <v>2024</v>
      </c>
      <c r="D107" s="1208" t="s">
        <v>10</v>
      </c>
      <c r="E107" s="1208" t="s">
        <v>2203</v>
      </c>
      <c r="F107" s="1208"/>
      <c r="G107" s="1801" t="n">
        <v>16.5</v>
      </c>
      <c r="H107" s="1212"/>
      <c r="I107" s="1212" t="n">
        <f aca="false">G107*H107/100</f>
        <v>0</v>
      </c>
      <c r="J107" s="1218" t="n">
        <v>669</v>
      </c>
      <c r="K107" s="1880" t="n">
        <v>1</v>
      </c>
      <c r="L107" s="1218" t="n">
        <f aca="false">J107*K107</f>
        <v>669</v>
      </c>
      <c r="M107" s="1871" t="n">
        <f aca="false">L107*G107</f>
        <v>11038.5</v>
      </c>
      <c r="N107" s="1872"/>
      <c r="O107" s="1873"/>
      <c r="P107" s="1873"/>
      <c r="Q107" s="1912" t="s">
        <v>3335</v>
      </c>
    </row>
    <row r="108" customFormat="false" ht="16.5" hidden="false" customHeight="true" outlineLevel="0" collapsed="false">
      <c r="A108" s="1864" t="n">
        <v>146</v>
      </c>
      <c r="B108" s="1207" t="s">
        <v>86</v>
      </c>
      <c r="C108" s="1207" t="n">
        <v>2024</v>
      </c>
      <c r="D108" s="1208" t="s">
        <v>10</v>
      </c>
      <c r="E108" s="1208" t="s">
        <v>2241</v>
      </c>
      <c r="F108" s="1208"/>
      <c r="G108" s="1801" t="n">
        <v>25.7</v>
      </c>
      <c r="H108" s="1212"/>
      <c r="I108" s="1212" t="n">
        <f aca="false">G108*H108/100</f>
        <v>0</v>
      </c>
      <c r="J108" s="1218" t="n">
        <v>750</v>
      </c>
      <c r="K108" s="1880" t="n">
        <v>1</v>
      </c>
      <c r="L108" s="1218" t="n">
        <f aca="false">J108*K108</f>
        <v>750</v>
      </c>
      <c r="M108" s="1871" t="n">
        <f aca="false">L108*G108</f>
        <v>19275</v>
      </c>
      <c r="N108" s="1872"/>
      <c r="O108" s="1873"/>
      <c r="P108" s="1873"/>
      <c r="Q108" s="1912" t="s">
        <v>3335</v>
      </c>
    </row>
    <row r="109" customFormat="false" ht="16.5" hidden="false" customHeight="true" outlineLevel="0" collapsed="false">
      <c r="A109" s="1864" t="n">
        <v>146</v>
      </c>
      <c r="B109" s="1207" t="s">
        <v>86</v>
      </c>
      <c r="C109" s="1207" t="n">
        <v>2024</v>
      </c>
      <c r="D109" s="1208" t="s">
        <v>10</v>
      </c>
      <c r="E109" s="1208" t="s">
        <v>2205</v>
      </c>
      <c r="F109" s="1208"/>
      <c r="G109" s="1801" t="n">
        <v>0</v>
      </c>
      <c r="H109" s="1212"/>
      <c r="I109" s="1212" t="n">
        <f aca="false">G109*H109/100</f>
        <v>0</v>
      </c>
      <c r="J109" s="1218" t="n">
        <v>964</v>
      </c>
      <c r="K109" s="1880" t="n">
        <v>1</v>
      </c>
      <c r="L109" s="1218" t="n">
        <f aca="false">J109*K109</f>
        <v>964</v>
      </c>
      <c r="M109" s="1871" t="n">
        <f aca="false">L109*G109</f>
        <v>0</v>
      </c>
      <c r="N109" s="1872"/>
      <c r="O109" s="1873"/>
      <c r="P109" s="1873"/>
      <c r="Q109" s="1912" t="s">
        <v>3335</v>
      </c>
    </row>
    <row r="110" customFormat="false" ht="16.5" hidden="false" customHeight="true" outlineLevel="0" collapsed="false">
      <c r="A110" s="1864" t="n">
        <v>147</v>
      </c>
      <c r="B110" s="1207" t="s">
        <v>86</v>
      </c>
      <c r="C110" s="1207" t="n">
        <v>2024</v>
      </c>
      <c r="D110" s="1208" t="s">
        <v>10</v>
      </c>
      <c r="E110" s="1208" t="s">
        <v>2242</v>
      </c>
      <c r="F110" s="1208"/>
      <c r="G110" s="1801" t="n">
        <v>49.8</v>
      </c>
      <c r="H110" s="1212"/>
      <c r="I110" s="1212" t="n">
        <f aca="false">G110*H110/100</f>
        <v>0</v>
      </c>
      <c r="J110" s="1218" t="n">
        <v>342</v>
      </c>
      <c r="K110" s="1880" t="n">
        <v>1</v>
      </c>
      <c r="L110" s="1218" t="n">
        <f aca="false">J110*K110</f>
        <v>342</v>
      </c>
      <c r="M110" s="1871" t="n">
        <f aca="false">L110*G110</f>
        <v>17031.6</v>
      </c>
      <c r="N110" s="1872"/>
      <c r="O110" s="1873"/>
      <c r="P110" s="1873"/>
      <c r="Q110" s="1912" t="s">
        <v>3335</v>
      </c>
    </row>
    <row r="111" customFormat="false" ht="16.5" hidden="false" customHeight="true" outlineLevel="0" collapsed="false">
      <c r="A111" s="1864" t="n">
        <v>147</v>
      </c>
      <c r="B111" s="1207" t="s">
        <v>86</v>
      </c>
      <c r="C111" s="1207" t="n">
        <v>2024</v>
      </c>
      <c r="D111" s="1208" t="s">
        <v>10</v>
      </c>
      <c r="E111" s="1208" t="s">
        <v>2203</v>
      </c>
      <c r="F111" s="1208"/>
      <c r="G111" s="1801" t="n">
        <v>24.6</v>
      </c>
      <c r="H111" s="1212"/>
      <c r="I111" s="1212" t="n">
        <f aca="false">G111*H111/100</f>
        <v>0</v>
      </c>
      <c r="J111" s="1218" t="n">
        <v>625</v>
      </c>
      <c r="K111" s="1880" t="n">
        <v>1</v>
      </c>
      <c r="L111" s="1218" t="n">
        <f aca="false">J111*K111</f>
        <v>625</v>
      </c>
      <c r="M111" s="1871" t="n">
        <f aca="false">L111*G111</f>
        <v>15375</v>
      </c>
      <c r="N111" s="1872"/>
      <c r="O111" s="1873"/>
      <c r="P111" s="1873"/>
      <c r="Q111" s="1912" t="s">
        <v>3335</v>
      </c>
    </row>
    <row r="112" customFormat="false" ht="16.5" hidden="false" customHeight="true" outlineLevel="0" collapsed="false">
      <c r="A112" s="1864" t="n">
        <v>147</v>
      </c>
      <c r="B112" s="1207" t="s">
        <v>86</v>
      </c>
      <c r="C112" s="1207" t="n">
        <v>2024</v>
      </c>
      <c r="D112" s="1208" t="s">
        <v>10</v>
      </c>
      <c r="E112" s="1208" t="s">
        <v>2241</v>
      </c>
      <c r="F112" s="1208"/>
      <c r="G112" s="1801" t="n">
        <v>13.3</v>
      </c>
      <c r="H112" s="1212"/>
      <c r="I112" s="1212" t="n">
        <f aca="false">G112*H112/100</f>
        <v>0</v>
      </c>
      <c r="J112" s="1218" t="n">
        <v>830</v>
      </c>
      <c r="K112" s="1880" t="n">
        <v>1</v>
      </c>
      <c r="L112" s="1218" t="n">
        <f aca="false">J112*K112</f>
        <v>830</v>
      </c>
      <c r="M112" s="1871" t="n">
        <f aca="false">L112*G112</f>
        <v>11039</v>
      </c>
      <c r="N112" s="1872"/>
      <c r="O112" s="1873"/>
      <c r="P112" s="1873"/>
      <c r="Q112" s="1912" t="s">
        <v>3335</v>
      </c>
    </row>
    <row r="113" customFormat="false" ht="16.5" hidden="false" customHeight="true" outlineLevel="0" collapsed="false">
      <c r="A113" s="1864" t="n">
        <v>147</v>
      </c>
      <c r="B113" s="1207" t="s">
        <v>86</v>
      </c>
      <c r="C113" s="1207" t="n">
        <v>2024</v>
      </c>
      <c r="D113" s="1208" t="s">
        <v>10</v>
      </c>
      <c r="E113" s="1208" t="s">
        <v>2205</v>
      </c>
      <c r="F113" s="1208"/>
      <c r="G113" s="1801" t="n">
        <v>0</v>
      </c>
      <c r="H113" s="1212"/>
      <c r="I113" s="1212" t="n">
        <f aca="false">G113*H113/100</f>
        <v>0</v>
      </c>
      <c r="J113" s="1218" t="n">
        <v>934</v>
      </c>
      <c r="K113" s="1880" t="n">
        <v>1</v>
      </c>
      <c r="L113" s="1218" t="n">
        <f aca="false">J113*K113</f>
        <v>934</v>
      </c>
      <c r="M113" s="1871" t="n">
        <f aca="false">L113*G113</f>
        <v>0</v>
      </c>
      <c r="N113" s="1872"/>
      <c r="O113" s="1873"/>
      <c r="P113" s="1873"/>
      <c r="Q113" s="1912" t="s">
        <v>3335</v>
      </c>
    </row>
    <row r="114" customFormat="false" ht="16.5" hidden="false" customHeight="true" outlineLevel="0" collapsed="false">
      <c r="A114" s="1851" t="n">
        <v>150</v>
      </c>
      <c r="B114" s="969" t="s">
        <v>86</v>
      </c>
      <c r="C114" s="969" t="n">
        <v>2024</v>
      </c>
      <c r="D114" s="929" t="s">
        <v>3337</v>
      </c>
      <c r="E114" s="929" t="s">
        <v>2192</v>
      </c>
      <c r="F114" s="929" t="s">
        <v>2199</v>
      </c>
      <c r="G114" s="1852" t="n">
        <v>67.2</v>
      </c>
      <c r="H114" s="973" t="n">
        <v>42</v>
      </c>
      <c r="I114" s="973" t="n">
        <f aca="false">G114*H114/100</f>
        <v>28.224</v>
      </c>
      <c r="J114" s="933" t="n">
        <v>11300</v>
      </c>
      <c r="K114" s="1854" t="n">
        <v>1</v>
      </c>
      <c r="L114" s="933" t="n">
        <f aca="false">J114*K114</f>
        <v>11300</v>
      </c>
      <c r="M114" s="932" t="n">
        <f aca="false">L114*G114</f>
        <v>759360</v>
      </c>
      <c r="N114" s="1855" t="n">
        <f aca="false">'COM.'!U5</f>
        <v>0.205097215602684</v>
      </c>
      <c r="O114" s="1856" t="n">
        <f aca="false">G114*N114</f>
        <v>13.7825328885004</v>
      </c>
      <c r="P114" s="1856" t="n">
        <f aca="false">L114*O114</f>
        <v>155742.621640054</v>
      </c>
      <c r="Q114" s="1910" t="s">
        <v>3338</v>
      </c>
    </row>
    <row r="115" customFormat="false" ht="16.5" hidden="false" customHeight="true" outlineLevel="0" collapsed="false">
      <c r="A115" s="1864" t="n">
        <v>150</v>
      </c>
      <c r="B115" s="1207" t="s">
        <v>86</v>
      </c>
      <c r="C115" s="1207" t="n">
        <v>2024</v>
      </c>
      <c r="D115" s="1208" t="s">
        <v>3337</v>
      </c>
      <c r="E115" s="1208" t="s">
        <v>2203</v>
      </c>
      <c r="F115" s="1208"/>
      <c r="G115" s="1801" t="n">
        <v>0</v>
      </c>
      <c r="H115" s="1212"/>
      <c r="I115" s="1212" t="n">
        <f aca="false">G115*H115/100</f>
        <v>0</v>
      </c>
      <c r="J115" s="1218" t="n">
        <v>2294</v>
      </c>
      <c r="K115" s="1880" t="n">
        <v>1</v>
      </c>
      <c r="L115" s="1218" t="n">
        <f aca="false">J115*K115</f>
        <v>2294</v>
      </c>
      <c r="M115" s="1871" t="n">
        <f aca="false">L115*G115</f>
        <v>0</v>
      </c>
      <c r="N115" s="1872"/>
      <c r="O115" s="1873"/>
      <c r="P115" s="1873"/>
      <c r="Q115" s="1912" t="s">
        <v>3339</v>
      </c>
    </row>
    <row r="116" customFormat="false" ht="16.5" hidden="false" customHeight="true" outlineLevel="0" collapsed="false">
      <c r="A116" s="1864" t="n">
        <v>150</v>
      </c>
      <c r="B116" s="1207" t="s">
        <v>86</v>
      </c>
      <c r="C116" s="1207" t="n">
        <v>2024</v>
      </c>
      <c r="D116" s="1208" t="s">
        <v>3337</v>
      </c>
      <c r="E116" s="1208" t="s">
        <v>2205</v>
      </c>
      <c r="F116" s="1208"/>
      <c r="G116" s="1801" t="n">
        <v>0</v>
      </c>
      <c r="H116" s="1212"/>
      <c r="I116" s="1212" t="n">
        <f aca="false">G116*H116/100</f>
        <v>0</v>
      </c>
      <c r="J116" s="1218" t="n">
        <v>2651</v>
      </c>
      <c r="K116" s="1880" t="n">
        <v>1</v>
      </c>
      <c r="L116" s="1218" t="n">
        <f aca="false">J116*K116</f>
        <v>2651</v>
      </c>
      <c r="M116" s="1871" t="n">
        <f aca="false">L116*G116</f>
        <v>0</v>
      </c>
      <c r="N116" s="1872"/>
      <c r="O116" s="1873"/>
      <c r="P116" s="1873"/>
      <c r="Q116" s="1912" t="s">
        <v>3340</v>
      </c>
    </row>
    <row r="117" customFormat="false" ht="16.5" hidden="false" customHeight="true" outlineLevel="0" collapsed="false">
      <c r="A117" s="1864" t="n">
        <v>151</v>
      </c>
      <c r="B117" s="1207" t="s">
        <v>86</v>
      </c>
      <c r="C117" s="1207" t="n">
        <v>2024</v>
      </c>
      <c r="D117" s="1208" t="s">
        <v>3337</v>
      </c>
      <c r="E117" s="1208" t="s">
        <v>2242</v>
      </c>
      <c r="F117" s="1208"/>
      <c r="G117" s="1801" t="n">
        <v>53.6</v>
      </c>
      <c r="H117" s="1212"/>
      <c r="I117" s="1212" t="n">
        <f aca="false">G117*H117/100</f>
        <v>0</v>
      </c>
      <c r="J117" s="1218" t="n">
        <v>209</v>
      </c>
      <c r="K117" s="1880" t="n">
        <v>1</v>
      </c>
      <c r="L117" s="1218" t="n">
        <f aca="false">J117*K117</f>
        <v>209</v>
      </c>
      <c r="M117" s="1871" t="n">
        <f aca="false">L117*G117</f>
        <v>11202.4</v>
      </c>
      <c r="N117" s="1872"/>
      <c r="O117" s="1873"/>
      <c r="P117" s="1873"/>
      <c r="Q117" s="1912" t="s">
        <v>3341</v>
      </c>
    </row>
    <row r="118" customFormat="false" ht="16.5" hidden="false" customHeight="true" outlineLevel="0" collapsed="false">
      <c r="A118" s="1864" t="n">
        <v>151</v>
      </c>
      <c r="B118" s="1207" t="s">
        <v>86</v>
      </c>
      <c r="C118" s="1207" t="n">
        <v>2024</v>
      </c>
      <c r="D118" s="1208" t="s">
        <v>3337</v>
      </c>
      <c r="E118" s="1208" t="s">
        <v>2205</v>
      </c>
      <c r="F118" s="1208"/>
      <c r="G118" s="1801" t="n">
        <v>6.5</v>
      </c>
      <c r="H118" s="1212"/>
      <c r="I118" s="1212" t="n">
        <f aca="false">G118*H118/100</f>
        <v>0</v>
      </c>
      <c r="J118" s="1218" t="n">
        <v>81</v>
      </c>
      <c r="K118" s="1880" t="n">
        <v>1</v>
      </c>
      <c r="L118" s="1218" t="n">
        <f aca="false">J118*K118</f>
        <v>81</v>
      </c>
      <c r="M118" s="1871" t="n">
        <f aca="false">L118*G118</f>
        <v>526.5</v>
      </c>
      <c r="N118" s="1872"/>
      <c r="O118" s="1873"/>
      <c r="P118" s="1873"/>
      <c r="Q118" s="1912" t="s">
        <v>3335</v>
      </c>
    </row>
    <row r="119" customFormat="false" ht="16.5" hidden="false" customHeight="true" outlineLevel="0" collapsed="false">
      <c r="A119" s="1864" t="n">
        <v>152</v>
      </c>
      <c r="B119" s="1207" t="s">
        <v>86</v>
      </c>
      <c r="C119" s="1207" t="n">
        <v>2024</v>
      </c>
      <c r="D119" s="1208" t="s">
        <v>3337</v>
      </c>
      <c r="E119" s="1208" t="s">
        <v>2242</v>
      </c>
      <c r="F119" s="1208"/>
      <c r="G119" s="1801" t="n">
        <v>53.6</v>
      </c>
      <c r="H119" s="1212"/>
      <c r="I119" s="1212" t="n">
        <f aca="false">G119*H119/100</f>
        <v>0</v>
      </c>
      <c r="J119" s="1218" t="n">
        <v>80</v>
      </c>
      <c r="K119" s="1880" t="n">
        <v>1</v>
      </c>
      <c r="L119" s="1218" t="n">
        <f aca="false">J119*K119</f>
        <v>80</v>
      </c>
      <c r="M119" s="1871" t="n">
        <f aca="false">L119*G119</f>
        <v>4288</v>
      </c>
      <c r="N119" s="1872"/>
      <c r="O119" s="1873"/>
      <c r="P119" s="1873"/>
      <c r="Q119" s="1912" t="s">
        <v>3341</v>
      </c>
    </row>
    <row r="120" customFormat="false" ht="16.5" hidden="false" customHeight="true" outlineLevel="0" collapsed="false">
      <c r="A120" s="1864" t="n">
        <v>152</v>
      </c>
      <c r="B120" s="1207" t="s">
        <v>86</v>
      </c>
      <c r="C120" s="1207" t="n">
        <v>2024</v>
      </c>
      <c r="D120" s="1208" t="s">
        <v>3337</v>
      </c>
      <c r="E120" s="1208" t="s">
        <v>2205</v>
      </c>
      <c r="F120" s="1208"/>
      <c r="G120" s="1801" t="n">
        <v>6.5</v>
      </c>
      <c r="H120" s="1212"/>
      <c r="I120" s="1212" t="n">
        <f aca="false">G120*H120/100</f>
        <v>0</v>
      </c>
      <c r="J120" s="1218" t="n">
        <v>31</v>
      </c>
      <c r="K120" s="1880" t="n">
        <v>1</v>
      </c>
      <c r="L120" s="1218" t="n">
        <f aca="false">J120*K120</f>
        <v>31</v>
      </c>
      <c r="M120" s="1871" t="n">
        <f aca="false">L120*G120</f>
        <v>201.5</v>
      </c>
      <c r="N120" s="1872"/>
      <c r="O120" s="1873"/>
      <c r="P120" s="1873"/>
      <c r="Q120" s="1912" t="s">
        <v>3335</v>
      </c>
    </row>
    <row r="121" customFormat="false" ht="16.5" hidden="false" customHeight="true" outlineLevel="0" collapsed="false">
      <c r="A121" s="1851" t="n">
        <v>153</v>
      </c>
      <c r="B121" s="969" t="s">
        <v>86</v>
      </c>
      <c r="C121" s="969" t="n">
        <v>2024</v>
      </c>
      <c r="D121" s="929" t="s">
        <v>52</v>
      </c>
      <c r="E121" s="929" t="s">
        <v>2192</v>
      </c>
      <c r="F121" s="929" t="s">
        <v>2199</v>
      </c>
      <c r="G121" s="1852" t="n">
        <v>39.6</v>
      </c>
      <c r="H121" s="973" t="n">
        <v>57</v>
      </c>
      <c r="I121" s="973" t="n">
        <f aca="false">G121*H121/100</f>
        <v>22.572</v>
      </c>
      <c r="J121" s="933" t="n">
        <v>5136</v>
      </c>
      <c r="K121" s="1854" t="n">
        <v>1</v>
      </c>
      <c r="L121" s="933" t="n">
        <f aca="false">J121*K121</f>
        <v>5136</v>
      </c>
      <c r="M121" s="1908" t="n">
        <f aca="false">L121*G121</f>
        <v>203385.6</v>
      </c>
      <c r="N121" s="1855" t="n">
        <f aca="false">'COM.'!U4</f>
        <v>0.233104055769304</v>
      </c>
      <c r="O121" s="1856" t="n">
        <f aca="false">G121*N121</f>
        <v>9.23092060846445</v>
      </c>
      <c r="P121" s="1856" t="n">
        <f aca="false">L121*O121</f>
        <v>47410.0082450734</v>
      </c>
      <c r="Q121" s="1910" t="n">
        <v>39</v>
      </c>
    </row>
    <row r="122" customFormat="false" ht="16.5" hidden="false" customHeight="true" outlineLevel="0" collapsed="false">
      <c r="A122" s="1864" t="n">
        <v>153</v>
      </c>
      <c r="B122" s="1207" t="s">
        <v>86</v>
      </c>
      <c r="C122" s="1207" t="n">
        <v>2024</v>
      </c>
      <c r="D122" s="1208" t="s">
        <v>52</v>
      </c>
      <c r="E122" s="1208" t="s">
        <v>2203</v>
      </c>
      <c r="F122" s="1208"/>
      <c r="G122" s="1801" t="n">
        <v>7.2</v>
      </c>
      <c r="H122" s="1212"/>
      <c r="I122" s="1212" t="n">
        <f aca="false">G122*H122/100</f>
        <v>0</v>
      </c>
      <c r="J122" s="1218" t="n">
        <v>2127</v>
      </c>
      <c r="K122" s="1880" t="n">
        <v>1</v>
      </c>
      <c r="L122" s="1218" t="n">
        <f aca="false">J122*K122</f>
        <v>2127</v>
      </c>
      <c r="M122" s="1400" t="n">
        <f aca="false">L122*G122</f>
        <v>15314.4</v>
      </c>
      <c r="N122" s="1872"/>
      <c r="O122" s="1873"/>
      <c r="P122" s="1873"/>
      <c r="Q122" s="1912" t="s">
        <v>3342</v>
      </c>
    </row>
    <row r="123" customFormat="false" ht="16.5" hidden="false" customHeight="true" outlineLevel="0" collapsed="false">
      <c r="A123" s="1864" t="n">
        <v>153</v>
      </c>
      <c r="B123" s="1207" t="s">
        <v>86</v>
      </c>
      <c r="C123" s="1207" t="n">
        <v>2024</v>
      </c>
      <c r="D123" s="1208" t="s">
        <v>52</v>
      </c>
      <c r="E123" s="1208" t="s">
        <v>2241</v>
      </c>
      <c r="F123" s="1208"/>
      <c r="G123" s="1801" t="n">
        <v>3.6</v>
      </c>
      <c r="H123" s="1212"/>
      <c r="I123" s="1212" t="n">
        <f aca="false">G123*H123/100</f>
        <v>0</v>
      </c>
      <c r="J123" s="1218" t="n">
        <v>1429</v>
      </c>
      <c r="K123" s="1880" t="n">
        <v>1</v>
      </c>
      <c r="L123" s="1218" t="n">
        <f aca="false">J123*K123</f>
        <v>1429</v>
      </c>
      <c r="M123" s="1400" t="n">
        <f aca="false">L123*G123</f>
        <v>5144.4</v>
      </c>
      <c r="N123" s="1872"/>
      <c r="O123" s="1873"/>
      <c r="P123" s="1873"/>
      <c r="Q123" s="1912" t="s">
        <v>3343</v>
      </c>
    </row>
    <row r="124" customFormat="false" ht="16.5" hidden="false" customHeight="true" outlineLevel="0" collapsed="false">
      <c r="A124" s="1864" t="n">
        <v>153</v>
      </c>
      <c r="B124" s="1207" t="s">
        <v>86</v>
      </c>
      <c r="C124" s="1207" t="n">
        <v>2024</v>
      </c>
      <c r="D124" s="1208" t="s">
        <v>52</v>
      </c>
      <c r="E124" s="1208" t="s">
        <v>2205</v>
      </c>
      <c r="F124" s="1208"/>
      <c r="G124" s="1801" t="n">
        <v>0</v>
      </c>
      <c r="H124" s="1212"/>
      <c r="I124" s="1212" t="n">
        <f aca="false">G124*H124/100</f>
        <v>0</v>
      </c>
      <c r="J124" s="1218" t="n">
        <v>4504</v>
      </c>
      <c r="K124" s="1880" t="n">
        <v>1</v>
      </c>
      <c r="L124" s="1218" t="n">
        <f aca="false">J124*K124</f>
        <v>4504</v>
      </c>
      <c r="M124" s="1400" t="n">
        <f aca="false">L124*G124</f>
        <v>0</v>
      </c>
      <c r="N124" s="1872"/>
      <c r="O124" s="1873"/>
      <c r="P124" s="1873"/>
      <c r="Q124" s="1912" t="s">
        <v>3343</v>
      </c>
    </row>
    <row r="125" customFormat="false" ht="16.5" hidden="false" customHeight="true" outlineLevel="0" collapsed="false">
      <c r="A125" s="1851" t="n">
        <v>154</v>
      </c>
      <c r="B125" s="969" t="s">
        <v>86</v>
      </c>
      <c r="C125" s="969" t="n">
        <v>2024</v>
      </c>
      <c r="D125" s="929" t="s">
        <v>42</v>
      </c>
      <c r="E125" s="929" t="s">
        <v>2192</v>
      </c>
      <c r="F125" s="929" t="s">
        <v>2199</v>
      </c>
      <c r="G125" s="1852" t="n">
        <v>47.5</v>
      </c>
      <c r="H125" s="973" t="n">
        <v>35</v>
      </c>
      <c r="I125" s="973" t="n">
        <f aca="false">G125*H125/100</f>
        <v>16.625</v>
      </c>
      <c r="J125" s="933" t="n">
        <v>859</v>
      </c>
      <c r="K125" s="1854" t="n">
        <v>1</v>
      </c>
      <c r="L125" s="933" t="n">
        <f aca="false">J125*K125</f>
        <v>859</v>
      </c>
      <c r="M125" s="932" t="n">
        <f aca="false">L125*G125</f>
        <v>40802.5</v>
      </c>
      <c r="N125" s="1855" t="n">
        <f aca="false">'COM.'!U7</f>
        <v>0.194186016101058</v>
      </c>
      <c r="O125" s="1856" t="n">
        <f aca="false">G125*N125</f>
        <v>9.22383576480026</v>
      </c>
      <c r="P125" s="1856" t="n">
        <f aca="false">L125*O125</f>
        <v>7923.27492196342</v>
      </c>
      <c r="Q125" s="1910" t="n">
        <v>40</v>
      </c>
    </row>
    <row r="126" customFormat="false" ht="16.5" hidden="false" customHeight="true" outlineLevel="0" collapsed="false">
      <c r="A126" s="1864" t="n">
        <v>154</v>
      </c>
      <c r="B126" s="1207" t="s">
        <v>86</v>
      </c>
      <c r="C126" s="1207" t="n">
        <v>2024</v>
      </c>
      <c r="D126" s="1208" t="s">
        <v>42</v>
      </c>
      <c r="E126" s="1208" t="s">
        <v>2203</v>
      </c>
      <c r="F126" s="1208"/>
      <c r="G126" s="1801" t="n">
        <v>4</v>
      </c>
      <c r="H126" s="1212"/>
      <c r="I126" s="1212" t="n">
        <f aca="false">G126*H126/100</f>
        <v>0</v>
      </c>
      <c r="J126" s="1218" t="n">
        <v>616</v>
      </c>
      <c r="K126" s="1880" t="n">
        <v>1</v>
      </c>
      <c r="L126" s="1218" t="n">
        <f aca="false">J126*K126</f>
        <v>616</v>
      </c>
      <c r="M126" s="1871" t="n">
        <f aca="false">L126*G126</f>
        <v>2464</v>
      </c>
      <c r="N126" s="1872"/>
      <c r="O126" s="1873"/>
      <c r="P126" s="1873"/>
      <c r="Q126" s="1912" t="s">
        <v>3344</v>
      </c>
    </row>
    <row r="127" customFormat="false" ht="16.5" hidden="false" customHeight="true" outlineLevel="0" collapsed="false">
      <c r="A127" s="1864" t="n">
        <v>154</v>
      </c>
      <c r="B127" s="1207" t="s">
        <v>86</v>
      </c>
      <c r="C127" s="1207" t="n">
        <v>2024</v>
      </c>
      <c r="D127" s="1208" t="s">
        <v>42</v>
      </c>
      <c r="E127" s="1208" t="s">
        <v>2205</v>
      </c>
      <c r="F127" s="1208"/>
      <c r="G127" s="1801" t="n">
        <v>0</v>
      </c>
      <c r="H127" s="1212"/>
      <c r="I127" s="1212" t="n">
        <f aca="false">G127*H127/100</f>
        <v>0</v>
      </c>
      <c r="J127" s="1218" t="n">
        <v>1872</v>
      </c>
      <c r="K127" s="1880" t="n">
        <v>1</v>
      </c>
      <c r="L127" s="1218" t="n">
        <f aca="false">J127*K127</f>
        <v>1872</v>
      </c>
      <c r="M127" s="1871" t="n">
        <f aca="false">L127*G127</f>
        <v>0</v>
      </c>
      <c r="N127" s="1872"/>
      <c r="O127" s="1873"/>
      <c r="P127" s="1873"/>
      <c r="Q127" s="1912" t="s">
        <v>3345</v>
      </c>
    </row>
    <row r="128" customFormat="false" ht="16.5" hidden="false" customHeight="true" outlineLevel="0" collapsed="false">
      <c r="A128" s="1851" t="n">
        <v>155</v>
      </c>
      <c r="B128" s="969" t="s">
        <v>86</v>
      </c>
      <c r="C128" s="969" t="n">
        <v>2024</v>
      </c>
      <c r="D128" s="929" t="s">
        <v>20</v>
      </c>
      <c r="E128" s="929" t="s">
        <v>2192</v>
      </c>
      <c r="F128" s="929" t="s">
        <v>2199</v>
      </c>
      <c r="G128" s="1852" t="n">
        <v>71.9</v>
      </c>
      <c r="H128" s="973" t="n">
        <v>47</v>
      </c>
      <c r="I128" s="973" t="n">
        <f aca="false">G128*H128/100</f>
        <v>33.793</v>
      </c>
      <c r="J128" s="933" t="n">
        <v>10628</v>
      </c>
      <c r="K128" s="1854" t="n">
        <v>1</v>
      </c>
      <c r="L128" s="933" t="n">
        <f aca="false">J128*K128</f>
        <v>10628</v>
      </c>
      <c r="M128" s="932" t="n">
        <f aca="false">L128*G128</f>
        <v>764153.2</v>
      </c>
      <c r="N128" s="1855"/>
      <c r="O128" s="1856"/>
      <c r="P128" s="1856"/>
      <c r="Q128" s="1910" t="n">
        <v>41</v>
      </c>
    </row>
    <row r="129" customFormat="false" ht="16.5" hidden="false" customHeight="true" outlineLevel="0" collapsed="false">
      <c r="A129" s="1864" t="n">
        <v>155</v>
      </c>
      <c r="B129" s="1207" t="s">
        <v>86</v>
      </c>
      <c r="C129" s="1207" t="n">
        <v>2024</v>
      </c>
      <c r="D129" s="1208" t="s">
        <v>20</v>
      </c>
      <c r="E129" s="1208" t="s">
        <v>2203</v>
      </c>
      <c r="F129" s="1208"/>
      <c r="G129" s="1801" t="n">
        <v>0</v>
      </c>
      <c r="H129" s="1212"/>
      <c r="I129" s="1212" t="n">
        <f aca="false">G129*H129/100</f>
        <v>0</v>
      </c>
      <c r="J129" s="1218" t="n">
        <v>2994</v>
      </c>
      <c r="K129" s="1880" t="n">
        <v>1</v>
      </c>
      <c r="L129" s="1218" t="n">
        <f aca="false">J129*K129</f>
        <v>2994</v>
      </c>
      <c r="M129" s="1871" t="n">
        <f aca="false">L129*G129</f>
        <v>0</v>
      </c>
      <c r="N129" s="1872"/>
      <c r="O129" s="1873"/>
      <c r="P129" s="1873"/>
      <c r="Q129" s="1912" t="s">
        <v>3346</v>
      </c>
    </row>
    <row r="130" customFormat="false" ht="16.5" hidden="false" customHeight="true" outlineLevel="0" collapsed="false">
      <c r="A130" s="1864" t="n">
        <v>155</v>
      </c>
      <c r="B130" s="1207" t="s">
        <v>86</v>
      </c>
      <c r="C130" s="1207" t="n">
        <v>2024</v>
      </c>
      <c r="D130" s="1208" t="s">
        <v>20</v>
      </c>
      <c r="E130" s="1208" t="s">
        <v>2241</v>
      </c>
      <c r="F130" s="1208"/>
      <c r="G130" s="1801" t="n">
        <v>36.9</v>
      </c>
      <c r="H130" s="1212"/>
      <c r="I130" s="1212" t="n">
        <f aca="false">G130*H130/100</f>
        <v>0</v>
      </c>
      <c r="J130" s="1218" t="n">
        <v>1096</v>
      </c>
      <c r="K130" s="1880" t="n">
        <v>1</v>
      </c>
      <c r="L130" s="1218" t="n">
        <f aca="false">J130*K130</f>
        <v>1096</v>
      </c>
      <c r="M130" s="1871" t="n">
        <f aca="false">L130*G130</f>
        <v>40442.4</v>
      </c>
      <c r="N130" s="1872"/>
      <c r="O130" s="1873"/>
      <c r="P130" s="1873"/>
      <c r="Q130" s="1912" t="s">
        <v>3347</v>
      </c>
    </row>
    <row r="131" customFormat="false" ht="16.5" hidden="false" customHeight="true" outlineLevel="0" collapsed="false">
      <c r="A131" s="1864" t="n">
        <v>155</v>
      </c>
      <c r="B131" s="1207" t="s">
        <v>86</v>
      </c>
      <c r="C131" s="1207" t="n">
        <v>2024</v>
      </c>
      <c r="D131" s="1208" t="s">
        <v>20</v>
      </c>
      <c r="E131" s="1208" t="s">
        <v>2205</v>
      </c>
      <c r="F131" s="1208"/>
      <c r="G131" s="1801" t="n">
        <v>0</v>
      </c>
      <c r="H131" s="1212"/>
      <c r="I131" s="1212" t="n">
        <f aca="false">G131*H131/100</f>
        <v>0</v>
      </c>
      <c r="J131" s="1218" t="n">
        <v>5953</v>
      </c>
      <c r="K131" s="1880" t="n">
        <v>1</v>
      </c>
      <c r="L131" s="1218" t="n">
        <f aca="false">J131*K131</f>
        <v>5953</v>
      </c>
      <c r="M131" s="1871" t="n">
        <f aca="false">L131*G131</f>
        <v>0</v>
      </c>
      <c r="N131" s="1872"/>
      <c r="O131" s="1873"/>
      <c r="P131" s="1873"/>
      <c r="Q131" s="1912" t="s">
        <v>3348</v>
      </c>
    </row>
    <row r="132" customFormat="false" ht="16.5" hidden="false" customHeight="true" outlineLevel="0" collapsed="false">
      <c r="A132" s="1864" t="n">
        <v>156</v>
      </c>
      <c r="B132" s="1207" t="s">
        <v>86</v>
      </c>
      <c r="C132" s="1207" t="n">
        <v>2024</v>
      </c>
      <c r="D132" s="1208" t="s">
        <v>13</v>
      </c>
      <c r="E132" s="1208" t="s">
        <v>2242</v>
      </c>
      <c r="F132" s="1208"/>
      <c r="G132" s="1801" t="n">
        <v>34.3602</v>
      </c>
      <c r="H132" s="1212"/>
      <c r="I132" s="1212" t="n">
        <f aca="false">G132*H132/100</f>
        <v>0</v>
      </c>
      <c r="J132" s="1218" t="n">
        <v>46202</v>
      </c>
      <c r="K132" s="1880" t="n">
        <v>1</v>
      </c>
      <c r="L132" s="1218" t="n">
        <f aca="false">J132*K132</f>
        <v>46202</v>
      </c>
      <c r="M132" s="1400" t="n">
        <f aca="false">L132*G132</f>
        <v>1587509.9604</v>
      </c>
      <c r="N132" s="1872"/>
      <c r="O132" s="1873"/>
      <c r="P132" s="1873"/>
      <c r="Q132" s="1912" t="s">
        <v>3349</v>
      </c>
    </row>
    <row r="133" customFormat="false" ht="16.5" hidden="false" customHeight="true" outlineLevel="0" collapsed="false">
      <c r="A133" s="1891" t="n">
        <v>167</v>
      </c>
      <c r="B133" s="1414" t="s">
        <v>2191</v>
      </c>
      <c r="C133" s="1414" t="n">
        <v>2024</v>
      </c>
      <c r="D133" s="1415" t="s">
        <v>10</v>
      </c>
      <c r="E133" s="1415" t="s">
        <v>2192</v>
      </c>
      <c r="F133" s="1415" t="s">
        <v>1651</v>
      </c>
      <c r="G133" s="1892" t="n">
        <v>27.8796</v>
      </c>
      <c r="H133" s="1419"/>
      <c r="I133" s="1419" t="n">
        <f aca="false">G133*H133/100</f>
        <v>0</v>
      </c>
      <c r="J133" s="1426" t="n">
        <v>388</v>
      </c>
      <c r="K133" s="1893" t="n">
        <v>15</v>
      </c>
      <c r="L133" s="1426" t="n">
        <f aca="false">J133*K133</f>
        <v>5820</v>
      </c>
      <c r="M133" s="1425" t="n">
        <f aca="false">L133*G133</f>
        <v>162259.272</v>
      </c>
      <c r="N133" s="1895" t="n">
        <f aca="false">VEN!T24</f>
        <v>0.348570622974751</v>
      </c>
      <c r="O133" s="1896" t="n">
        <f aca="false">G133*N133</f>
        <v>9.71800954028688</v>
      </c>
      <c r="P133" s="1896" t="n">
        <f aca="false">L133*O133</f>
        <v>56558.8155244696</v>
      </c>
      <c r="Q133" s="1913" t="s">
        <v>3321</v>
      </c>
    </row>
    <row r="134" customFormat="false" ht="16.5" hidden="false" customHeight="true" outlineLevel="0" collapsed="false">
      <c r="A134" s="1891" t="n">
        <v>191</v>
      </c>
      <c r="B134" s="1414" t="s">
        <v>2191</v>
      </c>
      <c r="C134" s="1414" t="n">
        <v>2024</v>
      </c>
      <c r="D134" s="1415" t="s">
        <v>10</v>
      </c>
      <c r="E134" s="1415" t="s">
        <v>2192</v>
      </c>
      <c r="F134" s="1415" t="s">
        <v>1651</v>
      </c>
      <c r="G134" s="1892" t="n">
        <v>29.5894</v>
      </c>
      <c r="H134" s="1419"/>
      <c r="I134" s="1419" t="n">
        <f aca="false">G134*H134/100</f>
        <v>0</v>
      </c>
      <c r="J134" s="1426" t="n">
        <v>116</v>
      </c>
      <c r="K134" s="1893" t="n">
        <v>15</v>
      </c>
      <c r="L134" s="1426" t="n">
        <f aca="false">J134*K134</f>
        <v>1740</v>
      </c>
      <c r="M134" s="1425" t="n">
        <f aca="false">L134*G134</f>
        <v>51485.556</v>
      </c>
      <c r="N134" s="1895" t="n">
        <f aca="false">VEN!T24</f>
        <v>0.348570622974751</v>
      </c>
      <c r="O134" s="1896" t="n">
        <f aca="false">G134*N134</f>
        <v>10.3139955914491</v>
      </c>
      <c r="P134" s="1896" t="n">
        <f aca="false">L134*O134</f>
        <v>17946.3523291215</v>
      </c>
      <c r="Q134" s="1913" t="s">
        <v>3321</v>
      </c>
    </row>
    <row r="135" customFormat="false" ht="16.5" hidden="false" customHeight="true" outlineLevel="0" collapsed="false">
      <c r="A135" s="1891" t="n">
        <v>209</v>
      </c>
      <c r="B135" s="1414" t="s">
        <v>2191</v>
      </c>
      <c r="C135" s="1414" t="n">
        <v>2024</v>
      </c>
      <c r="D135" s="1415" t="s">
        <v>3337</v>
      </c>
      <c r="E135" s="1415" t="s">
        <v>2192</v>
      </c>
      <c r="F135" s="1415" t="s">
        <v>1651</v>
      </c>
      <c r="G135" s="1892" t="n">
        <v>31.9588</v>
      </c>
      <c r="H135" s="1419"/>
      <c r="I135" s="1419" t="n">
        <f aca="false">G135*H135/100</f>
        <v>0</v>
      </c>
      <c r="J135" s="1426" t="n">
        <v>8</v>
      </c>
      <c r="K135" s="1893" t="n">
        <v>10</v>
      </c>
      <c r="L135" s="1426" t="n">
        <f aca="false">J135*K135</f>
        <v>80</v>
      </c>
      <c r="M135" s="1425" t="n">
        <f aca="false">L135*G135</f>
        <v>2556.704</v>
      </c>
      <c r="N135" s="1895" t="n">
        <f aca="false">VEN!T11</f>
        <v>0.443946557062257</v>
      </c>
      <c r="O135" s="1896" t="n">
        <f aca="false">G135*N135</f>
        <v>14.1879992278412</v>
      </c>
      <c r="P135" s="1896" t="n">
        <f aca="false">L135*O135</f>
        <v>1135.0399382273</v>
      </c>
      <c r="Q135" s="1913" t="s">
        <v>3321</v>
      </c>
    </row>
    <row r="136" customFormat="false" ht="16.5" hidden="false" customHeight="true" outlineLevel="0" collapsed="false">
      <c r="A136" s="1891" t="n">
        <v>219</v>
      </c>
      <c r="B136" s="1414" t="s">
        <v>2191</v>
      </c>
      <c r="C136" s="1414" t="n">
        <v>2024</v>
      </c>
      <c r="D136" s="1415" t="s">
        <v>11</v>
      </c>
      <c r="E136" s="1415" t="s">
        <v>2192</v>
      </c>
      <c r="F136" s="1415" t="s">
        <v>1651</v>
      </c>
      <c r="G136" s="1892" t="n">
        <v>19.2985</v>
      </c>
      <c r="H136" s="1419"/>
      <c r="I136" s="1419" t="n">
        <f aca="false">G136*H136/100</f>
        <v>0</v>
      </c>
      <c r="J136" s="1426" t="n">
        <v>31</v>
      </c>
      <c r="K136" s="1893" t="n">
        <v>10</v>
      </c>
      <c r="L136" s="1426" t="n">
        <f aca="false">J136*K136</f>
        <v>310</v>
      </c>
      <c r="M136" s="1425" t="n">
        <f aca="false">L136*G136</f>
        <v>5982.535</v>
      </c>
      <c r="N136" s="1895" t="n">
        <f aca="false">VEN!T27</f>
        <v>3.81534727870092</v>
      </c>
      <c r="O136" s="1896" t="n">
        <f aca="false">G136*N136</f>
        <v>73.6304794580097</v>
      </c>
      <c r="P136" s="1896" t="n">
        <f aca="false">L136*O136</f>
        <v>22825.448631983</v>
      </c>
      <c r="Q136" s="1913" t="s">
        <v>3321</v>
      </c>
    </row>
    <row r="137" customFormat="false" ht="16.5" hidden="false" customHeight="true" outlineLevel="0" collapsed="false">
      <c r="A137" s="1891" t="n">
        <v>258</v>
      </c>
      <c r="B137" s="1414" t="s">
        <v>2191</v>
      </c>
      <c r="C137" s="1414" t="n">
        <v>2024</v>
      </c>
      <c r="D137" s="1415" t="s">
        <v>52</v>
      </c>
      <c r="E137" s="1415" t="s">
        <v>2192</v>
      </c>
      <c r="F137" s="1415" t="s">
        <v>1651</v>
      </c>
      <c r="G137" s="1892" t="n">
        <v>27.3412</v>
      </c>
      <c r="H137" s="1419"/>
      <c r="I137" s="1419" t="n">
        <f aca="false">G137*H137/100</f>
        <v>0</v>
      </c>
      <c r="J137" s="1426" t="n">
        <v>113</v>
      </c>
      <c r="K137" s="1893" t="n">
        <v>15</v>
      </c>
      <c r="L137" s="1426" t="n">
        <f aca="false">J137*K137</f>
        <v>1695</v>
      </c>
      <c r="M137" s="1425" t="n">
        <f aca="false">L137*G137</f>
        <v>46343.334</v>
      </c>
      <c r="N137" s="1895" t="n">
        <f aca="false">VEN!T7</f>
        <v>0.481893150497586</v>
      </c>
      <c r="O137" s="1896" t="n">
        <f aca="false">G137*N137</f>
        <v>13.1755370063846</v>
      </c>
      <c r="P137" s="1896" t="n">
        <f aca="false">L137*O137</f>
        <v>22332.5352258219</v>
      </c>
      <c r="Q137" s="1913" t="s">
        <v>3321</v>
      </c>
    </row>
    <row r="138" customFormat="false" ht="16.5" hidden="false" customHeight="true" outlineLevel="0" collapsed="false">
      <c r="A138" s="1891" t="n">
        <v>405</v>
      </c>
      <c r="B138" s="1414" t="s">
        <v>2191</v>
      </c>
      <c r="C138" s="1414" t="n">
        <v>2024</v>
      </c>
      <c r="D138" s="1415" t="s">
        <v>19</v>
      </c>
      <c r="E138" s="1415" t="s">
        <v>2192</v>
      </c>
      <c r="F138" s="1415" t="s">
        <v>1651</v>
      </c>
      <c r="G138" s="1892" t="n">
        <v>29.3937</v>
      </c>
      <c r="H138" s="1419"/>
      <c r="I138" s="1419" t="n">
        <f aca="false">G138*H138/100</f>
        <v>0</v>
      </c>
      <c r="J138" s="1426" t="n">
        <v>38</v>
      </c>
      <c r="K138" s="1893" t="n">
        <v>15</v>
      </c>
      <c r="L138" s="1426" t="n">
        <f aca="false">J138*K138</f>
        <v>570</v>
      </c>
      <c r="M138" s="1425" t="n">
        <f aca="false">L138*G138</f>
        <v>16754.409</v>
      </c>
      <c r="N138" s="1895" t="n">
        <f aca="false">VEN!T56</f>
        <v>0.882207693684022</v>
      </c>
      <c r="O138" s="1896" t="n">
        <f aca="false">G138*N138</f>
        <v>25.93134828584</v>
      </c>
      <c r="P138" s="1896" t="n">
        <f aca="false">L138*O138</f>
        <v>14780.8685229288</v>
      </c>
      <c r="Q138" s="1913" t="s">
        <v>3321</v>
      </c>
    </row>
    <row r="139" customFormat="false" ht="16.5" hidden="false" customHeight="true" outlineLevel="0" collapsed="false">
      <c r="A139" s="1891" t="n">
        <v>433</v>
      </c>
      <c r="B139" s="1414" t="s">
        <v>2191</v>
      </c>
      <c r="C139" s="1414" t="n">
        <v>2024</v>
      </c>
      <c r="D139" s="1415" t="s">
        <v>3337</v>
      </c>
      <c r="E139" s="1415" t="s">
        <v>2192</v>
      </c>
      <c r="F139" s="1415" t="s">
        <v>1651</v>
      </c>
      <c r="G139" s="1892" t="n">
        <v>31.5465</v>
      </c>
      <c r="H139" s="1419"/>
      <c r="I139" s="1419" t="n">
        <f aca="false">G139*H139/100</f>
        <v>0</v>
      </c>
      <c r="J139" s="1426" t="n">
        <v>32</v>
      </c>
      <c r="K139" s="1893" t="n">
        <v>15</v>
      </c>
      <c r="L139" s="1426" t="n">
        <f aca="false">J139*K139</f>
        <v>480</v>
      </c>
      <c r="M139" s="1425" t="n">
        <f aca="false">L139*G139</f>
        <v>15142.32</v>
      </c>
      <c r="N139" s="1895" t="n">
        <f aca="false">VEN!T11</f>
        <v>0.443946557062257</v>
      </c>
      <c r="O139" s="1896" t="n">
        <f aca="false">G139*N139</f>
        <v>14.0049600623645</v>
      </c>
      <c r="P139" s="1896" t="n">
        <f aca="false">L139*O139</f>
        <v>6722.38082993495</v>
      </c>
      <c r="Q139" s="1913" t="s">
        <v>3321</v>
      </c>
    </row>
    <row r="140" customFormat="false" ht="16.5" hidden="false" customHeight="true" outlineLevel="0" collapsed="false">
      <c r="A140" s="1891" t="n">
        <v>435</v>
      </c>
      <c r="B140" s="1414" t="s">
        <v>2191</v>
      </c>
      <c r="C140" s="1414" t="n">
        <v>2024</v>
      </c>
      <c r="D140" s="1415" t="s">
        <v>17</v>
      </c>
      <c r="E140" s="1415" t="s">
        <v>2192</v>
      </c>
      <c r="F140" s="1415" t="s">
        <v>1651</v>
      </c>
      <c r="G140" s="1892" t="n">
        <v>28.6253</v>
      </c>
      <c r="H140" s="1419"/>
      <c r="I140" s="1419" t="n">
        <f aca="false">G140*H140/100</f>
        <v>0</v>
      </c>
      <c r="J140" s="1426" t="n">
        <v>2</v>
      </c>
      <c r="K140" s="1893" t="n">
        <v>10</v>
      </c>
      <c r="L140" s="1426" t="n">
        <f aca="false">J140*K140</f>
        <v>20</v>
      </c>
      <c r="M140" s="1425" t="n">
        <f aca="false">L140*G140</f>
        <v>572.506</v>
      </c>
      <c r="N140" s="1895" t="n">
        <f aca="false">VEN!T50</f>
        <v>0.574558329338418</v>
      </c>
      <c r="O140" s="1896" t="n">
        <f aca="false">G140*N140</f>
        <v>16.446904544811</v>
      </c>
      <c r="P140" s="1896" t="n">
        <f aca="false">L140*O140</f>
        <v>328.938090896221</v>
      </c>
      <c r="Q140" s="1913" t="s">
        <v>3321</v>
      </c>
    </row>
    <row r="141" customFormat="false" ht="16.5" hidden="false" customHeight="true" outlineLevel="0" collapsed="false">
      <c r="A141" s="1891" t="n">
        <v>448</v>
      </c>
      <c r="B141" s="1414" t="s">
        <v>2191</v>
      </c>
      <c r="C141" s="1414" t="n">
        <v>2024</v>
      </c>
      <c r="D141" s="1415" t="s">
        <v>11</v>
      </c>
      <c r="E141" s="1415" t="s">
        <v>2192</v>
      </c>
      <c r="F141" s="1415" t="s">
        <v>1651</v>
      </c>
      <c r="G141" s="1892" t="n">
        <v>18.55</v>
      </c>
      <c r="H141" s="1419"/>
      <c r="I141" s="1419" t="n">
        <f aca="false">G141*H141/100</f>
        <v>0</v>
      </c>
      <c r="J141" s="1426" t="n">
        <v>28</v>
      </c>
      <c r="K141" s="1893" t="n">
        <v>10</v>
      </c>
      <c r="L141" s="1426" t="n">
        <f aca="false">J141*K141</f>
        <v>280</v>
      </c>
      <c r="M141" s="1425" t="n">
        <f aca="false">L141*G141</f>
        <v>5194</v>
      </c>
      <c r="N141" s="1895" t="n">
        <f aca="false">VEN!T27</f>
        <v>3.81534727870092</v>
      </c>
      <c r="O141" s="1896" t="n">
        <f aca="false">G141*N141</f>
        <v>70.774692019902</v>
      </c>
      <c r="P141" s="1896" t="n">
        <f aca="false">L141*O141</f>
        <v>19816.9137655726</v>
      </c>
      <c r="Q141" s="1913" t="s">
        <v>3321</v>
      </c>
    </row>
    <row r="142" customFormat="false" ht="16.5" hidden="false" customHeight="true" outlineLevel="0" collapsed="false">
      <c r="A142" s="1891" t="n">
        <v>454</v>
      </c>
      <c r="B142" s="1414" t="s">
        <v>2191</v>
      </c>
      <c r="C142" s="1414" t="n">
        <v>2024</v>
      </c>
      <c r="D142" s="1415" t="s">
        <v>19</v>
      </c>
      <c r="E142" s="1415" t="s">
        <v>2192</v>
      </c>
      <c r="F142" s="1415" t="s">
        <v>1651</v>
      </c>
      <c r="G142" s="1892" t="n">
        <v>24.9798</v>
      </c>
      <c r="H142" s="1419"/>
      <c r="I142" s="1419" t="n">
        <f aca="false">G142*H142/100</f>
        <v>0</v>
      </c>
      <c r="J142" s="1426" t="n">
        <v>349</v>
      </c>
      <c r="K142" s="1893" t="n">
        <v>15</v>
      </c>
      <c r="L142" s="1426" t="n">
        <f aca="false">J142*K142</f>
        <v>5235</v>
      </c>
      <c r="M142" s="1425" t="n">
        <f aca="false">L142*G142</f>
        <v>130769.253</v>
      </c>
      <c r="N142" s="1895" t="n">
        <f aca="false">VEN!T56</f>
        <v>0.882207693684022</v>
      </c>
      <c r="O142" s="1896" t="n">
        <f aca="false">G142*N142</f>
        <v>22.0373717466881</v>
      </c>
      <c r="P142" s="1896" t="n">
        <f aca="false">L142*O142</f>
        <v>115365.641093912</v>
      </c>
      <c r="Q142" s="1913" t="s">
        <v>3321</v>
      </c>
    </row>
    <row r="143" customFormat="false" ht="16.5" hidden="false" customHeight="true" outlineLevel="0" collapsed="false">
      <c r="A143" s="1891" t="n">
        <v>482</v>
      </c>
      <c r="B143" s="1414" t="s">
        <v>2191</v>
      </c>
      <c r="C143" s="1414" t="n">
        <v>2024</v>
      </c>
      <c r="D143" s="1415" t="s">
        <v>7</v>
      </c>
      <c r="E143" s="1415" t="s">
        <v>2192</v>
      </c>
      <c r="F143" s="1415" t="s">
        <v>1651</v>
      </c>
      <c r="G143" s="1892" t="n">
        <v>25.4123</v>
      </c>
      <c r="H143" s="1419"/>
      <c r="I143" s="1419" t="n">
        <f aca="false">G143*H143/100</f>
        <v>0</v>
      </c>
      <c r="J143" s="1426" t="n">
        <v>41</v>
      </c>
      <c r="K143" s="1893" t="n">
        <v>15</v>
      </c>
      <c r="L143" s="1426" t="n">
        <f aca="false">J143*K143</f>
        <v>615</v>
      </c>
      <c r="M143" s="1425" t="n">
        <f aca="false">L143*G143</f>
        <v>15628.5645</v>
      </c>
      <c r="N143" s="1895" t="n">
        <f aca="false">VEN!T15</f>
        <v>0.496223999326628</v>
      </c>
      <c r="O143" s="1896" t="n">
        <f aca="false">G143*N143</f>
        <v>12.6101931380881</v>
      </c>
      <c r="P143" s="1896" t="n">
        <f aca="false">L143*O143</f>
        <v>7755.26877992417</v>
      </c>
      <c r="Q143" s="1913" t="s">
        <v>3321</v>
      </c>
    </row>
    <row r="144" customFormat="false" ht="16.5" hidden="false" customHeight="true" outlineLevel="0" collapsed="false">
      <c r="A144" s="1891" t="n">
        <v>492</v>
      </c>
      <c r="B144" s="1414" t="s">
        <v>2191</v>
      </c>
      <c r="C144" s="1414" t="n">
        <v>2024</v>
      </c>
      <c r="D144" s="1415" t="s">
        <v>10</v>
      </c>
      <c r="E144" s="1415" t="s">
        <v>2192</v>
      </c>
      <c r="F144" s="1415" t="s">
        <v>1651</v>
      </c>
      <c r="G144" s="1892" t="n">
        <v>28.7263</v>
      </c>
      <c r="H144" s="1419"/>
      <c r="I144" s="1419" t="n">
        <f aca="false">G144*H144/100</f>
        <v>0</v>
      </c>
      <c r="J144" s="1426" t="n">
        <v>152</v>
      </c>
      <c r="K144" s="1893" t="n">
        <v>15</v>
      </c>
      <c r="L144" s="1426" t="n">
        <f aca="false">J144*K144</f>
        <v>2280</v>
      </c>
      <c r="M144" s="1425" t="n">
        <f aca="false">L144*G144</f>
        <v>65495.964</v>
      </c>
      <c r="N144" s="1895" t="n">
        <f aca="false">VEN!T24</f>
        <v>0.348570622974751</v>
      </c>
      <c r="O144" s="1896" t="n">
        <f aca="false">G144*N144</f>
        <v>10.0131442867596</v>
      </c>
      <c r="P144" s="1896" t="n">
        <f aca="false">L144*O144</f>
        <v>22829.9689738119</v>
      </c>
      <c r="Q144" s="1913" t="s">
        <v>3321</v>
      </c>
    </row>
    <row r="145" customFormat="false" ht="16.5" hidden="false" customHeight="true" outlineLevel="0" collapsed="false">
      <c r="A145" s="1891" t="n">
        <v>509</v>
      </c>
      <c r="B145" s="1414" t="s">
        <v>2191</v>
      </c>
      <c r="C145" s="1414" t="n">
        <v>2024</v>
      </c>
      <c r="D145" s="1415" t="s">
        <v>42</v>
      </c>
      <c r="E145" s="1415" t="s">
        <v>2192</v>
      </c>
      <c r="F145" s="1415" t="s">
        <v>1651</v>
      </c>
      <c r="G145" s="1892" t="n">
        <v>29.1781</v>
      </c>
      <c r="H145" s="1419"/>
      <c r="I145" s="1419" t="n">
        <f aca="false">G145*H145/100</f>
        <v>0</v>
      </c>
      <c r="J145" s="1426" t="n">
        <v>26</v>
      </c>
      <c r="K145" s="1893" t="n">
        <v>10</v>
      </c>
      <c r="L145" s="1426" t="n">
        <f aca="false">J145*K145</f>
        <v>260</v>
      </c>
      <c r="M145" s="1425" t="n">
        <f aca="false">L145*G145</f>
        <v>7586.306</v>
      </c>
      <c r="N145" s="1895" t="n">
        <f aca="false">VEN!T19</f>
        <v>0.473432687929763</v>
      </c>
      <c r="O145" s="1896" t="n">
        <f aca="false">G145*N145</f>
        <v>13.8138663116834</v>
      </c>
      <c r="P145" s="1896" t="n">
        <f aca="false">L145*O145</f>
        <v>3591.60524103769</v>
      </c>
      <c r="Q145" s="1913" t="s">
        <v>3321</v>
      </c>
    </row>
    <row r="146" customFormat="false" ht="16.5" hidden="false" customHeight="true" outlineLevel="0" collapsed="false">
      <c r="A146" s="1891" t="n">
        <v>527</v>
      </c>
      <c r="B146" s="1414" t="s">
        <v>2191</v>
      </c>
      <c r="C146" s="1414" t="n">
        <v>2024</v>
      </c>
      <c r="D146" s="1415" t="s">
        <v>42</v>
      </c>
      <c r="E146" s="1415" t="s">
        <v>2192</v>
      </c>
      <c r="F146" s="1415" t="s">
        <v>1651</v>
      </c>
      <c r="G146" s="1892" t="n">
        <v>30.2055</v>
      </c>
      <c r="H146" s="1419"/>
      <c r="I146" s="1419" t="n">
        <f aca="false">G146*H146/100</f>
        <v>0</v>
      </c>
      <c r="J146" s="1426" t="n">
        <v>92</v>
      </c>
      <c r="K146" s="1893" t="n">
        <v>10</v>
      </c>
      <c r="L146" s="1426" t="n">
        <f aca="false">J146*K146</f>
        <v>920</v>
      </c>
      <c r="M146" s="1425" t="n">
        <f aca="false">L146*G146</f>
        <v>27789.06</v>
      </c>
      <c r="N146" s="1895" t="n">
        <f aca="false">VEN!T19</f>
        <v>0.473432687929763</v>
      </c>
      <c r="O146" s="1896" t="n">
        <f aca="false">G146*N146</f>
        <v>14.3002710552625</v>
      </c>
      <c r="P146" s="1896" t="n">
        <f aca="false">L146*O146</f>
        <v>13156.2493708415</v>
      </c>
      <c r="Q146" s="1913" t="s">
        <v>3321</v>
      </c>
    </row>
    <row r="147" customFormat="false" ht="16.5" hidden="false" customHeight="true" outlineLevel="0" collapsed="false">
      <c r="A147" s="1891" t="n">
        <v>555</v>
      </c>
      <c r="B147" s="1414" t="s">
        <v>2191</v>
      </c>
      <c r="C147" s="1414" t="n">
        <v>2024</v>
      </c>
      <c r="D147" s="1415" t="s">
        <v>17</v>
      </c>
      <c r="E147" s="1415" t="s">
        <v>2192</v>
      </c>
      <c r="F147" s="1415" t="s">
        <v>1651</v>
      </c>
      <c r="G147" s="1892" t="n">
        <v>25.5571</v>
      </c>
      <c r="H147" s="1419"/>
      <c r="I147" s="1419" t="n">
        <f aca="false">G147*H147/100</f>
        <v>0</v>
      </c>
      <c r="J147" s="1426" t="n">
        <v>42</v>
      </c>
      <c r="K147" s="1893" t="n">
        <v>15</v>
      </c>
      <c r="L147" s="1426" t="n">
        <f aca="false">J147*K147</f>
        <v>630</v>
      </c>
      <c r="M147" s="1425" t="n">
        <f aca="false">L147*G147</f>
        <v>16100.973</v>
      </c>
      <c r="N147" s="1895" t="n">
        <f aca="false">VEN!T50</f>
        <v>0.574558329338418</v>
      </c>
      <c r="O147" s="1896" t="n">
        <f aca="false">G147*N147</f>
        <v>14.6840446787349</v>
      </c>
      <c r="P147" s="1896" t="n">
        <f aca="false">L147*O147</f>
        <v>9250.94814760298</v>
      </c>
      <c r="Q147" s="1913" t="s">
        <v>3321</v>
      </c>
    </row>
    <row r="148" customFormat="false" ht="16.5" hidden="false" customHeight="true" outlineLevel="0" collapsed="false">
      <c r="A148" s="1891" t="n">
        <v>557</v>
      </c>
      <c r="B148" s="1414" t="s">
        <v>2191</v>
      </c>
      <c r="C148" s="1414" t="n">
        <v>2024</v>
      </c>
      <c r="D148" s="1415" t="s">
        <v>17</v>
      </c>
      <c r="E148" s="1415" t="s">
        <v>2192</v>
      </c>
      <c r="F148" s="1415" t="s">
        <v>1651</v>
      </c>
      <c r="G148" s="1892" t="n">
        <v>28.7701</v>
      </c>
      <c r="H148" s="1419"/>
      <c r="I148" s="1419" t="n">
        <f aca="false">G148*H148/100</f>
        <v>0</v>
      </c>
      <c r="J148" s="1426" t="n">
        <v>1</v>
      </c>
      <c r="K148" s="1893" t="n">
        <v>15</v>
      </c>
      <c r="L148" s="1426" t="n">
        <f aca="false">J148*K148</f>
        <v>15</v>
      </c>
      <c r="M148" s="1425" t="n">
        <f aca="false">L148*G148</f>
        <v>431.5515</v>
      </c>
      <c r="N148" s="1895" t="n">
        <f aca="false">VEN!T50</f>
        <v>0.574558329338418</v>
      </c>
      <c r="O148" s="1896" t="n">
        <f aca="false">G148*N148</f>
        <v>16.5301005908992</v>
      </c>
      <c r="P148" s="1896" t="n">
        <f aca="false">L148*O148</f>
        <v>247.951508863488</v>
      </c>
      <c r="Q148" s="1913" t="s">
        <v>3321</v>
      </c>
    </row>
    <row r="149" customFormat="false" ht="16.5" hidden="false" customHeight="true" outlineLevel="0" collapsed="false">
      <c r="A149" s="1891" t="n">
        <v>562</v>
      </c>
      <c r="B149" s="1414" t="s">
        <v>2191</v>
      </c>
      <c r="C149" s="1414" t="n">
        <v>2024</v>
      </c>
      <c r="D149" s="1415" t="s">
        <v>17</v>
      </c>
      <c r="E149" s="1415" t="s">
        <v>2192</v>
      </c>
      <c r="F149" s="1415" t="s">
        <v>1651</v>
      </c>
      <c r="G149" s="1892" t="n">
        <v>25.2688</v>
      </c>
      <c r="H149" s="1419"/>
      <c r="I149" s="1419" t="n">
        <f aca="false">G149*H149/100</f>
        <v>0</v>
      </c>
      <c r="J149" s="1426" t="n">
        <v>33</v>
      </c>
      <c r="K149" s="1893" t="n">
        <v>15</v>
      </c>
      <c r="L149" s="1426" t="n">
        <f aca="false">J149*K149</f>
        <v>495</v>
      </c>
      <c r="M149" s="1425" t="n">
        <f aca="false">L149*G149</f>
        <v>12508.056</v>
      </c>
      <c r="N149" s="1895" t="n">
        <f aca="false">VEN!T50</f>
        <v>0.574558329338418</v>
      </c>
      <c r="O149" s="1896" t="n">
        <f aca="false">G149*N149</f>
        <v>14.5183995123866</v>
      </c>
      <c r="P149" s="1896" t="n">
        <f aca="false">L149*O149</f>
        <v>7186.60775863138</v>
      </c>
      <c r="Q149" s="1913" t="s">
        <v>3321</v>
      </c>
    </row>
    <row r="150" customFormat="false" ht="16.5" hidden="false" customHeight="true" outlineLevel="0" collapsed="false">
      <c r="A150" s="1891" t="n">
        <v>612</v>
      </c>
      <c r="B150" s="1414" t="s">
        <v>2191</v>
      </c>
      <c r="C150" s="1414" t="n">
        <v>2024</v>
      </c>
      <c r="D150" s="1415" t="s">
        <v>52</v>
      </c>
      <c r="E150" s="1415" t="s">
        <v>2192</v>
      </c>
      <c r="F150" s="1415" t="s">
        <v>2199</v>
      </c>
      <c r="G150" s="1892" t="n">
        <v>60.2775</v>
      </c>
      <c r="H150" s="1419"/>
      <c r="I150" s="1419" t="n">
        <f aca="false">G150*H150/100</f>
        <v>0</v>
      </c>
      <c r="J150" s="1426" t="n">
        <v>88</v>
      </c>
      <c r="K150" s="1893" t="n">
        <v>25</v>
      </c>
      <c r="L150" s="1426" t="n">
        <f aca="false">J150*K150</f>
        <v>2200</v>
      </c>
      <c r="M150" s="1425" t="n">
        <f aca="false">L150*G150</f>
        <v>132610.5</v>
      </c>
      <c r="N150" s="1895" t="n">
        <f aca="false">VEN!T5</f>
        <v>0.2656675944334</v>
      </c>
      <c r="O150" s="1896" t="n">
        <f aca="false">G150*N150</f>
        <v>16.0137784234592</v>
      </c>
      <c r="P150" s="1896" t="n">
        <f aca="false">L150*O150</f>
        <v>35230.3125316103</v>
      </c>
      <c r="Q150" s="1913" t="s">
        <v>3321</v>
      </c>
    </row>
    <row r="151" customFormat="false" ht="16.5" hidden="false" customHeight="true" outlineLevel="0" collapsed="false">
      <c r="A151" s="1891" t="n">
        <v>613</v>
      </c>
      <c r="B151" s="1414" t="s">
        <v>2191</v>
      </c>
      <c r="C151" s="1414" t="n">
        <v>2024</v>
      </c>
      <c r="D151" s="1415" t="s">
        <v>52</v>
      </c>
      <c r="E151" s="1415" t="s">
        <v>2192</v>
      </c>
      <c r="F151" s="1415" t="s">
        <v>1651</v>
      </c>
      <c r="G151" s="1892" t="n">
        <v>30.4583</v>
      </c>
      <c r="H151" s="1419"/>
      <c r="I151" s="1419" t="n">
        <f aca="false">G151*H151/100</f>
        <v>0</v>
      </c>
      <c r="J151" s="1426" t="n">
        <v>5</v>
      </c>
      <c r="K151" s="1893" t="n">
        <v>15</v>
      </c>
      <c r="L151" s="1426" t="n">
        <f aca="false">J151*K151</f>
        <v>75</v>
      </c>
      <c r="M151" s="1425" t="n">
        <f aca="false">L151*G151</f>
        <v>2284.3725</v>
      </c>
      <c r="N151" s="1895" t="n">
        <f aca="false">VEN!T7</f>
        <v>0.481893150497586</v>
      </c>
      <c r="O151" s="1896" t="n">
        <f aca="false">G151*N151</f>
        <v>14.6776461458006</v>
      </c>
      <c r="P151" s="1896" t="n">
        <f aca="false">L151*O151</f>
        <v>1100.82346093505</v>
      </c>
      <c r="Q151" s="1913" t="s">
        <v>3321</v>
      </c>
    </row>
    <row r="152" customFormat="false" ht="16.5" hidden="false" customHeight="true" outlineLevel="0" collapsed="false">
      <c r="A152" s="1891" t="n">
        <v>616</v>
      </c>
      <c r="B152" s="1414" t="s">
        <v>2191</v>
      </c>
      <c r="C152" s="1414" t="n">
        <v>2024</v>
      </c>
      <c r="D152" s="1415" t="s">
        <v>42</v>
      </c>
      <c r="E152" s="1415" t="s">
        <v>2192</v>
      </c>
      <c r="F152" s="1415" t="s">
        <v>1651</v>
      </c>
      <c r="G152" s="1892" t="n">
        <v>35.3182</v>
      </c>
      <c r="H152" s="1419"/>
      <c r="I152" s="1419" t="n">
        <f aca="false">G152*H152/100</f>
        <v>0</v>
      </c>
      <c r="J152" s="1426" t="n">
        <v>74</v>
      </c>
      <c r="K152" s="1893" t="n">
        <v>15</v>
      </c>
      <c r="L152" s="1426" t="n">
        <f aca="false">J152*K152</f>
        <v>1110</v>
      </c>
      <c r="M152" s="1425" t="n">
        <f aca="false">L152*G152</f>
        <v>39203.202</v>
      </c>
      <c r="N152" s="1895" t="n">
        <f aca="false">VEN!T19</f>
        <v>0.473432687929763</v>
      </c>
      <c r="O152" s="1896" t="n">
        <f aca="false">G152*N152</f>
        <v>16.7207903588409</v>
      </c>
      <c r="P152" s="1896" t="n">
        <f aca="false">L152*O152</f>
        <v>18560.0772983135</v>
      </c>
      <c r="Q152" s="1913" t="s">
        <v>3321</v>
      </c>
    </row>
    <row r="153" customFormat="false" ht="16.5" hidden="false" customHeight="true" outlineLevel="0" collapsed="false">
      <c r="A153" s="1891" t="n">
        <v>618</v>
      </c>
      <c r="B153" s="1414" t="s">
        <v>2191</v>
      </c>
      <c r="C153" s="1414" t="n">
        <v>2024</v>
      </c>
      <c r="D153" s="1415" t="s">
        <v>52</v>
      </c>
      <c r="E153" s="1415" t="s">
        <v>2192</v>
      </c>
      <c r="F153" s="1415" t="s">
        <v>1651</v>
      </c>
      <c r="G153" s="1892" t="n">
        <v>31.7157</v>
      </c>
      <c r="H153" s="1419"/>
      <c r="I153" s="1419" t="n">
        <f aca="false">G153*H153/100</f>
        <v>0</v>
      </c>
      <c r="J153" s="1426" t="n">
        <v>125</v>
      </c>
      <c r="K153" s="1893" t="n">
        <v>10</v>
      </c>
      <c r="L153" s="1426" t="n">
        <f aca="false">J153*K153</f>
        <v>1250</v>
      </c>
      <c r="M153" s="1425" t="n">
        <f aca="false">L153*G153</f>
        <v>39644.625</v>
      </c>
      <c r="N153" s="1895" t="n">
        <f aca="false">VEN!T7</f>
        <v>0.481893150497586</v>
      </c>
      <c r="O153" s="1896" t="n">
        <f aca="false">G153*N153</f>
        <v>15.2835785932363</v>
      </c>
      <c r="P153" s="1896" t="n">
        <f aca="false">L153*O153</f>
        <v>19104.4732415454</v>
      </c>
      <c r="Q153" s="1913" t="s">
        <v>3321</v>
      </c>
    </row>
    <row r="154" customFormat="false" ht="16.5" hidden="false" customHeight="true" outlineLevel="0" collapsed="false">
      <c r="A154" s="1891" t="n">
        <v>619</v>
      </c>
      <c r="B154" s="1414" t="s">
        <v>2191</v>
      </c>
      <c r="C154" s="1414" t="n">
        <v>2024</v>
      </c>
      <c r="D154" s="1415" t="s">
        <v>52</v>
      </c>
      <c r="E154" s="1415" t="s">
        <v>2192</v>
      </c>
      <c r="F154" s="1415" t="s">
        <v>1651</v>
      </c>
      <c r="G154" s="1892" t="n">
        <v>31.7157</v>
      </c>
      <c r="H154" s="1419"/>
      <c r="I154" s="1419" t="n">
        <f aca="false">G154*H154/100</f>
        <v>0</v>
      </c>
      <c r="J154" s="1426" t="n">
        <v>41</v>
      </c>
      <c r="K154" s="1893" t="n">
        <v>10</v>
      </c>
      <c r="L154" s="1426" t="n">
        <f aca="false">J154*K154</f>
        <v>410</v>
      </c>
      <c r="M154" s="1425" t="n">
        <f aca="false">L154*G154</f>
        <v>13003.437</v>
      </c>
      <c r="N154" s="1895" t="n">
        <f aca="false">VEN!T7</f>
        <v>0.481893150497586</v>
      </c>
      <c r="O154" s="1896" t="n">
        <f aca="false">G154*N154</f>
        <v>15.2835785932363</v>
      </c>
      <c r="P154" s="1896" t="n">
        <f aca="false">L154*O154</f>
        <v>6266.26722322688</v>
      </c>
      <c r="Q154" s="1913" t="s">
        <v>3321</v>
      </c>
    </row>
    <row r="155" customFormat="false" ht="16.5" hidden="false" customHeight="true" outlineLevel="0" collapsed="false">
      <c r="A155" s="1891" t="n">
        <v>644</v>
      </c>
      <c r="B155" s="1414" t="s">
        <v>2191</v>
      </c>
      <c r="C155" s="1414" t="n">
        <v>2024</v>
      </c>
      <c r="D155" s="1415" t="s">
        <v>11</v>
      </c>
      <c r="E155" s="1415" t="s">
        <v>2192</v>
      </c>
      <c r="F155" s="1415" t="s">
        <v>1651</v>
      </c>
      <c r="G155" s="1892" t="n">
        <v>11.7389</v>
      </c>
      <c r="H155" s="1419"/>
      <c r="I155" s="1419" t="n">
        <f aca="false">G155*H155/100</f>
        <v>0</v>
      </c>
      <c r="J155" s="1426" t="n">
        <v>24</v>
      </c>
      <c r="K155" s="1893" t="n">
        <v>15</v>
      </c>
      <c r="L155" s="1426" t="n">
        <f aca="false">J155*K155</f>
        <v>360</v>
      </c>
      <c r="M155" s="1425" t="n">
        <f aca="false">L155*G155</f>
        <v>4226.004</v>
      </c>
      <c r="N155" s="1895" t="n">
        <f aca="false">VEN!T27</f>
        <v>3.81534727870092</v>
      </c>
      <c r="O155" s="1896" t="n">
        <f aca="false">G155*N155</f>
        <v>44.7879801699422</v>
      </c>
      <c r="P155" s="1896" t="n">
        <f aca="false">L155*O155</f>
        <v>16123.6728611792</v>
      </c>
      <c r="Q155" s="1913" t="s">
        <v>3321</v>
      </c>
    </row>
    <row r="156" customFormat="false" ht="16.5" hidden="false" customHeight="true" outlineLevel="0" collapsed="false">
      <c r="A156" s="1891" t="n">
        <v>660</v>
      </c>
      <c r="B156" s="1414" t="s">
        <v>2191</v>
      </c>
      <c r="C156" s="1414" t="n">
        <v>2024</v>
      </c>
      <c r="D156" s="1415" t="s">
        <v>52</v>
      </c>
      <c r="E156" s="1415" t="s">
        <v>2192</v>
      </c>
      <c r="F156" s="1415" t="s">
        <v>1651</v>
      </c>
      <c r="G156" s="1892" t="n">
        <v>28.1595</v>
      </c>
      <c r="H156" s="1419"/>
      <c r="I156" s="1419" t="n">
        <f aca="false">G156*H156/100</f>
        <v>0</v>
      </c>
      <c r="J156" s="1426" t="n">
        <v>1</v>
      </c>
      <c r="K156" s="1893" t="n">
        <v>10</v>
      </c>
      <c r="L156" s="1426" t="n">
        <f aca="false">J156*K156</f>
        <v>10</v>
      </c>
      <c r="M156" s="1425" t="n">
        <f aca="false">L156*G156</f>
        <v>281.595</v>
      </c>
      <c r="N156" s="1895" t="n">
        <f aca="false">VEN!T7</f>
        <v>0.481893150497586</v>
      </c>
      <c r="O156" s="1896" t="n">
        <f aca="false">G156*N156</f>
        <v>13.5698701714368</v>
      </c>
      <c r="P156" s="1896" t="n">
        <f aca="false">L156*O156</f>
        <v>135.698701714368</v>
      </c>
      <c r="Q156" s="1913" t="s">
        <v>3321</v>
      </c>
    </row>
    <row r="157" customFormat="false" ht="16.5" hidden="false" customHeight="true" outlineLevel="0" collapsed="false">
      <c r="A157" s="1891" t="n">
        <v>672</v>
      </c>
      <c r="B157" s="1414" t="s">
        <v>2191</v>
      </c>
      <c r="C157" s="1414" t="n">
        <v>2024</v>
      </c>
      <c r="D157" s="1415" t="s">
        <v>52</v>
      </c>
      <c r="E157" s="1415" t="s">
        <v>2192</v>
      </c>
      <c r="F157" s="1415" t="s">
        <v>1651</v>
      </c>
      <c r="G157" s="1892" t="n">
        <v>28.8909</v>
      </c>
      <c r="H157" s="1419"/>
      <c r="I157" s="1419" t="n">
        <f aca="false">G157*H157/100</f>
        <v>0</v>
      </c>
      <c r="J157" s="1426" t="n">
        <v>60</v>
      </c>
      <c r="K157" s="1893" t="n">
        <v>15</v>
      </c>
      <c r="L157" s="1426" t="n">
        <f aca="false">J157*K157</f>
        <v>900</v>
      </c>
      <c r="M157" s="1425" t="n">
        <f aca="false">L157*G157</f>
        <v>26001.81</v>
      </c>
      <c r="N157" s="1895" t="n">
        <f aca="false">VEN!T7</f>
        <v>0.481893150497586</v>
      </c>
      <c r="O157" s="1896" t="n">
        <f aca="false">G157*N157</f>
        <v>13.9223268217107</v>
      </c>
      <c r="P157" s="1896" t="n">
        <f aca="false">L157*O157</f>
        <v>12530.0941395396</v>
      </c>
      <c r="Q157" s="1913" t="s">
        <v>3321</v>
      </c>
    </row>
    <row r="158" customFormat="false" ht="16.5" hidden="false" customHeight="true" outlineLevel="0" collapsed="false">
      <c r="A158" s="1891" t="n">
        <v>673</v>
      </c>
      <c r="B158" s="1414" t="s">
        <v>2191</v>
      </c>
      <c r="C158" s="1414" t="n">
        <v>2024</v>
      </c>
      <c r="D158" s="1415" t="s">
        <v>52</v>
      </c>
      <c r="E158" s="1415" t="s">
        <v>2192</v>
      </c>
      <c r="F158" s="1415" t="s">
        <v>1651</v>
      </c>
      <c r="G158" s="1892" t="n">
        <v>28.8909</v>
      </c>
      <c r="H158" s="1419"/>
      <c r="I158" s="1419" t="n">
        <f aca="false">G158*H158/100</f>
        <v>0</v>
      </c>
      <c r="J158" s="1426" t="n">
        <v>60</v>
      </c>
      <c r="K158" s="1893" t="n">
        <v>15</v>
      </c>
      <c r="L158" s="1426" t="n">
        <f aca="false">J158*K158</f>
        <v>900</v>
      </c>
      <c r="M158" s="1425" t="n">
        <f aca="false">L158*G158</f>
        <v>26001.81</v>
      </c>
      <c r="N158" s="1895" t="n">
        <f aca="false">VEN!T7</f>
        <v>0.481893150497586</v>
      </c>
      <c r="O158" s="1896" t="n">
        <f aca="false">G158*N158</f>
        <v>13.9223268217107</v>
      </c>
      <c r="P158" s="1896" t="n">
        <f aca="false">L158*O158</f>
        <v>12530.0941395396</v>
      </c>
      <c r="Q158" s="1913" t="s">
        <v>3321</v>
      </c>
    </row>
    <row r="159" customFormat="false" ht="16.5" hidden="false" customHeight="true" outlineLevel="0" collapsed="false">
      <c r="A159" s="1891" t="n">
        <v>682</v>
      </c>
      <c r="B159" s="1414" t="s">
        <v>2191</v>
      </c>
      <c r="C159" s="1414" t="n">
        <v>2024</v>
      </c>
      <c r="D159" s="1415" t="s">
        <v>52</v>
      </c>
      <c r="E159" s="1415" t="s">
        <v>2192</v>
      </c>
      <c r="F159" s="1415" t="s">
        <v>1651</v>
      </c>
      <c r="G159" s="1892" t="n">
        <v>28.5104</v>
      </c>
      <c r="H159" s="1419"/>
      <c r="I159" s="1419" t="n">
        <f aca="false">G159*H159/100</f>
        <v>0</v>
      </c>
      <c r="J159" s="1426" t="n">
        <v>69</v>
      </c>
      <c r="K159" s="1893" t="n">
        <v>15</v>
      </c>
      <c r="L159" s="1426" t="n">
        <f aca="false">J159*K159</f>
        <v>1035</v>
      </c>
      <c r="M159" s="1425" t="n">
        <f aca="false">L159*G159</f>
        <v>29508.264</v>
      </c>
      <c r="N159" s="1895" t="n">
        <f aca="false">VEN!T7</f>
        <v>0.481893150497586</v>
      </c>
      <c r="O159" s="1896" t="n">
        <f aca="false">G159*N159</f>
        <v>13.7389664779464</v>
      </c>
      <c r="P159" s="1896" t="n">
        <f aca="false">L159*O159</f>
        <v>14219.8303046745</v>
      </c>
      <c r="Q159" s="1913" t="s">
        <v>3321</v>
      </c>
    </row>
    <row r="160" customFormat="false" ht="16.5" hidden="false" customHeight="true" outlineLevel="0" collapsed="false">
      <c r="A160" s="1891" t="n">
        <v>697</v>
      </c>
      <c r="B160" s="1414" t="s">
        <v>2191</v>
      </c>
      <c r="C160" s="1414" t="n">
        <v>2024</v>
      </c>
      <c r="D160" s="1415" t="s">
        <v>10</v>
      </c>
      <c r="E160" s="1415" t="s">
        <v>2192</v>
      </c>
      <c r="F160" s="1415" t="s">
        <v>1651</v>
      </c>
      <c r="G160" s="1892" t="n">
        <v>26.9438</v>
      </c>
      <c r="H160" s="1419"/>
      <c r="I160" s="1419" t="n">
        <f aca="false">G160*H160/100</f>
        <v>0</v>
      </c>
      <c r="J160" s="1426" t="n">
        <v>82</v>
      </c>
      <c r="K160" s="1893" t="n">
        <v>15</v>
      </c>
      <c r="L160" s="1426" t="n">
        <f aca="false">J160*K160</f>
        <v>1230</v>
      </c>
      <c r="M160" s="1425" t="n">
        <f aca="false">L160*G160</f>
        <v>33140.874</v>
      </c>
      <c r="N160" s="1895" t="n">
        <f aca="false">VEN!T24</f>
        <v>0.348570622974751</v>
      </c>
      <c r="O160" s="1896" t="n">
        <f aca="false">G160*N160</f>
        <v>9.39181715130711</v>
      </c>
      <c r="P160" s="1896" t="n">
        <f aca="false">L160*O160</f>
        <v>11551.9350961077</v>
      </c>
      <c r="Q160" s="1913" t="s">
        <v>3321</v>
      </c>
    </row>
    <row r="161" customFormat="false" ht="16.5" hidden="false" customHeight="true" outlineLevel="0" collapsed="false">
      <c r="A161" s="1891" t="n">
        <v>1</v>
      </c>
      <c r="B161" s="1414" t="s">
        <v>2191</v>
      </c>
      <c r="C161" s="1414" t="n">
        <v>2025</v>
      </c>
      <c r="D161" s="1415" t="s">
        <v>15</v>
      </c>
      <c r="E161" s="1415" t="s">
        <v>2192</v>
      </c>
      <c r="F161" s="1415" t="s">
        <v>1652</v>
      </c>
      <c r="G161" s="1892" t="n">
        <v>37.788</v>
      </c>
      <c r="H161" s="1419"/>
      <c r="I161" s="1419" t="n">
        <f aca="false">G161*H161/100</f>
        <v>0</v>
      </c>
      <c r="J161" s="1426" t="n">
        <v>796</v>
      </c>
      <c r="K161" s="1893" t="n">
        <v>1</v>
      </c>
      <c r="L161" s="1426" t="n">
        <f aca="false">J161*K161</f>
        <v>796</v>
      </c>
      <c r="M161" s="1425" t="n">
        <f aca="false">L161*G161</f>
        <v>30079.248</v>
      </c>
      <c r="N161" s="1895" t="n">
        <f aca="false">VEN!T43</f>
        <v>0.495625233342374</v>
      </c>
      <c r="O161" s="1896" t="n">
        <f aca="false">G161*N161</f>
        <v>18.7286863175416</v>
      </c>
      <c r="P161" s="1896" t="n">
        <f aca="false">L161*O161</f>
        <v>14908.0343087631</v>
      </c>
      <c r="Q161" s="1913" t="s">
        <v>3322</v>
      </c>
    </row>
    <row r="162" customFormat="false" ht="16.5" hidden="false" customHeight="true" outlineLevel="0" collapsed="false">
      <c r="A162" s="1891" t="n">
        <v>2</v>
      </c>
      <c r="B162" s="1414" t="s">
        <v>2191</v>
      </c>
      <c r="C162" s="1414" t="n">
        <v>2025</v>
      </c>
      <c r="D162" s="1415" t="s">
        <v>20</v>
      </c>
      <c r="E162" s="1415" t="s">
        <v>2192</v>
      </c>
      <c r="F162" s="1415" t="s">
        <v>1652</v>
      </c>
      <c r="G162" s="1892" t="n">
        <v>38.29</v>
      </c>
      <c r="H162" s="1914"/>
      <c r="I162" s="1419" t="n">
        <f aca="false">G162*H162/100</f>
        <v>0</v>
      </c>
      <c r="J162" s="1426" t="n">
        <v>8302</v>
      </c>
      <c r="K162" s="1915" t="n">
        <v>1</v>
      </c>
      <c r="L162" s="1426" t="n">
        <f aca="false">J162*K162</f>
        <v>8302</v>
      </c>
      <c r="M162" s="1425" t="n">
        <f aca="false">L162*G162</f>
        <v>317883.58</v>
      </c>
      <c r="N162" s="1895" t="n">
        <f aca="false">VEN!T60</f>
        <v>0.295092084896197</v>
      </c>
      <c r="O162" s="1896" t="n">
        <f aca="false">G162*N162</f>
        <v>11.2990759306754</v>
      </c>
      <c r="P162" s="1896" t="n">
        <f aca="false">L162*O162</f>
        <v>93804.9283764669</v>
      </c>
      <c r="Q162" s="1916" t="s">
        <v>3322</v>
      </c>
    </row>
    <row r="163" customFormat="false" ht="16.5" hidden="false" customHeight="true" outlineLevel="0" collapsed="false">
      <c r="A163" s="1891" t="n">
        <v>3</v>
      </c>
      <c r="B163" s="1414" t="s">
        <v>2191</v>
      </c>
      <c r="C163" s="1414" t="n">
        <v>2025</v>
      </c>
      <c r="D163" s="1415" t="s">
        <v>17</v>
      </c>
      <c r="E163" s="1415" t="s">
        <v>2192</v>
      </c>
      <c r="F163" s="1415" t="s">
        <v>1651</v>
      </c>
      <c r="G163" s="1892" t="n">
        <v>25.796</v>
      </c>
      <c r="H163" s="1914"/>
      <c r="I163" s="1419" t="n">
        <f aca="false">G163*H163/100</f>
        <v>0</v>
      </c>
      <c r="J163" s="1426" t="n">
        <v>806</v>
      </c>
      <c r="K163" s="1915" t="n">
        <v>1</v>
      </c>
      <c r="L163" s="1426" t="n">
        <f aca="false">J163*K163</f>
        <v>806</v>
      </c>
      <c r="M163" s="1425" t="n">
        <f aca="false">L163*G163</f>
        <v>20791.576</v>
      </c>
      <c r="N163" s="1895" t="n">
        <f aca="false">VEN!T50</f>
        <v>0.574558329338418</v>
      </c>
      <c r="O163" s="1896" t="n">
        <f aca="false">G163*N163</f>
        <v>14.8213066636138</v>
      </c>
      <c r="P163" s="1896" t="n">
        <f aca="false">L163*O163</f>
        <v>11945.9731708728</v>
      </c>
      <c r="Q163" s="1916" t="s">
        <v>3322</v>
      </c>
    </row>
    <row r="164" customFormat="false" ht="16.5" hidden="false" customHeight="true" outlineLevel="0" collapsed="false">
      <c r="A164" s="1891" t="n">
        <v>4</v>
      </c>
      <c r="B164" s="1414" t="s">
        <v>2191</v>
      </c>
      <c r="C164" s="1414" t="n">
        <v>2025</v>
      </c>
      <c r="D164" s="1415" t="s">
        <v>16</v>
      </c>
      <c r="E164" s="1415" t="s">
        <v>2192</v>
      </c>
      <c r="F164" s="1415" t="s">
        <v>1651</v>
      </c>
      <c r="G164" s="1892" t="n">
        <v>22.5901</v>
      </c>
      <c r="H164" s="1914"/>
      <c r="I164" s="1419" t="n">
        <f aca="false">G164*H164/100</f>
        <v>0</v>
      </c>
      <c r="J164" s="1426" t="n">
        <v>1748</v>
      </c>
      <c r="K164" s="1915" t="n">
        <v>1</v>
      </c>
      <c r="L164" s="1426" t="n">
        <f aca="false">J164*K164</f>
        <v>1748</v>
      </c>
      <c r="M164" s="1425" t="n">
        <f aca="false">L164*G164</f>
        <v>39487.4948</v>
      </c>
      <c r="N164" s="1895" t="n">
        <f aca="false">VEN!T45</f>
        <v>0.816441240240529</v>
      </c>
      <c r="O164" s="1896" t="n">
        <f aca="false">G164*N164</f>
        <v>18.4434892611576</v>
      </c>
      <c r="P164" s="1896" t="n">
        <f aca="false">L164*O164</f>
        <v>32239.2192285034</v>
      </c>
      <c r="Q164" s="1916" t="s">
        <v>3322</v>
      </c>
    </row>
    <row r="165" customFormat="false" ht="16.5" hidden="false" customHeight="true" outlineLevel="0" collapsed="false">
      <c r="A165" s="1891" t="n">
        <v>5</v>
      </c>
      <c r="B165" s="1414" t="s">
        <v>2191</v>
      </c>
      <c r="C165" s="1414" t="n">
        <v>2025</v>
      </c>
      <c r="D165" s="1415" t="s">
        <v>19</v>
      </c>
      <c r="E165" s="1415" t="s">
        <v>2192</v>
      </c>
      <c r="F165" s="1415" t="s">
        <v>1651</v>
      </c>
      <c r="G165" s="1892" t="n">
        <v>22.3695</v>
      </c>
      <c r="H165" s="1914"/>
      <c r="I165" s="1419" t="n">
        <f aca="false">G165*H165/100</f>
        <v>0</v>
      </c>
      <c r="J165" s="1426" t="n">
        <v>1207</v>
      </c>
      <c r="K165" s="1915" t="n">
        <v>1</v>
      </c>
      <c r="L165" s="1426" t="n">
        <f aca="false">J165*K165</f>
        <v>1207</v>
      </c>
      <c r="M165" s="1425" t="n">
        <f aca="false">L165*G165</f>
        <v>26999.9865</v>
      </c>
      <c r="N165" s="1895" t="n">
        <f aca="false">VEN!T56</f>
        <v>0.882207693684022</v>
      </c>
      <c r="O165" s="1896" t="n">
        <f aca="false">G165*N165</f>
        <v>19.7345450038647</v>
      </c>
      <c r="P165" s="1896" t="n">
        <f aca="false">L165*O165</f>
        <v>23819.5958196647</v>
      </c>
      <c r="Q165" s="1916" t="s">
        <v>3322</v>
      </c>
    </row>
    <row r="166" customFormat="false" ht="16.5" hidden="false" customHeight="true" outlineLevel="0" collapsed="false">
      <c r="A166" s="1891" t="n">
        <v>6</v>
      </c>
      <c r="B166" s="1414" t="s">
        <v>2191</v>
      </c>
      <c r="C166" s="1414" t="n">
        <v>2025</v>
      </c>
      <c r="D166" s="1415" t="s">
        <v>18</v>
      </c>
      <c r="E166" s="1415" t="s">
        <v>2192</v>
      </c>
      <c r="F166" s="1415" t="s">
        <v>1651</v>
      </c>
      <c r="G166" s="1892" t="n">
        <v>25.71</v>
      </c>
      <c r="H166" s="1914"/>
      <c r="I166" s="1419" t="n">
        <f aca="false">G166*H166/100</f>
        <v>0</v>
      </c>
      <c r="J166" s="1426" t="n">
        <v>642</v>
      </c>
      <c r="K166" s="1915" t="n">
        <v>1</v>
      </c>
      <c r="L166" s="1426" t="n">
        <f aca="false">J166*K166</f>
        <v>642</v>
      </c>
      <c r="M166" s="1425" t="n">
        <f aca="false">L166*G166</f>
        <v>16505.82</v>
      </c>
      <c r="N166" s="1895" t="n">
        <f aca="false">VEN!T53</f>
        <v>0.639964122099511</v>
      </c>
      <c r="O166" s="1896" t="n">
        <f aca="false">G166*N166</f>
        <v>16.4534775791784</v>
      </c>
      <c r="P166" s="1896" t="n">
        <f aca="false">L166*O166</f>
        <v>10563.1326058325</v>
      </c>
      <c r="Q166" s="1916" t="s">
        <v>3322</v>
      </c>
    </row>
    <row r="167" customFormat="false" ht="16.5" hidden="false" customHeight="true" outlineLevel="0" collapsed="false">
      <c r="A167" s="1891" t="n">
        <v>7</v>
      </c>
      <c r="B167" s="1414" t="s">
        <v>2191</v>
      </c>
      <c r="C167" s="1414" t="n">
        <v>2025</v>
      </c>
      <c r="D167" s="1415" t="s">
        <v>11</v>
      </c>
      <c r="E167" s="1415" t="s">
        <v>2192</v>
      </c>
      <c r="F167" s="1415" t="s">
        <v>1651</v>
      </c>
      <c r="G167" s="1892" t="n">
        <v>12.7461</v>
      </c>
      <c r="H167" s="1914"/>
      <c r="I167" s="1419" t="n">
        <f aca="false">G167*H167/100</f>
        <v>0</v>
      </c>
      <c r="J167" s="1426" t="n">
        <v>8910</v>
      </c>
      <c r="K167" s="1915" t="n">
        <v>1</v>
      </c>
      <c r="L167" s="1426" t="n">
        <f aca="false">J167*K167</f>
        <v>8910</v>
      </c>
      <c r="M167" s="1425" t="n">
        <f aca="false">L167*G167</f>
        <v>113567.751</v>
      </c>
      <c r="N167" s="1895" t="n">
        <f aca="false">VEN!T27</f>
        <v>3.81534727870092</v>
      </c>
      <c r="O167" s="1896" t="n">
        <f aca="false">G167*N167</f>
        <v>48.6307979490498</v>
      </c>
      <c r="P167" s="1896" t="n">
        <f aca="false">L167*O167</f>
        <v>433300.409726034</v>
      </c>
      <c r="Q167" s="1916" t="s">
        <v>3322</v>
      </c>
    </row>
    <row r="168" customFormat="false" ht="16.5" hidden="false" customHeight="true" outlineLevel="0" collapsed="false">
      <c r="A168" s="1891" t="n">
        <v>8</v>
      </c>
      <c r="B168" s="1414" t="s">
        <v>2191</v>
      </c>
      <c r="C168" s="1414" t="n">
        <v>2025</v>
      </c>
      <c r="D168" s="1415" t="s">
        <v>11</v>
      </c>
      <c r="E168" s="1415" t="s">
        <v>2192</v>
      </c>
      <c r="F168" s="1415" t="s">
        <v>1652</v>
      </c>
      <c r="G168" s="1892" t="n">
        <v>19.9445</v>
      </c>
      <c r="H168" s="1914"/>
      <c r="I168" s="1419" t="n">
        <f aca="false">G168*H168/100</f>
        <v>0</v>
      </c>
      <c r="J168" s="1426" t="n">
        <v>361</v>
      </c>
      <c r="K168" s="1915" t="n">
        <v>1</v>
      </c>
      <c r="L168" s="1426" t="n">
        <f aca="false">J168*K168</f>
        <v>361</v>
      </c>
      <c r="M168" s="1425" t="n">
        <f aca="false">L168*G168</f>
        <v>7199.9645</v>
      </c>
      <c r="N168" s="1895" t="n">
        <f aca="false">VEN!T28</f>
        <v>3.25</v>
      </c>
      <c r="O168" s="1896" t="n">
        <f aca="false">G168*N168</f>
        <v>64.819625</v>
      </c>
      <c r="P168" s="1896" t="n">
        <f aca="false">L168*O168</f>
        <v>23399.884625</v>
      </c>
      <c r="Q168" s="1916" t="s">
        <v>3322</v>
      </c>
    </row>
    <row r="169" customFormat="false" ht="16.5" hidden="false" customHeight="true" outlineLevel="0" collapsed="false">
      <c r="A169" s="1891" t="n">
        <v>75</v>
      </c>
      <c r="B169" s="1414" t="s">
        <v>2191</v>
      </c>
      <c r="C169" s="1414" t="n">
        <v>2025</v>
      </c>
      <c r="D169" s="1415" t="s">
        <v>10</v>
      </c>
      <c r="E169" s="1415" t="s">
        <v>2192</v>
      </c>
      <c r="F169" s="1415" t="s">
        <v>1652</v>
      </c>
      <c r="G169" s="1892" t="n">
        <v>38.141</v>
      </c>
      <c r="H169" s="1914"/>
      <c r="I169" s="1419" t="n">
        <f aca="false">G169*H169/100</f>
        <v>0</v>
      </c>
      <c r="J169" s="1426" t="n">
        <v>56</v>
      </c>
      <c r="K169" s="1915" t="n">
        <v>15</v>
      </c>
      <c r="L169" s="1426" t="n">
        <f aca="false">J169*K169</f>
        <v>840</v>
      </c>
      <c r="M169" s="1425" t="n">
        <f aca="false">L169*G169</f>
        <v>32038.44</v>
      </c>
      <c r="N169" s="1895" t="n">
        <f aca="false">VEN!T25</f>
        <v>0.29360427564008</v>
      </c>
      <c r="O169" s="1896" t="n">
        <f aca="false">G169*N169</f>
        <v>11.1983606771883</v>
      </c>
      <c r="P169" s="1896" t="n">
        <f aca="false">L169*O169</f>
        <v>9406.62296883817</v>
      </c>
      <c r="Q169" s="1916" t="s">
        <v>3321</v>
      </c>
    </row>
    <row r="170" customFormat="false" ht="16.5" hidden="false" customHeight="true" outlineLevel="0" collapsed="false">
      <c r="A170" s="1891" t="n">
        <v>170</v>
      </c>
      <c r="B170" s="1414" t="s">
        <v>2191</v>
      </c>
      <c r="C170" s="1414" t="n">
        <v>2025</v>
      </c>
      <c r="D170" s="1415" t="s">
        <v>10</v>
      </c>
      <c r="E170" s="1415" t="s">
        <v>2192</v>
      </c>
      <c r="F170" s="1415" t="s">
        <v>1652</v>
      </c>
      <c r="G170" s="1892" t="n">
        <v>38.6008</v>
      </c>
      <c r="H170" s="1914"/>
      <c r="I170" s="1419" t="n">
        <f aca="false">G170*H170/100</f>
        <v>0</v>
      </c>
      <c r="J170" s="1426" t="n">
        <v>95</v>
      </c>
      <c r="K170" s="1915" t="n">
        <v>15</v>
      </c>
      <c r="L170" s="1426" t="n">
        <f aca="false">J170*K170</f>
        <v>1425</v>
      </c>
      <c r="M170" s="1425" t="n">
        <f aca="false">L170*G170</f>
        <v>55006.14</v>
      </c>
      <c r="N170" s="1895" t="n">
        <f aca="false">VEN!T25</f>
        <v>0.29360427564008</v>
      </c>
      <c r="O170" s="1896" t="n">
        <f aca="false">G170*N170</f>
        <v>11.3333599231276</v>
      </c>
      <c r="P170" s="1896" t="n">
        <f aca="false">L170*O170</f>
        <v>16150.0378904568</v>
      </c>
      <c r="Q170" s="1916" t="s">
        <v>3321</v>
      </c>
    </row>
    <row r="171" customFormat="false" ht="16.5" hidden="false" customHeight="true" outlineLevel="0" collapsed="false">
      <c r="A171" s="1917"/>
      <c r="B171" s="859"/>
      <c r="C171" s="859"/>
      <c r="D171" s="860"/>
      <c r="E171" s="860"/>
      <c r="F171" s="860"/>
      <c r="G171" s="863"/>
      <c r="H171" s="863"/>
      <c r="I171" s="864"/>
      <c r="J171" s="866"/>
      <c r="K171" s="1918"/>
      <c r="L171" s="866"/>
      <c r="M171" s="1448"/>
      <c r="N171" s="1448"/>
      <c r="O171" s="1448"/>
      <c r="P171" s="1448"/>
      <c r="Q171" s="1919"/>
    </row>
    <row r="172" customFormat="false" ht="16.5" hidden="false" customHeight="true" outlineLevel="0" collapsed="false">
      <c r="A172" s="1920"/>
      <c r="B172" s="1921"/>
      <c r="C172" s="1921"/>
      <c r="D172" s="1922"/>
      <c r="E172" s="1922"/>
      <c r="F172" s="1922"/>
      <c r="G172" s="1923"/>
      <c r="H172" s="1923"/>
      <c r="I172" s="1923"/>
      <c r="J172" s="1924" t="n">
        <f aca="false">SUBTOTAL(109,J3:J171)</f>
        <v>438715.5</v>
      </c>
      <c r="K172" s="1923"/>
      <c r="L172" s="1924" t="n">
        <f aca="false">SUBTOTAL(109,L3:L171)</f>
        <v>474092.5</v>
      </c>
      <c r="M172" s="1925" t="n">
        <f aca="false">SUBTOTAL(109,M3:M171)</f>
        <v>26694135.1717</v>
      </c>
      <c r="N172" s="1925"/>
      <c r="O172" s="1925"/>
      <c r="P172" s="1926" t="n">
        <f aca="false">SUBTOTAL(109,P3:P171)</f>
        <v>5581494.65480102</v>
      </c>
      <c r="Q172" s="1923"/>
    </row>
    <row r="173" customFormat="false" ht="16.5" hidden="false" customHeight="true" outlineLevel="0" collapsed="false">
      <c r="A173" s="108"/>
      <c r="B173" s="108"/>
      <c r="C173" s="108"/>
      <c r="D173" s="153"/>
      <c r="E173" s="153"/>
      <c r="F173" s="153"/>
      <c r="J173" s="689"/>
      <c r="L173" s="689"/>
      <c r="M173" s="1927"/>
      <c r="N173" s="1927"/>
      <c r="O173" s="1927"/>
      <c r="P173" s="213"/>
    </row>
    <row r="174" customFormat="false" ht="14.25" hidden="false" customHeight="false" outlineLevel="0" collapsed="false">
      <c r="A174" s="108"/>
      <c r="B174" s="108"/>
      <c r="C174" s="425" t="s">
        <v>3350</v>
      </c>
      <c r="D174" s="153"/>
      <c r="E174" s="153"/>
      <c r="F174" s="153"/>
      <c r="J174" s="689"/>
      <c r="L174" s="689"/>
      <c r="M174" s="689"/>
      <c r="N174" s="689"/>
      <c r="O174" s="689"/>
      <c r="P174" s="689"/>
    </row>
    <row r="175" customFormat="false" ht="14.25" hidden="false" customHeight="false" outlineLevel="0" collapsed="false">
      <c r="A175" s="108"/>
      <c r="B175" s="479"/>
      <c r="C175" s="1928" t="n">
        <f aca="false">SUMIFS(P3:P171,D3:D171,"Marandu")</f>
        <v>170860.137213681</v>
      </c>
      <c r="D175" s="153"/>
      <c r="E175" s="153"/>
      <c r="F175" s="153"/>
      <c r="J175" s="689"/>
      <c r="L175" s="689"/>
      <c r="M175" s="689"/>
      <c r="N175" s="689"/>
      <c r="O175" s="689"/>
      <c r="P175" s="689"/>
    </row>
    <row r="176" customFormat="false" ht="14.25" hidden="false" customHeight="false" outlineLevel="0" collapsed="false">
      <c r="A176" s="1929" t="s">
        <v>5</v>
      </c>
      <c r="B176" s="479"/>
      <c r="C176" s="1928" t="n">
        <f aca="false">SUMIFS(P3:P171,D3:D171,"Piata")</f>
        <v>163600.042408216</v>
      </c>
      <c r="D176" s="153"/>
      <c r="E176" s="153"/>
      <c r="F176" s="153"/>
      <c r="J176" s="689"/>
      <c r="L176" s="689"/>
      <c r="M176" s="689"/>
      <c r="N176" s="689"/>
      <c r="O176" s="689"/>
      <c r="P176" s="689"/>
    </row>
    <row r="177" customFormat="false" ht="14.25" hidden="false" customHeight="false" outlineLevel="0" collapsed="false">
      <c r="A177" s="1929" t="s">
        <v>6</v>
      </c>
      <c r="B177" s="479"/>
      <c r="C177" s="1928" t="n">
        <f aca="false">SUMIFS(P3:P171,D3:D171,"Decumbens")</f>
        <v>164240.310470481</v>
      </c>
      <c r="D177" s="153"/>
      <c r="E177" s="153"/>
      <c r="F177" s="153"/>
      <c r="J177" s="689"/>
      <c r="L177" s="689"/>
      <c r="M177" s="689"/>
      <c r="N177" s="689"/>
      <c r="O177" s="689"/>
      <c r="P177" s="689"/>
    </row>
    <row r="178" customFormat="false" ht="14.25" hidden="false" customHeight="false" outlineLevel="0" collapsed="false">
      <c r="A178" s="1929" t="s">
        <v>7</v>
      </c>
      <c r="B178" s="44"/>
      <c r="C178" s="1928" t="n">
        <f aca="false">SUMIFS(P3:P171,D3:D171,"Xaraes")</f>
        <v>72432.6669102138</v>
      </c>
      <c r="D178" s="153"/>
      <c r="E178" s="153"/>
      <c r="F178" s="153"/>
      <c r="J178" s="689"/>
      <c r="L178" s="689"/>
      <c r="M178" s="689"/>
      <c r="N178" s="689"/>
      <c r="O178" s="689"/>
      <c r="P178" s="689"/>
    </row>
    <row r="179" customFormat="false" ht="14.25" hidden="false" customHeight="false" outlineLevel="0" collapsed="false">
      <c r="A179" s="1929" t="s">
        <v>8</v>
      </c>
      <c r="B179" s="44"/>
      <c r="C179" s="1928" t="n">
        <f aca="false">SUMIFS(P3:P171,D3:D171,"MG-4")</f>
        <v>0</v>
      </c>
      <c r="D179" s="153"/>
      <c r="E179" s="153"/>
      <c r="F179" s="153"/>
      <c r="J179" s="689"/>
      <c r="L179" s="689"/>
      <c r="M179" s="689"/>
      <c r="N179" s="689"/>
      <c r="O179" s="689"/>
      <c r="P179" s="689"/>
    </row>
    <row r="180" customFormat="false" ht="14.25" hidden="false" customHeight="false" outlineLevel="0" collapsed="false">
      <c r="A180" s="1929" t="s">
        <v>9</v>
      </c>
      <c r="B180" s="44"/>
      <c r="C180" s="1928" t="n">
        <f aca="false">SUMIFS(P3:P171,D3:D171,"Ruziziensis")</f>
        <v>1430059.90273074</v>
      </c>
      <c r="D180" s="153"/>
      <c r="E180" s="153"/>
      <c r="F180" s="153"/>
      <c r="J180" s="689"/>
      <c r="L180" s="689"/>
      <c r="M180" s="689"/>
      <c r="N180" s="689"/>
      <c r="O180" s="689"/>
      <c r="P180" s="689"/>
    </row>
    <row r="181" customFormat="false" ht="14.25" hidden="false" customHeight="false" outlineLevel="0" collapsed="false">
      <c r="A181" s="1929" t="s">
        <v>10</v>
      </c>
      <c r="B181" s="44"/>
      <c r="C181" s="1928" t="n">
        <f aca="false">SUMIFS(P3:P171,D3:D171,"Humidicola")</f>
        <v>949885.664324171</v>
      </c>
      <c r="D181" s="153"/>
      <c r="E181" s="153"/>
      <c r="F181" s="153"/>
      <c r="J181" s="689"/>
      <c r="L181" s="689"/>
      <c r="M181" s="689"/>
      <c r="N181" s="689"/>
      <c r="O181" s="689"/>
      <c r="P181" s="689"/>
    </row>
    <row r="182" customFormat="false" ht="14.25" hidden="false" customHeight="false" outlineLevel="0" collapsed="false">
      <c r="A182" s="1929" t="s">
        <v>11</v>
      </c>
      <c r="B182" s="44"/>
      <c r="C182" s="1928" t="n">
        <f aca="false">SUMIFS(P3:P171,D3:D171,"Llanero")</f>
        <v>1441184.07736537</v>
      </c>
      <c r="D182" s="153"/>
      <c r="E182" s="153"/>
      <c r="F182" s="153"/>
      <c r="J182" s="689"/>
      <c r="L182" s="689"/>
      <c r="M182" s="689"/>
      <c r="N182" s="689"/>
      <c r="O182" s="689"/>
      <c r="P182" s="689"/>
    </row>
    <row r="183" customFormat="false" ht="14.25" hidden="false" customHeight="false" outlineLevel="0" collapsed="false">
      <c r="A183" s="1929" t="s">
        <v>12</v>
      </c>
      <c r="B183" s="44"/>
      <c r="C183" s="1928" t="n">
        <f aca="false">SUMIFS(P3:P171,D3:D171,"Mombaça")</f>
        <v>14794.4619690204</v>
      </c>
      <c r="D183" s="153"/>
      <c r="E183" s="153"/>
      <c r="F183" s="153"/>
      <c r="J183" s="689"/>
      <c r="L183" s="689"/>
    </row>
    <row r="184" customFormat="false" ht="14.25" hidden="false" customHeight="false" outlineLevel="0" collapsed="false">
      <c r="A184" s="1929" t="s">
        <v>13</v>
      </c>
      <c r="B184" s="44"/>
      <c r="C184" s="1928" t="n">
        <f aca="false">SUMIFS(P3:P171,D3:D171,"Tanzania")</f>
        <v>0</v>
      </c>
    </row>
    <row r="185" customFormat="false" ht="14.25" hidden="false" customHeight="false" outlineLevel="0" collapsed="false">
      <c r="A185" s="1929" t="s">
        <v>14</v>
      </c>
      <c r="B185" s="44"/>
      <c r="C185" s="1928" t="n">
        <f aca="false">SUMIFS(P3:P171,D3:D171,"Massai")</f>
        <v>21214.6606453756</v>
      </c>
    </row>
    <row r="186" customFormat="false" ht="14.25" hidden="false" customHeight="false" outlineLevel="0" collapsed="false">
      <c r="A186" s="1929" t="s">
        <v>15</v>
      </c>
      <c r="B186" s="44"/>
      <c r="C186" s="1928" t="n">
        <f aca="false">SUMIFS(P3:P171,D3:D171,"Aruana")</f>
        <v>90598.6912246799</v>
      </c>
    </row>
    <row r="187" customFormat="false" ht="14.25" hidden="false" customHeight="false" outlineLevel="0" collapsed="false">
      <c r="A187" s="1929" t="s">
        <v>16</v>
      </c>
      <c r="B187" s="44"/>
      <c r="C187" s="1928" t="n">
        <f aca="false">SUMIFS(P3:P171,D3:D171,"Zuri")</f>
        <v>74467.6415211857</v>
      </c>
    </row>
    <row r="188" customFormat="false" ht="14.25" hidden="false" customHeight="false" outlineLevel="0" collapsed="false">
      <c r="A188" s="1929" t="s">
        <v>17</v>
      </c>
      <c r="B188" s="44"/>
      <c r="C188" s="1928" t="n">
        <f aca="false">SUMIFS(P3:P171,D3:D171,"Paiaguas")</f>
        <v>258722.672516249</v>
      </c>
    </row>
    <row r="189" customFormat="false" ht="14.25" hidden="false" customHeight="false" outlineLevel="0" collapsed="false">
      <c r="A189" s="1929" t="s">
        <v>3351</v>
      </c>
      <c r="B189" s="44"/>
      <c r="C189" s="1928" t="n">
        <f aca="false">SUMIFS(P3:P171,D3:D171,"Tamani")</f>
        <v>385624.886707814</v>
      </c>
    </row>
    <row r="190" customFormat="false" ht="14.25" hidden="false" customHeight="false" outlineLevel="0" collapsed="false">
      <c r="A190" s="1929" t="s">
        <v>19</v>
      </c>
      <c r="B190" s="44"/>
      <c r="C190" s="1928" t="n">
        <f aca="false">SUMIFS(P3:P171,D3:D171,"Integra")</f>
        <v>93804.9283764669</v>
      </c>
    </row>
    <row r="191" customFormat="false" ht="14.25" hidden="false" customHeight="false" outlineLevel="0" collapsed="false">
      <c r="A191" s="52" t="s">
        <v>20</v>
      </c>
      <c r="B191" s="44"/>
      <c r="C191" s="1928" t="n">
        <f aca="false">SUMIFS(P3:P171,D3:D171,"Sorgo")</f>
        <v>44902</v>
      </c>
    </row>
    <row r="192" customFormat="false" ht="14.25" hidden="false" customHeight="false" outlineLevel="0" collapsed="false">
      <c r="A192" s="52" t="s">
        <v>172</v>
      </c>
      <c r="B192" s="44"/>
      <c r="C192" s="1928" t="n">
        <f aca="false">SUMIFS(P3:P171,D3:D171,"Quenia")</f>
        <v>204701.910417357</v>
      </c>
    </row>
    <row r="193" customFormat="false" ht="14.25" hidden="false" customHeight="false" outlineLevel="0" collapsed="false">
      <c r="A193" s="1929" t="s">
        <v>22</v>
      </c>
      <c r="B193" s="44"/>
      <c r="C193" s="1928" t="n">
        <f aca="false">SUMIFS(P3:P171,D3:D171,"Estilosantes")</f>
        <v>400</v>
      </c>
    </row>
    <row r="194" customFormat="false" ht="14.25" hidden="false" customHeight="false" outlineLevel="0" collapsed="false">
      <c r="A194" s="1929" t="s">
        <v>23</v>
      </c>
      <c r="B194" s="44"/>
      <c r="C194" s="1928" t="n">
        <f aca="false">SUMIFS(P3:P171,D3:D171,"Milheto")</f>
        <v>0</v>
      </c>
    </row>
    <row r="195" customFormat="false" ht="14.25" hidden="false" customHeight="false" outlineLevel="0" collapsed="false">
      <c r="A195" s="52" t="s">
        <v>21</v>
      </c>
      <c r="B195" s="44"/>
      <c r="C195" s="1928" t="n">
        <f aca="false">SUMIFS(P3:P171,D3:D171,"Sarandi")</f>
        <v>0</v>
      </c>
    </row>
    <row r="196" customFormat="false" ht="14.25" hidden="false" customHeight="false" outlineLevel="0" collapsed="false">
      <c r="A196" s="52" t="s">
        <v>73</v>
      </c>
      <c r="B196" s="44"/>
      <c r="C196" s="1928" t="n">
        <f aca="false">SUMIFS(P3:P171,D3:D171,"Sudão")</f>
        <v>0</v>
      </c>
    </row>
    <row r="197" customFormat="false" ht="14.25" hidden="false" customHeight="false" outlineLevel="0" collapsed="false">
      <c r="A197" s="52" t="s">
        <v>74</v>
      </c>
      <c r="B197" s="44"/>
      <c r="C197" s="1928" t="n">
        <f aca="false">SUMIFS(P3:P171,D3:D171,"Crotalaria")</f>
        <v>0</v>
      </c>
    </row>
    <row r="198" customFormat="false" ht="14.25" hidden="false" customHeight="false" outlineLevel="0" collapsed="false">
      <c r="A198" s="52" t="s">
        <v>173</v>
      </c>
      <c r="B198" s="44"/>
      <c r="C198" s="44"/>
    </row>
    <row r="199" customFormat="false" ht="14.25" hidden="false" customHeight="false" outlineLevel="0" collapsed="false">
      <c r="A199" s="52"/>
      <c r="B199" s="44"/>
      <c r="C199" s="213" t="n">
        <f aca="false">SUM(C175:C198)</f>
        <v>5581494.65480102</v>
      </c>
    </row>
    <row r="200" customFormat="false" ht="14.25" hidden="false" customHeight="false" outlineLevel="0" collapsed="false">
      <c r="A200" s="44"/>
    </row>
    <row r="201" customFormat="false" ht="14.25" hidden="false" customHeight="false" outlineLevel="0" collapsed="false">
      <c r="A201" s="44"/>
    </row>
  </sheetData>
  <autoFilter ref="A2:Q170">
    <sortState ref="A3:Q170">
      <sortCondition ref="A3:A170" customList=""/>
    </sortState>
  </autoFilter>
  <mergeCells count="1">
    <mergeCell ref="A1:Q1"/>
  </mergeCells>
  <printOptions headings="false" gridLines="false" gridLinesSet="true" horizontalCentered="false" verticalCentered="false"/>
  <pageMargins left="0.118055555555556" right="0.118055555555556" top="0.7875" bottom="0.393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R3357"/>
  <sheetViews>
    <sheetView showFormulas="false" showGridLines="true" showRowColHeaders="true" showZeros="true" rightToLeft="false" tabSelected="false" showOutlineSymbols="true" defaultGridColor="true" view="normal" topLeftCell="A3328" colorId="64" zoomScale="80" zoomScaleNormal="80" zoomScalePageLayoutView="100" workbookViewId="0">
      <selection pane="topLeft" activeCell="J1860" activeCellId="0" sqref="J1860"/>
    </sheetView>
  </sheetViews>
  <sheetFormatPr defaultColWidth="9.18359375" defaultRowHeight="14.25" zeroHeight="false" outlineLevelRow="0" outlineLevelCol="0"/>
  <cols>
    <col collapsed="false" customWidth="true" hidden="false" outlineLevel="0" max="1" min="1" style="44" width="12.82"/>
    <col collapsed="false" customWidth="true" hidden="false" outlineLevel="0" max="2" min="2" style="44" width="6.82"/>
    <col collapsed="false" customWidth="false" hidden="false" outlineLevel="0" max="3" min="3" style="44" width="9.18"/>
    <col collapsed="false" customWidth="true" hidden="false" outlineLevel="0" max="4" min="4" style="44" width="14.18"/>
    <col collapsed="false" customWidth="true" hidden="false" outlineLevel="0" max="5" min="5" style="44" width="12.18"/>
    <col collapsed="false" customWidth="true" hidden="false" outlineLevel="0" max="6" min="6" style="44" width="10.54"/>
    <col collapsed="false" customWidth="false" hidden="false" outlineLevel="0" max="7" min="7" style="44" width="9.18"/>
    <col collapsed="false" customWidth="true" hidden="false" outlineLevel="0" max="8" min="8" style="44" width="6.54"/>
    <col collapsed="false" customWidth="true" hidden="false" outlineLevel="0" max="9" min="9" style="44" width="9.82"/>
    <col collapsed="false" customWidth="true" hidden="false" outlineLevel="0" max="10" min="10" style="44" width="7.73"/>
    <col collapsed="false" customWidth="true" hidden="false" outlineLevel="0" max="11" min="11" style="44" width="15.27"/>
    <col collapsed="false" customWidth="true" hidden="false" outlineLevel="0" max="12" min="12" style="44" width="12.73"/>
    <col collapsed="false" customWidth="true" hidden="false" outlineLevel="0" max="13" min="13" style="44" width="10"/>
    <col collapsed="false" customWidth="true" hidden="false" outlineLevel="0" max="14" min="14" style="44" width="8.82"/>
    <col collapsed="false" customWidth="true" hidden="false" outlineLevel="0" max="15" min="15" style="44" width="24.73"/>
    <col collapsed="false" customWidth="true" hidden="false" outlineLevel="0" max="16" min="16" style="44" width="16.54"/>
    <col collapsed="false" customWidth="true" hidden="false" outlineLevel="0" max="17" min="17" style="44" width="12.54"/>
    <col collapsed="false" customWidth="true" hidden="false" outlineLevel="0" max="18" min="18" style="44" width="10.82"/>
    <col collapsed="false" customWidth="false" hidden="false" outlineLevel="0" max="16384" min="19" style="44" width="9.18"/>
  </cols>
  <sheetData>
    <row r="1" customFormat="false" ht="19.7" hidden="false" customHeight="false" outlineLevel="0" collapsed="false">
      <c r="A1" s="826" t="s">
        <v>3352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6"/>
      <c r="Q1" s="827"/>
      <c r="R1" s="827"/>
    </row>
    <row r="2" customFormat="false" ht="17.35" hidden="false" customHeight="false" outlineLevel="0" collapsed="false">
      <c r="A2" s="828" t="s">
        <v>3353</v>
      </c>
      <c r="B2" s="828" t="s">
        <v>2178</v>
      </c>
      <c r="C2" s="828" t="s">
        <v>3354</v>
      </c>
      <c r="D2" s="828" t="s">
        <v>1</v>
      </c>
      <c r="E2" s="828" t="s">
        <v>2179</v>
      </c>
      <c r="F2" s="828" t="s">
        <v>3355</v>
      </c>
      <c r="G2" s="828" t="s">
        <v>2184</v>
      </c>
      <c r="H2" s="828" t="s">
        <v>2185</v>
      </c>
      <c r="I2" s="828" t="s">
        <v>3356</v>
      </c>
      <c r="J2" s="828" t="s">
        <v>31</v>
      </c>
      <c r="K2" s="828" t="s">
        <v>1647</v>
      </c>
      <c r="L2" s="828" t="s">
        <v>3357</v>
      </c>
      <c r="M2" s="828" t="s">
        <v>3358</v>
      </c>
      <c r="N2" s="828" t="s">
        <v>3359</v>
      </c>
      <c r="O2" s="828" t="s">
        <v>3360</v>
      </c>
      <c r="P2" s="828" t="s">
        <v>3361</v>
      </c>
      <c r="Q2" s="828" t="s">
        <v>3362</v>
      </c>
      <c r="R2" s="828" t="s">
        <v>3363</v>
      </c>
    </row>
    <row r="3" customFormat="false" ht="14.25" hidden="false" customHeight="false" outlineLevel="0" collapsed="false">
      <c r="A3" s="829" t="n">
        <v>393</v>
      </c>
      <c r="B3" s="830" t="n">
        <v>2023</v>
      </c>
      <c r="C3" s="1930" t="n">
        <v>45536</v>
      </c>
      <c r="D3" s="831" t="s">
        <v>16</v>
      </c>
      <c r="E3" s="1365" t="s">
        <v>1651</v>
      </c>
      <c r="F3" s="832" t="s">
        <v>3364</v>
      </c>
      <c r="G3" s="1931" t="n">
        <v>354</v>
      </c>
      <c r="H3" s="1931" t="n">
        <v>15</v>
      </c>
      <c r="I3" s="837" t="n">
        <f aca="false">G3*H3</f>
        <v>5310</v>
      </c>
      <c r="J3" s="1932" t="n">
        <v>23.7</v>
      </c>
      <c r="K3" s="943" t="n">
        <f aca="false">I3*J3</f>
        <v>125847</v>
      </c>
      <c r="L3" s="886" t="n">
        <v>7110</v>
      </c>
      <c r="M3" s="886" t="n">
        <v>300</v>
      </c>
      <c r="N3" s="886" t="n">
        <f aca="false">M3/H3</f>
        <v>20</v>
      </c>
      <c r="O3" s="1595" t="n">
        <v>85572</v>
      </c>
      <c r="P3" s="1933" t="n">
        <f aca="false">K3-L3-L17-L16-L4-L5-L15-L14-L7-L6-L8-L13-L12-L9-L10-L11</f>
        <v>0</v>
      </c>
      <c r="Q3" s="1934" t="n">
        <f aca="false">I3-M3-M17-M16-M4-M5-M15-M14-M7-M6-M8-M13-M12-M9-M10-M11</f>
        <v>0</v>
      </c>
      <c r="R3" s="1935" t="n">
        <f aca="false">G3-N3-N17-N16-N4-N5-N15-N14-N7-N6-N8-N13-N12-N9-N10-N11</f>
        <v>0</v>
      </c>
    </row>
    <row r="4" customFormat="false" ht="14.25" hidden="false" customHeight="false" outlineLevel="0" collapsed="false">
      <c r="A4" s="829"/>
      <c r="B4" s="830"/>
      <c r="C4" s="1930"/>
      <c r="D4" s="860" t="s">
        <v>16</v>
      </c>
      <c r="E4" s="1480" t="s">
        <v>1651</v>
      </c>
      <c r="F4" s="832"/>
      <c r="G4" s="1931"/>
      <c r="H4" s="1931"/>
      <c r="I4" s="837"/>
      <c r="J4" s="1932"/>
      <c r="K4" s="943"/>
      <c r="L4" s="866" t="n">
        <v>23818.5</v>
      </c>
      <c r="M4" s="866" t="n">
        <v>1005</v>
      </c>
      <c r="N4" s="866" t="n">
        <f aca="false">M4/H3</f>
        <v>67</v>
      </c>
      <c r="O4" s="545" t="n">
        <v>86112</v>
      </c>
      <c r="P4" s="1933"/>
      <c r="Q4" s="1934"/>
      <c r="R4" s="1935"/>
    </row>
    <row r="5" customFormat="false" ht="14.25" hidden="false" customHeight="false" outlineLevel="0" collapsed="false">
      <c r="A5" s="829"/>
      <c r="B5" s="830"/>
      <c r="C5" s="1930"/>
      <c r="D5" s="860" t="s">
        <v>16</v>
      </c>
      <c r="E5" s="1480" t="s">
        <v>1651</v>
      </c>
      <c r="F5" s="832"/>
      <c r="G5" s="1931"/>
      <c r="H5" s="1931"/>
      <c r="I5" s="837"/>
      <c r="J5" s="1932"/>
      <c r="K5" s="943"/>
      <c r="L5" s="866" t="n">
        <v>7465.5</v>
      </c>
      <c r="M5" s="866" t="n">
        <v>315</v>
      </c>
      <c r="N5" s="866" t="n">
        <f aca="false">M5/H3</f>
        <v>21</v>
      </c>
      <c r="O5" s="545" t="n">
        <v>86184</v>
      </c>
      <c r="P5" s="1933"/>
      <c r="Q5" s="1934"/>
      <c r="R5" s="1935"/>
    </row>
    <row r="6" customFormat="false" ht="14.25" hidden="false" customHeight="false" outlineLevel="0" collapsed="false">
      <c r="A6" s="829"/>
      <c r="B6" s="830"/>
      <c r="C6" s="1930"/>
      <c r="D6" s="860" t="s">
        <v>16</v>
      </c>
      <c r="E6" s="1480" t="s">
        <v>1651</v>
      </c>
      <c r="F6" s="832"/>
      <c r="G6" s="1931"/>
      <c r="H6" s="1931"/>
      <c r="I6" s="837"/>
      <c r="J6" s="1932"/>
      <c r="K6" s="943"/>
      <c r="L6" s="866" t="n">
        <v>7110</v>
      </c>
      <c r="M6" s="866" t="n">
        <v>300</v>
      </c>
      <c r="N6" s="866" t="n">
        <f aca="false">M6/H3</f>
        <v>20</v>
      </c>
      <c r="O6" s="545" t="n">
        <v>85862</v>
      </c>
      <c r="P6" s="1933"/>
      <c r="Q6" s="1934"/>
      <c r="R6" s="1935"/>
    </row>
    <row r="7" customFormat="false" ht="14.25" hidden="false" customHeight="false" outlineLevel="0" collapsed="false">
      <c r="A7" s="829"/>
      <c r="B7" s="830"/>
      <c r="C7" s="1930"/>
      <c r="D7" s="860" t="s">
        <v>16</v>
      </c>
      <c r="E7" s="1480" t="s">
        <v>1651</v>
      </c>
      <c r="F7" s="832"/>
      <c r="G7" s="1931"/>
      <c r="H7" s="1931"/>
      <c r="I7" s="837"/>
      <c r="J7" s="1932"/>
      <c r="K7" s="943"/>
      <c r="L7" s="866" t="n">
        <v>711</v>
      </c>
      <c r="M7" s="866" t="n">
        <v>30</v>
      </c>
      <c r="N7" s="866" t="n">
        <f aca="false">M7/H3</f>
        <v>2</v>
      </c>
      <c r="O7" s="545" t="n">
        <v>85848</v>
      </c>
      <c r="P7" s="1933"/>
      <c r="Q7" s="1934"/>
      <c r="R7" s="1935"/>
    </row>
    <row r="8" customFormat="false" ht="14.25" hidden="false" customHeight="false" outlineLevel="0" collapsed="false">
      <c r="A8" s="829"/>
      <c r="B8" s="830"/>
      <c r="C8" s="1930"/>
      <c r="D8" s="860" t="s">
        <v>16</v>
      </c>
      <c r="E8" s="1480" t="s">
        <v>1651</v>
      </c>
      <c r="F8" s="832"/>
      <c r="G8" s="1931"/>
      <c r="H8" s="1931"/>
      <c r="I8" s="837"/>
      <c r="J8" s="1932"/>
      <c r="K8" s="943"/>
      <c r="L8" s="866" t="n">
        <v>1066.5</v>
      </c>
      <c r="M8" s="866" t="n">
        <v>45</v>
      </c>
      <c r="N8" s="866" t="n">
        <f aca="false">M8/H3</f>
        <v>3</v>
      </c>
      <c r="O8" s="545" t="n">
        <v>85938</v>
      </c>
      <c r="P8" s="1933"/>
      <c r="Q8" s="1934"/>
      <c r="R8" s="1935"/>
    </row>
    <row r="9" customFormat="false" ht="14.25" hidden="false" customHeight="false" outlineLevel="0" collapsed="false">
      <c r="A9" s="829"/>
      <c r="B9" s="830"/>
      <c r="C9" s="1930"/>
      <c r="D9" s="860" t="s">
        <v>16</v>
      </c>
      <c r="E9" s="1480" t="s">
        <v>1651</v>
      </c>
      <c r="F9" s="832"/>
      <c r="G9" s="1931"/>
      <c r="H9" s="1931"/>
      <c r="I9" s="837"/>
      <c r="J9" s="1932"/>
      <c r="K9" s="943"/>
      <c r="L9" s="866" t="n">
        <v>355.5</v>
      </c>
      <c r="M9" s="866" t="n">
        <v>15</v>
      </c>
      <c r="N9" s="866" t="n">
        <f aca="false">M9/H3</f>
        <v>1</v>
      </c>
      <c r="O9" s="545" t="s">
        <v>2240</v>
      </c>
      <c r="P9" s="1933"/>
      <c r="Q9" s="1934"/>
      <c r="R9" s="1935"/>
    </row>
    <row r="10" customFormat="false" ht="14.25" hidden="false" customHeight="false" outlineLevel="0" collapsed="false">
      <c r="A10" s="829"/>
      <c r="B10" s="830"/>
      <c r="C10" s="1930"/>
      <c r="D10" s="860" t="s">
        <v>16</v>
      </c>
      <c r="E10" s="1480" t="s">
        <v>1651</v>
      </c>
      <c r="F10" s="832"/>
      <c r="G10" s="1931"/>
      <c r="H10" s="1931"/>
      <c r="I10" s="837"/>
      <c r="J10" s="1932"/>
      <c r="K10" s="943"/>
      <c r="L10" s="866" t="n">
        <v>355.5</v>
      </c>
      <c r="M10" s="866" t="n">
        <v>15</v>
      </c>
      <c r="N10" s="866" t="n">
        <f aca="false">M10/H3</f>
        <v>1</v>
      </c>
      <c r="O10" s="545" t="s">
        <v>3365</v>
      </c>
      <c r="P10" s="1933"/>
      <c r="Q10" s="1934"/>
      <c r="R10" s="1935"/>
    </row>
    <row r="11" customFormat="false" ht="14.25" hidden="false" customHeight="false" outlineLevel="0" collapsed="false">
      <c r="A11" s="829"/>
      <c r="B11" s="830"/>
      <c r="C11" s="1930"/>
      <c r="D11" s="860" t="s">
        <v>16</v>
      </c>
      <c r="E11" s="1480" t="s">
        <v>1651</v>
      </c>
      <c r="F11" s="832"/>
      <c r="G11" s="1931"/>
      <c r="H11" s="1931"/>
      <c r="I11" s="837"/>
      <c r="J11" s="1932"/>
      <c r="K11" s="943"/>
      <c r="L11" s="866" t="n">
        <v>53325</v>
      </c>
      <c r="M11" s="866" t="n">
        <v>2250</v>
      </c>
      <c r="N11" s="866" t="n">
        <f aca="false">M11/H3</f>
        <v>150</v>
      </c>
      <c r="O11" s="545" t="s">
        <v>3366</v>
      </c>
      <c r="P11" s="1933"/>
      <c r="Q11" s="1934"/>
      <c r="R11" s="1935"/>
    </row>
    <row r="12" customFormat="false" ht="14.25" hidden="false" customHeight="false" outlineLevel="0" collapsed="false">
      <c r="A12" s="829"/>
      <c r="B12" s="830"/>
      <c r="C12" s="1930"/>
      <c r="D12" s="860" t="s">
        <v>16</v>
      </c>
      <c r="E12" s="1480" t="s">
        <v>1651</v>
      </c>
      <c r="F12" s="832"/>
      <c r="G12" s="1931"/>
      <c r="H12" s="1931"/>
      <c r="I12" s="837"/>
      <c r="J12" s="1932"/>
      <c r="K12" s="943"/>
      <c r="L12" s="866" t="n">
        <v>2488.5</v>
      </c>
      <c r="M12" s="866" t="n">
        <v>105</v>
      </c>
      <c r="N12" s="866" t="n">
        <f aca="false">M12/H3</f>
        <v>7</v>
      </c>
      <c r="O12" s="545" t="n">
        <v>86435</v>
      </c>
      <c r="P12" s="1933"/>
      <c r="Q12" s="1934"/>
      <c r="R12" s="1935"/>
    </row>
    <row r="13" customFormat="false" ht="14.25" hidden="false" customHeight="false" outlineLevel="0" collapsed="false">
      <c r="A13" s="829"/>
      <c r="B13" s="830"/>
      <c r="C13" s="1930"/>
      <c r="D13" s="860" t="s">
        <v>16</v>
      </c>
      <c r="E13" s="1480" t="s">
        <v>1651</v>
      </c>
      <c r="F13" s="832"/>
      <c r="G13" s="1931"/>
      <c r="H13" s="1931"/>
      <c r="I13" s="837"/>
      <c r="J13" s="1932"/>
      <c r="K13" s="943"/>
      <c r="L13" s="866" t="n">
        <v>711</v>
      </c>
      <c r="M13" s="866" t="n">
        <v>30</v>
      </c>
      <c r="N13" s="866" t="n">
        <f aca="false">M13/H3</f>
        <v>2</v>
      </c>
      <c r="O13" s="545" t="n">
        <v>86395</v>
      </c>
      <c r="P13" s="1933"/>
      <c r="Q13" s="1934"/>
      <c r="R13" s="1935"/>
    </row>
    <row r="14" customFormat="false" ht="14.25" hidden="false" customHeight="false" outlineLevel="0" collapsed="false">
      <c r="A14" s="829"/>
      <c r="B14" s="830"/>
      <c r="C14" s="1930"/>
      <c r="D14" s="860" t="s">
        <v>16</v>
      </c>
      <c r="E14" s="1480" t="s">
        <v>1651</v>
      </c>
      <c r="F14" s="832"/>
      <c r="G14" s="1931"/>
      <c r="H14" s="1931"/>
      <c r="I14" s="837"/>
      <c r="J14" s="1932"/>
      <c r="K14" s="943"/>
      <c r="L14" s="866" t="n">
        <v>3555</v>
      </c>
      <c r="M14" s="866" t="n">
        <v>150</v>
      </c>
      <c r="N14" s="866" t="n">
        <f aca="false">M14/H3</f>
        <v>10</v>
      </c>
      <c r="O14" s="545" t="n">
        <v>85811</v>
      </c>
      <c r="P14" s="1933"/>
      <c r="Q14" s="1934"/>
      <c r="R14" s="1935"/>
    </row>
    <row r="15" customFormat="false" ht="14.25" hidden="false" customHeight="false" outlineLevel="0" collapsed="false">
      <c r="A15" s="829"/>
      <c r="B15" s="830"/>
      <c r="C15" s="1930"/>
      <c r="D15" s="860" t="s">
        <v>16</v>
      </c>
      <c r="E15" s="1480" t="s">
        <v>1651</v>
      </c>
      <c r="F15" s="832"/>
      <c r="G15" s="1931"/>
      <c r="H15" s="1931"/>
      <c r="I15" s="837"/>
      <c r="J15" s="1932"/>
      <c r="K15" s="943"/>
      <c r="L15" s="866" t="n">
        <v>3555</v>
      </c>
      <c r="M15" s="866" t="n">
        <v>150</v>
      </c>
      <c r="N15" s="866" t="n">
        <f aca="false">M15/H3</f>
        <v>10</v>
      </c>
      <c r="O15" s="545" t="n">
        <v>86185</v>
      </c>
      <c r="P15" s="1933"/>
      <c r="Q15" s="1934"/>
      <c r="R15" s="1935"/>
    </row>
    <row r="16" customFormat="false" ht="14.25" hidden="false" customHeight="false" outlineLevel="0" collapsed="false">
      <c r="A16" s="829"/>
      <c r="B16" s="830"/>
      <c r="C16" s="1930"/>
      <c r="D16" s="860" t="s">
        <v>16</v>
      </c>
      <c r="E16" s="1480" t="s">
        <v>1651</v>
      </c>
      <c r="F16" s="832"/>
      <c r="G16" s="1931"/>
      <c r="H16" s="1931"/>
      <c r="I16" s="837"/>
      <c r="J16" s="1932"/>
      <c r="K16" s="943"/>
      <c r="L16" s="866" t="n">
        <v>10665</v>
      </c>
      <c r="M16" s="866" t="n">
        <v>450</v>
      </c>
      <c r="N16" s="866" t="n">
        <f aca="false">M16/H3</f>
        <v>30</v>
      </c>
      <c r="O16" s="545" t="n">
        <v>85665</v>
      </c>
      <c r="P16" s="1933"/>
      <c r="Q16" s="1934"/>
      <c r="R16" s="1935"/>
    </row>
    <row r="17" customFormat="false" ht="14.25" hidden="false" customHeight="false" outlineLevel="0" collapsed="false">
      <c r="A17" s="829"/>
      <c r="B17" s="830"/>
      <c r="C17" s="1930"/>
      <c r="D17" s="843" t="s">
        <v>16</v>
      </c>
      <c r="E17" s="1357" t="s">
        <v>1651</v>
      </c>
      <c r="F17" s="832"/>
      <c r="G17" s="1931"/>
      <c r="H17" s="1931"/>
      <c r="I17" s="837"/>
      <c r="J17" s="1932"/>
      <c r="K17" s="943"/>
      <c r="L17" s="846" t="n">
        <v>3555</v>
      </c>
      <c r="M17" s="846" t="n">
        <v>150</v>
      </c>
      <c r="N17" s="846" t="n">
        <f aca="false">M17/H3</f>
        <v>10</v>
      </c>
      <c r="O17" s="1936" t="n">
        <v>85642</v>
      </c>
      <c r="P17" s="1933"/>
      <c r="Q17" s="1934"/>
      <c r="R17" s="1935"/>
    </row>
    <row r="18" customFormat="false" ht="14.25" hidden="false" customHeight="false" outlineLevel="0" collapsed="false">
      <c r="A18" s="829" t="n">
        <v>229</v>
      </c>
      <c r="B18" s="830" t="n">
        <v>2024</v>
      </c>
      <c r="C18" s="1930" t="n">
        <v>45839</v>
      </c>
      <c r="D18" s="831" t="s">
        <v>16</v>
      </c>
      <c r="E18" s="1365" t="s">
        <v>1651</v>
      </c>
      <c r="F18" s="1119" t="s">
        <v>3367</v>
      </c>
      <c r="G18" s="1931" t="n">
        <v>168</v>
      </c>
      <c r="H18" s="1931" t="n">
        <v>15</v>
      </c>
      <c r="I18" s="837" t="n">
        <f aca="false">G18*H18</f>
        <v>2520</v>
      </c>
      <c r="J18" s="1932" t="n">
        <v>24.1071</v>
      </c>
      <c r="K18" s="943" t="n">
        <f aca="false">I18*J18</f>
        <v>60749.892</v>
      </c>
      <c r="L18" s="840" t="n">
        <v>14464.26</v>
      </c>
      <c r="M18" s="840" t="n">
        <v>600</v>
      </c>
      <c r="N18" s="840" t="n">
        <f aca="false">M18/H18</f>
        <v>40</v>
      </c>
      <c r="O18" s="578" t="s">
        <v>398</v>
      </c>
      <c r="P18" s="1937" t="n">
        <f aca="false">K18-L18-L19</f>
        <v>0</v>
      </c>
      <c r="Q18" s="1934" t="n">
        <f aca="false">I18-M18-M19</f>
        <v>0</v>
      </c>
      <c r="R18" s="1935" t="n">
        <f aca="false">G18-N18-N19</f>
        <v>0</v>
      </c>
    </row>
    <row r="19" customFormat="false" ht="14.25" hidden="false" customHeight="false" outlineLevel="0" collapsed="false">
      <c r="A19" s="829"/>
      <c r="B19" s="830"/>
      <c r="C19" s="1930"/>
      <c r="D19" s="843" t="s">
        <v>16</v>
      </c>
      <c r="E19" s="1357" t="s">
        <v>1651</v>
      </c>
      <c r="F19" s="1119"/>
      <c r="G19" s="1931"/>
      <c r="H19" s="1931"/>
      <c r="I19" s="837"/>
      <c r="J19" s="1932"/>
      <c r="K19" s="943"/>
      <c r="L19" s="846" t="n">
        <v>46285.632</v>
      </c>
      <c r="M19" s="846" t="n">
        <v>1920</v>
      </c>
      <c r="N19" s="890" t="n">
        <f aca="false">M19/H18</f>
        <v>128</v>
      </c>
      <c r="O19" s="1936" t="s">
        <v>400</v>
      </c>
      <c r="P19" s="1937"/>
      <c r="Q19" s="1934"/>
      <c r="R19" s="1935"/>
    </row>
    <row r="20" customFormat="false" ht="14.25" hidden="false" customHeight="false" outlineLevel="0" collapsed="false">
      <c r="A20" s="829" t="n">
        <v>239</v>
      </c>
      <c r="B20" s="830" t="n">
        <v>2024</v>
      </c>
      <c r="C20" s="1930" t="n">
        <v>45839</v>
      </c>
      <c r="D20" s="831" t="s">
        <v>16</v>
      </c>
      <c r="E20" s="1365" t="s">
        <v>1651</v>
      </c>
      <c r="F20" s="832" t="s">
        <v>3367</v>
      </c>
      <c r="G20" s="1931" t="n">
        <v>222</v>
      </c>
      <c r="H20" s="1931" t="n">
        <v>15</v>
      </c>
      <c r="I20" s="837" t="n">
        <f aca="false">G20*H20</f>
        <v>3330</v>
      </c>
      <c r="J20" s="1932" t="n">
        <v>27.045</v>
      </c>
      <c r="K20" s="943" t="n">
        <f aca="false">I20*J20</f>
        <v>90059.85</v>
      </c>
      <c r="L20" s="840" t="n">
        <v>69776.1</v>
      </c>
      <c r="M20" s="840" t="n">
        <v>2580</v>
      </c>
      <c r="N20" s="886" t="n">
        <f aca="false">M20/H20</f>
        <v>172</v>
      </c>
      <c r="O20" s="578" t="s">
        <v>400</v>
      </c>
      <c r="P20" s="1937" t="n">
        <f aca="false">K20-L20-L31-L30-L21-L29-L22-L27-L23-L28-L24-L26-L25</f>
        <v>0</v>
      </c>
      <c r="Q20" s="1934" t="n">
        <f aca="false">I20-M20-M31-M30-M21-M29-M22-M27-M23-M28-M24-M26-M25</f>
        <v>0</v>
      </c>
      <c r="R20" s="1935" t="n">
        <f aca="false">G20-N20-N31-N30-N21-N29-N22-N27-N23-N28-N24-N26-N25</f>
        <v>0</v>
      </c>
    </row>
    <row r="21" customFormat="false" ht="14.25" hidden="false" customHeight="false" outlineLevel="0" collapsed="false">
      <c r="A21" s="829"/>
      <c r="B21" s="830"/>
      <c r="C21" s="1930"/>
      <c r="D21" s="848" t="s">
        <v>16</v>
      </c>
      <c r="E21" s="1479" t="s">
        <v>1651</v>
      </c>
      <c r="F21" s="832"/>
      <c r="G21" s="1931"/>
      <c r="H21" s="1931"/>
      <c r="I21" s="837"/>
      <c r="J21" s="1932"/>
      <c r="K21" s="943"/>
      <c r="L21" s="854" t="n">
        <v>2028.375</v>
      </c>
      <c r="M21" s="854" t="n">
        <v>75</v>
      </c>
      <c r="N21" s="866" t="n">
        <f aca="false">M21/H20</f>
        <v>5</v>
      </c>
      <c r="O21" s="580" t="s">
        <v>3368</v>
      </c>
      <c r="P21" s="1937"/>
      <c r="Q21" s="1934"/>
      <c r="R21" s="1935"/>
    </row>
    <row r="22" customFormat="false" ht="14.25" hidden="false" customHeight="false" outlineLevel="0" collapsed="false">
      <c r="A22" s="829"/>
      <c r="B22" s="830"/>
      <c r="C22" s="1930"/>
      <c r="D22" s="848" t="s">
        <v>16</v>
      </c>
      <c r="E22" s="1479" t="s">
        <v>1651</v>
      </c>
      <c r="F22" s="832"/>
      <c r="G22" s="1931"/>
      <c r="H22" s="1931"/>
      <c r="I22" s="837"/>
      <c r="J22" s="1932"/>
      <c r="K22" s="943"/>
      <c r="L22" s="854" t="n">
        <v>2434.05</v>
      </c>
      <c r="M22" s="854" t="n">
        <v>90</v>
      </c>
      <c r="N22" s="866" t="n">
        <f aca="false">M22/H20</f>
        <v>6</v>
      </c>
      <c r="O22" s="580" t="s">
        <v>3369</v>
      </c>
      <c r="P22" s="1937"/>
      <c r="Q22" s="1934"/>
      <c r="R22" s="1935"/>
    </row>
    <row r="23" customFormat="false" ht="14.25" hidden="false" customHeight="false" outlineLevel="0" collapsed="false">
      <c r="A23" s="829"/>
      <c r="B23" s="830"/>
      <c r="C23" s="1930"/>
      <c r="D23" s="848" t="s">
        <v>16</v>
      </c>
      <c r="E23" s="1479" t="s">
        <v>1651</v>
      </c>
      <c r="F23" s="832"/>
      <c r="G23" s="1931"/>
      <c r="H23" s="1931"/>
      <c r="I23" s="837"/>
      <c r="J23" s="1932"/>
      <c r="K23" s="943"/>
      <c r="L23" s="854" t="n">
        <v>1622.7</v>
      </c>
      <c r="M23" s="854" t="n">
        <v>60</v>
      </c>
      <c r="N23" s="866" t="n">
        <f aca="false">M23/H20</f>
        <v>4</v>
      </c>
      <c r="O23" s="580" t="s">
        <v>747</v>
      </c>
      <c r="P23" s="1937"/>
      <c r="Q23" s="1934"/>
      <c r="R23" s="1935"/>
    </row>
    <row r="24" customFormat="false" ht="14.25" hidden="false" customHeight="false" outlineLevel="0" collapsed="false">
      <c r="A24" s="829"/>
      <c r="B24" s="830"/>
      <c r="C24" s="1930"/>
      <c r="D24" s="848" t="s">
        <v>16</v>
      </c>
      <c r="E24" s="1479" t="s">
        <v>1651</v>
      </c>
      <c r="F24" s="832"/>
      <c r="G24" s="1931"/>
      <c r="H24" s="1931"/>
      <c r="I24" s="837"/>
      <c r="J24" s="1932"/>
      <c r="K24" s="943"/>
      <c r="L24" s="854" t="n">
        <v>811.35</v>
      </c>
      <c r="M24" s="854" t="n">
        <v>30</v>
      </c>
      <c r="N24" s="866" t="n">
        <f aca="false">M24/H20</f>
        <v>2</v>
      </c>
      <c r="O24" s="580" t="s">
        <v>1231</v>
      </c>
      <c r="P24" s="1937"/>
      <c r="Q24" s="1934"/>
      <c r="R24" s="1935"/>
    </row>
    <row r="25" customFormat="false" ht="14.25" hidden="false" customHeight="false" outlineLevel="0" collapsed="false">
      <c r="A25" s="829"/>
      <c r="B25" s="830"/>
      <c r="C25" s="1930"/>
      <c r="D25" s="848" t="s">
        <v>16</v>
      </c>
      <c r="E25" s="1479" t="s">
        <v>1651</v>
      </c>
      <c r="F25" s="832"/>
      <c r="G25" s="1931"/>
      <c r="H25" s="1931"/>
      <c r="I25" s="837"/>
      <c r="J25" s="1932"/>
      <c r="K25" s="943"/>
      <c r="L25" s="854" t="n">
        <v>811.35</v>
      </c>
      <c r="M25" s="854" t="n">
        <v>30</v>
      </c>
      <c r="N25" s="866" t="n">
        <f aca="false">M25/H20</f>
        <v>2</v>
      </c>
      <c r="O25" s="580" t="s">
        <v>1634</v>
      </c>
      <c r="P25" s="1937"/>
      <c r="Q25" s="1934"/>
      <c r="R25" s="1935"/>
    </row>
    <row r="26" customFormat="false" ht="14.25" hidden="false" customHeight="false" outlineLevel="0" collapsed="false">
      <c r="A26" s="829"/>
      <c r="B26" s="830"/>
      <c r="C26" s="1930"/>
      <c r="D26" s="848" t="s">
        <v>16</v>
      </c>
      <c r="E26" s="1479" t="s">
        <v>1651</v>
      </c>
      <c r="F26" s="832"/>
      <c r="G26" s="1931"/>
      <c r="H26" s="1931"/>
      <c r="I26" s="837"/>
      <c r="J26" s="1932"/>
      <c r="K26" s="943"/>
      <c r="L26" s="854" t="n">
        <v>811.35</v>
      </c>
      <c r="M26" s="854" t="n">
        <v>30</v>
      </c>
      <c r="N26" s="866" t="n">
        <f aca="false">M26/H20</f>
        <v>2</v>
      </c>
      <c r="O26" s="580" t="s">
        <v>1235</v>
      </c>
      <c r="P26" s="1937"/>
      <c r="Q26" s="1934"/>
      <c r="R26" s="1935"/>
    </row>
    <row r="27" customFormat="false" ht="14.25" hidden="false" customHeight="false" outlineLevel="0" collapsed="false">
      <c r="A27" s="829"/>
      <c r="B27" s="830"/>
      <c r="C27" s="1930"/>
      <c r="D27" s="848" t="s">
        <v>16</v>
      </c>
      <c r="E27" s="1479" t="s">
        <v>1651</v>
      </c>
      <c r="F27" s="832"/>
      <c r="G27" s="1931"/>
      <c r="H27" s="1931"/>
      <c r="I27" s="837"/>
      <c r="J27" s="1932"/>
      <c r="K27" s="943"/>
      <c r="L27" s="854" t="n">
        <v>811.35</v>
      </c>
      <c r="M27" s="854" t="n">
        <v>30</v>
      </c>
      <c r="N27" s="866" t="n">
        <f aca="false">M27/H20</f>
        <v>2</v>
      </c>
      <c r="O27" s="580" t="s">
        <v>692</v>
      </c>
      <c r="P27" s="1937"/>
      <c r="Q27" s="1934"/>
      <c r="R27" s="1935"/>
    </row>
    <row r="28" customFormat="false" ht="14.25" hidden="false" customHeight="false" outlineLevel="0" collapsed="false">
      <c r="A28" s="829"/>
      <c r="B28" s="830"/>
      <c r="C28" s="1930"/>
      <c r="D28" s="848" t="s">
        <v>16</v>
      </c>
      <c r="E28" s="1479" t="s">
        <v>1651</v>
      </c>
      <c r="F28" s="832"/>
      <c r="G28" s="1931"/>
      <c r="H28" s="1931"/>
      <c r="I28" s="837"/>
      <c r="J28" s="1932"/>
      <c r="K28" s="943"/>
      <c r="L28" s="854" t="n">
        <v>811.35</v>
      </c>
      <c r="M28" s="854" t="n">
        <v>30</v>
      </c>
      <c r="N28" s="866" t="n">
        <f aca="false">M28/H20</f>
        <v>2</v>
      </c>
      <c r="O28" s="580" t="s">
        <v>917</v>
      </c>
      <c r="P28" s="1937"/>
      <c r="Q28" s="1934"/>
      <c r="R28" s="1935"/>
    </row>
    <row r="29" customFormat="false" ht="14.25" hidden="false" customHeight="false" outlineLevel="0" collapsed="false">
      <c r="A29" s="829"/>
      <c r="B29" s="830"/>
      <c r="C29" s="1930"/>
      <c r="D29" s="848" t="s">
        <v>16</v>
      </c>
      <c r="E29" s="1479" t="s">
        <v>1651</v>
      </c>
      <c r="F29" s="832"/>
      <c r="G29" s="1931"/>
      <c r="H29" s="1931"/>
      <c r="I29" s="837"/>
      <c r="J29" s="1932"/>
      <c r="K29" s="943"/>
      <c r="L29" s="854" t="n">
        <v>1622.7</v>
      </c>
      <c r="M29" s="854" t="n">
        <v>60</v>
      </c>
      <c r="N29" s="866" t="n">
        <f aca="false">M29/H20</f>
        <v>4</v>
      </c>
      <c r="O29" s="580" t="s">
        <v>579</v>
      </c>
      <c r="P29" s="1937"/>
      <c r="Q29" s="1934"/>
      <c r="R29" s="1935"/>
    </row>
    <row r="30" customFormat="false" ht="14.25" hidden="false" customHeight="false" outlineLevel="0" collapsed="false">
      <c r="A30" s="829"/>
      <c r="B30" s="830"/>
      <c r="C30" s="1930"/>
      <c r="D30" s="860" t="s">
        <v>16</v>
      </c>
      <c r="E30" s="1480" t="s">
        <v>1651</v>
      </c>
      <c r="F30" s="832"/>
      <c r="G30" s="1931"/>
      <c r="H30" s="1931"/>
      <c r="I30" s="837"/>
      <c r="J30" s="1932"/>
      <c r="K30" s="943"/>
      <c r="L30" s="866" t="n">
        <v>2434.05</v>
      </c>
      <c r="M30" s="866" t="n">
        <v>90</v>
      </c>
      <c r="N30" s="866" t="n">
        <f aca="false">M30/H20</f>
        <v>6</v>
      </c>
      <c r="O30" s="545" t="s">
        <v>458</v>
      </c>
      <c r="P30" s="1937"/>
      <c r="Q30" s="1934"/>
      <c r="R30" s="1935"/>
    </row>
    <row r="31" customFormat="false" ht="14.25" hidden="false" customHeight="false" outlineLevel="0" collapsed="false">
      <c r="A31" s="829"/>
      <c r="B31" s="830"/>
      <c r="C31" s="1930"/>
      <c r="D31" s="887" t="s">
        <v>16</v>
      </c>
      <c r="E31" s="1501" t="s">
        <v>1651</v>
      </c>
      <c r="F31" s="832"/>
      <c r="G31" s="1931"/>
      <c r="H31" s="1931"/>
      <c r="I31" s="837"/>
      <c r="J31" s="1932"/>
      <c r="K31" s="943"/>
      <c r="L31" s="890" t="n">
        <v>6085.125</v>
      </c>
      <c r="M31" s="890" t="n">
        <v>225</v>
      </c>
      <c r="N31" s="890" t="n">
        <f aca="false">M31/H20</f>
        <v>15</v>
      </c>
      <c r="O31" s="1938" t="s">
        <v>456</v>
      </c>
      <c r="P31" s="1937"/>
      <c r="Q31" s="1934"/>
      <c r="R31" s="1935"/>
    </row>
    <row r="32" customFormat="false" ht="14.25" hidden="false" customHeight="false" outlineLevel="0" collapsed="false">
      <c r="A32" s="829" t="n">
        <v>473</v>
      </c>
      <c r="B32" s="830" t="n">
        <v>2024</v>
      </c>
      <c r="C32" s="1930" t="n">
        <v>45931</v>
      </c>
      <c r="D32" s="831" t="s">
        <v>16</v>
      </c>
      <c r="E32" s="1365" t="s">
        <v>1651</v>
      </c>
      <c r="F32" s="832" t="s">
        <v>3364</v>
      </c>
      <c r="G32" s="1931" t="n">
        <v>197</v>
      </c>
      <c r="H32" s="1931" t="n">
        <v>10</v>
      </c>
      <c r="I32" s="837" t="n">
        <f aca="false">G32*H32</f>
        <v>1970</v>
      </c>
      <c r="J32" s="1932" t="n">
        <v>27.7156</v>
      </c>
      <c r="K32" s="943" t="n">
        <f aca="false">I32*J32</f>
        <v>54599.732</v>
      </c>
      <c r="L32" s="840" t="n">
        <v>27715.6</v>
      </c>
      <c r="M32" s="840" t="n">
        <v>1000</v>
      </c>
      <c r="N32" s="886" t="n">
        <f aca="false">M32/H32</f>
        <v>100</v>
      </c>
      <c r="O32" s="578" t="s">
        <v>589</v>
      </c>
      <c r="P32" s="1934" t="n">
        <f aca="false">K32-L32-L36-L33-L35-L34</f>
        <v>-3.18323145620525E-012</v>
      </c>
      <c r="Q32" s="1934" t="n">
        <f aca="false">I32-M32-M36-M33-M35-M34</f>
        <v>0</v>
      </c>
      <c r="R32" s="1935" t="n">
        <f aca="false">G32-N32-N36-N33-N35-N34</f>
        <v>0</v>
      </c>
    </row>
    <row r="33" customFormat="false" ht="14.25" hidden="false" customHeight="false" outlineLevel="0" collapsed="false">
      <c r="A33" s="829"/>
      <c r="B33" s="830"/>
      <c r="C33" s="1930"/>
      <c r="D33" s="860" t="s">
        <v>16</v>
      </c>
      <c r="E33" s="1480" t="s">
        <v>1651</v>
      </c>
      <c r="F33" s="832"/>
      <c r="G33" s="1931"/>
      <c r="H33" s="1931"/>
      <c r="I33" s="837"/>
      <c r="J33" s="1932"/>
      <c r="K33" s="943"/>
      <c r="L33" s="866" t="n">
        <v>3880.184</v>
      </c>
      <c r="M33" s="866" t="n">
        <v>140</v>
      </c>
      <c r="N33" s="866" t="n">
        <f aca="false">M33/H32</f>
        <v>14</v>
      </c>
      <c r="O33" s="545" t="s">
        <v>894</v>
      </c>
      <c r="P33" s="1934"/>
      <c r="Q33" s="1934"/>
      <c r="R33" s="1935"/>
    </row>
    <row r="34" customFormat="false" ht="14.25" hidden="false" customHeight="false" outlineLevel="0" collapsed="false">
      <c r="A34" s="829"/>
      <c r="B34" s="830"/>
      <c r="C34" s="1930"/>
      <c r="D34" s="860" t="s">
        <v>16</v>
      </c>
      <c r="E34" s="1480" t="s">
        <v>1651</v>
      </c>
      <c r="F34" s="832"/>
      <c r="G34" s="1931"/>
      <c r="H34" s="1931"/>
      <c r="I34" s="837"/>
      <c r="J34" s="1932"/>
      <c r="K34" s="943"/>
      <c r="L34" s="866" t="n">
        <v>1108.624</v>
      </c>
      <c r="M34" s="866" t="n">
        <v>40</v>
      </c>
      <c r="N34" s="866" t="n">
        <f aca="false">M34/H32</f>
        <v>4</v>
      </c>
      <c r="O34" s="545" t="s">
        <v>1634</v>
      </c>
      <c r="P34" s="1934"/>
      <c r="Q34" s="1934"/>
      <c r="R34" s="1935"/>
    </row>
    <row r="35" customFormat="false" ht="14.25" hidden="false" customHeight="false" outlineLevel="0" collapsed="false">
      <c r="A35" s="829"/>
      <c r="B35" s="830"/>
      <c r="C35" s="1930"/>
      <c r="D35" s="860" t="s">
        <v>16</v>
      </c>
      <c r="E35" s="1480" t="s">
        <v>1651</v>
      </c>
      <c r="F35" s="832"/>
      <c r="G35" s="1931"/>
      <c r="H35" s="1931"/>
      <c r="I35" s="837"/>
      <c r="J35" s="1932"/>
      <c r="K35" s="943"/>
      <c r="L35" s="866" t="n">
        <v>1108.624</v>
      </c>
      <c r="M35" s="866" t="n">
        <v>40</v>
      </c>
      <c r="N35" s="866" t="n">
        <f aca="false">M35/H32</f>
        <v>4</v>
      </c>
      <c r="O35" s="545" t="s">
        <v>880</v>
      </c>
      <c r="P35" s="1934"/>
      <c r="Q35" s="1934"/>
      <c r="R35" s="1935"/>
    </row>
    <row r="36" customFormat="false" ht="14.25" hidden="false" customHeight="false" outlineLevel="0" collapsed="false">
      <c r="A36" s="829"/>
      <c r="B36" s="830"/>
      <c r="C36" s="1930"/>
      <c r="D36" s="887" t="s">
        <v>16</v>
      </c>
      <c r="E36" s="1501" t="s">
        <v>1651</v>
      </c>
      <c r="F36" s="832"/>
      <c r="G36" s="1931"/>
      <c r="H36" s="1931"/>
      <c r="I36" s="837"/>
      <c r="J36" s="1932"/>
      <c r="K36" s="943"/>
      <c r="L36" s="890" t="n">
        <v>20786.7</v>
      </c>
      <c r="M36" s="890" t="n">
        <v>750</v>
      </c>
      <c r="N36" s="890" t="n">
        <f aca="false">M36/H32</f>
        <v>75</v>
      </c>
      <c r="O36" s="1938" t="s">
        <v>544</v>
      </c>
      <c r="P36" s="1934"/>
      <c r="Q36" s="1934"/>
      <c r="R36" s="1935"/>
    </row>
    <row r="37" customFormat="false" ht="14.25" hidden="false" customHeight="false" outlineLevel="0" collapsed="false">
      <c r="A37" s="903" t="n">
        <v>542</v>
      </c>
      <c r="B37" s="903" t="n">
        <v>2024</v>
      </c>
      <c r="C37" s="1939" t="n">
        <v>45962</v>
      </c>
      <c r="D37" s="904" t="s">
        <v>16</v>
      </c>
      <c r="E37" s="1351" t="s">
        <v>1651</v>
      </c>
      <c r="F37" s="904" t="s">
        <v>3364</v>
      </c>
      <c r="G37" s="1940" t="n">
        <v>134</v>
      </c>
      <c r="H37" s="1940" t="n">
        <v>15</v>
      </c>
      <c r="I37" s="1355" t="n">
        <f aca="false">G37*H37</f>
        <v>2010</v>
      </c>
      <c r="J37" s="1941" t="n">
        <v>28.8611</v>
      </c>
      <c r="K37" s="1942" t="n">
        <f aca="false">I37*J37</f>
        <v>58010.811</v>
      </c>
      <c r="L37" s="891" t="n">
        <v>58010.811</v>
      </c>
      <c r="M37" s="891" t="n">
        <v>2010</v>
      </c>
      <c r="N37" s="840" t="n">
        <f aca="false">M37/H37</f>
        <v>134</v>
      </c>
      <c r="O37" s="1943" t="s">
        <v>866</v>
      </c>
      <c r="P37" s="1944" t="n">
        <f aca="false">K37-L37</f>
        <v>0</v>
      </c>
      <c r="Q37" s="1945" t="n">
        <f aca="false">I37-M37</f>
        <v>0</v>
      </c>
      <c r="R37" s="1946" t="n">
        <f aca="false">G37-N37</f>
        <v>0</v>
      </c>
    </row>
    <row r="38" customFormat="false" ht="14.25" hidden="false" customHeight="false" outlineLevel="0" collapsed="false">
      <c r="A38" s="882" t="n">
        <v>543</v>
      </c>
      <c r="B38" s="830" t="n">
        <v>2024</v>
      </c>
      <c r="C38" s="1930" t="n">
        <v>45962</v>
      </c>
      <c r="D38" s="831" t="s">
        <v>16</v>
      </c>
      <c r="E38" s="1365" t="s">
        <v>1651</v>
      </c>
      <c r="F38" s="832" t="s">
        <v>3367</v>
      </c>
      <c r="G38" s="1931" t="n">
        <v>98</v>
      </c>
      <c r="H38" s="1931" t="n">
        <v>10</v>
      </c>
      <c r="I38" s="837" t="n">
        <f aca="false">G38*H38</f>
        <v>980</v>
      </c>
      <c r="J38" s="1932" t="n">
        <v>29.8918</v>
      </c>
      <c r="K38" s="943" t="n">
        <f aca="false">I38*J38</f>
        <v>29293.964</v>
      </c>
      <c r="L38" s="840" t="n">
        <v>12554.556</v>
      </c>
      <c r="M38" s="840" t="n">
        <v>420</v>
      </c>
      <c r="N38" s="886" t="n">
        <f aca="false">M38/H38</f>
        <v>42</v>
      </c>
      <c r="O38" s="578" t="s">
        <v>904</v>
      </c>
      <c r="P38" s="1937" t="n">
        <f aca="false">K38-L38-L40-L39</f>
        <v>0</v>
      </c>
      <c r="Q38" s="1934" t="n">
        <f aca="false">I38-M38-M40-M39</f>
        <v>0</v>
      </c>
      <c r="R38" s="1935" t="n">
        <f aca="false">G38-N38-N40-N39</f>
        <v>0</v>
      </c>
    </row>
    <row r="39" customFormat="false" ht="14.25" hidden="false" customHeight="false" outlineLevel="0" collapsed="false">
      <c r="A39" s="882"/>
      <c r="B39" s="830"/>
      <c r="C39" s="1930"/>
      <c r="D39" s="860" t="s">
        <v>16</v>
      </c>
      <c r="E39" s="1480" t="s">
        <v>1651</v>
      </c>
      <c r="F39" s="832"/>
      <c r="G39" s="1931"/>
      <c r="H39" s="1931"/>
      <c r="I39" s="837"/>
      <c r="J39" s="1932"/>
      <c r="K39" s="943"/>
      <c r="L39" s="866" t="n">
        <v>11956.72</v>
      </c>
      <c r="M39" s="866" t="n">
        <v>400</v>
      </c>
      <c r="N39" s="866" t="n">
        <f aca="false">M39/H38</f>
        <v>40</v>
      </c>
      <c r="O39" s="545" t="s">
        <v>3370</v>
      </c>
      <c r="P39" s="1937"/>
      <c r="Q39" s="1934"/>
      <c r="R39" s="1935"/>
    </row>
    <row r="40" customFormat="false" ht="14.25" hidden="false" customHeight="false" outlineLevel="0" collapsed="false">
      <c r="A40" s="882"/>
      <c r="B40" s="830"/>
      <c r="C40" s="1930"/>
      <c r="D40" s="887" t="s">
        <v>16</v>
      </c>
      <c r="E40" s="1501" t="s">
        <v>1651</v>
      </c>
      <c r="F40" s="832"/>
      <c r="G40" s="1931"/>
      <c r="H40" s="1931"/>
      <c r="I40" s="837"/>
      <c r="J40" s="1932"/>
      <c r="K40" s="943"/>
      <c r="L40" s="890" t="n">
        <v>4782.688</v>
      </c>
      <c r="M40" s="890" t="n">
        <v>160</v>
      </c>
      <c r="N40" s="890" t="n">
        <f aca="false">M40/H38</f>
        <v>16</v>
      </c>
      <c r="O40" s="1938" t="s">
        <v>894</v>
      </c>
      <c r="P40" s="1937"/>
      <c r="Q40" s="1934"/>
      <c r="R40" s="1935"/>
    </row>
    <row r="41" customFormat="false" ht="14.25" hidden="false" customHeight="false" outlineLevel="0" collapsed="false">
      <c r="A41" s="903" t="n">
        <v>588</v>
      </c>
      <c r="B41" s="903" t="n">
        <v>2024</v>
      </c>
      <c r="C41" s="1939" t="n">
        <v>45962</v>
      </c>
      <c r="D41" s="904" t="s">
        <v>16</v>
      </c>
      <c r="E41" s="1351" t="s">
        <v>1651</v>
      </c>
      <c r="F41" s="904" t="s">
        <v>3364</v>
      </c>
      <c r="G41" s="1940" t="n">
        <v>66</v>
      </c>
      <c r="H41" s="1940" t="n">
        <v>15</v>
      </c>
      <c r="I41" s="1355" t="n">
        <f aca="false">G41*H41</f>
        <v>990</v>
      </c>
      <c r="J41" s="1941" t="n">
        <v>28.289</v>
      </c>
      <c r="K41" s="1942" t="n">
        <f aca="false">I41*J41</f>
        <v>28006.11</v>
      </c>
      <c r="L41" s="891" t="n">
        <v>28006.11</v>
      </c>
      <c r="M41" s="891" t="n">
        <v>990</v>
      </c>
      <c r="N41" s="877" t="n">
        <f aca="false">M41/H41</f>
        <v>66</v>
      </c>
      <c r="O41" s="1943" t="s">
        <v>866</v>
      </c>
      <c r="P41" s="1947" t="n">
        <f aca="false">K41-L41</f>
        <v>0</v>
      </c>
      <c r="Q41" s="1945" t="n">
        <f aca="false">I41-M41</f>
        <v>0</v>
      </c>
      <c r="R41" s="1946" t="n">
        <f aca="false">G41-N41</f>
        <v>0</v>
      </c>
    </row>
    <row r="42" customFormat="false" ht="14.25" hidden="false" customHeight="false" outlineLevel="0" collapsed="false">
      <c r="A42" s="882" t="n">
        <v>589</v>
      </c>
      <c r="B42" s="830" t="n">
        <v>2024</v>
      </c>
      <c r="C42" s="1930" t="n">
        <v>45962</v>
      </c>
      <c r="D42" s="831" t="s">
        <v>16</v>
      </c>
      <c r="E42" s="1365" t="s">
        <v>1651</v>
      </c>
      <c r="F42" s="832" t="s">
        <v>3367</v>
      </c>
      <c r="G42" s="1931" t="n">
        <v>131</v>
      </c>
      <c r="H42" s="1931" t="n">
        <v>10</v>
      </c>
      <c r="I42" s="837" t="n">
        <f aca="false">G42*H42</f>
        <v>1310</v>
      </c>
      <c r="J42" s="1932" t="n">
        <v>29.1311</v>
      </c>
      <c r="K42" s="943" t="n">
        <f aca="false">I42*J42</f>
        <v>38161.741</v>
      </c>
      <c r="L42" s="840" t="n">
        <v>16896.038</v>
      </c>
      <c r="M42" s="840" t="n">
        <v>580</v>
      </c>
      <c r="N42" s="886" t="n">
        <f aca="false">M42/H42</f>
        <v>58</v>
      </c>
      <c r="O42" s="578" t="s">
        <v>904</v>
      </c>
      <c r="P42" s="1948" t="n">
        <f aca="false">K42-L42-L44-L43</f>
        <v>0</v>
      </c>
      <c r="Q42" s="1934" t="n">
        <f aca="false">I42-M42-M44-M43</f>
        <v>0</v>
      </c>
      <c r="R42" s="1935" t="n">
        <f aca="false">G42-N42-N44-N43</f>
        <v>0</v>
      </c>
    </row>
    <row r="43" customFormat="false" ht="14.25" hidden="false" customHeight="false" outlineLevel="0" collapsed="false">
      <c r="A43" s="882"/>
      <c r="B43" s="830"/>
      <c r="C43" s="1930"/>
      <c r="D43" s="904" t="s">
        <v>16</v>
      </c>
      <c r="E43" s="1351" t="s">
        <v>1651</v>
      </c>
      <c r="F43" s="832"/>
      <c r="G43" s="1931"/>
      <c r="H43" s="1931"/>
      <c r="I43" s="837"/>
      <c r="J43" s="1932"/>
      <c r="K43" s="943"/>
      <c r="L43" s="891" t="n">
        <v>19517.837</v>
      </c>
      <c r="M43" s="891" t="n">
        <v>670</v>
      </c>
      <c r="N43" s="866" t="n">
        <f aca="false">M43/H42</f>
        <v>67</v>
      </c>
      <c r="O43" s="1943" t="s">
        <v>1634</v>
      </c>
      <c r="P43" s="1948"/>
      <c r="Q43" s="1934"/>
      <c r="R43" s="1935"/>
    </row>
    <row r="44" customFormat="false" ht="14.25" hidden="false" customHeight="false" outlineLevel="0" collapsed="false">
      <c r="A44" s="882"/>
      <c r="B44" s="830"/>
      <c r="C44" s="1930"/>
      <c r="D44" s="843" t="s">
        <v>16</v>
      </c>
      <c r="E44" s="1357" t="s">
        <v>1651</v>
      </c>
      <c r="F44" s="832"/>
      <c r="G44" s="1931"/>
      <c r="H44" s="1931"/>
      <c r="I44" s="837"/>
      <c r="J44" s="1932"/>
      <c r="K44" s="943"/>
      <c r="L44" s="846" t="n">
        <v>1747.866</v>
      </c>
      <c r="M44" s="846" t="n">
        <v>60</v>
      </c>
      <c r="N44" s="846" t="n">
        <f aca="false">M44/H42</f>
        <v>6</v>
      </c>
      <c r="O44" s="1936" t="s">
        <v>1231</v>
      </c>
      <c r="P44" s="1948"/>
      <c r="Q44" s="1934"/>
      <c r="R44" s="1935"/>
    </row>
    <row r="45" customFormat="false" ht="14.25" hidden="false" customHeight="false" outlineLevel="0" collapsed="false">
      <c r="A45" s="903" t="n">
        <v>42</v>
      </c>
      <c r="B45" s="903" t="n">
        <v>2025</v>
      </c>
      <c r="C45" s="1939" t="n">
        <v>46023</v>
      </c>
      <c r="D45" s="904" t="s">
        <v>16</v>
      </c>
      <c r="E45" s="1351" t="s">
        <v>1651</v>
      </c>
      <c r="F45" s="904" t="s">
        <v>3371</v>
      </c>
      <c r="G45" s="1940" t="n">
        <v>84</v>
      </c>
      <c r="H45" s="1940" t="n">
        <v>12</v>
      </c>
      <c r="I45" s="1355" t="n">
        <f aca="false">G45*H45</f>
        <v>1008</v>
      </c>
      <c r="J45" s="1941" t="n">
        <v>29.5454</v>
      </c>
      <c r="K45" s="1942" t="n">
        <f aca="false">I45*J45</f>
        <v>29781.7632</v>
      </c>
      <c r="L45" s="891" t="n">
        <v>29781.7632</v>
      </c>
      <c r="M45" s="891" t="n">
        <v>1008</v>
      </c>
      <c r="N45" s="891" t="n">
        <f aca="false">M45/H45</f>
        <v>84</v>
      </c>
      <c r="O45" s="1943" t="s">
        <v>1022</v>
      </c>
      <c r="P45" s="1947" t="n">
        <f aca="false">K45-L45</f>
        <v>0</v>
      </c>
      <c r="Q45" s="1945" t="n">
        <f aca="false">I45-M45</f>
        <v>0</v>
      </c>
      <c r="R45" s="1946" t="n">
        <f aca="false">G45-N45</f>
        <v>0</v>
      </c>
    </row>
    <row r="46" customFormat="false" ht="14.25" hidden="false" customHeight="false" outlineLevel="0" collapsed="false">
      <c r="A46" s="882" t="n">
        <v>43</v>
      </c>
      <c r="B46" s="830" t="n">
        <v>2025</v>
      </c>
      <c r="C46" s="1930" t="n">
        <v>46023</v>
      </c>
      <c r="D46" s="831" t="s">
        <v>16</v>
      </c>
      <c r="E46" s="1365" t="s">
        <v>1651</v>
      </c>
      <c r="F46" s="832" t="s">
        <v>3364</v>
      </c>
      <c r="G46" s="1931" t="n">
        <v>14</v>
      </c>
      <c r="H46" s="1931" t="n">
        <v>15</v>
      </c>
      <c r="I46" s="837" t="n">
        <f aca="false">G46*H46</f>
        <v>210</v>
      </c>
      <c r="J46" s="1932" t="n">
        <v>31.515</v>
      </c>
      <c r="K46" s="943" t="n">
        <f aca="false">I46*J46</f>
        <v>6618.15</v>
      </c>
      <c r="L46" s="886" t="n">
        <v>945.45</v>
      </c>
      <c r="M46" s="886" t="n">
        <v>30</v>
      </c>
      <c r="N46" s="886" t="n">
        <f aca="false">M46/H46</f>
        <v>2</v>
      </c>
      <c r="O46" s="1595" t="s">
        <v>1025</v>
      </c>
      <c r="P46" s="1934" t="n">
        <f aca="false">K46-L46-L51-L50-L47-L48-L49</f>
        <v>5.6843418860808E-013</v>
      </c>
      <c r="Q46" s="1934" t="n">
        <f aca="false">I46-M46-M51-M50-M47-M48-M49</f>
        <v>0</v>
      </c>
      <c r="R46" s="1935" t="n">
        <f aca="false">G46-N46-N51-N50-N47-N48-N49</f>
        <v>0</v>
      </c>
    </row>
    <row r="47" customFormat="false" ht="14.25" hidden="false" customHeight="false" outlineLevel="0" collapsed="false">
      <c r="A47" s="882"/>
      <c r="B47" s="830"/>
      <c r="C47" s="1930"/>
      <c r="D47" s="860" t="s">
        <v>16</v>
      </c>
      <c r="E47" s="1480" t="s">
        <v>1651</v>
      </c>
      <c r="F47" s="832"/>
      <c r="G47" s="1931"/>
      <c r="H47" s="1931"/>
      <c r="I47" s="837"/>
      <c r="J47" s="1932"/>
      <c r="K47" s="943"/>
      <c r="L47" s="866" t="n">
        <v>1418.175</v>
      </c>
      <c r="M47" s="866" t="n">
        <v>45</v>
      </c>
      <c r="N47" s="866" t="n">
        <f aca="false">M47/H46</f>
        <v>3</v>
      </c>
      <c r="O47" s="545" t="s">
        <v>1308</v>
      </c>
      <c r="P47" s="1934"/>
      <c r="Q47" s="1934"/>
      <c r="R47" s="1935"/>
    </row>
    <row r="48" customFormat="false" ht="14.25" hidden="false" customHeight="false" outlineLevel="0" collapsed="false">
      <c r="A48" s="882"/>
      <c r="B48" s="830"/>
      <c r="C48" s="1930"/>
      <c r="D48" s="860" t="s">
        <v>16</v>
      </c>
      <c r="E48" s="1480" t="s">
        <v>1651</v>
      </c>
      <c r="F48" s="832"/>
      <c r="G48" s="1931"/>
      <c r="H48" s="1931"/>
      <c r="I48" s="837"/>
      <c r="J48" s="1932"/>
      <c r="K48" s="943"/>
      <c r="L48" s="866" t="n">
        <v>3309.075</v>
      </c>
      <c r="M48" s="866" t="n">
        <v>105</v>
      </c>
      <c r="N48" s="866" t="n">
        <f aca="false">M48/H46</f>
        <v>7</v>
      </c>
      <c r="O48" s="545" t="s">
        <v>1313</v>
      </c>
      <c r="P48" s="1934"/>
      <c r="Q48" s="1934"/>
      <c r="R48" s="1935"/>
    </row>
    <row r="49" customFormat="false" ht="14.25" hidden="false" customHeight="false" outlineLevel="0" collapsed="false">
      <c r="A49" s="882"/>
      <c r="B49" s="830"/>
      <c r="C49" s="1930"/>
      <c r="D49" s="860" t="s">
        <v>16</v>
      </c>
      <c r="E49" s="1480" t="s">
        <v>1651</v>
      </c>
      <c r="F49" s="832"/>
      <c r="G49" s="1931"/>
      <c r="H49" s="1931"/>
      <c r="I49" s="837"/>
      <c r="J49" s="1932"/>
      <c r="K49" s="943"/>
      <c r="L49" s="866" t="n">
        <v>-472.725</v>
      </c>
      <c r="M49" s="866" t="n">
        <v>-15</v>
      </c>
      <c r="N49" s="866" t="n">
        <f aca="false">M49/H46</f>
        <v>-1</v>
      </c>
      <c r="O49" s="545" t="s">
        <v>1375</v>
      </c>
      <c r="P49" s="1934"/>
      <c r="Q49" s="1934"/>
      <c r="R49" s="1935"/>
    </row>
    <row r="50" customFormat="false" ht="14.25" hidden="false" customHeight="false" outlineLevel="0" collapsed="false">
      <c r="A50" s="882"/>
      <c r="B50" s="830"/>
      <c r="C50" s="1930"/>
      <c r="D50" s="860" t="s">
        <v>16</v>
      </c>
      <c r="E50" s="1480" t="s">
        <v>1651</v>
      </c>
      <c r="F50" s="832"/>
      <c r="G50" s="1931"/>
      <c r="H50" s="1931"/>
      <c r="I50" s="837"/>
      <c r="J50" s="1932"/>
      <c r="K50" s="943"/>
      <c r="L50" s="866" t="n">
        <v>945.45</v>
      </c>
      <c r="M50" s="866" t="n">
        <v>30</v>
      </c>
      <c r="N50" s="866" t="n">
        <f aca="false">M50/H46</f>
        <v>2</v>
      </c>
      <c r="O50" s="545" t="s">
        <v>1634</v>
      </c>
      <c r="P50" s="1934"/>
      <c r="Q50" s="1934"/>
      <c r="R50" s="1935"/>
    </row>
    <row r="51" customFormat="false" ht="14.25" hidden="false" customHeight="false" outlineLevel="0" collapsed="false">
      <c r="A51" s="882"/>
      <c r="B51" s="830"/>
      <c r="C51" s="1930"/>
      <c r="D51" s="843" t="s">
        <v>16</v>
      </c>
      <c r="E51" s="1357" t="s">
        <v>1651</v>
      </c>
      <c r="F51" s="832"/>
      <c r="G51" s="1931"/>
      <c r="H51" s="1931"/>
      <c r="I51" s="837"/>
      <c r="J51" s="1932"/>
      <c r="K51" s="943"/>
      <c r="L51" s="846" t="n">
        <v>472.725</v>
      </c>
      <c r="M51" s="846" t="n">
        <v>15</v>
      </c>
      <c r="N51" s="846" t="n">
        <f aca="false">M51/H46</f>
        <v>1</v>
      </c>
      <c r="O51" s="1936" t="s">
        <v>3372</v>
      </c>
      <c r="P51" s="1934"/>
      <c r="Q51" s="1934"/>
      <c r="R51" s="1935"/>
    </row>
    <row r="52" customFormat="false" ht="14.25" hidden="false" customHeight="false" outlineLevel="0" collapsed="false">
      <c r="A52" s="1087" t="n">
        <v>49</v>
      </c>
      <c r="B52" s="1072" t="n">
        <v>2025</v>
      </c>
      <c r="C52" s="1949" t="n">
        <v>46023</v>
      </c>
      <c r="D52" s="904" t="s">
        <v>16</v>
      </c>
      <c r="E52" s="1351" t="s">
        <v>1651</v>
      </c>
      <c r="F52" s="887" t="s">
        <v>3367</v>
      </c>
      <c r="G52" s="1950" t="n">
        <v>39</v>
      </c>
      <c r="H52" s="1950" t="n">
        <v>15</v>
      </c>
      <c r="I52" s="1067" t="n">
        <f aca="false">G52*H52</f>
        <v>585</v>
      </c>
      <c r="J52" s="1951" t="n">
        <v>28.2768</v>
      </c>
      <c r="K52" s="1452" t="n">
        <f aca="false">I52*J52</f>
        <v>16541.928</v>
      </c>
      <c r="L52" s="891" t="n">
        <v>4241.52</v>
      </c>
      <c r="M52" s="891" t="n">
        <v>150</v>
      </c>
      <c r="N52" s="891" t="n">
        <f aca="false">M52/H52</f>
        <v>10</v>
      </c>
      <c r="O52" s="1943" t="s">
        <v>1048</v>
      </c>
      <c r="P52" s="1952" t="n">
        <f aca="false">K52-L52-L53</f>
        <v>0</v>
      </c>
      <c r="Q52" s="1953" t="n">
        <f aca="false">I52-M52-M53</f>
        <v>0</v>
      </c>
      <c r="R52" s="1954" t="n">
        <f aca="false">G52-N52-N53</f>
        <v>0</v>
      </c>
    </row>
    <row r="53" customFormat="false" ht="14.25" hidden="false" customHeight="false" outlineLevel="0" collapsed="false">
      <c r="A53" s="1087"/>
      <c r="B53" s="1072"/>
      <c r="C53" s="1949"/>
      <c r="D53" s="843" t="s">
        <v>16</v>
      </c>
      <c r="E53" s="1357" t="s">
        <v>1651</v>
      </c>
      <c r="F53" s="887"/>
      <c r="G53" s="1950"/>
      <c r="H53" s="1950"/>
      <c r="I53" s="1067"/>
      <c r="J53" s="1951"/>
      <c r="K53" s="1452"/>
      <c r="L53" s="846" t="n">
        <v>12300.408</v>
      </c>
      <c r="M53" s="846" t="n">
        <v>435</v>
      </c>
      <c r="N53" s="846" t="n">
        <f aca="false">M53/H52</f>
        <v>29</v>
      </c>
      <c r="O53" s="1936" t="s">
        <v>1076</v>
      </c>
      <c r="P53" s="1952"/>
      <c r="Q53" s="1953"/>
      <c r="R53" s="1954"/>
    </row>
    <row r="54" customFormat="false" ht="14.25" hidden="false" customHeight="false" outlineLevel="0" collapsed="false">
      <c r="A54" s="903" t="n">
        <v>69</v>
      </c>
      <c r="B54" s="903" t="n">
        <v>2025</v>
      </c>
      <c r="C54" s="1939" t="n">
        <v>46023</v>
      </c>
      <c r="D54" s="904" t="s">
        <v>16</v>
      </c>
      <c r="E54" s="1351" t="s">
        <v>1651</v>
      </c>
      <c r="F54" s="904" t="s">
        <v>3371</v>
      </c>
      <c r="G54" s="1940" t="n">
        <v>84</v>
      </c>
      <c r="H54" s="1940" t="n">
        <v>12</v>
      </c>
      <c r="I54" s="1355" t="n">
        <f aca="false">G54*H54</f>
        <v>1008</v>
      </c>
      <c r="J54" s="1941" t="n">
        <v>27.9599</v>
      </c>
      <c r="K54" s="1942" t="n">
        <f aca="false">I54*J54</f>
        <v>28183.5792</v>
      </c>
      <c r="L54" s="891" t="n">
        <v>28183.5792</v>
      </c>
      <c r="M54" s="891" t="n">
        <v>1008</v>
      </c>
      <c r="N54" s="886" t="n">
        <f aca="false">M54/H54</f>
        <v>84</v>
      </c>
      <c r="O54" s="1943"/>
      <c r="P54" s="1947" t="n">
        <f aca="false">K54-L54</f>
        <v>0</v>
      </c>
      <c r="Q54" s="1945" t="n">
        <f aca="false">I54-M54</f>
        <v>0</v>
      </c>
      <c r="R54" s="1946" t="n">
        <f aca="false">G54-N54</f>
        <v>0</v>
      </c>
    </row>
    <row r="55" customFormat="false" ht="14.25" hidden="false" customHeight="false" outlineLevel="0" collapsed="false">
      <c r="A55" s="870" t="n">
        <v>72</v>
      </c>
      <c r="B55" s="1495" t="n">
        <v>2025</v>
      </c>
      <c r="C55" s="1955" t="n">
        <v>46023</v>
      </c>
      <c r="D55" s="871" t="s">
        <v>16</v>
      </c>
      <c r="E55" s="1478" t="s">
        <v>1651</v>
      </c>
      <c r="F55" s="871" t="s">
        <v>3371</v>
      </c>
      <c r="G55" s="1956" t="n">
        <v>16</v>
      </c>
      <c r="H55" s="1956" t="n">
        <v>15</v>
      </c>
      <c r="I55" s="1587" t="n">
        <f aca="false">G55*H55</f>
        <v>240</v>
      </c>
      <c r="J55" s="1957" t="n">
        <v>28.0763</v>
      </c>
      <c r="K55" s="1958" t="n">
        <f aca="false">I55*J55</f>
        <v>6738.312</v>
      </c>
      <c r="L55" s="877" t="n">
        <v>6738.312</v>
      </c>
      <c r="M55" s="877" t="n">
        <v>240</v>
      </c>
      <c r="N55" s="877" t="n">
        <f aca="false">M55/H55</f>
        <v>16</v>
      </c>
      <c r="O55" s="584" t="s">
        <v>3372</v>
      </c>
      <c r="P55" s="1959" t="n">
        <f aca="false">K55-L55</f>
        <v>0</v>
      </c>
      <c r="Q55" s="1960" t="n">
        <f aca="false">I55-M55</f>
        <v>0</v>
      </c>
      <c r="R55" s="1961" t="n">
        <f aca="false">G55-N55</f>
        <v>0</v>
      </c>
    </row>
    <row r="56" customFormat="false" ht="14.25" hidden="false" customHeight="false" outlineLevel="0" collapsed="false">
      <c r="A56" s="870" t="n">
        <v>161</v>
      </c>
      <c r="B56" s="1495" t="n">
        <v>2025</v>
      </c>
      <c r="C56" s="1955" t="n">
        <v>46054</v>
      </c>
      <c r="D56" s="871" t="s">
        <v>16</v>
      </c>
      <c r="E56" s="1478" t="s">
        <v>1651</v>
      </c>
      <c r="F56" s="871" t="s">
        <v>3371</v>
      </c>
      <c r="G56" s="1956" t="n">
        <v>117</v>
      </c>
      <c r="H56" s="1956" t="n">
        <v>15</v>
      </c>
      <c r="I56" s="1587" t="n">
        <f aca="false">G56*H56</f>
        <v>1755</v>
      </c>
      <c r="J56" s="1957" t="n">
        <v>31.4187</v>
      </c>
      <c r="K56" s="1958" t="n">
        <f aca="false">I56*J56</f>
        <v>55139.8185</v>
      </c>
      <c r="L56" s="877" t="n">
        <v>55139.8185</v>
      </c>
      <c r="M56" s="877" t="n">
        <v>1755</v>
      </c>
      <c r="N56" s="877" t="n">
        <f aca="false">M56/H56</f>
        <v>117</v>
      </c>
      <c r="O56" s="584" t="s">
        <v>3372</v>
      </c>
      <c r="P56" s="1959" t="n">
        <f aca="false">K56-L56</f>
        <v>0</v>
      </c>
      <c r="Q56" s="1960" t="n">
        <f aca="false">I56-M56</f>
        <v>0</v>
      </c>
      <c r="R56" s="1961" t="n">
        <f aca="false">G56-N56</f>
        <v>0</v>
      </c>
    </row>
    <row r="57" customFormat="false" ht="14.25" hidden="false" customHeight="false" outlineLevel="0" collapsed="false">
      <c r="A57" s="829" t="n">
        <v>205</v>
      </c>
      <c r="B57" s="830" t="n">
        <v>2025</v>
      </c>
      <c r="C57" s="1930" t="n">
        <v>46082</v>
      </c>
      <c r="D57" s="1328" t="s">
        <v>16</v>
      </c>
      <c r="E57" s="1607" t="s">
        <v>1651</v>
      </c>
      <c r="F57" s="832" t="s">
        <v>3367</v>
      </c>
      <c r="G57" s="1931" t="n">
        <v>243</v>
      </c>
      <c r="H57" s="1931" t="n">
        <v>15</v>
      </c>
      <c r="I57" s="837" t="n">
        <f aca="false">G57*H57</f>
        <v>3645</v>
      </c>
      <c r="J57" s="1932" t="n">
        <v>30.2551</v>
      </c>
      <c r="K57" s="943" t="n">
        <f aca="false">I57*J57</f>
        <v>110279.8395</v>
      </c>
      <c r="L57" s="886" t="n">
        <v>90765.3</v>
      </c>
      <c r="M57" s="886" t="n">
        <v>3000</v>
      </c>
      <c r="N57" s="886" t="n">
        <f aca="false">M57/H57</f>
        <v>200</v>
      </c>
      <c r="O57" s="1595" t="s">
        <v>1312</v>
      </c>
      <c r="P57" s="1948" t="n">
        <f aca="false">K57-L57-L58</f>
        <v>0</v>
      </c>
      <c r="Q57" s="1934" t="n">
        <f aca="false">I57-M57-M58</f>
        <v>0</v>
      </c>
      <c r="R57" s="1935" t="n">
        <f aca="false">G57-N57-N58</f>
        <v>0</v>
      </c>
    </row>
    <row r="58" customFormat="false" ht="14.25" hidden="false" customHeight="false" outlineLevel="0" collapsed="false">
      <c r="A58" s="829"/>
      <c r="B58" s="830"/>
      <c r="C58" s="1930"/>
      <c r="D58" s="843" t="s">
        <v>16</v>
      </c>
      <c r="E58" s="1357" t="s">
        <v>1651</v>
      </c>
      <c r="F58" s="832"/>
      <c r="G58" s="1931"/>
      <c r="H58" s="1931"/>
      <c r="I58" s="837"/>
      <c r="J58" s="1932"/>
      <c r="K58" s="943"/>
      <c r="L58" s="846" t="n">
        <v>19514.5395</v>
      </c>
      <c r="M58" s="846" t="n">
        <v>645</v>
      </c>
      <c r="N58" s="846" t="n">
        <f aca="false">M58/H57</f>
        <v>43</v>
      </c>
      <c r="O58" s="1936" t="s">
        <v>1313</v>
      </c>
      <c r="P58" s="1948"/>
      <c r="Q58" s="1934"/>
      <c r="R58" s="1935"/>
    </row>
    <row r="59" customFormat="false" ht="15" hidden="false" customHeight="true" outlineLevel="0" collapsed="false">
      <c r="A59" s="903"/>
      <c r="B59" s="903"/>
      <c r="C59" s="1939"/>
      <c r="D59" s="904"/>
      <c r="E59" s="1826"/>
      <c r="F59" s="904"/>
      <c r="G59" s="1962"/>
      <c r="H59" s="1962"/>
      <c r="I59" s="891"/>
      <c r="J59" s="1963"/>
      <c r="K59" s="1138"/>
      <c r="L59" s="891"/>
      <c r="M59" s="891"/>
      <c r="N59" s="891"/>
      <c r="O59" s="942"/>
      <c r="P59" s="1964"/>
      <c r="Q59" s="1946"/>
      <c r="R59" s="1946"/>
    </row>
    <row r="60" customFormat="false" ht="14.25" hidden="false" customHeight="false" outlineLevel="0" collapsed="false">
      <c r="A60" s="829" t="n">
        <v>338</v>
      </c>
      <c r="B60" s="830" t="n">
        <v>2023</v>
      </c>
      <c r="C60" s="1965" t="n">
        <v>45536</v>
      </c>
      <c r="D60" s="831" t="s">
        <v>7</v>
      </c>
      <c r="E60" s="1365" t="s">
        <v>2131</v>
      </c>
      <c r="F60" s="832" t="s">
        <v>3364</v>
      </c>
      <c r="G60" s="1931" t="n">
        <v>214</v>
      </c>
      <c r="H60" s="1931" t="n">
        <v>25</v>
      </c>
      <c r="I60" s="837" t="n">
        <f aca="false">G60*H60</f>
        <v>5350</v>
      </c>
      <c r="J60" s="1059" t="n">
        <v>63.8741</v>
      </c>
      <c r="K60" s="943" t="n">
        <f aca="false">I60*J60</f>
        <v>341726.435</v>
      </c>
      <c r="L60" s="1369" t="n">
        <v>38324.46</v>
      </c>
      <c r="M60" s="840" t="n">
        <v>600</v>
      </c>
      <c r="N60" s="886" t="n">
        <f aca="false">M60/H60</f>
        <v>24</v>
      </c>
      <c r="O60" s="578" t="n">
        <v>85412</v>
      </c>
      <c r="P60" s="1934" t="n">
        <f aca="false">K60-L60-L64-L63-L61-L62</f>
        <v>-1.45519152283669E-011</v>
      </c>
      <c r="Q60" s="1934" t="n">
        <f aca="false">I60-M60-M64-M63-M61-M62</f>
        <v>0</v>
      </c>
      <c r="R60" s="1935" t="n">
        <f aca="false">G60-N60-N64-N63-N61-N62</f>
        <v>0</v>
      </c>
    </row>
    <row r="61" customFormat="false" ht="14.25" hidden="false" customHeight="false" outlineLevel="0" collapsed="false">
      <c r="A61" s="829"/>
      <c r="B61" s="830"/>
      <c r="C61" s="1965"/>
      <c r="D61" s="848" t="s">
        <v>7</v>
      </c>
      <c r="E61" s="1479" t="s">
        <v>2131</v>
      </c>
      <c r="F61" s="832"/>
      <c r="G61" s="1931"/>
      <c r="H61" s="1931"/>
      <c r="I61" s="837"/>
      <c r="J61" s="1059"/>
      <c r="K61" s="943"/>
      <c r="L61" s="1380" t="n">
        <v>25549.64</v>
      </c>
      <c r="M61" s="854" t="n">
        <v>400</v>
      </c>
      <c r="N61" s="866" t="n">
        <f aca="false">M61/H60</f>
        <v>16</v>
      </c>
      <c r="O61" s="580" t="n">
        <v>86252</v>
      </c>
      <c r="P61" s="1934"/>
      <c r="Q61" s="1934"/>
      <c r="R61" s="1935"/>
    </row>
    <row r="62" customFormat="false" ht="14.25" hidden="false" customHeight="false" outlineLevel="0" collapsed="false">
      <c r="A62" s="829"/>
      <c r="B62" s="830"/>
      <c r="C62" s="1965"/>
      <c r="D62" s="848" t="s">
        <v>7</v>
      </c>
      <c r="E62" s="1479" t="s">
        <v>2131</v>
      </c>
      <c r="F62" s="832"/>
      <c r="G62" s="1931"/>
      <c r="H62" s="1931"/>
      <c r="I62" s="837"/>
      <c r="J62" s="1059"/>
      <c r="K62" s="943"/>
      <c r="L62" s="1380" t="n">
        <v>12774.82</v>
      </c>
      <c r="M62" s="854" t="n">
        <v>200</v>
      </c>
      <c r="N62" s="866" t="n">
        <f aca="false">M62/H60</f>
        <v>8</v>
      </c>
      <c r="O62" s="580" t="s">
        <v>3373</v>
      </c>
      <c r="P62" s="1934"/>
      <c r="Q62" s="1934"/>
      <c r="R62" s="1935"/>
    </row>
    <row r="63" customFormat="false" ht="14.25" hidden="false" customHeight="false" outlineLevel="0" collapsed="false">
      <c r="A63" s="829"/>
      <c r="B63" s="830"/>
      <c r="C63" s="1965"/>
      <c r="D63" s="860" t="s">
        <v>7</v>
      </c>
      <c r="E63" s="1480" t="s">
        <v>2131</v>
      </c>
      <c r="F63" s="832"/>
      <c r="G63" s="1931"/>
      <c r="H63" s="1931"/>
      <c r="I63" s="837"/>
      <c r="J63" s="1059"/>
      <c r="K63" s="943"/>
      <c r="L63" s="1521" t="n">
        <v>9581.115</v>
      </c>
      <c r="M63" s="866" t="n">
        <v>150</v>
      </c>
      <c r="N63" s="866" t="n">
        <f aca="false">M63/H60</f>
        <v>6</v>
      </c>
      <c r="O63" s="545" t="n">
        <v>85767</v>
      </c>
      <c r="P63" s="1934"/>
      <c r="Q63" s="1934"/>
      <c r="R63" s="1935"/>
    </row>
    <row r="64" customFormat="false" ht="14.25" hidden="false" customHeight="false" outlineLevel="0" collapsed="false">
      <c r="A64" s="829"/>
      <c r="B64" s="830"/>
      <c r="C64" s="1965"/>
      <c r="D64" s="887" t="s">
        <v>7</v>
      </c>
      <c r="E64" s="1501" t="s">
        <v>2131</v>
      </c>
      <c r="F64" s="832"/>
      <c r="G64" s="1931"/>
      <c r="H64" s="1931"/>
      <c r="I64" s="837"/>
      <c r="J64" s="1059"/>
      <c r="K64" s="943"/>
      <c r="L64" s="1381" t="n">
        <v>255496.4</v>
      </c>
      <c r="M64" s="890" t="n">
        <v>4000</v>
      </c>
      <c r="N64" s="890" t="n">
        <f aca="false">M64/H60</f>
        <v>160</v>
      </c>
      <c r="O64" s="1938" t="n">
        <v>85505</v>
      </c>
      <c r="P64" s="1934"/>
      <c r="Q64" s="1934"/>
      <c r="R64" s="1935"/>
    </row>
    <row r="65" customFormat="false" ht="14.25" hidden="false" customHeight="false" outlineLevel="0" collapsed="false">
      <c r="A65" s="829" t="n">
        <v>443</v>
      </c>
      <c r="B65" s="830" t="n">
        <v>2023</v>
      </c>
      <c r="C65" s="1965" t="n">
        <v>45566</v>
      </c>
      <c r="D65" s="831" t="s">
        <v>7</v>
      </c>
      <c r="E65" s="1365" t="s">
        <v>1652</v>
      </c>
      <c r="F65" s="832" t="s">
        <v>3364</v>
      </c>
      <c r="G65" s="1931" t="n">
        <v>21</v>
      </c>
      <c r="H65" s="1931" t="n">
        <v>15</v>
      </c>
      <c r="I65" s="837" t="n">
        <f aca="false">G65*H65</f>
        <v>315</v>
      </c>
      <c r="J65" s="1059" t="n">
        <v>45.9</v>
      </c>
      <c r="K65" s="943" t="n">
        <f aca="false">I65*J65</f>
        <v>14458.5</v>
      </c>
      <c r="L65" s="1665" t="n">
        <v>6885</v>
      </c>
      <c r="M65" s="886" t="n">
        <v>150</v>
      </c>
      <c r="N65" s="886" t="n">
        <f aca="false">M65/H65</f>
        <v>10</v>
      </c>
      <c r="O65" s="1595" t="n">
        <v>85631</v>
      </c>
      <c r="P65" s="1933" t="n">
        <f aca="false">K65-L65-L69-L68-L66-L67</f>
        <v>0</v>
      </c>
      <c r="Q65" s="1934" t="n">
        <f aca="false">I65-M65-M69-M68-M66-M67</f>
        <v>0</v>
      </c>
      <c r="R65" s="1935" t="n">
        <f aca="false">G65-N65-N69-N68-N66-N67</f>
        <v>0</v>
      </c>
    </row>
    <row r="66" customFormat="false" ht="14.25" hidden="false" customHeight="false" outlineLevel="0" collapsed="false">
      <c r="A66" s="829"/>
      <c r="B66" s="830"/>
      <c r="C66" s="1965"/>
      <c r="D66" s="860" t="s">
        <v>7</v>
      </c>
      <c r="E66" s="1480" t="s">
        <v>1652</v>
      </c>
      <c r="F66" s="832"/>
      <c r="G66" s="1931"/>
      <c r="H66" s="1931"/>
      <c r="I66" s="837"/>
      <c r="J66" s="1059"/>
      <c r="K66" s="943"/>
      <c r="L66" s="1521" t="n">
        <v>1377</v>
      </c>
      <c r="M66" s="866" t="n">
        <v>30</v>
      </c>
      <c r="N66" s="866" t="n">
        <f aca="false">M66/H65</f>
        <v>2</v>
      </c>
      <c r="O66" s="545" t="n">
        <v>86619</v>
      </c>
      <c r="P66" s="1933"/>
      <c r="Q66" s="1934"/>
      <c r="R66" s="1935"/>
    </row>
    <row r="67" customFormat="false" ht="14.25" hidden="false" customHeight="false" outlineLevel="0" collapsed="false">
      <c r="A67" s="829"/>
      <c r="B67" s="830"/>
      <c r="C67" s="1965"/>
      <c r="D67" s="860" t="s">
        <v>7</v>
      </c>
      <c r="E67" s="1480" t="s">
        <v>1652</v>
      </c>
      <c r="F67" s="832"/>
      <c r="G67" s="1931"/>
      <c r="H67" s="1931"/>
      <c r="I67" s="837"/>
      <c r="J67" s="1059"/>
      <c r="K67" s="943"/>
      <c r="L67" s="1521" t="n">
        <v>1377</v>
      </c>
      <c r="M67" s="866" t="n">
        <v>30</v>
      </c>
      <c r="N67" s="866" t="n">
        <f aca="false">M67/H65</f>
        <v>2</v>
      </c>
      <c r="O67" s="545" t="s">
        <v>1634</v>
      </c>
      <c r="P67" s="1933"/>
      <c r="Q67" s="1934"/>
      <c r="R67" s="1935"/>
    </row>
    <row r="68" customFormat="false" ht="14.25" hidden="false" customHeight="false" outlineLevel="0" collapsed="false">
      <c r="A68" s="829"/>
      <c r="B68" s="830"/>
      <c r="C68" s="1965"/>
      <c r="D68" s="860" t="s">
        <v>7</v>
      </c>
      <c r="E68" s="1480" t="s">
        <v>1652</v>
      </c>
      <c r="F68" s="832"/>
      <c r="G68" s="1931"/>
      <c r="H68" s="1931"/>
      <c r="I68" s="837"/>
      <c r="J68" s="1059"/>
      <c r="K68" s="943"/>
      <c r="L68" s="1521" t="n">
        <v>4131</v>
      </c>
      <c r="M68" s="866" t="n">
        <v>90</v>
      </c>
      <c r="N68" s="866" t="n">
        <f aca="false">M68/H65</f>
        <v>6</v>
      </c>
      <c r="O68" s="545" t="n">
        <v>85739</v>
      </c>
      <c r="P68" s="1933"/>
      <c r="Q68" s="1934"/>
      <c r="R68" s="1935"/>
    </row>
    <row r="69" customFormat="false" ht="14.25" hidden="false" customHeight="false" outlineLevel="0" collapsed="false">
      <c r="A69" s="829"/>
      <c r="B69" s="830"/>
      <c r="C69" s="1965"/>
      <c r="D69" s="843" t="s">
        <v>7</v>
      </c>
      <c r="E69" s="1357" t="s">
        <v>1652</v>
      </c>
      <c r="F69" s="832"/>
      <c r="G69" s="1931"/>
      <c r="H69" s="1931"/>
      <c r="I69" s="837"/>
      <c r="J69" s="1059"/>
      <c r="K69" s="943"/>
      <c r="L69" s="1362" t="n">
        <v>688.5</v>
      </c>
      <c r="M69" s="846" t="n">
        <v>15</v>
      </c>
      <c r="N69" s="846" t="n">
        <f aca="false">M69/H65</f>
        <v>1</v>
      </c>
      <c r="O69" s="1936" t="n">
        <v>85691</v>
      </c>
      <c r="P69" s="1933"/>
      <c r="Q69" s="1934"/>
      <c r="R69" s="1935"/>
    </row>
    <row r="70" customFormat="false" ht="14.25" hidden="false" customHeight="false" outlineLevel="0" collapsed="false">
      <c r="A70" s="829" t="n">
        <v>118</v>
      </c>
      <c r="B70" s="830" t="n">
        <v>2024</v>
      </c>
      <c r="C70" s="1965" t="n">
        <v>45689</v>
      </c>
      <c r="D70" s="831" t="s">
        <v>7</v>
      </c>
      <c r="E70" s="1365" t="s">
        <v>1651</v>
      </c>
      <c r="F70" s="832" t="s">
        <v>3364</v>
      </c>
      <c r="G70" s="1931" t="n">
        <v>313</v>
      </c>
      <c r="H70" s="1931" t="n">
        <v>15</v>
      </c>
      <c r="I70" s="837" t="n">
        <f aca="false">G70*H70</f>
        <v>4695</v>
      </c>
      <c r="J70" s="1059" t="n">
        <v>28.1804</v>
      </c>
      <c r="K70" s="943" t="n">
        <f aca="false">I70*J70</f>
        <v>132306.978</v>
      </c>
      <c r="L70" s="1665" t="n">
        <v>28321.302</v>
      </c>
      <c r="M70" s="886" t="n">
        <v>1005</v>
      </c>
      <c r="N70" s="886" t="n">
        <f aca="false">M70/H70</f>
        <v>67</v>
      </c>
      <c r="O70" s="1595" t="n">
        <v>86630</v>
      </c>
      <c r="P70" s="1934" t="n">
        <f aca="false">K70-L70-L83-L82-L71-L81-L80-L72-L73-L79-L78-L74-L75-L76-L77</f>
        <v>3.75166564481333E-012</v>
      </c>
      <c r="Q70" s="1934" t="n">
        <f aca="false">I70-M70-M83-M82-M71-M81-M80-M72-M73-M79-M78-M74-M75-M76-M77</f>
        <v>0</v>
      </c>
      <c r="R70" s="1935" t="n">
        <f aca="false">G70-N70-N83-N82-N71-N81-N80-N72-N73-N79-N78-N74-N75-N76-N77</f>
        <v>0</v>
      </c>
    </row>
    <row r="71" customFormat="false" ht="14.25" hidden="false" customHeight="false" outlineLevel="0" collapsed="false">
      <c r="A71" s="829"/>
      <c r="B71" s="830"/>
      <c r="C71" s="1965"/>
      <c r="D71" s="860" t="s">
        <v>7</v>
      </c>
      <c r="E71" s="1480" t="s">
        <v>1651</v>
      </c>
      <c r="F71" s="832"/>
      <c r="G71" s="1931"/>
      <c r="H71" s="1931"/>
      <c r="I71" s="837"/>
      <c r="J71" s="1059"/>
      <c r="K71" s="943"/>
      <c r="L71" s="1521" t="n">
        <v>2536.236</v>
      </c>
      <c r="M71" s="866" t="n">
        <v>90</v>
      </c>
      <c r="N71" s="866" t="n">
        <f aca="false">M71/H70</f>
        <v>6</v>
      </c>
      <c r="O71" s="545" t="n">
        <v>86710</v>
      </c>
      <c r="P71" s="1934"/>
      <c r="Q71" s="1934"/>
      <c r="R71" s="1935"/>
    </row>
    <row r="72" customFormat="false" ht="14.25" hidden="false" customHeight="false" outlineLevel="0" collapsed="false">
      <c r="A72" s="829"/>
      <c r="B72" s="830"/>
      <c r="C72" s="1965"/>
      <c r="D72" s="860" t="s">
        <v>7</v>
      </c>
      <c r="E72" s="1480" t="s">
        <v>1651</v>
      </c>
      <c r="F72" s="832"/>
      <c r="G72" s="1931"/>
      <c r="H72" s="1931"/>
      <c r="I72" s="837"/>
      <c r="J72" s="1059"/>
      <c r="K72" s="943"/>
      <c r="L72" s="1521" t="n">
        <v>3804.354</v>
      </c>
      <c r="M72" s="866" t="n">
        <v>135</v>
      </c>
      <c r="N72" s="866" t="n">
        <f aca="false">M72/H70</f>
        <v>9</v>
      </c>
      <c r="O72" s="545" t="n">
        <v>86804</v>
      </c>
      <c r="P72" s="1934"/>
      <c r="Q72" s="1934"/>
      <c r="R72" s="1935"/>
    </row>
    <row r="73" customFormat="false" ht="14.25" hidden="false" customHeight="false" outlineLevel="0" collapsed="false">
      <c r="A73" s="829"/>
      <c r="B73" s="830"/>
      <c r="C73" s="1965"/>
      <c r="D73" s="860" t="s">
        <v>7</v>
      </c>
      <c r="E73" s="1480" t="s">
        <v>1651</v>
      </c>
      <c r="F73" s="832"/>
      <c r="G73" s="1931"/>
      <c r="H73" s="1931"/>
      <c r="I73" s="837"/>
      <c r="J73" s="1059"/>
      <c r="K73" s="943"/>
      <c r="L73" s="1521" t="n">
        <v>1268.118</v>
      </c>
      <c r="M73" s="866" t="n">
        <v>45</v>
      </c>
      <c r="N73" s="866" t="n">
        <f aca="false">M73/H70</f>
        <v>3</v>
      </c>
      <c r="O73" s="545" t="n">
        <v>86816</v>
      </c>
      <c r="P73" s="1934"/>
      <c r="Q73" s="1934"/>
      <c r="R73" s="1935"/>
    </row>
    <row r="74" customFormat="false" ht="14.25" hidden="false" customHeight="false" outlineLevel="0" collapsed="false">
      <c r="A74" s="829"/>
      <c r="B74" s="830"/>
      <c r="C74" s="1965"/>
      <c r="D74" s="860" t="s">
        <v>7</v>
      </c>
      <c r="E74" s="1480" t="s">
        <v>1651</v>
      </c>
      <c r="F74" s="832"/>
      <c r="G74" s="1931"/>
      <c r="H74" s="1931"/>
      <c r="I74" s="837"/>
      <c r="J74" s="1059"/>
      <c r="K74" s="943"/>
      <c r="L74" s="1521" t="n">
        <v>2113.53</v>
      </c>
      <c r="M74" s="866" t="n">
        <v>75</v>
      </c>
      <c r="N74" s="866" t="n">
        <f aca="false">M74/H70</f>
        <v>5</v>
      </c>
      <c r="O74" s="545" t="n">
        <v>86905</v>
      </c>
      <c r="P74" s="1934"/>
      <c r="Q74" s="1934"/>
      <c r="R74" s="1935"/>
    </row>
    <row r="75" customFormat="false" ht="14.25" hidden="false" customHeight="false" outlineLevel="0" collapsed="false">
      <c r="A75" s="829"/>
      <c r="B75" s="830"/>
      <c r="C75" s="1965"/>
      <c r="D75" s="860" t="s">
        <v>7</v>
      </c>
      <c r="E75" s="1480" t="s">
        <v>1651</v>
      </c>
      <c r="F75" s="832"/>
      <c r="G75" s="1931"/>
      <c r="H75" s="1931"/>
      <c r="I75" s="837"/>
      <c r="J75" s="1059"/>
      <c r="K75" s="943"/>
      <c r="L75" s="1521" t="n">
        <v>4227.06</v>
      </c>
      <c r="M75" s="866" t="n">
        <v>150</v>
      </c>
      <c r="N75" s="866" t="n">
        <f aca="false">M75/H70</f>
        <v>10</v>
      </c>
      <c r="O75" s="545" t="n">
        <v>86907</v>
      </c>
      <c r="P75" s="1934"/>
      <c r="Q75" s="1934"/>
      <c r="R75" s="1935"/>
    </row>
    <row r="76" customFormat="false" ht="14.25" hidden="false" customHeight="false" outlineLevel="0" collapsed="false">
      <c r="A76" s="829"/>
      <c r="B76" s="830"/>
      <c r="C76" s="1965"/>
      <c r="D76" s="860" t="s">
        <v>7</v>
      </c>
      <c r="E76" s="1480" t="s">
        <v>1651</v>
      </c>
      <c r="F76" s="832"/>
      <c r="G76" s="1931"/>
      <c r="H76" s="1931"/>
      <c r="I76" s="837"/>
      <c r="J76" s="1059"/>
      <c r="K76" s="943"/>
      <c r="L76" s="1521" t="n">
        <v>8454.12</v>
      </c>
      <c r="M76" s="866" t="n">
        <v>300</v>
      </c>
      <c r="N76" s="866" t="n">
        <f aca="false">M76/H70</f>
        <v>20</v>
      </c>
      <c r="O76" s="545" t="n">
        <v>86960</v>
      </c>
      <c r="P76" s="1934"/>
      <c r="Q76" s="1934"/>
      <c r="R76" s="1935"/>
    </row>
    <row r="77" customFormat="false" ht="14.25" hidden="false" customHeight="false" outlineLevel="0" collapsed="false">
      <c r="A77" s="829"/>
      <c r="B77" s="830"/>
      <c r="C77" s="1965"/>
      <c r="D77" s="860" t="s">
        <v>7</v>
      </c>
      <c r="E77" s="1480" t="s">
        <v>1651</v>
      </c>
      <c r="F77" s="832"/>
      <c r="G77" s="1931"/>
      <c r="H77" s="1931"/>
      <c r="I77" s="837"/>
      <c r="J77" s="1059"/>
      <c r="K77" s="943"/>
      <c r="L77" s="1521" t="n">
        <v>423.706</v>
      </c>
      <c r="M77" s="866" t="n">
        <v>15</v>
      </c>
      <c r="N77" s="866" t="n">
        <f aca="false">M77/H70</f>
        <v>1</v>
      </c>
      <c r="O77" s="545" t="n">
        <v>86948</v>
      </c>
      <c r="P77" s="1934"/>
      <c r="Q77" s="1934"/>
      <c r="R77" s="1935"/>
    </row>
    <row r="78" customFormat="false" ht="14.25" hidden="false" customHeight="false" outlineLevel="0" collapsed="false">
      <c r="A78" s="829"/>
      <c r="B78" s="830"/>
      <c r="C78" s="1965"/>
      <c r="D78" s="860" t="s">
        <v>7</v>
      </c>
      <c r="E78" s="1480" t="s">
        <v>1651</v>
      </c>
      <c r="F78" s="832"/>
      <c r="G78" s="1931"/>
      <c r="H78" s="1931"/>
      <c r="I78" s="837"/>
      <c r="J78" s="1059"/>
      <c r="K78" s="943"/>
      <c r="L78" s="1521" t="n">
        <v>13526.592</v>
      </c>
      <c r="M78" s="866" t="n">
        <v>480</v>
      </c>
      <c r="N78" s="866" t="n">
        <f aca="false">M78/H70</f>
        <v>32</v>
      </c>
      <c r="O78" s="545" t="n">
        <v>86903</v>
      </c>
      <c r="P78" s="1934"/>
      <c r="Q78" s="1934"/>
      <c r="R78" s="1935"/>
    </row>
    <row r="79" customFormat="false" ht="14.25" hidden="false" customHeight="false" outlineLevel="0" collapsed="false">
      <c r="A79" s="829"/>
      <c r="B79" s="830"/>
      <c r="C79" s="1965"/>
      <c r="D79" s="860" t="s">
        <v>7</v>
      </c>
      <c r="E79" s="1480" t="s">
        <v>1651</v>
      </c>
      <c r="F79" s="832"/>
      <c r="G79" s="1931"/>
      <c r="H79" s="1931"/>
      <c r="I79" s="837"/>
      <c r="J79" s="1059"/>
      <c r="K79" s="943"/>
      <c r="L79" s="1521" t="n">
        <v>3381.648</v>
      </c>
      <c r="M79" s="866" t="n">
        <v>120</v>
      </c>
      <c r="N79" s="866" t="n">
        <f aca="false">M79/H70</f>
        <v>8</v>
      </c>
      <c r="O79" s="545" t="s">
        <v>2240</v>
      </c>
      <c r="P79" s="1934"/>
      <c r="Q79" s="1934"/>
      <c r="R79" s="1935"/>
    </row>
    <row r="80" customFormat="false" ht="14.25" hidden="false" customHeight="false" outlineLevel="0" collapsed="false">
      <c r="A80" s="829"/>
      <c r="B80" s="830"/>
      <c r="C80" s="1965"/>
      <c r="D80" s="860" t="s">
        <v>7</v>
      </c>
      <c r="E80" s="1480" t="s">
        <v>1651</v>
      </c>
      <c r="F80" s="832"/>
      <c r="G80" s="1931"/>
      <c r="H80" s="1931"/>
      <c r="I80" s="837"/>
      <c r="J80" s="1059"/>
      <c r="K80" s="943"/>
      <c r="L80" s="1521" t="n">
        <v>11413.062</v>
      </c>
      <c r="M80" s="866" t="n">
        <v>405</v>
      </c>
      <c r="N80" s="866" t="n">
        <f aca="false">M80/H70</f>
        <v>27</v>
      </c>
      <c r="O80" s="545" t="n">
        <v>86793</v>
      </c>
      <c r="P80" s="1934"/>
      <c r="Q80" s="1934"/>
      <c r="R80" s="1935"/>
    </row>
    <row r="81" customFormat="false" ht="14.25" hidden="false" customHeight="false" outlineLevel="0" collapsed="false">
      <c r="A81" s="829"/>
      <c r="B81" s="830"/>
      <c r="C81" s="1965"/>
      <c r="D81" s="860" t="s">
        <v>7</v>
      </c>
      <c r="E81" s="1480" t="s">
        <v>1651</v>
      </c>
      <c r="F81" s="832"/>
      <c r="G81" s="1931"/>
      <c r="H81" s="1931"/>
      <c r="I81" s="837"/>
      <c r="J81" s="1059"/>
      <c r="K81" s="943"/>
      <c r="L81" s="1521" t="n">
        <v>2536.236</v>
      </c>
      <c r="M81" s="866" t="n">
        <v>90</v>
      </c>
      <c r="N81" s="866" t="n">
        <f aca="false">M81/H70</f>
        <v>6</v>
      </c>
      <c r="O81" s="545" t="n">
        <v>86792</v>
      </c>
      <c r="P81" s="1934"/>
      <c r="Q81" s="1934"/>
      <c r="R81" s="1935"/>
    </row>
    <row r="82" customFormat="false" ht="14.25" hidden="false" customHeight="false" outlineLevel="0" collapsed="false">
      <c r="A82" s="829"/>
      <c r="B82" s="830"/>
      <c r="C82" s="1965"/>
      <c r="D82" s="860" t="s">
        <v>7</v>
      </c>
      <c r="E82" s="1480" t="s">
        <v>1651</v>
      </c>
      <c r="F82" s="832"/>
      <c r="G82" s="1931"/>
      <c r="H82" s="1931"/>
      <c r="I82" s="837"/>
      <c r="J82" s="1059"/>
      <c r="K82" s="943"/>
      <c r="L82" s="1521" t="n">
        <v>16485.534</v>
      </c>
      <c r="M82" s="866" t="n">
        <v>585</v>
      </c>
      <c r="N82" s="866" t="n">
        <f aca="false">M82/H70</f>
        <v>39</v>
      </c>
      <c r="O82" s="545" t="n">
        <v>86664</v>
      </c>
      <c r="P82" s="1934"/>
      <c r="Q82" s="1934"/>
      <c r="R82" s="1935"/>
    </row>
    <row r="83" customFormat="false" ht="14.25" hidden="false" customHeight="false" outlineLevel="0" collapsed="false">
      <c r="A83" s="829"/>
      <c r="B83" s="830"/>
      <c r="C83" s="1965"/>
      <c r="D83" s="843" t="s">
        <v>7</v>
      </c>
      <c r="E83" s="1357" t="s">
        <v>1651</v>
      </c>
      <c r="F83" s="832"/>
      <c r="G83" s="1931"/>
      <c r="H83" s="1931"/>
      <c r="I83" s="837"/>
      <c r="J83" s="1059"/>
      <c r="K83" s="943"/>
      <c r="L83" s="1362" t="n">
        <v>33815.48</v>
      </c>
      <c r="M83" s="846" t="n">
        <v>1200</v>
      </c>
      <c r="N83" s="846" t="n">
        <f aca="false">M83/H70</f>
        <v>80</v>
      </c>
      <c r="O83" s="1936" t="n">
        <v>86632</v>
      </c>
      <c r="P83" s="1934"/>
      <c r="Q83" s="1934"/>
      <c r="R83" s="1935"/>
    </row>
    <row r="84" customFormat="false" ht="14.25" hidden="false" customHeight="false" outlineLevel="0" collapsed="false">
      <c r="A84" s="847" t="n">
        <v>175</v>
      </c>
      <c r="B84" s="1396" t="n">
        <v>2024</v>
      </c>
      <c r="C84" s="1966" t="n">
        <v>45809</v>
      </c>
      <c r="D84" s="848" t="s">
        <v>7</v>
      </c>
      <c r="E84" s="1479" t="s">
        <v>1651</v>
      </c>
      <c r="F84" s="848" t="s">
        <v>3367</v>
      </c>
      <c r="G84" s="1967" t="n">
        <v>31</v>
      </c>
      <c r="H84" s="1967" t="n">
        <v>10</v>
      </c>
      <c r="I84" s="1380" t="n">
        <f aca="false">G84*H84</f>
        <v>310</v>
      </c>
      <c r="J84" s="1544" t="n">
        <v>29.9836</v>
      </c>
      <c r="K84" s="1968" t="n">
        <f aca="false">I84*J84</f>
        <v>9294.916</v>
      </c>
      <c r="L84" s="1380" t="n">
        <v>9294.916</v>
      </c>
      <c r="M84" s="854" t="n">
        <v>310</v>
      </c>
      <c r="N84" s="854" t="n">
        <f aca="false">M84/H84</f>
        <v>31</v>
      </c>
      <c r="O84" s="580" t="n">
        <v>86960</v>
      </c>
      <c r="P84" s="1969" t="n">
        <f aca="false">K84-L84</f>
        <v>0</v>
      </c>
      <c r="Q84" s="1970" t="n">
        <f aca="false">I84-M84</f>
        <v>0</v>
      </c>
      <c r="R84" s="1971" t="n">
        <f aca="false">G84-N84</f>
        <v>0</v>
      </c>
    </row>
    <row r="85" customFormat="false" ht="14.25" hidden="false" customHeight="false" outlineLevel="0" collapsed="false">
      <c r="A85" s="870" t="n">
        <v>184</v>
      </c>
      <c r="B85" s="1495" t="n">
        <v>2024</v>
      </c>
      <c r="C85" s="1972" t="n">
        <v>45809</v>
      </c>
      <c r="D85" s="871" t="s">
        <v>7</v>
      </c>
      <c r="E85" s="1478" t="s">
        <v>1651</v>
      </c>
      <c r="F85" s="871" t="s">
        <v>3374</v>
      </c>
      <c r="G85" s="1956" t="n">
        <v>50</v>
      </c>
      <c r="H85" s="1956" t="n">
        <v>10</v>
      </c>
      <c r="I85" s="1355" t="n">
        <f aca="false">G85*H85</f>
        <v>500</v>
      </c>
      <c r="J85" s="1542" t="n">
        <v>26.0734</v>
      </c>
      <c r="K85" s="1942" t="n">
        <f aca="false">I85*J85</f>
        <v>13036.7</v>
      </c>
      <c r="L85" s="1587" t="n">
        <v>13036.7</v>
      </c>
      <c r="M85" s="877" t="n">
        <v>500</v>
      </c>
      <c r="N85" s="891" t="n">
        <f aca="false">M85/H85</f>
        <v>50</v>
      </c>
      <c r="O85" s="584" t="n">
        <v>86953</v>
      </c>
      <c r="P85" s="1944" t="n">
        <f aca="false">K85-L85</f>
        <v>0</v>
      </c>
      <c r="Q85" s="1945" t="n">
        <f aca="false">I85-M85</f>
        <v>0</v>
      </c>
      <c r="R85" s="1946" t="n">
        <f aca="false">G85-N85</f>
        <v>0</v>
      </c>
    </row>
    <row r="86" customFormat="false" ht="14.25" hidden="false" customHeight="false" outlineLevel="0" collapsed="false">
      <c r="A86" s="882" t="n">
        <v>185</v>
      </c>
      <c r="B86" s="830" t="n">
        <v>2024</v>
      </c>
      <c r="C86" s="1965" t="n">
        <v>45809</v>
      </c>
      <c r="D86" s="831" t="s">
        <v>7</v>
      </c>
      <c r="E86" s="1365" t="s">
        <v>1651</v>
      </c>
      <c r="F86" s="832" t="s">
        <v>3367</v>
      </c>
      <c r="G86" s="1931" t="n">
        <v>180</v>
      </c>
      <c r="H86" s="1931" t="n">
        <v>10</v>
      </c>
      <c r="I86" s="837" t="n">
        <f aca="false">G86*H86</f>
        <v>1800</v>
      </c>
      <c r="J86" s="1059" t="n">
        <v>26.0734</v>
      </c>
      <c r="K86" s="943" t="n">
        <f aca="false">I86*J86</f>
        <v>46932.12</v>
      </c>
      <c r="L86" s="1665" t="n">
        <v>7822.02</v>
      </c>
      <c r="M86" s="886" t="n">
        <v>300</v>
      </c>
      <c r="N86" s="886" t="n">
        <f aca="false">M86/H86</f>
        <v>30</v>
      </c>
      <c r="O86" s="1595" t="n">
        <v>86954</v>
      </c>
      <c r="P86" s="1934" t="n">
        <f aca="false">K86-L86-L91-L90-L87-L88-L89</f>
        <v>3.43902684107889E-012</v>
      </c>
      <c r="Q86" s="1934" t="n">
        <f aca="false">I86-M86-M91-M90-M87-M88-M89</f>
        <v>0</v>
      </c>
      <c r="R86" s="1973" t="n">
        <f aca="false">G86-N86-N91-N87-N90-N88-N89</f>
        <v>0</v>
      </c>
    </row>
    <row r="87" customFormat="false" ht="14.25" hidden="false" customHeight="false" outlineLevel="0" collapsed="false">
      <c r="A87" s="882"/>
      <c r="B87" s="830"/>
      <c r="C87" s="1965"/>
      <c r="D87" s="860" t="s">
        <v>7</v>
      </c>
      <c r="E87" s="1480" t="s">
        <v>1651</v>
      </c>
      <c r="F87" s="832"/>
      <c r="G87" s="1931"/>
      <c r="H87" s="1931"/>
      <c r="I87" s="837"/>
      <c r="J87" s="1059"/>
      <c r="K87" s="943"/>
      <c r="L87" s="1521" t="n">
        <v>7822.02</v>
      </c>
      <c r="M87" s="866" t="n">
        <v>300</v>
      </c>
      <c r="N87" s="866" t="n">
        <f aca="false">M87/H86</f>
        <v>30</v>
      </c>
      <c r="O87" s="545" t="s">
        <v>538</v>
      </c>
      <c r="P87" s="1934"/>
      <c r="Q87" s="1934"/>
      <c r="R87" s="1973"/>
    </row>
    <row r="88" customFormat="false" ht="14.25" hidden="false" customHeight="false" outlineLevel="0" collapsed="false">
      <c r="A88" s="882"/>
      <c r="B88" s="830"/>
      <c r="C88" s="1965"/>
      <c r="D88" s="860" t="s">
        <v>7</v>
      </c>
      <c r="E88" s="1480" t="s">
        <v>1651</v>
      </c>
      <c r="F88" s="832"/>
      <c r="G88" s="1931"/>
      <c r="H88" s="1931"/>
      <c r="I88" s="837"/>
      <c r="J88" s="1059"/>
      <c r="K88" s="943"/>
      <c r="L88" s="1521" t="n">
        <v>7822.02</v>
      </c>
      <c r="M88" s="866" t="n">
        <v>300</v>
      </c>
      <c r="N88" s="866" t="n">
        <f aca="false">M88/H86</f>
        <v>30</v>
      </c>
      <c r="O88" s="545" t="s">
        <v>625</v>
      </c>
      <c r="P88" s="1934"/>
      <c r="Q88" s="1934"/>
      <c r="R88" s="1973"/>
    </row>
    <row r="89" customFormat="false" ht="14.25" hidden="false" customHeight="false" outlineLevel="0" collapsed="false">
      <c r="A89" s="882"/>
      <c r="B89" s="830"/>
      <c r="C89" s="1965"/>
      <c r="D89" s="860" t="s">
        <v>7</v>
      </c>
      <c r="E89" s="1480" t="s">
        <v>1651</v>
      </c>
      <c r="F89" s="832"/>
      <c r="G89" s="1931"/>
      <c r="H89" s="1931"/>
      <c r="I89" s="837"/>
      <c r="J89" s="1059"/>
      <c r="K89" s="943"/>
      <c r="L89" s="1521" t="n">
        <v>-130.367</v>
      </c>
      <c r="M89" s="866" t="n">
        <v>-5</v>
      </c>
      <c r="N89" s="1018" t="n">
        <f aca="false">M89/H86</f>
        <v>-0.5</v>
      </c>
      <c r="O89" s="545" t="s">
        <v>1634</v>
      </c>
      <c r="P89" s="1934"/>
      <c r="Q89" s="1934"/>
      <c r="R89" s="1973"/>
    </row>
    <row r="90" customFormat="false" ht="14.25" hidden="false" customHeight="false" outlineLevel="0" collapsed="false">
      <c r="A90" s="882"/>
      <c r="B90" s="830"/>
      <c r="C90" s="1965"/>
      <c r="D90" s="860" t="s">
        <v>7</v>
      </c>
      <c r="E90" s="1480" t="s">
        <v>1651</v>
      </c>
      <c r="F90" s="832"/>
      <c r="G90" s="1931"/>
      <c r="H90" s="1931"/>
      <c r="I90" s="837"/>
      <c r="J90" s="1059"/>
      <c r="K90" s="943"/>
      <c r="L90" s="1521" t="n">
        <v>391.101</v>
      </c>
      <c r="M90" s="866" t="n">
        <v>15</v>
      </c>
      <c r="N90" s="1448" t="n">
        <f aca="false">M90/H86</f>
        <v>1.5</v>
      </c>
      <c r="O90" s="545" t="s">
        <v>433</v>
      </c>
      <c r="P90" s="1934"/>
      <c r="Q90" s="1934"/>
      <c r="R90" s="1973"/>
    </row>
    <row r="91" customFormat="false" ht="14.25" hidden="false" customHeight="false" outlineLevel="0" collapsed="false">
      <c r="A91" s="882"/>
      <c r="B91" s="830"/>
      <c r="C91" s="1965"/>
      <c r="D91" s="843" t="s">
        <v>7</v>
      </c>
      <c r="E91" s="1357" t="s">
        <v>1651</v>
      </c>
      <c r="F91" s="832"/>
      <c r="G91" s="1931"/>
      <c r="H91" s="1931"/>
      <c r="I91" s="837"/>
      <c r="J91" s="1059"/>
      <c r="K91" s="943"/>
      <c r="L91" s="1362" t="n">
        <v>23205.326</v>
      </c>
      <c r="M91" s="846" t="n">
        <v>890</v>
      </c>
      <c r="N91" s="890" t="n">
        <f aca="false">M91/H86</f>
        <v>89</v>
      </c>
      <c r="O91" s="1936" t="n">
        <v>86960</v>
      </c>
      <c r="P91" s="1934"/>
      <c r="Q91" s="1934"/>
      <c r="R91" s="1973"/>
    </row>
    <row r="92" customFormat="false" ht="14.25" hidden="false" customHeight="false" outlineLevel="0" collapsed="false">
      <c r="A92" s="882" t="n">
        <v>186</v>
      </c>
      <c r="B92" s="830" t="n">
        <v>2024</v>
      </c>
      <c r="C92" s="1965" t="n">
        <v>45809</v>
      </c>
      <c r="D92" s="831" t="s">
        <v>7</v>
      </c>
      <c r="E92" s="1365" t="s">
        <v>1651</v>
      </c>
      <c r="F92" s="832" t="s">
        <v>3364</v>
      </c>
      <c r="G92" s="1931" t="n">
        <v>67</v>
      </c>
      <c r="H92" s="1931" t="n">
        <v>15</v>
      </c>
      <c r="I92" s="837" t="n">
        <f aca="false">G92*H92</f>
        <v>1005</v>
      </c>
      <c r="J92" s="1059" t="n">
        <v>26.0734</v>
      </c>
      <c r="K92" s="943" t="n">
        <f aca="false">I92*J92</f>
        <v>26203.767</v>
      </c>
      <c r="L92" s="1369" t="n">
        <v>7822.02</v>
      </c>
      <c r="M92" s="840" t="n">
        <v>300</v>
      </c>
      <c r="N92" s="886" t="n">
        <f aca="false">M92/H92</f>
        <v>20</v>
      </c>
      <c r="O92" s="578" t="n">
        <v>86948</v>
      </c>
      <c r="P92" s="1937" t="n">
        <f aca="false">K92-L92-L94-L93</f>
        <v>0</v>
      </c>
      <c r="Q92" s="1934" t="n">
        <f aca="false">I92-M92-M94-M93</f>
        <v>0</v>
      </c>
      <c r="R92" s="1935" t="n">
        <f aca="false">G92-N92-N94-N93</f>
        <v>0</v>
      </c>
    </row>
    <row r="93" customFormat="false" ht="14.25" hidden="false" customHeight="false" outlineLevel="0" collapsed="false">
      <c r="A93" s="882"/>
      <c r="B93" s="830"/>
      <c r="C93" s="1965"/>
      <c r="D93" s="860" t="s">
        <v>7</v>
      </c>
      <c r="E93" s="1480" t="s">
        <v>1651</v>
      </c>
      <c r="F93" s="832"/>
      <c r="G93" s="1931"/>
      <c r="H93" s="1931"/>
      <c r="I93" s="837"/>
      <c r="J93" s="1059"/>
      <c r="K93" s="943"/>
      <c r="L93" s="1521" t="n">
        <v>4302.111</v>
      </c>
      <c r="M93" s="866" t="n">
        <v>165</v>
      </c>
      <c r="N93" s="866" t="n">
        <f aca="false">M93/H92</f>
        <v>11</v>
      </c>
      <c r="O93" s="545" t="s">
        <v>381</v>
      </c>
      <c r="P93" s="1937"/>
      <c r="Q93" s="1934"/>
      <c r="R93" s="1935"/>
    </row>
    <row r="94" customFormat="false" ht="14.25" hidden="false" customHeight="false" outlineLevel="0" collapsed="false">
      <c r="A94" s="882"/>
      <c r="B94" s="830"/>
      <c r="C94" s="1965"/>
      <c r="D94" s="887" t="s">
        <v>7</v>
      </c>
      <c r="E94" s="1501" t="s">
        <v>1651</v>
      </c>
      <c r="F94" s="832"/>
      <c r="G94" s="1931"/>
      <c r="H94" s="1931"/>
      <c r="I94" s="837"/>
      <c r="J94" s="1059"/>
      <c r="K94" s="943"/>
      <c r="L94" s="1381" t="n">
        <v>14079.636</v>
      </c>
      <c r="M94" s="890" t="n">
        <v>540</v>
      </c>
      <c r="N94" s="890" t="n">
        <f aca="false">M94/H92</f>
        <v>36</v>
      </c>
      <c r="O94" s="1938" t="s">
        <v>366</v>
      </c>
      <c r="P94" s="1937"/>
      <c r="Q94" s="1934"/>
      <c r="R94" s="1935"/>
    </row>
    <row r="95" customFormat="false" ht="14.25" hidden="false" customHeight="false" outlineLevel="0" collapsed="false">
      <c r="A95" s="903" t="n">
        <v>187</v>
      </c>
      <c r="B95" s="903" t="n">
        <v>2024</v>
      </c>
      <c r="C95" s="1974" t="n">
        <v>45809</v>
      </c>
      <c r="D95" s="904" t="s">
        <v>7</v>
      </c>
      <c r="E95" s="1351" t="s">
        <v>1651</v>
      </c>
      <c r="F95" s="904" t="s">
        <v>3364</v>
      </c>
      <c r="G95" s="1940" t="n">
        <v>600</v>
      </c>
      <c r="H95" s="1940" t="n">
        <v>10</v>
      </c>
      <c r="I95" s="1355" t="n">
        <f aca="false">G95*H95</f>
        <v>6000</v>
      </c>
      <c r="J95" s="1406" t="n">
        <v>26.0734</v>
      </c>
      <c r="K95" s="1942" t="n">
        <f aca="false">I95*J95</f>
        <v>156440.4</v>
      </c>
      <c r="L95" s="1355" t="n">
        <v>156440.4</v>
      </c>
      <c r="M95" s="891" t="n">
        <v>6000</v>
      </c>
      <c r="N95" s="891" t="n">
        <f aca="false">M95/H95</f>
        <v>600</v>
      </c>
      <c r="O95" s="1943" t="s">
        <v>364</v>
      </c>
      <c r="P95" s="1944" t="n">
        <f aca="false">K95-L95</f>
        <v>0</v>
      </c>
      <c r="Q95" s="1945" t="n">
        <f aca="false">I95-M95</f>
        <v>0</v>
      </c>
      <c r="R95" s="1946" t="n">
        <f aca="false">G95-N95</f>
        <v>0</v>
      </c>
    </row>
    <row r="96" customFormat="false" ht="14.25" hidden="false" customHeight="false" outlineLevel="0" collapsed="false">
      <c r="A96" s="829" t="n">
        <v>216</v>
      </c>
      <c r="B96" s="830" t="n">
        <v>2024</v>
      </c>
      <c r="C96" s="1965" t="n">
        <v>45839</v>
      </c>
      <c r="D96" s="831" t="s">
        <v>7</v>
      </c>
      <c r="E96" s="1365" t="s">
        <v>1651</v>
      </c>
      <c r="F96" s="832" t="s">
        <v>3364</v>
      </c>
      <c r="G96" s="1931" t="n">
        <v>120</v>
      </c>
      <c r="H96" s="1931" t="n">
        <v>10</v>
      </c>
      <c r="I96" s="837" t="n">
        <f aca="false">G96*H96</f>
        <v>1200</v>
      </c>
      <c r="J96" s="1059" t="n">
        <v>26.0734</v>
      </c>
      <c r="K96" s="943" t="n">
        <f aca="false">I96*J96</f>
        <v>31288.08</v>
      </c>
      <c r="L96" s="1369" t="n">
        <v>26073.4</v>
      </c>
      <c r="M96" s="840" t="n">
        <v>1000</v>
      </c>
      <c r="N96" s="840" t="n">
        <f aca="false">M96/H96</f>
        <v>100</v>
      </c>
      <c r="O96" s="578" t="s">
        <v>373</v>
      </c>
      <c r="P96" s="1937" t="n">
        <f aca="false">K96-L96-L97</f>
        <v>0</v>
      </c>
      <c r="Q96" s="1934" t="n">
        <f aca="false">I96-M96-M97</f>
        <v>0</v>
      </c>
      <c r="R96" s="1935" t="n">
        <f aca="false">G96-N96-N97</f>
        <v>0</v>
      </c>
    </row>
    <row r="97" customFormat="false" ht="14.25" hidden="false" customHeight="false" outlineLevel="0" collapsed="false">
      <c r="A97" s="829"/>
      <c r="B97" s="830"/>
      <c r="C97" s="1965"/>
      <c r="D97" s="843" t="s">
        <v>7</v>
      </c>
      <c r="E97" s="1357" t="s">
        <v>1651</v>
      </c>
      <c r="F97" s="832"/>
      <c r="G97" s="1931"/>
      <c r="H97" s="1931"/>
      <c r="I97" s="837"/>
      <c r="J97" s="1059"/>
      <c r="K97" s="943"/>
      <c r="L97" s="1362" t="n">
        <v>5214.68</v>
      </c>
      <c r="M97" s="846" t="n">
        <v>200</v>
      </c>
      <c r="N97" s="890" t="n">
        <f aca="false">M97/H96</f>
        <v>20</v>
      </c>
      <c r="O97" s="1936" t="s">
        <v>377</v>
      </c>
      <c r="P97" s="1937"/>
      <c r="Q97" s="1934"/>
      <c r="R97" s="1935"/>
    </row>
    <row r="98" customFormat="false" ht="14.25" hidden="false" customHeight="false" outlineLevel="0" collapsed="false">
      <c r="A98" s="903" t="n">
        <v>217</v>
      </c>
      <c r="B98" s="903" t="n">
        <v>2024</v>
      </c>
      <c r="C98" s="1974" t="n">
        <v>45839</v>
      </c>
      <c r="D98" s="904" t="s">
        <v>7</v>
      </c>
      <c r="E98" s="1351" t="s">
        <v>1651</v>
      </c>
      <c r="F98" s="904" t="s">
        <v>3367</v>
      </c>
      <c r="G98" s="1940" t="n">
        <v>40</v>
      </c>
      <c r="H98" s="1940" t="n">
        <v>15</v>
      </c>
      <c r="I98" s="1355" t="n">
        <f aca="false">G98*H98</f>
        <v>600</v>
      </c>
      <c r="J98" s="1406" t="n">
        <v>28.1942</v>
      </c>
      <c r="K98" s="1942" t="n">
        <f aca="false">I98*J98</f>
        <v>16916.52</v>
      </c>
      <c r="L98" s="1355" t="n">
        <v>16916.52</v>
      </c>
      <c r="M98" s="891" t="n">
        <v>600</v>
      </c>
      <c r="N98" s="891" t="n">
        <f aca="false">M98/H98</f>
        <v>40</v>
      </c>
      <c r="O98" s="1943" t="s">
        <v>367</v>
      </c>
      <c r="P98" s="1944" t="n">
        <f aca="false">K98-L98</f>
        <v>0</v>
      </c>
      <c r="Q98" s="1945" t="n">
        <f aca="false">I98-M98</f>
        <v>0</v>
      </c>
      <c r="R98" s="1946" t="n">
        <f aca="false">G98-N98</f>
        <v>0</v>
      </c>
    </row>
    <row r="99" customFormat="false" ht="14.25" hidden="false" customHeight="false" outlineLevel="0" collapsed="false">
      <c r="A99" s="829" t="n">
        <v>218</v>
      </c>
      <c r="B99" s="830" t="n">
        <v>2024</v>
      </c>
      <c r="C99" s="1965" t="n">
        <v>45839</v>
      </c>
      <c r="D99" s="831" t="s">
        <v>7</v>
      </c>
      <c r="E99" s="1365" t="s">
        <v>1651</v>
      </c>
      <c r="F99" s="832" t="s">
        <v>3364</v>
      </c>
      <c r="G99" s="1931" t="n">
        <v>48</v>
      </c>
      <c r="H99" s="1931" t="n">
        <v>15</v>
      </c>
      <c r="I99" s="837" t="n">
        <f aca="false">G99*H99</f>
        <v>720</v>
      </c>
      <c r="J99" s="1059" t="n">
        <v>36.4865</v>
      </c>
      <c r="K99" s="943" t="n">
        <f aca="false">I99*J99</f>
        <v>26270.28</v>
      </c>
      <c r="L99" s="1369" t="n">
        <v>7662.165</v>
      </c>
      <c r="M99" s="840" t="n">
        <v>210</v>
      </c>
      <c r="N99" s="840" t="n">
        <f aca="false">M99/H99</f>
        <v>14</v>
      </c>
      <c r="O99" s="578" t="s">
        <v>381</v>
      </c>
      <c r="P99" s="1937" t="n">
        <f aca="false">K99-L99-L100</f>
        <v>0</v>
      </c>
      <c r="Q99" s="1934" t="n">
        <f aca="false">I99-M99-M100</f>
        <v>0</v>
      </c>
      <c r="R99" s="1935" t="n">
        <f aca="false">G99-N99-N100</f>
        <v>0</v>
      </c>
    </row>
    <row r="100" customFormat="false" ht="14.25" hidden="false" customHeight="false" outlineLevel="0" collapsed="false">
      <c r="A100" s="829"/>
      <c r="B100" s="830"/>
      <c r="C100" s="1965"/>
      <c r="D100" s="843" t="s">
        <v>7</v>
      </c>
      <c r="E100" s="1357" t="s">
        <v>1651</v>
      </c>
      <c r="F100" s="832"/>
      <c r="G100" s="1931"/>
      <c r="H100" s="1931"/>
      <c r="I100" s="837"/>
      <c r="J100" s="1059"/>
      <c r="K100" s="943"/>
      <c r="L100" s="1362" t="n">
        <v>18608.115</v>
      </c>
      <c r="M100" s="846" t="n">
        <v>510</v>
      </c>
      <c r="N100" s="890" t="n">
        <f aca="false">M100/H99</f>
        <v>34</v>
      </c>
      <c r="O100" s="1936" t="s">
        <v>396</v>
      </c>
      <c r="P100" s="1937"/>
      <c r="Q100" s="1934"/>
      <c r="R100" s="1935"/>
    </row>
    <row r="101" customFormat="false" ht="14.25" hidden="false" customHeight="false" outlineLevel="0" collapsed="false">
      <c r="A101" s="903" t="n">
        <v>247</v>
      </c>
      <c r="B101" s="903" t="n">
        <v>2024</v>
      </c>
      <c r="C101" s="1974" t="n">
        <v>45839</v>
      </c>
      <c r="D101" s="904" t="s">
        <v>7</v>
      </c>
      <c r="E101" s="1351" t="s">
        <v>1651</v>
      </c>
      <c r="F101" s="904" t="s">
        <v>3375</v>
      </c>
      <c r="G101" s="1940" t="n">
        <v>34</v>
      </c>
      <c r="H101" s="1940" t="n">
        <v>15</v>
      </c>
      <c r="I101" s="1355" t="n">
        <f aca="false">G101*H101</f>
        <v>510</v>
      </c>
      <c r="J101" s="1406" t="n">
        <v>28.3534</v>
      </c>
      <c r="K101" s="1942" t="n">
        <f aca="false">I101*J101</f>
        <v>14460.234</v>
      </c>
      <c r="L101" s="1355" t="n">
        <v>14460.234</v>
      </c>
      <c r="M101" s="891" t="n">
        <v>510</v>
      </c>
      <c r="N101" s="891" t="n">
        <f aca="false">M101/H101</f>
        <v>34</v>
      </c>
      <c r="O101" s="1943" t="s">
        <v>3376</v>
      </c>
      <c r="P101" s="1944" t="n">
        <f aca="false">K101-L101</f>
        <v>0</v>
      </c>
      <c r="Q101" s="1945" t="n">
        <f aca="false">I101-M101</f>
        <v>0</v>
      </c>
      <c r="R101" s="1946" t="n">
        <f aca="false">G101-N101</f>
        <v>0</v>
      </c>
    </row>
    <row r="102" customFormat="false" ht="14.25" hidden="false" customHeight="false" outlineLevel="0" collapsed="false">
      <c r="A102" s="1465" t="n">
        <v>248</v>
      </c>
      <c r="B102" s="1546" t="n">
        <v>2024</v>
      </c>
      <c r="C102" s="1975" t="n">
        <v>45839</v>
      </c>
      <c r="D102" s="831" t="s">
        <v>7</v>
      </c>
      <c r="E102" s="1365" t="s">
        <v>1651</v>
      </c>
      <c r="F102" s="1328" t="s">
        <v>3364</v>
      </c>
      <c r="G102" s="1976" t="n">
        <v>666</v>
      </c>
      <c r="H102" s="1976" t="n">
        <v>15</v>
      </c>
      <c r="I102" s="1036" t="n">
        <f aca="false">G102*H102</f>
        <v>9990</v>
      </c>
      <c r="J102" s="1557" t="n">
        <v>28.3534</v>
      </c>
      <c r="K102" s="1547" t="n">
        <f aca="false">I102*J102</f>
        <v>283250.466</v>
      </c>
      <c r="L102" s="1665" t="n">
        <v>141625.233</v>
      </c>
      <c r="M102" s="886" t="n">
        <v>4995</v>
      </c>
      <c r="N102" s="886" t="n">
        <f aca="false">M102/H99</f>
        <v>333</v>
      </c>
      <c r="O102" s="1595" t="s">
        <v>404</v>
      </c>
      <c r="P102" s="1977" t="n">
        <f aca="false">K102-L102-L106-L105-L103-L104</f>
        <v>0</v>
      </c>
      <c r="Q102" s="1978" t="n">
        <f aca="false">I102-M102-M106-M105-M103-M104</f>
        <v>0</v>
      </c>
      <c r="R102" s="1979" t="n">
        <f aca="false">G102-N102-N106-N105-N103-N104</f>
        <v>0</v>
      </c>
    </row>
    <row r="103" customFormat="false" ht="14.25" hidden="false" customHeight="false" outlineLevel="0" collapsed="false">
      <c r="A103" s="1465"/>
      <c r="B103" s="1546"/>
      <c r="C103" s="1975"/>
      <c r="D103" s="860" t="s">
        <v>7</v>
      </c>
      <c r="E103" s="1480" t="s">
        <v>1651</v>
      </c>
      <c r="F103" s="1328"/>
      <c r="G103" s="1976"/>
      <c r="H103" s="1976"/>
      <c r="I103" s="1036"/>
      <c r="J103" s="1557"/>
      <c r="K103" s="1547"/>
      <c r="L103" s="1521" t="n">
        <v>29772.12</v>
      </c>
      <c r="M103" s="866" t="n">
        <v>1050</v>
      </c>
      <c r="N103" s="866" t="n">
        <f aca="false">M103/H99</f>
        <v>70</v>
      </c>
      <c r="O103" s="545" t="s">
        <v>418</v>
      </c>
      <c r="P103" s="1977"/>
      <c r="Q103" s="1978"/>
      <c r="R103" s="1979"/>
    </row>
    <row r="104" customFormat="false" ht="14.25" hidden="false" customHeight="false" outlineLevel="0" collapsed="false">
      <c r="A104" s="1465"/>
      <c r="B104" s="1546"/>
      <c r="C104" s="1975"/>
      <c r="D104" s="860" t="s">
        <v>7</v>
      </c>
      <c r="E104" s="1480" t="s">
        <v>1651</v>
      </c>
      <c r="F104" s="1328"/>
      <c r="G104" s="1976"/>
      <c r="H104" s="1976"/>
      <c r="I104" s="1036"/>
      <c r="J104" s="1557"/>
      <c r="K104" s="1547"/>
      <c r="L104" s="1521" t="n">
        <v>40827.846</v>
      </c>
      <c r="M104" s="866" t="n">
        <v>1440</v>
      </c>
      <c r="N104" s="866" t="n">
        <f aca="false">M104/H99</f>
        <v>96</v>
      </c>
      <c r="O104" s="545" t="s">
        <v>404</v>
      </c>
      <c r="P104" s="1977"/>
      <c r="Q104" s="1978"/>
      <c r="R104" s="1979"/>
    </row>
    <row r="105" customFormat="false" ht="14.25" hidden="false" customHeight="false" outlineLevel="0" collapsed="false">
      <c r="A105" s="1465"/>
      <c r="B105" s="1546"/>
      <c r="C105" s="1975"/>
      <c r="D105" s="860" t="s">
        <v>7</v>
      </c>
      <c r="E105" s="1480" t="s">
        <v>1651</v>
      </c>
      <c r="F105" s="1328"/>
      <c r="G105" s="1976"/>
      <c r="H105" s="1976"/>
      <c r="I105" s="1036"/>
      <c r="J105" s="1557"/>
      <c r="K105" s="1547"/>
      <c r="L105" s="1521" t="n">
        <v>42530.1</v>
      </c>
      <c r="M105" s="866" t="n">
        <v>1500</v>
      </c>
      <c r="N105" s="866" t="n">
        <f aca="false">M105/H99</f>
        <v>100</v>
      </c>
      <c r="O105" s="545" t="s">
        <v>3377</v>
      </c>
      <c r="P105" s="1977"/>
      <c r="Q105" s="1978"/>
      <c r="R105" s="1979"/>
    </row>
    <row r="106" customFormat="false" ht="14.25" hidden="false" customHeight="false" outlineLevel="0" collapsed="false">
      <c r="A106" s="1465"/>
      <c r="B106" s="1546"/>
      <c r="C106" s="1975"/>
      <c r="D106" s="871" t="s">
        <v>7</v>
      </c>
      <c r="E106" s="1478" t="s">
        <v>1651</v>
      </c>
      <c r="F106" s="1328"/>
      <c r="G106" s="1976"/>
      <c r="H106" s="1976"/>
      <c r="I106" s="1036"/>
      <c r="J106" s="1557"/>
      <c r="K106" s="1547"/>
      <c r="L106" s="1355" t="n">
        <v>28495.167</v>
      </c>
      <c r="M106" s="891" t="n">
        <v>1005</v>
      </c>
      <c r="N106" s="891" t="n">
        <f aca="false">M106/H99</f>
        <v>67</v>
      </c>
      <c r="O106" s="1943" t="s">
        <v>3377</v>
      </c>
      <c r="P106" s="1977"/>
      <c r="Q106" s="1978"/>
      <c r="R106" s="1979"/>
    </row>
    <row r="107" customFormat="false" ht="14.25" hidden="false" customHeight="false" outlineLevel="0" collapsed="false">
      <c r="A107" s="882" t="n">
        <v>249</v>
      </c>
      <c r="B107" s="830" t="n">
        <v>2024</v>
      </c>
      <c r="C107" s="1965" t="n">
        <v>45839</v>
      </c>
      <c r="D107" s="831" t="s">
        <v>7</v>
      </c>
      <c r="E107" s="1365" t="s">
        <v>1651</v>
      </c>
      <c r="F107" s="832" t="s">
        <v>3364</v>
      </c>
      <c r="G107" s="1931" t="n">
        <v>87</v>
      </c>
      <c r="H107" s="1931" t="n">
        <v>15</v>
      </c>
      <c r="I107" s="837" t="n">
        <f aca="false">G107*H107</f>
        <v>1305</v>
      </c>
      <c r="J107" s="1059" t="n">
        <v>30.4174</v>
      </c>
      <c r="K107" s="943" t="n">
        <f aca="false">I107*J107</f>
        <v>39694.707</v>
      </c>
      <c r="L107" s="1369" t="n">
        <v>21444.267</v>
      </c>
      <c r="M107" s="840" t="n">
        <v>705</v>
      </c>
      <c r="N107" s="886" t="n">
        <f aca="false">M107/H107</f>
        <v>47</v>
      </c>
      <c r="O107" s="578" t="s">
        <v>397</v>
      </c>
      <c r="P107" s="1937" t="n">
        <f aca="false">K107-L107-L109-L108</f>
        <v>0</v>
      </c>
      <c r="Q107" s="1934" t="n">
        <f aca="false">I107-M107-M109-M108</f>
        <v>0</v>
      </c>
      <c r="R107" s="1935" t="n">
        <f aca="false">G107-N107-N109-N108</f>
        <v>0</v>
      </c>
    </row>
    <row r="108" customFormat="false" ht="14.25" hidden="false" customHeight="false" outlineLevel="0" collapsed="false">
      <c r="A108" s="882"/>
      <c r="B108" s="830"/>
      <c r="C108" s="1965"/>
      <c r="D108" s="904" t="s">
        <v>7</v>
      </c>
      <c r="E108" s="1351" t="s">
        <v>1651</v>
      </c>
      <c r="F108" s="832"/>
      <c r="G108" s="1931"/>
      <c r="H108" s="1931"/>
      <c r="I108" s="837"/>
      <c r="J108" s="1059"/>
      <c r="K108" s="943"/>
      <c r="L108" s="1355" t="n">
        <v>3193.827</v>
      </c>
      <c r="M108" s="891" t="n">
        <v>105</v>
      </c>
      <c r="N108" s="866" t="n">
        <f aca="false">M108/H107</f>
        <v>7</v>
      </c>
      <c r="O108" s="1943" t="s">
        <v>404</v>
      </c>
      <c r="P108" s="1937"/>
      <c r="Q108" s="1934"/>
      <c r="R108" s="1935"/>
    </row>
    <row r="109" customFormat="false" ht="14.25" hidden="false" customHeight="false" outlineLevel="0" collapsed="false">
      <c r="A109" s="882"/>
      <c r="B109" s="830"/>
      <c r="C109" s="1965"/>
      <c r="D109" s="843" t="s">
        <v>7</v>
      </c>
      <c r="E109" s="1357" t="s">
        <v>1651</v>
      </c>
      <c r="F109" s="832"/>
      <c r="G109" s="1931"/>
      <c r="H109" s="1931"/>
      <c r="I109" s="837"/>
      <c r="J109" s="1059"/>
      <c r="K109" s="943"/>
      <c r="L109" s="1362" t="n">
        <v>15056.613</v>
      </c>
      <c r="M109" s="846" t="n">
        <v>495</v>
      </c>
      <c r="N109" s="846" t="n">
        <f aca="false">M109/H107</f>
        <v>33</v>
      </c>
      <c r="O109" s="1936" t="s">
        <v>417</v>
      </c>
      <c r="P109" s="1937"/>
      <c r="Q109" s="1934"/>
      <c r="R109" s="1935"/>
    </row>
    <row r="110" customFormat="false" ht="14.25" hidden="false" customHeight="false" outlineLevel="0" collapsed="false">
      <c r="A110" s="903" t="n">
        <v>250</v>
      </c>
      <c r="B110" s="903" t="n">
        <v>2024</v>
      </c>
      <c r="C110" s="1974" t="n">
        <v>45839</v>
      </c>
      <c r="D110" s="904" t="s">
        <v>7</v>
      </c>
      <c r="E110" s="1351" t="s">
        <v>1651</v>
      </c>
      <c r="F110" s="904" t="s">
        <v>3364</v>
      </c>
      <c r="G110" s="1940" t="n">
        <v>666</v>
      </c>
      <c r="H110" s="1940" t="n">
        <v>15</v>
      </c>
      <c r="I110" s="1355" t="n">
        <f aca="false">G110*H110</f>
        <v>9990</v>
      </c>
      <c r="J110" s="1406" t="n">
        <v>28.5678</v>
      </c>
      <c r="K110" s="1942" t="n">
        <f aca="false">I110*J110</f>
        <v>285392.322</v>
      </c>
      <c r="L110" s="1355" t="n">
        <v>285392.322</v>
      </c>
      <c r="M110" s="891" t="n">
        <v>9990</v>
      </c>
      <c r="N110" s="891" t="n">
        <f aca="false">M110/H110</f>
        <v>666</v>
      </c>
      <c r="O110" s="1943" t="s">
        <v>404</v>
      </c>
      <c r="P110" s="1944" t="n">
        <f aca="false">K110-L110</f>
        <v>0</v>
      </c>
      <c r="Q110" s="1945" t="n">
        <f aca="false">I110-M110</f>
        <v>0</v>
      </c>
      <c r="R110" s="1946" t="n">
        <f aca="false">G110-N110</f>
        <v>0</v>
      </c>
    </row>
    <row r="111" customFormat="false" ht="14.25" hidden="false" customHeight="false" outlineLevel="0" collapsed="false">
      <c r="A111" s="829" t="n">
        <v>251</v>
      </c>
      <c r="B111" s="830" t="n">
        <v>2024</v>
      </c>
      <c r="C111" s="1965" t="n">
        <v>45839</v>
      </c>
      <c r="D111" s="831" t="s">
        <v>7</v>
      </c>
      <c r="E111" s="1365" t="s">
        <v>1651</v>
      </c>
      <c r="F111" s="832" t="s">
        <v>3364</v>
      </c>
      <c r="G111" s="1931" t="n">
        <v>134</v>
      </c>
      <c r="H111" s="1931" t="n">
        <v>15</v>
      </c>
      <c r="I111" s="837" t="n">
        <f aca="false">G111*H111</f>
        <v>2010</v>
      </c>
      <c r="J111" s="1059" t="n">
        <v>28.5678</v>
      </c>
      <c r="K111" s="943" t="n">
        <f aca="false">I111*J111</f>
        <v>57421.278</v>
      </c>
      <c r="L111" s="1369" t="n">
        <v>28710.639</v>
      </c>
      <c r="M111" s="840" t="n">
        <v>1005</v>
      </c>
      <c r="N111" s="840" t="n">
        <f aca="false">M111/H111</f>
        <v>67</v>
      </c>
      <c r="O111" s="578" t="s">
        <v>3377</v>
      </c>
      <c r="P111" s="1937" t="n">
        <f aca="false">K111-L111-L112</f>
        <v>0</v>
      </c>
      <c r="Q111" s="1934" t="n">
        <f aca="false">I111-M111-M112</f>
        <v>0</v>
      </c>
      <c r="R111" s="1935" t="n">
        <f aca="false">G111-N111-N112</f>
        <v>0</v>
      </c>
    </row>
    <row r="112" customFormat="false" ht="14.25" hidden="false" customHeight="false" outlineLevel="0" collapsed="false">
      <c r="A112" s="829"/>
      <c r="B112" s="830"/>
      <c r="C112" s="1965"/>
      <c r="D112" s="843" t="s">
        <v>7</v>
      </c>
      <c r="E112" s="1357" t="s">
        <v>1651</v>
      </c>
      <c r="F112" s="832"/>
      <c r="G112" s="1931"/>
      <c r="H112" s="1931"/>
      <c r="I112" s="837"/>
      <c r="J112" s="1059"/>
      <c r="K112" s="943"/>
      <c r="L112" s="1362" t="n">
        <v>28710.639</v>
      </c>
      <c r="M112" s="846" t="n">
        <v>1005</v>
      </c>
      <c r="N112" s="846" t="n">
        <f aca="false">M112/H111</f>
        <v>67</v>
      </c>
      <c r="O112" s="1936" t="s">
        <v>417</v>
      </c>
      <c r="P112" s="1937"/>
      <c r="Q112" s="1934"/>
      <c r="R112" s="1935"/>
    </row>
    <row r="113" customFormat="false" ht="14.25" hidden="false" customHeight="false" outlineLevel="0" collapsed="false">
      <c r="A113" s="1087" t="n">
        <v>252</v>
      </c>
      <c r="B113" s="1072" t="n">
        <v>2024</v>
      </c>
      <c r="C113" s="1980" t="n">
        <v>45839</v>
      </c>
      <c r="D113" s="848" t="s">
        <v>7</v>
      </c>
      <c r="E113" s="1479" t="s">
        <v>1651</v>
      </c>
      <c r="F113" s="887" t="s">
        <v>3364</v>
      </c>
      <c r="G113" s="1950" t="n">
        <v>36</v>
      </c>
      <c r="H113" s="1950" t="n">
        <v>15</v>
      </c>
      <c r="I113" s="1067" t="n">
        <f aca="false">G113*H113</f>
        <v>540</v>
      </c>
      <c r="J113" s="1063" t="n">
        <v>29.8374</v>
      </c>
      <c r="K113" s="1452" t="n">
        <f aca="false">I113*J113</f>
        <v>16112.196</v>
      </c>
      <c r="L113" s="1380" t="n">
        <v>3580.488</v>
      </c>
      <c r="M113" s="854" t="n">
        <v>120</v>
      </c>
      <c r="N113" s="854" t="n">
        <f aca="false">M113/H113</f>
        <v>8</v>
      </c>
      <c r="O113" s="580" t="s">
        <v>396</v>
      </c>
      <c r="P113" s="1981" t="n">
        <f aca="false">K113-L113-L115-L114</f>
        <v>0</v>
      </c>
      <c r="Q113" s="1953" t="n">
        <f aca="false">I113-M113-M115-M114</f>
        <v>0</v>
      </c>
      <c r="R113" s="1954" t="n">
        <f aca="false">G113-N113-N115-N114</f>
        <v>0</v>
      </c>
    </row>
    <row r="114" customFormat="false" ht="14.25" hidden="false" customHeight="false" outlineLevel="0" collapsed="false">
      <c r="A114" s="1087"/>
      <c r="B114" s="1072"/>
      <c r="C114" s="1980"/>
      <c r="D114" s="904" t="s">
        <v>7</v>
      </c>
      <c r="E114" s="1351" t="s">
        <v>1651</v>
      </c>
      <c r="F114" s="887"/>
      <c r="G114" s="1950"/>
      <c r="H114" s="1950"/>
      <c r="I114" s="1067"/>
      <c r="J114" s="1063"/>
      <c r="K114" s="1452"/>
      <c r="L114" s="1355" t="n">
        <v>3580.488</v>
      </c>
      <c r="M114" s="891" t="n">
        <v>120</v>
      </c>
      <c r="N114" s="854" t="n">
        <f aca="false">M114/H113</f>
        <v>8</v>
      </c>
      <c r="O114" s="1943" t="s">
        <v>1634</v>
      </c>
      <c r="P114" s="1981"/>
      <c r="Q114" s="1953"/>
      <c r="R114" s="1954"/>
    </row>
    <row r="115" customFormat="false" ht="14.25" hidden="false" customHeight="false" outlineLevel="0" collapsed="false">
      <c r="A115" s="1087"/>
      <c r="B115" s="1072"/>
      <c r="C115" s="1980"/>
      <c r="D115" s="843" t="s">
        <v>7</v>
      </c>
      <c r="E115" s="1357" t="s">
        <v>1651</v>
      </c>
      <c r="F115" s="887"/>
      <c r="G115" s="1950"/>
      <c r="H115" s="1950"/>
      <c r="I115" s="1067"/>
      <c r="J115" s="1063"/>
      <c r="K115" s="1452"/>
      <c r="L115" s="1362" t="n">
        <v>8951.22</v>
      </c>
      <c r="M115" s="846" t="n">
        <v>300</v>
      </c>
      <c r="N115" s="890" t="n">
        <f aca="false">M115/H113</f>
        <v>20</v>
      </c>
      <c r="O115" s="1936" t="s">
        <v>397</v>
      </c>
      <c r="P115" s="1981"/>
      <c r="Q115" s="1953"/>
      <c r="R115" s="1954"/>
    </row>
    <row r="116" customFormat="false" ht="14.25" hidden="false" customHeight="false" outlineLevel="0" collapsed="false">
      <c r="A116" s="829" t="n">
        <v>300</v>
      </c>
      <c r="B116" s="830" t="n">
        <v>2024</v>
      </c>
      <c r="C116" s="1965" t="n">
        <v>45870</v>
      </c>
      <c r="D116" s="831" t="s">
        <v>7</v>
      </c>
      <c r="E116" s="1365" t="s">
        <v>1652</v>
      </c>
      <c r="F116" s="832" t="s">
        <v>3364</v>
      </c>
      <c r="G116" s="1931" t="n">
        <v>360</v>
      </c>
      <c r="H116" s="1931" t="n">
        <v>15</v>
      </c>
      <c r="I116" s="837" t="n">
        <f aca="false">G116*H116</f>
        <v>5400</v>
      </c>
      <c r="J116" s="1059" t="n">
        <v>35.4888</v>
      </c>
      <c r="K116" s="943" t="n">
        <f aca="false">I116*J116</f>
        <v>191639.52</v>
      </c>
      <c r="L116" s="1369" t="n">
        <v>159699.6</v>
      </c>
      <c r="M116" s="886" t="n">
        <v>4500</v>
      </c>
      <c r="N116" s="886" t="n">
        <f aca="false">M116/H116</f>
        <v>300</v>
      </c>
      <c r="O116" s="578"/>
      <c r="P116" s="1948" t="n">
        <f aca="false">K116-L116-L119-L118-L117</f>
        <v>23422.608</v>
      </c>
      <c r="Q116" s="1934" t="n">
        <f aca="false">I116-M116-M119-M118-M117</f>
        <v>660</v>
      </c>
      <c r="R116" s="1935" t="n">
        <f aca="false">G116-N116-N119-N118-N117</f>
        <v>44</v>
      </c>
    </row>
    <row r="117" customFormat="false" ht="14.25" hidden="false" customHeight="false" outlineLevel="0" collapsed="false">
      <c r="A117" s="829"/>
      <c r="B117" s="830"/>
      <c r="C117" s="1965"/>
      <c r="D117" s="848" t="s">
        <v>7</v>
      </c>
      <c r="E117" s="1479" t="s">
        <v>1652</v>
      </c>
      <c r="F117" s="832"/>
      <c r="G117" s="1931"/>
      <c r="H117" s="1931"/>
      <c r="I117" s="837"/>
      <c r="J117" s="1059"/>
      <c r="K117" s="943"/>
      <c r="L117" s="1380" t="n">
        <v>-23422.608</v>
      </c>
      <c r="M117" s="866" t="n">
        <v>-660</v>
      </c>
      <c r="N117" s="866" t="n">
        <f aca="false">M117/H116</f>
        <v>-44</v>
      </c>
      <c r="O117" s="580" t="s">
        <v>1634</v>
      </c>
      <c r="P117" s="1948"/>
      <c r="Q117" s="1934"/>
      <c r="R117" s="1935"/>
    </row>
    <row r="118" customFormat="false" ht="14.25" hidden="false" customHeight="false" outlineLevel="0" collapsed="false">
      <c r="A118" s="829"/>
      <c r="B118" s="830"/>
      <c r="C118" s="1965"/>
      <c r="D118" s="860" t="s">
        <v>7</v>
      </c>
      <c r="E118" s="1480" t="s">
        <v>1652</v>
      </c>
      <c r="F118" s="832"/>
      <c r="G118" s="1931"/>
      <c r="H118" s="1931"/>
      <c r="I118" s="837"/>
      <c r="J118" s="1059"/>
      <c r="K118" s="943"/>
      <c r="L118" s="1521" t="n">
        <v>23954.94</v>
      </c>
      <c r="M118" s="866" t="n">
        <v>675</v>
      </c>
      <c r="N118" s="866" t="n">
        <f aca="false">M118/H116</f>
        <v>45</v>
      </c>
      <c r="O118" s="545" t="s">
        <v>404</v>
      </c>
      <c r="P118" s="1948"/>
      <c r="Q118" s="1934"/>
      <c r="R118" s="1935"/>
    </row>
    <row r="119" customFormat="false" ht="14.25" hidden="false" customHeight="false" outlineLevel="0" collapsed="false">
      <c r="A119" s="829"/>
      <c r="B119" s="830"/>
      <c r="C119" s="1965"/>
      <c r="D119" s="887" t="s">
        <v>7</v>
      </c>
      <c r="E119" s="1501" t="s">
        <v>1652</v>
      </c>
      <c r="F119" s="832"/>
      <c r="G119" s="1931"/>
      <c r="H119" s="1931"/>
      <c r="I119" s="837"/>
      <c r="J119" s="1059"/>
      <c r="K119" s="943"/>
      <c r="L119" s="1381" t="n">
        <v>7984.98</v>
      </c>
      <c r="M119" s="890" t="n">
        <v>225</v>
      </c>
      <c r="N119" s="890" t="n">
        <f aca="false">M119/H116</f>
        <v>15</v>
      </c>
      <c r="O119" s="1938" t="s">
        <v>3378</v>
      </c>
      <c r="P119" s="1948"/>
      <c r="Q119" s="1934"/>
      <c r="R119" s="1935"/>
    </row>
    <row r="120" customFormat="false" ht="14.25" hidden="false" customHeight="false" outlineLevel="0" collapsed="false">
      <c r="A120" s="903" t="n">
        <v>304</v>
      </c>
      <c r="B120" s="903" t="n">
        <v>2024</v>
      </c>
      <c r="C120" s="1974" t="n">
        <v>45870</v>
      </c>
      <c r="D120" s="904" t="s">
        <v>7</v>
      </c>
      <c r="E120" s="1351" t="s">
        <v>2619</v>
      </c>
      <c r="F120" s="904" t="s">
        <v>3364</v>
      </c>
      <c r="G120" s="1940" t="n">
        <v>14</v>
      </c>
      <c r="H120" s="1940" t="n">
        <v>30</v>
      </c>
      <c r="I120" s="942" t="n">
        <f aca="false">G120*H120</f>
        <v>420</v>
      </c>
      <c r="J120" s="1406" t="n">
        <v>89.843</v>
      </c>
      <c r="K120" s="948" t="n">
        <f aca="false">I120*J120</f>
        <v>37734.06</v>
      </c>
      <c r="L120" s="1355" t="n">
        <v>37734.06</v>
      </c>
      <c r="M120" s="891" t="n">
        <v>420</v>
      </c>
      <c r="N120" s="891" t="n">
        <f aca="false">M120/H120</f>
        <v>14</v>
      </c>
      <c r="O120" s="1943" t="s">
        <v>436</v>
      </c>
      <c r="P120" s="1964" t="n">
        <f aca="false">K120-L120</f>
        <v>0</v>
      </c>
      <c r="Q120" s="1945" t="n">
        <f aca="false">I120-M120</f>
        <v>0</v>
      </c>
      <c r="R120" s="1946" t="n">
        <f aca="false">G120-N120</f>
        <v>0</v>
      </c>
    </row>
    <row r="121" customFormat="false" ht="14.25" hidden="false" customHeight="false" outlineLevel="0" collapsed="false">
      <c r="A121" s="829" t="n">
        <v>354</v>
      </c>
      <c r="B121" s="830" t="n">
        <v>2024</v>
      </c>
      <c r="C121" s="1965" t="n">
        <v>45901</v>
      </c>
      <c r="D121" s="831" t="s">
        <v>7</v>
      </c>
      <c r="E121" s="1365" t="s">
        <v>2131</v>
      </c>
      <c r="F121" s="832" t="s">
        <v>3364</v>
      </c>
      <c r="G121" s="1931" t="n">
        <v>240</v>
      </c>
      <c r="H121" s="1931" t="n">
        <v>25</v>
      </c>
      <c r="I121" s="837" t="n">
        <f aca="false">G121*H121</f>
        <v>6000</v>
      </c>
      <c r="J121" s="1059" t="n">
        <v>60.4238</v>
      </c>
      <c r="K121" s="943" t="n">
        <f aca="false">I121*J121</f>
        <v>362542.8</v>
      </c>
      <c r="L121" s="1369" t="n">
        <v>362542.8</v>
      </c>
      <c r="M121" s="840" t="n">
        <v>6000</v>
      </c>
      <c r="N121" s="840" t="n">
        <f aca="false">M121/H121</f>
        <v>240</v>
      </c>
      <c r="O121" s="578" t="s">
        <v>404</v>
      </c>
      <c r="P121" s="1982" t="n">
        <f aca="false">K121-L121-L122</f>
        <v>205440.92</v>
      </c>
      <c r="Q121" s="1934" t="n">
        <f aca="false">I121-M121-M122</f>
        <v>3400</v>
      </c>
      <c r="R121" s="1935" t="n">
        <f aca="false">G121-N121-N122</f>
        <v>136</v>
      </c>
    </row>
    <row r="122" customFormat="false" ht="14.25" hidden="false" customHeight="false" outlineLevel="0" collapsed="false">
      <c r="A122" s="829"/>
      <c r="B122" s="830"/>
      <c r="C122" s="1965"/>
      <c r="D122" s="843" t="s">
        <v>7</v>
      </c>
      <c r="E122" s="1357" t="s">
        <v>2131</v>
      </c>
      <c r="F122" s="832"/>
      <c r="G122" s="1931"/>
      <c r="H122" s="1931"/>
      <c r="I122" s="837"/>
      <c r="J122" s="1059"/>
      <c r="K122" s="943"/>
      <c r="L122" s="1362" t="n">
        <v>-205440.92</v>
      </c>
      <c r="M122" s="846" t="n">
        <v>-3400</v>
      </c>
      <c r="N122" s="846" t="n">
        <f aca="false">M122/H121</f>
        <v>-136</v>
      </c>
      <c r="O122" s="1936" t="s">
        <v>1634</v>
      </c>
      <c r="P122" s="1982"/>
      <c r="Q122" s="1934"/>
      <c r="R122" s="1935"/>
    </row>
    <row r="123" customFormat="false" ht="14.25" hidden="false" customHeight="false" outlineLevel="0" collapsed="false">
      <c r="A123" s="903" t="n">
        <v>377</v>
      </c>
      <c r="B123" s="903" t="n">
        <v>2024</v>
      </c>
      <c r="C123" s="1974" t="n">
        <v>45901</v>
      </c>
      <c r="D123" s="904" t="s">
        <v>7</v>
      </c>
      <c r="E123" s="1351" t="s">
        <v>1651</v>
      </c>
      <c r="F123" s="904" t="s">
        <v>3364</v>
      </c>
      <c r="G123" s="1940" t="n">
        <v>10</v>
      </c>
      <c r="H123" s="1940" t="n">
        <v>10</v>
      </c>
      <c r="I123" s="942" t="n">
        <f aca="false">G123*H123</f>
        <v>100</v>
      </c>
      <c r="J123" s="1406" t="n">
        <v>25.2531</v>
      </c>
      <c r="K123" s="948" t="n">
        <f aca="false">I123*J123</f>
        <v>2525.31</v>
      </c>
      <c r="L123" s="1355" t="n">
        <v>2525.31</v>
      </c>
      <c r="M123" s="891" t="n">
        <v>100</v>
      </c>
      <c r="N123" s="854" t="n">
        <f aca="false">M123/H123</f>
        <v>10</v>
      </c>
      <c r="O123" s="1943" t="s">
        <v>461</v>
      </c>
      <c r="P123" s="1964" t="n">
        <f aca="false">K123-L123</f>
        <v>0</v>
      </c>
      <c r="Q123" s="1945" t="n">
        <f aca="false">I123-M123</f>
        <v>0</v>
      </c>
      <c r="R123" s="1946" t="n">
        <f aca="false">G123-N123</f>
        <v>0</v>
      </c>
    </row>
    <row r="124" customFormat="false" ht="14.25" hidden="false" customHeight="false" outlineLevel="0" collapsed="false">
      <c r="A124" s="882" t="n">
        <v>378</v>
      </c>
      <c r="B124" s="830" t="n">
        <v>2024</v>
      </c>
      <c r="C124" s="1965" t="n">
        <v>45901</v>
      </c>
      <c r="D124" s="831" t="s">
        <v>7</v>
      </c>
      <c r="E124" s="1365" t="s">
        <v>1651</v>
      </c>
      <c r="F124" s="832" t="s">
        <v>3364</v>
      </c>
      <c r="G124" s="1931" t="n">
        <v>666</v>
      </c>
      <c r="H124" s="1931" t="n">
        <v>15</v>
      </c>
      <c r="I124" s="837" t="n">
        <f aca="false">G124*H124</f>
        <v>9990</v>
      </c>
      <c r="J124" s="1059" t="n">
        <v>25.2531</v>
      </c>
      <c r="K124" s="943" t="n">
        <f aca="false">I124*J124</f>
        <v>252278.469</v>
      </c>
      <c r="L124" s="1369" t="n">
        <v>37879.65</v>
      </c>
      <c r="M124" s="840" t="n">
        <v>1500</v>
      </c>
      <c r="N124" s="886" t="n">
        <f aca="false">M124/H124</f>
        <v>100</v>
      </c>
      <c r="O124" s="578" t="s">
        <v>471</v>
      </c>
      <c r="P124" s="1948" t="n">
        <f aca="false">K124-L124-L126-L125</f>
        <v>0</v>
      </c>
      <c r="Q124" s="1934" t="n">
        <f aca="false">I124-M124-M126-M125</f>
        <v>0</v>
      </c>
      <c r="R124" s="1935" t="n">
        <f aca="false">G124-N124-N126-N125</f>
        <v>0</v>
      </c>
    </row>
    <row r="125" customFormat="false" ht="14.25" hidden="false" customHeight="false" outlineLevel="0" collapsed="false">
      <c r="A125" s="882"/>
      <c r="B125" s="830"/>
      <c r="C125" s="1965"/>
      <c r="D125" s="904" t="s">
        <v>7</v>
      </c>
      <c r="E125" s="1351" t="s">
        <v>1651</v>
      </c>
      <c r="F125" s="832"/>
      <c r="G125" s="1931"/>
      <c r="H125" s="1931"/>
      <c r="I125" s="837"/>
      <c r="J125" s="1059"/>
      <c r="K125" s="943"/>
      <c r="L125" s="1355" t="n">
        <v>213641.226</v>
      </c>
      <c r="M125" s="891" t="n">
        <v>8460</v>
      </c>
      <c r="N125" s="866" t="n">
        <f aca="false">M125/H124</f>
        <v>564</v>
      </c>
      <c r="O125" s="1943" t="s">
        <v>404</v>
      </c>
      <c r="P125" s="1948"/>
      <c r="Q125" s="1934"/>
      <c r="R125" s="1935"/>
    </row>
    <row r="126" customFormat="false" ht="14.25" hidden="false" customHeight="false" outlineLevel="0" collapsed="false">
      <c r="A126" s="882"/>
      <c r="B126" s="830"/>
      <c r="C126" s="1965"/>
      <c r="D126" s="843" t="s">
        <v>7</v>
      </c>
      <c r="E126" s="1357" t="s">
        <v>1651</v>
      </c>
      <c r="F126" s="832"/>
      <c r="G126" s="1931"/>
      <c r="H126" s="1931"/>
      <c r="I126" s="837"/>
      <c r="J126" s="1059"/>
      <c r="K126" s="943"/>
      <c r="L126" s="1362" t="n">
        <v>757.593</v>
      </c>
      <c r="M126" s="846" t="n">
        <v>30</v>
      </c>
      <c r="N126" s="846" t="n">
        <f aca="false">M126/H124</f>
        <v>2</v>
      </c>
      <c r="O126" s="1936" t="s">
        <v>488</v>
      </c>
      <c r="P126" s="1948"/>
      <c r="Q126" s="1934"/>
      <c r="R126" s="1935"/>
    </row>
    <row r="127" customFormat="false" ht="14.25" hidden="false" customHeight="false" outlineLevel="0" collapsed="false">
      <c r="A127" s="829" t="n">
        <v>379</v>
      </c>
      <c r="B127" s="830" t="n">
        <v>2024</v>
      </c>
      <c r="C127" s="1965" t="n">
        <v>45901</v>
      </c>
      <c r="D127" s="831" t="s">
        <v>7</v>
      </c>
      <c r="E127" s="1365" t="s">
        <v>1651</v>
      </c>
      <c r="F127" s="832" t="s">
        <v>3364</v>
      </c>
      <c r="G127" s="1931" t="n">
        <v>320</v>
      </c>
      <c r="H127" s="1931" t="n">
        <v>15</v>
      </c>
      <c r="I127" s="837" t="n">
        <f aca="false">G127*H127</f>
        <v>4800</v>
      </c>
      <c r="J127" s="1059" t="n">
        <v>25.6371</v>
      </c>
      <c r="K127" s="943" t="n">
        <f aca="false">I127*J127</f>
        <v>123058.08</v>
      </c>
      <c r="L127" s="1369" t="n">
        <v>12305.808</v>
      </c>
      <c r="M127" s="840" t="n">
        <v>480</v>
      </c>
      <c r="N127" s="886" t="n">
        <f aca="false">M127/H127</f>
        <v>32</v>
      </c>
      <c r="O127" s="578"/>
      <c r="P127" s="1948" t="n">
        <f aca="false">K127-L127-L130-L129-L128</f>
        <v>0</v>
      </c>
      <c r="Q127" s="1934" t="n">
        <f aca="false">I127-M127-M130-M129-M128</f>
        <v>0</v>
      </c>
      <c r="R127" s="1935" t="n">
        <f aca="false">G127-N127-N130-N129-N128</f>
        <v>0</v>
      </c>
    </row>
    <row r="128" customFormat="false" ht="14.25" hidden="false" customHeight="false" outlineLevel="0" collapsed="false">
      <c r="A128" s="829"/>
      <c r="B128" s="830"/>
      <c r="C128" s="1965"/>
      <c r="D128" s="848" t="s">
        <v>7</v>
      </c>
      <c r="E128" s="1479" t="s">
        <v>1651</v>
      </c>
      <c r="F128" s="832"/>
      <c r="G128" s="1931"/>
      <c r="H128" s="1931"/>
      <c r="I128" s="837"/>
      <c r="J128" s="1059"/>
      <c r="K128" s="943"/>
      <c r="L128" s="1380" t="n">
        <v>1922.7825</v>
      </c>
      <c r="M128" s="854" t="n">
        <v>75</v>
      </c>
      <c r="N128" s="866" t="n">
        <f aca="false">M128/H127</f>
        <v>5</v>
      </c>
      <c r="O128" s="580" t="s">
        <v>509</v>
      </c>
      <c r="P128" s="1948"/>
      <c r="Q128" s="1934"/>
      <c r="R128" s="1935"/>
    </row>
    <row r="129" customFormat="false" ht="14.25" hidden="false" customHeight="false" outlineLevel="0" collapsed="false">
      <c r="A129" s="829"/>
      <c r="B129" s="830"/>
      <c r="C129" s="1965"/>
      <c r="D129" s="860" t="s">
        <v>7</v>
      </c>
      <c r="E129" s="1480" t="s">
        <v>1651</v>
      </c>
      <c r="F129" s="832"/>
      <c r="G129" s="1931"/>
      <c r="H129" s="1931"/>
      <c r="I129" s="837"/>
      <c r="J129" s="1059"/>
      <c r="K129" s="943"/>
      <c r="L129" s="1521" t="n">
        <v>44608.554</v>
      </c>
      <c r="M129" s="866" t="n">
        <v>1740</v>
      </c>
      <c r="N129" s="866" t="n">
        <f aca="false">M129/H127</f>
        <v>116</v>
      </c>
      <c r="O129" s="545" t="s">
        <v>502</v>
      </c>
      <c r="P129" s="1948"/>
      <c r="Q129" s="1934"/>
      <c r="R129" s="1935"/>
    </row>
    <row r="130" customFormat="false" ht="14.25" hidden="false" customHeight="false" outlineLevel="0" collapsed="false">
      <c r="A130" s="829"/>
      <c r="B130" s="830"/>
      <c r="C130" s="1965"/>
      <c r="D130" s="887" t="s">
        <v>7</v>
      </c>
      <c r="E130" s="1501" t="s">
        <v>1651</v>
      </c>
      <c r="F130" s="832"/>
      <c r="G130" s="1931"/>
      <c r="H130" s="1931"/>
      <c r="I130" s="837"/>
      <c r="J130" s="1059"/>
      <c r="K130" s="943"/>
      <c r="L130" s="1381" t="n">
        <v>64220.9355</v>
      </c>
      <c r="M130" s="890" t="n">
        <v>2505</v>
      </c>
      <c r="N130" s="890" t="n">
        <f aca="false">M130/H127</f>
        <v>167</v>
      </c>
      <c r="O130" s="1938" t="s">
        <v>3378</v>
      </c>
      <c r="P130" s="1948"/>
      <c r="Q130" s="1934"/>
      <c r="R130" s="1935"/>
    </row>
    <row r="131" customFormat="false" ht="14.25" hidden="false" customHeight="false" outlineLevel="0" collapsed="false">
      <c r="A131" s="847" t="n">
        <v>451</v>
      </c>
      <c r="B131" s="1396" t="n">
        <v>2024</v>
      </c>
      <c r="C131" s="1966" t="n">
        <v>45931</v>
      </c>
      <c r="D131" s="848" t="s">
        <v>7</v>
      </c>
      <c r="E131" s="1479" t="s">
        <v>1651</v>
      </c>
      <c r="F131" s="848" t="s">
        <v>3364</v>
      </c>
      <c r="G131" s="1967" t="n">
        <v>666</v>
      </c>
      <c r="H131" s="1967" t="n">
        <v>15</v>
      </c>
      <c r="I131" s="1380" t="n">
        <f aca="false">G131*H131</f>
        <v>9990</v>
      </c>
      <c r="J131" s="1544" t="n">
        <v>25.71</v>
      </c>
      <c r="K131" s="1968" t="n">
        <f aca="false">I131*J131</f>
        <v>256842.9</v>
      </c>
      <c r="L131" s="1380" t="n">
        <v>256842.9</v>
      </c>
      <c r="M131" s="854" t="n">
        <v>9990</v>
      </c>
      <c r="N131" s="866" t="n">
        <f aca="false">M131/H131</f>
        <v>666</v>
      </c>
      <c r="O131" s="580" t="s">
        <v>683</v>
      </c>
      <c r="P131" s="1983" t="n">
        <f aca="false">K131-L131</f>
        <v>0</v>
      </c>
      <c r="Q131" s="1970" t="n">
        <f aca="false">I131-M131</f>
        <v>0</v>
      </c>
      <c r="R131" s="1971" t="n">
        <f aca="false">G131-N131</f>
        <v>0</v>
      </c>
    </row>
    <row r="132" customFormat="false" ht="14.25" hidden="false" customHeight="false" outlineLevel="0" collapsed="false">
      <c r="A132" s="903" t="s">
        <v>3379</v>
      </c>
      <c r="B132" s="903" t="n">
        <v>2024</v>
      </c>
      <c r="C132" s="1974" t="n">
        <v>45901</v>
      </c>
      <c r="D132" s="904" t="s">
        <v>7</v>
      </c>
      <c r="E132" s="1351" t="s">
        <v>1651</v>
      </c>
      <c r="F132" s="904" t="s">
        <v>3364</v>
      </c>
      <c r="G132" s="1940" t="n">
        <v>666</v>
      </c>
      <c r="H132" s="1940" t="n">
        <v>15</v>
      </c>
      <c r="I132" s="1355" t="n">
        <f aca="false">G132*H132</f>
        <v>9990</v>
      </c>
      <c r="J132" s="1406" t="n">
        <v>24.8202</v>
      </c>
      <c r="K132" s="1942" t="n">
        <f aca="false">I132*J132</f>
        <v>247953.798</v>
      </c>
      <c r="L132" s="1355" t="n">
        <v>247953.798</v>
      </c>
      <c r="M132" s="891" t="n">
        <v>9990</v>
      </c>
      <c r="N132" s="877" t="n">
        <f aca="false">M132/H132</f>
        <v>666</v>
      </c>
      <c r="O132" s="1943" t="s">
        <v>3380</v>
      </c>
      <c r="P132" s="1947" t="n">
        <f aca="false">K132-L132</f>
        <v>0</v>
      </c>
      <c r="Q132" s="1945" t="n">
        <f aca="false">I132-M132</f>
        <v>0</v>
      </c>
      <c r="R132" s="1946" t="n">
        <f aca="false">G132-N132</f>
        <v>0</v>
      </c>
    </row>
    <row r="133" customFormat="false" ht="14.25" hidden="false" customHeight="false" outlineLevel="0" collapsed="false">
      <c r="A133" s="829" t="n">
        <v>452</v>
      </c>
      <c r="B133" s="830" t="n">
        <v>2024</v>
      </c>
      <c r="C133" s="1965" t="n">
        <v>45931</v>
      </c>
      <c r="D133" s="831" t="s">
        <v>7</v>
      </c>
      <c r="E133" s="1365" t="s">
        <v>1651</v>
      </c>
      <c r="F133" s="832" t="s">
        <v>3364</v>
      </c>
      <c r="G133" s="1931" t="n">
        <v>128</v>
      </c>
      <c r="H133" s="1931" t="n">
        <v>15</v>
      </c>
      <c r="I133" s="837" t="n">
        <f aca="false">G133*H133</f>
        <v>1920</v>
      </c>
      <c r="J133" s="1059" t="n">
        <v>26.9151</v>
      </c>
      <c r="K133" s="943" t="n">
        <f aca="false">I133*J133</f>
        <v>51676.992</v>
      </c>
      <c r="L133" s="1369" t="n">
        <v>403.7265</v>
      </c>
      <c r="M133" s="840" t="n">
        <v>15</v>
      </c>
      <c r="N133" s="840" t="n">
        <f aca="false">M133/H133</f>
        <v>1</v>
      </c>
      <c r="O133" s="578" t="s">
        <v>683</v>
      </c>
      <c r="P133" s="1948" t="n">
        <f aca="false">K133-L133-L134</f>
        <v>0</v>
      </c>
      <c r="Q133" s="1934" t="n">
        <f aca="false">I133-M133-M134</f>
        <v>0</v>
      </c>
      <c r="R133" s="1935" t="n">
        <f aca="false">G133-N133-N134</f>
        <v>0</v>
      </c>
    </row>
    <row r="134" customFormat="false" ht="14.25" hidden="false" customHeight="false" outlineLevel="0" collapsed="false">
      <c r="A134" s="829"/>
      <c r="B134" s="830"/>
      <c r="C134" s="1965"/>
      <c r="D134" s="843" t="s">
        <v>7</v>
      </c>
      <c r="E134" s="1357" t="s">
        <v>1651</v>
      </c>
      <c r="F134" s="832"/>
      <c r="G134" s="1931"/>
      <c r="H134" s="1931"/>
      <c r="I134" s="837"/>
      <c r="J134" s="1059"/>
      <c r="K134" s="943"/>
      <c r="L134" s="1362" t="n">
        <v>51273.2655</v>
      </c>
      <c r="M134" s="846" t="n">
        <v>1905</v>
      </c>
      <c r="N134" s="846" t="n">
        <f aca="false">M134/H133</f>
        <v>127</v>
      </c>
      <c r="O134" s="1936" t="s">
        <v>1634</v>
      </c>
      <c r="P134" s="1948"/>
      <c r="Q134" s="1934"/>
      <c r="R134" s="1935"/>
    </row>
    <row r="135" customFormat="false" ht="14.25" hidden="false" customHeight="false" outlineLevel="0" collapsed="false">
      <c r="A135" s="903" t="s">
        <v>3381</v>
      </c>
      <c r="B135" s="903" t="n">
        <v>2024</v>
      </c>
      <c r="C135" s="1974" t="n">
        <v>45931</v>
      </c>
      <c r="D135" s="904" t="s">
        <v>7</v>
      </c>
      <c r="E135" s="1351" t="s">
        <v>1651</v>
      </c>
      <c r="F135" s="904" t="s">
        <v>3364</v>
      </c>
      <c r="G135" s="1940" t="n">
        <v>134</v>
      </c>
      <c r="H135" s="1940" t="n">
        <v>15</v>
      </c>
      <c r="I135" s="1355" t="n">
        <f aca="false">G135*H135</f>
        <v>2010</v>
      </c>
      <c r="J135" s="1406" t="n">
        <v>25.4123</v>
      </c>
      <c r="K135" s="1942" t="n">
        <f aca="false">I135*J135</f>
        <v>51078.723</v>
      </c>
      <c r="L135" s="1355" t="n">
        <v>51078.723</v>
      </c>
      <c r="M135" s="891" t="n">
        <v>2010</v>
      </c>
      <c r="N135" s="891" t="n">
        <f aca="false">M135/H135</f>
        <v>134</v>
      </c>
      <c r="O135" s="1943" t="s">
        <v>3382</v>
      </c>
      <c r="P135" s="1947" t="n">
        <f aca="false">K135-L135</f>
        <v>0</v>
      </c>
      <c r="Q135" s="1945" t="n">
        <f aca="false">I135-M135</f>
        <v>0</v>
      </c>
      <c r="R135" s="1946" t="n">
        <f aca="false">G135-N135</f>
        <v>0</v>
      </c>
    </row>
    <row r="136" customFormat="false" ht="14.25" hidden="false" customHeight="false" outlineLevel="0" collapsed="false">
      <c r="A136" s="829" t="n">
        <v>479</v>
      </c>
      <c r="B136" s="830" t="n">
        <v>2024</v>
      </c>
      <c r="C136" s="1965" t="n">
        <v>45931</v>
      </c>
      <c r="D136" s="831" t="s">
        <v>7</v>
      </c>
      <c r="E136" s="1365" t="s">
        <v>1652</v>
      </c>
      <c r="F136" s="830" t="s">
        <v>3364</v>
      </c>
      <c r="G136" s="1931" t="n">
        <v>483</v>
      </c>
      <c r="H136" s="1931" t="n">
        <v>15</v>
      </c>
      <c r="I136" s="837" t="n">
        <f aca="false">G136*H136</f>
        <v>7245</v>
      </c>
      <c r="J136" s="1059" t="n">
        <v>38.6749</v>
      </c>
      <c r="K136" s="943" t="n">
        <f aca="false">I136*J136</f>
        <v>280199.6505</v>
      </c>
      <c r="L136" s="1665" t="n">
        <v>11602.47</v>
      </c>
      <c r="M136" s="886" t="n">
        <v>300</v>
      </c>
      <c r="N136" s="886" t="n">
        <f aca="false">M136/H136</f>
        <v>20</v>
      </c>
      <c r="O136" s="1595" t="s">
        <v>595</v>
      </c>
      <c r="P136" s="1948" t="n">
        <f aca="false">K136-L136-L140-L139-L137-L138</f>
        <v>71355.1905</v>
      </c>
      <c r="Q136" s="1934" t="n">
        <f aca="false">I136-M136-M140-M139-M137-M138</f>
        <v>1845</v>
      </c>
      <c r="R136" s="1935" t="n">
        <f aca="false">G136-N136-N140-N139-N137-N138</f>
        <v>123</v>
      </c>
    </row>
    <row r="137" customFormat="false" ht="14.25" hidden="false" customHeight="false" outlineLevel="0" collapsed="false">
      <c r="A137" s="829"/>
      <c r="B137" s="830"/>
      <c r="C137" s="1965"/>
      <c r="D137" s="860" t="s">
        <v>7</v>
      </c>
      <c r="E137" s="1480" t="s">
        <v>1652</v>
      </c>
      <c r="F137" s="830"/>
      <c r="G137" s="1931"/>
      <c r="H137" s="1931"/>
      <c r="I137" s="837"/>
      <c r="J137" s="1059"/>
      <c r="K137" s="943"/>
      <c r="L137" s="1521" t="n">
        <v>13922.964</v>
      </c>
      <c r="M137" s="866" t="n">
        <v>360</v>
      </c>
      <c r="N137" s="866" t="n">
        <f aca="false">M137/H136</f>
        <v>24</v>
      </c>
      <c r="O137" s="545" t="s">
        <v>731</v>
      </c>
      <c r="P137" s="1948"/>
      <c r="Q137" s="1934"/>
      <c r="R137" s="1935"/>
    </row>
    <row r="138" customFormat="false" ht="14.25" hidden="false" customHeight="false" outlineLevel="0" collapsed="false">
      <c r="A138" s="829"/>
      <c r="B138" s="830"/>
      <c r="C138" s="1965"/>
      <c r="D138" s="860" t="s">
        <v>7</v>
      </c>
      <c r="E138" s="1480" t="s">
        <v>1652</v>
      </c>
      <c r="F138" s="830"/>
      <c r="G138" s="1931"/>
      <c r="H138" s="1931"/>
      <c r="I138" s="837"/>
      <c r="J138" s="1059"/>
      <c r="K138" s="943"/>
      <c r="L138" s="1521" t="n">
        <v>-4060.8645</v>
      </c>
      <c r="M138" s="866" t="n">
        <v>-105</v>
      </c>
      <c r="N138" s="866" t="n">
        <f aca="false">M138/H136</f>
        <v>-7</v>
      </c>
      <c r="O138" s="545" t="s">
        <v>1634</v>
      </c>
      <c r="P138" s="1948"/>
      <c r="Q138" s="1934"/>
      <c r="R138" s="1935"/>
    </row>
    <row r="139" customFormat="false" ht="14.25" hidden="false" customHeight="false" outlineLevel="0" collapsed="false">
      <c r="A139" s="829"/>
      <c r="B139" s="830"/>
      <c r="C139" s="1965"/>
      <c r="D139" s="860" t="s">
        <v>7</v>
      </c>
      <c r="E139" s="1480" t="s">
        <v>1652</v>
      </c>
      <c r="F139" s="830"/>
      <c r="G139" s="1931"/>
      <c r="H139" s="1931"/>
      <c r="I139" s="837"/>
      <c r="J139" s="1059"/>
      <c r="K139" s="943"/>
      <c r="L139" s="1521" t="n">
        <v>580.1235</v>
      </c>
      <c r="M139" s="866" t="n">
        <v>15</v>
      </c>
      <c r="N139" s="866" t="n">
        <f aca="false">M139/H136</f>
        <v>1</v>
      </c>
      <c r="O139" s="545" t="s">
        <v>704</v>
      </c>
      <c r="P139" s="1948"/>
      <c r="Q139" s="1934"/>
      <c r="R139" s="1935"/>
    </row>
    <row r="140" customFormat="false" ht="14.25" hidden="false" customHeight="false" outlineLevel="0" collapsed="false">
      <c r="A140" s="829"/>
      <c r="B140" s="830"/>
      <c r="C140" s="1965"/>
      <c r="D140" s="843" t="s">
        <v>7</v>
      </c>
      <c r="E140" s="1357" t="s">
        <v>1652</v>
      </c>
      <c r="F140" s="830"/>
      <c r="G140" s="1931"/>
      <c r="H140" s="1931"/>
      <c r="I140" s="837"/>
      <c r="J140" s="1059"/>
      <c r="K140" s="943"/>
      <c r="L140" s="1362" t="n">
        <v>186799.767</v>
      </c>
      <c r="M140" s="846" t="n">
        <v>4830</v>
      </c>
      <c r="N140" s="846" t="n">
        <f aca="false">M140/H136</f>
        <v>322</v>
      </c>
      <c r="O140" s="1936" t="s">
        <v>404</v>
      </c>
      <c r="P140" s="1948"/>
      <c r="Q140" s="1934"/>
      <c r="R140" s="1935"/>
    </row>
    <row r="141" customFormat="false" ht="14.25" hidden="false" customHeight="false" outlineLevel="0" collapsed="false">
      <c r="A141" s="1087" t="n">
        <v>480</v>
      </c>
      <c r="B141" s="1072" t="n">
        <v>2024</v>
      </c>
      <c r="C141" s="1980" t="n">
        <v>45931</v>
      </c>
      <c r="D141" s="848" t="s">
        <v>7</v>
      </c>
      <c r="E141" s="1479" t="s">
        <v>1651</v>
      </c>
      <c r="F141" s="887" t="s">
        <v>3364</v>
      </c>
      <c r="G141" s="1950" t="n">
        <v>666</v>
      </c>
      <c r="H141" s="1950" t="n">
        <v>15</v>
      </c>
      <c r="I141" s="1067" t="n">
        <f aca="false">G141*H141</f>
        <v>9990</v>
      </c>
      <c r="J141" s="1063" t="n">
        <v>24.8202</v>
      </c>
      <c r="K141" s="1452" t="n">
        <f aca="false">I141*J141</f>
        <v>247953.798</v>
      </c>
      <c r="L141" s="1380" t="n">
        <v>5584.545</v>
      </c>
      <c r="M141" s="854" t="n">
        <v>225</v>
      </c>
      <c r="N141" s="891" t="n">
        <f aca="false">M141/H141</f>
        <v>15</v>
      </c>
      <c r="O141" s="580" t="s">
        <v>576</v>
      </c>
      <c r="P141" s="1953" t="n">
        <f aca="false">K141-L141-L152-L151-L142-L143-L150-L145-L144-L149-L148-L147-L146</f>
        <v>-4.1154635255225E-011</v>
      </c>
      <c r="Q141" s="1953" t="n">
        <f aca="false">I141-M141-M152-M151-M142-M143-M150-M145-M144-M149-M147-M148-M146</f>
        <v>0</v>
      </c>
      <c r="R141" s="1954" t="n">
        <f aca="false">G141-N141-N152-N151-N142-N143-N150-N145-N144-N149-N147-N148-N146</f>
        <v>0</v>
      </c>
    </row>
    <row r="142" customFormat="false" ht="14.25" hidden="false" customHeight="false" outlineLevel="0" collapsed="false">
      <c r="A142" s="1087"/>
      <c r="B142" s="1072"/>
      <c r="C142" s="1980"/>
      <c r="D142" s="848" t="s">
        <v>7</v>
      </c>
      <c r="E142" s="1479" t="s">
        <v>1651</v>
      </c>
      <c r="F142" s="887"/>
      <c r="G142" s="1950"/>
      <c r="H142" s="1950"/>
      <c r="I142" s="1067"/>
      <c r="J142" s="1063"/>
      <c r="K142" s="1452"/>
      <c r="L142" s="1380" t="n">
        <v>13775.211</v>
      </c>
      <c r="M142" s="854" t="n">
        <v>555</v>
      </c>
      <c r="N142" s="866" t="n">
        <f aca="false">M142/H141</f>
        <v>37</v>
      </c>
      <c r="O142" s="580" t="s">
        <v>583</v>
      </c>
      <c r="P142" s="1953"/>
      <c r="Q142" s="1953"/>
      <c r="R142" s="1954"/>
    </row>
    <row r="143" customFormat="false" ht="14.25" hidden="false" customHeight="false" outlineLevel="0" collapsed="false">
      <c r="A143" s="1087"/>
      <c r="B143" s="1072"/>
      <c r="C143" s="1980"/>
      <c r="D143" s="848" t="s">
        <v>7</v>
      </c>
      <c r="E143" s="1479" t="s">
        <v>1651</v>
      </c>
      <c r="F143" s="887"/>
      <c r="G143" s="1950"/>
      <c r="H143" s="1950"/>
      <c r="I143" s="1067"/>
      <c r="J143" s="1063"/>
      <c r="K143" s="1452"/>
      <c r="L143" s="1380" t="n">
        <v>81162.054</v>
      </c>
      <c r="M143" s="854" t="n">
        <v>3270</v>
      </c>
      <c r="N143" s="866" t="n">
        <f aca="false">M143/H141</f>
        <v>218</v>
      </c>
      <c r="O143" s="580" t="s">
        <v>584</v>
      </c>
      <c r="P143" s="1953"/>
      <c r="Q143" s="1953"/>
      <c r="R143" s="1954"/>
    </row>
    <row r="144" customFormat="false" ht="14.25" hidden="false" customHeight="false" outlineLevel="0" collapsed="false">
      <c r="A144" s="1087"/>
      <c r="B144" s="1072"/>
      <c r="C144" s="1980"/>
      <c r="D144" s="848" t="s">
        <v>7</v>
      </c>
      <c r="E144" s="1479" t="s">
        <v>1651</v>
      </c>
      <c r="F144" s="887"/>
      <c r="G144" s="1950"/>
      <c r="H144" s="1950"/>
      <c r="I144" s="1067"/>
      <c r="J144" s="1063"/>
      <c r="K144" s="1452"/>
      <c r="L144" s="1380" t="n">
        <v>7446.06</v>
      </c>
      <c r="M144" s="854" t="n">
        <v>300</v>
      </c>
      <c r="N144" s="866" t="n">
        <f aca="false">M144/H141</f>
        <v>20</v>
      </c>
      <c r="O144" s="580" t="s">
        <v>551</v>
      </c>
      <c r="P144" s="1953"/>
      <c r="Q144" s="1953"/>
      <c r="R144" s="1954"/>
    </row>
    <row r="145" customFormat="false" ht="14.25" hidden="false" customHeight="false" outlineLevel="0" collapsed="false">
      <c r="A145" s="1087"/>
      <c r="B145" s="1072"/>
      <c r="C145" s="1980"/>
      <c r="D145" s="848" t="s">
        <v>7</v>
      </c>
      <c r="E145" s="1479" t="s">
        <v>1651</v>
      </c>
      <c r="F145" s="887"/>
      <c r="G145" s="1950"/>
      <c r="H145" s="1950"/>
      <c r="I145" s="1067"/>
      <c r="J145" s="1063"/>
      <c r="K145" s="1452"/>
      <c r="L145" s="1380" t="n">
        <v>744.606</v>
      </c>
      <c r="M145" s="854" t="n">
        <v>30</v>
      </c>
      <c r="N145" s="866" t="n">
        <f aca="false">M145/H141</f>
        <v>2</v>
      </c>
      <c r="O145" s="580" t="s">
        <v>552</v>
      </c>
      <c r="P145" s="1953"/>
      <c r="Q145" s="1953"/>
      <c r="R145" s="1954"/>
    </row>
    <row r="146" customFormat="false" ht="14.25" hidden="false" customHeight="false" outlineLevel="0" collapsed="false">
      <c r="A146" s="1087"/>
      <c r="B146" s="1072"/>
      <c r="C146" s="1980"/>
      <c r="D146" s="848" t="s">
        <v>7</v>
      </c>
      <c r="E146" s="1479" t="s">
        <v>1651</v>
      </c>
      <c r="F146" s="887"/>
      <c r="G146" s="1950"/>
      <c r="H146" s="1950"/>
      <c r="I146" s="1067"/>
      <c r="J146" s="1063"/>
      <c r="K146" s="1452"/>
      <c r="L146" s="1380" t="n">
        <v>-1489.212</v>
      </c>
      <c r="M146" s="854" t="n">
        <v>-60</v>
      </c>
      <c r="N146" s="866" t="n">
        <f aca="false">M146/H141</f>
        <v>-4</v>
      </c>
      <c r="O146" s="580" t="s">
        <v>1634</v>
      </c>
      <c r="P146" s="1953"/>
      <c r="Q146" s="1953"/>
      <c r="R146" s="1954"/>
    </row>
    <row r="147" customFormat="false" ht="14.25" hidden="false" customHeight="false" outlineLevel="0" collapsed="false">
      <c r="A147" s="1087"/>
      <c r="B147" s="1072"/>
      <c r="C147" s="1980"/>
      <c r="D147" s="848" t="s">
        <v>7</v>
      </c>
      <c r="E147" s="1479" t="s">
        <v>1651</v>
      </c>
      <c r="F147" s="887"/>
      <c r="G147" s="1950"/>
      <c r="H147" s="1950"/>
      <c r="I147" s="1067"/>
      <c r="J147" s="1063"/>
      <c r="K147" s="1452"/>
      <c r="L147" s="1380" t="n">
        <v>2606.121</v>
      </c>
      <c r="M147" s="854" t="n">
        <v>105</v>
      </c>
      <c r="N147" s="866" t="n">
        <f aca="false">M147/H141</f>
        <v>7</v>
      </c>
      <c r="O147" s="580" t="s">
        <v>621</v>
      </c>
      <c r="P147" s="1953"/>
      <c r="Q147" s="1953"/>
      <c r="R147" s="1954"/>
    </row>
    <row r="148" customFormat="false" ht="14.25" hidden="false" customHeight="false" outlineLevel="0" collapsed="false">
      <c r="A148" s="1087"/>
      <c r="B148" s="1072"/>
      <c r="C148" s="1980"/>
      <c r="D148" s="848" t="s">
        <v>7</v>
      </c>
      <c r="E148" s="1479" t="s">
        <v>1651</v>
      </c>
      <c r="F148" s="887"/>
      <c r="G148" s="1950"/>
      <c r="H148" s="1950"/>
      <c r="I148" s="1067"/>
      <c r="J148" s="1063"/>
      <c r="K148" s="1452"/>
      <c r="L148" s="1380" t="n">
        <v>1861.515</v>
      </c>
      <c r="M148" s="854" t="n">
        <v>75</v>
      </c>
      <c r="N148" s="866" t="n">
        <f aca="false">M148/H141</f>
        <v>5</v>
      </c>
      <c r="O148" s="580" t="s">
        <v>1239</v>
      </c>
      <c r="P148" s="1953"/>
      <c r="Q148" s="1953"/>
      <c r="R148" s="1954"/>
    </row>
    <row r="149" customFormat="false" ht="14.25" hidden="false" customHeight="false" outlineLevel="0" collapsed="false">
      <c r="A149" s="1087"/>
      <c r="B149" s="1072"/>
      <c r="C149" s="1980"/>
      <c r="D149" s="848" t="s">
        <v>7</v>
      </c>
      <c r="E149" s="1479" t="s">
        <v>1651</v>
      </c>
      <c r="F149" s="887"/>
      <c r="G149" s="1950"/>
      <c r="H149" s="1950"/>
      <c r="I149" s="1067"/>
      <c r="J149" s="1063"/>
      <c r="K149" s="1452"/>
      <c r="L149" s="1380" t="n">
        <v>32390.361</v>
      </c>
      <c r="M149" s="854" t="n">
        <v>1305</v>
      </c>
      <c r="N149" s="866" t="n">
        <f aca="false">M149/H141</f>
        <v>87</v>
      </c>
      <c r="O149" s="580" t="s">
        <v>650</v>
      </c>
      <c r="P149" s="1953"/>
      <c r="Q149" s="1953"/>
      <c r="R149" s="1954"/>
    </row>
    <row r="150" customFormat="false" ht="14.25" hidden="false" customHeight="false" outlineLevel="0" collapsed="false">
      <c r="A150" s="1087"/>
      <c r="B150" s="1072"/>
      <c r="C150" s="1980"/>
      <c r="D150" s="848" t="s">
        <v>7</v>
      </c>
      <c r="E150" s="1479" t="s">
        <v>1651</v>
      </c>
      <c r="F150" s="887"/>
      <c r="G150" s="1950"/>
      <c r="H150" s="1950"/>
      <c r="I150" s="1067"/>
      <c r="J150" s="1063"/>
      <c r="K150" s="1452"/>
      <c r="L150" s="1380" t="n">
        <v>41697.936</v>
      </c>
      <c r="M150" s="854" t="n">
        <v>1680</v>
      </c>
      <c r="N150" s="866" t="n">
        <f aca="false">M150/H141</f>
        <v>112</v>
      </c>
      <c r="O150" s="580" t="s">
        <v>530</v>
      </c>
      <c r="P150" s="1953"/>
      <c r="Q150" s="1953"/>
      <c r="R150" s="1954"/>
    </row>
    <row r="151" customFormat="false" ht="14.25" hidden="false" customHeight="false" outlineLevel="0" collapsed="false">
      <c r="A151" s="1087"/>
      <c r="B151" s="1072"/>
      <c r="C151" s="1980"/>
      <c r="D151" s="860" t="s">
        <v>7</v>
      </c>
      <c r="E151" s="1480" t="s">
        <v>1651</v>
      </c>
      <c r="F151" s="887"/>
      <c r="G151" s="1950"/>
      <c r="H151" s="1950"/>
      <c r="I151" s="1067"/>
      <c r="J151" s="1063"/>
      <c r="K151" s="1452"/>
      <c r="L151" s="1521" t="n">
        <v>24944.301</v>
      </c>
      <c r="M151" s="866" t="n">
        <v>1005</v>
      </c>
      <c r="N151" s="866" t="n">
        <f aca="false">M151/H141</f>
        <v>67</v>
      </c>
      <c r="O151" s="545" t="s">
        <v>582</v>
      </c>
      <c r="P151" s="1953"/>
      <c r="Q151" s="1953"/>
      <c r="R151" s="1954"/>
    </row>
    <row r="152" customFormat="false" ht="14.25" hidden="false" customHeight="false" outlineLevel="0" collapsed="false">
      <c r="A152" s="1087"/>
      <c r="B152" s="1072"/>
      <c r="C152" s="1980"/>
      <c r="D152" s="887" t="s">
        <v>7</v>
      </c>
      <c r="E152" s="1501" t="s">
        <v>1651</v>
      </c>
      <c r="F152" s="887"/>
      <c r="G152" s="1950"/>
      <c r="H152" s="1950"/>
      <c r="I152" s="1067"/>
      <c r="J152" s="1063"/>
      <c r="K152" s="1452"/>
      <c r="L152" s="1381" t="n">
        <v>37230.3</v>
      </c>
      <c r="M152" s="890" t="n">
        <v>1500</v>
      </c>
      <c r="N152" s="890" t="n">
        <f aca="false">M152/H141</f>
        <v>100</v>
      </c>
      <c r="O152" s="1938" t="s">
        <v>581</v>
      </c>
      <c r="P152" s="1953"/>
      <c r="Q152" s="1953"/>
      <c r="R152" s="1954"/>
    </row>
    <row r="153" customFormat="false" ht="14.25" hidden="false" customHeight="false" outlineLevel="0" collapsed="false">
      <c r="A153" s="903" t="n">
        <v>481</v>
      </c>
      <c r="B153" s="903" t="n">
        <v>2024</v>
      </c>
      <c r="C153" s="1974" t="n">
        <v>45931</v>
      </c>
      <c r="D153" s="904" t="s">
        <v>7</v>
      </c>
      <c r="E153" s="1351" t="s">
        <v>1651</v>
      </c>
      <c r="F153" s="904" t="s">
        <v>3364</v>
      </c>
      <c r="G153" s="1940" t="n">
        <v>666</v>
      </c>
      <c r="H153" s="1940" t="n">
        <v>15</v>
      </c>
      <c r="I153" s="1355" t="n">
        <f aca="false">G153*H153</f>
        <v>9990</v>
      </c>
      <c r="J153" s="1406" t="n">
        <v>24.8202</v>
      </c>
      <c r="K153" s="1942" t="n">
        <f aca="false">I153*J153</f>
        <v>247953.798</v>
      </c>
      <c r="L153" s="1355" t="n">
        <v>247953.798</v>
      </c>
      <c r="M153" s="891" t="n">
        <v>9990</v>
      </c>
      <c r="N153" s="891" t="n">
        <f aca="false">M153/H153</f>
        <v>666</v>
      </c>
      <c r="O153" s="1943" t="s">
        <v>3383</v>
      </c>
      <c r="P153" s="1947" t="n">
        <f aca="false">K153-L153</f>
        <v>0</v>
      </c>
      <c r="Q153" s="1945" t="n">
        <f aca="false">I153-M153</f>
        <v>0</v>
      </c>
      <c r="R153" s="1946" t="n">
        <f aca="false">G153-N153</f>
        <v>0</v>
      </c>
    </row>
    <row r="154" customFormat="false" ht="14.25" hidden="false" customHeight="false" outlineLevel="0" collapsed="false">
      <c r="A154" s="1465" t="n">
        <v>482</v>
      </c>
      <c r="B154" s="1546" t="n">
        <v>2024</v>
      </c>
      <c r="C154" s="1975" t="n">
        <v>45931</v>
      </c>
      <c r="D154" s="831" t="s">
        <v>7</v>
      </c>
      <c r="E154" s="1365" t="s">
        <v>1651</v>
      </c>
      <c r="F154" s="1607" t="s">
        <v>3364</v>
      </c>
      <c r="G154" s="1976" t="n">
        <v>394</v>
      </c>
      <c r="H154" s="1976" t="n">
        <v>15</v>
      </c>
      <c r="I154" s="1036" t="n">
        <f aca="false">G154*H154</f>
        <v>5910</v>
      </c>
      <c r="J154" s="1557" t="n">
        <v>25.4123</v>
      </c>
      <c r="K154" s="1547" t="n">
        <f aca="false">I154*J154</f>
        <v>150186.693</v>
      </c>
      <c r="L154" s="1369" t="n">
        <v>51078.723</v>
      </c>
      <c r="M154" s="840" t="n">
        <v>2010</v>
      </c>
      <c r="N154" s="886" t="n">
        <f aca="false">M154/H154</f>
        <v>134</v>
      </c>
      <c r="O154" s="578" t="s">
        <v>3384</v>
      </c>
      <c r="P154" s="1978" t="n">
        <f aca="false">K154-L154-L160-L159-L155-L156-L158-L157</f>
        <v>-2.50111042987555E-012</v>
      </c>
      <c r="Q154" s="1978" t="n">
        <f aca="false">I154-M154-M160-M159-M155-M156-M158-M157</f>
        <v>0</v>
      </c>
      <c r="R154" s="1979" t="n">
        <f aca="false">G154-N154-N160-N159-N155-N156-N158-N157</f>
        <v>0</v>
      </c>
    </row>
    <row r="155" customFormat="false" ht="14.25" hidden="false" customHeight="false" outlineLevel="0" collapsed="false">
      <c r="A155" s="1465"/>
      <c r="B155" s="1546"/>
      <c r="C155" s="1975"/>
      <c r="D155" s="848" t="s">
        <v>7</v>
      </c>
      <c r="E155" s="1479" t="s">
        <v>1651</v>
      </c>
      <c r="F155" s="1607"/>
      <c r="G155" s="1976"/>
      <c r="H155" s="1976"/>
      <c r="I155" s="1036"/>
      <c r="J155" s="1557"/>
      <c r="K155" s="1547"/>
      <c r="L155" s="1380" t="n">
        <v>7623.69</v>
      </c>
      <c r="M155" s="854" t="n">
        <v>300</v>
      </c>
      <c r="N155" s="866" t="n">
        <f aca="false">M155/H154</f>
        <v>20</v>
      </c>
      <c r="O155" s="580" t="s">
        <v>621</v>
      </c>
      <c r="P155" s="1978"/>
      <c r="Q155" s="1978"/>
      <c r="R155" s="1979"/>
    </row>
    <row r="156" customFormat="false" ht="14.25" hidden="false" customHeight="false" outlineLevel="0" collapsed="false">
      <c r="A156" s="1465"/>
      <c r="B156" s="1546"/>
      <c r="C156" s="1975"/>
      <c r="D156" s="848" t="s">
        <v>7</v>
      </c>
      <c r="E156" s="1479" t="s">
        <v>1651</v>
      </c>
      <c r="F156" s="1607"/>
      <c r="G156" s="1976"/>
      <c r="H156" s="1976"/>
      <c r="I156" s="1036"/>
      <c r="J156" s="1557"/>
      <c r="K156" s="1547"/>
      <c r="L156" s="1380" t="n">
        <v>37737.2655</v>
      </c>
      <c r="M156" s="854" t="n">
        <v>1485</v>
      </c>
      <c r="N156" s="866" t="n">
        <f aca="false">M156/H154</f>
        <v>99</v>
      </c>
      <c r="O156" s="580" t="s">
        <v>721</v>
      </c>
      <c r="P156" s="1978"/>
      <c r="Q156" s="1978"/>
      <c r="R156" s="1979"/>
    </row>
    <row r="157" customFormat="false" ht="14.25" hidden="false" customHeight="false" outlineLevel="0" collapsed="false">
      <c r="A157" s="1465"/>
      <c r="B157" s="1546"/>
      <c r="C157" s="1975"/>
      <c r="D157" s="848" t="s">
        <v>7</v>
      </c>
      <c r="E157" s="1479" t="s">
        <v>1651</v>
      </c>
      <c r="F157" s="1607"/>
      <c r="G157" s="1976"/>
      <c r="H157" s="1976"/>
      <c r="I157" s="1036"/>
      <c r="J157" s="1557"/>
      <c r="K157" s="1547"/>
      <c r="L157" s="1380" t="n">
        <v>762.369</v>
      </c>
      <c r="M157" s="854" t="n">
        <v>30</v>
      </c>
      <c r="N157" s="866" t="n">
        <f aca="false">M157/H154</f>
        <v>2</v>
      </c>
      <c r="O157" s="580" t="s">
        <v>1634</v>
      </c>
      <c r="P157" s="1978"/>
      <c r="Q157" s="1978"/>
      <c r="R157" s="1979"/>
    </row>
    <row r="158" customFormat="false" ht="14.25" hidden="false" customHeight="false" outlineLevel="0" collapsed="false">
      <c r="A158" s="1465"/>
      <c r="B158" s="1546"/>
      <c r="C158" s="1975"/>
      <c r="D158" s="848" t="s">
        <v>7</v>
      </c>
      <c r="E158" s="1479" t="s">
        <v>1651</v>
      </c>
      <c r="F158" s="1607"/>
      <c r="G158" s="1976"/>
      <c r="H158" s="1976"/>
      <c r="I158" s="1036"/>
      <c r="J158" s="1557"/>
      <c r="K158" s="1547"/>
      <c r="L158" s="1380" t="n">
        <v>762.369</v>
      </c>
      <c r="M158" s="854" t="n">
        <v>30</v>
      </c>
      <c r="N158" s="866" t="n">
        <f aca="false">M158/H154</f>
        <v>2</v>
      </c>
      <c r="O158" s="580" t="s">
        <v>849</v>
      </c>
      <c r="P158" s="1978"/>
      <c r="Q158" s="1978"/>
      <c r="R158" s="1979"/>
    </row>
    <row r="159" customFormat="false" ht="14.25" hidden="false" customHeight="false" outlineLevel="0" collapsed="false">
      <c r="A159" s="1465"/>
      <c r="B159" s="1546"/>
      <c r="C159" s="1975"/>
      <c r="D159" s="860" t="s">
        <v>7</v>
      </c>
      <c r="E159" s="1480" t="s">
        <v>1651</v>
      </c>
      <c r="F159" s="1607"/>
      <c r="G159" s="1976"/>
      <c r="H159" s="1976"/>
      <c r="I159" s="1036"/>
      <c r="J159" s="1557"/>
      <c r="K159" s="1547"/>
      <c r="L159" s="1521" t="n">
        <v>39643.188</v>
      </c>
      <c r="M159" s="866" t="n">
        <v>1560</v>
      </c>
      <c r="N159" s="866" t="n">
        <f aca="false">M159/H154</f>
        <v>104</v>
      </c>
      <c r="O159" s="545" t="s">
        <v>686</v>
      </c>
      <c r="P159" s="1978"/>
      <c r="Q159" s="1978"/>
      <c r="R159" s="1979"/>
    </row>
    <row r="160" customFormat="false" ht="14.25" hidden="false" customHeight="false" outlineLevel="0" collapsed="false">
      <c r="A160" s="1465"/>
      <c r="B160" s="1546"/>
      <c r="C160" s="1975"/>
      <c r="D160" s="904" t="s">
        <v>7</v>
      </c>
      <c r="E160" s="1351" t="s">
        <v>1651</v>
      </c>
      <c r="F160" s="1607"/>
      <c r="G160" s="1976"/>
      <c r="H160" s="1976"/>
      <c r="I160" s="1036"/>
      <c r="J160" s="1557"/>
      <c r="K160" s="1547"/>
      <c r="L160" s="1355" t="n">
        <v>12579.0885</v>
      </c>
      <c r="M160" s="891" t="n">
        <v>495</v>
      </c>
      <c r="N160" s="891" t="n">
        <f aca="false">M160/H154</f>
        <v>33</v>
      </c>
      <c r="O160" s="1943" t="s">
        <v>3385</v>
      </c>
      <c r="P160" s="1978"/>
      <c r="Q160" s="1978"/>
      <c r="R160" s="1979"/>
    </row>
    <row r="161" customFormat="false" ht="14.25" hidden="false" customHeight="false" outlineLevel="0" collapsed="false">
      <c r="A161" s="882" t="n">
        <v>531</v>
      </c>
      <c r="B161" s="830" t="n">
        <v>2024</v>
      </c>
      <c r="C161" s="1965" t="n">
        <v>45962</v>
      </c>
      <c r="D161" s="831" t="s">
        <v>7</v>
      </c>
      <c r="E161" s="1365" t="s">
        <v>1651</v>
      </c>
      <c r="F161" s="832" t="s">
        <v>3364</v>
      </c>
      <c r="G161" s="1931" t="n">
        <v>58</v>
      </c>
      <c r="H161" s="1931" t="n">
        <v>15</v>
      </c>
      <c r="I161" s="837" t="n">
        <f aca="false">G161*H161</f>
        <v>870</v>
      </c>
      <c r="J161" s="1059" t="n">
        <v>26.6035</v>
      </c>
      <c r="K161" s="943" t="n">
        <f aca="false">I161*J161</f>
        <v>23145.045</v>
      </c>
      <c r="L161" s="1369" t="n">
        <v>6384.84</v>
      </c>
      <c r="M161" s="840" t="n">
        <v>240</v>
      </c>
      <c r="N161" s="886" t="n">
        <f aca="false">M161/H161</f>
        <v>16</v>
      </c>
      <c r="O161" s="578" t="s">
        <v>878</v>
      </c>
      <c r="P161" s="1948" t="n">
        <f aca="false">K161-L161-L163-L162</f>
        <v>0</v>
      </c>
      <c r="Q161" s="1934" t="n">
        <f aca="false">I161-M161-M163-M162</f>
        <v>0</v>
      </c>
      <c r="R161" s="1935" t="n">
        <f aca="false">G161-N161-N163-N162</f>
        <v>0</v>
      </c>
    </row>
    <row r="162" customFormat="false" ht="14.25" hidden="false" customHeight="false" outlineLevel="0" collapsed="false">
      <c r="A162" s="882"/>
      <c r="B162" s="830"/>
      <c r="C162" s="1965"/>
      <c r="D162" s="904" t="s">
        <v>7</v>
      </c>
      <c r="E162" s="1351" t="s">
        <v>1651</v>
      </c>
      <c r="F162" s="832"/>
      <c r="G162" s="1931"/>
      <c r="H162" s="1931"/>
      <c r="I162" s="837"/>
      <c r="J162" s="1059"/>
      <c r="K162" s="943"/>
      <c r="L162" s="1355" t="n">
        <v>15962.1</v>
      </c>
      <c r="M162" s="891" t="n">
        <v>600</v>
      </c>
      <c r="N162" s="866" t="n">
        <f aca="false">M162/H161</f>
        <v>40</v>
      </c>
      <c r="O162" s="1943" t="s">
        <v>3386</v>
      </c>
      <c r="P162" s="1948"/>
      <c r="Q162" s="1934"/>
      <c r="R162" s="1935"/>
    </row>
    <row r="163" customFormat="false" ht="14.25" hidden="false" customHeight="false" outlineLevel="0" collapsed="false">
      <c r="A163" s="882"/>
      <c r="B163" s="830"/>
      <c r="C163" s="1965"/>
      <c r="D163" s="843" t="s">
        <v>7</v>
      </c>
      <c r="E163" s="1357" t="s">
        <v>1651</v>
      </c>
      <c r="F163" s="832"/>
      <c r="G163" s="1931"/>
      <c r="H163" s="1931"/>
      <c r="I163" s="837"/>
      <c r="J163" s="1059"/>
      <c r="K163" s="943"/>
      <c r="L163" s="1362" t="n">
        <v>798.105</v>
      </c>
      <c r="M163" s="846" t="n">
        <v>30</v>
      </c>
      <c r="N163" s="846" t="n">
        <f aca="false">M163/H161</f>
        <v>2</v>
      </c>
      <c r="O163" s="1936" t="s">
        <v>849</v>
      </c>
      <c r="P163" s="1948"/>
      <c r="Q163" s="1934"/>
      <c r="R163" s="1935"/>
    </row>
    <row r="164" customFormat="false" ht="14.25" hidden="false" customHeight="false" outlineLevel="0" collapsed="false">
      <c r="A164" s="1087" t="n">
        <v>534</v>
      </c>
      <c r="B164" s="1072" t="n">
        <v>2024</v>
      </c>
      <c r="C164" s="1980" t="n">
        <v>45962</v>
      </c>
      <c r="D164" s="848" t="s">
        <v>7</v>
      </c>
      <c r="E164" s="1479" t="s">
        <v>1651</v>
      </c>
      <c r="F164" s="887" t="s">
        <v>3367</v>
      </c>
      <c r="G164" s="1950" t="n">
        <v>105</v>
      </c>
      <c r="H164" s="1950" t="n">
        <v>10</v>
      </c>
      <c r="I164" s="1067" t="n">
        <f aca="false">G164*H164</f>
        <v>1050</v>
      </c>
      <c r="J164" s="1063" t="n">
        <v>26.6035</v>
      </c>
      <c r="K164" s="1452" t="n">
        <f aca="false">I164*J164</f>
        <v>27933.675</v>
      </c>
      <c r="L164" s="1380" t="n">
        <v>11971.575</v>
      </c>
      <c r="M164" s="854" t="n">
        <v>450</v>
      </c>
      <c r="N164" s="854" t="n">
        <f aca="false">M164/H164</f>
        <v>45</v>
      </c>
      <c r="O164" s="580" t="s">
        <v>625</v>
      </c>
      <c r="P164" s="1952" t="n">
        <f aca="false">K164-L164-L166-L165</f>
        <v>7981.05</v>
      </c>
      <c r="Q164" s="1953" t="n">
        <f aca="false">I164-M164-M166-M165</f>
        <v>300</v>
      </c>
      <c r="R164" s="1954" t="n">
        <f aca="false">G164-N164-N166-N165</f>
        <v>30</v>
      </c>
    </row>
    <row r="165" customFormat="false" ht="14.25" hidden="false" customHeight="false" outlineLevel="0" collapsed="false">
      <c r="A165" s="1087"/>
      <c r="B165" s="1072"/>
      <c r="C165" s="1980"/>
      <c r="D165" s="904" t="s">
        <v>7</v>
      </c>
      <c r="E165" s="1351" t="s">
        <v>1651</v>
      </c>
      <c r="F165" s="887"/>
      <c r="G165" s="1950"/>
      <c r="H165" s="1950"/>
      <c r="I165" s="1067"/>
      <c r="J165" s="1063"/>
      <c r="K165" s="1452"/>
      <c r="L165" s="1355" t="n">
        <v>3990.525</v>
      </c>
      <c r="M165" s="891" t="n">
        <v>150</v>
      </c>
      <c r="N165" s="854" t="n">
        <f aca="false">M165/H164</f>
        <v>15</v>
      </c>
      <c r="O165" s="1943" t="s">
        <v>3387</v>
      </c>
      <c r="P165" s="1952"/>
      <c r="Q165" s="1953"/>
      <c r="R165" s="1954"/>
    </row>
    <row r="166" customFormat="false" ht="14.25" hidden="false" customHeight="false" outlineLevel="0" collapsed="false">
      <c r="A166" s="1087"/>
      <c r="B166" s="1072"/>
      <c r="C166" s="1980"/>
      <c r="D166" s="843" t="s">
        <v>7</v>
      </c>
      <c r="E166" s="1357" t="s">
        <v>1651</v>
      </c>
      <c r="F166" s="887"/>
      <c r="G166" s="1950"/>
      <c r="H166" s="1950"/>
      <c r="I166" s="1067"/>
      <c r="J166" s="1063"/>
      <c r="K166" s="1452"/>
      <c r="L166" s="1362" t="n">
        <v>3990.525</v>
      </c>
      <c r="M166" s="846" t="n">
        <v>150</v>
      </c>
      <c r="N166" s="846" t="n">
        <f aca="false">M166/H164</f>
        <v>15</v>
      </c>
      <c r="O166" s="1936" t="s">
        <v>751</v>
      </c>
      <c r="P166" s="1952"/>
      <c r="Q166" s="1953"/>
      <c r="R166" s="1954"/>
    </row>
    <row r="167" customFormat="false" ht="14.25" hidden="false" customHeight="false" outlineLevel="0" collapsed="false">
      <c r="A167" s="1087" t="n">
        <v>535</v>
      </c>
      <c r="B167" s="1072" t="n">
        <v>2024</v>
      </c>
      <c r="C167" s="1980" t="n">
        <v>45962</v>
      </c>
      <c r="D167" s="848" t="s">
        <v>7</v>
      </c>
      <c r="E167" s="1479" t="s">
        <v>1651</v>
      </c>
      <c r="F167" s="887" t="s">
        <v>3364</v>
      </c>
      <c r="G167" s="1950" t="n">
        <v>666</v>
      </c>
      <c r="H167" s="1950" t="n">
        <v>15</v>
      </c>
      <c r="I167" s="1067" t="n">
        <f aca="false">G167*H167</f>
        <v>9990</v>
      </c>
      <c r="J167" s="1063" t="n">
        <v>24.8202</v>
      </c>
      <c r="K167" s="1452" t="n">
        <f aca="false">I167*J167</f>
        <v>247953.798</v>
      </c>
      <c r="L167" s="1380" t="n">
        <v>112435.506</v>
      </c>
      <c r="M167" s="854" t="n">
        <v>4530</v>
      </c>
      <c r="N167" s="891" t="n">
        <f aca="false">M167/H167</f>
        <v>302</v>
      </c>
      <c r="O167" s="580" t="s">
        <v>404</v>
      </c>
      <c r="P167" s="1952" t="n">
        <f aca="false">K167-L167-L171-L168-L170-L169</f>
        <v>58451.571</v>
      </c>
      <c r="Q167" s="1953" t="n">
        <f aca="false">I167-M167-M171-M168-M170-M169</f>
        <v>2355</v>
      </c>
      <c r="R167" s="1954" t="n">
        <f aca="false">G167-N167-N171-N168-N170-N169</f>
        <v>157</v>
      </c>
    </row>
    <row r="168" customFormat="false" ht="14.25" hidden="false" customHeight="false" outlineLevel="0" collapsed="false">
      <c r="A168" s="1087"/>
      <c r="B168" s="1072"/>
      <c r="C168" s="1980"/>
      <c r="D168" s="860" t="s">
        <v>7</v>
      </c>
      <c r="E168" s="1480" t="s">
        <v>1651</v>
      </c>
      <c r="F168" s="887"/>
      <c r="G168" s="1950"/>
      <c r="H168" s="1950"/>
      <c r="I168" s="1067"/>
      <c r="J168" s="1063"/>
      <c r="K168" s="1452"/>
      <c r="L168" s="1521" t="n">
        <v>26805.816</v>
      </c>
      <c r="M168" s="866" t="n">
        <v>1080</v>
      </c>
      <c r="N168" s="866" t="n">
        <f aca="false">M168/H167</f>
        <v>72</v>
      </c>
      <c r="O168" s="545" t="s">
        <v>621</v>
      </c>
      <c r="P168" s="1952"/>
      <c r="Q168" s="1953"/>
      <c r="R168" s="1954"/>
    </row>
    <row r="169" customFormat="false" ht="14.25" hidden="false" customHeight="false" outlineLevel="0" collapsed="false">
      <c r="A169" s="1087"/>
      <c r="B169" s="1072"/>
      <c r="C169" s="1980"/>
      <c r="D169" s="860" t="s">
        <v>7</v>
      </c>
      <c r="E169" s="1480" t="s">
        <v>1651</v>
      </c>
      <c r="F169" s="887"/>
      <c r="G169" s="1950"/>
      <c r="H169" s="1950"/>
      <c r="I169" s="1067"/>
      <c r="J169" s="1063"/>
      <c r="K169" s="1452"/>
      <c r="L169" s="1521" t="n">
        <v>-58451.571</v>
      </c>
      <c r="M169" s="866" t="n">
        <v>-2355</v>
      </c>
      <c r="N169" s="866" t="n">
        <f aca="false">M169/H167</f>
        <v>-157</v>
      </c>
      <c r="O169" s="545" t="s">
        <v>1634</v>
      </c>
      <c r="P169" s="1952"/>
      <c r="Q169" s="1953"/>
      <c r="R169" s="1954"/>
    </row>
    <row r="170" customFormat="false" ht="14.25" hidden="false" customHeight="false" outlineLevel="0" collapsed="false">
      <c r="A170" s="1087"/>
      <c r="B170" s="1072"/>
      <c r="C170" s="1980"/>
      <c r="D170" s="860" t="s">
        <v>7</v>
      </c>
      <c r="E170" s="1480" t="s">
        <v>1651</v>
      </c>
      <c r="F170" s="887"/>
      <c r="G170" s="1950"/>
      <c r="H170" s="1950"/>
      <c r="I170" s="1067"/>
      <c r="J170" s="1063"/>
      <c r="K170" s="1452"/>
      <c r="L170" s="1521" t="n">
        <v>99404.901</v>
      </c>
      <c r="M170" s="866" t="n">
        <v>4005</v>
      </c>
      <c r="N170" s="866" t="n">
        <f aca="false">M170/H167</f>
        <v>267</v>
      </c>
      <c r="O170" s="545" t="s">
        <v>682</v>
      </c>
      <c r="P170" s="1952"/>
      <c r="Q170" s="1953"/>
      <c r="R170" s="1954"/>
    </row>
    <row r="171" customFormat="false" ht="14.25" hidden="false" customHeight="false" outlineLevel="0" collapsed="false">
      <c r="A171" s="1087"/>
      <c r="B171" s="1072"/>
      <c r="C171" s="1980"/>
      <c r="D171" s="887" t="s">
        <v>7</v>
      </c>
      <c r="E171" s="1501" t="s">
        <v>1651</v>
      </c>
      <c r="F171" s="887"/>
      <c r="G171" s="1950"/>
      <c r="H171" s="1950"/>
      <c r="I171" s="1067"/>
      <c r="J171" s="1063"/>
      <c r="K171" s="1452"/>
      <c r="L171" s="1381" t="n">
        <v>9307.575</v>
      </c>
      <c r="M171" s="890" t="n">
        <v>375</v>
      </c>
      <c r="N171" s="890" t="n">
        <f aca="false">M171/H167</f>
        <v>25</v>
      </c>
      <c r="O171" s="1938" t="s">
        <v>3388</v>
      </c>
      <c r="P171" s="1952"/>
      <c r="Q171" s="1953"/>
      <c r="R171" s="1954"/>
    </row>
    <row r="172" customFormat="false" ht="14.25" hidden="false" customHeight="false" outlineLevel="0" collapsed="false">
      <c r="A172" s="903" t="n">
        <v>561</v>
      </c>
      <c r="B172" s="903" t="n">
        <v>2024</v>
      </c>
      <c r="C172" s="1974" t="n">
        <v>45962</v>
      </c>
      <c r="D172" s="904" t="s">
        <v>7</v>
      </c>
      <c r="E172" s="1351" t="s">
        <v>1652</v>
      </c>
      <c r="F172" s="904" t="s">
        <v>3364</v>
      </c>
      <c r="G172" s="1940" t="n">
        <v>334</v>
      </c>
      <c r="H172" s="1940" t="n">
        <v>15</v>
      </c>
      <c r="I172" s="1355" t="n">
        <f aca="false">G172*H172</f>
        <v>5010</v>
      </c>
      <c r="J172" s="1406" t="n">
        <v>38.114</v>
      </c>
      <c r="K172" s="1942" t="n">
        <f aca="false">I172*J172</f>
        <v>190951.14</v>
      </c>
      <c r="L172" s="1355" t="n">
        <v>190951.14</v>
      </c>
      <c r="M172" s="891" t="n">
        <v>5010</v>
      </c>
      <c r="N172" s="891" t="n">
        <f aca="false">M172/H172</f>
        <v>334</v>
      </c>
      <c r="O172" s="1943" t="s">
        <v>1312</v>
      </c>
      <c r="P172" s="1947" t="n">
        <f aca="false">K172-L172</f>
        <v>0</v>
      </c>
      <c r="Q172" s="1945" t="n">
        <f aca="false">I172-M172</f>
        <v>0</v>
      </c>
      <c r="R172" s="1946" t="n">
        <f aca="false">G172-N172</f>
        <v>0</v>
      </c>
    </row>
    <row r="173" customFormat="false" ht="14.25" hidden="false" customHeight="false" outlineLevel="0" collapsed="false">
      <c r="A173" s="882" t="n">
        <v>562</v>
      </c>
      <c r="B173" s="830" t="n">
        <v>2024</v>
      </c>
      <c r="C173" s="1965" t="n">
        <v>45962</v>
      </c>
      <c r="D173" s="831" t="s">
        <v>7</v>
      </c>
      <c r="E173" s="1365" t="s">
        <v>1651</v>
      </c>
      <c r="F173" s="832" t="s">
        <v>3364</v>
      </c>
      <c r="G173" s="1931" t="n">
        <v>666</v>
      </c>
      <c r="H173" s="1931" t="n">
        <v>15</v>
      </c>
      <c r="I173" s="837" t="n">
        <f aca="false">G173*H173</f>
        <v>9990</v>
      </c>
      <c r="J173" s="1059" t="n">
        <v>25.2688</v>
      </c>
      <c r="K173" s="943" t="n">
        <f aca="false">I173*J173</f>
        <v>252435.312</v>
      </c>
      <c r="L173" s="1369" t="n">
        <v>1895.16</v>
      </c>
      <c r="M173" s="840" t="n">
        <v>75</v>
      </c>
      <c r="N173" s="886" t="n">
        <f aca="false">M173/H173</f>
        <v>5</v>
      </c>
      <c r="O173" s="578" t="s">
        <v>3389</v>
      </c>
      <c r="P173" s="1934" t="n">
        <f aca="false">K173-L173-L183-L182-L174-L175-L181-L176-L180-L177-L179-L178</f>
        <v>-6.38920027995482E-011</v>
      </c>
      <c r="Q173" s="1934" t="n">
        <f aca="false">I173-M173-M183-M182-M174-M175-M181-M176-M180-M177-M179-M178</f>
        <v>0</v>
      </c>
      <c r="R173" s="1935" t="n">
        <f aca="false">G173-N173-N183-N182-N174-N175-N181-N176-N180-N177-N179-N178</f>
        <v>0</v>
      </c>
    </row>
    <row r="174" customFormat="false" ht="14.25" hidden="false" customHeight="false" outlineLevel="0" collapsed="false">
      <c r="A174" s="882"/>
      <c r="B174" s="830"/>
      <c r="C174" s="1965"/>
      <c r="D174" s="848" t="s">
        <v>7</v>
      </c>
      <c r="E174" s="1479" t="s">
        <v>1651</v>
      </c>
      <c r="F174" s="832"/>
      <c r="G174" s="1931"/>
      <c r="H174" s="1931"/>
      <c r="I174" s="837"/>
      <c r="J174" s="1059"/>
      <c r="K174" s="943"/>
      <c r="L174" s="1380" t="n">
        <v>38282.232</v>
      </c>
      <c r="M174" s="854" t="n">
        <v>1515</v>
      </c>
      <c r="N174" s="866" t="n">
        <f aca="false">M174/H173</f>
        <v>101</v>
      </c>
      <c r="O174" s="580" t="s">
        <v>621</v>
      </c>
      <c r="P174" s="1934"/>
      <c r="Q174" s="1934"/>
      <c r="R174" s="1935"/>
    </row>
    <row r="175" customFormat="false" ht="14.25" hidden="false" customHeight="false" outlineLevel="0" collapsed="false">
      <c r="A175" s="882"/>
      <c r="B175" s="830"/>
      <c r="C175" s="1965"/>
      <c r="D175" s="848" t="s">
        <v>7</v>
      </c>
      <c r="E175" s="1479" t="s">
        <v>1651</v>
      </c>
      <c r="F175" s="832"/>
      <c r="G175" s="1931"/>
      <c r="H175" s="1931"/>
      <c r="I175" s="837"/>
      <c r="J175" s="1059"/>
      <c r="K175" s="943"/>
      <c r="L175" s="1380" t="n">
        <v>25395.144</v>
      </c>
      <c r="M175" s="854" t="n">
        <v>1005</v>
      </c>
      <c r="N175" s="866" t="n">
        <f aca="false">M175/H173</f>
        <v>67</v>
      </c>
      <c r="O175" s="580" t="s">
        <v>721</v>
      </c>
      <c r="P175" s="1934"/>
      <c r="Q175" s="1934"/>
      <c r="R175" s="1935"/>
    </row>
    <row r="176" customFormat="false" ht="14.25" hidden="false" customHeight="false" outlineLevel="0" collapsed="false">
      <c r="A176" s="882"/>
      <c r="B176" s="830"/>
      <c r="C176" s="1965"/>
      <c r="D176" s="848" t="s">
        <v>7</v>
      </c>
      <c r="E176" s="1479" t="s">
        <v>1651</v>
      </c>
      <c r="F176" s="832"/>
      <c r="G176" s="1931"/>
      <c r="H176" s="1931"/>
      <c r="I176" s="837"/>
      <c r="J176" s="1059"/>
      <c r="K176" s="943"/>
      <c r="L176" s="1380" t="n">
        <v>12887.088</v>
      </c>
      <c r="M176" s="854" t="n">
        <v>510</v>
      </c>
      <c r="N176" s="866" t="n">
        <f aca="false">M176/H173</f>
        <v>34</v>
      </c>
      <c r="O176" s="580" t="s">
        <v>760</v>
      </c>
      <c r="P176" s="1934"/>
      <c r="Q176" s="1934"/>
      <c r="R176" s="1935"/>
    </row>
    <row r="177" customFormat="false" ht="14.25" hidden="false" customHeight="false" outlineLevel="0" collapsed="false">
      <c r="A177" s="882"/>
      <c r="B177" s="830"/>
      <c r="C177" s="1965"/>
      <c r="D177" s="848" t="s">
        <v>7</v>
      </c>
      <c r="E177" s="1479" t="s">
        <v>1651</v>
      </c>
      <c r="F177" s="832"/>
      <c r="G177" s="1931"/>
      <c r="H177" s="1931"/>
      <c r="I177" s="837"/>
      <c r="J177" s="1059"/>
      <c r="K177" s="943"/>
      <c r="L177" s="1380" t="n">
        <v>758.064</v>
      </c>
      <c r="M177" s="854" t="n">
        <v>30</v>
      </c>
      <c r="N177" s="866" t="n">
        <f aca="false">M177/H173</f>
        <v>2</v>
      </c>
      <c r="O177" s="580" t="s">
        <v>893</v>
      </c>
      <c r="P177" s="1934"/>
      <c r="Q177" s="1934"/>
      <c r="R177" s="1935"/>
    </row>
    <row r="178" customFormat="false" ht="14.25" hidden="false" customHeight="false" outlineLevel="0" collapsed="false">
      <c r="A178" s="882"/>
      <c r="B178" s="830"/>
      <c r="C178" s="1965"/>
      <c r="D178" s="848" t="s">
        <v>7</v>
      </c>
      <c r="E178" s="1479" t="s">
        <v>1651</v>
      </c>
      <c r="F178" s="832"/>
      <c r="G178" s="1931"/>
      <c r="H178" s="1931"/>
      <c r="I178" s="837"/>
      <c r="J178" s="1059"/>
      <c r="K178" s="943"/>
      <c r="L178" s="1380" t="n">
        <v>1895.16</v>
      </c>
      <c r="M178" s="854" t="n">
        <v>75</v>
      </c>
      <c r="N178" s="866" t="n">
        <f aca="false">M178/H173</f>
        <v>5</v>
      </c>
      <c r="O178" s="580" t="s">
        <v>828</v>
      </c>
      <c r="P178" s="1934"/>
      <c r="Q178" s="1934"/>
      <c r="R178" s="1935"/>
    </row>
    <row r="179" customFormat="false" ht="14.25" hidden="false" customHeight="false" outlineLevel="0" collapsed="false">
      <c r="A179" s="882"/>
      <c r="B179" s="830"/>
      <c r="C179" s="1965"/>
      <c r="D179" s="848" t="s">
        <v>7</v>
      </c>
      <c r="E179" s="1479" t="s">
        <v>1651</v>
      </c>
      <c r="F179" s="832"/>
      <c r="G179" s="1931"/>
      <c r="H179" s="1931"/>
      <c r="I179" s="837"/>
      <c r="J179" s="1059"/>
      <c r="K179" s="943"/>
      <c r="L179" s="1380" t="n">
        <v>5306.448</v>
      </c>
      <c r="M179" s="854" t="n">
        <v>210</v>
      </c>
      <c r="N179" s="866" t="n">
        <f aca="false">M179/H173</f>
        <v>14</v>
      </c>
      <c r="O179" s="580" t="s">
        <v>878</v>
      </c>
      <c r="P179" s="1934"/>
      <c r="Q179" s="1934"/>
      <c r="R179" s="1935"/>
    </row>
    <row r="180" customFormat="false" ht="14.25" hidden="false" customHeight="false" outlineLevel="0" collapsed="false">
      <c r="A180" s="882"/>
      <c r="B180" s="830"/>
      <c r="C180" s="1965"/>
      <c r="D180" s="848" t="s">
        <v>7</v>
      </c>
      <c r="E180" s="1479" t="s">
        <v>1651</v>
      </c>
      <c r="F180" s="832"/>
      <c r="G180" s="1931"/>
      <c r="H180" s="1931"/>
      <c r="I180" s="837"/>
      <c r="J180" s="1059"/>
      <c r="K180" s="943"/>
      <c r="L180" s="1380" t="n">
        <v>17814.504</v>
      </c>
      <c r="M180" s="854" t="n">
        <v>705</v>
      </c>
      <c r="N180" s="866" t="n">
        <f aca="false">M180/H173</f>
        <v>47</v>
      </c>
      <c r="O180" s="580" t="s">
        <v>762</v>
      </c>
      <c r="P180" s="1934"/>
      <c r="Q180" s="1934"/>
      <c r="R180" s="1935"/>
    </row>
    <row r="181" customFormat="false" ht="14.25" hidden="false" customHeight="false" outlineLevel="0" collapsed="false">
      <c r="A181" s="882"/>
      <c r="B181" s="830"/>
      <c r="C181" s="1965"/>
      <c r="D181" s="848" t="s">
        <v>7</v>
      </c>
      <c r="E181" s="1479" t="s">
        <v>1651</v>
      </c>
      <c r="F181" s="832"/>
      <c r="G181" s="1931"/>
      <c r="H181" s="1931"/>
      <c r="I181" s="837"/>
      <c r="J181" s="1059"/>
      <c r="K181" s="943"/>
      <c r="L181" s="1380" t="n">
        <v>139483.776</v>
      </c>
      <c r="M181" s="854" t="n">
        <v>5520</v>
      </c>
      <c r="N181" s="866" t="n">
        <f aca="false">M181/H173</f>
        <v>368</v>
      </c>
      <c r="O181" s="580" t="s">
        <v>749</v>
      </c>
      <c r="P181" s="1934"/>
      <c r="Q181" s="1934"/>
      <c r="R181" s="1935"/>
    </row>
    <row r="182" customFormat="false" ht="14.25" hidden="false" customHeight="false" outlineLevel="0" collapsed="false">
      <c r="A182" s="882"/>
      <c r="B182" s="830"/>
      <c r="C182" s="1965"/>
      <c r="D182" s="860" t="s">
        <v>7</v>
      </c>
      <c r="E182" s="1480" t="s">
        <v>1651</v>
      </c>
      <c r="F182" s="832"/>
      <c r="G182" s="1931"/>
      <c r="H182" s="1931"/>
      <c r="I182" s="837"/>
      <c r="J182" s="1059"/>
      <c r="K182" s="943"/>
      <c r="L182" s="1521" t="n">
        <v>1137.096</v>
      </c>
      <c r="M182" s="866" t="n">
        <v>45</v>
      </c>
      <c r="N182" s="866" t="n">
        <f aca="false">M182/H173</f>
        <v>3</v>
      </c>
      <c r="O182" s="545" t="s">
        <v>725</v>
      </c>
      <c r="P182" s="1934"/>
      <c r="Q182" s="1934"/>
      <c r="R182" s="1935"/>
    </row>
    <row r="183" customFormat="false" ht="14.25" hidden="false" customHeight="false" outlineLevel="0" collapsed="false">
      <c r="A183" s="882"/>
      <c r="B183" s="830"/>
      <c r="C183" s="1965"/>
      <c r="D183" s="887" t="s">
        <v>7</v>
      </c>
      <c r="E183" s="1501" t="s">
        <v>1651</v>
      </c>
      <c r="F183" s="832"/>
      <c r="G183" s="1931"/>
      <c r="H183" s="1931"/>
      <c r="I183" s="837"/>
      <c r="J183" s="1059"/>
      <c r="K183" s="943"/>
      <c r="L183" s="1381" t="n">
        <v>7580.64</v>
      </c>
      <c r="M183" s="890" t="n">
        <v>300</v>
      </c>
      <c r="N183" s="890" t="n">
        <f aca="false">M183/H173</f>
        <v>20</v>
      </c>
      <c r="O183" s="1938" t="s">
        <v>724</v>
      </c>
      <c r="P183" s="1934"/>
      <c r="Q183" s="1934"/>
      <c r="R183" s="1935"/>
    </row>
    <row r="184" customFormat="false" ht="14.25" hidden="false" customHeight="false" outlineLevel="0" collapsed="false">
      <c r="A184" s="882" t="n">
        <v>563</v>
      </c>
      <c r="B184" s="830" t="n">
        <v>2024</v>
      </c>
      <c r="C184" s="1965" t="n">
        <v>45962</v>
      </c>
      <c r="D184" s="831" t="s">
        <v>7</v>
      </c>
      <c r="E184" s="1365" t="s">
        <v>1651</v>
      </c>
      <c r="F184" s="832" t="s">
        <v>3364</v>
      </c>
      <c r="G184" s="1931" t="n">
        <v>535</v>
      </c>
      <c r="H184" s="1931" t="n">
        <v>15</v>
      </c>
      <c r="I184" s="837" t="n">
        <f aca="false">G184*H184</f>
        <v>8025</v>
      </c>
      <c r="J184" s="1059" t="n">
        <v>25.3443</v>
      </c>
      <c r="K184" s="943" t="n">
        <f aca="false">I184*J184</f>
        <v>203388.0075</v>
      </c>
      <c r="L184" s="1369" t="n">
        <v>4942.1385</v>
      </c>
      <c r="M184" s="840" t="n">
        <v>195</v>
      </c>
      <c r="N184" s="886" t="n">
        <f aca="false">M184/H184</f>
        <v>13</v>
      </c>
      <c r="O184" s="578" t="s">
        <v>3390</v>
      </c>
      <c r="P184" s="1934" t="n">
        <f aca="false">K184-L184-L194-L193-L185-L186-L192-L187-L189-L191-L188-L190</f>
        <v>-1.65414348884951E-011</v>
      </c>
      <c r="Q184" s="1934" t="n">
        <f aca="false">I184-M184-M194-M193-M185-M186-M192-M187-M189-M191-M188-M190</f>
        <v>0</v>
      </c>
      <c r="R184" s="1935" t="n">
        <f aca="false">G184-N184-N194-N193-N185-N186-N192-N187-N189-N191-N188-N190</f>
        <v>0</v>
      </c>
    </row>
    <row r="185" customFormat="false" ht="14.25" hidden="false" customHeight="false" outlineLevel="0" collapsed="false">
      <c r="A185" s="882"/>
      <c r="B185" s="830"/>
      <c r="C185" s="1965"/>
      <c r="D185" s="848" t="s">
        <v>7</v>
      </c>
      <c r="E185" s="1479" t="s">
        <v>1651</v>
      </c>
      <c r="F185" s="832"/>
      <c r="G185" s="1931"/>
      <c r="H185" s="1931"/>
      <c r="I185" s="837"/>
      <c r="J185" s="1059"/>
      <c r="K185" s="943"/>
      <c r="L185" s="1380" t="n">
        <v>50942.043</v>
      </c>
      <c r="M185" s="854" t="n">
        <v>2010</v>
      </c>
      <c r="N185" s="866" t="n">
        <f aca="false">M185/H184</f>
        <v>134</v>
      </c>
      <c r="O185" s="580" t="s">
        <v>845</v>
      </c>
      <c r="P185" s="1934"/>
      <c r="Q185" s="1934"/>
      <c r="R185" s="1935"/>
    </row>
    <row r="186" customFormat="false" ht="14.25" hidden="false" customHeight="false" outlineLevel="0" collapsed="false">
      <c r="A186" s="882"/>
      <c r="B186" s="830"/>
      <c r="C186" s="1965"/>
      <c r="D186" s="848" t="s">
        <v>7</v>
      </c>
      <c r="E186" s="1479" t="s">
        <v>1651</v>
      </c>
      <c r="F186" s="832"/>
      <c r="G186" s="1931"/>
      <c r="H186" s="1931"/>
      <c r="I186" s="837"/>
      <c r="J186" s="1059"/>
      <c r="K186" s="943"/>
      <c r="L186" s="1380" t="n">
        <v>76032.9</v>
      </c>
      <c r="M186" s="854" t="n">
        <v>3000</v>
      </c>
      <c r="N186" s="866" t="n">
        <f aca="false">M186/H184</f>
        <v>200</v>
      </c>
      <c r="O186" s="580" t="s">
        <v>844</v>
      </c>
      <c r="P186" s="1934"/>
      <c r="Q186" s="1934"/>
      <c r="R186" s="1935"/>
    </row>
    <row r="187" customFormat="false" ht="14.25" hidden="false" customHeight="false" outlineLevel="0" collapsed="false">
      <c r="A187" s="882"/>
      <c r="B187" s="830"/>
      <c r="C187" s="1965"/>
      <c r="D187" s="848" t="s">
        <v>7</v>
      </c>
      <c r="E187" s="1479" t="s">
        <v>1651</v>
      </c>
      <c r="F187" s="832"/>
      <c r="G187" s="1931"/>
      <c r="H187" s="1931"/>
      <c r="I187" s="837"/>
      <c r="J187" s="1059"/>
      <c r="K187" s="943"/>
      <c r="L187" s="1380" t="n">
        <v>3801.645</v>
      </c>
      <c r="M187" s="854" t="n">
        <v>150</v>
      </c>
      <c r="N187" s="866" t="n">
        <f aca="false">M187/H184</f>
        <v>10</v>
      </c>
      <c r="O187" s="580" t="s">
        <v>3391</v>
      </c>
      <c r="P187" s="1934"/>
      <c r="Q187" s="1934"/>
      <c r="R187" s="1935"/>
    </row>
    <row r="188" customFormat="false" ht="14.25" hidden="false" customHeight="false" outlineLevel="0" collapsed="false">
      <c r="A188" s="882"/>
      <c r="B188" s="830"/>
      <c r="C188" s="1965"/>
      <c r="D188" s="848" t="s">
        <v>7</v>
      </c>
      <c r="E188" s="1479" t="s">
        <v>1651</v>
      </c>
      <c r="F188" s="832"/>
      <c r="G188" s="1931"/>
      <c r="H188" s="1931"/>
      <c r="I188" s="837"/>
      <c r="J188" s="1059"/>
      <c r="K188" s="943"/>
      <c r="L188" s="1380" t="n">
        <v>1520.658</v>
      </c>
      <c r="M188" s="854" t="n">
        <v>60</v>
      </c>
      <c r="N188" s="866" t="n">
        <f aca="false">M188/H184</f>
        <v>4</v>
      </c>
      <c r="O188" s="580" t="s">
        <v>959</v>
      </c>
      <c r="P188" s="1934"/>
      <c r="Q188" s="1934"/>
      <c r="R188" s="1935"/>
    </row>
    <row r="189" customFormat="false" ht="14.25" hidden="false" customHeight="false" outlineLevel="0" collapsed="false">
      <c r="A189" s="882"/>
      <c r="B189" s="830"/>
      <c r="C189" s="1965"/>
      <c r="D189" s="848" t="s">
        <v>7</v>
      </c>
      <c r="E189" s="1479" t="s">
        <v>1651</v>
      </c>
      <c r="F189" s="832"/>
      <c r="G189" s="1931"/>
      <c r="H189" s="1931"/>
      <c r="I189" s="837"/>
      <c r="J189" s="1059"/>
      <c r="K189" s="943"/>
      <c r="L189" s="1380" t="n">
        <v>380.1645</v>
      </c>
      <c r="M189" s="854" t="n">
        <v>15</v>
      </c>
      <c r="N189" s="866" t="n">
        <f aca="false">M189/H184</f>
        <v>1</v>
      </c>
      <c r="O189" s="580" t="s">
        <v>933</v>
      </c>
      <c r="P189" s="1934"/>
      <c r="Q189" s="1934"/>
      <c r="R189" s="1935"/>
    </row>
    <row r="190" customFormat="false" ht="14.25" hidden="false" customHeight="false" outlineLevel="0" collapsed="false">
      <c r="A190" s="882"/>
      <c r="B190" s="830"/>
      <c r="C190" s="1965"/>
      <c r="D190" s="848" t="s">
        <v>7</v>
      </c>
      <c r="E190" s="1479" t="s">
        <v>1651</v>
      </c>
      <c r="F190" s="832"/>
      <c r="G190" s="1931"/>
      <c r="H190" s="1931"/>
      <c r="I190" s="837"/>
      <c r="J190" s="1059"/>
      <c r="K190" s="943"/>
      <c r="L190" s="1380" t="n">
        <v>380.171</v>
      </c>
      <c r="M190" s="854" t="n">
        <v>15</v>
      </c>
      <c r="N190" s="866" t="n">
        <f aca="false">M190/H184</f>
        <v>1</v>
      </c>
      <c r="O190" s="580" t="s">
        <v>1634</v>
      </c>
      <c r="P190" s="1934"/>
      <c r="Q190" s="1934"/>
      <c r="R190" s="1935"/>
    </row>
    <row r="191" customFormat="false" ht="14.25" hidden="false" customHeight="false" outlineLevel="0" collapsed="false">
      <c r="A191" s="882"/>
      <c r="B191" s="830"/>
      <c r="C191" s="1965"/>
      <c r="D191" s="848" t="s">
        <v>7</v>
      </c>
      <c r="E191" s="1479" t="s">
        <v>1651</v>
      </c>
      <c r="F191" s="832"/>
      <c r="G191" s="1931"/>
      <c r="H191" s="1931"/>
      <c r="I191" s="837"/>
      <c r="J191" s="1059"/>
      <c r="K191" s="943"/>
      <c r="L191" s="1380" t="n">
        <v>25471.0215</v>
      </c>
      <c r="M191" s="854" t="n">
        <v>1005</v>
      </c>
      <c r="N191" s="866" t="n">
        <f aca="false">M191/H184</f>
        <v>67</v>
      </c>
      <c r="O191" s="580" t="s">
        <v>955</v>
      </c>
      <c r="P191" s="1934"/>
      <c r="Q191" s="1934"/>
      <c r="R191" s="1935"/>
    </row>
    <row r="192" customFormat="false" ht="14.25" hidden="false" customHeight="false" outlineLevel="0" collapsed="false">
      <c r="A192" s="882"/>
      <c r="B192" s="830"/>
      <c r="C192" s="1965"/>
      <c r="D192" s="848" t="s">
        <v>7</v>
      </c>
      <c r="E192" s="1479" t="s">
        <v>1651</v>
      </c>
      <c r="F192" s="832"/>
      <c r="G192" s="1931"/>
      <c r="H192" s="1931"/>
      <c r="I192" s="837"/>
      <c r="J192" s="1059"/>
      <c r="K192" s="943"/>
      <c r="L192" s="1380" t="n">
        <v>7603.29</v>
      </c>
      <c r="M192" s="854" t="n">
        <v>300</v>
      </c>
      <c r="N192" s="866" t="n">
        <f aca="false">M192/H184</f>
        <v>20</v>
      </c>
      <c r="O192" s="580" t="s">
        <v>919</v>
      </c>
      <c r="P192" s="1934"/>
      <c r="Q192" s="1934"/>
      <c r="R192" s="1935"/>
    </row>
    <row r="193" customFormat="false" ht="14.25" hidden="false" customHeight="false" outlineLevel="0" collapsed="false">
      <c r="A193" s="882"/>
      <c r="B193" s="830"/>
      <c r="C193" s="1965"/>
      <c r="D193" s="860" t="s">
        <v>7</v>
      </c>
      <c r="E193" s="1480" t="s">
        <v>1651</v>
      </c>
      <c r="F193" s="832"/>
      <c r="G193" s="1931"/>
      <c r="H193" s="1931"/>
      <c r="I193" s="837"/>
      <c r="J193" s="1059"/>
      <c r="K193" s="943"/>
      <c r="L193" s="1521" t="n">
        <v>25471.015</v>
      </c>
      <c r="M193" s="866" t="n">
        <v>1005</v>
      </c>
      <c r="N193" s="866" t="n">
        <f aca="false">M193/H184</f>
        <v>67</v>
      </c>
      <c r="O193" s="545" t="s">
        <v>882</v>
      </c>
      <c r="P193" s="1934"/>
      <c r="Q193" s="1934"/>
      <c r="R193" s="1935"/>
    </row>
    <row r="194" customFormat="false" ht="14.25" hidden="false" customHeight="false" outlineLevel="0" collapsed="false">
      <c r="A194" s="882"/>
      <c r="B194" s="830"/>
      <c r="C194" s="1965"/>
      <c r="D194" s="887" t="s">
        <v>7</v>
      </c>
      <c r="E194" s="1501" t="s">
        <v>1651</v>
      </c>
      <c r="F194" s="832"/>
      <c r="G194" s="1931"/>
      <c r="H194" s="1931"/>
      <c r="I194" s="837"/>
      <c r="J194" s="1059"/>
      <c r="K194" s="943"/>
      <c r="L194" s="1381" t="n">
        <v>6842.961</v>
      </c>
      <c r="M194" s="890" t="n">
        <v>270</v>
      </c>
      <c r="N194" s="890" t="n">
        <f aca="false">M194/H184</f>
        <v>18</v>
      </c>
      <c r="O194" s="1938" t="s">
        <v>893</v>
      </c>
      <c r="P194" s="1934"/>
      <c r="Q194" s="1934"/>
      <c r="R194" s="1935"/>
    </row>
    <row r="195" customFormat="false" ht="14.25" hidden="false" customHeight="false" outlineLevel="0" collapsed="false">
      <c r="A195" s="847" t="s">
        <v>3392</v>
      </c>
      <c r="B195" s="1396" t="n">
        <v>2024</v>
      </c>
      <c r="C195" s="1966" t="n">
        <v>45962</v>
      </c>
      <c r="D195" s="848" t="s">
        <v>7</v>
      </c>
      <c r="E195" s="1479" t="s">
        <v>1651</v>
      </c>
      <c r="F195" s="848" t="s">
        <v>3374</v>
      </c>
      <c r="G195" s="1967" t="n">
        <v>20</v>
      </c>
      <c r="H195" s="1967" t="n">
        <v>10</v>
      </c>
      <c r="I195" s="1380" t="n">
        <f aca="false">G195*H195</f>
        <v>200</v>
      </c>
      <c r="J195" s="1544" t="n">
        <v>24.7106</v>
      </c>
      <c r="K195" s="1968" t="n">
        <f aca="false">I195*J195</f>
        <v>4942.12</v>
      </c>
      <c r="L195" s="1380"/>
      <c r="M195" s="854"/>
      <c r="N195" s="854"/>
      <c r="O195" s="580"/>
      <c r="P195" s="1983" t="n">
        <f aca="false">K195-L195</f>
        <v>4942.12</v>
      </c>
      <c r="Q195" s="1970" t="n">
        <f aca="false">I195-M195</f>
        <v>200</v>
      </c>
      <c r="R195" s="1971" t="n">
        <f aca="false">G195-N195</f>
        <v>20</v>
      </c>
    </row>
    <row r="196" customFormat="false" ht="14.25" hidden="false" customHeight="false" outlineLevel="0" collapsed="false">
      <c r="A196" s="903" t="n">
        <v>593</v>
      </c>
      <c r="B196" s="903" t="n">
        <v>2024</v>
      </c>
      <c r="C196" s="1974" t="n">
        <v>45962</v>
      </c>
      <c r="D196" s="904" t="s">
        <v>7</v>
      </c>
      <c r="E196" s="1351" t="s">
        <v>2133</v>
      </c>
      <c r="F196" s="904" t="s">
        <v>3364</v>
      </c>
      <c r="G196" s="1940" t="n">
        <v>1</v>
      </c>
      <c r="H196" s="1940" t="n">
        <v>370</v>
      </c>
      <c r="I196" s="1355" t="n">
        <f aca="false">G196*H196</f>
        <v>370</v>
      </c>
      <c r="J196" s="1406" t="n">
        <v>94.6</v>
      </c>
      <c r="K196" s="1942" t="n">
        <f aca="false">I196*J196</f>
        <v>35002</v>
      </c>
      <c r="L196" s="1355" t="n">
        <v>35002</v>
      </c>
      <c r="M196" s="891" t="n">
        <v>370</v>
      </c>
      <c r="N196" s="877" t="n">
        <f aca="false">M196/H196</f>
        <v>1</v>
      </c>
      <c r="O196" s="1943" t="s">
        <v>765</v>
      </c>
      <c r="P196" s="1947" t="n">
        <f aca="false">K196-L196</f>
        <v>0</v>
      </c>
      <c r="Q196" s="1945" t="n">
        <f aca="false">I196-M196</f>
        <v>0</v>
      </c>
      <c r="R196" s="1946" t="n">
        <f aca="false">G196-N196</f>
        <v>0</v>
      </c>
    </row>
    <row r="197" customFormat="false" ht="14.25" hidden="false" customHeight="false" outlineLevel="0" collapsed="false">
      <c r="A197" s="1465" t="n">
        <v>628</v>
      </c>
      <c r="B197" s="1546" t="n">
        <v>2024</v>
      </c>
      <c r="C197" s="1975" t="n">
        <v>45992</v>
      </c>
      <c r="D197" s="831" t="s">
        <v>7</v>
      </c>
      <c r="E197" s="1365" t="s">
        <v>1651</v>
      </c>
      <c r="F197" s="1328" t="s">
        <v>3375</v>
      </c>
      <c r="G197" s="1976" t="n">
        <v>666</v>
      </c>
      <c r="H197" s="1976" t="n">
        <v>15</v>
      </c>
      <c r="I197" s="1036" t="n">
        <f aca="false">G197*H197</f>
        <v>9990</v>
      </c>
      <c r="J197" s="1557" t="n">
        <v>25.9743</v>
      </c>
      <c r="K197" s="1547" t="n">
        <f aca="false">I197*J197</f>
        <v>259483.257</v>
      </c>
      <c r="L197" s="1369" t="n">
        <v>124676.64</v>
      </c>
      <c r="M197" s="840" t="n">
        <v>4800</v>
      </c>
      <c r="N197" s="886" t="n">
        <f aca="false">M197/H197</f>
        <v>320</v>
      </c>
      <c r="O197" s="578" t="s">
        <v>762</v>
      </c>
      <c r="P197" s="1984" t="n">
        <f aca="false">K197-L197-L200-L198-L199</f>
        <v>74805.984</v>
      </c>
      <c r="Q197" s="1978" t="n">
        <f aca="false">I197-M197-M200-M198-M199</f>
        <v>2880</v>
      </c>
      <c r="R197" s="1979" t="n">
        <f aca="false">G197-N197-N200-N198-N199</f>
        <v>192</v>
      </c>
    </row>
    <row r="198" customFormat="false" ht="14.25" hidden="false" customHeight="false" outlineLevel="0" collapsed="false">
      <c r="A198" s="1465"/>
      <c r="B198" s="1546"/>
      <c r="C198" s="1975"/>
      <c r="D198" s="860" t="s">
        <v>7</v>
      </c>
      <c r="E198" s="1480" t="s">
        <v>1651</v>
      </c>
      <c r="F198" s="1328"/>
      <c r="G198" s="1976"/>
      <c r="H198" s="1976"/>
      <c r="I198" s="1036"/>
      <c r="J198" s="1557"/>
      <c r="K198" s="1547"/>
      <c r="L198" s="1521" t="n">
        <v>38961.45</v>
      </c>
      <c r="M198" s="866" t="n">
        <v>1500</v>
      </c>
      <c r="N198" s="866" t="n">
        <f aca="false">M198/H197</f>
        <v>100</v>
      </c>
      <c r="O198" s="545" t="s">
        <v>762</v>
      </c>
      <c r="P198" s="1984"/>
      <c r="Q198" s="1978"/>
      <c r="R198" s="1979"/>
    </row>
    <row r="199" customFormat="false" ht="14.25" hidden="false" customHeight="false" outlineLevel="0" collapsed="false">
      <c r="A199" s="1465"/>
      <c r="B199" s="1546"/>
      <c r="C199" s="1975"/>
      <c r="D199" s="860" t="s">
        <v>7</v>
      </c>
      <c r="E199" s="1480" t="s">
        <v>1651</v>
      </c>
      <c r="F199" s="1328"/>
      <c r="G199" s="1976"/>
      <c r="H199" s="1976"/>
      <c r="I199" s="1036"/>
      <c r="J199" s="1557"/>
      <c r="K199" s="1547"/>
      <c r="L199" s="1521" t="n">
        <v>5454.603</v>
      </c>
      <c r="M199" s="866" t="n">
        <v>210</v>
      </c>
      <c r="N199" s="866" t="n">
        <f aca="false">M199/H197</f>
        <v>14</v>
      </c>
      <c r="O199" s="545" t="s">
        <v>1190</v>
      </c>
      <c r="P199" s="1984"/>
      <c r="Q199" s="1978"/>
      <c r="R199" s="1979"/>
    </row>
    <row r="200" customFormat="false" ht="14.25" hidden="false" customHeight="false" outlineLevel="0" collapsed="false">
      <c r="A200" s="1465"/>
      <c r="B200" s="1546"/>
      <c r="C200" s="1975"/>
      <c r="D200" s="904" t="s">
        <v>7</v>
      </c>
      <c r="E200" s="1351" t="s">
        <v>1651</v>
      </c>
      <c r="F200" s="1328"/>
      <c r="G200" s="1976"/>
      <c r="H200" s="1976"/>
      <c r="I200" s="1036"/>
      <c r="J200" s="1557"/>
      <c r="K200" s="1547"/>
      <c r="L200" s="1355" t="n">
        <v>15584.58</v>
      </c>
      <c r="M200" s="891" t="n">
        <v>600</v>
      </c>
      <c r="N200" s="891" t="n">
        <f aca="false">M200/H197</f>
        <v>40</v>
      </c>
      <c r="O200" s="1943" t="s">
        <v>762</v>
      </c>
      <c r="P200" s="1984"/>
      <c r="Q200" s="1978"/>
      <c r="R200" s="1979"/>
    </row>
    <row r="201" customFormat="false" ht="14.25" hidden="false" customHeight="false" outlineLevel="0" collapsed="false">
      <c r="A201" s="882" t="n">
        <v>629</v>
      </c>
      <c r="B201" s="830" t="n">
        <v>2024</v>
      </c>
      <c r="C201" s="1965" t="n">
        <v>45992</v>
      </c>
      <c r="D201" s="831" t="s">
        <v>7</v>
      </c>
      <c r="E201" s="1365" t="s">
        <v>1651</v>
      </c>
      <c r="F201" s="832" t="s">
        <v>3375</v>
      </c>
      <c r="G201" s="1931" t="n">
        <v>586</v>
      </c>
      <c r="H201" s="1931" t="n">
        <v>15</v>
      </c>
      <c r="I201" s="837" t="n">
        <f aca="false">G201*H201</f>
        <v>8790</v>
      </c>
      <c r="J201" s="1059" t="n">
        <v>25.9743</v>
      </c>
      <c r="K201" s="943" t="n">
        <f aca="false">I201*J201</f>
        <v>228314.097</v>
      </c>
      <c r="L201" s="1369" t="n">
        <v>194807.25</v>
      </c>
      <c r="M201" s="840" t="n">
        <v>7500</v>
      </c>
      <c r="N201" s="886" t="n">
        <f aca="false">M201/H201</f>
        <v>500</v>
      </c>
      <c r="O201" s="578" t="s">
        <v>1059</v>
      </c>
      <c r="P201" s="1948" t="n">
        <f aca="false">K201-L201-L203-L202</f>
        <v>6233.83200000001</v>
      </c>
      <c r="Q201" s="1934" t="n">
        <f aca="false">I201-M201-M203-M202</f>
        <v>240</v>
      </c>
      <c r="R201" s="1935" t="n">
        <f aca="false">G201-N201-N203-N202</f>
        <v>16</v>
      </c>
    </row>
    <row r="202" customFormat="false" ht="14.25" hidden="false" customHeight="false" outlineLevel="0" collapsed="false">
      <c r="A202" s="882"/>
      <c r="B202" s="830"/>
      <c r="C202" s="1965"/>
      <c r="D202" s="904" t="s">
        <v>7</v>
      </c>
      <c r="E202" s="1351" t="s">
        <v>1651</v>
      </c>
      <c r="F202" s="832"/>
      <c r="G202" s="1931"/>
      <c r="H202" s="1931"/>
      <c r="I202" s="837"/>
      <c r="J202" s="1059"/>
      <c r="K202" s="943"/>
      <c r="L202" s="1355" t="n">
        <v>1558.458</v>
      </c>
      <c r="M202" s="891" t="n">
        <v>60</v>
      </c>
      <c r="N202" s="866" t="n">
        <f aca="false">M202/H201</f>
        <v>4</v>
      </c>
      <c r="O202" s="1943" t="s">
        <v>1375</v>
      </c>
      <c r="P202" s="1948"/>
      <c r="Q202" s="1934"/>
      <c r="R202" s="1935"/>
    </row>
    <row r="203" customFormat="false" ht="14.25" hidden="false" customHeight="false" outlineLevel="0" collapsed="false">
      <c r="A203" s="882"/>
      <c r="B203" s="830"/>
      <c r="C203" s="1965"/>
      <c r="D203" s="843" t="s">
        <v>7</v>
      </c>
      <c r="E203" s="1357" t="s">
        <v>1651</v>
      </c>
      <c r="F203" s="832"/>
      <c r="G203" s="1931"/>
      <c r="H203" s="1931"/>
      <c r="I203" s="837"/>
      <c r="J203" s="1059"/>
      <c r="K203" s="943"/>
      <c r="L203" s="1362" t="n">
        <v>25714.557</v>
      </c>
      <c r="M203" s="846" t="n">
        <v>990</v>
      </c>
      <c r="N203" s="846" t="n">
        <f aca="false">M203/H201</f>
        <v>66</v>
      </c>
      <c r="O203" s="1936" t="s">
        <v>1312</v>
      </c>
      <c r="P203" s="1948"/>
      <c r="Q203" s="1934"/>
      <c r="R203" s="1935"/>
    </row>
    <row r="204" customFormat="false" ht="14.25" hidden="false" customHeight="false" outlineLevel="0" collapsed="false">
      <c r="A204" s="1087" t="n">
        <v>630</v>
      </c>
      <c r="B204" s="1072" t="n">
        <v>2024</v>
      </c>
      <c r="C204" s="1980" t="n">
        <v>45992</v>
      </c>
      <c r="D204" s="848" t="s">
        <v>7</v>
      </c>
      <c r="E204" s="1479" t="s">
        <v>1651</v>
      </c>
      <c r="F204" s="887" t="s">
        <v>3364</v>
      </c>
      <c r="G204" s="1950" t="n">
        <v>165</v>
      </c>
      <c r="H204" s="1950" t="n">
        <v>15</v>
      </c>
      <c r="I204" s="1067" t="n">
        <f aca="false">G204*H204</f>
        <v>2475</v>
      </c>
      <c r="J204" s="1063" t="n">
        <v>26.0687</v>
      </c>
      <c r="K204" s="1452" t="n">
        <f aca="false">I204*J204</f>
        <v>64520.0325</v>
      </c>
      <c r="L204" s="1380" t="n">
        <v>6647.5185</v>
      </c>
      <c r="M204" s="854" t="n">
        <v>255</v>
      </c>
      <c r="N204" s="891" t="n">
        <f aca="false">M204/H204</f>
        <v>17</v>
      </c>
      <c r="O204" s="580" t="s">
        <v>969</v>
      </c>
      <c r="P204" s="1952" t="n">
        <f aca="false">K204-L204-L210-L209-L205-L208-L206-L207</f>
        <v>2346.183</v>
      </c>
      <c r="Q204" s="1953" t="n">
        <f aca="false">I204-M204-M210-M209-M205-M208-M206-M207</f>
        <v>90</v>
      </c>
      <c r="R204" s="1954" t="n">
        <f aca="false">G204-N204-N210-N209-N205-N208-N206-N207</f>
        <v>6</v>
      </c>
    </row>
    <row r="205" customFormat="false" ht="14.25" hidden="false" customHeight="false" outlineLevel="0" collapsed="false">
      <c r="A205" s="1087"/>
      <c r="B205" s="1072"/>
      <c r="C205" s="1980"/>
      <c r="D205" s="848" t="s">
        <v>7</v>
      </c>
      <c r="E205" s="1479" t="s">
        <v>1651</v>
      </c>
      <c r="F205" s="887"/>
      <c r="G205" s="1950"/>
      <c r="H205" s="1950"/>
      <c r="I205" s="1067"/>
      <c r="J205" s="1063"/>
      <c r="K205" s="1452"/>
      <c r="L205" s="1380" t="n">
        <v>3910.305</v>
      </c>
      <c r="M205" s="854" t="n">
        <v>150</v>
      </c>
      <c r="N205" s="866" t="n">
        <f aca="false">M205/H204</f>
        <v>10</v>
      </c>
      <c r="O205" s="580" t="s">
        <v>1036</v>
      </c>
      <c r="P205" s="1952"/>
      <c r="Q205" s="1953"/>
      <c r="R205" s="1954"/>
    </row>
    <row r="206" customFormat="false" ht="14.25" hidden="false" customHeight="false" outlineLevel="0" collapsed="false">
      <c r="A206" s="1087"/>
      <c r="B206" s="1072"/>
      <c r="C206" s="1980"/>
      <c r="D206" s="848" t="s">
        <v>7</v>
      </c>
      <c r="E206" s="1479" t="s">
        <v>1651</v>
      </c>
      <c r="F206" s="887"/>
      <c r="G206" s="1950"/>
      <c r="H206" s="1950"/>
      <c r="I206" s="1067"/>
      <c r="J206" s="1063"/>
      <c r="K206" s="1452"/>
      <c r="L206" s="1380" t="n">
        <v>7820.61</v>
      </c>
      <c r="M206" s="854" t="n">
        <v>300</v>
      </c>
      <c r="N206" s="866" t="n">
        <f aca="false">M206/H204</f>
        <v>20</v>
      </c>
      <c r="O206" s="580" t="s">
        <v>1120</v>
      </c>
      <c r="P206" s="1952"/>
      <c r="Q206" s="1953"/>
      <c r="R206" s="1954"/>
    </row>
    <row r="207" customFormat="false" ht="14.25" hidden="false" customHeight="false" outlineLevel="0" collapsed="false">
      <c r="A207" s="1087"/>
      <c r="B207" s="1072"/>
      <c r="C207" s="1980"/>
      <c r="D207" s="848" t="s">
        <v>7</v>
      </c>
      <c r="E207" s="1479" t="s">
        <v>1651</v>
      </c>
      <c r="F207" s="887"/>
      <c r="G207" s="1950"/>
      <c r="H207" s="1950"/>
      <c r="I207" s="1067"/>
      <c r="J207" s="1063"/>
      <c r="K207" s="1452"/>
      <c r="L207" s="1380" t="n">
        <v>4692.366</v>
      </c>
      <c r="M207" s="854" t="n">
        <v>180</v>
      </c>
      <c r="N207" s="866" t="n">
        <f aca="false">M207/H204</f>
        <v>12</v>
      </c>
      <c r="O207" s="580" t="s">
        <v>1634</v>
      </c>
      <c r="P207" s="1952"/>
      <c r="Q207" s="1953"/>
      <c r="R207" s="1954"/>
    </row>
    <row r="208" customFormat="false" ht="14.25" hidden="false" customHeight="false" outlineLevel="0" collapsed="false">
      <c r="A208" s="1087"/>
      <c r="B208" s="1072"/>
      <c r="C208" s="1980"/>
      <c r="D208" s="848" t="s">
        <v>7</v>
      </c>
      <c r="E208" s="1479" t="s">
        <v>1651</v>
      </c>
      <c r="F208" s="887"/>
      <c r="G208" s="1950"/>
      <c r="H208" s="1950"/>
      <c r="I208" s="1067"/>
      <c r="J208" s="1063"/>
      <c r="K208" s="1452"/>
      <c r="L208" s="1380" t="n">
        <v>1173.0915</v>
      </c>
      <c r="M208" s="854" t="n">
        <v>45</v>
      </c>
      <c r="N208" s="866" t="n">
        <f aca="false">M208/H204</f>
        <v>3</v>
      </c>
      <c r="O208" s="580" t="s">
        <v>1107</v>
      </c>
      <c r="P208" s="1952"/>
      <c r="Q208" s="1953"/>
      <c r="R208" s="1954"/>
    </row>
    <row r="209" customFormat="false" ht="14.25" hidden="false" customHeight="false" outlineLevel="0" collapsed="false">
      <c r="A209" s="1087"/>
      <c r="B209" s="1072"/>
      <c r="C209" s="1980"/>
      <c r="D209" s="860" t="s">
        <v>7</v>
      </c>
      <c r="E209" s="1480" t="s">
        <v>1651</v>
      </c>
      <c r="F209" s="887"/>
      <c r="G209" s="1950"/>
      <c r="H209" s="1950"/>
      <c r="I209" s="1067"/>
      <c r="J209" s="1063"/>
      <c r="K209" s="1452"/>
      <c r="L209" s="1521" t="n">
        <v>11730.915</v>
      </c>
      <c r="M209" s="866" t="n">
        <v>450</v>
      </c>
      <c r="N209" s="866" t="n">
        <f aca="false">M209/H204</f>
        <v>30</v>
      </c>
      <c r="O209" s="545" t="s">
        <v>1033</v>
      </c>
      <c r="P209" s="1952"/>
      <c r="Q209" s="1953"/>
      <c r="R209" s="1954"/>
    </row>
    <row r="210" customFormat="false" ht="14.25" hidden="false" customHeight="false" outlineLevel="0" collapsed="false">
      <c r="A210" s="1087"/>
      <c r="B210" s="1072"/>
      <c r="C210" s="1980"/>
      <c r="D210" s="887" t="s">
        <v>7</v>
      </c>
      <c r="E210" s="1501" t="s">
        <v>1651</v>
      </c>
      <c r="F210" s="887"/>
      <c r="G210" s="1950"/>
      <c r="H210" s="1950"/>
      <c r="I210" s="1067"/>
      <c r="J210" s="1063"/>
      <c r="K210" s="1452"/>
      <c r="L210" s="1381" t="n">
        <v>26199.0435</v>
      </c>
      <c r="M210" s="890" t="n">
        <v>1005</v>
      </c>
      <c r="N210" s="890" t="n">
        <f aca="false">M210/H204</f>
        <v>67</v>
      </c>
      <c r="O210" s="1938" t="s">
        <v>904</v>
      </c>
      <c r="P210" s="1952"/>
      <c r="Q210" s="1953"/>
      <c r="R210" s="1954"/>
    </row>
    <row r="211" customFormat="false" ht="14.25" hidden="false" customHeight="false" outlineLevel="0" collapsed="false">
      <c r="A211" s="847" t="n">
        <v>183</v>
      </c>
      <c r="B211" s="1396" t="n">
        <v>2024</v>
      </c>
      <c r="C211" s="1966" t="n">
        <v>46054</v>
      </c>
      <c r="D211" s="848" t="s">
        <v>7</v>
      </c>
      <c r="E211" s="1479" t="s">
        <v>2133</v>
      </c>
      <c r="F211" s="848" t="s">
        <v>3364</v>
      </c>
      <c r="G211" s="1967" t="n">
        <v>2</v>
      </c>
      <c r="H211" s="1967" t="n">
        <v>30</v>
      </c>
      <c r="I211" s="1380" t="n">
        <f aca="false">G211*H211</f>
        <v>60</v>
      </c>
      <c r="J211" s="1985" t="n">
        <v>91.9</v>
      </c>
      <c r="K211" s="1968" t="n">
        <f aca="false">I211*J211</f>
        <v>5514</v>
      </c>
      <c r="L211" s="1380" t="n">
        <v>5514</v>
      </c>
      <c r="M211" s="854" t="n">
        <v>60</v>
      </c>
      <c r="N211" s="866" t="n">
        <f aca="false">M211/H211</f>
        <v>2</v>
      </c>
      <c r="O211" s="580" t="s">
        <v>1238</v>
      </c>
      <c r="P211" s="1986" t="n">
        <f aca="false">K211-L211</f>
        <v>0</v>
      </c>
      <c r="Q211" s="1970" t="n">
        <f aca="false">I211-M211</f>
        <v>0</v>
      </c>
      <c r="R211" s="1971" t="n">
        <f aca="false">G211-N211</f>
        <v>0</v>
      </c>
    </row>
    <row r="212" customFormat="false" ht="14.25" hidden="false" customHeight="false" outlineLevel="0" collapsed="false">
      <c r="A212" s="870"/>
      <c r="B212" s="870"/>
      <c r="C212" s="1972"/>
      <c r="D212" s="871"/>
      <c r="E212" s="1478"/>
      <c r="F212" s="1478"/>
      <c r="G212" s="1478"/>
      <c r="H212" s="1478"/>
      <c r="I212" s="1587"/>
      <c r="J212" s="1987"/>
      <c r="K212" s="1958"/>
      <c r="L212" s="1587"/>
      <c r="M212" s="877"/>
      <c r="N212" s="877"/>
      <c r="O212" s="584"/>
      <c r="P212" s="1988"/>
      <c r="Q212" s="1960"/>
      <c r="R212" s="1961"/>
    </row>
    <row r="213" customFormat="false" ht="14.25" hidden="false" customHeight="false" outlineLevel="0" collapsed="false">
      <c r="A213" s="829" t="n">
        <v>12</v>
      </c>
      <c r="B213" s="830" t="n">
        <v>2024</v>
      </c>
      <c r="C213" s="1965" t="n">
        <v>45627</v>
      </c>
      <c r="D213" s="831" t="s">
        <v>173</v>
      </c>
      <c r="E213" s="1365" t="s">
        <v>3393</v>
      </c>
      <c r="F213" s="830" t="s">
        <v>3364</v>
      </c>
      <c r="G213" s="1931" t="n">
        <v>66</v>
      </c>
      <c r="H213" s="1931" t="n">
        <v>15</v>
      </c>
      <c r="I213" s="837" t="n">
        <f aca="false">G213*H213</f>
        <v>990</v>
      </c>
      <c r="J213" s="1932" t="n">
        <v>1</v>
      </c>
      <c r="K213" s="943" t="n">
        <f aca="false">I213*J213</f>
        <v>990</v>
      </c>
      <c r="L213" s="1369" t="n">
        <v>15</v>
      </c>
      <c r="M213" s="840" t="n">
        <v>15</v>
      </c>
      <c r="N213" s="840" t="n">
        <f aca="false">M213/H213</f>
        <v>1</v>
      </c>
      <c r="O213" s="578" t="s">
        <v>523</v>
      </c>
      <c r="P213" s="1934" t="n">
        <f aca="false">K213-L213-L214</f>
        <v>0</v>
      </c>
      <c r="Q213" s="1934" t="n">
        <f aca="false">I213-M213-M214</f>
        <v>0</v>
      </c>
      <c r="R213" s="1935" t="n">
        <f aca="false">G213-N213-N214</f>
        <v>0</v>
      </c>
    </row>
    <row r="214" customFormat="false" ht="14.25" hidden="false" customHeight="false" outlineLevel="0" collapsed="false">
      <c r="A214" s="829"/>
      <c r="B214" s="830"/>
      <c r="C214" s="1965"/>
      <c r="D214" s="843" t="s">
        <v>173</v>
      </c>
      <c r="E214" s="1357" t="s">
        <v>3393</v>
      </c>
      <c r="F214" s="830"/>
      <c r="G214" s="1931"/>
      <c r="H214" s="1931"/>
      <c r="I214" s="837"/>
      <c r="J214" s="1932"/>
      <c r="K214" s="943"/>
      <c r="L214" s="1362" t="n">
        <v>975</v>
      </c>
      <c r="M214" s="846" t="n">
        <v>975</v>
      </c>
      <c r="N214" s="846" t="n">
        <f aca="false">M214/H213</f>
        <v>65</v>
      </c>
      <c r="O214" s="1936" t="s">
        <v>1634</v>
      </c>
      <c r="P214" s="1934"/>
      <c r="Q214" s="1934"/>
      <c r="R214" s="1935"/>
    </row>
    <row r="215" customFormat="false" ht="14.25" hidden="false" customHeight="false" outlineLevel="0" collapsed="false">
      <c r="A215" s="847" t="n">
        <v>533</v>
      </c>
      <c r="B215" s="847" t="n">
        <v>2024</v>
      </c>
      <c r="C215" s="1966" t="n">
        <v>45627</v>
      </c>
      <c r="D215" s="848" t="s">
        <v>173</v>
      </c>
      <c r="E215" s="1479" t="s">
        <v>3393</v>
      </c>
      <c r="F215" s="847" t="s">
        <v>3364</v>
      </c>
      <c r="G215" s="1967" t="n">
        <v>146</v>
      </c>
      <c r="H215" s="1967" t="n">
        <v>30</v>
      </c>
      <c r="I215" s="1380" t="n">
        <f aca="false">G215*H215</f>
        <v>4380</v>
      </c>
      <c r="J215" s="1989" t="n">
        <v>1</v>
      </c>
      <c r="K215" s="1968" t="n">
        <f aca="false">I215*J215</f>
        <v>4380</v>
      </c>
      <c r="L215" s="1380" t="n">
        <v>2130</v>
      </c>
      <c r="M215" s="854" t="n">
        <v>2130</v>
      </c>
      <c r="N215" s="840" t="n">
        <f aca="false">M215/H215</f>
        <v>71</v>
      </c>
      <c r="O215" s="580" t="s">
        <v>1375</v>
      </c>
      <c r="P215" s="1986" t="n">
        <f aca="false">K215-L215</f>
        <v>2250</v>
      </c>
      <c r="Q215" s="1970" t="n">
        <f aca="false">I215-M215</f>
        <v>2250</v>
      </c>
      <c r="R215" s="1971" t="n">
        <f aca="false">G215-N215</f>
        <v>75</v>
      </c>
    </row>
    <row r="216" customFormat="false" ht="14.25" hidden="false" customHeight="false" outlineLevel="0" collapsed="false">
      <c r="A216" s="847" t="n">
        <v>609</v>
      </c>
      <c r="B216" s="847" t="n">
        <v>2024</v>
      </c>
      <c r="C216" s="1966" t="n">
        <v>45627</v>
      </c>
      <c r="D216" s="848" t="s">
        <v>173</v>
      </c>
      <c r="E216" s="1479" t="s">
        <v>3393</v>
      </c>
      <c r="F216" s="847" t="s">
        <v>3364</v>
      </c>
      <c r="G216" s="1967" t="n">
        <v>10</v>
      </c>
      <c r="H216" s="1967" t="n">
        <v>30</v>
      </c>
      <c r="I216" s="1380" t="n">
        <f aca="false">G216*H216</f>
        <v>300</v>
      </c>
      <c r="J216" s="1989" t="n">
        <v>1</v>
      </c>
      <c r="K216" s="1968" t="n">
        <f aca="false">I216*J216</f>
        <v>300</v>
      </c>
      <c r="L216" s="1380"/>
      <c r="M216" s="854"/>
      <c r="N216" s="854"/>
      <c r="O216" s="580"/>
      <c r="P216" s="1986" t="n">
        <f aca="false">K216-L216</f>
        <v>300</v>
      </c>
      <c r="Q216" s="1970" t="n">
        <f aca="false">I216-M216</f>
        <v>300</v>
      </c>
      <c r="R216" s="1971" t="n">
        <f aca="false">G216-N216</f>
        <v>10</v>
      </c>
    </row>
    <row r="217" customFormat="false" ht="14.25" hidden="false" customHeight="false" outlineLevel="0" collapsed="false">
      <c r="A217" s="859"/>
      <c r="B217" s="859"/>
      <c r="C217" s="1990"/>
      <c r="D217" s="860"/>
      <c r="E217" s="1480"/>
      <c r="F217" s="1480"/>
      <c r="G217" s="1480"/>
      <c r="H217" s="1480"/>
      <c r="I217" s="1521"/>
      <c r="J217" s="1991"/>
      <c r="K217" s="1992"/>
      <c r="L217" s="1521"/>
      <c r="M217" s="866"/>
      <c r="N217" s="866"/>
      <c r="O217" s="545"/>
      <c r="P217" s="1993"/>
      <c r="Q217" s="1994"/>
      <c r="R217" s="1995"/>
    </row>
    <row r="218" customFormat="false" ht="14.25" hidden="false" customHeight="false" outlineLevel="0" collapsed="false">
      <c r="A218" s="870" t="n">
        <v>356</v>
      </c>
      <c r="B218" s="870" t="n">
        <v>2024</v>
      </c>
      <c r="C218" s="1972" t="n">
        <v>45901</v>
      </c>
      <c r="D218" s="871" t="s">
        <v>23</v>
      </c>
      <c r="E218" s="1478" t="s">
        <v>3393</v>
      </c>
      <c r="F218" s="1478" t="s">
        <v>3364</v>
      </c>
      <c r="G218" s="1478" t="n">
        <v>5</v>
      </c>
      <c r="H218" s="1478" t="n">
        <v>800</v>
      </c>
      <c r="I218" s="1521" t="n">
        <f aca="false">G218*H218</f>
        <v>4000</v>
      </c>
      <c r="J218" s="1996" t="n">
        <v>1</v>
      </c>
      <c r="K218" s="1992" t="n">
        <f aca="false">I218*J218</f>
        <v>4000</v>
      </c>
      <c r="L218" s="1587" t="n">
        <v>4000</v>
      </c>
      <c r="M218" s="877" t="n">
        <v>4000</v>
      </c>
      <c r="N218" s="866" t="n">
        <f aca="false">M218/H218</f>
        <v>5</v>
      </c>
      <c r="O218" s="584" t="s">
        <v>3394</v>
      </c>
      <c r="P218" s="1993" t="n">
        <f aca="false">K218-L218</f>
        <v>0</v>
      </c>
      <c r="Q218" s="1994" t="n">
        <f aca="false">I218-M218</f>
        <v>0</v>
      </c>
      <c r="R218" s="1995" t="n">
        <f aca="false">G218-N218</f>
        <v>0</v>
      </c>
    </row>
    <row r="219" customFormat="false" ht="14.25" hidden="false" customHeight="false" outlineLevel="0" collapsed="false">
      <c r="A219" s="870" t="n">
        <v>357</v>
      </c>
      <c r="B219" s="870" t="n">
        <v>2024</v>
      </c>
      <c r="C219" s="1972" t="n">
        <v>45901</v>
      </c>
      <c r="D219" s="871" t="s">
        <v>23</v>
      </c>
      <c r="E219" s="1478" t="s">
        <v>3393</v>
      </c>
      <c r="F219" s="1478" t="s">
        <v>3364</v>
      </c>
      <c r="G219" s="1478" t="n">
        <v>2</v>
      </c>
      <c r="H219" s="1478" t="n">
        <v>500</v>
      </c>
      <c r="I219" s="1587" t="n">
        <f aca="false">G219*H219</f>
        <v>1000</v>
      </c>
      <c r="J219" s="1996" t="n">
        <v>1</v>
      </c>
      <c r="K219" s="1958" t="n">
        <f aca="false">I219*J219</f>
        <v>1000</v>
      </c>
      <c r="L219" s="1587" t="n">
        <v>1000</v>
      </c>
      <c r="M219" s="877" t="n">
        <v>1000</v>
      </c>
      <c r="N219" s="877" t="n">
        <f aca="false">M219/H219</f>
        <v>2</v>
      </c>
      <c r="O219" s="584" t="s">
        <v>3395</v>
      </c>
      <c r="P219" s="1988" t="n">
        <f aca="false">K219-L219</f>
        <v>0</v>
      </c>
      <c r="Q219" s="1960" t="n">
        <f aca="false">I219-M219</f>
        <v>0</v>
      </c>
      <c r="R219" s="1961" t="n">
        <f aca="false">G219-N219</f>
        <v>0</v>
      </c>
    </row>
    <row r="220" customFormat="false" ht="14.25" hidden="false" customHeight="false" outlineLevel="0" collapsed="false">
      <c r="A220" s="829" t="n">
        <v>386</v>
      </c>
      <c r="B220" s="830" t="n">
        <v>2024</v>
      </c>
      <c r="C220" s="1965" t="n">
        <v>45931</v>
      </c>
      <c r="D220" s="1328" t="s">
        <v>23</v>
      </c>
      <c r="E220" s="1607" t="s">
        <v>3393</v>
      </c>
      <c r="F220" s="832" t="s">
        <v>3364</v>
      </c>
      <c r="G220" s="1931" t="n">
        <v>41</v>
      </c>
      <c r="H220" s="1931" t="n">
        <v>15</v>
      </c>
      <c r="I220" s="837" t="n">
        <f aca="false">G220*H220</f>
        <v>615</v>
      </c>
      <c r="J220" s="1932" t="n">
        <v>1</v>
      </c>
      <c r="K220" s="943" t="n">
        <f aca="false">I220*J220</f>
        <v>615</v>
      </c>
      <c r="L220" s="1665" t="n">
        <v>600</v>
      </c>
      <c r="M220" s="886" t="n">
        <v>600</v>
      </c>
      <c r="N220" s="840" t="n">
        <f aca="false">M220/H220</f>
        <v>40</v>
      </c>
      <c r="O220" s="1595" t="s">
        <v>3396</v>
      </c>
      <c r="P220" s="1934" t="n">
        <f aca="false">K220-L220-L221</f>
        <v>0</v>
      </c>
      <c r="Q220" s="1934" t="n">
        <f aca="false">I220-M220-M221</f>
        <v>0</v>
      </c>
      <c r="R220" s="1997" t="n">
        <f aca="false">G220-N220-N221</f>
        <v>0</v>
      </c>
    </row>
    <row r="221" customFormat="false" ht="14.25" hidden="false" customHeight="false" outlineLevel="0" collapsed="false">
      <c r="A221" s="829"/>
      <c r="B221" s="830"/>
      <c r="C221" s="1965"/>
      <c r="D221" s="843" t="s">
        <v>23</v>
      </c>
      <c r="E221" s="1357" t="s">
        <v>3393</v>
      </c>
      <c r="F221" s="832"/>
      <c r="G221" s="1931"/>
      <c r="H221" s="1931"/>
      <c r="I221" s="837"/>
      <c r="J221" s="1932"/>
      <c r="K221" s="943"/>
      <c r="L221" s="1362" t="n">
        <v>15</v>
      </c>
      <c r="M221" s="846" t="n">
        <v>15</v>
      </c>
      <c r="N221" s="846" t="n">
        <f aca="false">M221/H220</f>
        <v>1</v>
      </c>
      <c r="O221" s="1936" t="s">
        <v>3397</v>
      </c>
      <c r="P221" s="1934"/>
      <c r="Q221" s="1934"/>
      <c r="R221" s="1997"/>
    </row>
    <row r="222" customFormat="false" ht="14.25" hidden="false" customHeight="false" outlineLevel="0" collapsed="false">
      <c r="A222" s="903" t="n">
        <v>510</v>
      </c>
      <c r="B222" s="903" t="n">
        <v>2024</v>
      </c>
      <c r="C222" s="1974" t="n">
        <v>45931</v>
      </c>
      <c r="D222" s="904" t="s">
        <v>23</v>
      </c>
      <c r="E222" s="1351" t="s">
        <v>3393</v>
      </c>
      <c r="F222" s="1351" t="s">
        <v>3364</v>
      </c>
      <c r="G222" s="1351" t="n">
        <v>1</v>
      </c>
      <c r="H222" s="1351" t="n">
        <v>630</v>
      </c>
      <c r="I222" s="1355" t="n">
        <f aca="false">G222*H222</f>
        <v>630</v>
      </c>
      <c r="J222" s="1998" t="n">
        <v>1</v>
      </c>
      <c r="K222" s="1942" t="n">
        <f aca="false">I222*J222</f>
        <v>630</v>
      </c>
      <c r="L222" s="1355" t="n">
        <v>630</v>
      </c>
      <c r="M222" s="891" t="n">
        <v>630</v>
      </c>
      <c r="N222" s="854" t="n">
        <f aca="false">M222/H222</f>
        <v>1</v>
      </c>
      <c r="O222" s="1943"/>
      <c r="P222" s="1964" t="n">
        <f aca="false">K222-L222</f>
        <v>0</v>
      </c>
      <c r="Q222" s="1945" t="n">
        <f aca="false">I222-M222</f>
        <v>0</v>
      </c>
      <c r="R222" s="1946" t="n">
        <f aca="false">G222-N222</f>
        <v>0</v>
      </c>
    </row>
    <row r="223" customFormat="false" ht="14.25" hidden="false" customHeight="false" outlineLevel="0" collapsed="false">
      <c r="A223" s="870" t="n">
        <v>524</v>
      </c>
      <c r="B223" s="870" t="n">
        <v>2024</v>
      </c>
      <c r="C223" s="1972" t="n">
        <v>45931</v>
      </c>
      <c r="D223" s="871" t="s">
        <v>23</v>
      </c>
      <c r="E223" s="1478" t="s">
        <v>3393</v>
      </c>
      <c r="F223" s="1478" t="s">
        <v>3364</v>
      </c>
      <c r="G223" s="1478" t="n">
        <v>1</v>
      </c>
      <c r="H223" s="1478" t="n">
        <v>430</v>
      </c>
      <c r="I223" s="1587" t="n">
        <f aca="false">G223*H223</f>
        <v>430</v>
      </c>
      <c r="J223" s="1996" t="n">
        <v>1</v>
      </c>
      <c r="K223" s="1958" t="n">
        <f aca="false">I223*J223</f>
        <v>430</v>
      </c>
      <c r="L223" s="1587" t="n">
        <v>430</v>
      </c>
      <c r="M223" s="877" t="n">
        <v>430</v>
      </c>
      <c r="N223" s="866" t="n">
        <f aca="false">M223/H223</f>
        <v>1</v>
      </c>
      <c r="O223" s="584"/>
      <c r="P223" s="1988" t="n">
        <f aca="false">K223-L223</f>
        <v>0</v>
      </c>
      <c r="Q223" s="1960" t="n">
        <f aca="false">I223-M223</f>
        <v>0</v>
      </c>
      <c r="R223" s="1961" t="n">
        <f aca="false">G223-N223</f>
        <v>0</v>
      </c>
    </row>
    <row r="224" customFormat="false" ht="14.25" hidden="false" customHeight="false" outlineLevel="0" collapsed="false">
      <c r="A224" s="870" t="n">
        <v>525</v>
      </c>
      <c r="B224" s="870" t="n">
        <v>2024</v>
      </c>
      <c r="C224" s="1972" t="n">
        <v>45931</v>
      </c>
      <c r="D224" s="871" t="s">
        <v>23</v>
      </c>
      <c r="E224" s="1478" t="s">
        <v>3393</v>
      </c>
      <c r="F224" s="1478" t="s">
        <v>3364</v>
      </c>
      <c r="G224" s="1478" t="n">
        <v>1</v>
      </c>
      <c r="H224" s="1478" t="n">
        <v>360</v>
      </c>
      <c r="I224" s="1587" t="n">
        <f aca="false">G224*H224</f>
        <v>360</v>
      </c>
      <c r="J224" s="1996" t="n">
        <v>1</v>
      </c>
      <c r="K224" s="1958" t="n">
        <f aca="false">I224*J224</f>
        <v>360</v>
      </c>
      <c r="L224" s="1587" t="n">
        <v>360</v>
      </c>
      <c r="M224" s="877" t="n">
        <v>360</v>
      </c>
      <c r="N224" s="866" t="n">
        <f aca="false">M224/H224</f>
        <v>1</v>
      </c>
      <c r="O224" s="584"/>
      <c r="P224" s="1988" t="n">
        <f aca="false">K224-L224</f>
        <v>0</v>
      </c>
      <c r="Q224" s="1960" t="n">
        <f aca="false">I224-M224</f>
        <v>0</v>
      </c>
      <c r="R224" s="1961" t="n">
        <f aca="false">G224-N224</f>
        <v>0</v>
      </c>
    </row>
    <row r="225" customFormat="false" ht="14.25" hidden="false" customHeight="false" outlineLevel="0" collapsed="false">
      <c r="A225" s="870" t="n">
        <v>526</v>
      </c>
      <c r="B225" s="870" t="n">
        <v>2024</v>
      </c>
      <c r="C225" s="1972" t="n">
        <v>45931</v>
      </c>
      <c r="D225" s="871" t="s">
        <v>23</v>
      </c>
      <c r="E225" s="1478" t="s">
        <v>3393</v>
      </c>
      <c r="F225" s="1478" t="s">
        <v>3364</v>
      </c>
      <c r="G225" s="1478" t="n">
        <v>2</v>
      </c>
      <c r="H225" s="1478" t="n">
        <v>790</v>
      </c>
      <c r="I225" s="1587" t="n">
        <f aca="false">G225*H225</f>
        <v>1580</v>
      </c>
      <c r="J225" s="1996" t="n">
        <v>1</v>
      </c>
      <c r="K225" s="1958" t="n">
        <f aca="false">I225*J225</f>
        <v>1580</v>
      </c>
      <c r="L225" s="1587" t="n">
        <v>1580</v>
      </c>
      <c r="M225" s="877" t="n">
        <v>1580</v>
      </c>
      <c r="N225" s="877" t="n">
        <f aca="false">M225/H225</f>
        <v>2</v>
      </c>
      <c r="O225" s="584"/>
      <c r="P225" s="1988" t="n">
        <f aca="false">K225-L225</f>
        <v>0</v>
      </c>
      <c r="Q225" s="1960" t="n">
        <f aca="false">I225-M225</f>
        <v>0</v>
      </c>
      <c r="R225" s="1961" t="n">
        <f aca="false">G225-N225</f>
        <v>0</v>
      </c>
    </row>
    <row r="226" customFormat="false" ht="14.25" hidden="false" customHeight="false" outlineLevel="0" collapsed="false">
      <c r="A226" s="1465" t="n">
        <v>560</v>
      </c>
      <c r="B226" s="1546" t="n">
        <v>2024</v>
      </c>
      <c r="C226" s="1975" t="n">
        <v>45962</v>
      </c>
      <c r="D226" s="1328" t="s">
        <v>23</v>
      </c>
      <c r="E226" s="1607" t="s">
        <v>3393</v>
      </c>
      <c r="F226" s="1328" t="s">
        <v>3364</v>
      </c>
      <c r="G226" s="1976" t="n">
        <v>302</v>
      </c>
      <c r="H226" s="1976" t="n">
        <v>15</v>
      </c>
      <c r="I226" s="1036" t="n">
        <f aca="false">G226*H226</f>
        <v>4530</v>
      </c>
      <c r="J226" s="1999" t="n">
        <v>1</v>
      </c>
      <c r="K226" s="1547" t="n">
        <f aca="false">I226*J226</f>
        <v>4530</v>
      </c>
      <c r="L226" s="1665" t="n">
        <v>570</v>
      </c>
      <c r="M226" s="886" t="n">
        <v>570</v>
      </c>
      <c r="N226" s="886" t="n">
        <f aca="false">M226/H226</f>
        <v>38</v>
      </c>
      <c r="O226" s="1595" t="s">
        <v>3398</v>
      </c>
      <c r="P226" s="1978" t="n">
        <f aca="false">K226-L226-L229-L228-L227</f>
        <v>1260</v>
      </c>
      <c r="Q226" s="1978" t="n">
        <f aca="false">I226-M226-M229-M228-M227</f>
        <v>1260</v>
      </c>
      <c r="R226" s="1979" t="n">
        <f aca="false">G226-N226-N229-N228-N227</f>
        <v>84</v>
      </c>
    </row>
    <row r="227" customFormat="false" ht="14.25" hidden="false" customHeight="false" outlineLevel="0" collapsed="false">
      <c r="A227" s="1465"/>
      <c r="B227" s="1546"/>
      <c r="C227" s="1975"/>
      <c r="D227" s="860" t="s">
        <v>23</v>
      </c>
      <c r="E227" s="1480" t="s">
        <v>3393</v>
      </c>
      <c r="F227" s="1328"/>
      <c r="G227" s="1976"/>
      <c r="H227" s="1976"/>
      <c r="I227" s="1036"/>
      <c r="J227" s="1999"/>
      <c r="K227" s="1547"/>
      <c r="L227" s="1521" t="n">
        <v>-1260</v>
      </c>
      <c r="M227" s="866" t="n">
        <v>-1260</v>
      </c>
      <c r="N227" s="866" t="n">
        <f aca="false">M227/H226</f>
        <v>-84</v>
      </c>
      <c r="O227" s="545" t="s">
        <v>1375</v>
      </c>
      <c r="P227" s="1978"/>
      <c r="Q227" s="1978"/>
      <c r="R227" s="1979"/>
    </row>
    <row r="228" customFormat="false" ht="14.25" hidden="false" customHeight="false" outlineLevel="0" collapsed="false">
      <c r="A228" s="1465"/>
      <c r="B228" s="1546"/>
      <c r="C228" s="1975"/>
      <c r="D228" s="860" t="s">
        <v>23</v>
      </c>
      <c r="E228" s="1480" t="s">
        <v>3393</v>
      </c>
      <c r="F228" s="1328"/>
      <c r="G228" s="1976"/>
      <c r="H228" s="1976"/>
      <c r="I228" s="1036"/>
      <c r="J228" s="1999"/>
      <c r="K228" s="1547"/>
      <c r="L228" s="1521" t="n">
        <v>2625</v>
      </c>
      <c r="M228" s="866" t="n">
        <v>2625</v>
      </c>
      <c r="N228" s="866" t="n">
        <f aca="false">M228/H226</f>
        <v>175</v>
      </c>
      <c r="O228" s="545" t="s">
        <v>3399</v>
      </c>
      <c r="P228" s="1978"/>
      <c r="Q228" s="1978"/>
      <c r="R228" s="1979"/>
    </row>
    <row r="229" customFormat="false" ht="14.25" hidden="false" customHeight="false" outlineLevel="0" collapsed="false">
      <c r="A229" s="1465"/>
      <c r="B229" s="1546"/>
      <c r="C229" s="1975"/>
      <c r="D229" s="871" t="s">
        <v>23</v>
      </c>
      <c r="E229" s="1478" t="s">
        <v>3393</v>
      </c>
      <c r="F229" s="1328"/>
      <c r="G229" s="1976"/>
      <c r="H229" s="1976"/>
      <c r="I229" s="1036"/>
      <c r="J229" s="1999"/>
      <c r="K229" s="1547"/>
      <c r="L229" s="1587" t="n">
        <v>1335</v>
      </c>
      <c r="M229" s="877" t="n">
        <v>1335</v>
      </c>
      <c r="N229" s="877" t="n">
        <f aca="false">M229/H226</f>
        <v>89</v>
      </c>
      <c r="O229" s="584" t="s">
        <v>3400</v>
      </c>
      <c r="P229" s="1978"/>
      <c r="Q229" s="1978"/>
      <c r="R229" s="1979"/>
    </row>
    <row r="230" customFormat="false" ht="14.25" hidden="false" customHeight="false" outlineLevel="0" collapsed="false">
      <c r="A230" s="829" t="n">
        <v>566</v>
      </c>
      <c r="B230" s="830" t="n">
        <v>2024</v>
      </c>
      <c r="C230" s="1965" t="n">
        <v>45962</v>
      </c>
      <c r="D230" s="831" t="s">
        <v>23</v>
      </c>
      <c r="E230" s="1365" t="s">
        <v>3393</v>
      </c>
      <c r="F230" s="830" t="s">
        <v>3364</v>
      </c>
      <c r="G230" s="1931" t="n">
        <v>311</v>
      </c>
      <c r="H230" s="1931" t="n">
        <v>15</v>
      </c>
      <c r="I230" s="837" t="n">
        <f aca="false">G230*H230</f>
        <v>4665</v>
      </c>
      <c r="J230" s="1932" t="n">
        <v>1</v>
      </c>
      <c r="K230" s="943" t="n">
        <f aca="false">I230*J230</f>
        <v>4665</v>
      </c>
      <c r="L230" s="1369" t="n">
        <v>4665</v>
      </c>
      <c r="M230" s="840" t="n">
        <v>4665</v>
      </c>
      <c r="N230" s="840" t="n">
        <f aca="false">M230/H230</f>
        <v>311</v>
      </c>
      <c r="O230" s="578" t="s">
        <v>3400</v>
      </c>
      <c r="P230" s="1934" t="n">
        <f aca="false">K230-L230-L231</f>
        <v>4350</v>
      </c>
      <c r="Q230" s="1934" t="n">
        <f aca="false">I230-M230-M231</f>
        <v>4350</v>
      </c>
      <c r="R230" s="1935" t="n">
        <f aca="false">G230-N230-N231</f>
        <v>290</v>
      </c>
    </row>
    <row r="231" customFormat="false" ht="14.25" hidden="false" customHeight="false" outlineLevel="0" collapsed="false">
      <c r="A231" s="829"/>
      <c r="B231" s="830"/>
      <c r="C231" s="1965"/>
      <c r="D231" s="843" t="s">
        <v>23</v>
      </c>
      <c r="E231" s="1357" t="s">
        <v>3393</v>
      </c>
      <c r="F231" s="830"/>
      <c r="G231" s="1931"/>
      <c r="H231" s="1931"/>
      <c r="I231" s="837"/>
      <c r="J231" s="1932"/>
      <c r="K231" s="943"/>
      <c r="L231" s="1362" t="n">
        <v>-4350</v>
      </c>
      <c r="M231" s="846" t="n">
        <v>-4350</v>
      </c>
      <c r="N231" s="846" t="n">
        <f aca="false">M231/H230</f>
        <v>-290</v>
      </c>
      <c r="O231" s="1936" t="s">
        <v>1375</v>
      </c>
      <c r="P231" s="1934"/>
      <c r="Q231" s="1934"/>
      <c r="R231" s="1935"/>
    </row>
    <row r="232" customFormat="false" ht="14.25" hidden="false" customHeight="false" outlineLevel="0" collapsed="false">
      <c r="A232" s="1060" t="n">
        <v>590</v>
      </c>
      <c r="B232" s="1061" t="n">
        <v>2024</v>
      </c>
      <c r="C232" s="1980" t="n">
        <v>45962</v>
      </c>
      <c r="D232" s="904" t="s">
        <v>23</v>
      </c>
      <c r="E232" s="1351" t="s">
        <v>3393</v>
      </c>
      <c r="F232" s="887" t="s">
        <v>3364</v>
      </c>
      <c r="G232" s="1950" t="n">
        <v>68</v>
      </c>
      <c r="H232" s="1950" t="n">
        <v>15</v>
      </c>
      <c r="I232" s="1067" t="n">
        <f aca="false">G232*H232</f>
        <v>1020</v>
      </c>
      <c r="J232" s="1951" t="n">
        <v>1</v>
      </c>
      <c r="K232" s="1452" t="n">
        <f aca="false">I232*J232</f>
        <v>1020</v>
      </c>
      <c r="L232" s="1355" t="n">
        <v>285</v>
      </c>
      <c r="M232" s="891" t="n">
        <v>285</v>
      </c>
      <c r="N232" s="891" t="n">
        <f aca="false">M232/H232</f>
        <v>19</v>
      </c>
      <c r="O232" s="1943" t="s">
        <v>3398</v>
      </c>
      <c r="P232" s="1953" t="n">
        <f aca="false">K232-L232-L235-L234-L233</f>
        <v>450</v>
      </c>
      <c r="Q232" s="1953" t="n">
        <f aca="false">I232-M232-M235-M234-M233</f>
        <v>450</v>
      </c>
      <c r="R232" s="1954" t="n">
        <f aca="false">G232-N232-N235-N234-N233</f>
        <v>30</v>
      </c>
    </row>
    <row r="233" customFormat="false" ht="14.25" hidden="false" customHeight="false" outlineLevel="0" collapsed="false">
      <c r="A233" s="1060"/>
      <c r="B233" s="1061"/>
      <c r="C233" s="1980"/>
      <c r="D233" s="860" t="s">
        <v>23</v>
      </c>
      <c r="E233" s="1480" t="s">
        <v>3393</v>
      </c>
      <c r="F233" s="887"/>
      <c r="G233" s="1950"/>
      <c r="H233" s="1950"/>
      <c r="I233" s="1067"/>
      <c r="J233" s="1951"/>
      <c r="K233" s="1452"/>
      <c r="L233" s="1521" t="n">
        <v>-15</v>
      </c>
      <c r="M233" s="866" t="n">
        <v>-15</v>
      </c>
      <c r="N233" s="866" t="n">
        <f aca="false">M233/H232</f>
        <v>-1</v>
      </c>
      <c r="O233" s="545" t="s">
        <v>1375</v>
      </c>
      <c r="P233" s="1953"/>
      <c r="Q233" s="1953"/>
      <c r="R233" s="1954"/>
    </row>
    <row r="234" customFormat="false" ht="14.25" hidden="false" customHeight="false" outlineLevel="0" collapsed="false">
      <c r="A234" s="1060"/>
      <c r="B234" s="1061"/>
      <c r="C234" s="1980"/>
      <c r="D234" s="860" t="s">
        <v>23</v>
      </c>
      <c r="E234" s="1480" t="s">
        <v>3393</v>
      </c>
      <c r="F234" s="887"/>
      <c r="G234" s="1950"/>
      <c r="H234" s="1950"/>
      <c r="I234" s="1067"/>
      <c r="J234" s="1951"/>
      <c r="K234" s="1452"/>
      <c r="L234" s="1521" t="n">
        <v>195</v>
      </c>
      <c r="M234" s="866" t="n">
        <v>195</v>
      </c>
      <c r="N234" s="866" t="n">
        <f aca="false">M234/H232</f>
        <v>13</v>
      </c>
      <c r="O234" s="545" t="s">
        <v>3401</v>
      </c>
      <c r="P234" s="1953"/>
      <c r="Q234" s="1953"/>
      <c r="R234" s="1954"/>
    </row>
    <row r="235" customFormat="false" ht="14.25" hidden="false" customHeight="false" outlineLevel="0" collapsed="false">
      <c r="A235" s="1060"/>
      <c r="B235" s="1061"/>
      <c r="C235" s="1980"/>
      <c r="D235" s="843" t="s">
        <v>23</v>
      </c>
      <c r="E235" s="1357" t="s">
        <v>3393</v>
      </c>
      <c r="F235" s="887"/>
      <c r="G235" s="1950"/>
      <c r="H235" s="1950"/>
      <c r="I235" s="1067"/>
      <c r="J235" s="1951"/>
      <c r="K235" s="1452"/>
      <c r="L235" s="1362" t="n">
        <v>105</v>
      </c>
      <c r="M235" s="846" t="n">
        <v>105</v>
      </c>
      <c r="N235" s="846" t="n">
        <f aca="false">M235/H232</f>
        <v>7</v>
      </c>
      <c r="O235" s="1936" t="s">
        <v>767</v>
      </c>
      <c r="P235" s="1953"/>
      <c r="Q235" s="1953"/>
      <c r="R235" s="1954"/>
    </row>
    <row r="236" customFormat="false" ht="14.25" hidden="false" customHeight="false" outlineLevel="0" collapsed="false">
      <c r="A236" s="1442"/>
      <c r="B236" s="903"/>
      <c r="C236" s="1974"/>
      <c r="D236" s="904"/>
      <c r="E236" s="1351"/>
      <c r="F236" s="904"/>
      <c r="G236" s="1940"/>
      <c r="H236" s="1940"/>
      <c r="I236" s="942"/>
      <c r="J236" s="1941"/>
      <c r="K236" s="948"/>
      <c r="L236" s="1355"/>
      <c r="M236" s="891"/>
      <c r="N236" s="891"/>
      <c r="O236" s="1943"/>
      <c r="P236" s="2000"/>
      <c r="Q236" s="2000"/>
      <c r="R236" s="2001"/>
    </row>
    <row r="237" customFormat="false" ht="14.25" hidden="false" customHeight="false" outlineLevel="0" collapsed="false">
      <c r="A237" s="870" t="n">
        <v>428</v>
      </c>
      <c r="B237" s="870" t="n">
        <v>2024</v>
      </c>
      <c r="C237" s="1972"/>
      <c r="D237" s="871" t="s">
        <v>11</v>
      </c>
      <c r="E237" s="1478" t="s">
        <v>1651</v>
      </c>
      <c r="F237" s="1478" t="s">
        <v>3367</v>
      </c>
      <c r="G237" s="1478" t="n">
        <v>95</v>
      </c>
      <c r="H237" s="1478" t="n">
        <v>15</v>
      </c>
      <c r="I237" s="1587" t="n">
        <f aca="false">G237*H237</f>
        <v>1425</v>
      </c>
      <c r="J237" s="1987" t="n">
        <v>14</v>
      </c>
      <c r="K237" s="1958" t="n">
        <f aca="false">I237*J237</f>
        <v>19950</v>
      </c>
      <c r="L237" s="1587" t="n">
        <v>19950</v>
      </c>
      <c r="M237" s="877" t="n">
        <v>1425</v>
      </c>
      <c r="N237" s="877" t="n">
        <f aca="false">M237/H237</f>
        <v>95</v>
      </c>
      <c r="O237" s="584" t="s">
        <v>1375</v>
      </c>
      <c r="P237" s="1959" t="n">
        <f aca="false">K237-L237</f>
        <v>0</v>
      </c>
      <c r="Q237" s="1960" t="n">
        <f aca="false">I237-M237</f>
        <v>0</v>
      </c>
      <c r="R237" s="1961" t="n">
        <f aca="false">G237-N237</f>
        <v>0</v>
      </c>
    </row>
    <row r="238" customFormat="false" ht="14.25" hidden="false" customHeight="false" outlineLevel="0" collapsed="false">
      <c r="A238" s="829" t="n">
        <v>516</v>
      </c>
      <c r="B238" s="830" t="n">
        <v>2023</v>
      </c>
      <c r="C238" s="1930" t="n">
        <v>45597</v>
      </c>
      <c r="D238" s="831" t="s">
        <v>11</v>
      </c>
      <c r="E238" s="1365" t="s">
        <v>1651</v>
      </c>
      <c r="F238" s="832" t="s">
        <v>3367</v>
      </c>
      <c r="G238" s="1931" t="n">
        <v>66</v>
      </c>
      <c r="H238" s="1931" t="n">
        <v>15</v>
      </c>
      <c r="I238" s="837" t="n">
        <f aca="false">G238*H238</f>
        <v>990</v>
      </c>
      <c r="J238" s="1059" t="n">
        <v>15.8</v>
      </c>
      <c r="K238" s="943" t="n">
        <f aca="false">I238*J238</f>
        <v>15642</v>
      </c>
      <c r="L238" s="1369" t="n">
        <v>2370</v>
      </c>
      <c r="M238" s="840" t="n">
        <v>150</v>
      </c>
      <c r="N238" s="886" t="n">
        <f aca="false">M238/H238</f>
        <v>10</v>
      </c>
      <c r="O238" s="1114" t="n">
        <v>86153</v>
      </c>
      <c r="P238" s="1934" t="n">
        <f aca="false">K238-L238-L241-L239-L240</f>
        <v>0</v>
      </c>
      <c r="Q238" s="1934" t="n">
        <f aca="false">I238-M238-M241-M239-M240</f>
        <v>0</v>
      </c>
      <c r="R238" s="1935" t="n">
        <f aca="false">G238-N238-N241-N239-N240</f>
        <v>0</v>
      </c>
    </row>
    <row r="239" customFormat="false" ht="14.25" hidden="false" customHeight="false" outlineLevel="0" collapsed="false">
      <c r="A239" s="829"/>
      <c r="B239" s="830"/>
      <c r="C239" s="1930"/>
      <c r="D239" s="860" t="s">
        <v>11</v>
      </c>
      <c r="E239" s="1480" t="s">
        <v>1651</v>
      </c>
      <c r="F239" s="832"/>
      <c r="G239" s="1931"/>
      <c r="H239" s="1931"/>
      <c r="I239" s="837"/>
      <c r="J239" s="1059"/>
      <c r="K239" s="943"/>
      <c r="L239" s="1521" t="n">
        <v>-2686</v>
      </c>
      <c r="M239" s="866" t="n">
        <v>-170</v>
      </c>
      <c r="N239" s="866" t="n">
        <f aca="false">M239/H238</f>
        <v>-11.3333333333333</v>
      </c>
      <c r="O239" s="543" t="s">
        <v>2240</v>
      </c>
      <c r="P239" s="1934"/>
      <c r="Q239" s="1934"/>
      <c r="R239" s="1935"/>
    </row>
    <row r="240" customFormat="false" ht="14.25" hidden="false" customHeight="false" outlineLevel="0" collapsed="false">
      <c r="A240" s="829"/>
      <c r="B240" s="830"/>
      <c r="C240" s="1930"/>
      <c r="D240" s="860" t="s">
        <v>11</v>
      </c>
      <c r="E240" s="1480" t="s">
        <v>1651</v>
      </c>
      <c r="F240" s="832"/>
      <c r="G240" s="1931"/>
      <c r="H240" s="1931"/>
      <c r="I240" s="837"/>
      <c r="J240" s="1059"/>
      <c r="K240" s="943"/>
      <c r="L240" s="1521" t="n">
        <v>6873</v>
      </c>
      <c r="M240" s="866" t="n">
        <v>435</v>
      </c>
      <c r="N240" s="866" t="n">
        <f aca="false">M240/H238</f>
        <v>29</v>
      </c>
      <c r="O240" s="543" t="s">
        <v>3373</v>
      </c>
      <c r="P240" s="1934"/>
      <c r="Q240" s="1934"/>
      <c r="R240" s="1935"/>
    </row>
    <row r="241" customFormat="false" ht="14.25" hidden="false" customHeight="false" outlineLevel="0" collapsed="false">
      <c r="A241" s="829"/>
      <c r="B241" s="830"/>
      <c r="C241" s="1930"/>
      <c r="D241" s="843" t="s">
        <v>11</v>
      </c>
      <c r="E241" s="1357" t="s">
        <v>1651</v>
      </c>
      <c r="F241" s="832"/>
      <c r="G241" s="1931"/>
      <c r="H241" s="1931"/>
      <c r="I241" s="837"/>
      <c r="J241" s="1059"/>
      <c r="K241" s="943"/>
      <c r="L241" s="1362" t="n">
        <v>9085</v>
      </c>
      <c r="M241" s="846" t="n">
        <v>575</v>
      </c>
      <c r="N241" s="846" t="n">
        <f aca="false">M241/H238</f>
        <v>38.3333333333333</v>
      </c>
      <c r="O241" s="589" t="n">
        <v>85909</v>
      </c>
      <c r="P241" s="1934"/>
      <c r="Q241" s="1934"/>
      <c r="R241" s="1935"/>
    </row>
    <row r="242" customFormat="false" ht="14.25" hidden="false" customHeight="false" outlineLevel="0" collapsed="false">
      <c r="A242" s="903" t="n">
        <v>176</v>
      </c>
      <c r="B242" s="903" t="n">
        <v>2024</v>
      </c>
      <c r="C242" s="1939" t="n">
        <v>45809</v>
      </c>
      <c r="D242" s="904" t="s">
        <v>11</v>
      </c>
      <c r="E242" s="1351" t="s">
        <v>1651</v>
      </c>
      <c r="F242" s="904" t="s">
        <v>3364</v>
      </c>
      <c r="G242" s="1940" t="n">
        <v>7</v>
      </c>
      <c r="H242" s="1940" t="n">
        <v>15</v>
      </c>
      <c r="I242" s="1355" t="n">
        <f aca="false">G242*H242</f>
        <v>105</v>
      </c>
      <c r="J242" s="1406" t="n">
        <v>14.8825</v>
      </c>
      <c r="K242" s="1942" t="n">
        <f aca="false">I242*J242</f>
        <v>1562.6625</v>
      </c>
      <c r="L242" s="1355" t="n">
        <v>1562.6625</v>
      </c>
      <c r="M242" s="891" t="n">
        <v>105</v>
      </c>
      <c r="N242" s="854" t="n">
        <f aca="false">M242/H242</f>
        <v>7</v>
      </c>
      <c r="O242" s="942" t="s">
        <v>362</v>
      </c>
      <c r="P242" s="1947" t="n">
        <f aca="false">K242-L242</f>
        <v>0</v>
      </c>
      <c r="Q242" s="1945" t="n">
        <f aca="false">I242-M242</f>
        <v>0</v>
      </c>
      <c r="R242" s="1946" t="n">
        <f aca="false">G242-N242</f>
        <v>0</v>
      </c>
    </row>
    <row r="243" customFormat="false" ht="14.25" hidden="false" customHeight="false" outlineLevel="0" collapsed="false">
      <c r="A243" s="829" t="n">
        <v>177</v>
      </c>
      <c r="B243" s="830" t="n">
        <v>2024</v>
      </c>
      <c r="C243" s="1930" t="n">
        <v>45809</v>
      </c>
      <c r="D243" s="831" t="s">
        <v>11</v>
      </c>
      <c r="E243" s="1365" t="s">
        <v>1651</v>
      </c>
      <c r="F243" s="832" t="s">
        <v>3367</v>
      </c>
      <c r="G243" s="1931" t="n">
        <v>53</v>
      </c>
      <c r="H243" s="1931" t="n">
        <v>10</v>
      </c>
      <c r="I243" s="837" t="n">
        <f aca="false">G243*H243</f>
        <v>530</v>
      </c>
      <c r="J243" s="1059" t="n">
        <v>14.8825</v>
      </c>
      <c r="K243" s="1120" t="n">
        <f aca="false">I243*J243</f>
        <v>7887.725</v>
      </c>
      <c r="L243" s="1369" t="n">
        <v>6399.475</v>
      </c>
      <c r="M243" s="840" t="n">
        <v>430</v>
      </c>
      <c r="N243" s="840" t="n">
        <f aca="false">M243/H243</f>
        <v>43</v>
      </c>
      <c r="O243" s="1114" t="n">
        <v>86957</v>
      </c>
      <c r="P243" s="1982" t="n">
        <f aca="false">K243-L243-L244</f>
        <v>0</v>
      </c>
      <c r="Q243" s="1934" t="n">
        <f aca="false">I243-M243-M244</f>
        <v>0</v>
      </c>
      <c r="R243" s="1935" t="n">
        <f aca="false">G243-N243-N244</f>
        <v>0</v>
      </c>
    </row>
    <row r="244" customFormat="false" ht="14.25" hidden="false" customHeight="false" outlineLevel="0" collapsed="false">
      <c r="A244" s="829"/>
      <c r="B244" s="830"/>
      <c r="C244" s="1930"/>
      <c r="D244" s="843" t="s">
        <v>11</v>
      </c>
      <c r="E244" s="1357" t="s">
        <v>1651</v>
      </c>
      <c r="F244" s="832"/>
      <c r="G244" s="1931"/>
      <c r="H244" s="1931"/>
      <c r="I244" s="837"/>
      <c r="J244" s="1059"/>
      <c r="K244" s="1120"/>
      <c r="L244" s="1362" t="n">
        <v>1488.25</v>
      </c>
      <c r="M244" s="846" t="n">
        <v>100</v>
      </c>
      <c r="N244" s="846" t="n">
        <f aca="false">M244/H243</f>
        <v>10</v>
      </c>
      <c r="O244" s="589" t="n">
        <v>86958</v>
      </c>
      <c r="P244" s="1982"/>
      <c r="Q244" s="1934"/>
      <c r="R244" s="1935"/>
    </row>
    <row r="245" customFormat="false" ht="14.25" hidden="false" customHeight="false" outlineLevel="0" collapsed="false">
      <c r="A245" s="903" t="n">
        <v>193</v>
      </c>
      <c r="B245" s="903" t="n">
        <v>2024</v>
      </c>
      <c r="C245" s="1939" t="n">
        <v>45809</v>
      </c>
      <c r="D245" s="904" t="s">
        <v>11</v>
      </c>
      <c r="E245" s="1351" t="s">
        <v>1651</v>
      </c>
      <c r="F245" s="904" t="s">
        <v>3364</v>
      </c>
      <c r="G245" s="1940" t="n">
        <v>30</v>
      </c>
      <c r="H245" s="1940" t="n">
        <v>15</v>
      </c>
      <c r="I245" s="1355" t="n">
        <f aca="false">G245*H245</f>
        <v>450</v>
      </c>
      <c r="J245" s="1406" t="n">
        <v>14.2343</v>
      </c>
      <c r="K245" s="2002" t="n">
        <f aca="false">I245*J245</f>
        <v>6405.435</v>
      </c>
      <c r="L245" s="1355" t="n">
        <v>6405.435</v>
      </c>
      <c r="M245" s="891" t="n">
        <v>450</v>
      </c>
      <c r="N245" s="877" t="n">
        <f aca="false">M245/H245</f>
        <v>30</v>
      </c>
      <c r="O245" s="942" t="s">
        <v>362</v>
      </c>
      <c r="P245" s="2003" t="n">
        <f aca="false">K245-L245</f>
        <v>0</v>
      </c>
      <c r="Q245" s="1945" t="n">
        <f aca="false">I245-M245</f>
        <v>0</v>
      </c>
      <c r="R245" s="1946" t="n">
        <f aca="false">G245-N245</f>
        <v>0</v>
      </c>
    </row>
    <row r="246" customFormat="false" ht="14.25" hidden="false" customHeight="false" outlineLevel="0" collapsed="false">
      <c r="A246" s="829" t="n">
        <v>194</v>
      </c>
      <c r="B246" s="830" t="n">
        <v>2024</v>
      </c>
      <c r="C246" s="1930" t="n">
        <v>45809</v>
      </c>
      <c r="D246" s="1328" t="s">
        <v>11</v>
      </c>
      <c r="E246" s="1607" t="s">
        <v>1651</v>
      </c>
      <c r="F246" s="832" t="s">
        <v>3364</v>
      </c>
      <c r="G246" s="1931" t="n">
        <v>613</v>
      </c>
      <c r="H246" s="830" t="n">
        <v>10</v>
      </c>
      <c r="I246" s="837" t="n">
        <f aca="false">G246*H246</f>
        <v>6130</v>
      </c>
      <c r="J246" s="1059" t="n">
        <v>14.2343</v>
      </c>
      <c r="K246" s="1120" t="n">
        <f aca="false">I246*J246</f>
        <v>87256.259</v>
      </c>
      <c r="L246" s="1665" t="n">
        <v>1850.459</v>
      </c>
      <c r="M246" s="886" t="n">
        <v>130</v>
      </c>
      <c r="N246" s="840" t="n">
        <f aca="false">M246/H246</f>
        <v>13</v>
      </c>
      <c r="O246" s="1036" t="n">
        <v>86952</v>
      </c>
      <c r="P246" s="1982" t="n">
        <f aca="false">K246-L246-L247</f>
        <v>0</v>
      </c>
      <c r="Q246" s="1934" t="n">
        <f aca="false">I246-M246-M247</f>
        <v>0</v>
      </c>
      <c r="R246" s="1935" t="n">
        <f aca="false">G246-N246-N247</f>
        <v>0</v>
      </c>
    </row>
    <row r="247" customFormat="false" ht="14.25" hidden="false" customHeight="false" outlineLevel="0" collapsed="false">
      <c r="A247" s="829"/>
      <c r="B247" s="830"/>
      <c r="C247" s="1930"/>
      <c r="D247" s="843" t="s">
        <v>11</v>
      </c>
      <c r="E247" s="1357" t="s">
        <v>1651</v>
      </c>
      <c r="F247" s="832"/>
      <c r="G247" s="1931"/>
      <c r="H247" s="830"/>
      <c r="I247" s="837"/>
      <c r="J247" s="1059"/>
      <c r="K247" s="1120"/>
      <c r="L247" s="1362" t="n">
        <v>85405.8</v>
      </c>
      <c r="M247" s="846" t="n">
        <v>6000</v>
      </c>
      <c r="N247" s="846" t="n">
        <f aca="false">M247/H246</f>
        <v>600</v>
      </c>
      <c r="O247" s="589" t="s">
        <v>364</v>
      </c>
      <c r="P247" s="1982"/>
      <c r="Q247" s="1934"/>
      <c r="R247" s="1935"/>
    </row>
    <row r="248" customFormat="false" ht="14.25" hidden="false" customHeight="false" outlineLevel="0" collapsed="false">
      <c r="A248" s="903" t="n">
        <v>195</v>
      </c>
      <c r="B248" s="903" t="n">
        <v>2024</v>
      </c>
      <c r="C248" s="1939" t="n">
        <v>45809</v>
      </c>
      <c r="D248" s="904" t="s">
        <v>11</v>
      </c>
      <c r="E248" s="1351" t="s">
        <v>1651</v>
      </c>
      <c r="F248" s="904" t="s">
        <v>3367</v>
      </c>
      <c r="G248" s="1940" t="n">
        <v>40</v>
      </c>
      <c r="H248" s="1940" t="n">
        <v>15</v>
      </c>
      <c r="I248" s="1355" t="n">
        <f aca="false">G248*H248</f>
        <v>600</v>
      </c>
      <c r="J248" s="1406" t="n">
        <v>14.2343</v>
      </c>
      <c r="K248" s="1373" t="n">
        <f aca="false">I248*J248</f>
        <v>8540.58</v>
      </c>
      <c r="L248" s="1355" t="n">
        <v>8540.58</v>
      </c>
      <c r="M248" s="891" t="n">
        <v>600</v>
      </c>
      <c r="N248" s="891" t="n">
        <f aca="false">M248/H248</f>
        <v>40</v>
      </c>
      <c r="O248" s="942" t="s">
        <v>367</v>
      </c>
      <c r="P248" s="2003" t="n">
        <f aca="false">K248-L248</f>
        <v>0</v>
      </c>
      <c r="Q248" s="1945" t="n">
        <f aca="false">I248-M248</f>
        <v>0</v>
      </c>
      <c r="R248" s="1946" t="n">
        <f aca="false">G248-N248</f>
        <v>0</v>
      </c>
    </row>
    <row r="249" customFormat="false" ht="14.25" hidden="false" customHeight="false" outlineLevel="0" collapsed="false">
      <c r="A249" s="882" t="n">
        <v>196</v>
      </c>
      <c r="B249" s="883" t="n">
        <v>2024</v>
      </c>
      <c r="C249" s="1930" t="n">
        <v>45809</v>
      </c>
      <c r="D249" s="1328" t="s">
        <v>11</v>
      </c>
      <c r="E249" s="1607" t="s">
        <v>1651</v>
      </c>
      <c r="F249" s="832" t="s">
        <v>3367</v>
      </c>
      <c r="G249" s="1931" t="n">
        <v>30</v>
      </c>
      <c r="H249" s="1931" t="n">
        <v>10</v>
      </c>
      <c r="I249" s="837" t="n">
        <f aca="false">G249*H249</f>
        <v>300</v>
      </c>
      <c r="J249" s="1059" t="n">
        <v>14.2343</v>
      </c>
      <c r="K249" s="1120" t="n">
        <f aca="false">I249*J249</f>
        <v>4270.29</v>
      </c>
      <c r="L249" s="1665" t="n">
        <v>2846.86</v>
      </c>
      <c r="M249" s="886" t="n">
        <v>200</v>
      </c>
      <c r="N249" s="886" t="n">
        <f aca="false">M249/H249</f>
        <v>20</v>
      </c>
      <c r="O249" s="1036" t="n">
        <v>86954</v>
      </c>
      <c r="P249" s="1934" t="n">
        <f aca="false">K249-L249-L251-L250</f>
        <v>-0.00100000000009004</v>
      </c>
      <c r="Q249" s="1934" t="n">
        <f aca="false">I249-M249-M251-M250</f>
        <v>0</v>
      </c>
      <c r="R249" s="1935" t="n">
        <f aca="false">G249-N249-N251-N250</f>
        <v>0</v>
      </c>
    </row>
    <row r="250" customFormat="false" ht="14.25" hidden="false" customHeight="false" outlineLevel="0" collapsed="false">
      <c r="A250" s="882"/>
      <c r="B250" s="883"/>
      <c r="C250" s="1930"/>
      <c r="D250" s="860" t="s">
        <v>11</v>
      </c>
      <c r="E250" s="1480" t="s">
        <v>1651</v>
      </c>
      <c r="F250" s="832"/>
      <c r="G250" s="1931"/>
      <c r="H250" s="1931"/>
      <c r="I250" s="837"/>
      <c r="J250" s="1059"/>
      <c r="K250" s="1120"/>
      <c r="L250" s="1521" t="n">
        <v>427.03</v>
      </c>
      <c r="M250" s="866" t="n">
        <v>30</v>
      </c>
      <c r="N250" s="866" t="n">
        <f aca="false">M250/H249</f>
        <v>3</v>
      </c>
      <c r="O250" s="543" t="s">
        <v>369</v>
      </c>
      <c r="P250" s="1934"/>
      <c r="Q250" s="1934"/>
      <c r="R250" s="1935"/>
    </row>
    <row r="251" customFormat="false" ht="14.25" hidden="false" customHeight="false" outlineLevel="0" collapsed="false">
      <c r="A251" s="882"/>
      <c r="B251" s="883"/>
      <c r="C251" s="1930"/>
      <c r="D251" s="843" t="s">
        <v>11</v>
      </c>
      <c r="E251" s="1357" t="s">
        <v>1651</v>
      </c>
      <c r="F251" s="832"/>
      <c r="G251" s="1931"/>
      <c r="H251" s="1931"/>
      <c r="I251" s="837"/>
      <c r="J251" s="1059"/>
      <c r="K251" s="1120"/>
      <c r="L251" s="1362" t="n">
        <v>996.401</v>
      </c>
      <c r="M251" s="846" t="n">
        <v>70</v>
      </c>
      <c r="N251" s="846" t="n">
        <f aca="false">M251/H249</f>
        <v>7</v>
      </c>
      <c r="O251" s="589" t="n">
        <v>86957</v>
      </c>
      <c r="P251" s="1934"/>
      <c r="Q251" s="1934"/>
      <c r="R251" s="1935"/>
    </row>
    <row r="252" customFormat="false" ht="14.25" hidden="false" customHeight="false" outlineLevel="0" collapsed="false">
      <c r="A252" s="903" t="n">
        <v>197</v>
      </c>
      <c r="B252" s="903" t="n">
        <v>2024</v>
      </c>
      <c r="C252" s="1939" t="n">
        <v>45809</v>
      </c>
      <c r="D252" s="904" t="s">
        <v>11</v>
      </c>
      <c r="E252" s="1351" t="s">
        <v>1651</v>
      </c>
      <c r="F252" s="904" t="s">
        <v>3374</v>
      </c>
      <c r="G252" s="1940" t="n">
        <v>20</v>
      </c>
      <c r="H252" s="1940" t="n">
        <v>10</v>
      </c>
      <c r="I252" s="1355" t="n">
        <f aca="false">G252*H252</f>
        <v>200</v>
      </c>
      <c r="J252" s="1406" t="n">
        <v>14.2343</v>
      </c>
      <c r="K252" s="1373" t="n">
        <f aca="false">I252*J252</f>
        <v>2846.86</v>
      </c>
      <c r="L252" s="1355" t="n">
        <v>2846.86</v>
      </c>
      <c r="M252" s="891" t="n">
        <v>200</v>
      </c>
      <c r="N252" s="891" t="n">
        <f aca="false">M252/H252</f>
        <v>20</v>
      </c>
      <c r="O252" s="942" t="n">
        <v>86953</v>
      </c>
      <c r="P252" s="2003" t="n">
        <f aca="false">K252-L252</f>
        <v>0</v>
      </c>
      <c r="Q252" s="1945" t="n">
        <f aca="false">I252-M252</f>
        <v>0</v>
      </c>
      <c r="R252" s="1946" t="n">
        <f aca="false">G252-N252</f>
        <v>0</v>
      </c>
    </row>
    <row r="253" customFormat="false" ht="14.25" hidden="false" customHeight="false" outlineLevel="0" collapsed="false">
      <c r="A253" s="829" t="n">
        <v>202</v>
      </c>
      <c r="B253" s="830" t="n">
        <v>2024</v>
      </c>
      <c r="C253" s="1930" t="n">
        <v>45839</v>
      </c>
      <c r="D253" s="831" t="s">
        <v>11</v>
      </c>
      <c r="E253" s="1365" t="s">
        <v>1651</v>
      </c>
      <c r="F253" s="832" t="s">
        <v>3364</v>
      </c>
      <c r="G253" s="1931" t="n">
        <v>28</v>
      </c>
      <c r="H253" s="1931" t="n">
        <v>15</v>
      </c>
      <c r="I253" s="837" t="n">
        <f aca="false">G253*H253</f>
        <v>420</v>
      </c>
      <c r="J253" s="1059" t="n">
        <v>16.6744</v>
      </c>
      <c r="K253" s="1120" t="n">
        <f aca="false">I253*J253</f>
        <v>7003.248</v>
      </c>
      <c r="L253" s="1681" t="n">
        <v>750.348</v>
      </c>
      <c r="M253" s="840" t="n">
        <v>45</v>
      </c>
      <c r="N253" s="886" t="n">
        <f aca="false">M253/H253</f>
        <v>3</v>
      </c>
      <c r="O253" s="1114" t="s">
        <v>362</v>
      </c>
      <c r="P253" s="1982" t="n">
        <f aca="false">K253-L253-L257-L254-L256-L255</f>
        <v>0</v>
      </c>
      <c r="Q253" s="1934" t="n">
        <f aca="false">I253-M253-M257-M254-M256-M255</f>
        <v>0</v>
      </c>
      <c r="R253" s="1935" t="n">
        <f aca="false">G253-N253-N257-N254-N256-N255</f>
        <v>0</v>
      </c>
    </row>
    <row r="254" customFormat="false" ht="14.25" hidden="false" customHeight="false" outlineLevel="0" collapsed="false">
      <c r="A254" s="829"/>
      <c r="B254" s="830"/>
      <c r="C254" s="1930"/>
      <c r="D254" s="860" t="s">
        <v>11</v>
      </c>
      <c r="E254" s="1480" t="s">
        <v>1651</v>
      </c>
      <c r="F254" s="832"/>
      <c r="G254" s="1931"/>
      <c r="H254" s="1931"/>
      <c r="I254" s="837"/>
      <c r="J254" s="1059"/>
      <c r="K254" s="1120"/>
      <c r="L254" s="1679" t="n">
        <v>1000.464</v>
      </c>
      <c r="M254" s="866" t="n">
        <v>60</v>
      </c>
      <c r="N254" s="866" t="n">
        <f aca="false">M254/H253</f>
        <v>4</v>
      </c>
      <c r="O254" s="543" t="s">
        <v>378</v>
      </c>
      <c r="P254" s="1982"/>
      <c r="Q254" s="1934"/>
      <c r="R254" s="1935"/>
    </row>
    <row r="255" customFormat="false" ht="14.25" hidden="false" customHeight="false" outlineLevel="0" collapsed="false">
      <c r="A255" s="829"/>
      <c r="B255" s="830"/>
      <c r="C255" s="1930"/>
      <c r="D255" s="860" t="s">
        <v>11</v>
      </c>
      <c r="E255" s="1480" t="s">
        <v>1651</v>
      </c>
      <c r="F255" s="832"/>
      <c r="G255" s="1931"/>
      <c r="H255" s="1931"/>
      <c r="I255" s="837"/>
      <c r="J255" s="1059"/>
      <c r="K255" s="1120"/>
      <c r="L255" s="1679" t="n">
        <v>3001.392</v>
      </c>
      <c r="M255" s="866" t="n">
        <v>180</v>
      </c>
      <c r="N255" s="866" t="n">
        <f aca="false">M255/H253</f>
        <v>12</v>
      </c>
      <c r="O255" s="543" t="s">
        <v>3402</v>
      </c>
      <c r="P255" s="1982"/>
      <c r="Q255" s="1934"/>
      <c r="R255" s="1935"/>
    </row>
    <row r="256" customFormat="false" ht="14.25" hidden="false" customHeight="false" outlineLevel="0" collapsed="false">
      <c r="A256" s="829"/>
      <c r="B256" s="830"/>
      <c r="C256" s="1930"/>
      <c r="D256" s="860" t="s">
        <v>11</v>
      </c>
      <c r="E256" s="1480" t="s">
        <v>1651</v>
      </c>
      <c r="F256" s="832"/>
      <c r="G256" s="1931"/>
      <c r="H256" s="1931"/>
      <c r="I256" s="837"/>
      <c r="J256" s="1059"/>
      <c r="K256" s="1120"/>
      <c r="L256" s="1679" t="n">
        <v>500.232</v>
      </c>
      <c r="M256" s="866" t="n">
        <v>30</v>
      </c>
      <c r="N256" s="866" t="n">
        <f aca="false">M256/H253</f>
        <v>2</v>
      </c>
      <c r="O256" s="543" t="s">
        <v>382</v>
      </c>
      <c r="P256" s="1982"/>
      <c r="Q256" s="1934"/>
      <c r="R256" s="1935"/>
    </row>
    <row r="257" customFormat="false" ht="14.25" hidden="false" customHeight="false" outlineLevel="0" collapsed="false">
      <c r="A257" s="829"/>
      <c r="B257" s="830"/>
      <c r="C257" s="1930"/>
      <c r="D257" s="843" t="s">
        <v>11</v>
      </c>
      <c r="E257" s="1357" t="s">
        <v>1651</v>
      </c>
      <c r="F257" s="832"/>
      <c r="G257" s="1931"/>
      <c r="H257" s="1931"/>
      <c r="I257" s="837"/>
      <c r="J257" s="1059"/>
      <c r="K257" s="1120"/>
      <c r="L257" s="1682" t="n">
        <v>1750.812</v>
      </c>
      <c r="M257" s="846" t="n">
        <v>105</v>
      </c>
      <c r="N257" s="846" t="n">
        <f aca="false">M257/H253</f>
        <v>7</v>
      </c>
      <c r="O257" s="589" t="s">
        <v>376</v>
      </c>
      <c r="P257" s="1982"/>
      <c r="Q257" s="1934"/>
      <c r="R257" s="1935"/>
    </row>
    <row r="258" customFormat="false" ht="14.25" hidden="false" customHeight="false" outlineLevel="0" collapsed="false">
      <c r="A258" s="1609" t="n">
        <v>219</v>
      </c>
      <c r="B258" s="1610" t="n">
        <v>2024</v>
      </c>
      <c r="C258" s="1939" t="n">
        <v>45839</v>
      </c>
      <c r="D258" s="904" t="s">
        <v>11</v>
      </c>
      <c r="E258" s="1351" t="s">
        <v>1651</v>
      </c>
      <c r="F258" s="904" t="s">
        <v>3367</v>
      </c>
      <c r="G258" s="1940" t="n">
        <v>247</v>
      </c>
      <c r="H258" s="1940" t="n">
        <v>10</v>
      </c>
      <c r="I258" s="942" t="n">
        <f aca="false">G258*H258</f>
        <v>2470</v>
      </c>
      <c r="J258" s="1406" t="n">
        <v>19.2985</v>
      </c>
      <c r="K258" s="941" t="n">
        <f aca="false">I258*J258</f>
        <v>47667.295</v>
      </c>
      <c r="L258" s="2002" t="n">
        <v>9070.295</v>
      </c>
      <c r="M258" s="891" t="n">
        <v>470</v>
      </c>
      <c r="N258" s="854" t="n">
        <f aca="false">M258/H258</f>
        <v>47</v>
      </c>
      <c r="O258" s="942" t="s">
        <v>369</v>
      </c>
      <c r="P258" s="2004" t="n">
        <f aca="false">K258-L258-L259</f>
        <v>0</v>
      </c>
      <c r="Q258" s="2000" t="n">
        <f aca="false">I258-M258-M259</f>
        <v>0</v>
      </c>
      <c r="R258" s="2005" t="n">
        <f aca="false">G258-N258-N259</f>
        <v>0</v>
      </c>
    </row>
    <row r="259" customFormat="false" ht="14.25" hidden="false" customHeight="false" outlineLevel="0" collapsed="false">
      <c r="A259" s="1609"/>
      <c r="B259" s="1610"/>
      <c r="C259" s="1939"/>
      <c r="D259" s="871" t="s">
        <v>11</v>
      </c>
      <c r="E259" s="1478" t="s">
        <v>1651</v>
      </c>
      <c r="F259" s="904"/>
      <c r="G259" s="1940"/>
      <c r="H259" s="1940"/>
      <c r="I259" s="942"/>
      <c r="J259" s="1406"/>
      <c r="K259" s="941"/>
      <c r="L259" s="1680" t="n">
        <v>38597</v>
      </c>
      <c r="M259" s="877" t="n">
        <v>2000</v>
      </c>
      <c r="N259" s="877" t="n">
        <f aca="false">M259/H258</f>
        <v>200</v>
      </c>
      <c r="O259" s="553" t="s">
        <v>370</v>
      </c>
      <c r="P259" s="2004"/>
      <c r="Q259" s="2000"/>
      <c r="R259" s="2005"/>
    </row>
    <row r="260" customFormat="false" ht="14.25" hidden="false" customHeight="false" outlineLevel="0" collapsed="false">
      <c r="A260" s="882" t="n">
        <v>220</v>
      </c>
      <c r="B260" s="883" t="n">
        <v>2024</v>
      </c>
      <c r="C260" s="1930" t="n">
        <v>45839</v>
      </c>
      <c r="D260" s="831" t="s">
        <v>11</v>
      </c>
      <c r="E260" s="1365" t="s">
        <v>1651</v>
      </c>
      <c r="F260" s="832" t="s">
        <v>3364</v>
      </c>
      <c r="G260" s="1931" t="n">
        <v>34</v>
      </c>
      <c r="H260" s="1931" t="n">
        <v>10</v>
      </c>
      <c r="I260" s="837" t="n">
        <f aca="false">G260*H260</f>
        <v>340</v>
      </c>
      <c r="J260" s="1059" t="n">
        <v>20.831</v>
      </c>
      <c r="K260" s="1120" t="n">
        <f aca="false">I260*J260</f>
        <v>7082.54</v>
      </c>
      <c r="L260" s="1681" t="n">
        <v>4166.2</v>
      </c>
      <c r="M260" s="840" t="n">
        <v>200</v>
      </c>
      <c r="N260" s="886" t="n">
        <f aca="false">M260/H260</f>
        <v>20</v>
      </c>
      <c r="O260" s="1114" t="s">
        <v>373</v>
      </c>
      <c r="P260" s="1982" t="n">
        <f aca="false">K260-L260-L262-L261</f>
        <v>0</v>
      </c>
      <c r="Q260" s="1934" t="n">
        <f aca="false">I260-M260-M262-M261</f>
        <v>0</v>
      </c>
      <c r="R260" s="1935" t="n">
        <f aca="false">G260-N260-N262-N261</f>
        <v>0</v>
      </c>
    </row>
    <row r="261" customFormat="false" ht="14.25" hidden="false" customHeight="false" outlineLevel="0" collapsed="false">
      <c r="A261" s="882"/>
      <c r="B261" s="883"/>
      <c r="C261" s="1930"/>
      <c r="D261" s="904" t="s">
        <v>11</v>
      </c>
      <c r="E261" s="1351" t="s">
        <v>1651</v>
      </c>
      <c r="F261" s="832"/>
      <c r="G261" s="1931"/>
      <c r="H261" s="1931"/>
      <c r="I261" s="837"/>
      <c r="J261" s="1059"/>
      <c r="K261" s="1120"/>
      <c r="L261" s="2002" t="n">
        <v>833.24</v>
      </c>
      <c r="M261" s="891" t="n">
        <v>40</v>
      </c>
      <c r="N261" s="866" t="n">
        <f aca="false">M261/H260</f>
        <v>4</v>
      </c>
      <c r="O261" s="942" t="s">
        <v>379</v>
      </c>
      <c r="P261" s="1982"/>
      <c r="Q261" s="1934"/>
      <c r="R261" s="1935"/>
    </row>
    <row r="262" customFormat="false" ht="14.25" hidden="false" customHeight="false" outlineLevel="0" collapsed="false">
      <c r="A262" s="882"/>
      <c r="B262" s="883"/>
      <c r="C262" s="1930"/>
      <c r="D262" s="843" t="s">
        <v>11</v>
      </c>
      <c r="E262" s="1357" t="s">
        <v>1651</v>
      </c>
      <c r="F262" s="832"/>
      <c r="G262" s="1931"/>
      <c r="H262" s="1931"/>
      <c r="I262" s="837"/>
      <c r="J262" s="1059"/>
      <c r="K262" s="1120"/>
      <c r="L262" s="1682" t="n">
        <v>2083.1</v>
      </c>
      <c r="M262" s="846" t="n">
        <v>100</v>
      </c>
      <c r="N262" s="846" t="n">
        <f aca="false">M262/H260</f>
        <v>10</v>
      </c>
      <c r="O262" s="589" t="s">
        <v>374</v>
      </c>
      <c r="P262" s="1982"/>
      <c r="Q262" s="1934"/>
      <c r="R262" s="1935"/>
    </row>
    <row r="263" customFormat="false" ht="14.25" hidden="false" customHeight="false" outlineLevel="0" collapsed="false">
      <c r="A263" s="903" t="n">
        <v>240</v>
      </c>
      <c r="B263" s="903" t="n">
        <v>2024</v>
      </c>
      <c r="C263" s="1939" t="n">
        <v>45839</v>
      </c>
      <c r="D263" s="904" t="s">
        <v>11</v>
      </c>
      <c r="E263" s="1351" t="s">
        <v>1651</v>
      </c>
      <c r="F263" s="904" t="s">
        <v>3375</v>
      </c>
      <c r="G263" s="1940" t="n">
        <v>125</v>
      </c>
      <c r="H263" s="1940" t="n">
        <v>15</v>
      </c>
      <c r="I263" s="1355" t="n">
        <f aca="false">G263*H263</f>
        <v>1875</v>
      </c>
      <c r="J263" s="1406" t="n">
        <v>15.0485</v>
      </c>
      <c r="K263" s="1942" t="n">
        <f aca="false">I263*J263</f>
        <v>28215.9375</v>
      </c>
      <c r="L263" s="2002" t="n">
        <v>28215.9375</v>
      </c>
      <c r="M263" s="891" t="n">
        <v>1875</v>
      </c>
      <c r="N263" s="891" t="n">
        <f aca="false">M263/H263</f>
        <v>125</v>
      </c>
      <c r="O263" s="942" t="s">
        <v>392</v>
      </c>
      <c r="P263" s="1947" t="n">
        <f aca="false">K263-L263</f>
        <v>0</v>
      </c>
      <c r="Q263" s="1945" t="n">
        <f aca="false">I263-M263</f>
        <v>0</v>
      </c>
      <c r="R263" s="1946" t="n">
        <f aca="false">G263-N263</f>
        <v>0</v>
      </c>
    </row>
    <row r="264" customFormat="false" ht="14.25" hidden="false" customHeight="false" outlineLevel="0" collapsed="false">
      <c r="A264" s="1027" t="n">
        <v>241</v>
      </c>
      <c r="B264" s="1028" t="n">
        <v>2024</v>
      </c>
      <c r="C264" s="2006" t="n">
        <v>45839</v>
      </c>
      <c r="D264" s="831" t="s">
        <v>11</v>
      </c>
      <c r="E264" s="1365" t="s">
        <v>1651</v>
      </c>
      <c r="F264" s="1328" t="s">
        <v>3364</v>
      </c>
      <c r="G264" s="1976" t="n">
        <v>31</v>
      </c>
      <c r="H264" s="1976" t="n">
        <v>10</v>
      </c>
      <c r="I264" s="1036" t="n">
        <f aca="false">G264*H264</f>
        <v>310</v>
      </c>
      <c r="J264" s="1557" t="n">
        <v>15.0485</v>
      </c>
      <c r="K264" s="1547" t="n">
        <f aca="false">I264*J264</f>
        <v>4665.035</v>
      </c>
      <c r="L264" s="1681" t="n">
        <v>1504.85</v>
      </c>
      <c r="M264" s="840" t="n">
        <v>100</v>
      </c>
      <c r="N264" s="886" t="n">
        <f aca="false">M264/H264</f>
        <v>10</v>
      </c>
      <c r="O264" s="1114" t="s">
        <v>377</v>
      </c>
      <c r="P264" s="1984" t="n">
        <f aca="false">K264-L264-L266-L265</f>
        <v>0</v>
      </c>
      <c r="Q264" s="1978" t="n">
        <f aca="false">I264-M264-M266-M265</f>
        <v>0</v>
      </c>
      <c r="R264" s="1979" t="n">
        <f aca="false">G264-N264-N266-N265</f>
        <v>0</v>
      </c>
    </row>
    <row r="265" customFormat="false" ht="14.25" hidden="false" customHeight="false" outlineLevel="0" collapsed="false">
      <c r="A265" s="1027"/>
      <c r="B265" s="1028"/>
      <c r="C265" s="2006"/>
      <c r="D265" s="904" t="s">
        <v>11</v>
      </c>
      <c r="E265" s="1351" t="s">
        <v>1651</v>
      </c>
      <c r="F265" s="1328"/>
      <c r="G265" s="1976"/>
      <c r="H265" s="1976"/>
      <c r="I265" s="1036"/>
      <c r="J265" s="1557"/>
      <c r="K265" s="1547"/>
      <c r="L265" s="2002" t="n">
        <v>3009.7</v>
      </c>
      <c r="M265" s="891" t="n">
        <v>200</v>
      </c>
      <c r="N265" s="866" t="n">
        <f aca="false">M265/H264</f>
        <v>20</v>
      </c>
      <c r="O265" s="942" t="s">
        <v>380</v>
      </c>
      <c r="P265" s="1984"/>
      <c r="Q265" s="1978"/>
      <c r="R265" s="1979"/>
    </row>
    <row r="266" customFormat="false" ht="14.25" hidden="false" customHeight="false" outlineLevel="0" collapsed="false">
      <c r="A266" s="1027"/>
      <c r="B266" s="1028"/>
      <c r="C266" s="2006"/>
      <c r="D266" s="871" t="s">
        <v>11</v>
      </c>
      <c r="E266" s="1478" t="s">
        <v>1651</v>
      </c>
      <c r="F266" s="1328"/>
      <c r="G266" s="1976"/>
      <c r="H266" s="1976"/>
      <c r="I266" s="1036"/>
      <c r="J266" s="1557"/>
      <c r="K266" s="1547"/>
      <c r="L266" s="1680" t="n">
        <v>150.485</v>
      </c>
      <c r="M266" s="877" t="n">
        <v>10</v>
      </c>
      <c r="N266" s="877" t="n">
        <f aca="false">M266/H264</f>
        <v>1</v>
      </c>
      <c r="O266" s="553" t="s">
        <v>379</v>
      </c>
      <c r="P266" s="1984"/>
      <c r="Q266" s="1978"/>
      <c r="R266" s="1979"/>
    </row>
    <row r="267" customFormat="false" ht="14.25" hidden="false" customHeight="false" outlineLevel="0" collapsed="false">
      <c r="A267" s="829" t="n">
        <v>242</v>
      </c>
      <c r="B267" s="830" t="n">
        <v>2024</v>
      </c>
      <c r="C267" s="1930" t="n">
        <v>45839</v>
      </c>
      <c r="D267" s="831" t="s">
        <v>11</v>
      </c>
      <c r="E267" s="1365" t="s">
        <v>1651</v>
      </c>
      <c r="F267" s="832" t="s">
        <v>3364</v>
      </c>
      <c r="G267" s="1931" t="n">
        <v>200</v>
      </c>
      <c r="H267" s="1931" t="n">
        <v>15</v>
      </c>
      <c r="I267" s="837" t="n">
        <f aca="false">G267*H267</f>
        <v>3000</v>
      </c>
      <c r="J267" s="1059" t="n">
        <v>15.0485</v>
      </c>
      <c r="K267" s="943" t="n">
        <f aca="false">I267*J267</f>
        <v>45145.5</v>
      </c>
      <c r="L267" s="1681" t="n">
        <v>7674.735</v>
      </c>
      <c r="M267" s="840" t="n">
        <v>510</v>
      </c>
      <c r="N267" s="886" t="n">
        <f aca="false">M267/H267</f>
        <v>34</v>
      </c>
      <c r="O267" s="1114" t="s">
        <v>390</v>
      </c>
      <c r="P267" s="1948" t="n">
        <f aca="false">K267-L267-L271-L268-L270-L269</f>
        <v>0</v>
      </c>
      <c r="Q267" s="1934" t="n">
        <f aca="false">I267-M267-M271-M268-M270-M269</f>
        <v>0</v>
      </c>
      <c r="R267" s="1935" t="n">
        <f aca="false">G267-N267-N271-N268-N270-N269</f>
        <v>0</v>
      </c>
    </row>
    <row r="268" customFormat="false" ht="14.25" hidden="false" customHeight="false" outlineLevel="0" collapsed="false">
      <c r="A268" s="829"/>
      <c r="B268" s="830"/>
      <c r="C268" s="1930"/>
      <c r="D268" s="860" t="s">
        <v>11</v>
      </c>
      <c r="E268" s="1480" t="s">
        <v>1651</v>
      </c>
      <c r="F268" s="832"/>
      <c r="G268" s="1931"/>
      <c r="H268" s="1931"/>
      <c r="I268" s="837"/>
      <c r="J268" s="1059"/>
      <c r="K268" s="943"/>
      <c r="L268" s="1679" t="n">
        <v>9932.01</v>
      </c>
      <c r="M268" s="866" t="n">
        <v>660</v>
      </c>
      <c r="N268" s="866" t="n">
        <f aca="false">M268/H267</f>
        <v>44</v>
      </c>
      <c r="O268" s="543" t="s">
        <v>3377</v>
      </c>
      <c r="P268" s="1948"/>
      <c r="Q268" s="1934"/>
      <c r="R268" s="1935"/>
    </row>
    <row r="269" customFormat="false" ht="14.25" hidden="false" customHeight="false" outlineLevel="0" collapsed="false">
      <c r="A269" s="829"/>
      <c r="B269" s="830"/>
      <c r="C269" s="1930"/>
      <c r="D269" s="860" t="s">
        <v>11</v>
      </c>
      <c r="E269" s="1480" t="s">
        <v>1651</v>
      </c>
      <c r="F269" s="832"/>
      <c r="G269" s="1931"/>
      <c r="H269" s="1931"/>
      <c r="I269" s="837"/>
      <c r="J269" s="1059"/>
      <c r="K269" s="943"/>
      <c r="L269" s="1679" t="n">
        <v>4514.55</v>
      </c>
      <c r="M269" s="866" t="n">
        <v>300</v>
      </c>
      <c r="N269" s="866" t="n">
        <f aca="false">M269/H267</f>
        <v>20</v>
      </c>
      <c r="O269" s="543" t="s">
        <v>415</v>
      </c>
      <c r="P269" s="1948"/>
      <c r="Q269" s="1934"/>
      <c r="R269" s="1935"/>
    </row>
    <row r="270" customFormat="false" ht="14.25" hidden="false" customHeight="false" outlineLevel="0" collapsed="false">
      <c r="A270" s="829"/>
      <c r="B270" s="830"/>
      <c r="C270" s="1930"/>
      <c r="D270" s="860" t="s">
        <v>11</v>
      </c>
      <c r="E270" s="1480" t="s">
        <v>1651</v>
      </c>
      <c r="F270" s="832"/>
      <c r="G270" s="1931"/>
      <c r="H270" s="1931"/>
      <c r="I270" s="837"/>
      <c r="J270" s="1059"/>
      <c r="K270" s="943"/>
      <c r="L270" s="1679" t="n">
        <v>451.455</v>
      </c>
      <c r="M270" s="866" t="n">
        <v>30</v>
      </c>
      <c r="N270" s="866" t="n">
        <f aca="false">M270/H267</f>
        <v>2</v>
      </c>
      <c r="O270" s="543" t="s">
        <v>413</v>
      </c>
      <c r="P270" s="1948"/>
      <c r="Q270" s="1934"/>
      <c r="R270" s="1935"/>
    </row>
    <row r="271" customFormat="false" ht="14.25" hidden="false" customHeight="false" outlineLevel="0" collapsed="false">
      <c r="A271" s="829"/>
      <c r="B271" s="830"/>
      <c r="C271" s="1930"/>
      <c r="D271" s="843" t="s">
        <v>11</v>
      </c>
      <c r="E271" s="1357" t="s">
        <v>1651</v>
      </c>
      <c r="F271" s="832"/>
      <c r="G271" s="1931"/>
      <c r="H271" s="1931"/>
      <c r="I271" s="837"/>
      <c r="J271" s="1059"/>
      <c r="K271" s="943"/>
      <c r="L271" s="1682" t="n">
        <v>22572.75</v>
      </c>
      <c r="M271" s="846" t="n">
        <v>1500</v>
      </c>
      <c r="N271" s="846" t="n">
        <f aca="false">M271/H267</f>
        <v>100</v>
      </c>
      <c r="O271" s="589" t="s">
        <v>404</v>
      </c>
      <c r="P271" s="1948"/>
      <c r="Q271" s="1934"/>
      <c r="R271" s="1935"/>
    </row>
    <row r="272" customFormat="false" ht="14.25" hidden="false" customHeight="false" outlineLevel="0" collapsed="false">
      <c r="A272" s="1087" t="n">
        <v>243</v>
      </c>
      <c r="B272" s="1061" t="n">
        <v>2024</v>
      </c>
      <c r="C272" s="1949" t="n">
        <v>45839</v>
      </c>
      <c r="D272" s="848" t="s">
        <v>11</v>
      </c>
      <c r="E272" s="1479" t="s">
        <v>1651</v>
      </c>
      <c r="F272" s="887" t="s">
        <v>3364</v>
      </c>
      <c r="G272" s="1950" t="n">
        <v>366</v>
      </c>
      <c r="H272" s="1950" t="n">
        <v>15</v>
      </c>
      <c r="I272" s="1067" t="n">
        <f aca="false">G272*H272</f>
        <v>5490</v>
      </c>
      <c r="J272" s="1063" t="n">
        <v>15.117</v>
      </c>
      <c r="K272" s="1452" t="n">
        <f aca="false">I272*J272</f>
        <v>82992.33</v>
      </c>
      <c r="L272" s="2002" t="n">
        <v>3854.835</v>
      </c>
      <c r="M272" s="891" t="n">
        <v>255</v>
      </c>
      <c r="N272" s="891" t="n">
        <f aca="false">M272/H272</f>
        <v>17</v>
      </c>
      <c r="O272" s="942" t="s">
        <v>381</v>
      </c>
      <c r="P272" s="1952" t="n">
        <f aca="false">K272-L272-L278-L277-L273-L274-L275-L276</f>
        <v>0</v>
      </c>
      <c r="Q272" s="1953" t="n">
        <f aca="false">I272-M272-M278-M277-M273-M274-M275-M276</f>
        <v>0</v>
      </c>
      <c r="R272" s="1954" t="n">
        <f aca="false">G272-N272-N278-N277-N273-N274-N275-N276</f>
        <v>0</v>
      </c>
    </row>
    <row r="273" customFormat="false" ht="14.25" hidden="false" customHeight="false" outlineLevel="0" collapsed="false">
      <c r="A273" s="1087"/>
      <c r="B273" s="1061"/>
      <c r="C273" s="1949"/>
      <c r="D273" s="860" t="s">
        <v>11</v>
      </c>
      <c r="E273" s="1480" t="s">
        <v>1651</v>
      </c>
      <c r="F273" s="887"/>
      <c r="G273" s="1950"/>
      <c r="H273" s="1950"/>
      <c r="I273" s="1067"/>
      <c r="J273" s="1063"/>
      <c r="K273" s="1452"/>
      <c r="L273" s="1679" t="n">
        <v>49432.59</v>
      </c>
      <c r="M273" s="866" t="n">
        <v>3270</v>
      </c>
      <c r="N273" s="866" t="n">
        <f aca="false">M273/H272</f>
        <v>218</v>
      </c>
      <c r="O273" s="543" t="s">
        <v>3402</v>
      </c>
      <c r="P273" s="1952"/>
      <c r="Q273" s="1953"/>
      <c r="R273" s="1954"/>
    </row>
    <row r="274" customFormat="false" ht="14.25" hidden="false" customHeight="false" outlineLevel="0" collapsed="false">
      <c r="A274" s="1087"/>
      <c r="B274" s="1061"/>
      <c r="C274" s="1949"/>
      <c r="D274" s="860" t="s">
        <v>11</v>
      </c>
      <c r="E274" s="1480" t="s">
        <v>1651</v>
      </c>
      <c r="F274" s="887"/>
      <c r="G274" s="1950"/>
      <c r="H274" s="1950"/>
      <c r="I274" s="1067"/>
      <c r="J274" s="1063"/>
      <c r="K274" s="1452"/>
      <c r="L274" s="1679" t="n">
        <v>2947.815</v>
      </c>
      <c r="M274" s="866" t="n">
        <v>195</v>
      </c>
      <c r="N274" s="866" t="n">
        <f aca="false">M274/H272</f>
        <v>13</v>
      </c>
      <c r="O274" s="543" t="s">
        <v>390</v>
      </c>
      <c r="P274" s="1952"/>
      <c r="Q274" s="1953"/>
      <c r="R274" s="1954"/>
    </row>
    <row r="275" customFormat="false" ht="14.25" hidden="false" customHeight="false" outlineLevel="0" collapsed="false">
      <c r="A275" s="1087"/>
      <c r="B275" s="1061"/>
      <c r="C275" s="1949"/>
      <c r="D275" s="860" t="s">
        <v>11</v>
      </c>
      <c r="E275" s="1480" t="s">
        <v>1651</v>
      </c>
      <c r="F275" s="887"/>
      <c r="G275" s="1950"/>
      <c r="H275" s="1950"/>
      <c r="I275" s="1067"/>
      <c r="J275" s="1063"/>
      <c r="K275" s="1452"/>
      <c r="L275" s="1679" t="n">
        <v>9070.2</v>
      </c>
      <c r="M275" s="866" t="n">
        <v>600</v>
      </c>
      <c r="N275" s="866" t="n">
        <f aca="false">M275/H272</f>
        <v>40</v>
      </c>
      <c r="O275" s="543" t="s">
        <v>392</v>
      </c>
      <c r="P275" s="1952"/>
      <c r="Q275" s="1953"/>
      <c r="R275" s="1954"/>
    </row>
    <row r="276" customFormat="false" ht="14.25" hidden="false" customHeight="false" outlineLevel="0" collapsed="false">
      <c r="A276" s="1087"/>
      <c r="B276" s="1061"/>
      <c r="C276" s="1949"/>
      <c r="D276" s="860" t="s">
        <v>11</v>
      </c>
      <c r="E276" s="1480" t="s">
        <v>1651</v>
      </c>
      <c r="F276" s="887"/>
      <c r="G276" s="1950"/>
      <c r="H276" s="1950"/>
      <c r="I276" s="1067"/>
      <c r="J276" s="1063"/>
      <c r="K276" s="1452"/>
      <c r="L276" s="1679" t="n">
        <v>7709.67</v>
      </c>
      <c r="M276" s="866" t="n">
        <v>510</v>
      </c>
      <c r="N276" s="866" t="n">
        <f aca="false">M276/H272</f>
        <v>34</v>
      </c>
      <c r="O276" s="543" t="s">
        <v>392</v>
      </c>
      <c r="P276" s="1952"/>
      <c r="Q276" s="1953"/>
      <c r="R276" s="1954"/>
    </row>
    <row r="277" customFormat="false" ht="14.25" hidden="false" customHeight="false" outlineLevel="0" collapsed="false">
      <c r="A277" s="1087"/>
      <c r="B277" s="1061"/>
      <c r="C277" s="1949"/>
      <c r="D277" s="860" t="s">
        <v>11</v>
      </c>
      <c r="E277" s="1480" t="s">
        <v>1651</v>
      </c>
      <c r="F277" s="887"/>
      <c r="G277" s="1950"/>
      <c r="H277" s="1950"/>
      <c r="I277" s="1067"/>
      <c r="J277" s="1063"/>
      <c r="K277" s="1452"/>
      <c r="L277" s="1679" t="n">
        <v>2267.55</v>
      </c>
      <c r="M277" s="866" t="n">
        <v>150</v>
      </c>
      <c r="N277" s="866" t="n">
        <f aca="false">M277/H272</f>
        <v>10</v>
      </c>
      <c r="O277" s="543" t="s">
        <v>388</v>
      </c>
      <c r="P277" s="1952"/>
      <c r="Q277" s="1953"/>
      <c r="R277" s="1954"/>
    </row>
    <row r="278" customFormat="false" ht="14.25" hidden="false" customHeight="false" outlineLevel="0" collapsed="false">
      <c r="A278" s="1087"/>
      <c r="B278" s="1061"/>
      <c r="C278" s="1949"/>
      <c r="D278" s="843" t="s">
        <v>11</v>
      </c>
      <c r="E278" s="1357" t="s">
        <v>1651</v>
      </c>
      <c r="F278" s="887"/>
      <c r="G278" s="1950"/>
      <c r="H278" s="1950"/>
      <c r="I278" s="1067"/>
      <c r="J278" s="1063"/>
      <c r="K278" s="1452"/>
      <c r="L278" s="1682" t="n">
        <v>7709.67</v>
      </c>
      <c r="M278" s="846" t="n">
        <v>510</v>
      </c>
      <c r="N278" s="890" t="n">
        <f aca="false">M278/H272</f>
        <v>34</v>
      </c>
      <c r="O278" s="589" t="s">
        <v>387</v>
      </c>
      <c r="P278" s="1952"/>
      <c r="Q278" s="1953"/>
      <c r="R278" s="1954"/>
    </row>
    <row r="279" customFormat="false" ht="14.25" hidden="false" customHeight="false" outlineLevel="0" collapsed="false">
      <c r="A279" s="829" t="n">
        <v>273</v>
      </c>
      <c r="B279" s="883" t="n">
        <v>2024</v>
      </c>
      <c r="C279" s="1930" t="n">
        <v>45870</v>
      </c>
      <c r="D279" s="831" t="s">
        <v>11</v>
      </c>
      <c r="E279" s="1365" t="s">
        <v>1651</v>
      </c>
      <c r="F279" s="832" t="s">
        <v>3364</v>
      </c>
      <c r="G279" s="1931" t="n">
        <v>617</v>
      </c>
      <c r="H279" s="1931" t="n">
        <v>15</v>
      </c>
      <c r="I279" s="837" t="n">
        <f aca="false">G279*H279</f>
        <v>9255</v>
      </c>
      <c r="J279" s="1059" t="n">
        <v>11.5176</v>
      </c>
      <c r="K279" s="943" t="n">
        <f aca="false">I279*J279</f>
        <v>106595.388</v>
      </c>
      <c r="L279" s="2007" t="n">
        <v>19004.04</v>
      </c>
      <c r="M279" s="886" t="n">
        <v>1650</v>
      </c>
      <c r="N279" s="886" t="n">
        <f aca="false">M279/H279</f>
        <v>110</v>
      </c>
      <c r="O279" s="1036" t="s">
        <v>3403</v>
      </c>
      <c r="P279" s="1934" t="n">
        <f aca="false">K279-L279-L287-L286-L280-L281-L285-L282-L284-L283</f>
        <v>-7.27595761418343E-012</v>
      </c>
      <c r="Q279" s="1934" t="n">
        <f aca="false">I279-M279-M287-M286-M280-M281-M285-M282-M284-M283</f>
        <v>0</v>
      </c>
      <c r="R279" s="1935" t="n">
        <f aca="false">G279-N279-N287-N286-N280-N281-N285-N282-N284-N283</f>
        <v>0</v>
      </c>
    </row>
    <row r="280" customFormat="false" ht="14.25" hidden="false" customHeight="false" outlineLevel="0" collapsed="false">
      <c r="A280" s="829"/>
      <c r="B280" s="883"/>
      <c r="C280" s="1930"/>
      <c r="D280" s="848" t="s">
        <v>11</v>
      </c>
      <c r="E280" s="1479" t="s">
        <v>1651</v>
      </c>
      <c r="F280" s="832"/>
      <c r="G280" s="1931"/>
      <c r="H280" s="1931"/>
      <c r="I280" s="837"/>
      <c r="J280" s="1059"/>
      <c r="K280" s="943"/>
      <c r="L280" s="1679" t="n">
        <v>11575.188</v>
      </c>
      <c r="M280" s="866" t="n">
        <v>1005</v>
      </c>
      <c r="N280" s="866" t="n">
        <f aca="false">M280/H279</f>
        <v>67</v>
      </c>
      <c r="O280" s="543" t="s">
        <v>3377</v>
      </c>
      <c r="P280" s="1934"/>
      <c r="Q280" s="1934"/>
      <c r="R280" s="1935"/>
    </row>
    <row r="281" customFormat="false" ht="14.25" hidden="false" customHeight="false" outlineLevel="0" collapsed="false">
      <c r="A281" s="829"/>
      <c r="B281" s="883"/>
      <c r="C281" s="1930"/>
      <c r="D281" s="848" t="s">
        <v>11</v>
      </c>
      <c r="E281" s="1479" t="s">
        <v>1651</v>
      </c>
      <c r="F281" s="832"/>
      <c r="G281" s="1931"/>
      <c r="H281" s="1931"/>
      <c r="I281" s="837"/>
      <c r="J281" s="1059"/>
      <c r="K281" s="943"/>
      <c r="L281" s="1679" t="n">
        <v>11575.188</v>
      </c>
      <c r="M281" s="866" t="n">
        <v>1005</v>
      </c>
      <c r="N281" s="866" t="n">
        <f aca="false">M281/H279</f>
        <v>67</v>
      </c>
      <c r="O281" s="543" t="s">
        <v>3377</v>
      </c>
      <c r="P281" s="1934"/>
      <c r="Q281" s="1934"/>
      <c r="R281" s="1935"/>
    </row>
    <row r="282" customFormat="false" ht="14.25" hidden="false" customHeight="false" outlineLevel="0" collapsed="false">
      <c r="A282" s="829"/>
      <c r="B282" s="883"/>
      <c r="C282" s="1930"/>
      <c r="D282" s="848" t="s">
        <v>11</v>
      </c>
      <c r="E282" s="1479" t="s">
        <v>1651</v>
      </c>
      <c r="F282" s="832"/>
      <c r="G282" s="1931"/>
      <c r="H282" s="1931"/>
      <c r="I282" s="837"/>
      <c r="J282" s="1059"/>
      <c r="K282" s="943"/>
      <c r="L282" s="1679" t="n">
        <v>5528.448</v>
      </c>
      <c r="M282" s="866" t="n">
        <v>480</v>
      </c>
      <c r="N282" s="866" t="n">
        <f aca="false">M282/H279</f>
        <v>32</v>
      </c>
      <c r="O282" s="543" t="s">
        <v>413</v>
      </c>
      <c r="P282" s="1934"/>
      <c r="Q282" s="1934"/>
      <c r="R282" s="1935"/>
    </row>
    <row r="283" customFormat="false" ht="14.25" hidden="false" customHeight="false" outlineLevel="0" collapsed="false">
      <c r="A283" s="829"/>
      <c r="B283" s="883"/>
      <c r="C283" s="1930"/>
      <c r="D283" s="848" t="s">
        <v>11</v>
      </c>
      <c r="E283" s="1479" t="s">
        <v>1651</v>
      </c>
      <c r="F283" s="832"/>
      <c r="G283" s="1931"/>
      <c r="H283" s="1931"/>
      <c r="I283" s="837"/>
      <c r="J283" s="1059"/>
      <c r="K283" s="943"/>
      <c r="L283" s="1679" t="n">
        <v>-5528.448</v>
      </c>
      <c r="M283" s="866" t="n">
        <v>-480</v>
      </c>
      <c r="N283" s="866" t="n">
        <f aca="false">M283/H279</f>
        <v>-32</v>
      </c>
      <c r="O283" s="543" t="s">
        <v>1634</v>
      </c>
      <c r="P283" s="1934"/>
      <c r="Q283" s="1934"/>
      <c r="R283" s="1935"/>
    </row>
    <row r="284" customFormat="false" ht="14.25" hidden="false" customHeight="false" outlineLevel="0" collapsed="false">
      <c r="A284" s="829"/>
      <c r="B284" s="883"/>
      <c r="C284" s="1930"/>
      <c r="D284" s="848" t="s">
        <v>11</v>
      </c>
      <c r="E284" s="1479" t="s">
        <v>1651</v>
      </c>
      <c r="F284" s="832"/>
      <c r="G284" s="1931"/>
      <c r="H284" s="1931"/>
      <c r="I284" s="837"/>
      <c r="J284" s="1059"/>
      <c r="K284" s="943"/>
      <c r="L284" s="1679" t="n">
        <v>1554.876</v>
      </c>
      <c r="M284" s="866" t="n">
        <v>135</v>
      </c>
      <c r="N284" s="866" t="n">
        <f aca="false">M284/H279</f>
        <v>9</v>
      </c>
      <c r="O284" s="543" t="s">
        <v>416</v>
      </c>
      <c r="P284" s="1934"/>
      <c r="Q284" s="1934"/>
      <c r="R284" s="1935"/>
    </row>
    <row r="285" customFormat="false" ht="14.25" hidden="false" customHeight="false" outlineLevel="0" collapsed="false">
      <c r="A285" s="829"/>
      <c r="B285" s="883"/>
      <c r="C285" s="1930"/>
      <c r="D285" s="848" t="s">
        <v>11</v>
      </c>
      <c r="E285" s="1479" t="s">
        <v>1651</v>
      </c>
      <c r="F285" s="832"/>
      <c r="G285" s="1931"/>
      <c r="H285" s="1931"/>
      <c r="I285" s="837"/>
      <c r="J285" s="1059"/>
      <c r="K285" s="943"/>
      <c r="L285" s="1679" t="n">
        <v>11575.188</v>
      </c>
      <c r="M285" s="866" t="n">
        <v>1005</v>
      </c>
      <c r="N285" s="866" t="n">
        <f aca="false">M285/H279</f>
        <v>67</v>
      </c>
      <c r="O285" s="543" t="s">
        <v>3377</v>
      </c>
      <c r="P285" s="1934"/>
      <c r="Q285" s="1934"/>
      <c r="R285" s="1935"/>
    </row>
    <row r="286" customFormat="false" ht="14.25" hidden="false" customHeight="false" outlineLevel="0" collapsed="false">
      <c r="A286" s="829"/>
      <c r="B286" s="883"/>
      <c r="C286" s="1930"/>
      <c r="D286" s="860" t="s">
        <v>11</v>
      </c>
      <c r="E286" s="1480" t="s">
        <v>1651</v>
      </c>
      <c r="F286" s="832"/>
      <c r="G286" s="1931"/>
      <c r="H286" s="1931"/>
      <c r="I286" s="837"/>
      <c r="J286" s="1059"/>
      <c r="K286" s="943"/>
      <c r="L286" s="1679" t="n">
        <v>15548.76</v>
      </c>
      <c r="M286" s="866" t="n">
        <v>1350</v>
      </c>
      <c r="N286" s="866" t="n">
        <f aca="false">M286/H279</f>
        <v>90</v>
      </c>
      <c r="O286" s="543" t="s">
        <v>3377</v>
      </c>
      <c r="P286" s="1934"/>
      <c r="Q286" s="1934"/>
      <c r="R286" s="1935"/>
    </row>
    <row r="287" customFormat="false" ht="14.25" hidden="false" customHeight="false" outlineLevel="0" collapsed="false">
      <c r="A287" s="829"/>
      <c r="B287" s="883"/>
      <c r="C287" s="1930"/>
      <c r="D287" s="887" t="s">
        <v>11</v>
      </c>
      <c r="E287" s="1501" t="s">
        <v>1651</v>
      </c>
      <c r="F287" s="832"/>
      <c r="G287" s="1931"/>
      <c r="H287" s="1931"/>
      <c r="I287" s="837"/>
      <c r="J287" s="1059"/>
      <c r="K287" s="943"/>
      <c r="L287" s="1702" t="n">
        <v>35762.148</v>
      </c>
      <c r="M287" s="890" t="n">
        <v>3105</v>
      </c>
      <c r="N287" s="890" t="n">
        <f aca="false">M287/H279</f>
        <v>207</v>
      </c>
      <c r="O287" s="1067" t="s">
        <v>3404</v>
      </c>
      <c r="P287" s="1934"/>
      <c r="Q287" s="1934"/>
      <c r="R287" s="1935"/>
    </row>
    <row r="288" customFormat="false" ht="14.25" hidden="false" customHeight="false" outlineLevel="0" collapsed="false">
      <c r="A288" s="829" t="n">
        <v>291</v>
      </c>
      <c r="B288" s="830" t="n">
        <v>2024</v>
      </c>
      <c r="C288" s="1930" t="n">
        <v>45870</v>
      </c>
      <c r="D288" s="831" t="s">
        <v>11</v>
      </c>
      <c r="E288" s="1365" t="s">
        <v>1651</v>
      </c>
      <c r="F288" s="832" t="s">
        <v>3364</v>
      </c>
      <c r="G288" s="1931" t="n">
        <v>666</v>
      </c>
      <c r="H288" s="1931" t="n">
        <v>15</v>
      </c>
      <c r="I288" s="837" t="n">
        <f aca="false">G288*H288</f>
        <v>9990</v>
      </c>
      <c r="J288" s="1059" t="n">
        <v>11.9572</v>
      </c>
      <c r="K288" s="943" t="n">
        <f aca="false">I288*J288</f>
        <v>119452.428</v>
      </c>
      <c r="L288" s="2007" t="n">
        <v>23854.614</v>
      </c>
      <c r="M288" s="886" t="n">
        <v>1995</v>
      </c>
      <c r="N288" s="886" t="n">
        <f aca="false">M288/H288</f>
        <v>133</v>
      </c>
      <c r="O288" s="1036" t="s">
        <v>406</v>
      </c>
      <c r="P288" s="1934" t="n">
        <f aca="false">K288-L288-L295-L294-L289-L290-L293-L291-L292</f>
        <v>-2.00088834390044E-011</v>
      </c>
      <c r="Q288" s="1934" t="n">
        <f aca="false">I288-M288-M295-M294-M289-M290-M293-M291-M292</f>
        <v>0</v>
      </c>
      <c r="R288" s="1935" t="n">
        <f aca="false">G288-N288-N295-N294-N289-N290-N293-N291-N292</f>
        <v>0</v>
      </c>
    </row>
    <row r="289" customFormat="false" ht="14.25" hidden="false" customHeight="false" outlineLevel="0" collapsed="false">
      <c r="A289" s="829"/>
      <c r="B289" s="830"/>
      <c r="C289" s="1930"/>
      <c r="D289" s="848" t="s">
        <v>11</v>
      </c>
      <c r="E289" s="1479" t="s">
        <v>1651</v>
      </c>
      <c r="F289" s="832"/>
      <c r="G289" s="1931"/>
      <c r="H289" s="1931"/>
      <c r="I289" s="837"/>
      <c r="J289" s="1059"/>
      <c r="K289" s="943"/>
      <c r="L289" s="1679" t="n">
        <v>4663.308</v>
      </c>
      <c r="M289" s="866" t="n">
        <v>390</v>
      </c>
      <c r="N289" s="866" t="n">
        <f aca="false">M289/H288</f>
        <v>26</v>
      </c>
      <c r="O289" s="543" t="s">
        <v>419</v>
      </c>
      <c r="P289" s="1934"/>
      <c r="Q289" s="1934"/>
      <c r="R289" s="1935"/>
    </row>
    <row r="290" customFormat="false" ht="14.25" hidden="false" customHeight="false" outlineLevel="0" collapsed="false">
      <c r="A290" s="829"/>
      <c r="B290" s="830"/>
      <c r="C290" s="1930"/>
      <c r="D290" s="848" t="s">
        <v>11</v>
      </c>
      <c r="E290" s="1479" t="s">
        <v>1651</v>
      </c>
      <c r="F290" s="832"/>
      <c r="G290" s="1931"/>
      <c r="H290" s="1931"/>
      <c r="I290" s="837"/>
      <c r="J290" s="1059"/>
      <c r="K290" s="943"/>
      <c r="L290" s="1679" t="n">
        <v>47888.586</v>
      </c>
      <c r="M290" s="866" t="n">
        <v>4005</v>
      </c>
      <c r="N290" s="866" t="n">
        <f aca="false">M290/H288</f>
        <v>267</v>
      </c>
      <c r="O290" s="543" t="s">
        <v>422</v>
      </c>
      <c r="P290" s="1934"/>
      <c r="Q290" s="1934"/>
      <c r="R290" s="1935"/>
    </row>
    <row r="291" customFormat="false" ht="14.25" hidden="false" customHeight="false" outlineLevel="0" collapsed="false">
      <c r="A291" s="829"/>
      <c r="B291" s="830"/>
      <c r="C291" s="1930"/>
      <c r="D291" s="848" t="s">
        <v>11</v>
      </c>
      <c r="E291" s="1479" t="s">
        <v>1651</v>
      </c>
      <c r="F291" s="832"/>
      <c r="G291" s="1931"/>
      <c r="H291" s="1931"/>
      <c r="I291" s="837"/>
      <c r="J291" s="1059"/>
      <c r="K291" s="943"/>
      <c r="L291" s="1679" t="n">
        <v>12016.986</v>
      </c>
      <c r="M291" s="866" t="n">
        <v>1005</v>
      </c>
      <c r="N291" s="866" t="n">
        <f aca="false">M291/H288</f>
        <v>67</v>
      </c>
      <c r="O291" s="543" t="s">
        <v>442</v>
      </c>
      <c r="P291" s="1934"/>
      <c r="Q291" s="1934"/>
      <c r="R291" s="1935"/>
    </row>
    <row r="292" customFormat="false" ht="14.25" hidden="false" customHeight="false" outlineLevel="0" collapsed="false">
      <c r="A292" s="829"/>
      <c r="B292" s="830"/>
      <c r="C292" s="1930"/>
      <c r="D292" s="848" t="s">
        <v>11</v>
      </c>
      <c r="E292" s="1479" t="s">
        <v>1651</v>
      </c>
      <c r="F292" s="832"/>
      <c r="G292" s="1931"/>
      <c r="H292" s="1931"/>
      <c r="I292" s="837"/>
      <c r="J292" s="1059"/>
      <c r="K292" s="943"/>
      <c r="L292" s="1679" t="n">
        <v>5739.456</v>
      </c>
      <c r="M292" s="866" t="n">
        <v>480</v>
      </c>
      <c r="N292" s="866" t="n">
        <f aca="false">M292/H288</f>
        <v>32</v>
      </c>
      <c r="O292" s="543" t="s">
        <v>1634</v>
      </c>
      <c r="P292" s="1934"/>
      <c r="Q292" s="1934"/>
      <c r="R292" s="1935"/>
    </row>
    <row r="293" customFormat="false" ht="14.25" hidden="false" customHeight="false" outlineLevel="0" collapsed="false">
      <c r="A293" s="829"/>
      <c r="B293" s="830"/>
      <c r="C293" s="1930"/>
      <c r="D293" s="848" t="s">
        <v>11</v>
      </c>
      <c r="E293" s="1479" t="s">
        <v>1651</v>
      </c>
      <c r="F293" s="832"/>
      <c r="G293" s="1931"/>
      <c r="H293" s="1931"/>
      <c r="I293" s="837"/>
      <c r="J293" s="1059"/>
      <c r="K293" s="943"/>
      <c r="L293" s="1679" t="n">
        <v>1255.506</v>
      </c>
      <c r="M293" s="866" t="n">
        <v>105</v>
      </c>
      <c r="N293" s="866" t="n">
        <f aca="false">M293/H288</f>
        <v>7</v>
      </c>
      <c r="O293" s="543" t="s">
        <v>427</v>
      </c>
      <c r="P293" s="1934"/>
      <c r="Q293" s="1934"/>
      <c r="R293" s="1935"/>
    </row>
    <row r="294" customFormat="false" ht="14.25" hidden="false" customHeight="false" outlineLevel="0" collapsed="false">
      <c r="A294" s="829"/>
      <c r="B294" s="830"/>
      <c r="C294" s="1930"/>
      <c r="D294" s="860" t="s">
        <v>11</v>
      </c>
      <c r="E294" s="1480" t="s">
        <v>1651</v>
      </c>
      <c r="F294" s="832"/>
      <c r="G294" s="1931"/>
      <c r="H294" s="1931"/>
      <c r="I294" s="837"/>
      <c r="J294" s="1059"/>
      <c r="K294" s="943"/>
      <c r="L294" s="1679" t="n">
        <v>12016.986</v>
      </c>
      <c r="M294" s="866" t="n">
        <v>1005</v>
      </c>
      <c r="N294" s="866" t="n">
        <f aca="false">M294/H288</f>
        <v>67</v>
      </c>
      <c r="O294" s="543" t="s">
        <v>417</v>
      </c>
      <c r="P294" s="1934"/>
      <c r="Q294" s="1934"/>
      <c r="R294" s="1935"/>
    </row>
    <row r="295" customFormat="false" ht="14.25" hidden="false" customHeight="false" outlineLevel="0" collapsed="false">
      <c r="A295" s="829"/>
      <c r="B295" s="830"/>
      <c r="C295" s="1930"/>
      <c r="D295" s="887" t="s">
        <v>11</v>
      </c>
      <c r="E295" s="1501" t="s">
        <v>1651</v>
      </c>
      <c r="F295" s="832"/>
      <c r="G295" s="1931"/>
      <c r="H295" s="1931"/>
      <c r="I295" s="837"/>
      <c r="J295" s="1059"/>
      <c r="K295" s="943"/>
      <c r="L295" s="1702" t="n">
        <v>12016.986</v>
      </c>
      <c r="M295" s="890" t="n">
        <v>1005</v>
      </c>
      <c r="N295" s="890" t="n">
        <f aca="false">M295/H288</f>
        <v>67</v>
      </c>
      <c r="O295" s="1067" t="s">
        <v>3377</v>
      </c>
      <c r="P295" s="1934"/>
      <c r="Q295" s="1934"/>
      <c r="R295" s="1935"/>
    </row>
    <row r="296" customFormat="false" ht="14.25" hidden="false" customHeight="false" outlineLevel="0" collapsed="false">
      <c r="A296" s="882" t="n">
        <v>292</v>
      </c>
      <c r="B296" s="830" t="n">
        <v>2024</v>
      </c>
      <c r="C296" s="1930" t="n">
        <v>45870</v>
      </c>
      <c r="D296" s="831" t="s">
        <v>11</v>
      </c>
      <c r="E296" s="1365" t="s">
        <v>1651</v>
      </c>
      <c r="F296" s="832" t="s">
        <v>3364</v>
      </c>
      <c r="G296" s="1931" t="n">
        <v>300</v>
      </c>
      <c r="H296" s="1931" t="n">
        <v>15</v>
      </c>
      <c r="I296" s="837" t="n">
        <f aca="false">G296*H296</f>
        <v>4500</v>
      </c>
      <c r="J296" s="1059" t="n">
        <v>12.4575</v>
      </c>
      <c r="K296" s="943" t="n">
        <f aca="false">I296*J296</f>
        <v>56058.75</v>
      </c>
      <c r="L296" s="1681" t="n">
        <v>186.8625</v>
      </c>
      <c r="M296" s="840" t="n">
        <v>15</v>
      </c>
      <c r="N296" s="886" t="n">
        <f aca="false">M296/H296</f>
        <v>1</v>
      </c>
      <c r="O296" s="1114" t="s">
        <v>3405</v>
      </c>
      <c r="P296" s="1948" t="n">
        <f aca="false">K296-L296-L302-L301-L297-L298-L300-L299</f>
        <v>0</v>
      </c>
      <c r="Q296" s="1934" t="n">
        <f aca="false">I296-M296-M302-M301-M297-M298-M300-M299</f>
        <v>0</v>
      </c>
      <c r="R296" s="1935" t="n">
        <f aca="false">G296-N296-N302-N301-N297-N298-N300-N299</f>
        <v>0</v>
      </c>
    </row>
    <row r="297" customFormat="false" ht="14.25" hidden="false" customHeight="false" outlineLevel="0" collapsed="false">
      <c r="A297" s="882"/>
      <c r="B297" s="830"/>
      <c r="C297" s="1930"/>
      <c r="D297" s="848" t="s">
        <v>11</v>
      </c>
      <c r="E297" s="1479" t="s">
        <v>1651</v>
      </c>
      <c r="F297" s="832"/>
      <c r="G297" s="1931"/>
      <c r="H297" s="1931"/>
      <c r="I297" s="837"/>
      <c r="J297" s="1059"/>
      <c r="K297" s="943"/>
      <c r="L297" s="1678" t="n">
        <v>14949</v>
      </c>
      <c r="M297" s="854" t="n">
        <v>1200</v>
      </c>
      <c r="N297" s="866" t="n">
        <f aca="false">M297/H296</f>
        <v>80</v>
      </c>
      <c r="O297" s="537" t="s">
        <v>392</v>
      </c>
      <c r="P297" s="1948"/>
      <c r="Q297" s="1934"/>
      <c r="R297" s="1935"/>
    </row>
    <row r="298" customFormat="false" ht="14.25" hidden="false" customHeight="false" outlineLevel="0" collapsed="false">
      <c r="A298" s="882"/>
      <c r="B298" s="830"/>
      <c r="C298" s="1930"/>
      <c r="D298" s="848" t="s">
        <v>11</v>
      </c>
      <c r="E298" s="1479" t="s">
        <v>1651</v>
      </c>
      <c r="F298" s="832"/>
      <c r="G298" s="1931"/>
      <c r="H298" s="1931"/>
      <c r="I298" s="837"/>
      <c r="J298" s="1059"/>
      <c r="K298" s="943"/>
      <c r="L298" s="1678" t="n">
        <v>16817.625</v>
      </c>
      <c r="M298" s="854" t="n">
        <v>1350</v>
      </c>
      <c r="N298" s="866" t="n">
        <f aca="false">M298/H296</f>
        <v>90</v>
      </c>
      <c r="O298" s="537" t="s">
        <v>392</v>
      </c>
      <c r="P298" s="1948"/>
      <c r="Q298" s="1934"/>
      <c r="R298" s="1935"/>
    </row>
    <row r="299" customFormat="false" ht="14.25" hidden="false" customHeight="false" outlineLevel="0" collapsed="false">
      <c r="A299" s="882"/>
      <c r="B299" s="830"/>
      <c r="C299" s="1930"/>
      <c r="D299" s="848" t="s">
        <v>11</v>
      </c>
      <c r="E299" s="1479" t="s">
        <v>1651</v>
      </c>
      <c r="F299" s="832"/>
      <c r="G299" s="1931"/>
      <c r="H299" s="1931"/>
      <c r="I299" s="837"/>
      <c r="J299" s="1059"/>
      <c r="K299" s="943"/>
      <c r="L299" s="1678" t="n">
        <v>3924.1125</v>
      </c>
      <c r="M299" s="854" t="n">
        <v>315</v>
      </c>
      <c r="N299" s="866" t="n">
        <f aca="false">M299/H296</f>
        <v>21</v>
      </c>
      <c r="O299" s="537" t="s">
        <v>392</v>
      </c>
      <c r="P299" s="1948"/>
      <c r="Q299" s="1934"/>
      <c r="R299" s="1935"/>
    </row>
    <row r="300" customFormat="false" ht="14.25" hidden="false" customHeight="false" outlineLevel="0" collapsed="false">
      <c r="A300" s="882"/>
      <c r="B300" s="830"/>
      <c r="C300" s="1930"/>
      <c r="D300" s="848" t="s">
        <v>11</v>
      </c>
      <c r="E300" s="1479" t="s">
        <v>1651</v>
      </c>
      <c r="F300" s="832"/>
      <c r="G300" s="1931"/>
      <c r="H300" s="1931"/>
      <c r="I300" s="837"/>
      <c r="J300" s="1059"/>
      <c r="K300" s="943"/>
      <c r="L300" s="1678" t="n">
        <v>6353.325</v>
      </c>
      <c r="M300" s="854" t="n">
        <v>510</v>
      </c>
      <c r="N300" s="866" t="n">
        <f aca="false">M300/H296</f>
        <v>34</v>
      </c>
      <c r="O300" s="537" t="s">
        <v>392</v>
      </c>
      <c r="P300" s="1948"/>
      <c r="Q300" s="1934"/>
      <c r="R300" s="1935"/>
    </row>
    <row r="301" customFormat="false" ht="14.25" hidden="false" customHeight="false" outlineLevel="0" collapsed="false">
      <c r="A301" s="882"/>
      <c r="B301" s="830"/>
      <c r="C301" s="1930"/>
      <c r="D301" s="860" t="s">
        <v>11</v>
      </c>
      <c r="E301" s="1480" t="s">
        <v>1651</v>
      </c>
      <c r="F301" s="832"/>
      <c r="G301" s="1931"/>
      <c r="H301" s="1931"/>
      <c r="I301" s="837"/>
      <c r="J301" s="1059"/>
      <c r="K301" s="943"/>
      <c r="L301" s="1679" t="n">
        <v>6353.325</v>
      </c>
      <c r="M301" s="866" t="n">
        <v>510</v>
      </c>
      <c r="N301" s="866" t="n">
        <f aca="false">M301/H296</f>
        <v>34</v>
      </c>
      <c r="O301" s="543" t="s">
        <v>392</v>
      </c>
      <c r="P301" s="1948"/>
      <c r="Q301" s="1934"/>
      <c r="R301" s="1935"/>
    </row>
    <row r="302" customFormat="false" ht="14.25" hidden="false" customHeight="false" outlineLevel="0" collapsed="false">
      <c r="A302" s="882"/>
      <c r="B302" s="830"/>
      <c r="C302" s="1930"/>
      <c r="D302" s="887" t="s">
        <v>11</v>
      </c>
      <c r="E302" s="1501" t="s">
        <v>1651</v>
      </c>
      <c r="F302" s="832"/>
      <c r="G302" s="1931"/>
      <c r="H302" s="1931"/>
      <c r="I302" s="837"/>
      <c r="J302" s="1059"/>
      <c r="K302" s="943"/>
      <c r="L302" s="1702" t="n">
        <v>7474.5</v>
      </c>
      <c r="M302" s="890" t="n">
        <v>600</v>
      </c>
      <c r="N302" s="890" t="n">
        <f aca="false">M302/H296</f>
        <v>40</v>
      </c>
      <c r="O302" s="1067" t="s">
        <v>392</v>
      </c>
      <c r="P302" s="1948"/>
      <c r="Q302" s="1934"/>
      <c r="R302" s="1935"/>
    </row>
    <row r="303" customFormat="false" ht="14.25" hidden="false" customHeight="false" outlineLevel="0" collapsed="false">
      <c r="A303" s="847" t="n">
        <v>319</v>
      </c>
      <c r="B303" s="847" t="n">
        <v>2024</v>
      </c>
      <c r="C303" s="2008" t="n">
        <v>45870</v>
      </c>
      <c r="D303" s="848" t="s">
        <v>11</v>
      </c>
      <c r="E303" s="1479" t="s">
        <v>1652</v>
      </c>
      <c r="F303" s="848" t="s">
        <v>3364</v>
      </c>
      <c r="G303" s="1967" t="n">
        <v>34</v>
      </c>
      <c r="H303" s="1967" t="n">
        <v>15</v>
      </c>
      <c r="I303" s="1380" t="n">
        <f aca="false">G303*H303</f>
        <v>510</v>
      </c>
      <c r="J303" s="1544" t="n">
        <v>16.5648</v>
      </c>
      <c r="K303" s="1968" t="n">
        <f aca="false">I303*J303</f>
        <v>8448.048</v>
      </c>
      <c r="L303" s="1678" t="n">
        <v>8448.048</v>
      </c>
      <c r="M303" s="854" t="n">
        <v>510</v>
      </c>
      <c r="N303" s="891" t="n">
        <f aca="false">M303/H303</f>
        <v>34</v>
      </c>
      <c r="O303" s="537" t="s">
        <v>3406</v>
      </c>
      <c r="P303" s="1983" t="n">
        <f aca="false">K303-L303</f>
        <v>0</v>
      </c>
      <c r="Q303" s="1970" t="n">
        <f aca="false">I303-M303</f>
        <v>0</v>
      </c>
      <c r="R303" s="1971" t="n">
        <f aca="false">G303-N303</f>
        <v>0</v>
      </c>
    </row>
    <row r="304" customFormat="false" ht="14.25" hidden="false" customHeight="false" outlineLevel="0" collapsed="false">
      <c r="A304" s="903" t="n">
        <v>324</v>
      </c>
      <c r="B304" s="903" t="n">
        <v>2024</v>
      </c>
      <c r="C304" s="1939" t="n">
        <v>45870</v>
      </c>
      <c r="D304" s="904" t="s">
        <v>11</v>
      </c>
      <c r="E304" s="1351" t="s">
        <v>1652</v>
      </c>
      <c r="F304" s="904" t="s">
        <v>3364</v>
      </c>
      <c r="G304" s="1940" t="n">
        <v>39</v>
      </c>
      <c r="H304" s="1940" t="n">
        <v>15</v>
      </c>
      <c r="I304" s="1355" t="n">
        <f aca="false">G304*H304</f>
        <v>585</v>
      </c>
      <c r="J304" s="1406" t="n">
        <v>9.4423</v>
      </c>
      <c r="K304" s="1942" t="n">
        <f aca="false">I304*J304</f>
        <v>5523.7455</v>
      </c>
      <c r="L304" s="2002" t="n">
        <v>4815.573</v>
      </c>
      <c r="M304" s="891" t="n">
        <v>510</v>
      </c>
      <c r="N304" s="877" t="n">
        <f aca="false">M304/H304</f>
        <v>34</v>
      </c>
      <c r="O304" s="942" t="s">
        <v>507</v>
      </c>
      <c r="P304" s="1947" t="n">
        <f aca="false">K304-L304</f>
        <v>708.1725</v>
      </c>
      <c r="Q304" s="1945" t="n">
        <f aca="false">I304-M304</f>
        <v>75</v>
      </c>
      <c r="R304" s="1946" t="n">
        <f aca="false">G304-N304</f>
        <v>5</v>
      </c>
    </row>
    <row r="305" customFormat="false" ht="14.25" hidden="false" customHeight="false" outlineLevel="0" collapsed="false">
      <c r="A305" s="1465" t="n">
        <v>334</v>
      </c>
      <c r="B305" s="1028" t="n">
        <v>2024</v>
      </c>
      <c r="C305" s="2006" t="n">
        <v>45901</v>
      </c>
      <c r="D305" s="831" t="s">
        <v>11</v>
      </c>
      <c r="E305" s="1365" t="s">
        <v>1651</v>
      </c>
      <c r="F305" s="1328" t="s">
        <v>3375</v>
      </c>
      <c r="G305" s="1976" t="n">
        <v>666</v>
      </c>
      <c r="H305" s="1976" t="n">
        <v>15</v>
      </c>
      <c r="I305" s="1036" t="n">
        <f aca="false">G305*H305</f>
        <v>9990</v>
      </c>
      <c r="J305" s="1557" t="n">
        <v>15.4488</v>
      </c>
      <c r="K305" s="1547" t="n">
        <f aca="false">I305*J305</f>
        <v>154333.512</v>
      </c>
      <c r="L305" s="1681" t="n">
        <v>32210.748</v>
      </c>
      <c r="M305" s="840" t="n">
        <v>2085</v>
      </c>
      <c r="N305" s="886" t="n">
        <f aca="false">M305/H305</f>
        <v>139</v>
      </c>
      <c r="O305" s="1114" t="s">
        <v>392</v>
      </c>
      <c r="P305" s="1984" t="n">
        <f aca="false">K305-L305-L314-L306-L313-L307-L312-L308-L311-L309-L310</f>
        <v>0</v>
      </c>
      <c r="Q305" s="1978" t="n">
        <f aca="false">I305-M305-M314-M306-M313-M307-M312-M308-M311-M309-M310</f>
        <v>0</v>
      </c>
      <c r="R305" s="1979" t="n">
        <f aca="false">G305-N305-N314-N306-N313-N307-N312-N308-N311-N309-N310</f>
        <v>0</v>
      </c>
    </row>
    <row r="306" customFormat="false" ht="14.25" hidden="false" customHeight="false" outlineLevel="0" collapsed="false">
      <c r="A306" s="1465"/>
      <c r="B306" s="1028"/>
      <c r="C306" s="2006"/>
      <c r="D306" s="860" t="s">
        <v>11</v>
      </c>
      <c r="E306" s="1480" t="s">
        <v>1651</v>
      </c>
      <c r="F306" s="1328"/>
      <c r="G306" s="1976"/>
      <c r="H306" s="1976"/>
      <c r="I306" s="1036"/>
      <c r="J306" s="1557"/>
      <c r="K306" s="1547"/>
      <c r="L306" s="1679" t="n">
        <v>4634.64</v>
      </c>
      <c r="M306" s="866" t="n">
        <v>300</v>
      </c>
      <c r="N306" s="866" t="n">
        <f aca="false">M306/H305</f>
        <v>20</v>
      </c>
      <c r="O306" s="543" t="s">
        <v>453</v>
      </c>
      <c r="P306" s="1984"/>
      <c r="Q306" s="1978"/>
      <c r="R306" s="1979"/>
    </row>
    <row r="307" customFormat="false" ht="14.25" hidden="false" customHeight="false" outlineLevel="0" collapsed="false">
      <c r="A307" s="1465"/>
      <c r="B307" s="1028"/>
      <c r="C307" s="2006"/>
      <c r="D307" s="860" t="s">
        <v>11</v>
      </c>
      <c r="E307" s="1480" t="s">
        <v>1651</v>
      </c>
      <c r="F307" s="1328"/>
      <c r="G307" s="1976"/>
      <c r="H307" s="1976"/>
      <c r="I307" s="1036"/>
      <c r="J307" s="1557"/>
      <c r="K307" s="1547"/>
      <c r="L307" s="1679" t="n">
        <v>23173.2</v>
      </c>
      <c r="M307" s="866" t="n">
        <v>1500</v>
      </c>
      <c r="N307" s="866" t="n">
        <f aca="false">M307/H305</f>
        <v>100</v>
      </c>
      <c r="O307" s="543" t="s">
        <v>517</v>
      </c>
      <c r="P307" s="1984"/>
      <c r="Q307" s="1978"/>
      <c r="R307" s="1979"/>
    </row>
    <row r="308" customFormat="false" ht="14.25" hidden="false" customHeight="false" outlineLevel="0" collapsed="false">
      <c r="A308" s="1465"/>
      <c r="B308" s="1028"/>
      <c r="C308" s="2006"/>
      <c r="D308" s="860" t="s">
        <v>11</v>
      </c>
      <c r="E308" s="1480" t="s">
        <v>1651</v>
      </c>
      <c r="F308" s="1328"/>
      <c r="G308" s="1976"/>
      <c r="H308" s="1976"/>
      <c r="I308" s="1036"/>
      <c r="J308" s="1557"/>
      <c r="K308" s="1547"/>
      <c r="L308" s="1679" t="n">
        <v>13903.92</v>
      </c>
      <c r="M308" s="866" t="n">
        <v>900</v>
      </c>
      <c r="N308" s="866" t="n">
        <f aca="false">M308/H305</f>
        <v>60</v>
      </c>
      <c r="O308" s="543" t="s">
        <v>517</v>
      </c>
      <c r="P308" s="1984"/>
      <c r="Q308" s="1978"/>
      <c r="R308" s="1979"/>
    </row>
    <row r="309" customFormat="false" ht="14.25" hidden="false" customHeight="false" outlineLevel="0" collapsed="false">
      <c r="A309" s="1465"/>
      <c r="B309" s="1028"/>
      <c r="C309" s="2006"/>
      <c r="D309" s="860" t="s">
        <v>11</v>
      </c>
      <c r="E309" s="1480" t="s">
        <v>1651</v>
      </c>
      <c r="F309" s="1328"/>
      <c r="G309" s="1976"/>
      <c r="H309" s="1976"/>
      <c r="I309" s="1036"/>
      <c r="J309" s="1557"/>
      <c r="K309" s="1547"/>
      <c r="L309" s="1679" t="n">
        <v>3939.444</v>
      </c>
      <c r="M309" s="866" t="n">
        <v>255</v>
      </c>
      <c r="N309" s="866" t="n">
        <f aca="false">M309/H305</f>
        <v>17</v>
      </c>
      <c r="O309" s="543" t="s">
        <v>3407</v>
      </c>
      <c r="P309" s="1984"/>
      <c r="Q309" s="1978"/>
      <c r="R309" s="1979"/>
    </row>
    <row r="310" customFormat="false" ht="14.25" hidden="false" customHeight="false" outlineLevel="0" collapsed="false">
      <c r="A310" s="1465"/>
      <c r="B310" s="1028"/>
      <c r="C310" s="2006"/>
      <c r="D310" s="860" t="s">
        <v>11</v>
      </c>
      <c r="E310" s="1480" t="s">
        <v>1651</v>
      </c>
      <c r="F310" s="1328"/>
      <c r="G310" s="1976"/>
      <c r="H310" s="1976"/>
      <c r="I310" s="1036"/>
      <c r="J310" s="1557"/>
      <c r="K310" s="1547"/>
      <c r="L310" s="1679" t="n">
        <v>40089.636</v>
      </c>
      <c r="M310" s="866" t="n">
        <v>2595</v>
      </c>
      <c r="N310" s="866" t="n">
        <f aca="false">M310/H305</f>
        <v>173</v>
      </c>
      <c r="O310" s="543" t="s">
        <v>590</v>
      </c>
      <c r="P310" s="1984"/>
      <c r="Q310" s="1978"/>
      <c r="R310" s="1979"/>
    </row>
    <row r="311" customFormat="false" ht="14.25" hidden="false" customHeight="false" outlineLevel="0" collapsed="false">
      <c r="A311" s="1465"/>
      <c r="B311" s="1028"/>
      <c r="C311" s="2006"/>
      <c r="D311" s="860" t="s">
        <v>11</v>
      </c>
      <c r="E311" s="1480" t="s">
        <v>1651</v>
      </c>
      <c r="F311" s="1328"/>
      <c r="G311" s="1976"/>
      <c r="H311" s="1976"/>
      <c r="I311" s="1036"/>
      <c r="J311" s="1557"/>
      <c r="K311" s="1547"/>
      <c r="L311" s="1679" t="n">
        <v>5329.836</v>
      </c>
      <c r="M311" s="866" t="n">
        <v>345</v>
      </c>
      <c r="N311" s="866" t="n">
        <f aca="false">M311/H305</f>
        <v>23</v>
      </c>
      <c r="O311" s="543" t="s">
        <v>3408</v>
      </c>
      <c r="P311" s="1984"/>
      <c r="Q311" s="1978"/>
      <c r="R311" s="1979"/>
    </row>
    <row r="312" customFormat="false" ht="14.25" hidden="false" customHeight="false" outlineLevel="0" collapsed="false">
      <c r="A312" s="1465"/>
      <c r="B312" s="1028"/>
      <c r="C312" s="2006"/>
      <c r="D312" s="860" t="s">
        <v>11</v>
      </c>
      <c r="E312" s="1480" t="s">
        <v>1651</v>
      </c>
      <c r="F312" s="1328"/>
      <c r="G312" s="1976"/>
      <c r="H312" s="1976"/>
      <c r="I312" s="1036"/>
      <c r="J312" s="1557"/>
      <c r="K312" s="1547"/>
      <c r="L312" s="1679" t="n">
        <v>3244.248</v>
      </c>
      <c r="M312" s="866" t="n">
        <v>210</v>
      </c>
      <c r="N312" s="866" t="n">
        <f aca="false">M312/H305</f>
        <v>14</v>
      </c>
      <c r="O312" s="543" t="s">
        <v>392</v>
      </c>
      <c r="P312" s="1984"/>
      <c r="Q312" s="1978"/>
      <c r="R312" s="1979"/>
    </row>
    <row r="313" customFormat="false" ht="14.25" hidden="false" customHeight="false" outlineLevel="0" collapsed="false">
      <c r="A313" s="1465"/>
      <c r="B313" s="1028"/>
      <c r="C313" s="2006"/>
      <c r="D313" s="860" t="s">
        <v>11</v>
      </c>
      <c r="E313" s="1480" t="s">
        <v>1651</v>
      </c>
      <c r="F313" s="1328"/>
      <c r="G313" s="1976"/>
      <c r="H313" s="1976"/>
      <c r="I313" s="1036"/>
      <c r="J313" s="1557"/>
      <c r="K313" s="1547"/>
      <c r="L313" s="1679" t="n">
        <v>18538.56</v>
      </c>
      <c r="M313" s="866" t="n">
        <v>1200</v>
      </c>
      <c r="N313" s="866" t="n">
        <f aca="false">M313/H305</f>
        <v>80</v>
      </c>
      <c r="O313" s="543" t="s">
        <v>392</v>
      </c>
      <c r="P313" s="1984"/>
      <c r="Q313" s="1978"/>
      <c r="R313" s="1979"/>
    </row>
    <row r="314" customFormat="false" ht="14.25" hidden="false" customHeight="false" outlineLevel="0" collapsed="false">
      <c r="A314" s="1465"/>
      <c r="B314" s="1028"/>
      <c r="C314" s="2006"/>
      <c r="D314" s="871" t="s">
        <v>11</v>
      </c>
      <c r="E314" s="1478" t="s">
        <v>1651</v>
      </c>
      <c r="F314" s="1328"/>
      <c r="G314" s="1976"/>
      <c r="H314" s="1976"/>
      <c r="I314" s="1036"/>
      <c r="J314" s="1557"/>
      <c r="K314" s="1547"/>
      <c r="L314" s="1680" t="n">
        <v>9269.28</v>
      </c>
      <c r="M314" s="877" t="n">
        <v>600</v>
      </c>
      <c r="N314" s="877" t="n">
        <f aca="false">M314/H305</f>
        <v>40</v>
      </c>
      <c r="O314" s="553" t="s">
        <v>392</v>
      </c>
      <c r="P314" s="1984"/>
      <c r="Q314" s="1978"/>
      <c r="R314" s="1979"/>
    </row>
    <row r="315" customFormat="false" ht="14.25" hidden="false" customHeight="false" outlineLevel="0" collapsed="false">
      <c r="A315" s="829" t="n">
        <v>335</v>
      </c>
      <c r="B315" s="830" t="n">
        <v>2024</v>
      </c>
      <c r="C315" s="1930" t="n">
        <v>45901</v>
      </c>
      <c r="D315" s="831" t="s">
        <v>11</v>
      </c>
      <c r="E315" s="1365" t="s">
        <v>1651</v>
      </c>
      <c r="F315" s="832" t="s">
        <v>3375</v>
      </c>
      <c r="G315" s="1931" t="n">
        <v>110</v>
      </c>
      <c r="H315" s="1931" t="n">
        <v>15</v>
      </c>
      <c r="I315" s="837" t="n">
        <f aca="false">G315*H315</f>
        <v>1650</v>
      </c>
      <c r="J315" s="1059" t="n">
        <v>13.5698</v>
      </c>
      <c r="K315" s="943" t="n">
        <f aca="false">I315*J315</f>
        <v>22390.17</v>
      </c>
      <c r="L315" s="1681" t="n">
        <v>19133.418</v>
      </c>
      <c r="M315" s="840" t="n">
        <v>1410</v>
      </c>
      <c r="N315" s="840" t="n">
        <f aca="false">M315/H315</f>
        <v>94</v>
      </c>
      <c r="O315" s="1114" t="s">
        <v>590</v>
      </c>
      <c r="P315" s="1948" t="n">
        <f aca="false">K315-L315-L316</f>
        <v>0</v>
      </c>
      <c r="Q315" s="1934" t="n">
        <f aca="false">I315-M315-M316</f>
        <v>0</v>
      </c>
      <c r="R315" s="1935" t="n">
        <f aca="false">G315-N315-N316</f>
        <v>0</v>
      </c>
    </row>
    <row r="316" customFormat="false" ht="14.25" hidden="false" customHeight="false" outlineLevel="0" collapsed="false">
      <c r="A316" s="829"/>
      <c r="B316" s="830"/>
      <c r="C316" s="1930"/>
      <c r="D316" s="843" t="s">
        <v>11</v>
      </c>
      <c r="E316" s="1357" t="s">
        <v>1651</v>
      </c>
      <c r="F316" s="832"/>
      <c r="G316" s="1931"/>
      <c r="H316" s="1931"/>
      <c r="I316" s="837"/>
      <c r="J316" s="1059"/>
      <c r="K316" s="943"/>
      <c r="L316" s="1682" t="n">
        <v>3256.752</v>
      </c>
      <c r="M316" s="846" t="n">
        <v>240</v>
      </c>
      <c r="N316" s="846" t="n">
        <f aca="false">M316/H315</f>
        <v>16</v>
      </c>
      <c r="O316" s="589" t="s">
        <v>850</v>
      </c>
      <c r="P316" s="1948"/>
      <c r="Q316" s="1934"/>
      <c r="R316" s="1935"/>
    </row>
    <row r="317" customFormat="false" ht="14.25" hidden="false" customHeight="false" outlineLevel="0" collapsed="false">
      <c r="A317" s="1609" t="n">
        <v>340</v>
      </c>
      <c r="B317" s="1610" t="n">
        <v>2024</v>
      </c>
      <c r="C317" s="1939" t="n">
        <v>45901</v>
      </c>
      <c r="D317" s="848" t="s">
        <v>11</v>
      </c>
      <c r="E317" s="1479" t="s">
        <v>1651</v>
      </c>
      <c r="F317" s="904" t="s">
        <v>3364</v>
      </c>
      <c r="G317" s="1940" t="n">
        <v>25</v>
      </c>
      <c r="H317" s="1940" t="n">
        <v>10</v>
      </c>
      <c r="I317" s="942" t="n">
        <f aca="false">G317*H317</f>
        <v>250</v>
      </c>
      <c r="J317" s="1406" t="n">
        <v>12.7544</v>
      </c>
      <c r="K317" s="948" t="n">
        <f aca="false">I317*J317</f>
        <v>3188.6</v>
      </c>
      <c r="L317" s="1678" t="n">
        <v>382.632</v>
      </c>
      <c r="M317" s="854" t="n">
        <v>30</v>
      </c>
      <c r="N317" s="854" t="n">
        <f aca="false">M317/H317</f>
        <v>3</v>
      </c>
      <c r="O317" s="537" t="s">
        <v>447</v>
      </c>
      <c r="P317" s="2009" t="n">
        <f aca="false">K317-L317-L318</f>
        <v>0</v>
      </c>
      <c r="Q317" s="2000" t="n">
        <f aca="false">I317-M317-M318</f>
        <v>0</v>
      </c>
      <c r="R317" s="2005" t="n">
        <f aca="false">G317-N317-N318</f>
        <v>0</v>
      </c>
    </row>
    <row r="318" customFormat="false" ht="14.25" hidden="false" customHeight="false" outlineLevel="0" collapsed="false">
      <c r="A318" s="1609"/>
      <c r="B318" s="1610"/>
      <c r="C318" s="1939"/>
      <c r="D318" s="904" t="s">
        <v>11</v>
      </c>
      <c r="E318" s="1351" t="s">
        <v>1651</v>
      </c>
      <c r="F318" s="904"/>
      <c r="G318" s="1940"/>
      <c r="H318" s="1940"/>
      <c r="I318" s="942"/>
      <c r="J318" s="1406"/>
      <c r="K318" s="948"/>
      <c r="L318" s="2002" t="n">
        <v>2805.968</v>
      </c>
      <c r="M318" s="891" t="n">
        <v>220</v>
      </c>
      <c r="N318" s="877" t="n">
        <f aca="false">M318/H317</f>
        <v>22</v>
      </c>
      <c r="O318" s="942" t="s">
        <v>461</v>
      </c>
      <c r="P318" s="2009"/>
      <c r="Q318" s="2000"/>
      <c r="R318" s="2005"/>
    </row>
    <row r="319" customFormat="false" ht="14.25" hidden="false" customHeight="false" outlineLevel="0" collapsed="false">
      <c r="A319" s="829" t="n">
        <v>363</v>
      </c>
      <c r="B319" s="883" t="n">
        <v>2024</v>
      </c>
      <c r="C319" s="1930" t="n">
        <v>45901</v>
      </c>
      <c r="D319" s="831" t="s">
        <v>11</v>
      </c>
      <c r="E319" s="1365" t="s">
        <v>1651</v>
      </c>
      <c r="F319" s="832" t="s">
        <v>3364</v>
      </c>
      <c r="G319" s="1931" t="n">
        <v>666</v>
      </c>
      <c r="H319" s="1931" t="n">
        <v>15</v>
      </c>
      <c r="I319" s="837" t="n">
        <f aca="false">G319*H319</f>
        <v>9990</v>
      </c>
      <c r="J319" s="1059" t="n">
        <v>12.7544</v>
      </c>
      <c r="K319" s="943" t="n">
        <f aca="false">I319*J319</f>
        <v>127416.456</v>
      </c>
      <c r="L319" s="2007" t="n">
        <v>5739.48</v>
      </c>
      <c r="M319" s="886" t="n">
        <v>450</v>
      </c>
      <c r="N319" s="886" t="n">
        <f aca="false">M319/H319</f>
        <v>30</v>
      </c>
      <c r="O319" s="1036" t="s">
        <v>471</v>
      </c>
      <c r="P319" s="1934" t="n">
        <f aca="false">K319-L319-L335-L334-L320-L321-L333-L322-L332-L323-L324-L325-L331-L328-L330-L329-L326-L327</f>
        <v>8.83915163285565E-012</v>
      </c>
      <c r="Q319" s="1934" t="n">
        <f aca="false">I319-M319-M335-M334-M320-M321-M333-M322-M332-M323-M324-M325-M331-M328-M330-M329-M326-M327</f>
        <v>0</v>
      </c>
      <c r="R319" s="1935" t="n">
        <f aca="false">G319-N319-N335-N334-N320-N321-N333-N322-N332-N323-N324-N325-N331-N328-N330-N329-N326-N327</f>
        <v>0</v>
      </c>
    </row>
    <row r="320" customFormat="false" ht="14.25" hidden="false" customHeight="false" outlineLevel="0" collapsed="false">
      <c r="A320" s="829"/>
      <c r="B320" s="883"/>
      <c r="C320" s="1930"/>
      <c r="D320" s="860" t="s">
        <v>11</v>
      </c>
      <c r="E320" s="1480" t="s">
        <v>1651</v>
      </c>
      <c r="F320" s="832"/>
      <c r="G320" s="1931"/>
      <c r="H320" s="1931"/>
      <c r="I320" s="837"/>
      <c r="J320" s="1059"/>
      <c r="K320" s="943"/>
      <c r="L320" s="1679" t="n">
        <v>4591.584</v>
      </c>
      <c r="M320" s="866" t="n">
        <v>360</v>
      </c>
      <c r="N320" s="866" t="n">
        <f aca="false">M320/H319</f>
        <v>24</v>
      </c>
      <c r="O320" s="543" t="s">
        <v>527</v>
      </c>
      <c r="P320" s="1934"/>
      <c r="Q320" s="1934"/>
      <c r="R320" s="1935"/>
    </row>
    <row r="321" customFormat="false" ht="14.25" hidden="false" customHeight="false" outlineLevel="0" collapsed="false">
      <c r="A321" s="829"/>
      <c r="B321" s="883"/>
      <c r="C321" s="1930"/>
      <c r="D321" s="860" t="s">
        <v>11</v>
      </c>
      <c r="E321" s="1480" t="s">
        <v>1651</v>
      </c>
      <c r="F321" s="832"/>
      <c r="G321" s="1931"/>
      <c r="H321" s="1931"/>
      <c r="I321" s="837"/>
      <c r="J321" s="1059"/>
      <c r="K321" s="943"/>
      <c r="L321" s="1679" t="n">
        <v>7078.692</v>
      </c>
      <c r="M321" s="866" t="n">
        <v>555</v>
      </c>
      <c r="N321" s="866" t="n">
        <f aca="false">M321/H319</f>
        <v>37</v>
      </c>
      <c r="O321" s="543" t="s">
        <v>528</v>
      </c>
      <c r="P321" s="1934"/>
      <c r="Q321" s="1934"/>
      <c r="R321" s="1935"/>
    </row>
    <row r="322" customFormat="false" ht="14.25" hidden="false" customHeight="false" outlineLevel="0" collapsed="false">
      <c r="A322" s="829"/>
      <c r="B322" s="883"/>
      <c r="C322" s="1930"/>
      <c r="D322" s="860" t="s">
        <v>11</v>
      </c>
      <c r="E322" s="1480" t="s">
        <v>1651</v>
      </c>
      <c r="F322" s="832"/>
      <c r="G322" s="1931"/>
      <c r="H322" s="1931"/>
      <c r="I322" s="837"/>
      <c r="J322" s="1059"/>
      <c r="K322" s="943"/>
      <c r="L322" s="1679" t="n">
        <v>7652.64</v>
      </c>
      <c r="M322" s="866" t="n">
        <v>600</v>
      </c>
      <c r="N322" s="866" t="n">
        <f aca="false">M322/H319</f>
        <v>40</v>
      </c>
      <c r="O322" s="543" t="s">
        <v>547</v>
      </c>
      <c r="P322" s="1934"/>
      <c r="Q322" s="1934"/>
      <c r="R322" s="1935"/>
    </row>
    <row r="323" customFormat="false" ht="14.25" hidden="false" customHeight="false" outlineLevel="0" collapsed="false">
      <c r="A323" s="829"/>
      <c r="B323" s="883"/>
      <c r="C323" s="1930"/>
      <c r="D323" s="860" t="s">
        <v>11</v>
      </c>
      <c r="E323" s="1480" t="s">
        <v>1651</v>
      </c>
      <c r="F323" s="832"/>
      <c r="G323" s="1931"/>
      <c r="H323" s="1931"/>
      <c r="I323" s="837"/>
      <c r="J323" s="1059"/>
      <c r="K323" s="943"/>
      <c r="L323" s="1679" t="n">
        <v>1339.212</v>
      </c>
      <c r="M323" s="866" t="n">
        <v>105</v>
      </c>
      <c r="N323" s="866" t="n">
        <f aca="false">M323/H319</f>
        <v>7</v>
      </c>
      <c r="O323" s="543" t="s">
        <v>559</v>
      </c>
      <c r="P323" s="1934"/>
      <c r="Q323" s="1934"/>
      <c r="R323" s="1935"/>
    </row>
    <row r="324" customFormat="false" ht="14.25" hidden="false" customHeight="false" outlineLevel="0" collapsed="false">
      <c r="A324" s="829"/>
      <c r="B324" s="883"/>
      <c r="C324" s="1930"/>
      <c r="D324" s="860" t="s">
        <v>11</v>
      </c>
      <c r="E324" s="1480" t="s">
        <v>1651</v>
      </c>
      <c r="F324" s="832"/>
      <c r="G324" s="1931"/>
      <c r="H324" s="1931"/>
      <c r="I324" s="837"/>
      <c r="J324" s="1059"/>
      <c r="K324" s="943"/>
      <c r="L324" s="1679" t="n">
        <v>14157.384</v>
      </c>
      <c r="M324" s="866" t="n">
        <v>1110</v>
      </c>
      <c r="N324" s="866" t="n">
        <f aca="false">M324/H319</f>
        <v>74</v>
      </c>
      <c r="O324" s="543" t="s">
        <v>567</v>
      </c>
      <c r="P324" s="1934"/>
      <c r="Q324" s="1934"/>
      <c r="R324" s="1935"/>
    </row>
    <row r="325" customFormat="false" ht="14.25" hidden="false" customHeight="false" outlineLevel="0" collapsed="false">
      <c r="A325" s="829"/>
      <c r="B325" s="883"/>
      <c r="C325" s="1930"/>
      <c r="D325" s="860" t="s">
        <v>11</v>
      </c>
      <c r="E325" s="1480" t="s">
        <v>1651</v>
      </c>
      <c r="F325" s="832"/>
      <c r="G325" s="1931"/>
      <c r="H325" s="1931"/>
      <c r="I325" s="837"/>
      <c r="J325" s="1059"/>
      <c r="K325" s="943"/>
      <c r="L325" s="1679" t="n">
        <v>1913.16</v>
      </c>
      <c r="M325" s="866" t="n">
        <v>150</v>
      </c>
      <c r="N325" s="866" t="n">
        <f aca="false">M325/H319</f>
        <v>10</v>
      </c>
      <c r="O325" s="543" t="s">
        <v>580</v>
      </c>
      <c r="P325" s="1934"/>
      <c r="Q325" s="1934"/>
      <c r="R325" s="1935"/>
    </row>
    <row r="326" customFormat="false" ht="14.25" hidden="false" customHeight="false" outlineLevel="0" collapsed="false">
      <c r="A326" s="829"/>
      <c r="B326" s="883"/>
      <c r="C326" s="1930"/>
      <c r="D326" s="860" t="s">
        <v>11</v>
      </c>
      <c r="E326" s="1480" t="s">
        <v>1651</v>
      </c>
      <c r="F326" s="832"/>
      <c r="G326" s="1931"/>
      <c r="H326" s="1931"/>
      <c r="I326" s="837"/>
      <c r="J326" s="1059"/>
      <c r="K326" s="943"/>
      <c r="L326" s="1679" t="n">
        <v>2104.476</v>
      </c>
      <c r="M326" s="866" t="n">
        <v>165</v>
      </c>
      <c r="N326" s="866" t="n">
        <f aca="false">M326/H319</f>
        <v>11</v>
      </c>
      <c r="O326" s="543" t="s">
        <v>784</v>
      </c>
      <c r="P326" s="1934"/>
      <c r="Q326" s="1934"/>
      <c r="R326" s="1935"/>
    </row>
    <row r="327" customFormat="false" ht="14.25" hidden="false" customHeight="false" outlineLevel="0" collapsed="false">
      <c r="A327" s="829"/>
      <c r="B327" s="883"/>
      <c r="C327" s="1930"/>
      <c r="D327" s="860" t="s">
        <v>11</v>
      </c>
      <c r="E327" s="1480" t="s">
        <v>1651</v>
      </c>
      <c r="F327" s="832"/>
      <c r="G327" s="1931"/>
      <c r="H327" s="1931"/>
      <c r="I327" s="837"/>
      <c r="J327" s="1059"/>
      <c r="K327" s="943"/>
      <c r="L327" s="1679" t="n">
        <v>-191.316</v>
      </c>
      <c r="M327" s="866" t="n">
        <v>-15</v>
      </c>
      <c r="N327" s="866" t="n">
        <v>-1</v>
      </c>
      <c r="O327" s="543" t="s">
        <v>1634</v>
      </c>
      <c r="P327" s="1934"/>
      <c r="Q327" s="1934"/>
      <c r="R327" s="1935"/>
    </row>
    <row r="328" customFormat="false" ht="14.25" hidden="false" customHeight="false" outlineLevel="0" collapsed="false">
      <c r="A328" s="829"/>
      <c r="B328" s="883"/>
      <c r="C328" s="1930"/>
      <c r="D328" s="860" t="s">
        <v>11</v>
      </c>
      <c r="E328" s="1480" t="s">
        <v>1651</v>
      </c>
      <c r="F328" s="832"/>
      <c r="G328" s="1931"/>
      <c r="H328" s="1931"/>
      <c r="I328" s="837"/>
      <c r="J328" s="1059"/>
      <c r="K328" s="943"/>
      <c r="L328" s="1679" t="n">
        <v>8417.904</v>
      </c>
      <c r="M328" s="866" t="n">
        <v>660</v>
      </c>
      <c r="N328" s="866" t="n">
        <f aca="false">M328/H319</f>
        <v>44</v>
      </c>
      <c r="O328" s="543" t="s">
        <v>581</v>
      </c>
      <c r="P328" s="1934"/>
      <c r="Q328" s="1934"/>
      <c r="R328" s="1935"/>
    </row>
    <row r="329" customFormat="false" ht="14.25" hidden="false" customHeight="false" outlineLevel="0" collapsed="false">
      <c r="A329" s="829"/>
      <c r="B329" s="883"/>
      <c r="C329" s="1930"/>
      <c r="D329" s="860" t="s">
        <v>11</v>
      </c>
      <c r="E329" s="1480" t="s">
        <v>1651</v>
      </c>
      <c r="F329" s="832"/>
      <c r="G329" s="1931"/>
      <c r="H329" s="1931"/>
      <c r="I329" s="837"/>
      <c r="J329" s="1059"/>
      <c r="K329" s="943"/>
      <c r="L329" s="1679" t="n">
        <v>1339.212</v>
      </c>
      <c r="M329" s="866" t="n">
        <v>105</v>
      </c>
      <c r="N329" s="866" t="n">
        <f aca="false">M329/H319</f>
        <v>7</v>
      </c>
      <c r="O329" s="543" t="s">
        <v>627</v>
      </c>
      <c r="P329" s="1934"/>
      <c r="Q329" s="1934"/>
      <c r="R329" s="1935"/>
    </row>
    <row r="330" customFormat="false" ht="14.25" hidden="false" customHeight="false" outlineLevel="0" collapsed="false">
      <c r="A330" s="829"/>
      <c r="B330" s="883"/>
      <c r="C330" s="1930"/>
      <c r="D330" s="860" t="s">
        <v>11</v>
      </c>
      <c r="E330" s="1480" t="s">
        <v>1651</v>
      </c>
      <c r="F330" s="832"/>
      <c r="G330" s="1931"/>
      <c r="H330" s="1931"/>
      <c r="I330" s="837"/>
      <c r="J330" s="1059"/>
      <c r="K330" s="943"/>
      <c r="L330" s="1679" t="n">
        <v>573.948</v>
      </c>
      <c r="M330" s="866" t="n">
        <v>45</v>
      </c>
      <c r="N330" s="866" t="n">
        <f aca="false">M330/H319</f>
        <v>3</v>
      </c>
      <c r="O330" s="543" t="s">
        <v>626</v>
      </c>
      <c r="P330" s="1934"/>
      <c r="Q330" s="1934"/>
      <c r="R330" s="1935"/>
    </row>
    <row r="331" customFormat="false" ht="14.25" hidden="false" customHeight="false" outlineLevel="0" collapsed="false">
      <c r="A331" s="829"/>
      <c r="B331" s="883"/>
      <c r="C331" s="1930"/>
      <c r="D331" s="860" t="s">
        <v>11</v>
      </c>
      <c r="E331" s="1480" t="s">
        <v>1651</v>
      </c>
      <c r="F331" s="832"/>
      <c r="G331" s="1931"/>
      <c r="H331" s="1931"/>
      <c r="I331" s="837"/>
      <c r="J331" s="1059"/>
      <c r="K331" s="943"/>
      <c r="L331" s="1679" t="n">
        <v>191.316</v>
      </c>
      <c r="M331" s="866" t="n">
        <v>15</v>
      </c>
      <c r="N331" s="866" t="n">
        <f aca="false">M331/H319</f>
        <v>1</v>
      </c>
      <c r="O331" s="543" t="s">
        <v>530</v>
      </c>
      <c r="P331" s="1934"/>
      <c r="Q331" s="1934"/>
      <c r="R331" s="1935"/>
    </row>
    <row r="332" customFormat="false" ht="14.25" hidden="false" customHeight="false" outlineLevel="0" collapsed="false">
      <c r="A332" s="829"/>
      <c r="B332" s="883"/>
      <c r="C332" s="1930"/>
      <c r="D332" s="860" t="s">
        <v>11</v>
      </c>
      <c r="E332" s="1480" t="s">
        <v>1651</v>
      </c>
      <c r="F332" s="832"/>
      <c r="G332" s="1931"/>
      <c r="H332" s="1931"/>
      <c r="I332" s="837"/>
      <c r="J332" s="1059"/>
      <c r="K332" s="943"/>
      <c r="L332" s="1679" t="n">
        <v>191.316</v>
      </c>
      <c r="M332" s="866" t="n">
        <v>15</v>
      </c>
      <c r="N332" s="866" t="n">
        <f aca="false">M332/H319</f>
        <v>1</v>
      </c>
      <c r="O332" s="543" t="s">
        <v>850</v>
      </c>
      <c r="P332" s="1934"/>
      <c r="Q332" s="1934"/>
      <c r="R332" s="1935"/>
    </row>
    <row r="333" customFormat="false" ht="14.25" hidden="false" customHeight="false" outlineLevel="0" collapsed="false">
      <c r="A333" s="829"/>
      <c r="B333" s="883"/>
      <c r="C333" s="1930"/>
      <c r="D333" s="860" t="s">
        <v>11</v>
      </c>
      <c r="E333" s="1480" t="s">
        <v>1651</v>
      </c>
      <c r="F333" s="832"/>
      <c r="G333" s="1931"/>
      <c r="H333" s="1931"/>
      <c r="I333" s="837"/>
      <c r="J333" s="1059"/>
      <c r="K333" s="943"/>
      <c r="L333" s="1679" t="n">
        <v>25636.344</v>
      </c>
      <c r="M333" s="866" t="n">
        <v>2010</v>
      </c>
      <c r="N333" s="866" t="n">
        <f aca="false">M333/H319</f>
        <v>134</v>
      </c>
      <c r="O333" s="543" t="s">
        <v>3409</v>
      </c>
      <c r="P333" s="1934"/>
      <c r="Q333" s="1934"/>
      <c r="R333" s="1935"/>
    </row>
    <row r="334" customFormat="false" ht="14.25" hidden="false" customHeight="false" outlineLevel="0" collapsed="false">
      <c r="A334" s="829"/>
      <c r="B334" s="883"/>
      <c r="C334" s="1930"/>
      <c r="D334" s="860" t="s">
        <v>11</v>
      </c>
      <c r="E334" s="1480" t="s">
        <v>1651</v>
      </c>
      <c r="F334" s="832"/>
      <c r="G334" s="1931"/>
      <c r="H334" s="1931"/>
      <c r="I334" s="837"/>
      <c r="J334" s="1059"/>
      <c r="K334" s="943"/>
      <c r="L334" s="1679" t="n">
        <v>38263.2</v>
      </c>
      <c r="M334" s="866" t="n">
        <v>3000</v>
      </c>
      <c r="N334" s="866" t="n">
        <f aca="false">M334/H319</f>
        <v>200</v>
      </c>
      <c r="O334" s="543" t="s">
        <v>491</v>
      </c>
      <c r="P334" s="1934"/>
      <c r="Q334" s="1934"/>
      <c r="R334" s="1935"/>
    </row>
    <row r="335" customFormat="false" ht="14.25" hidden="false" customHeight="false" outlineLevel="0" collapsed="false">
      <c r="A335" s="829"/>
      <c r="B335" s="883"/>
      <c r="C335" s="1930"/>
      <c r="D335" s="843" t="s">
        <v>11</v>
      </c>
      <c r="E335" s="1357" t="s">
        <v>1651</v>
      </c>
      <c r="F335" s="832"/>
      <c r="G335" s="1931"/>
      <c r="H335" s="1931"/>
      <c r="I335" s="837"/>
      <c r="J335" s="1059"/>
      <c r="K335" s="943"/>
      <c r="L335" s="1682" t="n">
        <v>8417.904</v>
      </c>
      <c r="M335" s="846" t="n">
        <v>660</v>
      </c>
      <c r="N335" s="846" t="n">
        <f aca="false">M335/H319</f>
        <v>44</v>
      </c>
      <c r="O335" s="589" t="s">
        <v>495</v>
      </c>
      <c r="P335" s="1934"/>
      <c r="Q335" s="1934"/>
      <c r="R335" s="1935"/>
    </row>
    <row r="336" customFormat="false" ht="14.25" hidden="false" customHeight="false" outlineLevel="0" collapsed="false">
      <c r="A336" s="1087" t="n">
        <v>364</v>
      </c>
      <c r="B336" s="1061" t="n">
        <v>2024</v>
      </c>
      <c r="C336" s="1949" t="n">
        <v>45901</v>
      </c>
      <c r="D336" s="848" t="s">
        <v>11</v>
      </c>
      <c r="E336" s="1479" t="s">
        <v>1651</v>
      </c>
      <c r="F336" s="887" t="s">
        <v>3364</v>
      </c>
      <c r="G336" s="1950" t="n">
        <v>500</v>
      </c>
      <c r="H336" s="1950" t="n">
        <v>15</v>
      </c>
      <c r="I336" s="1067" t="n">
        <f aca="false">G336*H336</f>
        <v>7500</v>
      </c>
      <c r="J336" s="1063" t="n">
        <v>12.7544</v>
      </c>
      <c r="K336" s="1452" t="n">
        <f aca="false">I336*J336</f>
        <v>95658</v>
      </c>
      <c r="L336" s="2002" t="n">
        <v>29462.664</v>
      </c>
      <c r="M336" s="891" t="n">
        <v>2310</v>
      </c>
      <c r="N336" s="891" t="n">
        <f aca="false">M336/H336</f>
        <v>154</v>
      </c>
      <c r="O336" s="942"/>
      <c r="P336" s="1953" t="n">
        <f aca="false">K336-L336-L340-L339-L337-L338</f>
        <v>-6.59383658785373E-012</v>
      </c>
      <c r="Q336" s="1953" t="n">
        <f aca="false">I336-M336-M340-M339-M337-M338</f>
        <v>0</v>
      </c>
      <c r="R336" s="1954" t="n">
        <f aca="false">G336-N336-N340-N339-N337-N338</f>
        <v>0</v>
      </c>
    </row>
    <row r="337" customFormat="false" ht="14.25" hidden="false" customHeight="false" outlineLevel="0" collapsed="false">
      <c r="A337" s="1087"/>
      <c r="B337" s="1061"/>
      <c r="C337" s="1949"/>
      <c r="D337" s="860" t="s">
        <v>11</v>
      </c>
      <c r="E337" s="1480" t="s">
        <v>1651</v>
      </c>
      <c r="F337" s="887"/>
      <c r="G337" s="1950"/>
      <c r="H337" s="1950"/>
      <c r="I337" s="1067"/>
      <c r="J337" s="1063"/>
      <c r="K337" s="1452"/>
      <c r="L337" s="1679" t="n">
        <v>5739.48</v>
      </c>
      <c r="M337" s="866" t="n">
        <v>450</v>
      </c>
      <c r="N337" s="866" t="n">
        <f aca="false">M337/H336</f>
        <v>30</v>
      </c>
      <c r="O337" s="543" t="s">
        <v>481</v>
      </c>
      <c r="P337" s="1953"/>
      <c r="Q337" s="1953"/>
      <c r="R337" s="1954"/>
    </row>
    <row r="338" customFormat="false" ht="14.25" hidden="false" customHeight="false" outlineLevel="0" collapsed="false">
      <c r="A338" s="1087"/>
      <c r="B338" s="1061"/>
      <c r="C338" s="1949"/>
      <c r="D338" s="860" t="s">
        <v>11</v>
      </c>
      <c r="E338" s="1480" t="s">
        <v>1651</v>
      </c>
      <c r="F338" s="887"/>
      <c r="G338" s="1950"/>
      <c r="H338" s="1950"/>
      <c r="I338" s="1067"/>
      <c r="J338" s="1063"/>
      <c r="K338" s="1452"/>
      <c r="L338" s="1679" t="n">
        <v>1147.896</v>
      </c>
      <c r="M338" s="866" t="n">
        <v>90</v>
      </c>
      <c r="N338" s="866" t="n">
        <f aca="false">M338/H336</f>
        <v>6</v>
      </c>
      <c r="O338" s="543" t="s">
        <v>495</v>
      </c>
      <c r="P338" s="1953"/>
      <c r="Q338" s="1953"/>
      <c r="R338" s="1954"/>
    </row>
    <row r="339" customFormat="false" ht="14.25" hidden="false" customHeight="false" outlineLevel="0" collapsed="false">
      <c r="A339" s="1087"/>
      <c r="B339" s="1061"/>
      <c r="C339" s="1949"/>
      <c r="D339" s="860" t="s">
        <v>11</v>
      </c>
      <c r="E339" s="1480" t="s">
        <v>1651</v>
      </c>
      <c r="F339" s="887"/>
      <c r="G339" s="1950"/>
      <c r="H339" s="1950"/>
      <c r="I339" s="1067"/>
      <c r="J339" s="1063"/>
      <c r="K339" s="1452"/>
      <c r="L339" s="1679" t="n">
        <v>1913.16</v>
      </c>
      <c r="M339" s="866" t="n">
        <v>150</v>
      </c>
      <c r="N339" s="866" t="n">
        <f aca="false">M339/H336</f>
        <v>10</v>
      </c>
      <c r="O339" s="543" t="s">
        <v>480</v>
      </c>
      <c r="P339" s="1953"/>
      <c r="Q339" s="1953"/>
      <c r="R339" s="1954"/>
    </row>
    <row r="340" customFormat="false" ht="14.25" hidden="false" customHeight="false" outlineLevel="0" collapsed="false">
      <c r="A340" s="1087"/>
      <c r="B340" s="1061"/>
      <c r="C340" s="1949"/>
      <c r="D340" s="843" t="s">
        <v>11</v>
      </c>
      <c r="E340" s="1357" t="s">
        <v>1651</v>
      </c>
      <c r="F340" s="887"/>
      <c r="G340" s="1950"/>
      <c r="H340" s="1950"/>
      <c r="I340" s="1067"/>
      <c r="J340" s="1063"/>
      <c r="K340" s="1452"/>
      <c r="L340" s="1682" t="n">
        <v>57394.8</v>
      </c>
      <c r="M340" s="846" t="n">
        <v>4500</v>
      </c>
      <c r="N340" s="846" t="n">
        <f aca="false">M340/H336</f>
        <v>300</v>
      </c>
      <c r="O340" s="589" t="s">
        <v>404</v>
      </c>
      <c r="P340" s="1953"/>
      <c r="Q340" s="1953"/>
      <c r="R340" s="1954"/>
    </row>
    <row r="341" customFormat="false" ht="14.25" hidden="false" customHeight="false" outlineLevel="0" collapsed="false">
      <c r="A341" s="903" t="n">
        <v>365</v>
      </c>
      <c r="B341" s="903" t="n">
        <v>2024</v>
      </c>
      <c r="C341" s="1939" t="n">
        <v>45901</v>
      </c>
      <c r="D341" s="904" t="s">
        <v>11</v>
      </c>
      <c r="E341" s="1351" t="s">
        <v>1651</v>
      </c>
      <c r="F341" s="904" t="s">
        <v>3367</v>
      </c>
      <c r="G341" s="1940" t="n">
        <v>150</v>
      </c>
      <c r="H341" s="1940" t="n">
        <v>10</v>
      </c>
      <c r="I341" s="1355" t="n">
        <f aca="false">G341*H341</f>
        <v>1500</v>
      </c>
      <c r="J341" s="1406" t="n">
        <v>12.7544</v>
      </c>
      <c r="K341" s="1942" t="n">
        <f aca="false">I341*J341</f>
        <v>19131.6</v>
      </c>
      <c r="L341" s="2002" t="n">
        <v>19131.6</v>
      </c>
      <c r="M341" s="891" t="n">
        <v>1500</v>
      </c>
      <c r="N341" s="891" t="n">
        <f aca="false">M341/H341</f>
        <v>150</v>
      </c>
      <c r="O341" s="942" t="s">
        <v>467</v>
      </c>
      <c r="P341" s="1947" t="n">
        <f aca="false">K341-L341</f>
        <v>0</v>
      </c>
      <c r="Q341" s="1945" t="n">
        <f aca="false">I341-M341</f>
        <v>0</v>
      </c>
      <c r="R341" s="1946" t="n">
        <f aca="false">G341-N341</f>
        <v>0</v>
      </c>
    </row>
    <row r="342" customFormat="false" ht="14.25" hidden="false" customHeight="false" outlineLevel="0" collapsed="false">
      <c r="A342" s="829" t="n">
        <v>388</v>
      </c>
      <c r="B342" s="883" t="n">
        <v>2024</v>
      </c>
      <c r="C342" s="1930" t="n">
        <v>45901</v>
      </c>
      <c r="D342" s="1328" t="s">
        <v>11</v>
      </c>
      <c r="E342" s="1607" t="s">
        <v>1651</v>
      </c>
      <c r="F342" s="832" t="s">
        <v>3364</v>
      </c>
      <c r="G342" s="1931" t="n">
        <v>206</v>
      </c>
      <c r="H342" s="1931" t="n">
        <v>10</v>
      </c>
      <c r="I342" s="837" t="n">
        <f aca="false">G342*H342</f>
        <v>2060</v>
      </c>
      <c r="J342" s="1059" t="n">
        <v>20.8899</v>
      </c>
      <c r="K342" s="943" t="n">
        <f aca="false">I342*J342</f>
        <v>43033.194</v>
      </c>
      <c r="L342" s="2007" t="n">
        <v>20889.9</v>
      </c>
      <c r="M342" s="886" t="n">
        <v>1000</v>
      </c>
      <c r="N342" s="886" t="n">
        <f aca="false">M342/H342</f>
        <v>100</v>
      </c>
      <c r="O342" s="1036" t="s">
        <v>3409</v>
      </c>
      <c r="P342" s="1948" t="n">
        <f aca="false">K342-L342-L350-L349-L343-L348-L344-L345-L346-L347</f>
        <v>0</v>
      </c>
      <c r="Q342" s="1934" t="n">
        <f aca="false">I342-M342-M350-M349-M343-M348-M344-M345-M346-M347</f>
        <v>0</v>
      </c>
      <c r="R342" s="1935" t="n">
        <f aca="false">G342-N342-N350-N349-N343-N348-N344-N345-N346-N347</f>
        <v>0</v>
      </c>
    </row>
    <row r="343" customFormat="false" ht="14.25" hidden="false" customHeight="false" outlineLevel="0" collapsed="false">
      <c r="A343" s="829"/>
      <c r="B343" s="883"/>
      <c r="C343" s="1930"/>
      <c r="D343" s="860" t="s">
        <v>11</v>
      </c>
      <c r="E343" s="1480" t="s">
        <v>1651</v>
      </c>
      <c r="F343" s="832"/>
      <c r="G343" s="1931"/>
      <c r="H343" s="1931"/>
      <c r="I343" s="837"/>
      <c r="J343" s="1059"/>
      <c r="K343" s="943"/>
      <c r="L343" s="1679" t="n">
        <v>6266.97</v>
      </c>
      <c r="M343" s="866" t="n">
        <v>300</v>
      </c>
      <c r="N343" s="866" t="n">
        <f aca="false">M343/H342</f>
        <v>30</v>
      </c>
      <c r="O343" s="543" t="s">
        <v>540</v>
      </c>
      <c r="P343" s="1948"/>
      <c r="Q343" s="1934"/>
      <c r="R343" s="1935"/>
    </row>
    <row r="344" customFormat="false" ht="14.25" hidden="false" customHeight="false" outlineLevel="0" collapsed="false">
      <c r="A344" s="829"/>
      <c r="B344" s="883"/>
      <c r="C344" s="1930"/>
      <c r="D344" s="860" t="s">
        <v>11</v>
      </c>
      <c r="E344" s="1480" t="s">
        <v>1651</v>
      </c>
      <c r="F344" s="832"/>
      <c r="G344" s="1931"/>
      <c r="H344" s="1931"/>
      <c r="I344" s="837"/>
      <c r="J344" s="1059"/>
      <c r="K344" s="943"/>
      <c r="L344" s="1679" t="n">
        <v>208.899</v>
      </c>
      <c r="M344" s="866" t="n">
        <v>10</v>
      </c>
      <c r="N344" s="866" t="n">
        <f aca="false">M344/H342</f>
        <v>1</v>
      </c>
      <c r="O344" s="543" t="s">
        <v>552</v>
      </c>
      <c r="P344" s="1948"/>
      <c r="Q344" s="1934"/>
      <c r="R344" s="1935"/>
    </row>
    <row r="345" customFormat="false" ht="14.25" hidden="false" customHeight="false" outlineLevel="0" collapsed="false">
      <c r="A345" s="829"/>
      <c r="B345" s="883"/>
      <c r="C345" s="1930"/>
      <c r="D345" s="860" t="s">
        <v>11</v>
      </c>
      <c r="E345" s="1480" t="s">
        <v>1651</v>
      </c>
      <c r="F345" s="832"/>
      <c r="G345" s="1931"/>
      <c r="H345" s="1931"/>
      <c r="I345" s="837"/>
      <c r="J345" s="1059"/>
      <c r="K345" s="943"/>
      <c r="L345" s="1679" t="n">
        <v>2088.99</v>
      </c>
      <c r="M345" s="866" t="n">
        <v>100</v>
      </c>
      <c r="N345" s="866" t="n">
        <f aca="false">M345/H342</f>
        <v>10</v>
      </c>
      <c r="O345" s="543" t="s">
        <v>566</v>
      </c>
      <c r="P345" s="1948"/>
      <c r="Q345" s="1934"/>
      <c r="R345" s="1935"/>
    </row>
    <row r="346" customFormat="false" ht="14.25" hidden="false" customHeight="false" outlineLevel="0" collapsed="false">
      <c r="A346" s="829"/>
      <c r="B346" s="883"/>
      <c r="C346" s="1930"/>
      <c r="D346" s="860" t="s">
        <v>11</v>
      </c>
      <c r="E346" s="1480" t="s">
        <v>1651</v>
      </c>
      <c r="F346" s="832"/>
      <c r="G346" s="1931"/>
      <c r="H346" s="1931"/>
      <c r="I346" s="837"/>
      <c r="J346" s="1059"/>
      <c r="K346" s="943"/>
      <c r="L346" s="1679" t="n">
        <v>626.697</v>
      </c>
      <c r="M346" s="866" t="n">
        <v>30</v>
      </c>
      <c r="N346" s="866" t="n">
        <f aca="false">M346/H342</f>
        <v>3</v>
      </c>
      <c r="O346" s="543" t="s">
        <v>461</v>
      </c>
      <c r="P346" s="1948"/>
      <c r="Q346" s="1934"/>
      <c r="R346" s="1935"/>
    </row>
    <row r="347" customFormat="false" ht="14.25" hidden="false" customHeight="false" outlineLevel="0" collapsed="false">
      <c r="A347" s="829"/>
      <c r="B347" s="883"/>
      <c r="C347" s="1930"/>
      <c r="D347" s="860" t="s">
        <v>11</v>
      </c>
      <c r="E347" s="1480" t="s">
        <v>1651</v>
      </c>
      <c r="F347" s="832"/>
      <c r="G347" s="1931"/>
      <c r="H347" s="1931"/>
      <c r="I347" s="837"/>
      <c r="J347" s="1059"/>
      <c r="K347" s="943"/>
      <c r="L347" s="1679" t="n">
        <v>4386.879</v>
      </c>
      <c r="M347" s="866" t="n">
        <v>210</v>
      </c>
      <c r="N347" s="866" t="n">
        <f aca="false">M347/H342</f>
        <v>21</v>
      </c>
      <c r="O347" s="543" t="s">
        <v>850</v>
      </c>
      <c r="P347" s="1948"/>
      <c r="Q347" s="1934"/>
      <c r="R347" s="1935"/>
    </row>
    <row r="348" customFormat="false" ht="14.25" hidden="false" customHeight="false" outlineLevel="0" collapsed="false">
      <c r="A348" s="829"/>
      <c r="B348" s="883"/>
      <c r="C348" s="1930"/>
      <c r="D348" s="860" t="s">
        <v>11</v>
      </c>
      <c r="E348" s="1480" t="s">
        <v>1651</v>
      </c>
      <c r="F348" s="832"/>
      <c r="G348" s="1931"/>
      <c r="H348" s="1931"/>
      <c r="I348" s="837"/>
      <c r="J348" s="1059"/>
      <c r="K348" s="943"/>
      <c r="L348" s="1679" t="n">
        <v>4177.98</v>
      </c>
      <c r="M348" s="866" t="n">
        <v>200</v>
      </c>
      <c r="N348" s="866" t="n">
        <f aca="false">M348/H342</f>
        <v>20</v>
      </c>
      <c r="O348" s="543" t="s">
        <v>541</v>
      </c>
      <c r="P348" s="1948"/>
      <c r="Q348" s="1934"/>
      <c r="R348" s="1935"/>
    </row>
    <row r="349" customFormat="false" ht="14.25" hidden="false" customHeight="false" outlineLevel="0" collapsed="false">
      <c r="A349" s="829"/>
      <c r="B349" s="883"/>
      <c r="C349" s="1930"/>
      <c r="D349" s="860" t="s">
        <v>11</v>
      </c>
      <c r="E349" s="1480" t="s">
        <v>1651</v>
      </c>
      <c r="F349" s="832"/>
      <c r="G349" s="1931"/>
      <c r="H349" s="1931"/>
      <c r="I349" s="837"/>
      <c r="J349" s="1059"/>
      <c r="K349" s="943"/>
      <c r="L349" s="1679" t="n">
        <v>3133.485</v>
      </c>
      <c r="M349" s="866" t="n">
        <v>150</v>
      </c>
      <c r="N349" s="866" t="n">
        <f aca="false">M349/H342</f>
        <v>15</v>
      </c>
      <c r="O349" s="543" t="s">
        <v>539</v>
      </c>
      <c r="P349" s="1948"/>
      <c r="Q349" s="1934"/>
      <c r="R349" s="1935"/>
    </row>
    <row r="350" customFormat="false" ht="14.25" hidden="false" customHeight="false" outlineLevel="0" collapsed="false">
      <c r="A350" s="829"/>
      <c r="B350" s="883"/>
      <c r="C350" s="1930"/>
      <c r="D350" s="843" t="s">
        <v>11</v>
      </c>
      <c r="E350" s="1357" t="s">
        <v>1651</v>
      </c>
      <c r="F350" s="832"/>
      <c r="G350" s="1931"/>
      <c r="H350" s="1931"/>
      <c r="I350" s="837"/>
      <c r="J350" s="1059"/>
      <c r="K350" s="943"/>
      <c r="L350" s="1702" t="n">
        <v>1253.394</v>
      </c>
      <c r="M350" s="890" t="n">
        <v>60</v>
      </c>
      <c r="N350" s="890" t="n">
        <f aca="false">M350/H342</f>
        <v>6</v>
      </c>
      <c r="O350" s="1067" t="s">
        <v>537</v>
      </c>
      <c r="P350" s="1948"/>
      <c r="Q350" s="1934"/>
      <c r="R350" s="1935"/>
    </row>
    <row r="351" customFormat="false" ht="14.25" hidden="false" customHeight="false" outlineLevel="0" collapsed="false">
      <c r="A351" s="882" t="n">
        <v>448</v>
      </c>
      <c r="B351" s="830" t="n">
        <v>2024</v>
      </c>
      <c r="C351" s="1930" t="n">
        <v>45931</v>
      </c>
      <c r="D351" s="831" t="s">
        <v>11</v>
      </c>
      <c r="E351" s="1365" t="s">
        <v>1651</v>
      </c>
      <c r="F351" s="832" t="s">
        <v>3367</v>
      </c>
      <c r="G351" s="1931" t="n">
        <v>20</v>
      </c>
      <c r="H351" s="1931" t="n">
        <v>10</v>
      </c>
      <c r="I351" s="837" t="n">
        <f aca="false">G351*H351</f>
        <v>200</v>
      </c>
      <c r="J351" s="1059" t="n">
        <v>18.55</v>
      </c>
      <c r="K351" s="943" t="n">
        <f aca="false">I351*J351</f>
        <v>3710</v>
      </c>
      <c r="L351" s="2007" t="n">
        <v>3710</v>
      </c>
      <c r="M351" s="886" t="n">
        <v>200</v>
      </c>
      <c r="N351" s="886" t="n">
        <f aca="false">M351/H351</f>
        <v>20</v>
      </c>
      <c r="O351" s="1036" t="s">
        <v>657</v>
      </c>
      <c r="P351" s="1948" t="n">
        <f aca="false">K351-L351-L357-L356-L352-L353-L355-L354</f>
        <v>0</v>
      </c>
      <c r="Q351" s="1934" t="n">
        <f aca="false">I351-M351-M357-M356-M352-M353-M355-M354</f>
        <v>0</v>
      </c>
      <c r="R351" s="1935" t="n">
        <f aca="false">G351-N351-N357-N356-N352-N353-N355-N354</f>
        <v>0</v>
      </c>
    </row>
    <row r="352" customFormat="false" ht="14.25" hidden="false" customHeight="false" outlineLevel="0" collapsed="false">
      <c r="A352" s="882"/>
      <c r="B352" s="830"/>
      <c r="C352" s="1930"/>
      <c r="D352" s="848" t="s">
        <v>11</v>
      </c>
      <c r="E352" s="1479" t="s">
        <v>1651</v>
      </c>
      <c r="F352" s="832"/>
      <c r="G352" s="1931"/>
      <c r="H352" s="1931"/>
      <c r="I352" s="837"/>
      <c r="J352" s="1059"/>
      <c r="K352" s="943"/>
      <c r="L352" s="1679" t="n">
        <v>5565</v>
      </c>
      <c r="M352" s="866" t="n">
        <v>300</v>
      </c>
      <c r="N352" s="866" t="n">
        <f aca="false">M352/H351</f>
        <v>30</v>
      </c>
      <c r="O352" s="543" t="s">
        <v>624</v>
      </c>
      <c r="P352" s="1948"/>
      <c r="Q352" s="1934"/>
      <c r="R352" s="1935"/>
    </row>
    <row r="353" customFormat="false" ht="14.25" hidden="false" customHeight="false" outlineLevel="0" collapsed="false">
      <c r="A353" s="882"/>
      <c r="B353" s="830"/>
      <c r="C353" s="1930"/>
      <c r="D353" s="848" t="s">
        <v>11</v>
      </c>
      <c r="E353" s="1479" t="s">
        <v>1651</v>
      </c>
      <c r="F353" s="832"/>
      <c r="G353" s="1931"/>
      <c r="H353" s="1931"/>
      <c r="I353" s="837"/>
      <c r="J353" s="1059"/>
      <c r="K353" s="943"/>
      <c r="L353" s="1679" t="n">
        <v>5565</v>
      </c>
      <c r="M353" s="866" t="n">
        <v>300</v>
      </c>
      <c r="N353" s="866" t="n">
        <f aca="false">M353/H351</f>
        <v>30</v>
      </c>
      <c r="O353" s="543" t="s">
        <v>676</v>
      </c>
      <c r="P353" s="1948"/>
      <c r="Q353" s="1934"/>
      <c r="R353" s="1935"/>
    </row>
    <row r="354" customFormat="false" ht="14.25" hidden="false" customHeight="false" outlineLevel="0" collapsed="false">
      <c r="A354" s="882"/>
      <c r="B354" s="830"/>
      <c r="C354" s="1930"/>
      <c r="D354" s="848" t="s">
        <v>11</v>
      </c>
      <c r="E354" s="1479" t="s">
        <v>1651</v>
      </c>
      <c r="F354" s="832"/>
      <c r="G354" s="1931"/>
      <c r="H354" s="1931"/>
      <c r="I354" s="837"/>
      <c r="J354" s="1059"/>
      <c r="K354" s="943"/>
      <c r="L354" s="1679" t="n">
        <v>5565</v>
      </c>
      <c r="M354" s="866" t="n">
        <v>300</v>
      </c>
      <c r="N354" s="866" t="n">
        <f aca="false">M354/H351</f>
        <v>30</v>
      </c>
      <c r="O354" s="543" t="s">
        <v>1375</v>
      </c>
      <c r="P354" s="1948"/>
      <c r="Q354" s="1934"/>
      <c r="R354" s="1935"/>
    </row>
    <row r="355" customFormat="false" ht="14.25" hidden="false" customHeight="false" outlineLevel="0" collapsed="false">
      <c r="A355" s="882"/>
      <c r="B355" s="830"/>
      <c r="C355" s="1930"/>
      <c r="D355" s="848" t="s">
        <v>11</v>
      </c>
      <c r="E355" s="1479" t="s">
        <v>1651</v>
      </c>
      <c r="F355" s="832"/>
      <c r="G355" s="1931"/>
      <c r="H355" s="1931"/>
      <c r="I355" s="837"/>
      <c r="J355" s="1059"/>
      <c r="K355" s="943"/>
      <c r="L355" s="1679" t="n">
        <v>-62328</v>
      </c>
      <c r="M355" s="866" t="n">
        <v>-3360</v>
      </c>
      <c r="N355" s="866" t="n">
        <f aca="false">M355/H351</f>
        <v>-336</v>
      </c>
      <c r="O355" s="543" t="s">
        <v>1634</v>
      </c>
      <c r="P355" s="1948"/>
      <c r="Q355" s="1934"/>
      <c r="R355" s="1935"/>
    </row>
    <row r="356" customFormat="false" ht="14.25" hidden="false" customHeight="false" outlineLevel="0" collapsed="false">
      <c r="A356" s="882"/>
      <c r="B356" s="830"/>
      <c r="C356" s="1930"/>
      <c r="D356" s="860" t="s">
        <v>11</v>
      </c>
      <c r="E356" s="1480" t="s">
        <v>1651</v>
      </c>
      <c r="F356" s="832"/>
      <c r="G356" s="1931"/>
      <c r="H356" s="1931"/>
      <c r="I356" s="837"/>
      <c r="J356" s="1059"/>
      <c r="K356" s="943"/>
      <c r="L356" s="1679" t="n">
        <v>37285.5</v>
      </c>
      <c r="M356" s="866" t="n">
        <v>2010</v>
      </c>
      <c r="N356" s="866" t="n">
        <f aca="false">M356/H351</f>
        <v>201</v>
      </c>
      <c r="O356" s="543" t="s">
        <v>675</v>
      </c>
      <c r="P356" s="1948"/>
      <c r="Q356" s="1934"/>
      <c r="R356" s="1935"/>
    </row>
    <row r="357" customFormat="false" ht="14.25" hidden="false" customHeight="false" outlineLevel="0" collapsed="false">
      <c r="A357" s="882"/>
      <c r="B357" s="830"/>
      <c r="C357" s="1930"/>
      <c r="D357" s="887" t="s">
        <v>11</v>
      </c>
      <c r="E357" s="1501" t="s">
        <v>1651</v>
      </c>
      <c r="F357" s="832"/>
      <c r="G357" s="1931"/>
      <c r="H357" s="1931"/>
      <c r="I357" s="837"/>
      <c r="J357" s="1059"/>
      <c r="K357" s="943"/>
      <c r="L357" s="1702" t="n">
        <v>8347.5</v>
      </c>
      <c r="M357" s="890" t="n">
        <v>450</v>
      </c>
      <c r="N357" s="890" t="n">
        <f aca="false">M357/H351</f>
        <v>45</v>
      </c>
      <c r="O357" s="1067" t="s">
        <v>625</v>
      </c>
      <c r="P357" s="1948"/>
      <c r="Q357" s="1934"/>
      <c r="R357" s="1935"/>
    </row>
    <row r="358" customFormat="false" ht="14.25" hidden="false" customHeight="false" outlineLevel="0" collapsed="false">
      <c r="A358" s="847" t="n">
        <v>449</v>
      </c>
      <c r="B358" s="847" t="n">
        <v>2024</v>
      </c>
      <c r="C358" s="2008" t="n">
        <v>45931</v>
      </c>
      <c r="D358" s="848" t="s">
        <v>11</v>
      </c>
      <c r="E358" s="1479" t="s">
        <v>1651</v>
      </c>
      <c r="F358" s="848" t="s">
        <v>3364</v>
      </c>
      <c r="G358" s="1967" t="n">
        <v>200</v>
      </c>
      <c r="H358" s="1967" t="n">
        <v>15</v>
      </c>
      <c r="I358" s="1380" t="n">
        <f aca="false">G358*H358</f>
        <v>3000</v>
      </c>
      <c r="J358" s="1544" t="n">
        <v>14</v>
      </c>
      <c r="K358" s="1968" t="n">
        <f aca="false">I358*J358</f>
        <v>42000</v>
      </c>
      <c r="L358" s="1678" t="n">
        <v>42000</v>
      </c>
      <c r="M358" s="854" t="n">
        <v>3000</v>
      </c>
      <c r="N358" s="891" t="n">
        <f aca="false">M358/H358</f>
        <v>200</v>
      </c>
      <c r="O358" s="537" t="s">
        <v>683</v>
      </c>
      <c r="P358" s="1983" t="n">
        <f aca="false">K358-L358</f>
        <v>0</v>
      </c>
      <c r="Q358" s="1970" t="n">
        <f aca="false">I358-M358</f>
        <v>0</v>
      </c>
      <c r="R358" s="1971" t="n">
        <f aca="false">G358-N358</f>
        <v>0</v>
      </c>
    </row>
    <row r="359" customFormat="false" ht="14.25" hidden="false" customHeight="false" outlineLevel="0" collapsed="false">
      <c r="A359" s="870" t="s">
        <v>3410</v>
      </c>
      <c r="B359" s="870" t="n">
        <v>2024</v>
      </c>
      <c r="C359" s="1955" t="n">
        <v>45931</v>
      </c>
      <c r="D359" s="871" t="s">
        <v>11</v>
      </c>
      <c r="E359" s="1478" t="s">
        <v>1651</v>
      </c>
      <c r="F359" s="871" t="s">
        <v>3364</v>
      </c>
      <c r="G359" s="1956" t="n">
        <v>200</v>
      </c>
      <c r="H359" s="1956" t="n">
        <v>15</v>
      </c>
      <c r="I359" s="1587" t="n">
        <f aca="false">G359*H359</f>
        <v>3000</v>
      </c>
      <c r="J359" s="1542" t="n">
        <v>14.3657</v>
      </c>
      <c r="K359" s="1958" t="n">
        <f aca="false">I359*J359</f>
        <v>43097.1</v>
      </c>
      <c r="L359" s="1680" t="n">
        <v>43097.1</v>
      </c>
      <c r="M359" s="877" t="n">
        <v>3000</v>
      </c>
      <c r="N359" s="877" t="n">
        <f aca="false">M359/H359</f>
        <v>200</v>
      </c>
      <c r="O359" s="553" t="s">
        <v>1634</v>
      </c>
      <c r="P359" s="1959" t="n">
        <f aca="false">K359-L359</f>
        <v>0</v>
      </c>
      <c r="Q359" s="1960" t="n">
        <f aca="false">I359-M359</f>
        <v>0</v>
      </c>
      <c r="R359" s="1961" t="n">
        <f aca="false">G359-N359</f>
        <v>0</v>
      </c>
    </row>
    <row r="360" customFormat="false" ht="14.25" hidden="false" customHeight="false" outlineLevel="0" collapsed="false">
      <c r="A360" s="829" t="n">
        <v>450</v>
      </c>
      <c r="B360" s="830" t="n">
        <v>2024</v>
      </c>
      <c r="C360" s="1930" t="n">
        <v>45931</v>
      </c>
      <c r="D360" s="831" t="s">
        <v>11</v>
      </c>
      <c r="E360" s="1365" t="s">
        <v>1651</v>
      </c>
      <c r="F360" s="832" t="s">
        <v>3364</v>
      </c>
      <c r="G360" s="1931" t="n">
        <v>437</v>
      </c>
      <c r="H360" s="1931" t="n">
        <v>15</v>
      </c>
      <c r="I360" s="837" t="n">
        <f aca="false">G360*H360</f>
        <v>6555</v>
      </c>
      <c r="J360" s="1059" t="n">
        <v>14.3844</v>
      </c>
      <c r="K360" s="943" t="n">
        <f aca="false">I360*J360</f>
        <v>94289.742</v>
      </c>
      <c r="L360" s="1681" t="n">
        <v>21576.6</v>
      </c>
      <c r="M360" s="840" t="n">
        <v>1500</v>
      </c>
      <c r="N360" s="886" t="n">
        <f aca="false">M360/H360</f>
        <v>100</v>
      </c>
      <c r="O360" s="1114" t="s">
        <v>618</v>
      </c>
      <c r="P360" s="1934" t="n">
        <f aca="false">K360-L360-L366-L367-L361-L362-L365-L364-L363</f>
        <v>-5.91171556152403E-012</v>
      </c>
      <c r="Q360" s="1934" t="n">
        <f aca="false">I360-M360-M366-M367-M361-M362-M365-M364-M363</f>
        <v>0</v>
      </c>
      <c r="R360" s="1935" t="n">
        <f aca="false">G360-N360-N366-N367-N361-N362-N365-N364-N363</f>
        <v>0</v>
      </c>
    </row>
    <row r="361" customFormat="false" ht="14.25" hidden="false" customHeight="false" outlineLevel="0" collapsed="false">
      <c r="A361" s="829"/>
      <c r="B361" s="830"/>
      <c r="C361" s="1930"/>
      <c r="D361" s="848" t="s">
        <v>11</v>
      </c>
      <c r="E361" s="1479" t="s">
        <v>1651</v>
      </c>
      <c r="F361" s="832"/>
      <c r="G361" s="1931"/>
      <c r="H361" s="1931"/>
      <c r="I361" s="837"/>
      <c r="J361" s="1059"/>
      <c r="K361" s="943"/>
      <c r="L361" s="1678" t="n">
        <v>647.7298</v>
      </c>
      <c r="M361" s="854" t="n">
        <v>45</v>
      </c>
      <c r="N361" s="866" t="n">
        <f aca="false">M361/H360</f>
        <v>3</v>
      </c>
      <c r="O361" s="537" t="s">
        <v>637</v>
      </c>
      <c r="P361" s="1934"/>
      <c r="Q361" s="1934"/>
      <c r="R361" s="1935"/>
    </row>
    <row r="362" customFormat="false" ht="14.25" hidden="false" customHeight="false" outlineLevel="0" collapsed="false">
      <c r="A362" s="829"/>
      <c r="B362" s="830"/>
      <c r="C362" s="1930"/>
      <c r="D362" s="848" t="s">
        <v>11</v>
      </c>
      <c r="E362" s="1479" t="s">
        <v>1651</v>
      </c>
      <c r="F362" s="832"/>
      <c r="G362" s="1931"/>
      <c r="H362" s="1931"/>
      <c r="I362" s="837"/>
      <c r="J362" s="1059"/>
      <c r="K362" s="943"/>
      <c r="L362" s="1678" t="n">
        <v>431.532</v>
      </c>
      <c r="M362" s="854" t="n">
        <v>30</v>
      </c>
      <c r="N362" s="866" t="n">
        <f aca="false">M362/H360</f>
        <v>2</v>
      </c>
      <c r="O362" s="537" t="s">
        <v>672</v>
      </c>
      <c r="P362" s="1934"/>
      <c r="Q362" s="1934"/>
      <c r="R362" s="1935"/>
    </row>
    <row r="363" customFormat="false" ht="14.25" hidden="false" customHeight="false" outlineLevel="0" collapsed="false">
      <c r="A363" s="829"/>
      <c r="B363" s="830"/>
      <c r="C363" s="1930"/>
      <c r="D363" s="848" t="s">
        <v>11</v>
      </c>
      <c r="E363" s="1479" t="s">
        <v>1651</v>
      </c>
      <c r="F363" s="832"/>
      <c r="G363" s="1931"/>
      <c r="H363" s="1931"/>
      <c r="I363" s="837"/>
      <c r="J363" s="1059"/>
      <c r="K363" s="943"/>
      <c r="L363" s="1678" t="n">
        <v>2157.2282</v>
      </c>
      <c r="M363" s="854" t="n">
        <v>150</v>
      </c>
      <c r="N363" s="866" t="n">
        <f aca="false">M363/H360</f>
        <v>10</v>
      </c>
      <c r="O363" s="537" t="s">
        <v>783</v>
      </c>
      <c r="P363" s="1934"/>
      <c r="Q363" s="1934"/>
      <c r="R363" s="1935"/>
    </row>
    <row r="364" customFormat="false" ht="14.25" hidden="false" customHeight="false" outlineLevel="0" collapsed="false">
      <c r="A364" s="829"/>
      <c r="B364" s="830"/>
      <c r="C364" s="1930"/>
      <c r="D364" s="848" t="s">
        <v>11</v>
      </c>
      <c r="E364" s="1479" t="s">
        <v>1651</v>
      </c>
      <c r="F364" s="832"/>
      <c r="G364" s="1931"/>
      <c r="H364" s="1931"/>
      <c r="I364" s="837"/>
      <c r="J364" s="1059"/>
      <c r="K364" s="943"/>
      <c r="L364" s="1678" t="n">
        <v>22871.196</v>
      </c>
      <c r="M364" s="854" t="n">
        <v>1590</v>
      </c>
      <c r="N364" s="866" t="n">
        <f aca="false">M364/H360</f>
        <v>106</v>
      </c>
      <c r="O364" s="537" t="s">
        <v>581</v>
      </c>
      <c r="P364" s="1934"/>
      <c r="Q364" s="1934"/>
      <c r="R364" s="1935"/>
    </row>
    <row r="365" customFormat="false" ht="14.25" hidden="false" customHeight="false" outlineLevel="0" collapsed="false">
      <c r="A365" s="829"/>
      <c r="B365" s="830"/>
      <c r="C365" s="1930"/>
      <c r="D365" s="848" t="s">
        <v>11</v>
      </c>
      <c r="E365" s="1479" t="s">
        <v>1651</v>
      </c>
      <c r="F365" s="832"/>
      <c r="G365" s="1931"/>
      <c r="H365" s="1931"/>
      <c r="I365" s="837"/>
      <c r="J365" s="1059"/>
      <c r="K365" s="943"/>
      <c r="L365" s="1678" t="n">
        <v>3020.724</v>
      </c>
      <c r="M365" s="854" t="n">
        <v>210</v>
      </c>
      <c r="N365" s="866" t="n">
        <f aca="false">M365/H360</f>
        <v>14</v>
      </c>
      <c r="O365" s="537" t="s">
        <v>674</v>
      </c>
      <c r="P365" s="1934"/>
      <c r="Q365" s="1934"/>
      <c r="R365" s="1935"/>
    </row>
    <row r="366" customFormat="false" ht="14.25" hidden="false" customHeight="false" outlineLevel="0" collapsed="false">
      <c r="A366" s="829"/>
      <c r="B366" s="830"/>
      <c r="C366" s="1930"/>
      <c r="D366" s="860" t="s">
        <v>11</v>
      </c>
      <c r="E366" s="1480" t="s">
        <v>1651</v>
      </c>
      <c r="F366" s="832"/>
      <c r="G366" s="1931"/>
      <c r="H366" s="1931"/>
      <c r="I366" s="837"/>
      <c r="J366" s="1059"/>
      <c r="K366" s="943"/>
      <c r="L366" s="1679" t="n">
        <v>28912.644</v>
      </c>
      <c r="M366" s="866" t="n">
        <v>2010</v>
      </c>
      <c r="N366" s="866" t="n">
        <f aca="false">M366/H360</f>
        <v>134</v>
      </c>
      <c r="O366" s="543" t="s">
        <v>3411</v>
      </c>
      <c r="P366" s="1934"/>
      <c r="Q366" s="1934"/>
      <c r="R366" s="1935"/>
    </row>
    <row r="367" customFormat="false" ht="14.25" hidden="false" customHeight="false" outlineLevel="0" collapsed="false">
      <c r="A367" s="829"/>
      <c r="B367" s="830"/>
      <c r="C367" s="1930"/>
      <c r="D367" s="843" t="s">
        <v>11</v>
      </c>
      <c r="E367" s="1357" t="s">
        <v>1651</v>
      </c>
      <c r="F367" s="832"/>
      <c r="G367" s="1931"/>
      <c r="H367" s="1931"/>
      <c r="I367" s="837"/>
      <c r="J367" s="1059"/>
      <c r="K367" s="943"/>
      <c r="L367" s="1682" t="n">
        <v>14672.088</v>
      </c>
      <c r="M367" s="846" t="n">
        <v>1020</v>
      </c>
      <c r="N367" s="846" t="n">
        <f aca="false">M367/H360</f>
        <v>68</v>
      </c>
      <c r="O367" s="589" t="s">
        <v>707</v>
      </c>
      <c r="P367" s="1934"/>
      <c r="Q367" s="1934"/>
      <c r="R367" s="1935"/>
    </row>
    <row r="368" customFormat="false" ht="14.25" hidden="false" customHeight="false" outlineLevel="0" collapsed="false">
      <c r="A368" s="1060" t="n">
        <v>510</v>
      </c>
      <c r="B368" s="1061" t="n">
        <v>2024</v>
      </c>
      <c r="C368" s="1949" t="n">
        <v>45931</v>
      </c>
      <c r="D368" s="904" t="s">
        <v>11</v>
      </c>
      <c r="E368" s="1351" t="s">
        <v>1651</v>
      </c>
      <c r="F368" s="887" t="s">
        <v>3367</v>
      </c>
      <c r="G368" s="1950" t="n">
        <v>190</v>
      </c>
      <c r="H368" s="1950" t="n">
        <v>10</v>
      </c>
      <c r="I368" s="1067" t="n">
        <f aca="false">G368*H368</f>
        <v>1900</v>
      </c>
      <c r="J368" s="1063" t="n">
        <v>14.2071</v>
      </c>
      <c r="K368" s="1452" t="n">
        <f aca="false">I368*J368</f>
        <v>26993.49</v>
      </c>
      <c r="L368" s="2002" t="n">
        <v>18753.372</v>
      </c>
      <c r="M368" s="891" t="n">
        <v>1320</v>
      </c>
      <c r="N368" s="891" t="n">
        <f aca="false">M368/H368</f>
        <v>132</v>
      </c>
      <c r="O368" s="942" t="s">
        <v>3412</v>
      </c>
      <c r="P368" s="1953" t="n">
        <f aca="false">K368-L368-L371-L370-L369</f>
        <v>2.1032064978499E-012</v>
      </c>
      <c r="Q368" s="1953" t="n">
        <f aca="false">I368-M368-M371-M370-M369</f>
        <v>0</v>
      </c>
      <c r="R368" s="1954" t="n">
        <f aca="false">G368-N368-N371-N370-N369</f>
        <v>0</v>
      </c>
    </row>
    <row r="369" customFormat="false" ht="14.25" hidden="false" customHeight="false" outlineLevel="0" collapsed="false">
      <c r="A369" s="1060"/>
      <c r="B369" s="1061"/>
      <c r="C369" s="1949"/>
      <c r="D369" s="860" t="s">
        <v>11</v>
      </c>
      <c r="E369" s="1480" t="s">
        <v>1651</v>
      </c>
      <c r="F369" s="887"/>
      <c r="G369" s="1950"/>
      <c r="H369" s="1950"/>
      <c r="I369" s="1067"/>
      <c r="J369" s="1063"/>
      <c r="K369" s="1452"/>
      <c r="L369" s="1679" t="n">
        <v>284.142</v>
      </c>
      <c r="M369" s="866" t="n">
        <v>20</v>
      </c>
      <c r="N369" s="866" t="n">
        <f aca="false">M369/H368</f>
        <v>2</v>
      </c>
      <c r="O369" s="543" t="s">
        <v>1634</v>
      </c>
      <c r="P369" s="1953"/>
      <c r="Q369" s="1953"/>
      <c r="R369" s="1954"/>
    </row>
    <row r="370" customFormat="false" ht="14.25" hidden="false" customHeight="false" outlineLevel="0" collapsed="false">
      <c r="A370" s="1060"/>
      <c r="B370" s="1061"/>
      <c r="C370" s="1949"/>
      <c r="D370" s="860" t="s">
        <v>11</v>
      </c>
      <c r="E370" s="1480" t="s">
        <v>1651</v>
      </c>
      <c r="F370" s="887"/>
      <c r="G370" s="1950"/>
      <c r="H370" s="1950"/>
      <c r="I370" s="1067"/>
      <c r="J370" s="1063"/>
      <c r="K370" s="1452"/>
      <c r="L370" s="1679" t="n">
        <v>2131.065</v>
      </c>
      <c r="M370" s="866" t="n">
        <v>150</v>
      </c>
      <c r="N370" s="866" t="n">
        <f aca="false">M370/H368</f>
        <v>15</v>
      </c>
      <c r="O370" s="543" t="s">
        <v>652</v>
      </c>
      <c r="P370" s="1953"/>
      <c r="Q370" s="1953"/>
      <c r="R370" s="1954"/>
    </row>
    <row r="371" customFormat="false" ht="14.25" hidden="false" customHeight="false" outlineLevel="0" collapsed="false">
      <c r="A371" s="1060"/>
      <c r="B371" s="1061"/>
      <c r="C371" s="1949"/>
      <c r="D371" s="843" t="s">
        <v>11</v>
      </c>
      <c r="E371" s="1357" t="s">
        <v>1651</v>
      </c>
      <c r="F371" s="887"/>
      <c r="G371" s="1950"/>
      <c r="H371" s="1950"/>
      <c r="I371" s="1067"/>
      <c r="J371" s="1063"/>
      <c r="K371" s="1452"/>
      <c r="L371" s="1682" t="n">
        <v>5824.911</v>
      </c>
      <c r="M371" s="846" t="n">
        <v>410</v>
      </c>
      <c r="N371" s="846" t="n">
        <f aca="false">M371/H368</f>
        <v>41</v>
      </c>
      <c r="O371" s="589" t="s">
        <v>3413</v>
      </c>
      <c r="P371" s="1953"/>
      <c r="Q371" s="1953"/>
      <c r="R371" s="1954"/>
    </row>
    <row r="372" customFormat="false" ht="14.25" hidden="false" customHeight="false" outlineLevel="0" collapsed="false">
      <c r="A372" s="829" t="n">
        <v>511</v>
      </c>
      <c r="B372" s="830" t="n">
        <v>2024</v>
      </c>
      <c r="C372" s="1930" t="n">
        <v>45931</v>
      </c>
      <c r="D372" s="831" t="s">
        <v>11</v>
      </c>
      <c r="E372" s="1365" t="s">
        <v>1651</v>
      </c>
      <c r="F372" s="832" t="s">
        <v>3364</v>
      </c>
      <c r="G372" s="1931" t="n">
        <v>117</v>
      </c>
      <c r="H372" s="1931" t="n">
        <v>15</v>
      </c>
      <c r="I372" s="837" t="n">
        <f aca="false">G372*H372</f>
        <v>1755</v>
      </c>
      <c r="J372" s="1059" t="n">
        <v>14.4904</v>
      </c>
      <c r="K372" s="943" t="n">
        <f aca="false">I372*J372</f>
        <v>25430.652</v>
      </c>
      <c r="L372" s="1681" t="n">
        <v>24343.872</v>
      </c>
      <c r="M372" s="840" t="n">
        <v>1680</v>
      </c>
      <c r="N372" s="840" t="n">
        <f aca="false">M372/H372</f>
        <v>112</v>
      </c>
      <c r="O372" s="1114" t="s">
        <v>3412</v>
      </c>
      <c r="P372" s="1948" t="n">
        <f aca="false">K372-L372-L373</f>
        <v>0</v>
      </c>
      <c r="Q372" s="1934" t="n">
        <f aca="false">I372-M372-M373</f>
        <v>0</v>
      </c>
      <c r="R372" s="1935" t="n">
        <f aca="false">G372-N372-N373</f>
        <v>0</v>
      </c>
    </row>
    <row r="373" customFormat="false" ht="14.25" hidden="false" customHeight="false" outlineLevel="0" collapsed="false">
      <c r="A373" s="829"/>
      <c r="B373" s="830"/>
      <c r="C373" s="1930"/>
      <c r="D373" s="887" t="s">
        <v>11</v>
      </c>
      <c r="E373" s="1501" t="s">
        <v>1651</v>
      </c>
      <c r="F373" s="832"/>
      <c r="G373" s="1931"/>
      <c r="H373" s="1931"/>
      <c r="I373" s="837"/>
      <c r="J373" s="1059"/>
      <c r="K373" s="943"/>
      <c r="L373" s="1702" t="n">
        <v>1086.78</v>
      </c>
      <c r="M373" s="890" t="n">
        <v>75</v>
      </c>
      <c r="N373" s="890" t="n">
        <f aca="false">M373/H372</f>
        <v>5</v>
      </c>
      <c r="O373" s="1067" t="s">
        <v>647</v>
      </c>
      <c r="P373" s="1948"/>
      <c r="Q373" s="1934"/>
      <c r="R373" s="1935"/>
    </row>
    <row r="374" customFormat="false" ht="14.25" hidden="false" customHeight="false" outlineLevel="0" collapsed="false">
      <c r="A374" s="829" t="n">
        <v>536</v>
      </c>
      <c r="B374" s="830" t="n">
        <v>2024</v>
      </c>
      <c r="C374" s="1930" t="n">
        <v>45962</v>
      </c>
      <c r="D374" s="831" t="s">
        <v>11</v>
      </c>
      <c r="E374" s="1365" t="s">
        <v>1651</v>
      </c>
      <c r="F374" s="832" t="s">
        <v>3367</v>
      </c>
      <c r="G374" s="1931" t="n">
        <v>41</v>
      </c>
      <c r="H374" s="1931" t="n">
        <v>10</v>
      </c>
      <c r="I374" s="837" t="n">
        <f aca="false">G374*H374</f>
        <v>410</v>
      </c>
      <c r="J374" s="1059" t="n">
        <v>14.2071</v>
      </c>
      <c r="K374" s="943" t="n">
        <f aca="false">I374*J374</f>
        <v>5824.911</v>
      </c>
      <c r="L374" s="2007" t="n">
        <v>1420.71</v>
      </c>
      <c r="M374" s="886" t="n">
        <v>100</v>
      </c>
      <c r="N374" s="886" t="n">
        <f aca="false">M374/H374</f>
        <v>10</v>
      </c>
      <c r="O374" s="1036" t="s">
        <v>657</v>
      </c>
      <c r="P374" s="1948" t="n">
        <f aca="false">K374-L374-L378-L375-L377-L376</f>
        <v>0</v>
      </c>
      <c r="Q374" s="1934" t="n">
        <f aca="false">I374-M374-M378-M375-M377-M376</f>
        <v>0</v>
      </c>
      <c r="R374" s="1935" t="n">
        <f aca="false">G374-N374-N378-N375-N377-N376</f>
        <v>0</v>
      </c>
    </row>
    <row r="375" customFormat="false" ht="14.25" hidden="false" customHeight="false" outlineLevel="0" collapsed="false">
      <c r="A375" s="829"/>
      <c r="B375" s="830"/>
      <c r="C375" s="1930"/>
      <c r="D375" s="860" t="s">
        <v>11</v>
      </c>
      <c r="E375" s="1480" t="s">
        <v>1651</v>
      </c>
      <c r="F375" s="832"/>
      <c r="G375" s="1931"/>
      <c r="H375" s="1931"/>
      <c r="I375" s="837"/>
      <c r="J375" s="1059"/>
      <c r="K375" s="943"/>
      <c r="L375" s="1679" t="n">
        <v>1704.852</v>
      </c>
      <c r="M375" s="866" t="n">
        <v>120</v>
      </c>
      <c r="N375" s="866" t="n">
        <f aca="false">M375/H374</f>
        <v>12</v>
      </c>
      <c r="O375" s="543" t="s">
        <v>3414</v>
      </c>
      <c r="P375" s="1948"/>
      <c r="Q375" s="1934"/>
      <c r="R375" s="1935"/>
    </row>
    <row r="376" customFormat="false" ht="14.25" hidden="false" customHeight="false" outlineLevel="0" collapsed="false">
      <c r="A376" s="829"/>
      <c r="B376" s="830"/>
      <c r="C376" s="1930"/>
      <c r="D376" s="860" t="s">
        <v>11</v>
      </c>
      <c r="E376" s="1480" t="s">
        <v>1651</v>
      </c>
      <c r="F376" s="832"/>
      <c r="G376" s="1931"/>
      <c r="H376" s="1931"/>
      <c r="I376" s="837"/>
      <c r="J376" s="1059"/>
      <c r="K376" s="943"/>
      <c r="L376" s="1679" t="n">
        <v>-1421.71</v>
      </c>
      <c r="M376" s="866" t="n">
        <v>-100</v>
      </c>
      <c r="N376" s="866" t="n">
        <f aca="false">M376/H374</f>
        <v>-10</v>
      </c>
      <c r="O376" s="543" t="s">
        <v>1634</v>
      </c>
      <c r="P376" s="1948"/>
      <c r="Q376" s="1934"/>
      <c r="R376" s="1935"/>
    </row>
    <row r="377" customFormat="false" ht="14.25" hidden="false" customHeight="false" outlineLevel="0" collapsed="false">
      <c r="A377" s="829"/>
      <c r="B377" s="830"/>
      <c r="C377" s="1930"/>
      <c r="D377" s="860" t="s">
        <v>11</v>
      </c>
      <c r="E377" s="1480" t="s">
        <v>1651</v>
      </c>
      <c r="F377" s="832"/>
      <c r="G377" s="1931"/>
      <c r="H377" s="1931"/>
      <c r="I377" s="837"/>
      <c r="J377" s="1059"/>
      <c r="K377" s="943"/>
      <c r="L377" s="1679" t="n">
        <v>1278.639</v>
      </c>
      <c r="M377" s="866" t="n">
        <v>90</v>
      </c>
      <c r="N377" s="866" t="n">
        <f aca="false">M377/H374</f>
        <v>9</v>
      </c>
      <c r="O377" s="543" t="s">
        <v>850</v>
      </c>
      <c r="P377" s="1948"/>
      <c r="Q377" s="1934"/>
      <c r="R377" s="1935"/>
    </row>
    <row r="378" customFormat="false" ht="14.25" hidden="false" customHeight="false" outlineLevel="0" collapsed="false">
      <c r="A378" s="829"/>
      <c r="B378" s="830"/>
      <c r="C378" s="1930"/>
      <c r="D378" s="887" t="s">
        <v>11</v>
      </c>
      <c r="E378" s="1501" t="s">
        <v>1651</v>
      </c>
      <c r="F378" s="832"/>
      <c r="G378" s="1931"/>
      <c r="H378" s="1931"/>
      <c r="I378" s="837"/>
      <c r="J378" s="1059"/>
      <c r="K378" s="943"/>
      <c r="L378" s="1702" t="n">
        <v>2842.42</v>
      </c>
      <c r="M378" s="890" t="n">
        <v>200</v>
      </c>
      <c r="N378" s="890" t="n">
        <f aca="false">M378/H374</f>
        <v>20</v>
      </c>
      <c r="O378" s="1067" t="s">
        <v>705</v>
      </c>
      <c r="P378" s="1948"/>
      <c r="Q378" s="1934"/>
      <c r="R378" s="1935"/>
    </row>
    <row r="379" customFormat="false" ht="14.25" hidden="false" customHeight="false" outlineLevel="0" collapsed="false">
      <c r="A379" s="1344" t="s">
        <v>3415</v>
      </c>
      <c r="B379" s="903" t="n">
        <v>2024</v>
      </c>
      <c r="C379" s="1939" t="n">
        <v>45962</v>
      </c>
      <c r="D379" s="904" t="s">
        <v>11</v>
      </c>
      <c r="E379" s="1351" t="s">
        <v>1651</v>
      </c>
      <c r="F379" s="904" t="s">
        <v>3364</v>
      </c>
      <c r="G379" s="1940" t="n">
        <v>8</v>
      </c>
      <c r="H379" s="1940" t="n">
        <v>15</v>
      </c>
      <c r="I379" s="1587" t="n">
        <f aca="false">G379*H379</f>
        <v>120</v>
      </c>
      <c r="J379" s="1406" t="n">
        <v>14.2071</v>
      </c>
      <c r="K379" s="1958" t="n">
        <f aca="false">I379*J379</f>
        <v>1704.852</v>
      </c>
      <c r="L379" s="2002" t="n">
        <v>1704.852</v>
      </c>
      <c r="M379" s="891" t="n">
        <v>120</v>
      </c>
      <c r="N379" s="891" t="n">
        <f aca="false">M379/H379</f>
        <v>8</v>
      </c>
      <c r="O379" s="942"/>
      <c r="P379" s="1959" t="n">
        <f aca="false">K379-L379</f>
        <v>0</v>
      </c>
      <c r="Q379" s="1960" t="n">
        <f aca="false">I379-M379</f>
        <v>0</v>
      </c>
      <c r="R379" s="1961" t="n">
        <f aca="false">G379-N379</f>
        <v>0</v>
      </c>
    </row>
    <row r="380" customFormat="false" ht="14.25" hidden="false" customHeight="false" outlineLevel="0" collapsed="false">
      <c r="A380" s="829" t="n">
        <v>549</v>
      </c>
      <c r="B380" s="830" t="n">
        <v>2024</v>
      </c>
      <c r="C380" s="1930" t="n">
        <v>45962</v>
      </c>
      <c r="D380" s="831" t="s">
        <v>11</v>
      </c>
      <c r="E380" s="1365" t="s">
        <v>1651</v>
      </c>
      <c r="F380" s="832" t="s">
        <v>3364</v>
      </c>
      <c r="G380" s="1931" t="n">
        <v>200</v>
      </c>
      <c r="H380" s="1931" t="n">
        <v>15</v>
      </c>
      <c r="I380" s="837" t="n">
        <f aca="false">G380*H380</f>
        <v>3000</v>
      </c>
      <c r="J380" s="1059" t="n">
        <v>15.8195</v>
      </c>
      <c r="K380" s="943" t="n">
        <f aca="false">I380*J380</f>
        <v>47458.5</v>
      </c>
      <c r="L380" s="1681" t="n">
        <v>11864.625</v>
      </c>
      <c r="M380" s="840" t="n">
        <v>750</v>
      </c>
      <c r="N380" s="886" t="n">
        <f aca="false">M380/H380</f>
        <v>50</v>
      </c>
      <c r="O380" s="1114" t="s">
        <v>697</v>
      </c>
      <c r="P380" s="1948" t="n">
        <f aca="false">K380-L380-L384-L383-L381-L382</f>
        <v>0</v>
      </c>
      <c r="Q380" s="1934" t="n">
        <f aca="false">I380-M380-M384-M383-M381-M382</f>
        <v>0</v>
      </c>
      <c r="R380" s="1935" t="n">
        <f aca="false">G380-N380-N384-N383-N381-N382</f>
        <v>0</v>
      </c>
    </row>
    <row r="381" customFormat="false" ht="14.25" hidden="false" customHeight="false" outlineLevel="0" collapsed="false">
      <c r="A381" s="829"/>
      <c r="B381" s="830"/>
      <c r="C381" s="1930"/>
      <c r="D381" s="848" t="s">
        <v>11</v>
      </c>
      <c r="E381" s="1479" t="s">
        <v>1651</v>
      </c>
      <c r="F381" s="832"/>
      <c r="G381" s="1931"/>
      <c r="H381" s="1931"/>
      <c r="I381" s="837"/>
      <c r="J381" s="1059"/>
      <c r="K381" s="943"/>
      <c r="L381" s="1678" t="n">
        <v>11152.7475</v>
      </c>
      <c r="M381" s="854" t="n">
        <v>705</v>
      </c>
      <c r="N381" s="866" t="n">
        <f aca="false">M381/H380</f>
        <v>47</v>
      </c>
      <c r="O381" s="537" t="s">
        <v>620</v>
      </c>
      <c r="P381" s="1948"/>
      <c r="Q381" s="1934"/>
      <c r="R381" s="1935"/>
    </row>
    <row r="382" customFormat="false" ht="14.25" hidden="false" customHeight="false" outlineLevel="0" collapsed="false">
      <c r="A382" s="829"/>
      <c r="B382" s="830"/>
      <c r="C382" s="1930"/>
      <c r="D382" s="848" t="s">
        <v>11</v>
      </c>
      <c r="E382" s="1479" t="s">
        <v>1651</v>
      </c>
      <c r="F382" s="832"/>
      <c r="G382" s="1931"/>
      <c r="H382" s="1931"/>
      <c r="I382" s="837"/>
      <c r="J382" s="1059"/>
      <c r="K382" s="943"/>
      <c r="L382" s="1678" t="n">
        <v>4745.85</v>
      </c>
      <c r="M382" s="854" t="n">
        <v>300</v>
      </c>
      <c r="N382" s="866" t="n">
        <f aca="false">M382/H380</f>
        <v>20</v>
      </c>
      <c r="O382" s="537" t="s">
        <v>621</v>
      </c>
      <c r="P382" s="1948"/>
      <c r="Q382" s="1934"/>
      <c r="R382" s="1935"/>
    </row>
    <row r="383" customFormat="false" ht="14.25" hidden="false" customHeight="false" outlineLevel="0" collapsed="false">
      <c r="A383" s="829"/>
      <c r="B383" s="830"/>
      <c r="C383" s="1930"/>
      <c r="D383" s="860" t="s">
        <v>11</v>
      </c>
      <c r="E383" s="1480" t="s">
        <v>1651</v>
      </c>
      <c r="F383" s="832"/>
      <c r="G383" s="1931"/>
      <c r="H383" s="1931"/>
      <c r="I383" s="837"/>
      <c r="J383" s="1059"/>
      <c r="K383" s="943"/>
      <c r="L383" s="1679" t="n">
        <v>12101.9175</v>
      </c>
      <c r="M383" s="866" t="n">
        <v>765</v>
      </c>
      <c r="N383" s="866" t="n">
        <f aca="false">M383/H380</f>
        <v>51</v>
      </c>
      <c r="O383" s="543" t="s">
        <v>618</v>
      </c>
      <c r="P383" s="1948"/>
      <c r="Q383" s="1934"/>
      <c r="R383" s="1935"/>
    </row>
    <row r="384" customFormat="false" ht="14.25" hidden="false" customHeight="false" outlineLevel="0" collapsed="false">
      <c r="A384" s="829"/>
      <c r="B384" s="830"/>
      <c r="C384" s="1930"/>
      <c r="D384" s="887" t="s">
        <v>11</v>
      </c>
      <c r="E384" s="1501" t="s">
        <v>1651</v>
      </c>
      <c r="F384" s="832"/>
      <c r="G384" s="1931"/>
      <c r="H384" s="1931"/>
      <c r="I384" s="837"/>
      <c r="J384" s="1059"/>
      <c r="K384" s="943"/>
      <c r="L384" s="1702" t="n">
        <v>7593.36</v>
      </c>
      <c r="M384" s="890" t="n">
        <v>480</v>
      </c>
      <c r="N384" s="890" t="n">
        <f aca="false">M384/H380</f>
        <v>32</v>
      </c>
      <c r="O384" s="1067" t="s">
        <v>707</v>
      </c>
      <c r="P384" s="1948"/>
      <c r="Q384" s="1934"/>
      <c r="R384" s="1935"/>
    </row>
    <row r="385" customFormat="false" ht="14.25" hidden="false" customHeight="false" outlineLevel="0" collapsed="false">
      <c r="A385" s="903" t="n">
        <v>639</v>
      </c>
      <c r="B385" s="903" t="n">
        <v>2024</v>
      </c>
      <c r="C385" s="1939" t="n">
        <v>45992</v>
      </c>
      <c r="D385" s="904" t="s">
        <v>11</v>
      </c>
      <c r="E385" s="1351" t="s">
        <v>1651</v>
      </c>
      <c r="F385" s="904" t="s">
        <v>3375</v>
      </c>
      <c r="G385" s="1940" t="n">
        <v>5</v>
      </c>
      <c r="H385" s="1940" t="n">
        <v>15</v>
      </c>
      <c r="I385" s="1355" t="n">
        <f aca="false">G385*H385</f>
        <v>75</v>
      </c>
      <c r="J385" s="1406" t="n">
        <v>11.5335</v>
      </c>
      <c r="K385" s="1942" t="n">
        <f aca="false">I385*J385</f>
        <v>865.0125</v>
      </c>
      <c r="L385" s="2002" t="n">
        <v>865.0125</v>
      </c>
      <c r="M385" s="891" t="n">
        <v>75</v>
      </c>
      <c r="N385" s="891" t="n">
        <f aca="false">M385/H385</f>
        <v>5</v>
      </c>
      <c r="O385" s="942" t="s">
        <v>590</v>
      </c>
      <c r="P385" s="1947" t="n">
        <f aca="false">K385-L385</f>
        <v>0</v>
      </c>
      <c r="Q385" s="1945" t="n">
        <f aca="false">I385-M385</f>
        <v>0</v>
      </c>
      <c r="R385" s="1946" t="n">
        <f aca="false">G385-N385</f>
        <v>0</v>
      </c>
    </row>
    <row r="386" customFormat="false" ht="14.25" hidden="false" customHeight="false" outlineLevel="0" collapsed="false">
      <c r="A386" s="882" t="n">
        <v>643</v>
      </c>
      <c r="B386" s="830" t="n">
        <v>2024</v>
      </c>
      <c r="C386" s="1930" t="n">
        <v>45992</v>
      </c>
      <c r="D386" s="831" t="s">
        <v>11</v>
      </c>
      <c r="E386" s="1365" t="s">
        <v>1651</v>
      </c>
      <c r="F386" s="832" t="s">
        <v>3364</v>
      </c>
      <c r="G386" s="1931" t="n">
        <v>666</v>
      </c>
      <c r="H386" s="1931" t="n">
        <v>15</v>
      </c>
      <c r="I386" s="837" t="n">
        <f aca="false">G386*H386</f>
        <v>9990</v>
      </c>
      <c r="J386" s="1059" t="n">
        <v>11.5335</v>
      </c>
      <c r="K386" s="943" t="n">
        <f aca="false">I386*J386</f>
        <v>115219.665</v>
      </c>
      <c r="L386" s="1681" t="n">
        <v>11418.165</v>
      </c>
      <c r="M386" s="840" t="n">
        <v>990</v>
      </c>
      <c r="N386" s="886" t="n">
        <f aca="false">M386/H386</f>
        <v>66</v>
      </c>
      <c r="O386" s="1114" t="s">
        <v>3416</v>
      </c>
      <c r="P386" s="1934" t="n">
        <f aca="false">K386-L386-L391-L387-L390-L389-L388</f>
        <v>25431.3675</v>
      </c>
      <c r="Q386" s="1934" t="n">
        <f aca="false">I386-M386-M391-M387-M390-M389-M388</f>
        <v>2205</v>
      </c>
      <c r="R386" s="1935" t="n">
        <f aca="false">G386-N386-N391-N387-N390-N389-N388</f>
        <v>147</v>
      </c>
    </row>
    <row r="387" customFormat="false" ht="14.25" hidden="false" customHeight="false" outlineLevel="0" collapsed="false">
      <c r="A387" s="882"/>
      <c r="B387" s="830"/>
      <c r="C387" s="1930"/>
      <c r="D387" s="860" t="s">
        <v>11</v>
      </c>
      <c r="E387" s="1480" t="s">
        <v>1651</v>
      </c>
      <c r="F387" s="832"/>
      <c r="G387" s="1931"/>
      <c r="H387" s="1931"/>
      <c r="I387" s="837"/>
      <c r="J387" s="1059"/>
      <c r="K387" s="943"/>
      <c r="L387" s="1679" t="n">
        <v>25431.3675</v>
      </c>
      <c r="M387" s="866" t="n">
        <v>2205</v>
      </c>
      <c r="N387" s="866" t="n">
        <f aca="false">M387/H386</f>
        <v>147</v>
      </c>
      <c r="O387" s="543" t="s">
        <v>902</v>
      </c>
      <c r="P387" s="1934"/>
      <c r="Q387" s="1934"/>
      <c r="R387" s="1935"/>
    </row>
    <row r="388" customFormat="false" ht="14.25" hidden="false" customHeight="false" outlineLevel="0" collapsed="false">
      <c r="A388" s="882"/>
      <c r="B388" s="830"/>
      <c r="C388" s="1930"/>
      <c r="D388" s="860" t="s">
        <v>11</v>
      </c>
      <c r="E388" s="1480" t="s">
        <v>1651</v>
      </c>
      <c r="F388" s="832"/>
      <c r="G388" s="1931"/>
      <c r="H388" s="1931"/>
      <c r="I388" s="837"/>
      <c r="J388" s="1059"/>
      <c r="K388" s="943"/>
      <c r="L388" s="1679" t="n">
        <v>-25431.3675</v>
      </c>
      <c r="M388" s="866" t="n">
        <v>-2205</v>
      </c>
      <c r="N388" s="866" t="n">
        <f aca="false">M388/H386</f>
        <v>-147</v>
      </c>
      <c r="O388" s="543" t="s">
        <v>1375</v>
      </c>
      <c r="P388" s="1934"/>
      <c r="Q388" s="1934"/>
      <c r="R388" s="1935"/>
    </row>
    <row r="389" customFormat="false" ht="14.25" hidden="false" customHeight="false" outlineLevel="0" collapsed="false">
      <c r="A389" s="882"/>
      <c r="B389" s="830"/>
      <c r="C389" s="1930"/>
      <c r="D389" s="860" t="s">
        <v>11</v>
      </c>
      <c r="E389" s="1480" t="s">
        <v>1651</v>
      </c>
      <c r="F389" s="832"/>
      <c r="G389" s="1931"/>
      <c r="H389" s="1931"/>
      <c r="I389" s="837"/>
      <c r="J389" s="1059"/>
      <c r="K389" s="943"/>
      <c r="L389" s="1679" t="n">
        <v>692.01</v>
      </c>
      <c r="M389" s="866" t="n">
        <v>60</v>
      </c>
      <c r="N389" s="866" t="n">
        <f aca="false">M389/H386</f>
        <v>4</v>
      </c>
      <c r="O389" s="543" t="s">
        <v>897</v>
      </c>
      <c r="P389" s="1934"/>
      <c r="Q389" s="1934"/>
      <c r="R389" s="1935"/>
    </row>
    <row r="390" customFormat="false" ht="14.25" hidden="false" customHeight="false" outlineLevel="0" collapsed="false">
      <c r="A390" s="882"/>
      <c r="B390" s="830"/>
      <c r="C390" s="1930"/>
      <c r="D390" s="860" t="s">
        <v>11</v>
      </c>
      <c r="E390" s="1480" t="s">
        <v>1651</v>
      </c>
      <c r="F390" s="832"/>
      <c r="G390" s="1931"/>
      <c r="H390" s="1931"/>
      <c r="I390" s="837"/>
      <c r="J390" s="1059"/>
      <c r="K390" s="943"/>
      <c r="L390" s="1679" t="n">
        <v>25777.3725</v>
      </c>
      <c r="M390" s="866" t="n">
        <v>2235</v>
      </c>
      <c r="N390" s="866" t="n">
        <f aca="false">M390/H386</f>
        <v>149</v>
      </c>
      <c r="O390" s="543" t="s">
        <v>708</v>
      </c>
      <c r="P390" s="1934"/>
      <c r="Q390" s="1934"/>
      <c r="R390" s="1935"/>
    </row>
    <row r="391" customFormat="false" ht="14.25" hidden="false" customHeight="false" outlineLevel="0" collapsed="false">
      <c r="A391" s="882"/>
      <c r="B391" s="830"/>
      <c r="C391" s="1930"/>
      <c r="D391" s="843" t="s">
        <v>11</v>
      </c>
      <c r="E391" s="1357" t="s">
        <v>1651</v>
      </c>
      <c r="F391" s="832"/>
      <c r="G391" s="1931"/>
      <c r="H391" s="1931"/>
      <c r="I391" s="837"/>
      <c r="J391" s="1059"/>
      <c r="K391" s="943"/>
      <c r="L391" s="1682" t="n">
        <v>51900.75</v>
      </c>
      <c r="M391" s="846" t="n">
        <v>4500</v>
      </c>
      <c r="N391" s="846" t="n">
        <f aca="false">M391/H386</f>
        <v>300</v>
      </c>
      <c r="O391" s="589" t="s">
        <v>903</v>
      </c>
      <c r="P391" s="1934"/>
      <c r="Q391" s="1934"/>
      <c r="R391" s="1935"/>
    </row>
    <row r="392" customFormat="false" ht="14.25" hidden="false" customHeight="false" outlineLevel="0" collapsed="false">
      <c r="A392" s="1087" t="n">
        <v>644</v>
      </c>
      <c r="B392" s="1061" t="n">
        <v>2024</v>
      </c>
      <c r="C392" s="1949" t="n">
        <v>45992</v>
      </c>
      <c r="D392" s="848" t="s">
        <v>11</v>
      </c>
      <c r="E392" s="1479" t="s">
        <v>1651</v>
      </c>
      <c r="F392" s="887" t="s">
        <v>3364</v>
      </c>
      <c r="G392" s="1950" t="n">
        <v>449</v>
      </c>
      <c r="H392" s="1950" t="n">
        <v>15</v>
      </c>
      <c r="I392" s="1067" t="n">
        <f aca="false">G392*H392</f>
        <v>6735</v>
      </c>
      <c r="J392" s="1063" t="n">
        <v>11.7389</v>
      </c>
      <c r="K392" s="1452" t="n">
        <f aca="false">I392*J392</f>
        <v>79061.4915</v>
      </c>
      <c r="L392" s="1678" t="n">
        <v>5634.672</v>
      </c>
      <c r="M392" s="854" t="n">
        <v>480</v>
      </c>
      <c r="N392" s="854" t="n">
        <f aca="false">M392/H392</f>
        <v>32</v>
      </c>
      <c r="O392" s="537" t="s">
        <v>915</v>
      </c>
      <c r="P392" s="1952" t="n">
        <f aca="false">K392-L392-L406-L405-L393-L394-L404-L395-L398-L403-L401-L400-L396-L397-L402-L399</f>
        <v>47014.2945</v>
      </c>
      <c r="Q392" s="1953" t="n">
        <f aca="false">I392-M392-M406-M405-M393-M394-M404-M395-M398-M403-M401-M400-M396-M397-M402-M399</f>
        <v>4005</v>
      </c>
      <c r="R392" s="1954" t="n">
        <f aca="false">G392-N392-N406-N405-N393-N394-N404-N395-N398-N403-N401-N400-N396-N397-N402-N399</f>
        <v>267</v>
      </c>
    </row>
    <row r="393" customFormat="false" ht="14.25" hidden="false" customHeight="false" outlineLevel="0" collapsed="false">
      <c r="A393" s="1087"/>
      <c r="B393" s="1061"/>
      <c r="C393" s="1949"/>
      <c r="D393" s="860" t="s">
        <v>11</v>
      </c>
      <c r="E393" s="1480" t="s">
        <v>1651</v>
      </c>
      <c r="F393" s="887"/>
      <c r="G393" s="1950"/>
      <c r="H393" s="1950"/>
      <c r="I393" s="1067"/>
      <c r="J393" s="1063"/>
      <c r="K393" s="1452"/>
      <c r="L393" s="1679" t="n">
        <v>3521.67</v>
      </c>
      <c r="M393" s="866" t="n">
        <v>300</v>
      </c>
      <c r="N393" s="854" t="n">
        <f aca="false">M393/H392</f>
        <v>20</v>
      </c>
      <c r="O393" s="543" t="s">
        <v>943</v>
      </c>
      <c r="P393" s="1952"/>
      <c r="Q393" s="1953"/>
      <c r="R393" s="1954"/>
    </row>
    <row r="394" customFormat="false" ht="14.25" hidden="false" customHeight="false" outlineLevel="0" collapsed="false">
      <c r="A394" s="1087"/>
      <c r="B394" s="1061"/>
      <c r="C394" s="1949"/>
      <c r="D394" s="860" t="s">
        <v>11</v>
      </c>
      <c r="E394" s="1480" t="s">
        <v>1651</v>
      </c>
      <c r="F394" s="887"/>
      <c r="G394" s="1950"/>
      <c r="H394" s="1950"/>
      <c r="I394" s="1067"/>
      <c r="J394" s="1063"/>
      <c r="K394" s="1452"/>
      <c r="L394" s="1679" t="n">
        <v>3521.67</v>
      </c>
      <c r="M394" s="866" t="n">
        <v>300</v>
      </c>
      <c r="N394" s="854" t="n">
        <f aca="false">M394/H392</f>
        <v>20</v>
      </c>
      <c r="O394" s="543" t="s">
        <v>944</v>
      </c>
      <c r="P394" s="1952"/>
      <c r="Q394" s="1953"/>
      <c r="R394" s="1954"/>
    </row>
    <row r="395" customFormat="false" ht="14.25" hidden="false" customHeight="false" outlineLevel="0" collapsed="false">
      <c r="A395" s="1087"/>
      <c r="B395" s="1061"/>
      <c r="C395" s="1949"/>
      <c r="D395" s="860" t="s">
        <v>11</v>
      </c>
      <c r="E395" s="1480" t="s">
        <v>1651</v>
      </c>
      <c r="F395" s="887"/>
      <c r="G395" s="1950"/>
      <c r="H395" s="1950"/>
      <c r="I395" s="1067"/>
      <c r="J395" s="1063"/>
      <c r="K395" s="1452"/>
      <c r="L395" s="1679" t="n">
        <v>1760.835</v>
      </c>
      <c r="M395" s="866" t="n">
        <v>150</v>
      </c>
      <c r="N395" s="854" t="n">
        <f aca="false">M395/H392</f>
        <v>10</v>
      </c>
      <c r="O395" s="543" t="s">
        <v>984</v>
      </c>
      <c r="P395" s="1952"/>
      <c r="Q395" s="1953"/>
      <c r="R395" s="1954"/>
    </row>
    <row r="396" customFormat="false" ht="14.25" hidden="false" customHeight="false" outlineLevel="0" collapsed="false">
      <c r="A396" s="1087"/>
      <c r="B396" s="1061"/>
      <c r="C396" s="1949"/>
      <c r="D396" s="860" t="s">
        <v>11</v>
      </c>
      <c r="E396" s="1480" t="s">
        <v>1651</v>
      </c>
      <c r="F396" s="887"/>
      <c r="G396" s="1950"/>
      <c r="H396" s="1950"/>
      <c r="I396" s="1067"/>
      <c r="J396" s="1063"/>
      <c r="K396" s="1452"/>
      <c r="L396" s="1679" t="n">
        <v>1760.835</v>
      </c>
      <c r="M396" s="866" t="n">
        <v>150</v>
      </c>
      <c r="N396" s="854" t="n">
        <f aca="false">M396/H392</f>
        <v>10</v>
      </c>
      <c r="O396" s="543" t="s">
        <v>3417</v>
      </c>
      <c r="P396" s="1952"/>
      <c r="Q396" s="1953"/>
      <c r="R396" s="1954"/>
    </row>
    <row r="397" customFormat="false" ht="14.25" hidden="false" customHeight="false" outlineLevel="0" collapsed="false">
      <c r="A397" s="1087"/>
      <c r="B397" s="1061"/>
      <c r="C397" s="1949"/>
      <c r="D397" s="860" t="s">
        <v>11</v>
      </c>
      <c r="E397" s="1480" t="s">
        <v>1651</v>
      </c>
      <c r="F397" s="887"/>
      <c r="G397" s="1950"/>
      <c r="H397" s="1950"/>
      <c r="I397" s="1067"/>
      <c r="J397" s="1063"/>
      <c r="K397" s="1452"/>
      <c r="L397" s="1679" t="n">
        <v>-528.2505</v>
      </c>
      <c r="M397" s="866" t="n">
        <v>-45</v>
      </c>
      <c r="N397" s="854" t="n">
        <f aca="false">M397/H392</f>
        <v>-3</v>
      </c>
      <c r="O397" s="543" t="s">
        <v>1634</v>
      </c>
      <c r="P397" s="1952"/>
      <c r="Q397" s="1953"/>
      <c r="R397" s="1954"/>
    </row>
    <row r="398" customFormat="false" ht="14.25" hidden="false" customHeight="false" outlineLevel="0" collapsed="false">
      <c r="A398" s="1087"/>
      <c r="B398" s="1061"/>
      <c r="C398" s="1949"/>
      <c r="D398" s="860" t="s">
        <v>11</v>
      </c>
      <c r="E398" s="1480" t="s">
        <v>1651</v>
      </c>
      <c r="F398" s="887"/>
      <c r="G398" s="1950"/>
      <c r="H398" s="1950"/>
      <c r="I398" s="1067"/>
      <c r="J398" s="1063"/>
      <c r="K398" s="1452"/>
      <c r="L398" s="1679" t="n">
        <v>1760.835</v>
      </c>
      <c r="M398" s="866" t="n">
        <v>150</v>
      </c>
      <c r="N398" s="854" t="n">
        <f aca="false">M398/H392</f>
        <v>10</v>
      </c>
      <c r="O398" s="543" t="s">
        <v>985</v>
      </c>
      <c r="P398" s="1952"/>
      <c r="Q398" s="1953"/>
      <c r="R398" s="1954"/>
    </row>
    <row r="399" customFormat="false" ht="14.25" hidden="false" customHeight="false" outlineLevel="0" collapsed="false">
      <c r="A399" s="1087"/>
      <c r="B399" s="1061"/>
      <c r="C399" s="1949"/>
      <c r="D399" s="860" t="s">
        <v>11</v>
      </c>
      <c r="E399" s="1480" t="s">
        <v>1651</v>
      </c>
      <c r="F399" s="887"/>
      <c r="G399" s="1950"/>
      <c r="H399" s="1950"/>
      <c r="I399" s="1067"/>
      <c r="J399" s="1063"/>
      <c r="K399" s="1452"/>
      <c r="L399" s="1679"/>
      <c r="M399" s="866"/>
      <c r="N399" s="854" t="n">
        <f aca="false">M399/H392</f>
        <v>0</v>
      </c>
      <c r="O399" s="543"/>
      <c r="P399" s="1952"/>
      <c r="Q399" s="1953"/>
      <c r="R399" s="1954"/>
    </row>
    <row r="400" customFormat="false" ht="14.25" hidden="false" customHeight="false" outlineLevel="0" collapsed="false">
      <c r="A400" s="1087"/>
      <c r="B400" s="1061"/>
      <c r="C400" s="1949"/>
      <c r="D400" s="860" t="s">
        <v>11</v>
      </c>
      <c r="E400" s="1480" t="s">
        <v>1651</v>
      </c>
      <c r="F400" s="887"/>
      <c r="G400" s="1950"/>
      <c r="H400" s="1950"/>
      <c r="I400" s="1067"/>
      <c r="J400" s="1063"/>
      <c r="K400" s="1452"/>
      <c r="L400" s="1679" t="n">
        <v>3521.67</v>
      </c>
      <c r="M400" s="866" t="n">
        <v>300</v>
      </c>
      <c r="N400" s="854" t="n">
        <f aca="false">M400/H392</f>
        <v>20</v>
      </c>
      <c r="O400" s="543" t="s">
        <v>1089</v>
      </c>
      <c r="P400" s="1952"/>
      <c r="Q400" s="1953"/>
      <c r="R400" s="1954"/>
    </row>
    <row r="401" customFormat="false" ht="14.25" hidden="false" customHeight="false" outlineLevel="0" collapsed="false">
      <c r="A401" s="1087"/>
      <c r="B401" s="1061"/>
      <c r="C401" s="1949"/>
      <c r="D401" s="860" t="s">
        <v>11</v>
      </c>
      <c r="E401" s="1480" t="s">
        <v>1651</v>
      </c>
      <c r="F401" s="887"/>
      <c r="G401" s="1950"/>
      <c r="H401" s="1950"/>
      <c r="I401" s="1067"/>
      <c r="J401" s="1063"/>
      <c r="K401" s="1452"/>
      <c r="L401" s="1679" t="n">
        <v>704.334</v>
      </c>
      <c r="M401" s="866" t="n">
        <v>60</v>
      </c>
      <c r="N401" s="854" t="n">
        <f aca="false">M401/H392</f>
        <v>4</v>
      </c>
      <c r="O401" s="543" t="s">
        <v>1038</v>
      </c>
      <c r="P401" s="1952"/>
      <c r="Q401" s="1953"/>
      <c r="R401" s="1954"/>
    </row>
    <row r="402" customFormat="false" ht="14.25" hidden="false" customHeight="false" outlineLevel="0" collapsed="false">
      <c r="A402" s="1087"/>
      <c r="B402" s="1061"/>
      <c r="C402" s="1949"/>
      <c r="D402" s="860" t="s">
        <v>11</v>
      </c>
      <c r="E402" s="1480" t="s">
        <v>1651</v>
      </c>
      <c r="F402" s="887"/>
      <c r="G402" s="1950"/>
      <c r="H402" s="1950"/>
      <c r="I402" s="1067"/>
      <c r="J402" s="1063"/>
      <c r="K402" s="1452"/>
      <c r="L402" s="1679" t="n">
        <v>1760.835</v>
      </c>
      <c r="M402" s="866" t="n">
        <v>150</v>
      </c>
      <c r="N402" s="854" t="n">
        <f aca="false">M402/H392</f>
        <v>10</v>
      </c>
      <c r="O402" s="543" t="s">
        <v>1357</v>
      </c>
      <c r="P402" s="1952"/>
      <c r="Q402" s="1953"/>
      <c r="R402" s="1954"/>
    </row>
    <row r="403" customFormat="false" ht="14.25" hidden="false" customHeight="false" outlineLevel="0" collapsed="false">
      <c r="A403" s="1087"/>
      <c r="B403" s="1061"/>
      <c r="C403" s="1949"/>
      <c r="D403" s="860" t="s">
        <v>11</v>
      </c>
      <c r="E403" s="1480" t="s">
        <v>1651</v>
      </c>
      <c r="F403" s="887"/>
      <c r="G403" s="1950"/>
      <c r="H403" s="1950"/>
      <c r="I403" s="1067"/>
      <c r="J403" s="1063"/>
      <c r="K403" s="1452"/>
      <c r="L403" s="1679" t="n">
        <v>704.334</v>
      </c>
      <c r="M403" s="866" t="n">
        <v>60</v>
      </c>
      <c r="N403" s="854" t="n">
        <f aca="false">M403/H392</f>
        <v>4</v>
      </c>
      <c r="O403" s="543" t="s">
        <v>1038</v>
      </c>
      <c r="P403" s="1952"/>
      <c r="Q403" s="1953"/>
      <c r="R403" s="1954"/>
    </row>
    <row r="404" customFormat="false" ht="14.25" hidden="false" customHeight="false" outlineLevel="0" collapsed="false">
      <c r="A404" s="1087"/>
      <c r="B404" s="1061"/>
      <c r="C404" s="1949"/>
      <c r="D404" s="860" t="s">
        <v>11</v>
      </c>
      <c r="E404" s="1480" t="s">
        <v>1651</v>
      </c>
      <c r="F404" s="887"/>
      <c r="G404" s="1950"/>
      <c r="H404" s="1950"/>
      <c r="I404" s="1067"/>
      <c r="J404" s="1063"/>
      <c r="K404" s="1452"/>
      <c r="L404" s="1679" t="n">
        <v>1760.835</v>
      </c>
      <c r="M404" s="866" t="n">
        <v>150</v>
      </c>
      <c r="N404" s="854" t="n">
        <f aca="false">M404/H392</f>
        <v>10</v>
      </c>
      <c r="O404" s="543" t="s">
        <v>946</v>
      </c>
      <c r="P404" s="1952"/>
      <c r="Q404" s="1953"/>
      <c r="R404" s="1954"/>
    </row>
    <row r="405" customFormat="false" ht="14.25" hidden="false" customHeight="false" outlineLevel="0" collapsed="false">
      <c r="A405" s="1087"/>
      <c r="B405" s="1061"/>
      <c r="C405" s="1949"/>
      <c r="D405" s="860" t="s">
        <v>11</v>
      </c>
      <c r="E405" s="1480" t="s">
        <v>1651</v>
      </c>
      <c r="F405" s="887"/>
      <c r="G405" s="1950"/>
      <c r="H405" s="1950"/>
      <c r="I405" s="1067"/>
      <c r="J405" s="1063"/>
      <c r="K405" s="1452"/>
      <c r="L405" s="1679" t="n">
        <v>176.0835</v>
      </c>
      <c r="M405" s="866" t="n">
        <v>15</v>
      </c>
      <c r="N405" s="866" t="n">
        <f aca="false">M405/H392</f>
        <v>1</v>
      </c>
      <c r="O405" s="543" t="s">
        <v>930</v>
      </c>
      <c r="P405" s="1952"/>
      <c r="Q405" s="1953"/>
      <c r="R405" s="1954"/>
    </row>
    <row r="406" customFormat="false" ht="14.25" hidden="false" customHeight="false" outlineLevel="0" collapsed="false">
      <c r="A406" s="1087"/>
      <c r="B406" s="1061"/>
      <c r="C406" s="1949"/>
      <c r="D406" s="843" t="s">
        <v>11</v>
      </c>
      <c r="E406" s="1357" t="s">
        <v>1651</v>
      </c>
      <c r="F406" s="887"/>
      <c r="G406" s="1950"/>
      <c r="H406" s="1950"/>
      <c r="I406" s="1067"/>
      <c r="J406" s="1063"/>
      <c r="K406" s="1452"/>
      <c r="L406" s="1682" t="n">
        <v>5986.839</v>
      </c>
      <c r="M406" s="846" t="n">
        <v>510</v>
      </c>
      <c r="N406" s="846" t="n">
        <f aca="false">M406/H392</f>
        <v>34</v>
      </c>
      <c r="O406" s="589" t="s">
        <v>3416</v>
      </c>
      <c r="P406" s="1952"/>
      <c r="Q406" s="1953"/>
      <c r="R406" s="1954"/>
    </row>
    <row r="407" customFormat="false" ht="14.25" hidden="false" customHeight="false" outlineLevel="0" collapsed="false">
      <c r="A407" s="903"/>
      <c r="B407" s="903"/>
      <c r="C407" s="1939"/>
      <c r="D407" s="904"/>
      <c r="E407" s="904"/>
      <c r="F407" s="904"/>
      <c r="G407" s="1940"/>
      <c r="H407" s="1940"/>
      <c r="I407" s="891"/>
      <c r="J407" s="946"/>
      <c r="K407" s="948"/>
      <c r="L407" s="1355"/>
      <c r="M407" s="891"/>
      <c r="N407" s="891"/>
      <c r="O407" s="942"/>
      <c r="P407" s="1964"/>
      <c r="Q407" s="1946"/>
      <c r="R407" s="1946"/>
    </row>
    <row r="408" customFormat="false" ht="14.25" hidden="false" customHeight="false" outlineLevel="0" collapsed="false">
      <c r="A408" s="882" t="n">
        <v>154</v>
      </c>
      <c r="B408" s="830" t="n">
        <v>2024</v>
      </c>
      <c r="C408" s="1930" t="n">
        <v>45717</v>
      </c>
      <c r="D408" s="831" t="s">
        <v>20</v>
      </c>
      <c r="E408" s="1365" t="s">
        <v>1652</v>
      </c>
      <c r="F408" s="832" t="s">
        <v>3364</v>
      </c>
      <c r="G408" s="1931" t="n">
        <v>302</v>
      </c>
      <c r="H408" s="1931" t="n">
        <v>15</v>
      </c>
      <c r="I408" s="837" t="n">
        <f aca="false">G408*H408</f>
        <v>4530</v>
      </c>
      <c r="J408" s="1059" t="n">
        <v>37.856</v>
      </c>
      <c r="K408" s="943" t="n">
        <f aca="false">I408*J408</f>
        <v>171487.68</v>
      </c>
      <c r="L408" s="1369" t="n">
        <v>1703.52</v>
      </c>
      <c r="M408" s="840" t="n">
        <v>45</v>
      </c>
      <c r="N408" s="886" t="n">
        <f aca="false">M408/H408</f>
        <v>3</v>
      </c>
      <c r="O408" s="1114" t="n">
        <v>86773</v>
      </c>
      <c r="P408" s="1934" t="n">
        <f aca="false">K408-L408-L413-L409-L412-L410-L411</f>
        <v>2.55795384873636E-011</v>
      </c>
      <c r="Q408" s="1934" t="n">
        <f aca="false">I408-M408-M413-M409-M412-M410-M411</f>
        <v>0</v>
      </c>
      <c r="R408" s="1935" t="n">
        <f aca="false">G408-N408-N413-N409-N412-N410-N411</f>
        <v>0</v>
      </c>
    </row>
    <row r="409" customFormat="false" ht="14.25" hidden="false" customHeight="false" outlineLevel="0" collapsed="false">
      <c r="A409" s="882"/>
      <c r="B409" s="830"/>
      <c r="C409" s="1930"/>
      <c r="D409" s="860" t="s">
        <v>20</v>
      </c>
      <c r="E409" s="1480" t="s">
        <v>1652</v>
      </c>
      <c r="F409" s="832"/>
      <c r="G409" s="1931"/>
      <c r="H409" s="1931"/>
      <c r="I409" s="837"/>
      <c r="J409" s="1059"/>
      <c r="K409" s="943"/>
      <c r="L409" s="1521" t="n">
        <v>2271.36</v>
      </c>
      <c r="M409" s="866" t="n">
        <v>60</v>
      </c>
      <c r="N409" s="866" t="n">
        <f aca="false">M409/H408</f>
        <v>4</v>
      </c>
      <c r="O409" s="543" t="n">
        <v>86808</v>
      </c>
      <c r="P409" s="1934"/>
      <c r="Q409" s="1934"/>
      <c r="R409" s="1935"/>
    </row>
    <row r="410" customFormat="false" ht="14.25" hidden="false" customHeight="false" outlineLevel="0" collapsed="false">
      <c r="A410" s="882"/>
      <c r="B410" s="830"/>
      <c r="C410" s="1930"/>
      <c r="D410" s="860" t="s">
        <v>20</v>
      </c>
      <c r="E410" s="1480" t="s">
        <v>1652</v>
      </c>
      <c r="F410" s="832"/>
      <c r="G410" s="1931"/>
      <c r="H410" s="1931"/>
      <c r="I410" s="837"/>
      <c r="J410" s="1059"/>
      <c r="K410" s="943"/>
      <c r="L410" s="1521" t="n">
        <v>163537.92</v>
      </c>
      <c r="M410" s="866" t="n">
        <v>4320</v>
      </c>
      <c r="N410" s="866" t="n">
        <f aca="false">M410/H408</f>
        <v>288</v>
      </c>
      <c r="O410" s="543" t="s">
        <v>449</v>
      </c>
      <c r="P410" s="1934"/>
      <c r="Q410" s="1934"/>
      <c r="R410" s="1935"/>
    </row>
    <row r="411" customFormat="false" ht="14.25" hidden="false" customHeight="false" outlineLevel="0" collapsed="false">
      <c r="A411" s="882"/>
      <c r="B411" s="830"/>
      <c r="C411" s="1930"/>
      <c r="D411" s="860" t="s">
        <v>20</v>
      </c>
      <c r="E411" s="1480" t="s">
        <v>1652</v>
      </c>
      <c r="F411" s="832"/>
      <c r="G411" s="1931"/>
      <c r="H411" s="1931"/>
      <c r="I411" s="837"/>
      <c r="J411" s="1059"/>
      <c r="K411" s="943"/>
      <c r="L411" s="1521" t="n">
        <v>567.84</v>
      </c>
      <c r="M411" s="866" t="n">
        <v>15</v>
      </c>
      <c r="N411" s="866" t="n">
        <f aca="false">M411/H408</f>
        <v>1</v>
      </c>
      <c r="O411" s="543" t="s">
        <v>738</v>
      </c>
      <c r="P411" s="1934"/>
      <c r="Q411" s="1934"/>
      <c r="R411" s="1935"/>
    </row>
    <row r="412" customFormat="false" ht="14.25" hidden="false" customHeight="false" outlineLevel="0" collapsed="false">
      <c r="A412" s="882"/>
      <c r="B412" s="830"/>
      <c r="C412" s="1930"/>
      <c r="D412" s="860" t="s">
        <v>20</v>
      </c>
      <c r="E412" s="1480" t="s">
        <v>1652</v>
      </c>
      <c r="F412" s="832"/>
      <c r="G412" s="1931"/>
      <c r="H412" s="1931"/>
      <c r="I412" s="837"/>
      <c r="J412" s="1059"/>
      <c r="K412" s="943"/>
      <c r="L412" s="1521" t="n">
        <v>1703.52</v>
      </c>
      <c r="M412" s="866" t="n">
        <v>45</v>
      </c>
      <c r="N412" s="866" t="n">
        <f aca="false">M412/H408</f>
        <v>3</v>
      </c>
      <c r="O412" s="543" t="n">
        <v>86809</v>
      </c>
      <c r="P412" s="1934"/>
      <c r="Q412" s="1934"/>
      <c r="R412" s="1935"/>
    </row>
    <row r="413" customFormat="false" ht="14.25" hidden="false" customHeight="false" outlineLevel="0" collapsed="false">
      <c r="A413" s="882"/>
      <c r="B413" s="830"/>
      <c r="C413" s="1930"/>
      <c r="D413" s="843" t="s">
        <v>20</v>
      </c>
      <c r="E413" s="1357" t="s">
        <v>1652</v>
      </c>
      <c r="F413" s="832"/>
      <c r="G413" s="1931"/>
      <c r="H413" s="1931"/>
      <c r="I413" s="837"/>
      <c r="J413" s="1059"/>
      <c r="K413" s="943"/>
      <c r="L413" s="1362" t="n">
        <v>1703.52</v>
      </c>
      <c r="M413" s="846" t="n">
        <v>45</v>
      </c>
      <c r="N413" s="846" t="n">
        <f aca="false">M413/H408</f>
        <v>3</v>
      </c>
      <c r="O413" s="589" t="n">
        <v>86775</v>
      </c>
      <c r="P413" s="1934"/>
      <c r="Q413" s="1934"/>
      <c r="R413" s="1935"/>
    </row>
    <row r="414" customFormat="false" ht="14.25" hidden="false" customHeight="false" outlineLevel="0" collapsed="false">
      <c r="A414" s="903" t="n">
        <v>155</v>
      </c>
      <c r="B414" s="903" t="n">
        <v>2024</v>
      </c>
      <c r="C414" s="1939" t="n">
        <v>45717</v>
      </c>
      <c r="D414" s="904" t="s">
        <v>20</v>
      </c>
      <c r="E414" s="1351" t="s">
        <v>1652</v>
      </c>
      <c r="F414" s="1351" t="s">
        <v>3364</v>
      </c>
      <c r="G414" s="1351" t="n">
        <v>105</v>
      </c>
      <c r="H414" s="1351" t="n">
        <v>15</v>
      </c>
      <c r="I414" s="1355" t="n">
        <f aca="false">G414*H414</f>
        <v>1575</v>
      </c>
      <c r="J414" s="1154" t="n">
        <v>42.0491</v>
      </c>
      <c r="K414" s="1942" t="n">
        <f aca="false">I414*J414</f>
        <v>66227.3325</v>
      </c>
      <c r="L414" s="1355" t="n">
        <v>66227.3325</v>
      </c>
      <c r="M414" s="891" t="n">
        <v>1575</v>
      </c>
      <c r="N414" s="891" t="n">
        <f aca="false">M414/H414</f>
        <v>105</v>
      </c>
      <c r="O414" s="942"/>
      <c r="P414" s="1964" t="n">
        <f aca="false">K414-L414</f>
        <v>0</v>
      </c>
      <c r="Q414" s="1945" t="n">
        <f aca="false">I414-M414</f>
        <v>0</v>
      </c>
      <c r="R414" s="1946" t="n">
        <f aca="false">G414-N414</f>
        <v>0</v>
      </c>
    </row>
    <row r="415" customFormat="false" ht="14.25" hidden="false" customHeight="false" outlineLevel="0" collapsed="false">
      <c r="A415" s="1027" t="n">
        <v>301</v>
      </c>
      <c r="B415" s="1546" t="n">
        <v>2024</v>
      </c>
      <c r="C415" s="2006" t="n">
        <v>45870</v>
      </c>
      <c r="D415" s="831" t="s">
        <v>20</v>
      </c>
      <c r="E415" s="1365" t="s">
        <v>1652</v>
      </c>
      <c r="F415" s="1328" t="s">
        <v>3364</v>
      </c>
      <c r="G415" s="1976" t="n">
        <v>841</v>
      </c>
      <c r="H415" s="1976" t="n">
        <v>15</v>
      </c>
      <c r="I415" s="1036" t="n">
        <f aca="false">G415*H415</f>
        <v>12615</v>
      </c>
      <c r="J415" s="1557" t="n">
        <v>40.1204</v>
      </c>
      <c r="K415" s="1547" t="n">
        <f aca="false">I415*J415</f>
        <v>506118.846</v>
      </c>
      <c r="L415" s="1369" t="n">
        <v>401404.602</v>
      </c>
      <c r="M415" s="840" t="n">
        <v>10005</v>
      </c>
      <c r="N415" s="886" t="n">
        <f aca="false">M415/H415</f>
        <v>667</v>
      </c>
      <c r="O415" s="1114" t="s">
        <v>412</v>
      </c>
      <c r="P415" s="1984" t="n">
        <f aca="false">K415-L415-L417-L416</f>
        <v>0</v>
      </c>
      <c r="Q415" s="1978" t="n">
        <f aca="false">I415-M415-M417-M416</f>
        <v>0</v>
      </c>
      <c r="R415" s="1979" t="n">
        <f aca="false">G415-N415-N417-N416</f>
        <v>0</v>
      </c>
    </row>
    <row r="416" customFormat="false" ht="14.25" hidden="false" customHeight="false" outlineLevel="0" collapsed="false">
      <c r="A416" s="1027"/>
      <c r="B416" s="1546"/>
      <c r="C416" s="2006"/>
      <c r="D416" s="860" t="s">
        <v>20</v>
      </c>
      <c r="E416" s="1480" t="s">
        <v>1652</v>
      </c>
      <c r="F416" s="1328"/>
      <c r="G416" s="1976"/>
      <c r="H416" s="1976"/>
      <c r="I416" s="1036"/>
      <c r="J416" s="1557"/>
      <c r="K416" s="1547"/>
      <c r="L416" s="1521" t="n">
        <v>89067.288</v>
      </c>
      <c r="M416" s="866" t="n">
        <v>2220</v>
      </c>
      <c r="N416" s="866" t="n">
        <f aca="false">M416/H415</f>
        <v>148</v>
      </c>
      <c r="O416" s="543" t="s">
        <v>450</v>
      </c>
      <c r="P416" s="1984"/>
      <c r="Q416" s="1978"/>
      <c r="R416" s="1979"/>
    </row>
    <row r="417" customFormat="false" ht="14.25" hidden="false" customHeight="false" outlineLevel="0" collapsed="false">
      <c r="A417" s="1027"/>
      <c r="B417" s="1546"/>
      <c r="C417" s="2006"/>
      <c r="D417" s="904" t="s">
        <v>20</v>
      </c>
      <c r="E417" s="1351" t="s">
        <v>1652</v>
      </c>
      <c r="F417" s="1328"/>
      <c r="G417" s="1976"/>
      <c r="H417" s="1976"/>
      <c r="I417" s="1036"/>
      <c r="J417" s="1557"/>
      <c r="K417" s="1547"/>
      <c r="L417" s="1355" t="n">
        <v>15646.956</v>
      </c>
      <c r="M417" s="891" t="n">
        <v>390</v>
      </c>
      <c r="N417" s="891" t="n">
        <f aca="false">M417/H415</f>
        <v>26</v>
      </c>
      <c r="O417" s="942" t="s">
        <v>449</v>
      </c>
      <c r="P417" s="1984"/>
      <c r="Q417" s="1978"/>
      <c r="R417" s="1979"/>
    </row>
    <row r="418" customFormat="false" ht="14.25" hidden="false" customHeight="false" outlineLevel="0" collapsed="false">
      <c r="A418" s="829" t="n">
        <v>330</v>
      </c>
      <c r="B418" s="830" t="n">
        <v>2024</v>
      </c>
      <c r="C418" s="1930" t="n">
        <v>45870</v>
      </c>
      <c r="D418" s="831" t="s">
        <v>20</v>
      </c>
      <c r="E418" s="1365" t="s">
        <v>2619</v>
      </c>
      <c r="F418" s="832" t="s">
        <v>3364</v>
      </c>
      <c r="G418" s="1931" t="n">
        <v>33</v>
      </c>
      <c r="H418" s="1931" t="n">
        <v>30</v>
      </c>
      <c r="I418" s="837" t="n">
        <f aca="false">G418*H418</f>
        <v>990</v>
      </c>
      <c r="J418" s="1059" t="n">
        <v>94.8</v>
      </c>
      <c r="K418" s="943" t="n">
        <f aca="false">I418*J418</f>
        <v>93852</v>
      </c>
      <c r="L418" s="1369" t="n">
        <v>8532</v>
      </c>
      <c r="M418" s="840" t="n">
        <v>90</v>
      </c>
      <c r="N418" s="840" t="n">
        <f aca="false">M418/H418</f>
        <v>3</v>
      </c>
      <c r="O418" s="1114" t="s">
        <v>587</v>
      </c>
      <c r="P418" s="1948" t="n">
        <f aca="false">K418-L418-L419</f>
        <v>0</v>
      </c>
      <c r="Q418" s="1934" t="n">
        <f aca="false">I418-M418-M419</f>
        <v>0</v>
      </c>
      <c r="R418" s="1935" t="n">
        <f aca="false">G418-N418-N419</f>
        <v>0</v>
      </c>
    </row>
    <row r="419" customFormat="false" ht="14.25" hidden="false" customHeight="false" outlineLevel="0" collapsed="false">
      <c r="A419" s="829"/>
      <c r="B419" s="830"/>
      <c r="C419" s="1930"/>
      <c r="D419" s="843" t="s">
        <v>20</v>
      </c>
      <c r="E419" s="1357" t="s">
        <v>2619</v>
      </c>
      <c r="F419" s="832"/>
      <c r="G419" s="1931"/>
      <c r="H419" s="1931"/>
      <c r="I419" s="837"/>
      <c r="J419" s="1059"/>
      <c r="K419" s="943"/>
      <c r="L419" s="1362" t="n">
        <v>85320</v>
      </c>
      <c r="M419" s="846" t="n">
        <v>900</v>
      </c>
      <c r="N419" s="846" t="n">
        <f aca="false">M419/H418</f>
        <v>30</v>
      </c>
      <c r="O419" s="589" t="s">
        <v>1625</v>
      </c>
      <c r="P419" s="1948"/>
      <c r="Q419" s="1934"/>
      <c r="R419" s="1935"/>
    </row>
    <row r="420" customFormat="false" ht="14.25" hidden="false" customHeight="false" outlineLevel="0" collapsed="false">
      <c r="A420" s="903" t="n">
        <v>352</v>
      </c>
      <c r="B420" s="903" t="n">
        <v>2024</v>
      </c>
      <c r="C420" s="1939" t="n">
        <v>45901</v>
      </c>
      <c r="D420" s="904" t="s">
        <v>20</v>
      </c>
      <c r="E420" s="1351" t="s">
        <v>1652</v>
      </c>
      <c r="F420" s="1351" t="s">
        <v>3364</v>
      </c>
      <c r="G420" s="1351" t="n">
        <v>1333</v>
      </c>
      <c r="H420" s="1351" t="n">
        <v>15</v>
      </c>
      <c r="I420" s="1355" t="n">
        <f aca="false">G420*H420</f>
        <v>19995</v>
      </c>
      <c r="J420" s="1154" t="n">
        <v>36.6115</v>
      </c>
      <c r="K420" s="1942" t="n">
        <f aca="false">I420*J420</f>
        <v>732046.9425</v>
      </c>
      <c r="L420" s="1355" t="n">
        <v>732046.9425</v>
      </c>
      <c r="M420" s="891" t="n">
        <v>19995</v>
      </c>
      <c r="N420" s="891" t="n">
        <f aca="false">M420/H420</f>
        <v>1333</v>
      </c>
      <c r="O420" s="942" t="s">
        <v>450</v>
      </c>
      <c r="P420" s="1947" t="n">
        <f aca="false">K420-L420</f>
        <v>0</v>
      </c>
      <c r="Q420" s="1945" t="n">
        <f aca="false">I420-M420</f>
        <v>0</v>
      </c>
      <c r="R420" s="1946" t="n">
        <f aca="false">G420-N420</f>
        <v>0</v>
      </c>
    </row>
    <row r="421" customFormat="false" ht="14.25" hidden="false" customHeight="false" outlineLevel="0" collapsed="false">
      <c r="A421" s="1465" t="n">
        <v>353</v>
      </c>
      <c r="B421" s="1546" t="n">
        <v>2024</v>
      </c>
      <c r="C421" s="2006" t="n">
        <v>45901</v>
      </c>
      <c r="D421" s="831" t="s">
        <v>20</v>
      </c>
      <c r="E421" s="1365" t="s">
        <v>1652</v>
      </c>
      <c r="F421" s="1328" t="s">
        <v>3364</v>
      </c>
      <c r="G421" s="1976" t="n">
        <v>1333</v>
      </c>
      <c r="H421" s="1976" t="n">
        <v>15</v>
      </c>
      <c r="I421" s="1036" t="n">
        <f aca="false">G421*H421</f>
        <v>19995</v>
      </c>
      <c r="J421" s="1557" t="n">
        <v>36.6115</v>
      </c>
      <c r="K421" s="1547" t="n">
        <f aca="false">I421*J421</f>
        <v>732046.9425</v>
      </c>
      <c r="L421" s="1369" t="n">
        <v>549.1725</v>
      </c>
      <c r="M421" s="840" t="n">
        <v>15</v>
      </c>
      <c r="N421" s="886" t="n">
        <f aca="false">M421/H421</f>
        <v>1</v>
      </c>
      <c r="O421" s="1114" t="s">
        <v>449</v>
      </c>
      <c r="P421" s="1984" t="n">
        <f aca="false">K421-L421-L430-L429-L422-L428-L423-L424-L427-L425-L426</f>
        <v>0</v>
      </c>
      <c r="Q421" s="1978" t="n">
        <f aca="false">I421-M421-M430-M429-M422-M428-M423-M424-M427-M425-M426</f>
        <v>0</v>
      </c>
      <c r="R421" s="1979" t="n">
        <f aca="false">G421-N421-N430-N429-N422-N428-N423-N424-N427-N425-N426</f>
        <v>0</v>
      </c>
    </row>
    <row r="422" customFormat="false" ht="14.25" hidden="false" customHeight="false" outlineLevel="0" collapsed="false">
      <c r="A422" s="1465"/>
      <c r="B422" s="1546"/>
      <c r="C422" s="2006"/>
      <c r="D422" s="848" t="s">
        <v>20</v>
      </c>
      <c r="E422" s="1479" t="s">
        <v>1652</v>
      </c>
      <c r="F422" s="1328"/>
      <c r="G422" s="1976"/>
      <c r="H422" s="1976"/>
      <c r="I422" s="1036"/>
      <c r="J422" s="1557"/>
      <c r="K422" s="1547"/>
      <c r="L422" s="1380" t="n">
        <v>93359.325</v>
      </c>
      <c r="M422" s="854" t="n">
        <v>2550</v>
      </c>
      <c r="N422" s="866" t="n">
        <f aca="false">M422/H421</f>
        <v>170</v>
      </c>
      <c r="O422" s="537" t="s">
        <v>595</v>
      </c>
      <c r="P422" s="1984"/>
      <c r="Q422" s="1978"/>
      <c r="R422" s="1979"/>
    </row>
    <row r="423" customFormat="false" ht="14.25" hidden="false" customHeight="false" outlineLevel="0" collapsed="false">
      <c r="A423" s="1465"/>
      <c r="B423" s="1546"/>
      <c r="C423" s="2006"/>
      <c r="D423" s="848" t="s">
        <v>20</v>
      </c>
      <c r="E423" s="1479" t="s">
        <v>1652</v>
      </c>
      <c r="F423" s="1328"/>
      <c r="G423" s="1976"/>
      <c r="H423" s="1976"/>
      <c r="I423" s="1036"/>
      <c r="J423" s="1557"/>
      <c r="K423" s="1547"/>
      <c r="L423" s="1380" t="n">
        <v>113678.7075</v>
      </c>
      <c r="M423" s="854" t="n">
        <v>3105</v>
      </c>
      <c r="N423" s="866" t="n">
        <f aca="false">M423/H421</f>
        <v>207</v>
      </c>
      <c r="O423" s="537" t="s">
        <v>654</v>
      </c>
      <c r="P423" s="1984"/>
      <c r="Q423" s="1978"/>
      <c r="R423" s="1979"/>
    </row>
    <row r="424" customFormat="false" ht="14.25" hidden="false" customHeight="false" outlineLevel="0" collapsed="false">
      <c r="A424" s="1465"/>
      <c r="B424" s="1546"/>
      <c r="C424" s="2006"/>
      <c r="D424" s="848" t="s">
        <v>20</v>
      </c>
      <c r="E424" s="1479" t="s">
        <v>1652</v>
      </c>
      <c r="F424" s="1328"/>
      <c r="G424" s="1976"/>
      <c r="H424" s="1976"/>
      <c r="I424" s="1036"/>
      <c r="J424" s="1557"/>
      <c r="K424" s="1547"/>
      <c r="L424" s="1380" t="n">
        <v>5491.725</v>
      </c>
      <c r="M424" s="854" t="n">
        <v>150</v>
      </c>
      <c r="N424" s="866" t="n">
        <f aca="false">M424/H421</f>
        <v>10</v>
      </c>
      <c r="O424" s="537" t="s">
        <v>738</v>
      </c>
      <c r="P424" s="1984"/>
      <c r="Q424" s="1978"/>
      <c r="R424" s="1979"/>
    </row>
    <row r="425" customFormat="false" ht="14.25" hidden="false" customHeight="false" outlineLevel="0" collapsed="false">
      <c r="A425" s="1465"/>
      <c r="B425" s="1546"/>
      <c r="C425" s="2006"/>
      <c r="D425" s="848" t="s">
        <v>20</v>
      </c>
      <c r="E425" s="1479" t="s">
        <v>1652</v>
      </c>
      <c r="F425" s="1328"/>
      <c r="G425" s="1976"/>
      <c r="H425" s="1976"/>
      <c r="I425" s="1036"/>
      <c r="J425" s="1557"/>
      <c r="K425" s="1547"/>
      <c r="L425" s="1380" t="n">
        <v>5491.725</v>
      </c>
      <c r="M425" s="854" t="n">
        <v>150</v>
      </c>
      <c r="N425" s="866" t="n">
        <f aca="false">M425/H421</f>
        <v>10</v>
      </c>
      <c r="O425" s="537" t="s">
        <v>3418</v>
      </c>
      <c r="P425" s="1984"/>
      <c r="Q425" s="1978"/>
      <c r="R425" s="1979"/>
    </row>
    <row r="426" customFormat="false" ht="14.25" hidden="false" customHeight="false" outlineLevel="0" collapsed="false">
      <c r="A426" s="1465"/>
      <c r="B426" s="1546"/>
      <c r="C426" s="2006"/>
      <c r="D426" s="848" t="s">
        <v>20</v>
      </c>
      <c r="E426" s="1479" t="s">
        <v>1652</v>
      </c>
      <c r="F426" s="1328"/>
      <c r="G426" s="1976"/>
      <c r="H426" s="1976"/>
      <c r="I426" s="1036"/>
      <c r="J426" s="1557"/>
      <c r="K426" s="1547"/>
      <c r="L426" s="1380" t="n">
        <v>65351.5275</v>
      </c>
      <c r="M426" s="854" t="n">
        <v>1785</v>
      </c>
      <c r="N426" s="866" t="n">
        <f aca="false">M426/H421</f>
        <v>119</v>
      </c>
      <c r="O426" s="537" t="s">
        <v>1634</v>
      </c>
      <c r="P426" s="1984"/>
      <c r="Q426" s="1978"/>
      <c r="R426" s="1979"/>
    </row>
    <row r="427" customFormat="false" ht="14.25" hidden="false" customHeight="false" outlineLevel="0" collapsed="false">
      <c r="A427" s="1465"/>
      <c r="B427" s="1546"/>
      <c r="C427" s="2006"/>
      <c r="D427" s="848" t="s">
        <v>20</v>
      </c>
      <c r="E427" s="1479" t="s">
        <v>1652</v>
      </c>
      <c r="F427" s="1328"/>
      <c r="G427" s="1976"/>
      <c r="H427" s="1976"/>
      <c r="I427" s="1036"/>
      <c r="J427" s="1557"/>
      <c r="K427" s="1547"/>
      <c r="L427" s="1380" t="n">
        <v>21966.9</v>
      </c>
      <c r="M427" s="854" t="n">
        <v>600</v>
      </c>
      <c r="N427" s="866" t="n">
        <f aca="false">M427/H421</f>
        <v>40</v>
      </c>
      <c r="O427" s="537" t="s">
        <v>766</v>
      </c>
      <c r="P427" s="1984"/>
      <c r="Q427" s="1978"/>
      <c r="R427" s="1979"/>
    </row>
    <row r="428" customFormat="false" ht="14.25" hidden="false" customHeight="false" outlineLevel="0" collapsed="false">
      <c r="A428" s="1465"/>
      <c r="B428" s="1546"/>
      <c r="C428" s="2006"/>
      <c r="D428" s="848" t="s">
        <v>20</v>
      </c>
      <c r="E428" s="1479" t="s">
        <v>1652</v>
      </c>
      <c r="F428" s="1328"/>
      <c r="G428" s="1976"/>
      <c r="H428" s="1976"/>
      <c r="I428" s="1036"/>
      <c r="J428" s="1557"/>
      <c r="K428" s="1547"/>
      <c r="L428" s="1380" t="n">
        <v>27458.625</v>
      </c>
      <c r="M428" s="854" t="n">
        <v>750</v>
      </c>
      <c r="N428" s="866" t="n">
        <f aca="false">M428/H421</f>
        <v>50</v>
      </c>
      <c r="O428" s="537" t="s">
        <v>650</v>
      </c>
      <c r="P428" s="1984"/>
      <c r="Q428" s="1978"/>
      <c r="R428" s="1979"/>
    </row>
    <row r="429" customFormat="false" ht="14.25" hidden="false" customHeight="false" outlineLevel="0" collapsed="false">
      <c r="A429" s="1465"/>
      <c r="B429" s="1546"/>
      <c r="C429" s="2006"/>
      <c r="D429" s="860" t="s">
        <v>20</v>
      </c>
      <c r="E429" s="1480" t="s">
        <v>1652</v>
      </c>
      <c r="F429" s="1328"/>
      <c r="G429" s="1976"/>
      <c r="H429" s="1976"/>
      <c r="I429" s="1036"/>
      <c r="J429" s="1557"/>
      <c r="K429" s="1547"/>
      <c r="L429" s="1521" t="n">
        <v>153219.1275</v>
      </c>
      <c r="M429" s="866" t="n">
        <v>4185</v>
      </c>
      <c r="N429" s="866" t="n">
        <f aca="false">M429/H421</f>
        <v>279</v>
      </c>
      <c r="O429" s="543" t="s">
        <v>450</v>
      </c>
      <c r="P429" s="1984"/>
      <c r="Q429" s="1978"/>
      <c r="R429" s="1979"/>
    </row>
    <row r="430" customFormat="false" ht="14.25" hidden="false" customHeight="false" outlineLevel="0" collapsed="false">
      <c r="A430" s="1465"/>
      <c r="B430" s="1546"/>
      <c r="C430" s="2006"/>
      <c r="D430" s="904" t="s">
        <v>20</v>
      </c>
      <c r="E430" s="1351" t="s">
        <v>1652</v>
      </c>
      <c r="F430" s="1328"/>
      <c r="G430" s="1976"/>
      <c r="H430" s="1976"/>
      <c r="I430" s="1036"/>
      <c r="J430" s="1557"/>
      <c r="K430" s="1547"/>
      <c r="L430" s="1355" t="n">
        <v>245480.1075</v>
      </c>
      <c r="M430" s="891" t="n">
        <v>6705</v>
      </c>
      <c r="N430" s="891" t="n">
        <f aca="false">M430/H421</f>
        <v>447</v>
      </c>
      <c r="O430" s="942" t="s">
        <v>450</v>
      </c>
      <c r="P430" s="1984"/>
      <c r="Q430" s="1978"/>
      <c r="R430" s="1979"/>
    </row>
    <row r="431" customFormat="false" ht="14.25" hidden="false" customHeight="false" outlineLevel="0" collapsed="false">
      <c r="A431" s="829" t="n">
        <v>355</v>
      </c>
      <c r="B431" s="830" t="n">
        <v>2024</v>
      </c>
      <c r="C431" s="1930" t="n">
        <v>45901</v>
      </c>
      <c r="D431" s="831" t="s">
        <v>20</v>
      </c>
      <c r="E431" s="1365" t="s">
        <v>1652</v>
      </c>
      <c r="F431" s="830" t="s">
        <v>3364</v>
      </c>
      <c r="G431" s="1931" t="n">
        <v>576</v>
      </c>
      <c r="H431" s="1931" t="n">
        <v>15</v>
      </c>
      <c r="I431" s="837" t="n">
        <f aca="false">G431*H431</f>
        <v>8640</v>
      </c>
      <c r="J431" s="1059" t="n">
        <v>38.3488</v>
      </c>
      <c r="K431" s="943" t="n">
        <f aca="false">I431*J431</f>
        <v>331333.632</v>
      </c>
      <c r="L431" s="1665" t="n">
        <v>18982.656</v>
      </c>
      <c r="M431" s="886" t="n">
        <v>495</v>
      </c>
      <c r="N431" s="886" t="n">
        <f aca="false">M431/H431</f>
        <v>33</v>
      </c>
      <c r="O431" s="1036" t="s">
        <v>965</v>
      </c>
      <c r="P431" s="1934" t="n">
        <f aca="false">K431-L431-L442-L441-L432-L440-L433-L434-L439-L435-L438-L436-L437</f>
        <v>-1.45519152283669E-011</v>
      </c>
      <c r="Q431" s="1934" t="n">
        <f aca="false">I431-M431-M442-M441-M432-M440-M433-M434-M439-M435-M438-M436-M437</f>
        <v>0</v>
      </c>
      <c r="R431" s="1935" t="n">
        <f aca="false">G431-N431-N442-N441-N432-N440-N433-N434-N439-N435-N438-N436-N437</f>
        <v>0</v>
      </c>
    </row>
    <row r="432" customFormat="false" ht="14.25" hidden="false" customHeight="false" outlineLevel="0" collapsed="false">
      <c r="A432" s="829"/>
      <c r="B432" s="830"/>
      <c r="C432" s="1930"/>
      <c r="D432" s="860" t="s">
        <v>20</v>
      </c>
      <c r="E432" s="1480" t="s">
        <v>1652</v>
      </c>
      <c r="F432" s="830"/>
      <c r="G432" s="1931"/>
      <c r="H432" s="1931"/>
      <c r="I432" s="837"/>
      <c r="J432" s="1059"/>
      <c r="K432" s="943"/>
      <c r="L432" s="1521" t="n">
        <v>8053.248</v>
      </c>
      <c r="M432" s="866" t="n">
        <v>210</v>
      </c>
      <c r="N432" s="866" t="n">
        <f aca="false">M432/H431</f>
        <v>14</v>
      </c>
      <c r="O432" s="543" t="s">
        <v>1077</v>
      </c>
      <c r="P432" s="1934"/>
      <c r="Q432" s="1934"/>
      <c r="R432" s="1935"/>
    </row>
    <row r="433" customFormat="false" ht="14.25" hidden="false" customHeight="false" outlineLevel="0" collapsed="false">
      <c r="A433" s="829"/>
      <c r="B433" s="830"/>
      <c r="C433" s="1930"/>
      <c r="D433" s="860" t="s">
        <v>20</v>
      </c>
      <c r="E433" s="1480" t="s">
        <v>1652</v>
      </c>
      <c r="F433" s="830"/>
      <c r="G433" s="1931"/>
      <c r="H433" s="1931"/>
      <c r="I433" s="837"/>
      <c r="J433" s="1059"/>
      <c r="K433" s="943"/>
      <c r="L433" s="1521" t="n">
        <v>77081.088</v>
      </c>
      <c r="M433" s="866" t="n">
        <v>2010</v>
      </c>
      <c r="N433" s="866" t="n">
        <f aca="false">M433/H431</f>
        <v>134</v>
      </c>
      <c r="O433" s="543" t="s">
        <v>1126</v>
      </c>
      <c r="P433" s="1934"/>
      <c r="Q433" s="1934"/>
      <c r="R433" s="1935"/>
    </row>
    <row r="434" customFormat="false" ht="14.25" hidden="false" customHeight="false" outlineLevel="0" collapsed="false">
      <c r="A434" s="829"/>
      <c r="B434" s="830"/>
      <c r="C434" s="1930"/>
      <c r="D434" s="860" t="s">
        <v>20</v>
      </c>
      <c r="E434" s="1480" t="s">
        <v>1652</v>
      </c>
      <c r="F434" s="830"/>
      <c r="G434" s="1931"/>
      <c r="H434" s="1931"/>
      <c r="I434" s="837"/>
      <c r="J434" s="1059"/>
      <c r="K434" s="943"/>
      <c r="L434" s="1521" t="n">
        <v>1725.696</v>
      </c>
      <c r="M434" s="866" t="n">
        <v>45</v>
      </c>
      <c r="N434" s="866" t="n">
        <f aca="false">M434/H431</f>
        <v>3</v>
      </c>
      <c r="O434" s="543" t="s">
        <v>1172</v>
      </c>
      <c r="P434" s="1934"/>
      <c r="Q434" s="1934"/>
      <c r="R434" s="1935"/>
    </row>
    <row r="435" customFormat="false" ht="14.25" hidden="false" customHeight="false" outlineLevel="0" collapsed="false">
      <c r="A435" s="829"/>
      <c r="B435" s="830"/>
      <c r="C435" s="1930"/>
      <c r="D435" s="860" t="s">
        <v>20</v>
      </c>
      <c r="E435" s="1480" t="s">
        <v>1652</v>
      </c>
      <c r="F435" s="830"/>
      <c r="G435" s="1931"/>
      <c r="H435" s="1931"/>
      <c r="I435" s="837"/>
      <c r="J435" s="1059"/>
      <c r="K435" s="943"/>
      <c r="L435" s="1521" t="n">
        <v>8053.248</v>
      </c>
      <c r="M435" s="866" t="n">
        <v>210</v>
      </c>
      <c r="N435" s="866" t="n">
        <f aca="false">M435/H431</f>
        <v>14</v>
      </c>
      <c r="O435" s="543" t="s">
        <v>1077</v>
      </c>
      <c r="P435" s="1934"/>
      <c r="Q435" s="1934"/>
      <c r="R435" s="1935"/>
    </row>
    <row r="436" customFormat="false" ht="14.25" hidden="false" customHeight="false" outlineLevel="0" collapsed="false">
      <c r="A436" s="829"/>
      <c r="B436" s="830"/>
      <c r="C436" s="1930"/>
      <c r="D436" s="860" t="s">
        <v>20</v>
      </c>
      <c r="E436" s="1480" t="s">
        <v>1652</v>
      </c>
      <c r="F436" s="830"/>
      <c r="G436" s="1931"/>
      <c r="H436" s="1931"/>
      <c r="I436" s="837"/>
      <c r="J436" s="1059"/>
      <c r="K436" s="943"/>
      <c r="L436" s="1521" t="n">
        <v>29912.064</v>
      </c>
      <c r="M436" s="866" t="n">
        <v>780</v>
      </c>
      <c r="N436" s="866" t="n">
        <f aca="false">M436/H431</f>
        <v>52</v>
      </c>
      <c r="O436" s="543" t="s">
        <v>1634</v>
      </c>
      <c r="P436" s="1934"/>
      <c r="Q436" s="1934"/>
      <c r="R436" s="1935"/>
    </row>
    <row r="437" customFormat="false" ht="14.25" hidden="false" customHeight="false" outlineLevel="0" collapsed="false">
      <c r="A437" s="829"/>
      <c r="B437" s="830"/>
      <c r="C437" s="1930"/>
      <c r="D437" s="860" t="s">
        <v>20</v>
      </c>
      <c r="E437" s="1480" t="s">
        <v>1652</v>
      </c>
      <c r="F437" s="830"/>
      <c r="G437" s="1931"/>
      <c r="H437" s="1931"/>
      <c r="I437" s="837"/>
      <c r="J437" s="1059"/>
      <c r="K437" s="943"/>
      <c r="L437" s="1521" t="n">
        <v>1725.696</v>
      </c>
      <c r="M437" s="866" t="n">
        <v>45</v>
      </c>
      <c r="N437" s="866" t="n">
        <f aca="false">M437/H431</f>
        <v>3</v>
      </c>
      <c r="O437" s="543" t="s">
        <v>1375</v>
      </c>
      <c r="P437" s="1934"/>
      <c r="Q437" s="1934"/>
      <c r="R437" s="1935"/>
    </row>
    <row r="438" customFormat="false" ht="14.25" hidden="false" customHeight="false" outlineLevel="0" collapsed="false">
      <c r="A438" s="829"/>
      <c r="B438" s="830"/>
      <c r="C438" s="1930"/>
      <c r="D438" s="860" t="s">
        <v>20</v>
      </c>
      <c r="E438" s="1480" t="s">
        <v>1652</v>
      </c>
      <c r="F438" s="830"/>
      <c r="G438" s="1931"/>
      <c r="H438" s="1931"/>
      <c r="I438" s="837"/>
      <c r="J438" s="1059"/>
      <c r="K438" s="943"/>
      <c r="L438" s="1521" t="n">
        <v>575.232</v>
      </c>
      <c r="M438" s="866" t="n">
        <v>15</v>
      </c>
      <c r="N438" s="866" t="n">
        <f aca="false">M438/H431</f>
        <v>1</v>
      </c>
      <c r="O438" s="543" t="s">
        <v>1262</v>
      </c>
      <c r="P438" s="1934"/>
      <c r="Q438" s="1934"/>
      <c r="R438" s="1935"/>
    </row>
    <row r="439" customFormat="false" ht="14.25" hidden="false" customHeight="false" outlineLevel="0" collapsed="false">
      <c r="A439" s="829"/>
      <c r="B439" s="830"/>
      <c r="C439" s="1930"/>
      <c r="D439" s="860" t="s">
        <v>20</v>
      </c>
      <c r="E439" s="1480" t="s">
        <v>1652</v>
      </c>
      <c r="F439" s="830"/>
      <c r="G439" s="1931"/>
      <c r="H439" s="1931"/>
      <c r="I439" s="837"/>
      <c r="J439" s="1059"/>
      <c r="K439" s="943"/>
      <c r="L439" s="1521" t="n">
        <v>42567.168</v>
      </c>
      <c r="M439" s="866" t="n">
        <v>1110</v>
      </c>
      <c r="N439" s="866" t="n">
        <f aca="false">M439/H431</f>
        <v>74</v>
      </c>
      <c r="O439" s="543" t="s">
        <v>1198</v>
      </c>
      <c r="P439" s="1934"/>
      <c r="Q439" s="1934"/>
      <c r="R439" s="1935"/>
    </row>
    <row r="440" customFormat="false" ht="14.25" hidden="false" customHeight="false" outlineLevel="0" collapsed="false">
      <c r="A440" s="829"/>
      <c r="B440" s="830"/>
      <c r="C440" s="1930"/>
      <c r="D440" s="860" t="s">
        <v>20</v>
      </c>
      <c r="E440" s="1480" t="s">
        <v>1652</v>
      </c>
      <c r="F440" s="830"/>
      <c r="G440" s="1931"/>
      <c r="H440" s="1931"/>
      <c r="I440" s="837"/>
      <c r="J440" s="1059"/>
      <c r="K440" s="943"/>
      <c r="L440" s="1521" t="n">
        <v>23009.28</v>
      </c>
      <c r="M440" s="866" t="n">
        <v>600</v>
      </c>
      <c r="N440" s="866" t="n">
        <f aca="false">M440/H431</f>
        <v>40</v>
      </c>
      <c r="O440" s="543" t="s">
        <v>1080</v>
      </c>
      <c r="P440" s="1934"/>
      <c r="Q440" s="1934"/>
      <c r="R440" s="1935"/>
    </row>
    <row r="441" customFormat="false" ht="14.25" hidden="false" customHeight="false" outlineLevel="0" collapsed="false">
      <c r="A441" s="829"/>
      <c r="B441" s="830"/>
      <c r="C441" s="1930"/>
      <c r="D441" s="860" t="s">
        <v>20</v>
      </c>
      <c r="E441" s="1480" t="s">
        <v>1652</v>
      </c>
      <c r="F441" s="830"/>
      <c r="G441" s="1931"/>
      <c r="H441" s="1931"/>
      <c r="I441" s="837"/>
      <c r="J441" s="1059"/>
      <c r="K441" s="943"/>
      <c r="L441" s="1521" t="n">
        <v>77081.088</v>
      </c>
      <c r="M441" s="866" t="n">
        <v>2010</v>
      </c>
      <c r="N441" s="866" t="n">
        <f aca="false">M441/H431</f>
        <v>134</v>
      </c>
      <c r="O441" s="543" t="s">
        <v>987</v>
      </c>
      <c r="P441" s="1934"/>
      <c r="Q441" s="1934"/>
      <c r="R441" s="1935"/>
    </row>
    <row r="442" customFormat="false" ht="14.25" hidden="false" customHeight="false" outlineLevel="0" collapsed="false">
      <c r="A442" s="829"/>
      <c r="B442" s="830"/>
      <c r="C442" s="1930"/>
      <c r="D442" s="843" t="s">
        <v>20</v>
      </c>
      <c r="E442" s="1357" t="s">
        <v>1652</v>
      </c>
      <c r="F442" s="830"/>
      <c r="G442" s="1931"/>
      <c r="H442" s="1931"/>
      <c r="I442" s="837"/>
      <c r="J442" s="1059"/>
      <c r="K442" s="943"/>
      <c r="L442" s="1362" t="n">
        <v>42567.168</v>
      </c>
      <c r="M442" s="846" t="n">
        <v>1110</v>
      </c>
      <c r="N442" s="846" t="n">
        <f aca="false">M442/H431</f>
        <v>74</v>
      </c>
      <c r="O442" s="589" t="s">
        <v>986</v>
      </c>
      <c r="P442" s="1934"/>
      <c r="Q442" s="1934"/>
      <c r="R442" s="1935"/>
    </row>
    <row r="443" customFormat="false" ht="14.25" hidden="false" customHeight="false" outlineLevel="0" collapsed="false">
      <c r="A443" s="1060" t="n">
        <v>518</v>
      </c>
      <c r="B443" s="1072" t="n">
        <v>2024</v>
      </c>
      <c r="C443" s="1949" t="n">
        <v>45931</v>
      </c>
      <c r="D443" s="848" t="s">
        <v>20</v>
      </c>
      <c r="E443" s="1479" t="s">
        <v>2619</v>
      </c>
      <c r="F443" s="887" t="s">
        <v>3364</v>
      </c>
      <c r="G443" s="1950" t="n">
        <v>33</v>
      </c>
      <c r="H443" s="1950" t="n">
        <v>30</v>
      </c>
      <c r="I443" s="1067" t="n">
        <f aca="false">G443*H443</f>
        <v>990</v>
      </c>
      <c r="J443" s="1063" t="n">
        <v>91.4</v>
      </c>
      <c r="K443" s="1452" t="n">
        <f aca="false">I443*J443</f>
        <v>90486</v>
      </c>
      <c r="L443" s="1380" t="n">
        <v>5484</v>
      </c>
      <c r="M443" s="854" t="n">
        <v>60</v>
      </c>
      <c r="N443" s="891" t="n">
        <f aca="false">M443/H443</f>
        <v>2</v>
      </c>
      <c r="O443" s="537" t="s">
        <v>641</v>
      </c>
      <c r="P443" s="1952" t="n">
        <f aca="false">K443-L443-L448-L447-L444-L445-L446</f>
        <v>0</v>
      </c>
      <c r="Q443" s="1953" t="n">
        <f aca="false">I443-M443-M448-M447-M444-M445-M446</f>
        <v>0</v>
      </c>
      <c r="R443" s="1954" t="n">
        <f aca="false">G443-N443-N448-N447-N444-N445-N446</f>
        <v>0</v>
      </c>
    </row>
    <row r="444" customFormat="false" ht="14.25" hidden="false" customHeight="false" outlineLevel="0" collapsed="false">
      <c r="A444" s="1060"/>
      <c r="B444" s="1072"/>
      <c r="C444" s="1949"/>
      <c r="D444" s="848" t="s">
        <v>20</v>
      </c>
      <c r="E444" s="1479" t="s">
        <v>2619</v>
      </c>
      <c r="F444" s="887"/>
      <c r="G444" s="1950"/>
      <c r="H444" s="1950"/>
      <c r="I444" s="1067"/>
      <c r="J444" s="1063"/>
      <c r="K444" s="1452"/>
      <c r="L444" s="1380" t="n">
        <v>2742</v>
      </c>
      <c r="M444" s="854" t="n">
        <v>30</v>
      </c>
      <c r="N444" s="866" t="n">
        <f aca="false">M444/H443</f>
        <v>1</v>
      </c>
      <c r="O444" s="537" t="s">
        <v>746</v>
      </c>
      <c r="P444" s="1952"/>
      <c r="Q444" s="1953"/>
      <c r="R444" s="1954"/>
    </row>
    <row r="445" customFormat="false" ht="14.25" hidden="false" customHeight="false" outlineLevel="0" collapsed="false">
      <c r="A445" s="1060"/>
      <c r="B445" s="1072"/>
      <c r="C445" s="1949"/>
      <c r="D445" s="848" t="s">
        <v>20</v>
      </c>
      <c r="E445" s="1479" t="s">
        <v>2619</v>
      </c>
      <c r="F445" s="887"/>
      <c r="G445" s="1950"/>
      <c r="H445" s="1950"/>
      <c r="I445" s="1067"/>
      <c r="J445" s="1063"/>
      <c r="K445" s="1452"/>
      <c r="L445" s="1380" t="n">
        <v>10968</v>
      </c>
      <c r="M445" s="854" t="n">
        <v>120</v>
      </c>
      <c r="N445" s="866" t="n">
        <f aca="false">M445/H443</f>
        <v>4</v>
      </c>
      <c r="O445" s="537" t="s">
        <v>753</v>
      </c>
      <c r="P445" s="1952"/>
      <c r="Q445" s="1953"/>
      <c r="R445" s="1954"/>
    </row>
    <row r="446" customFormat="false" ht="14.25" hidden="false" customHeight="false" outlineLevel="0" collapsed="false">
      <c r="A446" s="1060"/>
      <c r="B446" s="1072"/>
      <c r="C446" s="1949"/>
      <c r="D446" s="848" t="s">
        <v>20</v>
      </c>
      <c r="E446" s="1479" t="s">
        <v>2619</v>
      </c>
      <c r="F446" s="887"/>
      <c r="G446" s="1950"/>
      <c r="H446" s="1950"/>
      <c r="I446" s="1067"/>
      <c r="J446" s="1063"/>
      <c r="K446" s="1452"/>
      <c r="L446" s="1380" t="n">
        <v>10968</v>
      </c>
      <c r="M446" s="854" t="n">
        <v>120</v>
      </c>
      <c r="N446" s="866" t="n">
        <f aca="false">M446/H443</f>
        <v>4</v>
      </c>
      <c r="O446" s="537" t="s">
        <v>1625</v>
      </c>
      <c r="P446" s="1952"/>
      <c r="Q446" s="1953"/>
      <c r="R446" s="1954"/>
    </row>
    <row r="447" customFormat="false" ht="14.25" hidden="false" customHeight="false" outlineLevel="0" collapsed="false">
      <c r="A447" s="1060"/>
      <c r="B447" s="1072"/>
      <c r="C447" s="1949"/>
      <c r="D447" s="860" t="s">
        <v>20</v>
      </c>
      <c r="E447" s="1480" t="s">
        <v>2619</v>
      </c>
      <c r="F447" s="887"/>
      <c r="G447" s="1950"/>
      <c r="H447" s="1950"/>
      <c r="I447" s="1067"/>
      <c r="J447" s="1063"/>
      <c r="K447" s="1452"/>
      <c r="L447" s="1521" t="n">
        <v>27420</v>
      </c>
      <c r="M447" s="866" t="n">
        <v>300</v>
      </c>
      <c r="N447" s="866" t="n">
        <f aca="false">M447/H443</f>
        <v>10</v>
      </c>
      <c r="O447" s="543" t="s">
        <v>706</v>
      </c>
      <c r="P447" s="1952"/>
      <c r="Q447" s="1953"/>
      <c r="R447" s="1954"/>
    </row>
    <row r="448" customFormat="false" ht="14.25" hidden="false" customHeight="false" outlineLevel="0" collapsed="false">
      <c r="A448" s="1060"/>
      <c r="B448" s="1072"/>
      <c r="C448" s="1949"/>
      <c r="D448" s="887" t="s">
        <v>20</v>
      </c>
      <c r="E448" s="1501" t="s">
        <v>2619</v>
      </c>
      <c r="F448" s="887"/>
      <c r="G448" s="1950"/>
      <c r="H448" s="1950"/>
      <c r="I448" s="1067"/>
      <c r="J448" s="1063"/>
      <c r="K448" s="1452"/>
      <c r="L448" s="1381" t="n">
        <v>32904</v>
      </c>
      <c r="M448" s="890" t="n">
        <v>360</v>
      </c>
      <c r="N448" s="890" t="n">
        <f aca="false">M448/H443</f>
        <v>12</v>
      </c>
      <c r="O448" s="1067" t="s">
        <v>669</v>
      </c>
      <c r="P448" s="1952"/>
      <c r="Q448" s="1953"/>
      <c r="R448" s="1954"/>
    </row>
    <row r="449" customFormat="false" ht="14.25" hidden="false" customHeight="false" outlineLevel="0" collapsed="false">
      <c r="A449" s="829" t="n">
        <v>548</v>
      </c>
      <c r="B449" s="830" t="n">
        <v>2024</v>
      </c>
      <c r="C449" s="1930" t="n">
        <v>45962</v>
      </c>
      <c r="D449" s="831" t="s">
        <v>20</v>
      </c>
      <c r="E449" s="1365" t="s">
        <v>3419</v>
      </c>
      <c r="F449" s="832" t="s">
        <v>3364</v>
      </c>
      <c r="G449" s="1931" t="n">
        <v>334</v>
      </c>
      <c r="H449" s="1931" t="n">
        <v>30</v>
      </c>
      <c r="I449" s="837" t="n">
        <f aca="false">G449*H449</f>
        <v>10020</v>
      </c>
      <c r="J449" s="1059" t="n">
        <v>89.9586</v>
      </c>
      <c r="K449" s="943" t="n">
        <f aca="false">I449*J449</f>
        <v>901385.172</v>
      </c>
      <c r="L449" s="1665" t="n">
        <v>2698.758</v>
      </c>
      <c r="M449" s="886" t="n">
        <v>30</v>
      </c>
      <c r="N449" s="886" t="n">
        <f aca="false">M449/H449</f>
        <v>1</v>
      </c>
      <c r="O449" s="1036" t="s">
        <v>703</v>
      </c>
      <c r="P449" s="1934" t="n">
        <f aca="false">K449-L449-L457-L456-L450-L451-L455-L452-L454-L453</f>
        <v>-4.22915036324412E-011</v>
      </c>
      <c r="Q449" s="1934" t="n">
        <f aca="false">I449-M449-M457-M456-M450-M451-M455-M452-M454-M453</f>
        <v>0</v>
      </c>
      <c r="R449" s="1935" t="n">
        <f aca="false">G449-N449-N457-N456-N450-N451-N455-N452-N454-N453</f>
        <v>3.78586051397178E-014</v>
      </c>
    </row>
    <row r="450" customFormat="false" ht="14.25" hidden="false" customHeight="false" outlineLevel="0" collapsed="false">
      <c r="A450" s="829"/>
      <c r="B450" s="830"/>
      <c r="C450" s="1930"/>
      <c r="D450" s="848" t="s">
        <v>20</v>
      </c>
      <c r="E450" s="1479" t="s">
        <v>3419</v>
      </c>
      <c r="F450" s="832"/>
      <c r="G450" s="1931"/>
      <c r="H450" s="1931"/>
      <c r="I450" s="837"/>
      <c r="J450" s="1059"/>
      <c r="K450" s="943"/>
      <c r="L450" s="1521" t="n">
        <v>199708.092</v>
      </c>
      <c r="M450" s="866" t="n">
        <v>2220</v>
      </c>
      <c r="N450" s="866" t="n">
        <f aca="false">M450/H449</f>
        <v>74</v>
      </c>
      <c r="O450" s="543" t="s">
        <v>3420</v>
      </c>
      <c r="P450" s="1934"/>
      <c r="Q450" s="1934"/>
      <c r="R450" s="1935"/>
    </row>
    <row r="451" customFormat="false" ht="14.25" hidden="false" customHeight="false" outlineLevel="0" collapsed="false">
      <c r="A451" s="829"/>
      <c r="B451" s="830"/>
      <c r="C451" s="1930"/>
      <c r="D451" s="848" t="s">
        <v>20</v>
      </c>
      <c r="E451" s="1479" t="s">
        <v>3419</v>
      </c>
      <c r="F451" s="832"/>
      <c r="G451" s="1931"/>
      <c r="H451" s="1931"/>
      <c r="I451" s="837"/>
      <c r="J451" s="1059"/>
      <c r="K451" s="943"/>
      <c r="L451" s="1521" t="n">
        <v>361633.572</v>
      </c>
      <c r="M451" s="866" t="n">
        <v>4020</v>
      </c>
      <c r="N451" s="866" t="n">
        <f aca="false">M451/H449</f>
        <v>134</v>
      </c>
      <c r="O451" s="543" t="s">
        <v>1032</v>
      </c>
      <c r="P451" s="1934"/>
      <c r="Q451" s="1934"/>
      <c r="R451" s="1935"/>
    </row>
    <row r="452" customFormat="false" ht="14.25" hidden="false" customHeight="false" outlineLevel="0" collapsed="false">
      <c r="A452" s="829"/>
      <c r="B452" s="830"/>
      <c r="C452" s="1930"/>
      <c r="D452" s="848" t="s">
        <v>20</v>
      </c>
      <c r="E452" s="1479" t="s">
        <v>3419</v>
      </c>
      <c r="F452" s="832"/>
      <c r="G452" s="1931"/>
      <c r="H452" s="1931"/>
      <c r="I452" s="837"/>
      <c r="J452" s="1059"/>
      <c r="K452" s="943"/>
      <c r="L452" s="1521" t="n">
        <v>91757.772</v>
      </c>
      <c r="M452" s="866" t="n">
        <v>1020</v>
      </c>
      <c r="N452" s="866" t="n">
        <f aca="false">M452/H449</f>
        <v>34</v>
      </c>
      <c r="O452" s="543" t="s">
        <v>1055</v>
      </c>
      <c r="P452" s="1934"/>
      <c r="Q452" s="1934"/>
      <c r="R452" s="1935"/>
    </row>
    <row r="453" customFormat="false" ht="14.25" hidden="false" customHeight="false" outlineLevel="0" collapsed="false">
      <c r="A453" s="829"/>
      <c r="B453" s="830"/>
      <c r="C453" s="1930"/>
      <c r="D453" s="848" t="s">
        <v>20</v>
      </c>
      <c r="E453" s="1479" t="s">
        <v>3419</v>
      </c>
      <c r="F453" s="832"/>
      <c r="G453" s="1931"/>
      <c r="H453" s="1931"/>
      <c r="I453" s="837"/>
      <c r="J453" s="1059"/>
      <c r="K453" s="943"/>
      <c r="L453" s="1521" t="n">
        <v>-1799.172</v>
      </c>
      <c r="M453" s="866" t="n">
        <v>-20</v>
      </c>
      <c r="N453" s="1147" t="n">
        <f aca="false">M453/H449</f>
        <v>-0.666666666666667</v>
      </c>
      <c r="O453" s="543" t="s">
        <v>1634</v>
      </c>
      <c r="P453" s="1934"/>
      <c r="Q453" s="1934"/>
      <c r="R453" s="1935"/>
    </row>
    <row r="454" customFormat="false" ht="14.25" hidden="false" customHeight="false" outlineLevel="0" collapsed="false">
      <c r="A454" s="829"/>
      <c r="B454" s="830"/>
      <c r="C454" s="1930"/>
      <c r="D454" s="848" t="s">
        <v>20</v>
      </c>
      <c r="E454" s="1479" t="s">
        <v>3419</v>
      </c>
      <c r="F454" s="832"/>
      <c r="G454" s="1931"/>
      <c r="H454" s="1931"/>
      <c r="I454" s="837"/>
      <c r="J454" s="1059"/>
      <c r="K454" s="943"/>
      <c r="L454" s="1521" t="n">
        <v>64770.192</v>
      </c>
      <c r="M454" s="866" t="n">
        <v>720</v>
      </c>
      <c r="N454" s="866" t="n">
        <f aca="false">M454/H449</f>
        <v>24</v>
      </c>
      <c r="O454" s="543" t="s">
        <v>1102</v>
      </c>
      <c r="P454" s="1934"/>
      <c r="Q454" s="1934"/>
      <c r="R454" s="1935"/>
    </row>
    <row r="455" customFormat="false" ht="14.25" hidden="false" customHeight="false" outlineLevel="0" collapsed="false">
      <c r="A455" s="829"/>
      <c r="B455" s="830"/>
      <c r="C455" s="1930"/>
      <c r="D455" s="848" t="s">
        <v>20</v>
      </c>
      <c r="E455" s="1479" t="s">
        <v>3419</v>
      </c>
      <c r="F455" s="832"/>
      <c r="G455" s="1931"/>
      <c r="H455" s="1931"/>
      <c r="I455" s="837"/>
      <c r="J455" s="1059"/>
      <c r="K455" s="943"/>
      <c r="L455" s="1521" t="n">
        <v>91757.772</v>
      </c>
      <c r="M455" s="866" t="n">
        <v>1020</v>
      </c>
      <c r="N455" s="866" t="n">
        <f aca="false">M455/H449</f>
        <v>34</v>
      </c>
      <c r="O455" s="543" t="s">
        <v>1035</v>
      </c>
      <c r="P455" s="1934"/>
      <c r="Q455" s="1934"/>
      <c r="R455" s="1935"/>
    </row>
    <row r="456" customFormat="false" ht="14.25" hidden="false" customHeight="false" outlineLevel="0" collapsed="false">
      <c r="A456" s="829"/>
      <c r="B456" s="830"/>
      <c r="C456" s="1930"/>
      <c r="D456" s="860" t="s">
        <v>20</v>
      </c>
      <c r="E456" s="1480" t="s">
        <v>3419</v>
      </c>
      <c r="F456" s="832"/>
      <c r="G456" s="1931"/>
      <c r="H456" s="1931"/>
      <c r="I456" s="837"/>
      <c r="J456" s="1059"/>
      <c r="K456" s="943"/>
      <c r="L456" s="1521" t="n">
        <v>45429.093</v>
      </c>
      <c r="M456" s="866" t="n">
        <v>505</v>
      </c>
      <c r="N456" s="866" t="n">
        <f aca="false">M456/H449</f>
        <v>16.8333333333333</v>
      </c>
      <c r="O456" s="543" t="s">
        <v>3421</v>
      </c>
      <c r="P456" s="1934"/>
      <c r="Q456" s="1934"/>
      <c r="R456" s="1935"/>
    </row>
    <row r="457" customFormat="false" ht="14.25" hidden="false" customHeight="false" outlineLevel="0" collapsed="false">
      <c r="A457" s="829"/>
      <c r="B457" s="830"/>
      <c r="C457" s="1930"/>
      <c r="D457" s="887" t="s">
        <v>20</v>
      </c>
      <c r="E457" s="1501" t="s">
        <v>3419</v>
      </c>
      <c r="F457" s="832"/>
      <c r="G457" s="1931"/>
      <c r="H457" s="1931"/>
      <c r="I457" s="837"/>
      <c r="J457" s="1059"/>
      <c r="K457" s="943"/>
      <c r="L457" s="1381" t="n">
        <v>45429.093</v>
      </c>
      <c r="M457" s="890" t="n">
        <v>505</v>
      </c>
      <c r="N457" s="890" t="n">
        <f aca="false">M457/H449</f>
        <v>16.8333333333333</v>
      </c>
      <c r="O457" s="1067" t="s">
        <v>1625</v>
      </c>
      <c r="P457" s="1934"/>
      <c r="Q457" s="1934"/>
      <c r="R457" s="1935"/>
    </row>
    <row r="458" customFormat="false" ht="14.25" hidden="false" customHeight="false" outlineLevel="0" collapsed="false">
      <c r="A458" s="847"/>
      <c r="B458" s="1396"/>
      <c r="C458" s="2008"/>
      <c r="D458" s="848"/>
      <c r="E458" s="848"/>
      <c r="F458" s="848"/>
      <c r="G458" s="1967"/>
      <c r="H458" s="1967"/>
      <c r="I458" s="854"/>
      <c r="J458" s="949"/>
      <c r="K458" s="953"/>
      <c r="L458" s="1380"/>
      <c r="M458" s="952"/>
      <c r="N458" s="854"/>
      <c r="O458" s="537"/>
      <c r="P458" s="1986"/>
      <c r="Q458" s="1971"/>
      <c r="R458" s="1971"/>
    </row>
    <row r="459" customFormat="false" ht="14.25" hidden="false" customHeight="false" outlineLevel="0" collapsed="false">
      <c r="A459" s="870" t="n">
        <v>315</v>
      </c>
      <c r="B459" s="1495" t="n">
        <v>2022</v>
      </c>
      <c r="C459" s="1955"/>
      <c r="D459" s="871" t="s">
        <v>12</v>
      </c>
      <c r="E459" s="871" t="s">
        <v>2131</v>
      </c>
      <c r="F459" s="871" t="s">
        <v>3364</v>
      </c>
      <c r="G459" s="1956" t="n">
        <v>2</v>
      </c>
      <c r="H459" s="1956" t="n">
        <v>25</v>
      </c>
      <c r="I459" s="1587" t="n">
        <f aca="false">G459*H459</f>
        <v>50</v>
      </c>
      <c r="J459" s="1116" t="n">
        <v>60</v>
      </c>
      <c r="K459" s="1958" t="n">
        <f aca="false">I459*J459</f>
        <v>3000</v>
      </c>
      <c r="L459" s="1587" t="n">
        <v>3000</v>
      </c>
      <c r="M459" s="1818" t="n">
        <v>50</v>
      </c>
      <c r="N459" s="891" t="n">
        <f aca="false">M459/H459</f>
        <v>2</v>
      </c>
      <c r="O459" s="553" t="s">
        <v>3373</v>
      </c>
      <c r="P459" s="1988" t="n">
        <f aca="false">K459-L459</f>
        <v>0</v>
      </c>
      <c r="Q459" s="1960" t="n">
        <f aca="false">I459-M459</f>
        <v>0</v>
      </c>
      <c r="R459" s="1961" t="n">
        <f aca="false">G459-N459</f>
        <v>0</v>
      </c>
    </row>
    <row r="460" customFormat="false" ht="15.75" hidden="false" customHeight="true" outlineLevel="0" collapsed="false">
      <c r="A460" s="829" t="n">
        <v>416</v>
      </c>
      <c r="B460" s="830" t="n">
        <v>2023</v>
      </c>
      <c r="C460" s="1930" t="n">
        <v>45566</v>
      </c>
      <c r="D460" s="831" t="s">
        <v>12</v>
      </c>
      <c r="E460" s="1365" t="s">
        <v>2131</v>
      </c>
      <c r="F460" s="832" t="s">
        <v>3364</v>
      </c>
      <c r="G460" s="2010" t="n">
        <v>82</v>
      </c>
      <c r="H460" s="837" t="n">
        <v>25</v>
      </c>
      <c r="I460" s="837" t="n">
        <f aca="false">G460*H460</f>
        <v>2050</v>
      </c>
      <c r="J460" s="1932" t="n">
        <v>63.4636</v>
      </c>
      <c r="K460" s="943" t="n">
        <f aca="false">I460*J460</f>
        <v>130100.38</v>
      </c>
      <c r="L460" s="840" t="n">
        <v>126927.2</v>
      </c>
      <c r="M460" s="840" t="n">
        <v>2000</v>
      </c>
      <c r="N460" s="840" t="n">
        <f aca="false">M460/H460</f>
        <v>80</v>
      </c>
      <c r="O460" s="578" t="n">
        <v>85554</v>
      </c>
      <c r="P460" s="1934" t="n">
        <f aca="false">K460-L460-L461</f>
        <v>7.73070496506989E-012</v>
      </c>
      <c r="Q460" s="1934" t="n">
        <f aca="false">I460-M460-M461</f>
        <v>0</v>
      </c>
      <c r="R460" s="1935" t="n">
        <f aca="false">G460-N460-N461</f>
        <v>0</v>
      </c>
    </row>
    <row r="461" customFormat="false" ht="15.75" hidden="false" customHeight="true" outlineLevel="0" collapsed="false">
      <c r="A461" s="829"/>
      <c r="B461" s="830"/>
      <c r="C461" s="1930"/>
      <c r="D461" s="887" t="s">
        <v>12</v>
      </c>
      <c r="E461" s="1501" t="s">
        <v>2131</v>
      </c>
      <c r="F461" s="832"/>
      <c r="G461" s="2010"/>
      <c r="H461" s="837"/>
      <c r="I461" s="837"/>
      <c r="J461" s="1932"/>
      <c r="K461" s="943"/>
      <c r="L461" s="890" t="n">
        <v>3173.18</v>
      </c>
      <c r="M461" s="890" t="n">
        <v>50</v>
      </c>
      <c r="N461" s="890" t="n">
        <f aca="false">M461/H460</f>
        <v>2</v>
      </c>
      <c r="O461" s="1938" t="s">
        <v>3373</v>
      </c>
      <c r="P461" s="1934"/>
      <c r="Q461" s="1934"/>
      <c r="R461" s="1935"/>
    </row>
    <row r="462" customFormat="false" ht="15.75" hidden="false" customHeight="true" outlineLevel="0" collapsed="false">
      <c r="A462" s="1465" t="n">
        <v>643</v>
      </c>
      <c r="B462" s="1546" t="n">
        <v>2023</v>
      </c>
      <c r="C462" s="2006" t="n">
        <v>45627</v>
      </c>
      <c r="D462" s="831" t="s">
        <v>12</v>
      </c>
      <c r="E462" s="1365" t="s">
        <v>1652</v>
      </c>
      <c r="F462" s="1328" t="s">
        <v>3364</v>
      </c>
      <c r="G462" s="2011" t="n">
        <v>498</v>
      </c>
      <c r="H462" s="1036" t="n">
        <v>10</v>
      </c>
      <c r="I462" s="1036" t="n">
        <f aca="false">G462*H462</f>
        <v>4980</v>
      </c>
      <c r="J462" s="1999" t="n">
        <v>25.71</v>
      </c>
      <c r="K462" s="1547" t="n">
        <f aca="false">I462*J462</f>
        <v>128035.8</v>
      </c>
      <c r="L462" s="886" t="n">
        <v>1928.25</v>
      </c>
      <c r="M462" s="886" t="n">
        <v>75</v>
      </c>
      <c r="N462" s="886" t="n">
        <f aca="false">M462/H462</f>
        <v>7.5</v>
      </c>
      <c r="O462" s="1595" t="n">
        <v>86267</v>
      </c>
      <c r="P462" s="1978" t="n">
        <f aca="false">K462-L462-L469-L468-L463-L464-L467-L465-L466</f>
        <v>0</v>
      </c>
      <c r="Q462" s="1978" t="n">
        <f aca="false">I462-M462-M469-M468-M463-M464-M467-M465-M466</f>
        <v>0</v>
      </c>
      <c r="R462" s="1979" t="n">
        <f aca="false">G462-N462-N469-N468-N463-N464-N467-N465-N466</f>
        <v>0</v>
      </c>
    </row>
    <row r="463" customFormat="false" ht="15.75" hidden="false" customHeight="true" outlineLevel="0" collapsed="false">
      <c r="A463" s="1465"/>
      <c r="B463" s="1546"/>
      <c r="C463" s="2006"/>
      <c r="D463" s="860" t="s">
        <v>12</v>
      </c>
      <c r="E463" s="1480" t="s">
        <v>1652</v>
      </c>
      <c r="F463" s="1328"/>
      <c r="G463" s="2011"/>
      <c r="H463" s="1036"/>
      <c r="I463" s="1036"/>
      <c r="J463" s="1999"/>
      <c r="K463" s="1547"/>
      <c r="L463" s="866" t="n">
        <v>102968.55</v>
      </c>
      <c r="M463" s="866" t="n">
        <v>4005</v>
      </c>
      <c r="N463" s="866" t="n">
        <f aca="false">M463/H462</f>
        <v>400.5</v>
      </c>
      <c r="O463" s="545" t="n">
        <v>86336</v>
      </c>
      <c r="P463" s="1978"/>
      <c r="Q463" s="1978"/>
      <c r="R463" s="1979"/>
    </row>
    <row r="464" customFormat="false" ht="15.75" hidden="false" customHeight="true" outlineLevel="0" collapsed="false">
      <c r="A464" s="1465"/>
      <c r="B464" s="1546"/>
      <c r="C464" s="2006"/>
      <c r="D464" s="860" t="s">
        <v>12</v>
      </c>
      <c r="E464" s="1480" t="s">
        <v>1652</v>
      </c>
      <c r="F464" s="1328"/>
      <c r="G464" s="2011"/>
      <c r="H464" s="1036"/>
      <c r="I464" s="1036"/>
      <c r="J464" s="1999"/>
      <c r="K464" s="1547"/>
      <c r="L464" s="866" t="n">
        <v>4370.7</v>
      </c>
      <c r="M464" s="866" t="n">
        <v>170</v>
      </c>
      <c r="N464" s="866" t="n">
        <f aca="false">M464/H462</f>
        <v>17</v>
      </c>
      <c r="O464" s="545" t="n">
        <v>86455</v>
      </c>
      <c r="P464" s="1978"/>
      <c r="Q464" s="1978"/>
      <c r="R464" s="1979"/>
    </row>
    <row r="465" customFormat="false" ht="15.75" hidden="false" customHeight="true" outlineLevel="0" collapsed="false">
      <c r="A465" s="1465"/>
      <c r="B465" s="1546"/>
      <c r="C465" s="2006"/>
      <c r="D465" s="860" t="s">
        <v>12</v>
      </c>
      <c r="E465" s="1480" t="s">
        <v>1652</v>
      </c>
      <c r="F465" s="1328"/>
      <c r="G465" s="2011"/>
      <c r="H465" s="1036"/>
      <c r="I465" s="1036"/>
      <c r="J465" s="1999"/>
      <c r="K465" s="1547"/>
      <c r="L465" s="866" t="n">
        <v>2313.9</v>
      </c>
      <c r="M465" s="866" t="n">
        <v>90</v>
      </c>
      <c r="N465" s="866" t="n">
        <f aca="false">M465/H462</f>
        <v>9</v>
      </c>
      <c r="O465" s="545" t="s">
        <v>3422</v>
      </c>
      <c r="P465" s="1978"/>
      <c r="Q465" s="1978"/>
      <c r="R465" s="1979"/>
    </row>
    <row r="466" customFormat="false" ht="15.75" hidden="false" customHeight="true" outlineLevel="0" collapsed="false">
      <c r="A466" s="1465"/>
      <c r="B466" s="1546"/>
      <c r="C466" s="2006"/>
      <c r="D466" s="860" t="s">
        <v>12</v>
      </c>
      <c r="E466" s="1480" t="s">
        <v>1652</v>
      </c>
      <c r="F466" s="1328"/>
      <c r="G466" s="2011"/>
      <c r="H466" s="1036"/>
      <c r="I466" s="1036"/>
      <c r="J466" s="1999"/>
      <c r="K466" s="1547"/>
      <c r="L466" s="866" t="n">
        <v>2313.9</v>
      </c>
      <c r="M466" s="866" t="n">
        <v>90</v>
      </c>
      <c r="N466" s="866" t="n">
        <f aca="false">M466/H462</f>
        <v>9</v>
      </c>
      <c r="O466" s="545" t="s">
        <v>3423</v>
      </c>
      <c r="P466" s="1978"/>
      <c r="Q466" s="1978"/>
      <c r="R466" s="1979"/>
    </row>
    <row r="467" customFormat="false" ht="15.75" hidden="false" customHeight="true" outlineLevel="0" collapsed="false">
      <c r="A467" s="1465"/>
      <c r="B467" s="1546"/>
      <c r="C467" s="2006"/>
      <c r="D467" s="860" t="s">
        <v>12</v>
      </c>
      <c r="E467" s="1480" t="s">
        <v>1652</v>
      </c>
      <c r="F467" s="1328"/>
      <c r="G467" s="2011"/>
      <c r="H467" s="1036"/>
      <c r="I467" s="1036"/>
      <c r="J467" s="1999"/>
      <c r="K467" s="1547"/>
      <c r="L467" s="866" t="n">
        <v>1799.7</v>
      </c>
      <c r="M467" s="866" t="n">
        <v>70</v>
      </c>
      <c r="N467" s="866" t="n">
        <f aca="false">M467/H462</f>
        <v>7</v>
      </c>
      <c r="O467" s="545" t="s">
        <v>2240</v>
      </c>
      <c r="P467" s="1978"/>
      <c r="Q467" s="1978"/>
      <c r="R467" s="1979"/>
    </row>
    <row r="468" customFormat="false" ht="15.75" hidden="false" customHeight="true" outlineLevel="0" collapsed="false">
      <c r="A468" s="1465"/>
      <c r="B468" s="1546"/>
      <c r="C468" s="2006"/>
      <c r="D468" s="860" t="s">
        <v>12</v>
      </c>
      <c r="E468" s="1480" t="s">
        <v>1652</v>
      </c>
      <c r="F468" s="1328"/>
      <c r="G468" s="2011"/>
      <c r="H468" s="1036"/>
      <c r="I468" s="1036"/>
      <c r="J468" s="1999"/>
      <c r="K468" s="1547"/>
      <c r="L468" s="866" t="n">
        <v>8484.3</v>
      </c>
      <c r="M468" s="866" t="n">
        <v>330</v>
      </c>
      <c r="N468" s="866" t="n">
        <f aca="false">M468/H462</f>
        <v>33</v>
      </c>
      <c r="O468" s="545" t="n">
        <v>86314</v>
      </c>
      <c r="P468" s="1978"/>
      <c r="Q468" s="1978"/>
      <c r="R468" s="1979"/>
    </row>
    <row r="469" customFormat="false" ht="15.75" hidden="false" customHeight="true" outlineLevel="0" collapsed="false">
      <c r="A469" s="1465"/>
      <c r="B469" s="1546"/>
      <c r="C469" s="2006"/>
      <c r="D469" s="871" t="s">
        <v>12</v>
      </c>
      <c r="E469" s="1478" t="s">
        <v>1652</v>
      </c>
      <c r="F469" s="1328"/>
      <c r="G469" s="2011"/>
      <c r="H469" s="1036"/>
      <c r="I469" s="1036"/>
      <c r="J469" s="1999"/>
      <c r="K469" s="1547"/>
      <c r="L469" s="877" t="n">
        <v>3856.5</v>
      </c>
      <c r="M469" s="877" t="n">
        <v>150</v>
      </c>
      <c r="N469" s="877" t="n">
        <f aca="false">M469/H462</f>
        <v>15</v>
      </c>
      <c r="O469" s="584" t="n">
        <v>86310</v>
      </c>
      <c r="P469" s="1978"/>
      <c r="Q469" s="1978"/>
      <c r="R469" s="1979"/>
    </row>
    <row r="470" customFormat="false" ht="15.75" hidden="false" customHeight="true" outlineLevel="0" collapsed="false">
      <c r="A470" s="882" t="n">
        <v>284</v>
      </c>
      <c r="B470" s="830" t="n">
        <v>2024</v>
      </c>
      <c r="C470" s="1930" t="n">
        <v>45870</v>
      </c>
      <c r="D470" s="831" t="s">
        <v>12</v>
      </c>
      <c r="E470" s="1365" t="s">
        <v>1651</v>
      </c>
      <c r="F470" s="832" t="s">
        <v>3364</v>
      </c>
      <c r="G470" s="2010" t="n">
        <v>666</v>
      </c>
      <c r="H470" s="1075" t="n">
        <v>15</v>
      </c>
      <c r="I470" s="837" t="n">
        <f aca="false">G470*H470</f>
        <v>9990</v>
      </c>
      <c r="J470" s="1932" t="n">
        <v>24.3893</v>
      </c>
      <c r="K470" s="943" t="n">
        <f aca="false">I470*J470</f>
        <v>243649.107</v>
      </c>
      <c r="L470" s="840" t="n">
        <v>73167.9</v>
      </c>
      <c r="M470" s="840" t="n">
        <v>3000</v>
      </c>
      <c r="N470" s="886" t="n">
        <f aca="false">M470/H470</f>
        <v>200</v>
      </c>
      <c r="O470" s="578" t="s">
        <v>406</v>
      </c>
      <c r="P470" s="1948" t="n">
        <f aca="false">K470-L470-L476-L471-L475-L474-L472-L473</f>
        <v>0</v>
      </c>
      <c r="Q470" s="1934" t="n">
        <f aca="false">I470-M470-M476-M471-M475-M474-M472-M473</f>
        <v>0</v>
      </c>
      <c r="R470" s="1935" t="n">
        <f aca="false">G470-N470-N476-N471-N475-N474-N472-N473</f>
        <v>0</v>
      </c>
    </row>
    <row r="471" customFormat="false" ht="15.75" hidden="false" customHeight="true" outlineLevel="0" collapsed="false">
      <c r="A471" s="882"/>
      <c r="B471" s="830"/>
      <c r="C471" s="1930"/>
      <c r="D471" s="860" t="s">
        <v>12</v>
      </c>
      <c r="E471" s="1480" t="s">
        <v>1651</v>
      </c>
      <c r="F471" s="832"/>
      <c r="G471" s="2010"/>
      <c r="H471" s="1075"/>
      <c r="I471" s="837"/>
      <c r="J471" s="1932"/>
      <c r="K471" s="943"/>
      <c r="L471" s="866" t="n">
        <v>1829.1975</v>
      </c>
      <c r="M471" s="866" t="n">
        <v>75</v>
      </c>
      <c r="N471" s="866" t="n">
        <f aca="false">M471/H470</f>
        <v>5</v>
      </c>
      <c r="O471" s="545" t="s">
        <v>414</v>
      </c>
      <c r="P471" s="1948"/>
      <c r="Q471" s="1934"/>
      <c r="R471" s="1935"/>
    </row>
    <row r="472" customFormat="false" ht="15.75" hidden="false" customHeight="true" outlineLevel="0" collapsed="false">
      <c r="A472" s="882"/>
      <c r="B472" s="830"/>
      <c r="C472" s="1930"/>
      <c r="D472" s="860" t="s">
        <v>12</v>
      </c>
      <c r="E472" s="1480" t="s">
        <v>1651</v>
      </c>
      <c r="F472" s="832"/>
      <c r="G472" s="2010"/>
      <c r="H472" s="1075"/>
      <c r="I472" s="837"/>
      <c r="J472" s="1932"/>
      <c r="K472" s="943"/>
      <c r="L472" s="866" t="n">
        <v>49022.493</v>
      </c>
      <c r="M472" s="866" t="n">
        <v>2010</v>
      </c>
      <c r="N472" s="866" t="n">
        <f aca="false">M472/H470</f>
        <v>134</v>
      </c>
      <c r="O472" s="545" t="s">
        <v>442</v>
      </c>
      <c r="P472" s="1948"/>
      <c r="Q472" s="1934"/>
      <c r="R472" s="1935"/>
    </row>
    <row r="473" customFormat="false" ht="15.75" hidden="false" customHeight="true" outlineLevel="0" collapsed="false">
      <c r="A473" s="882"/>
      <c r="B473" s="830"/>
      <c r="C473" s="1930"/>
      <c r="D473" s="860" t="s">
        <v>12</v>
      </c>
      <c r="E473" s="1480" t="s">
        <v>1651</v>
      </c>
      <c r="F473" s="832"/>
      <c r="G473" s="2010"/>
      <c r="H473" s="1075"/>
      <c r="I473" s="837"/>
      <c r="J473" s="1932"/>
      <c r="K473" s="943"/>
      <c r="L473" s="866" t="n">
        <v>14267.7405</v>
      </c>
      <c r="M473" s="866" t="n">
        <v>585</v>
      </c>
      <c r="N473" s="866" t="n">
        <f aca="false">M473/H470</f>
        <v>39</v>
      </c>
      <c r="O473" s="545" t="s">
        <v>404</v>
      </c>
      <c r="P473" s="1948"/>
      <c r="Q473" s="1934"/>
      <c r="R473" s="1935"/>
    </row>
    <row r="474" customFormat="false" ht="15.75" hidden="false" customHeight="true" outlineLevel="0" collapsed="false">
      <c r="A474" s="882"/>
      <c r="B474" s="830"/>
      <c r="C474" s="1930"/>
      <c r="D474" s="860" t="s">
        <v>12</v>
      </c>
      <c r="E474" s="1480" t="s">
        <v>1651</v>
      </c>
      <c r="F474" s="832"/>
      <c r="G474" s="2010"/>
      <c r="H474" s="1075"/>
      <c r="I474" s="837"/>
      <c r="J474" s="1932"/>
      <c r="K474" s="943"/>
      <c r="L474" s="866" t="n">
        <v>7316.79</v>
      </c>
      <c r="M474" s="866" t="n">
        <v>300</v>
      </c>
      <c r="N474" s="866" t="n">
        <f aca="false">M474/H470</f>
        <v>20</v>
      </c>
      <c r="O474" s="545" t="s">
        <v>419</v>
      </c>
      <c r="P474" s="1948"/>
      <c r="Q474" s="1934"/>
      <c r="R474" s="1935"/>
    </row>
    <row r="475" customFormat="false" ht="15.75" hidden="false" customHeight="true" outlineLevel="0" collapsed="false">
      <c r="A475" s="882"/>
      <c r="B475" s="830"/>
      <c r="C475" s="1930"/>
      <c r="D475" s="860" t="s">
        <v>12</v>
      </c>
      <c r="E475" s="1480" t="s">
        <v>1651</v>
      </c>
      <c r="F475" s="832"/>
      <c r="G475" s="2010"/>
      <c r="H475" s="1075"/>
      <c r="I475" s="837"/>
      <c r="J475" s="1932"/>
      <c r="K475" s="943"/>
      <c r="L475" s="866" t="n">
        <v>49022.493</v>
      </c>
      <c r="M475" s="866" t="n">
        <v>2010</v>
      </c>
      <c r="N475" s="866" t="n">
        <f aca="false">M475/H470</f>
        <v>134</v>
      </c>
      <c r="O475" s="545" t="s">
        <v>417</v>
      </c>
      <c r="P475" s="1948"/>
      <c r="Q475" s="1934"/>
      <c r="R475" s="1935"/>
    </row>
    <row r="476" customFormat="false" ht="15.75" hidden="false" customHeight="true" outlineLevel="0" collapsed="false">
      <c r="A476" s="882"/>
      <c r="B476" s="830"/>
      <c r="C476" s="1930"/>
      <c r="D476" s="843" t="s">
        <v>12</v>
      </c>
      <c r="E476" s="1357" t="s">
        <v>1651</v>
      </c>
      <c r="F476" s="832"/>
      <c r="G476" s="2010"/>
      <c r="H476" s="1075"/>
      <c r="I476" s="837"/>
      <c r="J476" s="1932"/>
      <c r="K476" s="943"/>
      <c r="L476" s="846" t="n">
        <v>49022.493</v>
      </c>
      <c r="M476" s="846" t="n">
        <v>2010</v>
      </c>
      <c r="N476" s="846" t="n">
        <f aca="false">M476/H470</f>
        <v>134</v>
      </c>
      <c r="O476" s="1936" t="s">
        <v>3377</v>
      </c>
      <c r="P476" s="1948"/>
      <c r="Q476" s="1934"/>
      <c r="R476" s="1935"/>
    </row>
    <row r="477" customFormat="false" ht="15.75" hidden="false" customHeight="true" outlineLevel="0" collapsed="false">
      <c r="A477" s="829" t="n">
        <v>285</v>
      </c>
      <c r="B477" s="830" t="n">
        <v>2024</v>
      </c>
      <c r="C477" s="1930" t="n">
        <v>45870</v>
      </c>
      <c r="D477" s="831" t="s">
        <v>12</v>
      </c>
      <c r="E477" s="1365" t="s">
        <v>1651</v>
      </c>
      <c r="F477" s="832" t="s">
        <v>3375</v>
      </c>
      <c r="G477" s="2010" t="n">
        <v>109</v>
      </c>
      <c r="H477" s="837" t="n">
        <v>15</v>
      </c>
      <c r="I477" s="837" t="n">
        <f aca="false">G477*H477</f>
        <v>1635</v>
      </c>
      <c r="J477" s="1932" t="n">
        <v>25.5528</v>
      </c>
      <c r="K477" s="943" t="n">
        <f aca="false">I477*J477</f>
        <v>41778.828</v>
      </c>
      <c r="L477" s="886" t="n">
        <v>15331.68</v>
      </c>
      <c r="M477" s="886" t="n">
        <v>600</v>
      </c>
      <c r="N477" s="886" t="n">
        <f aca="false">M477/H477</f>
        <v>40</v>
      </c>
      <c r="O477" s="1595" t="s">
        <v>469</v>
      </c>
      <c r="P477" s="1948" t="n">
        <f aca="false">K477-L477-L481-L480-L478-L479</f>
        <v>0</v>
      </c>
      <c r="Q477" s="1934" t="n">
        <f aca="false">I477-M477-M481-M480-M478-M479</f>
        <v>0</v>
      </c>
      <c r="R477" s="1935" t="n">
        <f aca="false">G477-N477-N481-N480-N478-N479</f>
        <v>0</v>
      </c>
    </row>
    <row r="478" customFormat="false" ht="15.75" hidden="false" customHeight="true" outlineLevel="0" collapsed="false">
      <c r="A478" s="829"/>
      <c r="B478" s="830"/>
      <c r="C478" s="1930"/>
      <c r="D478" s="848" t="s">
        <v>12</v>
      </c>
      <c r="E478" s="1479" t="s">
        <v>1651</v>
      </c>
      <c r="F478" s="832"/>
      <c r="G478" s="2010"/>
      <c r="H478" s="837"/>
      <c r="I478" s="837"/>
      <c r="J478" s="1932"/>
      <c r="K478" s="943"/>
      <c r="L478" s="866" t="n">
        <v>7282.548</v>
      </c>
      <c r="M478" s="866" t="n">
        <v>285</v>
      </c>
      <c r="N478" s="866" t="n">
        <f aca="false">M478/H477</f>
        <v>19</v>
      </c>
      <c r="O478" s="545" t="s">
        <v>512</v>
      </c>
      <c r="P478" s="1948"/>
      <c r="Q478" s="1934"/>
      <c r="R478" s="1935"/>
    </row>
    <row r="479" customFormat="false" ht="15.75" hidden="false" customHeight="true" outlineLevel="0" collapsed="false">
      <c r="A479" s="829"/>
      <c r="B479" s="830"/>
      <c r="C479" s="1930"/>
      <c r="D479" s="848" t="s">
        <v>12</v>
      </c>
      <c r="E479" s="1479" t="s">
        <v>1651</v>
      </c>
      <c r="F479" s="832"/>
      <c r="G479" s="2010"/>
      <c r="H479" s="837"/>
      <c r="I479" s="837"/>
      <c r="J479" s="1932"/>
      <c r="K479" s="943"/>
      <c r="L479" s="866" t="n">
        <v>3832.92</v>
      </c>
      <c r="M479" s="866" t="n">
        <v>150</v>
      </c>
      <c r="N479" s="866" t="n">
        <f aca="false">M479/H477</f>
        <v>10</v>
      </c>
      <c r="O479" s="545" t="s">
        <v>514</v>
      </c>
      <c r="P479" s="1948"/>
      <c r="Q479" s="1934"/>
      <c r="R479" s="1935"/>
    </row>
    <row r="480" customFormat="false" ht="15.75" hidden="false" customHeight="true" outlineLevel="0" collapsed="false">
      <c r="A480" s="829"/>
      <c r="B480" s="830"/>
      <c r="C480" s="1930"/>
      <c r="D480" s="860" t="s">
        <v>12</v>
      </c>
      <c r="E480" s="1480" t="s">
        <v>1651</v>
      </c>
      <c r="F480" s="832"/>
      <c r="G480" s="2010"/>
      <c r="H480" s="837"/>
      <c r="I480" s="837"/>
      <c r="J480" s="1932"/>
      <c r="K480" s="943"/>
      <c r="L480" s="866" t="n">
        <v>11498.76</v>
      </c>
      <c r="M480" s="866" t="n">
        <v>450</v>
      </c>
      <c r="N480" s="866" t="n">
        <f aca="false">M480/H477</f>
        <v>30</v>
      </c>
      <c r="O480" s="545" t="s">
        <v>481</v>
      </c>
      <c r="P480" s="1948"/>
      <c r="Q480" s="1934"/>
      <c r="R480" s="1935"/>
    </row>
    <row r="481" customFormat="false" ht="15.75" hidden="false" customHeight="true" outlineLevel="0" collapsed="false">
      <c r="A481" s="829"/>
      <c r="B481" s="830"/>
      <c r="C481" s="1930"/>
      <c r="D481" s="887" t="s">
        <v>12</v>
      </c>
      <c r="E481" s="1501" t="s">
        <v>1651</v>
      </c>
      <c r="F481" s="832"/>
      <c r="G481" s="2010"/>
      <c r="H481" s="837"/>
      <c r="I481" s="837"/>
      <c r="J481" s="1932"/>
      <c r="K481" s="943"/>
      <c r="L481" s="890" t="n">
        <v>3832.92</v>
      </c>
      <c r="M481" s="890" t="n">
        <v>150</v>
      </c>
      <c r="N481" s="890" t="n">
        <f aca="false">M481/H477</f>
        <v>10</v>
      </c>
      <c r="O481" s="1938" t="s">
        <v>480</v>
      </c>
      <c r="P481" s="1948"/>
      <c r="Q481" s="1934"/>
      <c r="R481" s="1935"/>
    </row>
    <row r="482" customFormat="false" ht="15.75" hidden="false" customHeight="true" outlineLevel="0" collapsed="false">
      <c r="A482" s="903" t="n">
        <v>318</v>
      </c>
      <c r="B482" s="903" t="n">
        <v>2024</v>
      </c>
      <c r="C482" s="1939" t="n">
        <v>45870</v>
      </c>
      <c r="D482" s="904" t="s">
        <v>12</v>
      </c>
      <c r="E482" s="1351" t="s">
        <v>1652</v>
      </c>
      <c r="F482" s="904" t="s">
        <v>3364</v>
      </c>
      <c r="G482" s="2012" t="n">
        <v>67</v>
      </c>
      <c r="H482" s="942" t="n">
        <v>15</v>
      </c>
      <c r="I482" s="1355" t="n">
        <f aca="false">G482*H482</f>
        <v>1005</v>
      </c>
      <c r="J482" s="1941" t="n">
        <v>30.5426</v>
      </c>
      <c r="K482" s="1942" t="n">
        <f aca="false">I482*J482</f>
        <v>30695.313</v>
      </c>
      <c r="L482" s="891" t="n">
        <v>30695.313</v>
      </c>
      <c r="M482" s="891" t="n">
        <v>1005</v>
      </c>
      <c r="N482" s="891" t="n">
        <f aca="false">M482/H482</f>
        <v>67</v>
      </c>
      <c r="O482" s="1943" t="s">
        <v>3406</v>
      </c>
      <c r="P482" s="1947" t="n">
        <f aca="false">K482-L482</f>
        <v>0</v>
      </c>
      <c r="Q482" s="1945" t="n">
        <f aca="false">I482-M482</f>
        <v>0</v>
      </c>
      <c r="R482" s="1946" t="n">
        <f aca="false">G482-N482</f>
        <v>0</v>
      </c>
    </row>
    <row r="483" customFormat="false" ht="15.75" hidden="false" customHeight="true" outlineLevel="0" collapsed="false">
      <c r="A483" s="1465" t="n">
        <v>332</v>
      </c>
      <c r="B483" s="1546" t="n">
        <v>2024</v>
      </c>
      <c r="C483" s="2006" t="n">
        <v>45901</v>
      </c>
      <c r="D483" s="1328" t="s">
        <v>12</v>
      </c>
      <c r="E483" s="1607" t="s">
        <v>1651</v>
      </c>
      <c r="F483" s="1328" t="s">
        <v>3375</v>
      </c>
      <c r="G483" s="2011" t="n">
        <v>666</v>
      </c>
      <c r="H483" s="1036" t="n">
        <v>15</v>
      </c>
      <c r="I483" s="1036" t="n">
        <f aca="false">G483*H483</f>
        <v>9990</v>
      </c>
      <c r="J483" s="1999" t="n">
        <v>20.057</v>
      </c>
      <c r="K483" s="1547" t="n">
        <f aca="false">I483*J483</f>
        <v>200369.43</v>
      </c>
      <c r="L483" s="886" t="n">
        <v>40314.57</v>
      </c>
      <c r="M483" s="886" t="n">
        <v>2010</v>
      </c>
      <c r="N483" s="886" t="n">
        <f aca="false">M483/H483</f>
        <v>134</v>
      </c>
      <c r="O483" s="1595" t="s">
        <v>392</v>
      </c>
      <c r="P483" s="1978" t="n">
        <f aca="false">K483-L483-L494-L484-L493-L492-L485-L486-L491-L487-L490-L488-L489</f>
        <v>-2.36468622460961E-011</v>
      </c>
      <c r="Q483" s="1978" t="n">
        <f aca="false">I483-M483-M494-M484-M493-M492-M485-M486-M491-M487-M490-M488-M489</f>
        <v>0</v>
      </c>
      <c r="R483" s="1979" t="n">
        <f aca="false">G483-N483-N494-N484-N493-N492-N485-N486-N491-N487-N490-N488-N489</f>
        <v>0</v>
      </c>
    </row>
    <row r="484" customFormat="false" ht="15.75" hidden="false" customHeight="true" outlineLevel="0" collapsed="false">
      <c r="A484" s="1465"/>
      <c r="B484" s="1546"/>
      <c r="C484" s="2006"/>
      <c r="D484" s="860" t="s">
        <v>12</v>
      </c>
      <c r="E484" s="1480" t="s">
        <v>1651</v>
      </c>
      <c r="F484" s="1328"/>
      <c r="G484" s="2011"/>
      <c r="H484" s="1036"/>
      <c r="I484" s="1036"/>
      <c r="J484" s="1999"/>
      <c r="K484" s="1547"/>
      <c r="L484" s="866" t="n">
        <v>18051.3</v>
      </c>
      <c r="M484" s="866" t="n">
        <v>900</v>
      </c>
      <c r="N484" s="866" t="n">
        <f aca="false">M484/H483</f>
        <v>60</v>
      </c>
      <c r="O484" s="545" t="s">
        <v>392</v>
      </c>
      <c r="P484" s="1978"/>
      <c r="Q484" s="1978"/>
      <c r="R484" s="1979"/>
    </row>
    <row r="485" customFormat="false" ht="15.75" hidden="false" customHeight="true" outlineLevel="0" collapsed="false">
      <c r="A485" s="1465"/>
      <c r="B485" s="1546"/>
      <c r="C485" s="2006"/>
      <c r="D485" s="871" t="s">
        <v>12</v>
      </c>
      <c r="E485" s="1478" t="s">
        <v>1651</v>
      </c>
      <c r="F485" s="1328"/>
      <c r="G485" s="2011"/>
      <c r="H485" s="1036"/>
      <c r="I485" s="1036"/>
      <c r="J485" s="1999"/>
      <c r="K485" s="1547"/>
      <c r="L485" s="877" t="n">
        <v>30085.5</v>
      </c>
      <c r="M485" s="877" t="n">
        <v>1500</v>
      </c>
      <c r="N485" s="866" t="n">
        <f aca="false">M485/H483</f>
        <v>100</v>
      </c>
      <c r="O485" s="584" t="s">
        <v>392</v>
      </c>
      <c r="P485" s="1978"/>
      <c r="Q485" s="1978"/>
      <c r="R485" s="1979"/>
    </row>
    <row r="486" customFormat="false" ht="15.75" hidden="false" customHeight="true" outlineLevel="0" collapsed="false">
      <c r="A486" s="1465"/>
      <c r="B486" s="1546"/>
      <c r="C486" s="2006"/>
      <c r="D486" s="871" t="s">
        <v>12</v>
      </c>
      <c r="E486" s="1478" t="s">
        <v>1651</v>
      </c>
      <c r="F486" s="1328"/>
      <c r="G486" s="2011"/>
      <c r="H486" s="1036"/>
      <c r="I486" s="1036"/>
      <c r="J486" s="1999"/>
      <c r="K486" s="1547"/>
      <c r="L486" s="877" t="n">
        <v>6017.1</v>
      </c>
      <c r="M486" s="877" t="n">
        <v>300</v>
      </c>
      <c r="N486" s="866" t="n">
        <f aca="false">M486/H483</f>
        <v>20</v>
      </c>
      <c r="O486" s="584" t="s">
        <v>453</v>
      </c>
      <c r="P486" s="1978"/>
      <c r="Q486" s="1978"/>
      <c r="R486" s="1979"/>
    </row>
    <row r="487" customFormat="false" ht="15.75" hidden="false" customHeight="true" outlineLevel="0" collapsed="false">
      <c r="A487" s="1465"/>
      <c r="B487" s="1546"/>
      <c r="C487" s="2006"/>
      <c r="D487" s="871" t="s">
        <v>12</v>
      </c>
      <c r="E487" s="1478" t="s">
        <v>1651</v>
      </c>
      <c r="F487" s="1328"/>
      <c r="G487" s="2011"/>
      <c r="H487" s="1036"/>
      <c r="I487" s="1036"/>
      <c r="J487" s="1999"/>
      <c r="K487" s="1547"/>
      <c r="L487" s="877" t="n">
        <v>60171</v>
      </c>
      <c r="M487" s="877" t="n">
        <v>3000</v>
      </c>
      <c r="N487" s="866" t="n">
        <f aca="false">M487/H483</f>
        <v>200</v>
      </c>
      <c r="O487" s="584" t="s">
        <v>517</v>
      </c>
      <c r="P487" s="1978"/>
      <c r="Q487" s="1978"/>
      <c r="R487" s="1979"/>
    </row>
    <row r="488" customFormat="false" ht="15.75" hidden="false" customHeight="true" outlineLevel="0" collapsed="false">
      <c r="A488" s="1465"/>
      <c r="B488" s="1546"/>
      <c r="C488" s="2006"/>
      <c r="D488" s="871" t="s">
        <v>12</v>
      </c>
      <c r="E488" s="1478" t="s">
        <v>1651</v>
      </c>
      <c r="F488" s="1328"/>
      <c r="G488" s="2011"/>
      <c r="H488" s="1036"/>
      <c r="I488" s="1036"/>
      <c r="J488" s="1999"/>
      <c r="K488" s="1547"/>
      <c r="L488" s="877" t="n">
        <v>5724.795</v>
      </c>
      <c r="M488" s="877" t="n">
        <v>435</v>
      </c>
      <c r="N488" s="866" t="n">
        <f aca="false">M488/H483</f>
        <v>29</v>
      </c>
      <c r="O488" s="584" t="s">
        <v>517</v>
      </c>
      <c r="P488" s="1978"/>
      <c r="Q488" s="1978"/>
      <c r="R488" s="1979"/>
    </row>
    <row r="489" customFormat="false" ht="15.75" hidden="false" customHeight="true" outlineLevel="0" collapsed="false">
      <c r="A489" s="1465"/>
      <c r="B489" s="1546"/>
      <c r="C489" s="2006"/>
      <c r="D489" s="871" t="s">
        <v>12</v>
      </c>
      <c r="E489" s="1478" t="s">
        <v>1651</v>
      </c>
      <c r="F489" s="1328"/>
      <c r="G489" s="2011"/>
      <c r="H489" s="1036"/>
      <c r="I489" s="1036"/>
      <c r="J489" s="1999"/>
      <c r="K489" s="1547"/>
      <c r="L489" s="877" t="n">
        <v>13229.07</v>
      </c>
      <c r="M489" s="877" t="n">
        <v>510</v>
      </c>
      <c r="N489" s="866" t="n">
        <f aca="false">M489/H483</f>
        <v>34</v>
      </c>
      <c r="O489" s="584" t="s">
        <v>3408</v>
      </c>
      <c r="P489" s="1978"/>
      <c r="Q489" s="1978"/>
      <c r="R489" s="1979"/>
    </row>
    <row r="490" customFormat="false" ht="15.75" hidden="false" customHeight="true" outlineLevel="0" collapsed="false">
      <c r="A490" s="1465"/>
      <c r="B490" s="1546"/>
      <c r="C490" s="2006"/>
      <c r="D490" s="871" t="s">
        <v>12</v>
      </c>
      <c r="E490" s="1478" t="s">
        <v>1651</v>
      </c>
      <c r="F490" s="1328"/>
      <c r="G490" s="2011"/>
      <c r="H490" s="1036"/>
      <c r="I490" s="1036"/>
      <c r="J490" s="1999"/>
      <c r="K490" s="1547"/>
      <c r="L490" s="877" t="n">
        <v>4211.97</v>
      </c>
      <c r="M490" s="877" t="n">
        <v>210</v>
      </c>
      <c r="N490" s="866" t="n">
        <f aca="false">M490/H483</f>
        <v>14</v>
      </c>
      <c r="O490" s="584" t="s">
        <v>392</v>
      </c>
      <c r="P490" s="1978"/>
      <c r="Q490" s="1978"/>
      <c r="R490" s="1979"/>
    </row>
    <row r="491" customFormat="false" ht="15.75" hidden="false" customHeight="true" outlineLevel="0" collapsed="false">
      <c r="A491" s="1465"/>
      <c r="B491" s="1546"/>
      <c r="C491" s="2006"/>
      <c r="D491" s="871" t="s">
        <v>12</v>
      </c>
      <c r="E491" s="1478" t="s">
        <v>1651</v>
      </c>
      <c r="F491" s="1328"/>
      <c r="G491" s="2011"/>
      <c r="H491" s="1036"/>
      <c r="I491" s="1036"/>
      <c r="J491" s="1999"/>
      <c r="K491" s="1547"/>
      <c r="L491" s="877" t="n">
        <v>6017.1</v>
      </c>
      <c r="M491" s="877" t="n">
        <v>300</v>
      </c>
      <c r="N491" s="866" t="n">
        <f aca="false">M491/H483</f>
        <v>20</v>
      </c>
      <c r="O491" s="584" t="s">
        <v>392</v>
      </c>
      <c r="P491" s="1978"/>
      <c r="Q491" s="1978"/>
      <c r="R491" s="1979"/>
    </row>
    <row r="492" customFormat="false" ht="15.75" hidden="false" customHeight="true" outlineLevel="0" collapsed="false">
      <c r="A492" s="1465"/>
      <c r="B492" s="1546"/>
      <c r="C492" s="2006"/>
      <c r="D492" s="871" t="s">
        <v>12</v>
      </c>
      <c r="E492" s="1478" t="s">
        <v>1651</v>
      </c>
      <c r="F492" s="1328"/>
      <c r="G492" s="2011"/>
      <c r="H492" s="1036"/>
      <c r="I492" s="1036"/>
      <c r="J492" s="1999"/>
      <c r="K492" s="1547"/>
      <c r="L492" s="877" t="n">
        <v>4512.825</v>
      </c>
      <c r="M492" s="877" t="n">
        <v>225</v>
      </c>
      <c r="N492" s="866" t="n">
        <f aca="false">M492/H483</f>
        <v>15</v>
      </c>
      <c r="O492" s="584" t="s">
        <v>392</v>
      </c>
      <c r="P492" s="1978"/>
      <c r="Q492" s="1978"/>
      <c r="R492" s="1979"/>
    </row>
    <row r="493" customFormat="false" ht="15.75" hidden="false" customHeight="true" outlineLevel="0" collapsed="false">
      <c r="A493" s="1465"/>
      <c r="B493" s="1546"/>
      <c r="C493" s="2006"/>
      <c r="D493" s="871" t="s">
        <v>12</v>
      </c>
      <c r="E493" s="1478" t="s">
        <v>1651</v>
      </c>
      <c r="F493" s="1328"/>
      <c r="G493" s="2011"/>
      <c r="H493" s="1036"/>
      <c r="I493" s="1036"/>
      <c r="J493" s="1999"/>
      <c r="K493" s="1547"/>
      <c r="L493" s="877" t="n">
        <v>6017.1</v>
      </c>
      <c r="M493" s="877" t="n">
        <v>300</v>
      </c>
      <c r="N493" s="866" t="n">
        <f aca="false">M493/H483</f>
        <v>20</v>
      </c>
      <c r="O493" s="584" t="s">
        <v>392</v>
      </c>
      <c r="P493" s="1978"/>
      <c r="Q493" s="1978"/>
      <c r="R493" s="1979"/>
    </row>
    <row r="494" customFormat="false" ht="15.75" hidden="false" customHeight="true" outlineLevel="0" collapsed="false">
      <c r="A494" s="1465"/>
      <c r="B494" s="1546"/>
      <c r="C494" s="2006"/>
      <c r="D494" s="871" t="s">
        <v>12</v>
      </c>
      <c r="E494" s="1478" t="s">
        <v>1651</v>
      </c>
      <c r="F494" s="1328"/>
      <c r="G494" s="2011"/>
      <c r="H494" s="1036"/>
      <c r="I494" s="1036"/>
      <c r="J494" s="1999"/>
      <c r="K494" s="1547"/>
      <c r="L494" s="877" t="n">
        <v>6017.1</v>
      </c>
      <c r="M494" s="877" t="n">
        <v>300</v>
      </c>
      <c r="N494" s="877" t="n">
        <f aca="false">M494/H483</f>
        <v>20</v>
      </c>
      <c r="O494" s="584" t="s">
        <v>392</v>
      </c>
      <c r="P494" s="1978"/>
      <c r="Q494" s="1978"/>
      <c r="R494" s="1979"/>
    </row>
    <row r="495" customFormat="false" ht="15.75" hidden="false" customHeight="true" outlineLevel="0" collapsed="false">
      <c r="A495" s="882" t="n">
        <v>333</v>
      </c>
      <c r="B495" s="830" t="n">
        <v>2024</v>
      </c>
      <c r="C495" s="1930" t="n">
        <v>45901</v>
      </c>
      <c r="D495" s="831" t="s">
        <v>12</v>
      </c>
      <c r="E495" s="1365" t="s">
        <v>1651</v>
      </c>
      <c r="F495" s="832" t="s">
        <v>3375</v>
      </c>
      <c r="G495" s="2010" t="n">
        <v>134</v>
      </c>
      <c r="H495" s="837" t="n">
        <v>15</v>
      </c>
      <c r="I495" s="837" t="n">
        <f aca="false">G495*H495</f>
        <v>2010</v>
      </c>
      <c r="J495" s="1932" t="n">
        <v>20.057</v>
      </c>
      <c r="K495" s="943" t="n">
        <f aca="false">I495*J495</f>
        <v>40314.57</v>
      </c>
      <c r="L495" s="886" t="n">
        <v>601.71</v>
      </c>
      <c r="M495" s="886" t="n">
        <v>30</v>
      </c>
      <c r="N495" s="886" t="n">
        <f aca="false">M495/H495</f>
        <v>2</v>
      </c>
      <c r="O495" s="1595" t="s">
        <v>392</v>
      </c>
      <c r="P495" s="1948" t="n">
        <f aca="false">K495-L495-L500-L499-L496-L497-L498</f>
        <v>0</v>
      </c>
      <c r="Q495" s="1934" t="n">
        <f aca="false">I495-M495-M500-M499-M496-M497-M498</f>
        <v>0</v>
      </c>
      <c r="R495" s="1935" t="n">
        <f aca="false">G495-N495-N500-N499-N496-N497-N498</f>
        <v>0</v>
      </c>
    </row>
    <row r="496" customFormat="false" ht="15.75" hidden="false" customHeight="true" outlineLevel="0" collapsed="false">
      <c r="A496" s="882"/>
      <c r="B496" s="830"/>
      <c r="C496" s="1930"/>
      <c r="D496" s="860" t="s">
        <v>12</v>
      </c>
      <c r="E496" s="1480" t="s">
        <v>1651</v>
      </c>
      <c r="F496" s="832"/>
      <c r="G496" s="2010"/>
      <c r="H496" s="837"/>
      <c r="I496" s="837"/>
      <c r="J496" s="1932"/>
      <c r="K496" s="943"/>
      <c r="L496" s="866" t="n">
        <v>10529.925</v>
      </c>
      <c r="M496" s="866" t="n">
        <v>525</v>
      </c>
      <c r="N496" s="866" t="n">
        <f aca="false">M496/H495</f>
        <v>35</v>
      </c>
      <c r="O496" s="545" t="s">
        <v>392</v>
      </c>
      <c r="P496" s="1948"/>
      <c r="Q496" s="1934"/>
      <c r="R496" s="1935"/>
    </row>
    <row r="497" customFormat="false" ht="15.75" hidden="false" customHeight="true" outlineLevel="0" collapsed="false">
      <c r="A497" s="882"/>
      <c r="B497" s="830"/>
      <c r="C497" s="1930"/>
      <c r="D497" s="860" t="s">
        <v>12</v>
      </c>
      <c r="E497" s="1480" t="s">
        <v>1651</v>
      </c>
      <c r="F497" s="832"/>
      <c r="G497" s="2010"/>
      <c r="H497" s="837"/>
      <c r="I497" s="837"/>
      <c r="J497" s="1932"/>
      <c r="K497" s="943"/>
      <c r="L497" s="866" t="n">
        <v>2707.695</v>
      </c>
      <c r="M497" s="866" t="n">
        <v>135</v>
      </c>
      <c r="N497" s="866" t="n">
        <f aca="false">M497/H495</f>
        <v>9</v>
      </c>
      <c r="O497" s="545" t="s">
        <v>847</v>
      </c>
      <c r="P497" s="1948"/>
      <c r="Q497" s="1934"/>
      <c r="R497" s="1935"/>
    </row>
    <row r="498" customFormat="false" ht="15.75" hidden="false" customHeight="true" outlineLevel="0" collapsed="false">
      <c r="A498" s="882"/>
      <c r="B498" s="830"/>
      <c r="C498" s="1930"/>
      <c r="D498" s="860" t="s">
        <v>12</v>
      </c>
      <c r="E498" s="1480" t="s">
        <v>1651</v>
      </c>
      <c r="F498" s="832"/>
      <c r="G498" s="2010"/>
      <c r="H498" s="837"/>
      <c r="I498" s="837"/>
      <c r="J498" s="1932"/>
      <c r="K498" s="943"/>
      <c r="L498" s="866" t="n">
        <v>3008.55</v>
      </c>
      <c r="M498" s="866" t="n">
        <v>150</v>
      </c>
      <c r="N498" s="866" t="n">
        <f aca="false">M498/H495</f>
        <v>10</v>
      </c>
      <c r="O498" s="545" t="s">
        <v>864</v>
      </c>
      <c r="P498" s="1948"/>
      <c r="Q498" s="1934"/>
      <c r="R498" s="1935"/>
    </row>
    <row r="499" customFormat="false" ht="15.75" hidden="false" customHeight="true" outlineLevel="0" collapsed="false">
      <c r="A499" s="882"/>
      <c r="B499" s="830"/>
      <c r="C499" s="1930"/>
      <c r="D499" s="860" t="s">
        <v>12</v>
      </c>
      <c r="E499" s="1480" t="s">
        <v>1651</v>
      </c>
      <c r="F499" s="832"/>
      <c r="G499" s="2010"/>
      <c r="H499" s="837"/>
      <c r="I499" s="837"/>
      <c r="J499" s="1932"/>
      <c r="K499" s="943"/>
      <c r="L499" s="866" t="n">
        <v>20157.285</v>
      </c>
      <c r="M499" s="866" t="n">
        <v>1005</v>
      </c>
      <c r="N499" s="866" t="n">
        <f aca="false">M499/H495</f>
        <v>67</v>
      </c>
      <c r="O499" s="545" t="s">
        <v>562</v>
      </c>
      <c r="P499" s="1948"/>
      <c r="Q499" s="1934"/>
      <c r="R499" s="1935"/>
    </row>
    <row r="500" customFormat="false" ht="15.75" hidden="false" customHeight="true" outlineLevel="0" collapsed="false">
      <c r="A500" s="882"/>
      <c r="B500" s="830"/>
      <c r="C500" s="1930"/>
      <c r="D500" s="843" t="s">
        <v>12</v>
      </c>
      <c r="E500" s="1357" t="s">
        <v>1651</v>
      </c>
      <c r="F500" s="832"/>
      <c r="G500" s="2010"/>
      <c r="H500" s="837"/>
      <c r="I500" s="837"/>
      <c r="J500" s="1932"/>
      <c r="K500" s="943"/>
      <c r="L500" s="846" t="n">
        <v>3309.405</v>
      </c>
      <c r="M500" s="846" t="n">
        <v>165</v>
      </c>
      <c r="N500" s="846" t="n">
        <f aca="false">M500/H495</f>
        <v>11</v>
      </c>
      <c r="O500" s="1936" t="s">
        <v>517</v>
      </c>
      <c r="P500" s="1948"/>
      <c r="Q500" s="1934"/>
      <c r="R500" s="1935"/>
    </row>
    <row r="501" customFormat="false" ht="15.75" hidden="false" customHeight="true" outlineLevel="0" collapsed="false">
      <c r="A501" s="1609" t="n">
        <v>343</v>
      </c>
      <c r="B501" s="903" t="n">
        <v>2024</v>
      </c>
      <c r="C501" s="1939" t="n">
        <v>45901</v>
      </c>
      <c r="D501" s="904" t="s">
        <v>12</v>
      </c>
      <c r="E501" s="1351" t="s">
        <v>1651</v>
      </c>
      <c r="F501" s="904" t="s">
        <v>3364</v>
      </c>
      <c r="G501" s="2012" t="n">
        <v>66</v>
      </c>
      <c r="H501" s="942" t="n">
        <v>15</v>
      </c>
      <c r="I501" s="942" t="n">
        <f aca="false">G501*H501</f>
        <v>990</v>
      </c>
      <c r="J501" s="1941" t="n">
        <v>20.057</v>
      </c>
      <c r="K501" s="948" t="n">
        <f aca="false">I501*J501</f>
        <v>19856.43</v>
      </c>
      <c r="L501" s="891" t="n">
        <v>4512.825</v>
      </c>
      <c r="M501" s="891" t="n">
        <v>225</v>
      </c>
      <c r="N501" s="891" t="n">
        <f aca="false">M501/H501</f>
        <v>15</v>
      </c>
      <c r="O501" s="1943" t="s">
        <v>404</v>
      </c>
      <c r="P501" s="2009" t="n">
        <f aca="false">K501-L501-L502</f>
        <v>0</v>
      </c>
      <c r="Q501" s="2000" t="n">
        <f aca="false">I501-M501-M502</f>
        <v>0</v>
      </c>
      <c r="R501" s="2005" t="n">
        <f aca="false">G501-N501-N502</f>
        <v>0</v>
      </c>
    </row>
    <row r="502" customFormat="false" ht="15.75" hidden="false" customHeight="true" outlineLevel="0" collapsed="false">
      <c r="A502" s="1609"/>
      <c r="B502" s="903"/>
      <c r="C502" s="1939"/>
      <c r="D502" s="871" t="s">
        <v>12</v>
      </c>
      <c r="E502" s="1478" t="s">
        <v>1651</v>
      </c>
      <c r="F502" s="904"/>
      <c r="G502" s="2012"/>
      <c r="H502" s="942"/>
      <c r="I502" s="942"/>
      <c r="J502" s="1941"/>
      <c r="K502" s="948"/>
      <c r="L502" s="877" t="n">
        <v>15343.605</v>
      </c>
      <c r="M502" s="877" t="n">
        <v>765</v>
      </c>
      <c r="N502" s="877" t="n">
        <f aca="false">M502/H501</f>
        <v>51</v>
      </c>
      <c r="O502" s="584" t="s">
        <v>512</v>
      </c>
      <c r="P502" s="2009"/>
      <c r="Q502" s="2000"/>
      <c r="R502" s="2005"/>
    </row>
    <row r="503" customFormat="false" ht="15.75" hidden="false" customHeight="true" outlineLevel="0" collapsed="false">
      <c r="A503" s="829" t="n">
        <v>375</v>
      </c>
      <c r="B503" s="830" t="n">
        <v>2024</v>
      </c>
      <c r="C503" s="1930" t="n">
        <v>45901</v>
      </c>
      <c r="D503" s="831" t="s">
        <v>12</v>
      </c>
      <c r="E503" s="1365" t="s">
        <v>1652</v>
      </c>
      <c r="F503" s="832" t="s">
        <v>3364</v>
      </c>
      <c r="G503" s="2010" t="n">
        <v>125</v>
      </c>
      <c r="H503" s="837" t="n">
        <v>15</v>
      </c>
      <c r="I503" s="837" t="n">
        <f aca="false">G503*H503</f>
        <v>1875</v>
      </c>
      <c r="J503" s="1932" t="n">
        <v>25.5642</v>
      </c>
      <c r="K503" s="943" t="n">
        <f aca="false">I503*J503</f>
        <v>47932.875</v>
      </c>
      <c r="L503" s="886" t="n">
        <v>26842.41</v>
      </c>
      <c r="M503" s="886" t="n">
        <v>1050</v>
      </c>
      <c r="N503" s="886" t="n">
        <f aca="false">M503/H503</f>
        <v>70</v>
      </c>
      <c r="O503" s="1595" t="s">
        <v>404</v>
      </c>
      <c r="P503" s="1948" t="n">
        <f aca="false">K503-L503-L510-L509-L504-L505-L506-L508-L507</f>
        <v>0</v>
      </c>
      <c r="Q503" s="1934" t="n">
        <f aca="false">I503-M503-M510-M509-M504-M505-M506-M508-M507</f>
        <v>0</v>
      </c>
      <c r="R503" s="1935" t="n">
        <f aca="false">G503-N503-N510-N509-N504-N505-N506-N508-N507</f>
        <v>0</v>
      </c>
    </row>
    <row r="504" customFormat="false" ht="15.75" hidden="false" customHeight="true" outlineLevel="0" collapsed="false">
      <c r="A504" s="829"/>
      <c r="B504" s="830"/>
      <c r="C504" s="1930"/>
      <c r="D504" s="860" t="s">
        <v>12</v>
      </c>
      <c r="E504" s="1480" t="s">
        <v>1652</v>
      </c>
      <c r="F504" s="832"/>
      <c r="G504" s="2010"/>
      <c r="H504" s="837"/>
      <c r="I504" s="837"/>
      <c r="J504" s="1932"/>
      <c r="K504" s="943"/>
      <c r="L504" s="866" t="n">
        <v>383.463</v>
      </c>
      <c r="M504" s="866" t="n">
        <v>15</v>
      </c>
      <c r="N504" s="866" t="n">
        <f aca="false">M504/H503</f>
        <v>1</v>
      </c>
      <c r="O504" s="545" t="s">
        <v>1182</v>
      </c>
      <c r="P504" s="1948"/>
      <c r="Q504" s="1934"/>
      <c r="R504" s="1935"/>
    </row>
    <row r="505" customFormat="false" ht="15.75" hidden="false" customHeight="true" outlineLevel="0" collapsed="false">
      <c r="A505" s="829"/>
      <c r="B505" s="830"/>
      <c r="C505" s="1930"/>
      <c r="D505" s="860" t="s">
        <v>12</v>
      </c>
      <c r="E505" s="1480" t="s">
        <v>1652</v>
      </c>
      <c r="F505" s="832"/>
      <c r="G505" s="2010"/>
      <c r="H505" s="837"/>
      <c r="I505" s="837"/>
      <c r="J505" s="1932"/>
      <c r="K505" s="943"/>
      <c r="L505" s="866" t="n">
        <v>766.926</v>
      </c>
      <c r="M505" s="866" t="n">
        <v>30</v>
      </c>
      <c r="N505" s="866" t="n">
        <f aca="false">M505/H503</f>
        <v>2</v>
      </c>
      <c r="O505" s="545" t="s">
        <v>1230</v>
      </c>
      <c r="P505" s="1948"/>
      <c r="Q505" s="1934"/>
      <c r="R505" s="1935"/>
    </row>
    <row r="506" customFormat="false" ht="15.75" hidden="false" customHeight="true" outlineLevel="0" collapsed="false">
      <c r="A506" s="829"/>
      <c r="B506" s="830"/>
      <c r="C506" s="1930"/>
      <c r="D506" s="2013" t="s">
        <v>12</v>
      </c>
      <c r="E506" s="1480" t="s">
        <v>1652</v>
      </c>
      <c r="F506" s="832"/>
      <c r="G506" s="2010"/>
      <c r="H506" s="837"/>
      <c r="I506" s="837"/>
      <c r="J506" s="1932"/>
      <c r="K506" s="943"/>
      <c r="L506" s="866" t="n">
        <v>3834.63</v>
      </c>
      <c r="M506" s="866" t="n">
        <v>150</v>
      </c>
      <c r="N506" s="866" t="n">
        <f aca="false">M506/H503</f>
        <v>10</v>
      </c>
      <c r="O506" s="545" t="s">
        <v>1242</v>
      </c>
      <c r="P506" s="1948"/>
      <c r="Q506" s="1934"/>
      <c r="R506" s="1935"/>
    </row>
    <row r="507" customFormat="false" ht="15.75" hidden="false" customHeight="true" outlineLevel="0" collapsed="false">
      <c r="A507" s="829"/>
      <c r="B507" s="830"/>
      <c r="C507" s="1930"/>
      <c r="D507" s="2013" t="s">
        <v>12</v>
      </c>
      <c r="E507" s="1480" t="s">
        <v>1652</v>
      </c>
      <c r="F507" s="832"/>
      <c r="G507" s="2010"/>
      <c r="H507" s="837"/>
      <c r="I507" s="837"/>
      <c r="J507" s="1932"/>
      <c r="K507" s="943"/>
      <c r="L507" s="866" t="n">
        <v>5368.482</v>
      </c>
      <c r="M507" s="866" t="n">
        <v>210</v>
      </c>
      <c r="N507" s="866" t="n">
        <f aca="false">M507/H503</f>
        <v>14</v>
      </c>
      <c r="O507" s="545" t="s">
        <v>1634</v>
      </c>
      <c r="P507" s="1948"/>
      <c r="Q507" s="1934"/>
      <c r="R507" s="1935"/>
    </row>
    <row r="508" customFormat="false" ht="15.75" hidden="false" customHeight="true" outlineLevel="0" collapsed="false">
      <c r="A508" s="829"/>
      <c r="B508" s="830"/>
      <c r="C508" s="1930"/>
      <c r="D508" s="2013" t="s">
        <v>12</v>
      </c>
      <c r="E508" s="1480" t="s">
        <v>1652</v>
      </c>
      <c r="F508" s="832"/>
      <c r="G508" s="2010"/>
      <c r="H508" s="837"/>
      <c r="I508" s="837"/>
      <c r="J508" s="1932"/>
      <c r="K508" s="943"/>
      <c r="L508" s="866" t="n">
        <v>6135.408</v>
      </c>
      <c r="M508" s="866" t="n">
        <v>240</v>
      </c>
      <c r="N508" s="866" t="n">
        <f aca="false">M508/H503</f>
        <v>16</v>
      </c>
      <c r="O508" s="545" t="s">
        <v>1250</v>
      </c>
      <c r="P508" s="1948"/>
      <c r="Q508" s="1934"/>
      <c r="R508" s="1935"/>
    </row>
    <row r="509" customFormat="false" ht="15.75" hidden="false" customHeight="true" outlineLevel="0" collapsed="false">
      <c r="A509" s="829"/>
      <c r="B509" s="830"/>
      <c r="C509" s="1930"/>
      <c r="D509" s="860" t="s">
        <v>12</v>
      </c>
      <c r="E509" s="1480" t="s">
        <v>1652</v>
      </c>
      <c r="F509" s="832"/>
      <c r="G509" s="2010"/>
      <c r="H509" s="837"/>
      <c r="I509" s="837"/>
      <c r="J509" s="1932"/>
      <c r="K509" s="943"/>
      <c r="L509" s="866" t="n">
        <v>3067.704</v>
      </c>
      <c r="M509" s="866" t="n">
        <v>120</v>
      </c>
      <c r="N509" s="866" t="n">
        <f aca="false">M509/H503</f>
        <v>8</v>
      </c>
      <c r="O509" s="545" t="s">
        <v>731</v>
      </c>
      <c r="P509" s="1948"/>
      <c r="Q509" s="1934"/>
      <c r="R509" s="1935"/>
    </row>
    <row r="510" customFormat="false" ht="15.75" hidden="false" customHeight="true" outlineLevel="0" collapsed="false">
      <c r="A510" s="829"/>
      <c r="B510" s="830"/>
      <c r="C510" s="1930"/>
      <c r="D510" s="843" t="s">
        <v>12</v>
      </c>
      <c r="E510" s="1357" t="s">
        <v>1652</v>
      </c>
      <c r="F510" s="832"/>
      <c r="G510" s="2010"/>
      <c r="H510" s="837"/>
      <c r="I510" s="837"/>
      <c r="J510" s="1932"/>
      <c r="K510" s="943"/>
      <c r="L510" s="846" t="n">
        <v>1533.852</v>
      </c>
      <c r="M510" s="846" t="n">
        <v>60</v>
      </c>
      <c r="N510" s="846" t="n">
        <f aca="false">M510/H503</f>
        <v>4</v>
      </c>
      <c r="O510" s="1936" t="s">
        <v>713</v>
      </c>
      <c r="P510" s="1948"/>
      <c r="Q510" s="1934"/>
      <c r="R510" s="1935"/>
    </row>
    <row r="511" customFormat="false" ht="15.75" hidden="false" customHeight="true" outlineLevel="0" collapsed="false">
      <c r="A511" s="829" t="n">
        <v>376</v>
      </c>
      <c r="B511" s="830" t="n">
        <v>2024</v>
      </c>
      <c r="C511" s="1930" t="n">
        <v>45901</v>
      </c>
      <c r="D511" s="1328" t="s">
        <v>12</v>
      </c>
      <c r="E511" s="1607" t="s">
        <v>1651</v>
      </c>
      <c r="F511" s="832" t="s">
        <v>3364</v>
      </c>
      <c r="G511" s="2010" t="n">
        <v>525</v>
      </c>
      <c r="H511" s="837" t="n">
        <v>15</v>
      </c>
      <c r="I511" s="837" t="n">
        <f aca="false">G511*H511</f>
        <v>7875</v>
      </c>
      <c r="J511" s="1932" t="n">
        <v>20.9637</v>
      </c>
      <c r="K511" s="943" t="n">
        <f aca="false">I511*J511</f>
        <v>165089.1375</v>
      </c>
      <c r="L511" s="886" t="n">
        <v>103141.404</v>
      </c>
      <c r="M511" s="886" t="n">
        <v>4920</v>
      </c>
      <c r="N511" s="886" t="n">
        <f aca="false">M511/H511</f>
        <v>328</v>
      </c>
      <c r="O511" s="1595" t="s">
        <v>404</v>
      </c>
      <c r="P511" s="1948" t="n">
        <f aca="false">K511-L511-L512</f>
        <v>0</v>
      </c>
      <c r="Q511" s="1934" t="n">
        <f aca="false">I511-M511-M512</f>
        <v>0</v>
      </c>
      <c r="R511" s="1935" t="n">
        <f aca="false">G511-N511-N512</f>
        <v>0</v>
      </c>
    </row>
    <row r="512" customFormat="false" ht="15.75" hidden="false" customHeight="true" outlineLevel="0" collapsed="false">
      <c r="A512" s="829"/>
      <c r="B512" s="830"/>
      <c r="C512" s="1930"/>
      <c r="D512" s="843" t="s">
        <v>12</v>
      </c>
      <c r="E512" s="1357" t="s">
        <v>1651</v>
      </c>
      <c r="F512" s="832"/>
      <c r="G512" s="2010"/>
      <c r="H512" s="837"/>
      <c r="I512" s="837"/>
      <c r="J512" s="1932"/>
      <c r="K512" s="943"/>
      <c r="L512" s="846" t="n">
        <v>61947.7335</v>
      </c>
      <c r="M512" s="846" t="n">
        <v>2955</v>
      </c>
      <c r="N512" s="846" t="n">
        <f aca="false">M512/H511</f>
        <v>197</v>
      </c>
      <c r="O512" s="1936" t="s">
        <v>404</v>
      </c>
      <c r="P512" s="1948"/>
      <c r="Q512" s="1934"/>
      <c r="R512" s="1935"/>
    </row>
    <row r="513" customFormat="false" ht="15.75" hidden="false" customHeight="true" outlineLevel="0" collapsed="false">
      <c r="A513" s="1465" t="n">
        <v>446</v>
      </c>
      <c r="B513" s="1546" t="n">
        <v>2024</v>
      </c>
      <c r="C513" s="2006" t="n">
        <v>45931</v>
      </c>
      <c r="D513" s="831" t="s">
        <v>12</v>
      </c>
      <c r="E513" s="1365" t="s">
        <v>1651</v>
      </c>
      <c r="F513" s="1328" t="s">
        <v>3375</v>
      </c>
      <c r="G513" s="2011" t="n">
        <v>363</v>
      </c>
      <c r="H513" s="1036" t="n">
        <v>15</v>
      </c>
      <c r="I513" s="1036" t="n">
        <f aca="false">G513*H513</f>
        <v>5445</v>
      </c>
      <c r="J513" s="1999" t="n">
        <v>18</v>
      </c>
      <c r="K513" s="1547" t="n">
        <f aca="false">I513*J513</f>
        <v>98010</v>
      </c>
      <c r="L513" s="886" t="n">
        <v>87480</v>
      </c>
      <c r="M513" s="886" t="n">
        <v>4860</v>
      </c>
      <c r="N513" s="886" t="n">
        <f aca="false">M513/H513</f>
        <v>324</v>
      </c>
      <c r="O513" s="1595" t="s">
        <v>3424</v>
      </c>
      <c r="P513" s="1984" t="n">
        <f aca="false">K513-L513-L517-L516-L514-L515</f>
        <v>0</v>
      </c>
      <c r="Q513" s="1978" t="n">
        <f aca="false">I513-M513-M517-M516-M514-M515</f>
        <v>0</v>
      </c>
      <c r="R513" s="1979" t="n">
        <f aca="false">G513-N513-N517-N516-N514-N515</f>
        <v>0</v>
      </c>
    </row>
    <row r="514" customFormat="false" ht="15.75" hidden="false" customHeight="true" outlineLevel="0" collapsed="false">
      <c r="A514" s="1465"/>
      <c r="B514" s="1546"/>
      <c r="C514" s="2006"/>
      <c r="D514" s="848" t="s">
        <v>12</v>
      </c>
      <c r="E514" s="1479" t="s">
        <v>1651</v>
      </c>
      <c r="F514" s="1328"/>
      <c r="G514" s="2011"/>
      <c r="H514" s="1036"/>
      <c r="I514" s="1036"/>
      <c r="J514" s="1999"/>
      <c r="K514" s="1547"/>
      <c r="L514" s="866" t="n">
        <v>1890</v>
      </c>
      <c r="M514" s="866" t="n">
        <v>105</v>
      </c>
      <c r="N514" s="866" t="n">
        <f aca="false">M514/H513</f>
        <v>7</v>
      </c>
      <c r="O514" s="545" t="s">
        <v>392</v>
      </c>
      <c r="P514" s="1984"/>
      <c r="Q514" s="1978"/>
      <c r="R514" s="1979"/>
    </row>
    <row r="515" customFormat="false" ht="15.75" hidden="false" customHeight="true" outlineLevel="0" collapsed="false">
      <c r="A515" s="1465"/>
      <c r="B515" s="1546"/>
      <c r="C515" s="2006"/>
      <c r="D515" s="848" t="s">
        <v>12</v>
      </c>
      <c r="E515" s="1479" t="s">
        <v>1651</v>
      </c>
      <c r="F515" s="1328"/>
      <c r="G515" s="2011"/>
      <c r="H515" s="1036"/>
      <c r="I515" s="1036"/>
      <c r="J515" s="1999"/>
      <c r="K515" s="1547"/>
      <c r="L515" s="866" t="n">
        <v>270</v>
      </c>
      <c r="M515" s="866" t="n">
        <v>15</v>
      </c>
      <c r="N515" s="866" t="n">
        <f aca="false">M515/H513</f>
        <v>1</v>
      </c>
      <c r="O515" s="545" t="s">
        <v>656</v>
      </c>
      <c r="P515" s="1984"/>
      <c r="Q515" s="1978"/>
      <c r="R515" s="1979"/>
    </row>
    <row r="516" customFormat="false" ht="15.75" hidden="false" customHeight="true" outlineLevel="0" collapsed="false">
      <c r="A516" s="1465"/>
      <c r="B516" s="1546"/>
      <c r="C516" s="2006"/>
      <c r="D516" s="860" t="s">
        <v>12</v>
      </c>
      <c r="E516" s="1480" t="s">
        <v>1651</v>
      </c>
      <c r="F516" s="1328"/>
      <c r="G516" s="2011"/>
      <c r="H516" s="1036"/>
      <c r="I516" s="1036"/>
      <c r="J516" s="1999"/>
      <c r="K516" s="1547"/>
      <c r="L516" s="866" t="n">
        <v>8100</v>
      </c>
      <c r="M516" s="866" t="n">
        <v>450</v>
      </c>
      <c r="N516" s="866" t="n">
        <f aca="false">M516/H513</f>
        <v>30</v>
      </c>
      <c r="O516" s="545" t="s">
        <v>847</v>
      </c>
      <c r="P516" s="1984"/>
      <c r="Q516" s="1978"/>
      <c r="R516" s="1979"/>
    </row>
    <row r="517" customFormat="false" ht="15.75" hidden="false" customHeight="true" outlineLevel="0" collapsed="false">
      <c r="A517" s="1465"/>
      <c r="B517" s="1546"/>
      <c r="C517" s="2006"/>
      <c r="D517" s="904" t="s">
        <v>12</v>
      </c>
      <c r="E517" s="1351" t="s">
        <v>1651</v>
      </c>
      <c r="F517" s="1328"/>
      <c r="G517" s="2011"/>
      <c r="H517" s="1036"/>
      <c r="I517" s="1036"/>
      <c r="J517" s="1999"/>
      <c r="K517" s="1547"/>
      <c r="L517" s="891" t="n">
        <v>270</v>
      </c>
      <c r="M517" s="891" t="n">
        <v>15</v>
      </c>
      <c r="N517" s="891" t="n">
        <f aca="false">M517/H513</f>
        <v>1</v>
      </c>
      <c r="O517" s="1943" t="s">
        <v>905</v>
      </c>
      <c r="P517" s="1984"/>
      <c r="Q517" s="1978"/>
      <c r="R517" s="1979"/>
    </row>
    <row r="518" customFormat="false" ht="15.75" hidden="false" customHeight="true" outlineLevel="0" collapsed="false">
      <c r="A518" s="882" t="s">
        <v>3425</v>
      </c>
      <c r="B518" s="830" t="n">
        <v>2024</v>
      </c>
      <c r="C518" s="1930" t="n">
        <v>45931</v>
      </c>
      <c r="D518" s="831" t="s">
        <v>12</v>
      </c>
      <c r="E518" s="1365" t="s">
        <v>1651</v>
      </c>
      <c r="F518" s="830" t="s">
        <v>3364</v>
      </c>
      <c r="G518" s="2014" t="n">
        <v>325</v>
      </c>
      <c r="H518" s="837" t="n">
        <v>15</v>
      </c>
      <c r="I518" s="837" t="n">
        <f aca="false">G518*H518</f>
        <v>4875</v>
      </c>
      <c r="J518" s="1932" t="n">
        <v>17.9446</v>
      </c>
      <c r="K518" s="943" t="n">
        <f aca="false">I518*J518</f>
        <v>87479.925</v>
      </c>
      <c r="L518" s="886" t="n">
        <v>2691.69</v>
      </c>
      <c r="M518" s="886" t="n">
        <v>150</v>
      </c>
      <c r="N518" s="886" t="n">
        <f aca="false">M518/H518</f>
        <v>10</v>
      </c>
      <c r="O518" s="1595" t="s">
        <v>512</v>
      </c>
      <c r="P518" s="1948" t="n">
        <f aca="false">K518-L518-L524-L523-L519-L520-L522-L521</f>
        <v>5383.38</v>
      </c>
      <c r="Q518" s="1934" t="n">
        <f aca="false">I518-M518-M524-M523-M519-M520-M522-M521</f>
        <v>300</v>
      </c>
      <c r="R518" s="1935" t="n">
        <f aca="false">G518-N518-N524-N523-N519-N520-N522-N521</f>
        <v>20</v>
      </c>
    </row>
    <row r="519" customFormat="false" ht="15.75" hidden="false" customHeight="true" outlineLevel="0" collapsed="false">
      <c r="A519" s="882"/>
      <c r="B519" s="830"/>
      <c r="C519" s="1930"/>
      <c r="D519" s="860" t="s">
        <v>12</v>
      </c>
      <c r="E519" s="1480" t="s">
        <v>1651</v>
      </c>
      <c r="F519" s="830"/>
      <c r="G519" s="2014"/>
      <c r="H519" s="837"/>
      <c r="I519" s="837"/>
      <c r="J519" s="1932"/>
      <c r="K519" s="943"/>
      <c r="L519" s="866" t="n">
        <v>39298.674</v>
      </c>
      <c r="M519" s="866" t="n">
        <v>2190</v>
      </c>
      <c r="N519" s="866" t="n">
        <f aca="false">M519/H518</f>
        <v>146</v>
      </c>
      <c r="O519" s="545" t="s">
        <v>670</v>
      </c>
      <c r="P519" s="1948"/>
      <c r="Q519" s="1934"/>
      <c r="R519" s="1935"/>
    </row>
    <row r="520" customFormat="false" ht="15.75" hidden="false" customHeight="true" outlineLevel="0" collapsed="false">
      <c r="A520" s="882"/>
      <c r="B520" s="830"/>
      <c r="C520" s="1930"/>
      <c r="D520" s="860" t="s">
        <v>12</v>
      </c>
      <c r="E520" s="1480" t="s">
        <v>1651</v>
      </c>
      <c r="F520" s="830"/>
      <c r="G520" s="2014"/>
      <c r="H520" s="837"/>
      <c r="I520" s="837"/>
      <c r="J520" s="1932"/>
      <c r="K520" s="943"/>
      <c r="L520" s="866" t="n">
        <v>2691.69</v>
      </c>
      <c r="M520" s="866" t="n">
        <v>150</v>
      </c>
      <c r="N520" s="866" t="n">
        <f aca="false">M520/H518</f>
        <v>10</v>
      </c>
      <c r="O520" s="545" t="s">
        <v>699</v>
      </c>
      <c r="P520" s="1948"/>
      <c r="Q520" s="1934"/>
      <c r="R520" s="1935"/>
    </row>
    <row r="521" customFormat="false" ht="15.75" hidden="false" customHeight="true" outlineLevel="0" collapsed="false">
      <c r="A521" s="882"/>
      <c r="B521" s="830"/>
      <c r="C521" s="1930"/>
      <c r="D521" s="860" t="s">
        <v>12</v>
      </c>
      <c r="E521" s="1480" t="s">
        <v>1651</v>
      </c>
      <c r="F521" s="830"/>
      <c r="G521" s="2014"/>
      <c r="H521" s="837"/>
      <c r="I521" s="837"/>
      <c r="J521" s="1932"/>
      <c r="K521" s="943"/>
      <c r="L521" s="866"/>
      <c r="M521" s="866"/>
      <c r="N521" s="866" t="n">
        <f aca="false">M521/H518</f>
        <v>0</v>
      </c>
      <c r="O521" s="545"/>
      <c r="P521" s="1948"/>
      <c r="Q521" s="1934"/>
      <c r="R521" s="1935"/>
    </row>
    <row r="522" customFormat="false" ht="15.75" hidden="false" customHeight="true" outlineLevel="0" collapsed="false">
      <c r="A522" s="882"/>
      <c r="B522" s="830"/>
      <c r="C522" s="1930"/>
      <c r="D522" s="860" t="s">
        <v>12</v>
      </c>
      <c r="E522" s="1480" t="s">
        <v>1651</v>
      </c>
      <c r="F522" s="830"/>
      <c r="G522" s="2014"/>
      <c r="H522" s="837"/>
      <c r="I522" s="837"/>
      <c r="J522" s="1932"/>
      <c r="K522" s="943"/>
      <c r="L522" s="866" t="n">
        <v>8882.577</v>
      </c>
      <c r="M522" s="866" t="n">
        <v>495</v>
      </c>
      <c r="N522" s="866" t="n">
        <f aca="false">M522/H518</f>
        <v>33</v>
      </c>
      <c r="O522" s="545" t="s">
        <v>721</v>
      </c>
      <c r="P522" s="1948"/>
      <c r="Q522" s="1934"/>
      <c r="R522" s="1935"/>
    </row>
    <row r="523" customFormat="false" ht="15.75" hidden="false" customHeight="true" outlineLevel="0" collapsed="false">
      <c r="A523" s="882"/>
      <c r="B523" s="830"/>
      <c r="C523" s="1930"/>
      <c r="D523" s="860" t="s">
        <v>12</v>
      </c>
      <c r="E523" s="1480" t="s">
        <v>1651</v>
      </c>
      <c r="F523" s="830"/>
      <c r="G523" s="2014"/>
      <c r="H523" s="837"/>
      <c r="I523" s="837"/>
      <c r="J523" s="1932"/>
      <c r="K523" s="943"/>
      <c r="L523" s="866" t="n">
        <v>8344.239</v>
      </c>
      <c r="M523" s="866" t="n">
        <v>465</v>
      </c>
      <c r="N523" s="866" t="n">
        <f aca="false">M523/H518</f>
        <v>31</v>
      </c>
      <c r="O523" s="545" t="s">
        <v>3426</v>
      </c>
      <c r="P523" s="1948"/>
      <c r="Q523" s="1934"/>
      <c r="R523" s="1935"/>
    </row>
    <row r="524" customFormat="false" ht="15.75" hidden="false" customHeight="true" outlineLevel="0" collapsed="false">
      <c r="A524" s="882"/>
      <c r="B524" s="830"/>
      <c r="C524" s="1930"/>
      <c r="D524" s="843" t="s">
        <v>12</v>
      </c>
      <c r="E524" s="1357" t="s">
        <v>1651</v>
      </c>
      <c r="F524" s="830"/>
      <c r="G524" s="2014"/>
      <c r="H524" s="837"/>
      <c r="I524" s="837"/>
      <c r="J524" s="1932"/>
      <c r="K524" s="943"/>
      <c r="L524" s="846" t="n">
        <v>20187.675</v>
      </c>
      <c r="M524" s="846" t="n">
        <v>1125</v>
      </c>
      <c r="N524" s="846" t="n">
        <f aca="false">M524/H518</f>
        <v>75</v>
      </c>
      <c r="O524" s="1936" t="s">
        <v>847</v>
      </c>
      <c r="P524" s="1948"/>
      <c r="Q524" s="1934"/>
      <c r="R524" s="1935"/>
    </row>
    <row r="525" customFormat="false" ht="15.75" hidden="false" customHeight="true" outlineLevel="0" collapsed="false">
      <c r="A525" s="1087" t="n">
        <v>447</v>
      </c>
      <c r="B525" s="1072" t="n">
        <v>2024</v>
      </c>
      <c r="C525" s="1949" t="n">
        <v>45931</v>
      </c>
      <c r="D525" s="848" t="s">
        <v>12</v>
      </c>
      <c r="E525" s="1479" t="s">
        <v>1651</v>
      </c>
      <c r="F525" s="887" t="s">
        <v>3364</v>
      </c>
      <c r="G525" s="2015" t="n">
        <v>631</v>
      </c>
      <c r="H525" s="1067" t="n">
        <v>15</v>
      </c>
      <c r="I525" s="1067" t="n">
        <f aca="false">G525*H525</f>
        <v>9465</v>
      </c>
      <c r="J525" s="1951" t="n">
        <v>18.1711</v>
      </c>
      <c r="K525" s="1452" t="n">
        <f aca="false">I525*J525</f>
        <v>171989.4615</v>
      </c>
      <c r="L525" s="891" t="n">
        <v>14718.591</v>
      </c>
      <c r="M525" s="891" t="n">
        <v>810</v>
      </c>
      <c r="N525" s="891" t="n">
        <f aca="false">M525/H525</f>
        <v>54</v>
      </c>
      <c r="O525" s="1943" t="s">
        <v>660</v>
      </c>
      <c r="P525" s="1952" t="n">
        <f aca="false">K525-L525-L544-L543-L526-L542-L527-L528-L541-L529-L540-L539-L530-L538-L531-L537-L534-L532-L533-L536-L535</f>
        <v>11447.793</v>
      </c>
      <c r="Q525" s="1953" t="n">
        <f aca="false">I525-M525-M544-M543-M526-M542-M527-M528-M541-M529-M540-M539-M530-M538-M531-M537-M534-M532-M533-M536-M535</f>
        <v>630</v>
      </c>
      <c r="R525" s="1954" t="n">
        <f aca="false">G525-N525-N544-N543-N526-N542-N527-N528-N541-N529-N540-N539-N530-N538-N531-N537-N534-N532-N533-N536-N535</f>
        <v>42</v>
      </c>
    </row>
    <row r="526" customFormat="false" ht="15.75" hidden="false" customHeight="true" outlineLevel="0" collapsed="false">
      <c r="A526" s="1087"/>
      <c r="B526" s="1072"/>
      <c r="C526" s="1949"/>
      <c r="D526" s="860" t="s">
        <v>12</v>
      </c>
      <c r="E526" s="1480" t="s">
        <v>1651</v>
      </c>
      <c r="F526" s="887"/>
      <c r="G526" s="2015"/>
      <c r="H526" s="1067"/>
      <c r="I526" s="1067"/>
      <c r="J526" s="1951"/>
      <c r="K526" s="1452"/>
      <c r="L526" s="866" t="n">
        <v>5451.33</v>
      </c>
      <c r="M526" s="866" t="n">
        <v>300</v>
      </c>
      <c r="N526" s="866" t="n">
        <f aca="false">M526/H525</f>
        <v>20</v>
      </c>
      <c r="O526" s="545" t="s">
        <v>541</v>
      </c>
      <c r="P526" s="1952"/>
      <c r="Q526" s="1953"/>
      <c r="R526" s="1954"/>
    </row>
    <row r="527" customFormat="false" ht="15.75" hidden="false" customHeight="true" outlineLevel="0" collapsed="false">
      <c r="A527" s="1087"/>
      <c r="B527" s="1072"/>
      <c r="C527" s="1949"/>
      <c r="D527" s="860" t="s">
        <v>12</v>
      </c>
      <c r="E527" s="1480" t="s">
        <v>1651</v>
      </c>
      <c r="F527" s="887"/>
      <c r="G527" s="2015"/>
      <c r="H527" s="1067"/>
      <c r="I527" s="1067"/>
      <c r="J527" s="1951"/>
      <c r="K527" s="1452"/>
      <c r="L527" s="866" t="n">
        <v>23985.852</v>
      </c>
      <c r="M527" s="866" t="n">
        <v>1320</v>
      </c>
      <c r="N527" s="866" t="n">
        <f aca="false">M527/H525</f>
        <v>88</v>
      </c>
      <c r="O527" s="545" t="s">
        <v>404</v>
      </c>
      <c r="P527" s="1952"/>
      <c r="Q527" s="1953"/>
      <c r="R527" s="1954"/>
    </row>
    <row r="528" customFormat="false" ht="15.75" hidden="false" customHeight="true" outlineLevel="0" collapsed="false">
      <c r="A528" s="1087"/>
      <c r="B528" s="1072"/>
      <c r="C528" s="1949"/>
      <c r="D528" s="860" t="s">
        <v>12</v>
      </c>
      <c r="E528" s="1480" t="s">
        <v>1651</v>
      </c>
      <c r="F528" s="887"/>
      <c r="G528" s="2015"/>
      <c r="H528" s="1067"/>
      <c r="I528" s="1067"/>
      <c r="J528" s="1951"/>
      <c r="K528" s="1452"/>
      <c r="L528" s="866" t="n">
        <v>10902.66</v>
      </c>
      <c r="M528" s="866" t="n">
        <v>600</v>
      </c>
      <c r="N528" s="866" t="n">
        <f aca="false">M528/H525</f>
        <v>40</v>
      </c>
      <c r="O528" s="545" t="s">
        <v>415</v>
      </c>
      <c r="P528" s="1952"/>
      <c r="Q528" s="1953"/>
      <c r="R528" s="1954"/>
    </row>
    <row r="529" customFormat="false" ht="15.75" hidden="false" customHeight="true" outlineLevel="0" collapsed="false">
      <c r="A529" s="1087"/>
      <c r="B529" s="1072"/>
      <c r="C529" s="1949"/>
      <c r="D529" s="860" t="s">
        <v>12</v>
      </c>
      <c r="E529" s="1480" t="s">
        <v>1651</v>
      </c>
      <c r="F529" s="887"/>
      <c r="G529" s="2015"/>
      <c r="H529" s="1067"/>
      <c r="I529" s="1067"/>
      <c r="J529" s="1951"/>
      <c r="K529" s="1452"/>
      <c r="L529" s="866" t="n">
        <v>5451.33</v>
      </c>
      <c r="M529" s="866" t="n">
        <v>300</v>
      </c>
      <c r="N529" s="866" t="n">
        <f aca="false">M529/H525</f>
        <v>20</v>
      </c>
      <c r="O529" s="545" t="s">
        <v>491</v>
      </c>
      <c r="P529" s="1952"/>
      <c r="Q529" s="1953"/>
      <c r="R529" s="1954"/>
    </row>
    <row r="530" customFormat="false" ht="15.75" hidden="false" customHeight="true" outlineLevel="0" collapsed="false">
      <c r="A530" s="1087"/>
      <c r="B530" s="1072"/>
      <c r="C530" s="1949"/>
      <c r="D530" s="860" t="s">
        <v>12</v>
      </c>
      <c r="E530" s="1480" t="s">
        <v>1651</v>
      </c>
      <c r="F530" s="887"/>
      <c r="G530" s="2015"/>
      <c r="H530" s="1067"/>
      <c r="I530" s="1067"/>
      <c r="J530" s="1951"/>
      <c r="K530" s="1452"/>
      <c r="L530" s="866" t="n">
        <v>14718.591</v>
      </c>
      <c r="M530" s="866" t="n">
        <v>810</v>
      </c>
      <c r="N530" s="866" t="n">
        <f aca="false">M530/H525</f>
        <v>54</v>
      </c>
      <c r="O530" s="545" t="s">
        <v>670</v>
      </c>
      <c r="P530" s="1952"/>
      <c r="Q530" s="1953"/>
      <c r="R530" s="1954"/>
    </row>
    <row r="531" customFormat="false" ht="15.75" hidden="false" customHeight="true" outlineLevel="0" collapsed="false">
      <c r="A531" s="1087"/>
      <c r="B531" s="1072"/>
      <c r="C531" s="1949"/>
      <c r="D531" s="860" t="s">
        <v>12</v>
      </c>
      <c r="E531" s="1480" t="s">
        <v>1651</v>
      </c>
      <c r="F531" s="887"/>
      <c r="G531" s="2015"/>
      <c r="H531" s="1067"/>
      <c r="I531" s="1067"/>
      <c r="J531" s="1951"/>
      <c r="K531" s="1452"/>
      <c r="L531" s="866" t="n">
        <v>4088.4975</v>
      </c>
      <c r="M531" s="866" t="n">
        <v>225</v>
      </c>
      <c r="N531" s="866" t="n">
        <f aca="false">M531/H525</f>
        <v>15</v>
      </c>
      <c r="O531" s="545" t="s">
        <v>748</v>
      </c>
      <c r="P531" s="1952"/>
      <c r="Q531" s="1953"/>
      <c r="R531" s="1954"/>
    </row>
    <row r="532" customFormat="false" ht="15.75" hidden="false" customHeight="true" outlineLevel="0" collapsed="false">
      <c r="A532" s="1087"/>
      <c r="B532" s="1072"/>
      <c r="C532" s="1949"/>
      <c r="D532" s="860" t="s">
        <v>12</v>
      </c>
      <c r="E532" s="1480" t="s">
        <v>1651</v>
      </c>
      <c r="F532" s="887"/>
      <c r="G532" s="2015"/>
      <c r="H532" s="1067"/>
      <c r="I532" s="1067"/>
      <c r="J532" s="1951"/>
      <c r="K532" s="1452"/>
      <c r="L532" s="866" t="n">
        <v>7359.2955</v>
      </c>
      <c r="M532" s="866" t="n">
        <v>405</v>
      </c>
      <c r="N532" s="866" t="n">
        <f aca="false">M532/H525</f>
        <v>27</v>
      </c>
      <c r="O532" s="545" t="s">
        <v>792</v>
      </c>
      <c r="P532" s="1952"/>
      <c r="Q532" s="1953"/>
      <c r="R532" s="1954"/>
    </row>
    <row r="533" customFormat="false" ht="15.75" hidden="false" customHeight="true" outlineLevel="0" collapsed="false">
      <c r="A533" s="1087"/>
      <c r="B533" s="1072"/>
      <c r="C533" s="1949"/>
      <c r="D533" s="860" t="s">
        <v>12</v>
      </c>
      <c r="E533" s="1480" t="s">
        <v>1651</v>
      </c>
      <c r="F533" s="887"/>
      <c r="G533" s="2015"/>
      <c r="H533" s="1067"/>
      <c r="I533" s="1067"/>
      <c r="J533" s="1951"/>
      <c r="K533" s="1452"/>
      <c r="L533" s="866" t="n">
        <v>1090.266</v>
      </c>
      <c r="M533" s="866" t="n">
        <v>60</v>
      </c>
      <c r="N533" s="866" t="n">
        <f aca="false">M533/H525</f>
        <v>4</v>
      </c>
      <c r="O533" s="545" t="s">
        <v>787</v>
      </c>
      <c r="P533" s="1952"/>
      <c r="Q533" s="1953"/>
      <c r="R533" s="1954"/>
    </row>
    <row r="534" customFormat="false" ht="15.75" hidden="false" customHeight="true" outlineLevel="0" collapsed="false">
      <c r="A534" s="1087"/>
      <c r="B534" s="1072"/>
      <c r="C534" s="1949"/>
      <c r="D534" s="860" t="s">
        <v>12</v>
      </c>
      <c r="E534" s="1480" t="s">
        <v>1651</v>
      </c>
      <c r="F534" s="887"/>
      <c r="G534" s="2015"/>
      <c r="H534" s="1067"/>
      <c r="I534" s="1067"/>
      <c r="J534" s="1951"/>
      <c r="K534" s="1452"/>
      <c r="L534" s="866" t="n">
        <v>7359.2955</v>
      </c>
      <c r="M534" s="866" t="n">
        <v>405</v>
      </c>
      <c r="N534" s="866" t="n">
        <f aca="false">M534/H525</f>
        <v>27</v>
      </c>
      <c r="O534" s="545" t="s">
        <v>793</v>
      </c>
      <c r="P534" s="1952"/>
      <c r="Q534" s="1953"/>
      <c r="R534" s="1954"/>
    </row>
    <row r="535" customFormat="false" ht="15.75" hidden="false" customHeight="true" outlineLevel="0" collapsed="false">
      <c r="A535" s="1087"/>
      <c r="B535" s="1072"/>
      <c r="C535" s="1949"/>
      <c r="D535" s="860" t="s">
        <v>12</v>
      </c>
      <c r="E535" s="1480" t="s">
        <v>1651</v>
      </c>
      <c r="F535" s="887"/>
      <c r="G535" s="2015"/>
      <c r="H535" s="1067"/>
      <c r="I535" s="1067"/>
      <c r="J535" s="1951"/>
      <c r="K535" s="1452"/>
      <c r="L535" s="866" t="n">
        <v>-45246.039</v>
      </c>
      <c r="M535" s="866" t="n">
        <v>-2490</v>
      </c>
      <c r="N535" s="866" t="n">
        <f aca="false">M535/H525</f>
        <v>-166</v>
      </c>
      <c r="O535" s="545" t="s">
        <v>1634</v>
      </c>
      <c r="P535" s="1952"/>
      <c r="Q535" s="1953"/>
      <c r="R535" s="1954"/>
    </row>
    <row r="536" customFormat="false" ht="15.75" hidden="false" customHeight="true" outlineLevel="0" collapsed="false">
      <c r="A536" s="1087"/>
      <c r="B536" s="1072"/>
      <c r="C536" s="1949"/>
      <c r="D536" s="860" t="s">
        <v>12</v>
      </c>
      <c r="E536" s="1480" t="s">
        <v>1651</v>
      </c>
      <c r="F536" s="887"/>
      <c r="G536" s="2015"/>
      <c r="H536" s="1067"/>
      <c r="I536" s="1067"/>
      <c r="J536" s="1951"/>
      <c r="K536" s="1452"/>
      <c r="L536" s="866" t="n">
        <v>1635.399</v>
      </c>
      <c r="M536" s="866" t="n">
        <v>90</v>
      </c>
      <c r="N536" s="866" t="n">
        <f aca="false">M536/H525</f>
        <v>6</v>
      </c>
      <c r="O536" s="545" t="s">
        <v>796</v>
      </c>
      <c r="P536" s="1952"/>
      <c r="Q536" s="1953"/>
      <c r="R536" s="1954"/>
    </row>
    <row r="537" customFormat="false" ht="15.75" hidden="false" customHeight="true" outlineLevel="0" collapsed="false">
      <c r="A537" s="1087"/>
      <c r="B537" s="1072"/>
      <c r="C537" s="1949"/>
      <c r="D537" s="860" t="s">
        <v>12</v>
      </c>
      <c r="E537" s="1480" t="s">
        <v>1651</v>
      </c>
      <c r="F537" s="887"/>
      <c r="G537" s="2015"/>
      <c r="H537" s="1067"/>
      <c r="I537" s="1067"/>
      <c r="J537" s="1951"/>
      <c r="K537" s="1452"/>
      <c r="L537" s="866" t="n">
        <v>16899.123</v>
      </c>
      <c r="M537" s="866" t="n">
        <v>930</v>
      </c>
      <c r="N537" s="866" t="n">
        <f aca="false">M537/H525</f>
        <v>62</v>
      </c>
      <c r="O537" s="545" t="s">
        <v>788</v>
      </c>
      <c r="P537" s="1952"/>
      <c r="Q537" s="1953"/>
      <c r="R537" s="1954"/>
    </row>
    <row r="538" customFormat="false" ht="15.75" hidden="false" customHeight="true" outlineLevel="0" collapsed="false">
      <c r="A538" s="1087"/>
      <c r="B538" s="1072"/>
      <c r="C538" s="1949"/>
      <c r="D538" s="860" t="s">
        <v>12</v>
      </c>
      <c r="E538" s="1480" t="s">
        <v>1651</v>
      </c>
      <c r="F538" s="887"/>
      <c r="G538" s="2015"/>
      <c r="H538" s="1067"/>
      <c r="I538" s="1067"/>
      <c r="J538" s="1951"/>
      <c r="K538" s="1452"/>
      <c r="L538" s="866" t="n">
        <v>8176.995</v>
      </c>
      <c r="M538" s="866" t="n">
        <v>450</v>
      </c>
      <c r="N538" s="866" t="n">
        <f aca="false">M538/H525</f>
        <v>30</v>
      </c>
      <c r="O538" s="545" t="s">
        <v>710</v>
      </c>
      <c r="P538" s="1952"/>
      <c r="Q538" s="1953"/>
      <c r="R538" s="1954"/>
    </row>
    <row r="539" customFormat="false" ht="15.75" hidden="false" customHeight="true" outlineLevel="0" collapsed="false">
      <c r="A539" s="1087"/>
      <c r="B539" s="1072"/>
      <c r="C539" s="1949"/>
      <c r="D539" s="860" t="s">
        <v>12</v>
      </c>
      <c r="E539" s="1480" t="s">
        <v>1651</v>
      </c>
      <c r="F539" s="887"/>
      <c r="G539" s="2015"/>
      <c r="H539" s="1067"/>
      <c r="I539" s="1067"/>
      <c r="J539" s="1951"/>
      <c r="K539" s="1452"/>
      <c r="L539" s="866" t="n">
        <v>272.5665</v>
      </c>
      <c r="M539" s="866" t="n">
        <v>15</v>
      </c>
      <c r="N539" s="866" t="n">
        <f aca="false">M539/H525</f>
        <v>1</v>
      </c>
      <c r="O539" s="545" t="s">
        <v>704</v>
      </c>
      <c r="P539" s="1952"/>
      <c r="Q539" s="1953"/>
      <c r="R539" s="1954"/>
    </row>
    <row r="540" customFormat="false" ht="15.75" hidden="false" customHeight="true" outlineLevel="0" collapsed="false">
      <c r="A540" s="1087"/>
      <c r="B540" s="1072"/>
      <c r="C540" s="1949"/>
      <c r="D540" s="860" t="s">
        <v>12</v>
      </c>
      <c r="E540" s="1480" t="s">
        <v>1651</v>
      </c>
      <c r="F540" s="887"/>
      <c r="G540" s="2015"/>
      <c r="H540" s="1067"/>
      <c r="I540" s="1067"/>
      <c r="J540" s="1951"/>
      <c r="K540" s="1452"/>
      <c r="L540" s="866" t="n">
        <v>6541.596</v>
      </c>
      <c r="M540" s="866" t="n">
        <v>360</v>
      </c>
      <c r="N540" s="866" t="n">
        <f aca="false">M540/H525</f>
        <v>24</v>
      </c>
      <c r="O540" s="545" t="s">
        <v>687</v>
      </c>
      <c r="P540" s="1952"/>
      <c r="Q540" s="1953"/>
      <c r="R540" s="1954"/>
    </row>
    <row r="541" customFormat="false" ht="15.75" hidden="false" customHeight="true" outlineLevel="0" collapsed="false">
      <c r="A541" s="1087"/>
      <c r="B541" s="1072"/>
      <c r="C541" s="1949"/>
      <c r="D541" s="860" t="s">
        <v>12</v>
      </c>
      <c r="E541" s="1480" t="s">
        <v>1651</v>
      </c>
      <c r="F541" s="887"/>
      <c r="G541" s="2015"/>
      <c r="H541" s="1067"/>
      <c r="I541" s="1067"/>
      <c r="J541" s="1951"/>
      <c r="K541" s="1452"/>
      <c r="L541" s="866" t="n">
        <v>31072.581</v>
      </c>
      <c r="M541" s="866" t="n">
        <v>1710</v>
      </c>
      <c r="N541" s="866" t="n">
        <f aca="false">M541/H525</f>
        <v>114</v>
      </c>
      <c r="O541" s="545" t="s">
        <v>469</v>
      </c>
      <c r="P541" s="1952"/>
      <c r="Q541" s="1953"/>
      <c r="R541" s="1954"/>
    </row>
    <row r="542" customFormat="false" ht="15.75" hidden="false" customHeight="true" outlineLevel="0" collapsed="false">
      <c r="A542" s="1087"/>
      <c r="B542" s="1072"/>
      <c r="C542" s="1949"/>
      <c r="D542" s="860" t="s">
        <v>12</v>
      </c>
      <c r="E542" s="1480" t="s">
        <v>1651</v>
      </c>
      <c r="F542" s="887"/>
      <c r="G542" s="2015"/>
      <c r="H542" s="1067"/>
      <c r="I542" s="1067"/>
      <c r="J542" s="1951"/>
      <c r="K542" s="1452"/>
      <c r="L542" s="866" t="n">
        <v>9267.261</v>
      </c>
      <c r="M542" s="866" t="n">
        <v>510</v>
      </c>
      <c r="N542" s="866" t="n">
        <f aca="false">M542/H525</f>
        <v>34</v>
      </c>
      <c r="O542" s="545" t="s">
        <v>413</v>
      </c>
      <c r="P542" s="1952"/>
      <c r="Q542" s="1953"/>
      <c r="R542" s="1954"/>
    </row>
    <row r="543" customFormat="false" ht="15.75" hidden="false" customHeight="true" outlineLevel="0" collapsed="false">
      <c r="A543" s="1087"/>
      <c r="B543" s="1072"/>
      <c r="C543" s="1949"/>
      <c r="D543" s="860" t="s">
        <v>12</v>
      </c>
      <c r="E543" s="1480" t="s">
        <v>1651</v>
      </c>
      <c r="F543" s="887"/>
      <c r="G543" s="2015"/>
      <c r="H543" s="1067"/>
      <c r="I543" s="1067"/>
      <c r="J543" s="1951"/>
      <c r="K543" s="1452"/>
      <c r="L543" s="866" t="n">
        <v>9539.8275</v>
      </c>
      <c r="M543" s="866" t="n">
        <v>525</v>
      </c>
      <c r="N543" s="866" t="n">
        <f aca="false">M543/H525</f>
        <v>35</v>
      </c>
      <c r="O543" s="545" t="s">
        <v>619</v>
      </c>
      <c r="P543" s="1952"/>
      <c r="Q543" s="1953"/>
      <c r="R543" s="1954"/>
    </row>
    <row r="544" customFormat="false" ht="15.75" hidden="false" customHeight="true" outlineLevel="0" collapsed="false">
      <c r="A544" s="1087"/>
      <c r="B544" s="1072"/>
      <c r="C544" s="1949"/>
      <c r="D544" s="843" t="s">
        <v>12</v>
      </c>
      <c r="E544" s="1357" t="s">
        <v>1651</v>
      </c>
      <c r="F544" s="887"/>
      <c r="G544" s="2015"/>
      <c r="H544" s="1067"/>
      <c r="I544" s="1067"/>
      <c r="J544" s="1951"/>
      <c r="K544" s="1452"/>
      <c r="L544" s="846" t="n">
        <v>27256.65</v>
      </c>
      <c r="M544" s="846" t="n">
        <v>1500</v>
      </c>
      <c r="N544" s="846" t="n">
        <f aca="false">M544/H525</f>
        <v>100</v>
      </c>
      <c r="O544" s="1936" t="s">
        <v>661</v>
      </c>
      <c r="P544" s="1952"/>
      <c r="Q544" s="1953"/>
      <c r="R544" s="1954"/>
    </row>
    <row r="545" customFormat="false" ht="15.75" hidden="false" customHeight="true" outlineLevel="0" collapsed="false">
      <c r="A545" s="882" t="n">
        <v>648</v>
      </c>
      <c r="B545" s="830" t="n">
        <v>2024</v>
      </c>
      <c r="C545" s="1930" t="n">
        <v>45992</v>
      </c>
      <c r="D545" s="831" t="s">
        <v>12</v>
      </c>
      <c r="E545" s="1365" t="s">
        <v>1651</v>
      </c>
      <c r="F545" s="832" t="s">
        <v>3364</v>
      </c>
      <c r="G545" s="2010" t="n">
        <v>663</v>
      </c>
      <c r="H545" s="837" t="n">
        <v>15</v>
      </c>
      <c r="I545" s="837" t="n">
        <f aca="false">G545*H545</f>
        <v>9945</v>
      </c>
      <c r="J545" s="1932" t="n">
        <v>16.6218</v>
      </c>
      <c r="K545" s="943" t="n">
        <f aca="false">I545*J545</f>
        <v>165303.801</v>
      </c>
      <c r="L545" s="840" t="n">
        <v>137877.831</v>
      </c>
      <c r="M545" s="840" t="n">
        <v>8295</v>
      </c>
      <c r="N545" s="886" t="n">
        <f aca="false">M545/H545</f>
        <v>553</v>
      </c>
      <c r="O545" s="578" t="s">
        <v>847</v>
      </c>
      <c r="P545" s="1934" t="n">
        <f aca="false">K545-L545-L550-L546-L549-L547-L548</f>
        <v>-6.82121026329696E-013</v>
      </c>
      <c r="Q545" s="1934" t="n">
        <f aca="false">I545-M545-M550-M546-M549-M547-M548</f>
        <v>0</v>
      </c>
      <c r="R545" s="1935" t="n">
        <f aca="false">G545-N545-N550-N546-N549-N547-N548</f>
        <v>0</v>
      </c>
    </row>
    <row r="546" customFormat="false" ht="15.75" hidden="false" customHeight="true" outlineLevel="0" collapsed="false">
      <c r="A546" s="882"/>
      <c r="B546" s="830"/>
      <c r="C546" s="1930"/>
      <c r="D546" s="860" t="s">
        <v>12</v>
      </c>
      <c r="E546" s="1480" t="s">
        <v>1651</v>
      </c>
      <c r="F546" s="832"/>
      <c r="G546" s="2010"/>
      <c r="H546" s="837"/>
      <c r="I546" s="837"/>
      <c r="J546" s="1932"/>
      <c r="K546" s="943"/>
      <c r="L546" s="866" t="n">
        <v>9723.753</v>
      </c>
      <c r="M546" s="866" t="n">
        <v>585</v>
      </c>
      <c r="N546" s="866" t="n">
        <f aca="false">M546/H545</f>
        <v>39</v>
      </c>
      <c r="O546" s="545" t="s">
        <v>989</v>
      </c>
      <c r="P546" s="1934"/>
      <c r="Q546" s="1934"/>
      <c r="R546" s="1935"/>
    </row>
    <row r="547" customFormat="false" ht="15.75" hidden="false" customHeight="true" outlineLevel="0" collapsed="false">
      <c r="A547" s="882"/>
      <c r="B547" s="830"/>
      <c r="C547" s="1930"/>
      <c r="D547" s="860" t="s">
        <v>12</v>
      </c>
      <c r="E547" s="1480" t="s">
        <v>1651</v>
      </c>
      <c r="F547" s="832"/>
      <c r="G547" s="2010"/>
      <c r="H547" s="837"/>
      <c r="I547" s="837"/>
      <c r="J547" s="1932"/>
      <c r="K547" s="943"/>
      <c r="L547" s="866" t="n">
        <v>4986.54</v>
      </c>
      <c r="M547" s="866" t="n">
        <v>300</v>
      </c>
      <c r="N547" s="866" t="n">
        <f aca="false">M547/H545</f>
        <v>20</v>
      </c>
      <c r="O547" s="545" t="s">
        <v>1034</v>
      </c>
      <c r="P547" s="1934"/>
      <c r="Q547" s="1934"/>
      <c r="R547" s="1935"/>
    </row>
    <row r="548" customFormat="false" ht="15.75" hidden="false" customHeight="true" outlineLevel="0" collapsed="false">
      <c r="A548" s="882"/>
      <c r="B548" s="830"/>
      <c r="C548" s="1930"/>
      <c r="D548" s="860" t="s">
        <v>12</v>
      </c>
      <c r="E548" s="1480" t="s">
        <v>1651</v>
      </c>
      <c r="F548" s="832"/>
      <c r="G548" s="2010"/>
      <c r="H548" s="837"/>
      <c r="I548" s="837"/>
      <c r="J548" s="1932"/>
      <c r="K548" s="943"/>
      <c r="L548" s="866" t="n">
        <v>249.327</v>
      </c>
      <c r="M548" s="866" t="n">
        <v>15</v>
      </c>
      <c r="N548" s="866" t="n">
        <f aca="false">M548/H545</f>
        <v>1</v>
      </c>
      <c r="O548" s="545" t="s">
        <v>1111</v>
      </c>
      <c r="P548" s="1934"/>
      <c r="Q548" s="1934"/>
      <c r="R548" s="1935"/>
    </row>
    <row r="549" customFormat="false" ht="15.75" hidden="false" customHeight="true" outlineLevel="0" collapsed="false">
      <c r="A549" s="882"/>
      <c r="B549" s="830"/>
      <c r="C549" s="1930"/>
      <c r="D549" s="860" t="s">
        <v>12</v>
      </c>
      <c r="E549" s="1480" t="s">
        <v>1651</v>
      </c>
      <c r="F549" s="832"/>
      <c r="G549" s="2010"/>
      <c r="H549" s="837"/>
      <c r="I549" s="837"/>
      <c r="J549" s="1932"/>
      <c r="K549" s="943"/>
      <c r="L549" s="866" t="n">
        <v>4986.54</v>
      </c>
      <c r="M549" s="866" t="n">
        <v>300</v>
      </c>
      <c r="N549" s="866" t="n">
        <f aca="false">M549/H545</f>
        <v>20</v>
      </c>
      <c r="O549" s="545" t="s">
        <v>3427</v>
      </c>
      <c r="P549" s="1934"/>
      <c r="Q549" s="1934"/>
      <c r="R549" s="1935"/>
    </row>
    <row r="550" customFormat="false" ht="15.75" hidden="false" customHeight="true" outlineLevel="0" collapsed="false">
      <c r="A550" s="882"/>
      <c r="B550" s="830"/>
      <c r="C550" s="1930"/>
      <c r="D550" s="887" t="s">
        <v>12</v>
      </c>
      <c r="E550" s="1501" t="s">
        <v>1651</v>
      </c>
      <c r="F550" s="832"/>
      <c r="G550" s="2010"/>
      <c r="H550" s="837"/>
      <c r="I550" s="837"/>
      <c r="J550" s="1932"/>
      <c r="K550" s="943"/>
      <c r="L550" s="890" t="n">
        <v>7479.81</v>
      </c>
      <c r="M550" s="890" t="n">
        <v>450</v>
      </c>
      <c r="N550" s="890" t="n">
        <f aca="false">M550/H545</f>
        <v>30</v>
      </c>
      <c r="O550" s="1938" t="s">
        <v>953</v>
      </c>
      <c r="P550" s="1934"/>
      <c r="Q550" s="1934"/>
      <c r="R550" s="1935"/>
    </row>
    <row r="551" customFormat="false" ht="15.75" hidden="false" customHeight="true" outlineLevel="0" collapsed="false">
      <c r="A551" s="882" t="n">
        <v>649</v>
      </c>
      <c r="B551" s="830" t="n">
        <v>2024</v>
      </c>
      <c r="C551" s="1930" t="n">
        <v>45992</v>
      </c>
      <c r="D551" s="831" t="s">
        <v>12</v>
      </c>
      <c r="E551" s="1365" t="s">
        <v>1651</v>
      </c>
      <c r="F551" s="832" t="s">
        <v>3375</v>
      </c>
      <c r="G551" s="2010" t="n">
        <v>346</v>
      </c>
      <c r="H551" s="837" t="n">
        <v>15</v>
      </c>
      <c r="I551" s="837" t="n">
        <f aca="false">G551*H551</f>
        <v>5190</v>
      </c>
      <c r="J551" s="1932" t="n">
        <v>17.0637</v>
      </c>
      <c r="K551" s="943" t="n">
        <f aca="false">I551*J551</f>
        <v>88560.603</v>
      </c>
      <c r="L551" s="886" t="n">
        <v>34298.037</v>
      </c>
      <c r="M551" s="886" t="n">
        <v>2010</v>
      </c>
      <c r="N551" s="886" t="n">
        <f aca="false">M551/H551</f>
        <v>134</v>
      </c>
      <c r="O551" s="1595" t="s">
        <v>392</v>
      </c>
      <c r="P551" s="1948" t="n">
        <f aca="false">K551-L551-L556-L555-L552-L553-L554</f>
        <v>9470.35350000001</v>
      </c>
      <c r="Q551" s="1934" t="n">
        <f aca="false">I551-M551-M556-M555-M552-M553-M554</f>
        <v>555</v>
      </c>
      <c r="R551" s="1935" t="n">
        <f aca="false">G551-N551-N556-N555-N552-N553-N554</f>
        <v>37</v>
      </c>
    </row>
    <row r="552" customFormat="false" ht="15.75" hidden="false" customHeight="true" outlineLevel="0" collapsed="false">
      <c r="A552" s="882"/>
      <c r="B552" s="830"/>
      <c r="C552" s="1930"/>
      <c r="D552" s="860" t="s">
        <v>12</v>
      </c>
      <c r="E552" s="1480" t="s">
        <v>1651</v>
      </c>
      <c r="F552" s="832"/>
      <c r="G552" s="2010"/>
      <c r="H552" s="837"/>
      <c r="I552" s="837"/>
      <c r="J552" s="1932"/>
      <c r="K552" s="943"/>
      <c r="L552" s="866" t="n">
        <v>17149.0185</v>
      </c>
      <c r="M552" s="866" t="n">
        <v>1005</v>
      </c>
      <c r="N552" s="866" t="n">
        <f aca="false">M552/H551</f>
        <v>67</v>
      </c>
      <c r="O552" s="545" t="s">
        <v>392</v>
      </c>
      <c r="P552" s="1948"/>
      <c r="Q552" s="1934"/>
      <c r="R552" s="1935"/>
    </row>
    <row r="553" customFormat="false" ht="15.75" hidden="false" customHeight="true" outlineLevel="0" collapsed="false">
      <c r="A553" s="882"/>
      <c r="B553" s="830"/>
      <c r="C553" s="1930"/>
      <c r="D553" s="860" t="s">
        <v>12</v>
      </c>
      <c r="E553" s="1480" t="s">
        <v>1651</v>
      </c>
      <c r="F553" s="832"/>
      <c r="G553" s="2010"/>
      <c r="H553" s="837"/>
      <c r="I553" s="837"/>
      <c r="J553" s="1932"/>
      <c r="K553" s="943"/>
      <c r="L553" s="866" t="n">
        <v>8702.487</v>
      </c>
      <c r="M553" s="866" t="n">
        <v>510</v>
      </c>
      <c r="N553" s="866" t="n">
        <f aca="false">M553/H551</f>
        <v>34</v>
      </c>
      <c r="O553" s="545" t="s">
        <v>392</v>
      </c>
      <c r="P553" s="1948"/>
      <c r="Q553" s="1934"/>
      <c r="R553" s="1935"/>
    </row>
    <row r="554" customFormat="false" ht="15.75" hidden="false" customHeight="true" outlineLevel="0" collapsed="false">
      <c r="A554" s="882"/>
      <c r="B554" s="830"/>
      <c r="C554" s="1930"/>
      <c r="D554" s="860" t="s">
        <v>12</v>
      </c>
      <c r="E554" s="1480" t="s">
        <v>1651</v>
      </c>
      <c r="F554" s="832"/>
      <c r="G554" s="2010"/>
      <c r="H554" s="837"/>
      <c r="I554" s="837"/>
      <c r="J554" s="1932"/>
      <c r="K554" s="943"/>
      <c r="L554" s="866" t="n">
        <v>2559.555</v>
      </c>
      <c r="M554" s="866" t="n">
        <v>150</v>
      </c>
      <c r="N554" s="866" t="n">
        <f aca="false">M554/H551</f>
        <v>10</v>
      </c>
      <c r="O554" s="545" t="s">
        <v>3428</v>
      </c>
      <c r="P554" s="1948"/>
      <c r="Q554" s="1934"/>
      <c r="R554" s="1935"/>
    </row>
    <row r="555" customFormat="false" ht="15.75" hidden="false" customHeight="true" outlineLevel="0" collapsed="false">
      <c r="A555" s="882"/>
      <c r="B555" s="830"/>
      <c r="C555" s="1930"/>
      <c r="D555" s="860" t="s">
        <v>12</v>
      </c>
      <c r="E555" s="1480" t="s">
        <v>1651</v>
      </c>
      <c r="F555" s="832"/>
      <c r="G555" s="2010"/>
      <c r="H555" s="837"/>
      <c r="I555" s="837"/>
      <c r="J555" s="1932"/>
      <c r="K555" s="943"/>
      <c r="L555" s="866" t="n">
        <v>7678.665</v>
      </c>
      <c r="M555" s="866" t="n">
        <v>450</v>
      </c>
      <c r="N555" s="866" t="n">
        <f aca="false">M555/H551</f>
        <v>30</v>
      </c>
      <c r="O555" s="545" t="s">
        <v>392</v>
      </c>
      <c r="P555" s="1948"/>
      <c r="Q555" s="1934"/>
      <c r="R555" s="1935"/>
    </row>
    <row r="556" customFormat="false" ht="15.75" hidden="false" customHeight="true" outlineLevel="0" collapsed="false">
      <c r="A556" s="882"/>
      <c r="B556" s="830"/>
      <c r="C556" s="1930"/>
      <c r="D556" s="843" t="s">
        <v>12</v>
      </c>
      <c r="E556" s="1357" t="s">
        <v>1651</v>
      </c>
      <c r="F556" s="832"/>
      <c r="G556" s="2010"/>
      <c r="H556" s="837"/>
      <c r="I556" s="837"/>
      <c r="J556" s="1932"/>
      <c r="K556" s="943"/>
      <c r="L556" s="846" t="n">
        <v>8702.487</v>
      </c>
      <c r="M556" s="846" t="n">
        <v>510</v>
      </c>
      <c r="N556" s="890" t="n">
        <f aca="false">M556/H551</f>
        <v>34</v>
      </c>
      <c r="O556" s="1936" t="s">
        <v>392</v>
      </c>
      <c r="P556" s="1948"/>
      <c r="Q556" s="1934"/>
      <c r="R556" s="1935"/>
    </row>
    <row r="557" customFormat="false" ht="15.75" hidden="false" customHeight="true" outlineLevel="0" collapsed="false">
      <c r="A557" s="903"/>
      <c r="B557" s="903"/>
      <c r="C557" s="1939"/>
      <c r="D557" s="904"/>
      <c r="E557" s="1351"/>
      <c r="F557" s="1351"/>
      <c r="G557" s="2016"/>
      <c r="H557" s="1355"/>
      <c r="I557" s="1355"/>
      <c r="J557" s="1998"/>
      <c r="K557" s="1942"/>
      <c r="L557" s="891"/>
      <c r="M557" s="891"/>
      <c r="N557" s="891"/>
      <c r="O557" s="1943"/>
      <c r="P557" s="1964"/>
      <c r="Q557" s="1945"/>
      <c r="R557" s="1946"/>
    </row>
    <row r="558" customFormat="false" ht="15.75" hidden="false" customHeight="true" outlineLevel="0" collapsed="false">
      <c r="A558" s="829" t="n">
        <v>347</v>
      </c>
      <c r="B558" s="830" t="n">
        <v>2022</v>
      </c>
      <c r="C558" s="1930"/>
      <c r="D558" s="831" t="s">
        <v>5</v>
      </c>
      <c r="E558" s="1365" t="s">
        <v>2131</v>
      </c>
      <c r="F558" s="830" t="s">
        <v>3364</v>
      </c>
      <c r="G558" s="2010" t="n">
        <v>1</v>
      </c>
      <c r="H558" s="837" t="n">
        <v>25</v>
      </c>
      <c r="I558" s="837" t="n">
        <f aca="false">G558*H558</f>
        <v>25</v>
      </c>
      <c r="J558" s="1932" t="n">
        <v>60</v>
      </c>
      <c r="K558" s="943" t="n">
        <f aca="false">I558*J558</f>
        <v>1500</v>
      </c>
      <c r="L558" s="840"/>
      <c r="M558" s="840"/>
      <c r="N558" s="840"/>
      <c r="O558" s="578" t="s">
        <v>2240</v>
      </c>
      <c r="P558" s="1934" t="n">
        <f aca="false">K558-L558-L559</f>
        <v>0</v>
      </c>
      <c r="Q558" s="1934" t="n">
        <f aca="false">I558-M558-M559</f>
        <v>0</v>
      </c>
      <c r="R558" s="1935" t="n">
        <f aca="false">G558-N558-N559</f>
        <v>0</v>
      </c>
    </row>
    <row r="559" customFormat="false" ht="15.75" hidden="false" customHeight="true" outlineLevel="0" collapsed="false">
      <c r="A559" s="829"/>
      <c r="B559" s="830"/>
      <c r="C559" s="1930"/>
      <c r="D559" s="843" t="s">
        <v>5</v>
      </c>
      <c r="E559" s="1357" t="s">
        <v>2131</v>
      </c>
      <c r="F559" s="830"/>
      <c r="G559" s="2010"/>
      <c r="H559" s="837"/>
      <c r="I559" s="837"/>
      <c r="J559" s="1932"/>
      <c r="K559" s="943"/>
      <c r="L559" s="846" t="n">
        <v>1500</v>
      </c>
      <c r="M559" s="846" t="n">
        <v>25</v>
      </c>
      <c r="N559" s="846" t="n">
        <f aca="false">M559/H558</f>
        <v>1</v>
      </c>
      <c r="O559" s="1936" t="s">
        <v>3373</v>
      </c>
      <c r="P559" s="1934"/>
      <c r="Q559" s="1934"/>
      <c r="R559" s="1935"/>
    </row>
    <row r="560" customFormat="false" ht="14.25" hidden="false" customHeight="false" outlineLevel="0" collapsed="false">
      <c r="A560" s="1087" t="n">
        <v>267</v>
      </c>
      <c r="B560" s="1072" t="n">
        <v>2023</v>
      </c>
      <c r="C560" s="1980" t="n">
        <v>45505</v>
      </c>
      <c r="D560" s="1479" t="s">
        <v>5</v>
      </c>
      <c r="E560" s="1479" t="s">
        <v>2133</v>
      </c>
      <c r="F560" s="887" t="s">
        <v>3364</v>
      </c>
      <c r="G560" s="2017" t="n">
        <v>69</v>
      </c>
      <c r="H560" s="1067" t="n">
        <v>30</v>
      </c>
      <c r="I560" s="1067" t="n">
        <f aca="false">G560*H560</f>
        <v>2070</v>
      </c>
      <c r="J560" s="1063" t="n">
        <v>91.238</v>
      </c>
      <c r="K560" s="1452" t="n">
        <f aca="false">I560*J560</f>
        <v>188862.66</v>
      </c>
      <c r="L560" s="1380" t="n">
        <v>183388.38</v>
      </c>
      <c r="M560" s="854" t="n">
        <v>2010</v>
      </c>
      <c r="N560" s="854" t="n">
        <f aca="false">M560/H560</f>
        <v>67</v>
      </c>
      <c r="O560" s="580" t="n">
        <v>85280</v>
      </c>
      <c r="P560" s="1953" t="n">
        <f aca="false">K560-L560-L562-L561</f>
        <v>0</v>
      </c>
      <c r="Q560" s="1953" t="n">
        <f aca="false">I560-M560-M562-M561</f>
        <v>0</v>
      </c>
      <c r="R560" s="1954" t="n">
        <f aca="false">G560-N560-N562-N561</f>
        <v>0</v>
      </c>
    </row>
    <row r="561" customFormat="false" ht="14.25" hidden="false" customHeight="false" outlineLevel="0" collapsed="false">
      <c r="A561" s="1087"/>
      <c r="B561" s="1072"/>
      <c r="C561" s="1980"/>
      <c r="D561" s="1480" t="s">
        <v>5</v>
      </c>
      <c r="E561" s="1480" t="s">
        <v>2133</v>
      </c>
      <c r="F561" s="887"/>
      <c r="G561" s="2017"/>
      <c r="H561" s="1067"/>
      <c r="I561" s="1067"/>
      <c r="J561" s="1063"/>
      <c r="K561" s="1452"/>
      <c r="L561" s="1521" t="n">
        <v>2737.14</v>
      </c>
      <c r="M561" s="866" t="n">
        <v>30</v>
      </c>
      <c r="N561" s="854" t="n">
        <f aca="false">M561/H560</f>
        <v>1</v>
      </c>
      <c r="O561" s="545" t="s">
        <v>3373</v>
      </c>
      <c r="P561" s="1953"/>
      <c r="Q561" s="1953"/>
      <c r="R561" s="1954"/>
    </row>
    <row r="562" customFormat="false" ht="14.25" hidden="false" customHeight="false" outlineLevel="0" collapsed="false">
      <c r="A562" s="1087"/>
      <c r="B562" s="1072"/>
      <c r="C562" s="1980"/>
      <c r="D562" s="1501" t="s">
        <v>5</v>
      </c>
      <c r="E562" s="1501" t="s">
        <v>2133</v>
      </c>
      <c r="F562" s="887"/>
      <c r="G562" s="2017"/>
      <c r="H562" s="1067"/>
      <c r="I562" s="1067"/>
      <c r="J562" s="1063"/>
      <c r="K562" s="1452"/>
      <c r="L562" s="1381" t="n">
        <v>2737.14</v>
      </c>
      <c r="M562" s="890" t="n">
        <v>30</v>
      </c>
      <c r="N562" s="890" t="n">
        <f aca="false">M562/H560</f>
        <v>1</v>
      </c>
      <c r="O562" s="1938" t="n">
        <v>86338</v>
      </c>
      <c r="P562" s="1953"/>
      <c r="Q562" s="1953"/>
      <c r="R562" s="1954"/>
    </row>
    <row r="563" customFormat="false" ht="14.25" hidden="false" customHeight="false" outlineLevel="0" collapsed="false">
      <c r="A563" s="829" t="n">
        <v>312</v>
      </c>
      <c r="B563" s="830" t="n">
        <v>2023</v>
      </c>
      <c r="C563" s="1965" t="n">
        <v>45505</v>
      </c>
      <c r="D563" s="1365" t="s">
        <v>5</v>
      </c>
      <c r="E563" s="1365" t="s">
        <v>1652</v>
      </c>
      <c r="F563" s="832" t="s">
        <v>3375</v>
      </c>
      <c r="G563" s="2010" t="n">
        <v>267</v>
      </c>
      <c r="H563" s="837" t="n">
        <v>15</v>
      </c>
      <c r="I563" s="837" t="n">
        <f aca="false">G563*H563</f>
        <v>4005</v>
      </c>
      <c r="J563" s="1059" t="n">
        <v>44.4</v>
      </c>
      <c r="K563" s="943" t="n">
        <f aca="false">I563*J563</f>
        <v>177822</v>
      </c>
      <c r="L563" s="1665" t="n">
        <v>155844</v>
      </c>
      <c r="M563" s="886" t="n">
        <v>3510</v>
      </c>
      <c r="N563" s="886" t="n">
        <f aca="false">M563/H563</f>
        <v>234</v>
      </c>
      <c r="O563" s="1595" t="n">
        <v>85358</v>
      </c>
      <c r="P563" s="1934" t="n">
        <f aca="false">K563-L563-L566-L565-L564</f>
        <v>0</v>
      </c>
      <c r="Q563" s="1934" t="n">
        <f aca="false">I563-M563-M566-M565-M564</f>
        <v>0</v>
      </c>
      <c r="R563" s="1935" t="n">
        <f aca="false">G563-N563-N566-N565-N564</f>
        <v>0</v>
      </c>
    </row>
    <row r="564" customFormat="false" ht="14.25" hidden="false" customHeight="false" outlineLevel="0" collapsed="false">
      <c r="A564" s="829"/>
      <c r="B564" s="830"/>
      <c r="C564" s="1965"/>
      <c r="D564" s="1480" t="s">
        <v>5</v>
      </c>
      <c r="E564" s="1480" t="s">
        <v>1652</v>
      </c>
      <c r="F564" s="832"/>
      <c r="G564" s="2010"/>
      <c r="H564" s="837"/>
      <c r="I564" s="837"/>
      <c r="J564" s="1059"/>
      <c r="K564" s="943"/>
      <c r="L564" s="1521" t="n">
        <v>7992</v>
      </c>
      <c r="M564" s="866" t="n">
        <v>180</v>
      </c>
      <c r="N564" s="866" t="n">
        <f aca="false">M564/H563</f>
        <v>12</v>
      </c>
      <c r="O564" s="545" t="s">
        <v>3429</v>
      </c>
      <c r="P564" s="1934"/>
      <c r="Q564" s="1934"/>
      <c r="R564" s="1935"/>
    </row>
    <row r="565" customFormat="false" ht="14.25" hidden="false" customHeight="false" outlineLevel="0" collapsed="false">
      <c r="A565" s="829"/>
      <c r="B565" s="830"/>
      <c r="C565" s="1965"/>
      <c r="D565" s="1480" t="s">
        <v>5</v>
      </c>
      <c r="E565" s="1480" t="s">
        <v>1652</v>
      </c>
      <c r="F565" s="832"/>
      <c r="G565" s="2010"/>
      <c r="H565" s="837"/>
      <c r="I565" s="837"/>
      <c r="J565" s="1059"/>
      <c r="K565" s="943"/>
      <c r="L565" s="1521" t="n">
        <v>4662</v>
      </c>
      <c r="M565" s="866" t="n">
        <v>105</v>
      </c>
      <c r="N565" s="866" t="n">
        <f aca="false">M565/H563</f>
        <v>7</v>
      </c>
      <c r="O565" s="545" t="n">
        <v>85755</v>
      </c>
      <c r="P565" s="1934"/>
      <c r="Q565" s="1934"/>
      <c r="R565" s="1935"/>
    </row>
    <row r="566" customFormat="false" ht="14.25" hidden="false" customHeight="false" outlineLevel="0" collapsed="false">
      <c r="A566" s="829"/>
      <c r="B566" s="830"/>
      <c r="C566" s="1965"/>
      <c r="D566" s="1357" t="s">
        <v>5</v>
      </c>
      <c r="E566" s="1357" t="s">
        <v>1652</v>
      </c>
      <c r="F566" s="832"/>
      <c r="G566" s="2010"/>
      <c r="H566" s="837"/>
      <c r="I566" s="837"/>
      <c r="J566" s="1059"/>
      <c r="K566" s="943"/>
      <c r="L566" s="1362" t="n">
        <v>9324</v>
      </c>
      <c r="M566" s="846" t="n">
        <v>210</v>
      </c>
      <c r="N566" s="846" t="n">
        <f aca="false">M566/H563</f>
        <v>14</v>
      </c>
      <c r="O566" s="1936" t="n">
        <v>85658</v>
      </c>
      <c r="P566" s="1934"/>
      <c r="Q566" s="1934"/>
      <c r="R566" s="1935"/>
    </row>
    <row r="567" customFormat="false" ht="14.25" hidden="false" customHeight="false" outlineLevel="0" collapsed="false">
      <c r="A567" s="1060" t="n">
        <v>313</v>
      </c>
      <c r="B567" s="1072" t="n">
        <v>2023</v>
      </c>
      <c r="C567" s="1980" t="n">
        <v>45505</v>
      </c>
      <c r="D567" s="1479" t="s">
        <v>5</v>
      </c>
      <c r="E567" s="1479" t="s">
        <v>1652</v>
      </c>
      <c r="F567" s="887" t="s">
        <v>3364</v>
      </c>
      <c r="G567" s="2017" t="n">
        <v>554</v>
      </c>
      <c r="H567" s="1067" t="n">
        <v>15</v>
      </c>
      <c r="I567" s="1067" t="n">
        <f aca="false">G567*H567</f>
        <v>8310</v>
      </c>
      <c r="J567" s="1063" t="n">
        <v>44.4</v>
      </c>
      <c r="K567" s="1452" t="n">
        <f aca="false">I567*J567</f>
        <v>368964</v>
      </c>
      <c r="L567" s="1380" t="n">
        <v>4662</v>
      </c>
      <c r="M567" s="854" t="n">
        <v>105</v>
      </c>
      <c r="N567" s="854" t="n">
        <f aca="false">M567/H567</f>
        <v>7</v>
      </c>
      <c r="O567" s="580" t="n">
        <v>85615</v>
      </c>
      <c r="P567" s="1953" t="n">
        <f aca="false">K567-L567-L572-L571-L568-L570-L569</f>
        <v>0</v>
      </c>
      <c r="Q567" s="1953" t="n">
        <f aca="false">I567-M567-M572-M571-M568-M570-M569</f>
        <v>0</v>
      </c>
      <c r="R567" s="1954" t="n">
        <f aca="false">G567-N567-N572-N571-N568-N570-N569</f>
        <v>0</v>
      </c>
    </row>
    <row r="568" customFormat="false" ht="14.25" hidden="false" customHeight="false" outlineLevel="0" collapsed="false">
      <c r="A568" s="1060"/>
      <c r="B568" s="1072"/>
      <c r="C568" s="1980"/>
      <c r="D568" s="1480" t="s">
        <v>5</v>
      </c>
      <c r="E568" s="1480" t="s">
        <v>1652</v>
      </c>
      <c r="F568" s="887"/>
      <c r="G568" s="2017"/>
      <c r="H568" s="1067"/>
      <c r="I568" s="1067"/>
      <c r="J568" s="1063"/>
      <c r="K568" s="1452"/>
      <c r="L568" s="1521" t="n">
        <v>18648</v>
      </c>
      <c r="M568" s="866" t="n">
        <v>420</v>
      </c>
      <c r="N568" s="854" t="n">
        <f aca="false">M568/H567</f>
        <v>28</v>
      </c>
      <c r="O568" s="545" t="n">
        <v>86497</v>
      </c>
      <c r="P568" s="1953"/>
      <c r="Q568" s="1953"/>
      <c r="R568" s="1954"/>
    </row>
    <row r="569" customFormat="false" ht="14.25" hidden="false" customHeight="false" outlineLevel="0" collapsed="false">
      <c r="A569" s="1060"/>
      <c r="B569" s="1072"/>
      <c r="C569" s="1980"/>
      <c r="D569" s="1480" t="s">
        <v>5</v>
      </c>
      <c r="E569" s="1480" t="s">
        <v>1652</v>
      </c>
      <c r="F569" s="887"/>
      <c r="G569" s="2017"/>
      <c r="H569" s="1067"/>
      <c r="I569" s="1067"/>
      <c r="J569" s="1063"/>
      <c r="K569" s="1452"/>
      <c r="L569" s="1521" t="n">
        <v>1332</v>
      </c>
      <c r="M569" s="866" t="n">
        <v>30</v>
      </c>
      <c r="N569" s="854" t="n">
        <f aca="false">M569/H567</f>
        <v>2</v>
      </c>
      <c r="O569" s="545" t="s">
        <v>3429</v>
      </c>
      <c r="P569" s="1953"/>
      <c r="Q569" s="1953"/>
      <c r="R569" s="1954"/>
    </row>
    <row r="570" customFormat="false" ht="14.25" hidden="false" customHeight="false" outlineLevel="0" collapsed="false">
      <c r="A570" s="1060"/>
      <c r="B570" s="1072"/>
      <c r="C570" s="1980"/>
      <c r="D570" s="1480" t="s">
        <v>5</v>
      </c>
      <c r="E570" s="1480" t="s">
        <v>1652</v>
      </c>
      <c r="F570" s="887"/>
      <c r="G570" s="2017"/>
      <c r="H570" s="1067"/>
      <c r="I570" s="1067"/>
      <c r="J570" s="1063"/>
      <c r="K570" s="1452"/>
      <c r="L570" s="1521" t="n">
        <v>153180</v>
      </c>
      <c r="M570" s="866" t="n">
        <v>3450</v>
      </c>
      <c r="N570" s="854" t="n">
        <f aca="false">M570/H567</f>
        <v>230</v>
      </c>
      <c r="O570" s="545" t="s">
        <v>2240</v>
      </c>
      <c r="P570" s="1953"/>
      <c r="Q570" s="1953"/>
      <c r="R570" s="1954"/>
    </row>
    <row r="571" customFormat="false" ht="14.25" hidden="false" customHeight="false" outlineLevel="0" collapsed="false">
      <c r="A571" s="1060"/>
      <c r="B571" s="1072"/>
      <c r="C571" s="1980"/>
      <c r="D571" s="1480" t="s">
        <v>5</v>
      </c>
      <c r="E571" s="1480" t="s">
        <v>1652</v>
      </c>
      <c r="F571" s="887"/>
      <c r="G571" s="2017"/>
      <c r="H571" s="1067"/>
      <c r="I571" s="1067"/>
      <c r="J571" s="1063"/>
      <c r="K571" s="1452"/>
      <c r="L571" s="1521" t="n">
        <v>13320</v>
      </c>
      <c r="M571" s="866" t="n">
        <v>300</v>
      </c>
      <c r="N571" s="866" t="n">
        <f aca="false">M571/H567</f>
        <v>20</v>
      </c>
      <c r="O571" s="545" t="n">
        <v>86211</v>
      </c>
      <c r="P571" s="1953"/>
      <c r="Q571" s="1953"/>
      <c r="R571" s="1954"/>
    </row>
    <row r="572" customFormat="false" ht="14.25" hidden="false" customHeight="false" outlineLevel="0" collapsed="false">
      <c r="A572" s="1060"/>
      <c r="B572" s="1072"/>
      <c r="C572" s="1980"/>
      <c r="D572" s="1357" t="s">
        <v>5</v>
      </c>
      <c r="E572" s="1357" t="s">
        <v>1652</v>
      </c>
      <c r="F572" s="887"/>
      <c r="G572" s="2017"/>
      <c r="H572" s="1067"/>
      <c r="I572" s="1067"/>
      <c r="J572" s="1063"/>
      <c r="K572" s="1452"/>
      <c r="L572" s="1362" t="n">
        <v>177822</v>
      </c>
      <c r="M572" s="846" t="n">
        <v>4005</v>
      </c>
      <c r="N572" s="846" t="n">
        <f aca="false">M572/H567</f>
        <v>267</v>
      </c>
      <c r="O572" s="1936" t="n">
        <v>85626</v>
      </c>
      <c r="P572" s="1953"/>
      <c r="Q572" s="1953"/>
      <c r="R572" s="1954"/>
    </row>
    <row r="573" customFormat="false" ht="14.25" hidden="false" customHeight="false" outlineLevel="0" collapsed="false">
      <c r="A573" s="829" t="n">
        <v>351</v>
      </c>
      <c r="B573" s="830" t="n">
        <v>2023</v>
      </c>
      <c r="C573" s="1965" t="n">
        <v>45536</v>
      </c>
      <c r="D573" s="1365" t="s">
        <v>5</v>
      </c>
      <c r="E573" s="1365" t="s">
        <v>2131</v>
      </c>
      <c r="F573" s="832" t="s">
        <v>3364</v>
      </c>
      <c r="G573" s="2010" t="n">
        <v>46</v>
      </c>
      <c r="H573" s="837" t="n">
        <v>25</v>
      </c>
      <c r="I573" s="837" t="n">
        <f aca="false">G573*H573</f>
        <v>1150</v>
      </c>
      <c r="J573" s="1059" t="n">
        <v>66.0961</v>
      </c>
      <c r="K573" s="943" t="n">
        <f aca="false">I573*J573</f>
        <v>76010.515</v>
      </c>
      <c r="L573" s="1369" t="n">
        <v>33048.05</v>
      </c>
      <c r="M573" s="840" t="n">
        <v>500</v>
      </c>
      <c r="N573" s="886" t="n">
        <f aca="false">M573/H573</f>
        <v>20</v>
      </c>
      <c r="O573" s="578" t="n">
        <v>85469</v>
      </c>
      <c r="P573" s="1934" t="n">
        <f aca="false">K573-L573-L577-L574-L576-L575</f>
        <v>1.11413100967184E-011</v>
      </c>
      <c r="Q573" s="1934" t="n">
        <f aca="false">I573-M573-M577-M574-M576-M575</f>
        <v>0</v>
      </c>
      <c r="R573" s="1935" t="n">
        <f aca="false">G573-N573-N577-N574-N576-N575</f>
        <v>0</v>
      </c>
    </row>
    <row r="574" customFormat="false" ht="14.25" hidden="false" customHeight="false" outlineLevel="0" collapsed="false">
      <c r="A574" s="829"/>
      <c r="B574" s="830"/>
      <c r="C574" s="1965"/>
      <c r="D574" s="1480" t="s">
        <v>5</v>
      </c>
      <c r="E574" s="1480" t="s">
        <v>2131</v>
      </c>
      <c r="F574" s="832"/>
      <c r="G574" s="2010"/>
      <c r="H574" s="837"/>
      <c r="I574" s="837"/>
      <c r="J574" s="1059"/>
      <c r="K574" s="943"/>
      <c r="L574" s="1521" t="n">
        <v>16524.025</v>
      </c>
      <c r="M574" s="866" t="n">
        <v>250</v>
      </c>
      <c r="N574" s="866" t="n">
        <f aca="false">M574/H573</f>
        <v>10</v>
      </c>
      <c r="O574" s="545" t="n">
        <v>85492</v>
      </c>
      <c r="P574" s="1934"/>
      <c r="Q574" s="1934"/>
      <c r="R574" s="1935"/>
    </row>
    <row r="575" customFormat="false" ht="14.25" hidden="false" customHeight="false" outlineLevel="0" collapsed="false">
      <c r="A575" s="829"/>
      <c r="B575" s="830"/>
      <c r="C575" s="1965"/>
      <c r="D575" s="1480" t="s">
        <v>5</v>
      </c>
      <c r="E575" s="1480" t="s">
        <v>2131</v>
      </c>
      <c r="F575" s="832"/>
      <c r="G575" s="2010"/>
      <c r="H575" s="837"/>
      <c r="I575" s="837"/>
      <c r="J575" s="1059"/>
      <c r="K575" s="943"/>
      <c r="L575" s="1521" t="n">
        <v>1652.4025</v>
      </c>
      <c r="M575" s="866" t="n">
        <v>25</v>
      </c>
      <c r="N575" s="866" t="n">
        <f aca="false">M575/H573</f>
        <v>1</v>
      </c>
      <c r="O575" s="545" t="s">
        <v>3373</v>
      </c>
      <c r="P575" s="1934"/>
      <c r="Q575" s="1934"/>
      <c r="R575" s="1935"/>
    </row>
    <row r="576" customFormat="false" ht="14.25" hidden="false" customHeight="false" outlineLevel="0" collapsed="false">
      <c r="A576" s="829"/>
      <c r="B576" s="830"/>
      <c r="C576" s="1965"/>
      <c r="D576" s="1480" t="s">
        <v>5</v>
      </c>
      <c r="E576" s="1480" t="s">
        <v>2131</v>
      </c>
      <c r="F576" s="832"/>
      <c r="G576" s="2010"/>
      <c r="H576" s="837"/>
      <c r="I576" s="837"/>
      <c r="J576" s="1059"/>
      <c r="K576" s="943"/>
      <c r="L576" s="1521" t="n">
        <v>16524.025</v>
      </c>
      <c r="M576" s="866" t="n">
        <v>250</v>
      </c>
      <c r="N576" s="866" t="n">
        <f aca="false">M576/H573</f>
        <v>10</v>
      </c>
      <c r="O576" s="545" t="n">
        <v>85510</v>
      </c>
      <c r="P576" s="1934"/>
      <c r="Q576" s="1934"/>
      <c r="R576" s="1935"/>
    </row>
    <row r="577" customFormat="false" ht="14.25" hidden="false" customHeight="false" outlineLevel="0" collapsed="false">
      <c r="A577" s="829"/>
      <c r="B577" s="830"/>
      <c r="C577" s="1965"/>
      <c r="D577" s="1357" t="s">
        <v>5</v>
      </c>
      <c r="E577" s="1357" t="s">
        <v>2131</v>
      </c>
      <c r="F577" s="832"/>
      <c r="G577" s="2010"/>
      <c r="H577" s="837"/>
      <c r="I577" s="837"/>
      <c r="J577" s="1059"/>
      <c r="K577" s="943"/>
      <c r="L577" s="1362" t="n">
        <v>8262.0125</v>
      </c>
      <c r="M577" s="846" t="n">
        <v>125</v>
      </c>
      <c r="N577" s="846" t="n">
        <f aca="false">M577/H573</f>
        <v>5</v>
      </c>
      <c r="O577" s="1936" t="n">
        <v>85483</v>
      </c>
      <c r="P577" s="1934"/>
      <c r="Q577" s="1934"/>
      <c r="R577" s="1935"/>
    </row>
    <row r="578" customFormat="false" ht="14.25" hidden="false" customHeight="false" outlineLevel="0" collapsed="false">
      <c r="A578" s="882" t="n">
        <v>483</v>
      </c>
      <c r="B578" s="830" t="n">
        <v>2023</v>
      </c>
      <c r="C578" s="1965" t="n">
        <v>45597</v>
      </c>
      <c r="D578" s="1365" t="s">
        <v>5</v>
      </c>
      <c r="E578" s="1365" t="s">
        <v>2131</v>
      </c>
      <c r="F578" s="832" t="s">
        <v>3364</v>
      </c>
      <c r="G578" s="2010" t="n">
        <v>120</v>
      </c>
      <c r="H578" s="837" t="n">
        <v>25</v>
      </c>
      <c r="I578" s="837" t="n">
        <f aca="false">G578*H578</f>
        <v>3000</v>
      </c>
      <c r="J578" s="1059" t="n">
        <v>67.295</v>
      </c>
      <c r="K578" s="943" t="n">
        <f aca="false">I578*J578</f>
        <v>201885</v>
      </c>
      <c r="L578" s="1369" t="n">
        <v>72342.125</v>
      </c>
      <c r="M578" s="840" t="n">
        <v>1075</v>
      </c>
      <c r="N578" s="886" t="n">
        <f aca="false">M578/H578</f>
        <v>43</v>
      </c>
      <c r="O578" s="578" t="n">
        <v>85760</v>
      </c>
      <c r="P578" s="1933" t="n">
        <f aca="false">K578-L578-L580-L579</f>
        <v>0</v>
      </c>
      <c r="Q578" s="1934" t="n">
        <f aca="false">I578-M578-M580-M579</f>
        <v>0</v>
      </c>
      <c r="R578" s="1935" t="n">
        <f aca="false">G578-N578-N580-N579</f>
        <v>0</v>
      </c>
    </row>
    <row r="579" customFormat="false" ht="14.25" hidden="false" customHeight="false" outlineLevel="0" collapsed="false">
      <c r="A579" s="882"/>
      <c r="B579" s="830"/>
      <c r="C579" s="1965"/>
      <c r="D579" s="1351" t="s">
        <v>5</v>
      </c>
      <c r="E579" s="1351" t="s">
        <v>2131</v>
      </c>
      <c r="F579" s="832"/>
      <c r="G579" s="2010"/>
      <c r="H579" s="837"/>
      <c r="I579" s="837"/>
      <c r="J579" s="1059"/>
      <c r="K579" s="943"/>
      <c r="L579" s="1355" t="n">
        <v>20188.5</v>
      </c>
      <c r="M579" s="891" t="n">
        <v>300</v>
      </c>
      <c r="N579" s="866" t="n">
        <f aca="false">M579/H578</f>
        <v>12</v>
      </c>
      <c r="O579" s="1943" t="s">
        <v>1634</v>
      </c>
      <c r="P579" s="1933"/>
      <c r="Q579" s="1934"/>
      <c r="R579" s="1935"/>
    </row>
    <row r="580" customFormat="false" ht="14.25" hidden="false" customHeight="false" outlineLevel="0" collapsed="false">
      <c r="A580" s="882"/>
      <c r="B580" s="830"/>
      <c r="C580" s="1965"/>
      <c r="D580" s="1357" t="s">
        <v>5</v>
      </c>
      <c r="E580" s="1357" t="s">
        <v>2131</v>
      </c>
      <c r="F580" s="832"/>
      <c r="G580" s="2010"/>
      <c r="H580" s="837"/>
      <c r="I580" s="837"/>
      <c r="J580" s="1059"/>
      <c r="K580" s="943"/>
      <c r="L580" s="1362" t="n">
        <v>109354.375</v>
      </c>
      <c r="M580" s="846" t="n">
        <v>1625</v>
      </c>
      <c r="N580" s="846" t="n">
        <f aca="false">M580/H578</f>
        <v>65</v>
      </c>
      <c r="O580" s="1936" t="n">
        <v>85772</v>
      </c>
      <c r="P580" s="1933"/>
      <c r="Q580" s="1934"/>
      <c r="R580" s="1935"/>
    </row>
    <row r="581" customFormat="false" ht="14.25" hidden="false" customHeight="false" outlineLevel="0" collapsed="false">
      <c r="A581" s="882" t="n">
        <v>484</v>
      </c>
      <c r="B581" s="830" t="n">
        <v>2023</v>
      </c>
      <c r="C581" s="1965" t="n">
        <v>45597</v>
      </c>
      <c r="D581" s="1365" t="s">
        <v>5</v>
      </c>
      <c r="E581" s="1365" t="s">
        <v>2131</v>
      </c>
      <c r="F581" s="832" t="s">
        <v>3364</v>
      </c>
      <c r="G581" s="2010" t="n">
        <v>304</v>
      </c>
      <c r="H581" s="1075" t="n">
        <v>25</v>
      </c>
      <c r="I581" s="837" t="n">
        <f aca="false">G581*H581</f>
        <v>7600</v>
      </c>
      <c r="J581" s="1059" t="n">
        <v>62.5186</v>
      </c>
      <c r="K581" s="943" t="n">
        <f aca="false">I581*J581</f>
        <v>475141.36</v>
      </c>
      <c r="L581" s="1369" t="n">
        <v>65644.53</v>
      </c>
      <c r="M581" s="840" t="n">
        <v>1050</v>
      </c>
      <c r="N581" s="840" t="n">
        <f aca="false">M581/H581</f>
        <v>42</v>
      </c>
      <c r="O581" s="578" t="n">
        <v>86081</v>
      </c>
      <c r="P581" s="1934" t="n">
        <f aca="false">K581-L581-L587-L586-L582-L583-L585-L584</f>
        <v>-4.36557456851006E-011</v>
      </c>
      <c r="Q581" s="1934" t="n">
        <f aca="false">I581-M581-M587-M586-M582-M583-M585-M584</f>
        <v>0</v>
      </c>
      <c r="R581" s="1935" t="n">
        <f aca="false">G581-N581-N587-N586-N582-N583-N585-N584</f>
        <v>0</v>
      </c>
    </row>
    <row r="582" customFormat="false" ht="14.25" hidden="false" customHeight="false" outlineLevel="0" collapsed="false">
      <c r="A582" s="882"/>
      <c r="B582" s="830"/>
      <c r="C582" s="1965"/>
      <c r="D582" s="1480" t="s">
        <v>5</v>
      </c>
      <c r="E582" s="1480" t="s">
        <v>2131</v>
      </c>
      <c r="F582" s="832"/>
      <c r="G582" s="2010"/>
      <c r="H582" s="1075"/>
      <c r="I582" s="837"/>
      <c r="J582" s="1059"/>
      <c r="K582" s="943"/>
      <c r="L582" s="1521" t="n">
        <v>62518.6</v>
      </c>
      <c r="M582" s="866" t="n">
        <v>1000</v>
      </c>
      <c r="N582" s="854" t="n">
        <f aca="false">M582/H581</f>
        <v>40</v>
      </c>
      <c r="O582" s="545" t="n">
        <v>85958</v>
      </c>
      <c r="P582" s="1934"/>
      <c r="Q582" s="1934"/>
      <c r="R582" s="1935"/>
    </row>
    <row r="583" customFormat="false" ht="14.25" hidden="false" customHeight="false" outlineLevel="0" collapsed="false">
      <c r="A583" s="882"/>
      <c r="B583" s="830"/>
      <c r="C583" s="1965"/>
      <c r="D583" s="1480" t="s">
        <v>5</v>
      </c>
      <c r="E583" s="1480" t="s">
        <v>2131</v>
      </c>
      <c r="F583" s="832"/>
      <c r="G583" s="2010"/>
      <c r="H583" s="1075"/>
      <c r="I583" s="837"/>
      <c r="J583" s="1059"/>
      <c r="K583" s="943"/>
      <c r="L583" s="1521" t="n">
        <v>1562.965</v>
      </c>
      <c r="M583" s="866" t="n">
        <v>25</v>
      </c>
      <c r="N583" s="854" t="n">
        <f aca="false">M583/H581</f>
        <v>1</v>
      </c>
      <c r="O583" s="545" t="n">
        <v>86325</v>
      </c>
      <c r="P583" s="1934"/>
      <c r="Q583" s="1934"/>
      <c r="R583" s="1935"/>
    </row>
    <row r="584" customFormat="false" ht="14.25" hidden="false" customHeight="false" outlineLevel="0" collapsed="false">
      <c r="A584" s="882"/>
      <c r="B584" s="830"/>
      <c r="C584" s="1965"/>
      <c r="D584" s="1480" t="s">
        <v>5</v>
      </c>
      <c r="E584" s="1480" t="s">
        <v>2131</v>
      </c>
      <c r="F584" s="832"/>
      <c r="G584" s="2010"/>
      <c r="H584" s="1075"/>
      <c r="I584" s="837"/>
      <c r="J584" s="1059"/>
      <c r="K584" s="943"/>
      <c r="L584" s="1521" t="n">
        <v>23444.475</v>
      </c>
      <c r="M584" s="866" t="n">
        <v>375</v>
      </c>
      <c r="N584" s="854" t="n">
        <f aca="false">M584/H581</f>
        <v>15</v>
      </c>
      <c r="O584" s="545" t="s">
        <v>1634</v>
      </c>
      <c r="P584" s="1934"/>
      <c r="Q584" s="1934"/>
      <c r="R584" s="1935"/>
    </row>
    <row r="585" customFormat="false" ht="14.25" hidden="false" customHeight="false" outlineLevel="0" collapsed="false">
      <c r="A585" s="882"/>
      <c r="B585" s="830"/>
      <c r="C585" s="1965"/>
      <c r="D585" s="1480" t="s">
        <v>5</v>
      </c>
      <c r="E585" s="1480" t="s">
        <v>2131</v>
      </c>
      <c r="F585" s="832"/>
      <c r="G585" s="2010"/>
      <c r="H585" s="1075"/>
      <c r="I585" s="837"/>
      <c r="J585" s="1059"/>
      <c r="K585" s="943"/>
      <c r="L585" s="1521" t="n">
        <v>37511.16</v>
      </c>
      <c r="M585" s="866" t="n">
        <v>600</v>
      </c>
      <c r="N585" s="854" t="n">
        <f aca="false">M585/H581</f>
        <v>24</v>
      </c>
      <c r="O585" s="545" t="n">
        <v>86581</v>
      </c>
      <c r="P585" s="1934"/>
      <c r="Q585" s="1934"/>
      <c r="R585" s="1935"/>
    </row>
    <row r="586" customFormat="false" ht="14.25" hidden="false" customHeight="false" outlineLevel="0" collapsed="false">
      <c r="A586" s="882"/>
      <c r="B586" s="830"/>
      <c r="C586" s="1965"/>
      <c r="D586" s="1480" t="s">
        <v>5</v>
      </c>
      <c r="E586" s="1480" t="s">
        <v>2131</v>
      </c>
      <c r="F586" s="832"/>
      <c r="G586" s="2010"/>
      <c r="H586" s="1075"/>
      <c r="I586" s="837"/>
      <c r="J586" s="1059"/>
      <c r="K586" s="943"/>
      <c r="L586" s="1521" t="n">
        <v>93777.9</v>
      </c>
      <c r="M586" s="866" t="n">
        <v>1500</v>
      </c>
      <c r="N586" s="866" t="n">
        <f aca="false">M586/H581</f>
        <v>60</v>
      </c>
      <c r="O586" s="545" t="n">
        <v>85835</v>
      </c>
      <c r="P586" s="1934"/>
      <c r="Q586" s="1934"/>
      <c r="R586" s="1935"/>
    </row>
    <row r="587" customFormat="false" ht="14.25" hidden="false" customHeight="false" outlineLevel="0" collapsed="false">
      <c r="A587" s="882"/>
      <c r="B587" s="830"/>
      <c r="C587" s="1965"/>
      <c r="D587" s="1357" t="s">
        <v>5</v>
      </c>
      <c r="E587" s="1357" t="s">
        <v>2131</v>
      </c>
      <c r="F587" s="832"/>
      <c r="G587" s="2010"/>
      <c r="H587" s="1075"/>
      <c r="I587" s="837"/>
      <c r="J587" s="1059"/>
      <c r="K587" s="943"/>
      <c r="L587" s="1362" t="n">
        <v>190681.73</v>
      </c>
      <c r="M587" s="846" t="n">
        <v>3050</v>
      </c>
      <c r="N587" s="846" t="n">
        <f aca="false">M587/H581</f>
        <v>122</v>
      </c>
      <c r="O587" s="1936" t="n">
        <v>85754</v>
      </c>
      <c r="P587" s="1934"/>
      <c r="Q587" s="1934"/>
      <c r="R587" s="1935"/>
    </row>
    <row r="588" customFormat="false" ht="14.25" hidden="false" customHeight="false" outlineLevel="0" collapsed="false">
      <c r="A588" s="847" t="n">
        <v>70</v>
      </c>
      <c r="B588" s="1396" t="n">
        <v>2024</v>
      </c>
      <c r="C588" s="1966" t="n">
        <v>45689</v>
      </c>
      <c r="D588" s="1479" t="s">
        <v>5</v>
      </c>
      <c r="E588" s="1479" t="s">
        <v>1651</v>
      </c>
      <c r="F588" s="848" t="s">
        <v>3367</v>
      </c>
      <c r="G588" s="2018" t="n">
        <v>5</v>
      </c>
      <c r="H588" s="1143" t="n">
        <v>15</v>
      </c>
      <c r="I588" s="1380" t="n">
        <f aca="false">G588*H588</f>
        <v>75</v>
      </c>
      <c r="J588" s="1544" t="n">
        <v>25.71</v>
      </c>
      <c r="K588" s="1968" t="n">
        <f aca="false">I588*J588</f>
        <v>1928.25</v>
      </c>
      <c r="L588" s="1380" t="n">
        <v>1928.25</v>
      </c>
      <c r="M588" s="854" t="n">
        <v>75</v>
      </c>
      <c r="N588" s="866" t="n">
        <f aca="false">M588/H588</f>
        <v>5</v>
      </c>
      <c r="O588" s="580" t="s">
        <v>1375</v>
      </c>
      <c r="P588" s="2019" t="n">
        <f aca="false">K588-L588</f>
        <v>0</v>
      </c>
      <c r="Q588" s="1970" t="n">
        <f aca="false">I588-M588</f>
        <v>0</v>
      </c>
      <c r="R588" s="1971" t="n">
        <f aca="false">G588-N588</f>
        <v>0</v>
      </c>
    </row>
    <row r="589" customFormat="false" ht="14.25" hidden="false" customHeight="false" outlineLevel="0" collapsed="false">
      <c r="A589" s="859" t="n">
        <v>71</v>
      </c>
      <c r="B589" s="2020" t="n">
        <v>2024</v>
      </c>
      <c r="C589" s="1990" t="n">
        <v>45689</v>
      </c>
      <c r="D589" s="1480" t="s">
        <v>5</v>
      </c>
      <c r="E589" s="1480" t="s">
        <v>1651</v>
      </c>
      <c r="F589" s="860" t="s">
        <v>3364</v>
      </c>
      <c r="G589" s="2021" t="n">
        <v>13</v>
      </c>
      <c r="H589" s="1299" t="n">
        <v>10</v>
      </c>
      <c r="I589" s="1521" t="n">
        <f aca="false">G589*H589</f>
        <v>130</v>
      </c>
      <c r="J589" s="1585" t="n">
        <v>26.501</v>
      </c>
      <c r="K589" s="1992" t="n">
        <f aca="false">I589*J589</f>
        <v>3445.13</v>
      </c>
      <c r="L589" s="2022" t="n">
        <v>3445.13</v>
      </c>
      <c r="M589" s="866" t="n">
        <v>130</v>
      </c>
      <c r="N589" s="866" t="n">
        <f aca="false">M589/H589</f>
        <v>13</v>
      </c>
      <c r="O589" s="545" t="s">
        <v>373</v>
      </c>
      <c r="P589" s="2023" t="n">
        <f aca="false">K589-L589</f>
        <v>0</v>
      </c>
      <c r="Q589" s="1994" t="n">
        <f aca="false">I589-M589</f>
        <v>0</v>
      </c>
      <c r="R589" s="1995" t="n">
        <f aca="false">G589-N589</f>
        <v>0</v>
      </c>
    </row>
    <row r="590" customFormat="false" ht="14.25" hidden="false" customHeight="false" outlineLevel="0" collapsed="false">
      <c r="A590" s="870" t="n">
        <v>75</v>
      </c>
      <c r="B590" s="1495" t="n">
        <v>2024</v>
      </c>
      <c r="C590" s="1972" t="n">
        <v>45689</v>
      </c>
      <c r="D590" s="1478" t="s">
        <v>5</v>
      </c>
      <c r="E590" s="1478" t="s">
        <v>1651</v>
      </c>
      <c r="F590" s="871" t="s">
        <v>3364</v>
      </c>
      <c r="G590" s="2024" t="n">
        <v>47</v>
      </c>
      <c r="H590" s="1301" t="n">
        <v>15</v>
      </c>
      <c r="I590" s="1587" t="n">
        <f aca="false">G590*H590</f>
        <v>705</v>
      </c>
      <c r="J590" s="1542" t="n">
        <v>25.71</v>
      </c>
      <c r="K590" s="1958" t="n">
        <f aca="false">I590*J590</f>
        <v>18125.55</v>
      </c>
      <c r="L590" s="2025" t="n">
        <v>18125.55</v>
      </c>
      <c r="M590" s="877" t="n">
        <v>705</v>
      </c>
      <c r="N590" s="866" t="n">
        <f aca="false">M590/H590</f>
        <v>47</v>
      </c>
      <c r="O590" s="584" t="s">
        <v>1375</v>
      </c>
      <c r="P590" s="2026" t="n">
        <f aca="false">K590-L590</f>
        <v>0</v>
      </c>
      <c r="Q590" s="1960" t="n">
        <f aca="false">I590-M590</f>
        <v>0</v>
      </c>
      <c r="R590" s="1961" t="n">
        <f aca="false">G590-N590</f>
        <v>0</v>
      </c>
    </row>
    <row r="591" customFormat="false" ht="14.25" hidden="false" customHeight="false" outlineLevel="0" collapsed="false">
      <c r="A591" s="829" t="n">
        <v>95</v>
      </c>
      <c r="B591" s="830" t="n">
        <v>2024</v>
      </c>
      <c r="C591" s="1965" t="n">
        <v>45689</v>
      </c>
      <c r="D591" s="1365" t="s">
        <v>5</v>
      </c>
      <c r="E591" s="1365" t="s">
        <v>1651</v>
      </c>
      <c r="F591" s="832" t="s">
        <v>3364</v>
      </c>
      <c r="G591" s="2010" t="n">
        <v>666</v>
      </c>
      <c r="H591" s="837" t="n">
        <v>15</v>
      </c>
      <c r="I591" s="837" t="n">
        <f aca="false">G591*H591</f>
        <v>9990</v>
      </c>
      <c r="J591" s="1059" t="n">
        <v>29.6759</v>
      </c>
      <c r="K591" s="943" t="n">
        <f aca="false">I591*J591</f>
        <v>296462.241</v>
      </c>
      <c r="L591" s="1665" t="n">
        <v>148676.259</v>
      </c>
      <c r="M591" s="886" t="n">
        <v>5010</v>
      </c>
      <c r="N591" s="886" t="n">
        <f aca="false">M591/H591</f>
        <v>334</v>
      </c>
      <c r="O591" s="1595" t="n">
        <v>86790</v>
      </c>
      <c r="P591" s="1934" t="n">
        <f aca="false">K591-L591-L602-L601-L592-L600-L593-L595-L599-L596-L598-L594-L597</f>
        <v>0</v>
      </c>
      <c r="Q591" s="1934" t="n">
        <f aca="false">I591-M591-M602-M601-M592-M600-M593-M595-M599-M596-M598-M594-M597</f>
        <v>0</v>
      </c>
      <c r="R591" s="1935" t="n">
        <f aca="false">G591-N591-N602-N601-N592-N600-N593-N595-N599-N596-N598-N594-N597</f>
        <v>0</v>
      </c>
    </row>
    <row r="592" customFormat="false" ht="14.25" hidden="false" customHeight="false" outlineLevel="0" collapsed="false">
      <c r="A592" s="829"/>
      <c r="B592" s="830"/>
      <c r="C592" s="1965"/>
      <c r="D592" s="1480" t="s">
        <v>5</v>
      </c>
      <c r="E592" s="1480" t="s">
        <v>1651</v>
      </c>
      <c r="F592" s="832"/>
      <c r="G592" s="2010"/>
      <c r="H592" s="837"/>
      <c r="I592" s="837"/>
      <c r="J592" s="1059"/>
      <c r="K592" s="943"/>
      <c r="L592" s="1521" t="n">
        <v>58313.1435</v>
      </c>
      <c r="M592" s="866" t="n">
        <v>1965</v>
      </c>
      <c r="N592" s="866" t="n">
        <f aca="false">M592/H591</f>
        <v>131</v>
      </c>
      <c r="O592" s="545" t="n">
        <v>86834</v>
      </c>
      <c r="P592" s="1934"/>
      <c r="Q592" s="1934"/>
      <c r="R592" s="1935"/>
    </row>
    <row r="593" customFormat="false" ht="14.25" hidden="false" customHeight="false" outlineLevel="0" collapsed="false">
      <c r="A593" s="829"/>
      <c r="B593" s="830"/>
      <c r="C593" s="1965"/>
      <c r="D593" s="1480" t="s">
        <v>5</v>
      </c>
      <c r="E593" s="1480" t="s">
        <v>1651</v>
      </c>
      <c r="F593" s="832"/>
      <c r="G593" s="2010"/>
      <c r="H593" s="837"/>
      <c r="I593" s="837"/>
      <c r="J593" s="1059"/>
      <c r="K593" s="943"/>
      <c r="L593" s="1521" t="n">
        <v>21366.648</v>
      </c>
      <c r="M593" s="866" t="n">
        <v>720</v>
      </c>
      <c r="N593" s="866" t="n">
        <f aca="false">M593/H591</f>
        <v>48</v>
      </c>
      <c r="O593" s="545" t="s">
        <v>2240</v>
      </c>
      <c r="P593" s="1934"/>
      <c r="Q593" s="1934"/>
      <c r="R593" s="1935"/>
    </row>
    <row r="594" customFormat="false" ht="14.25" hidden="false" customHeight="false" outlineLevel="0" collapsed="false">
      <c r="A594" s="829"/>
      <c r="B594" s="830"/>
      <c r="C594" s="1965"/>
      <c r="D594" s="1480" t="s">
        <v>5</v>
      </c>
      <c r="E594" s="1480" t="s">
        <v>1651</v>
      </c>
      <c r="F594" s="832"/>
      <c r="G594" s="2010"/>
      <c r="H594" s="837"/>
      <c r="I594" s="837"/>
      <c r="J594" s="1059"/>
      <c r="K594" s="943"/>
      <c r="L594" s="1521" t="n">
        <v>445.1385</v>
      </c>
      <c r="M594" s="866" t="n">
        <v>15</v>
      </c>
      <c r="N594" s="866" t="n">
        <f aca="false">M594/H591</f>
        <v>1</v>
      </c>
      <c r="O594" s="545" t="s">
        <v>3365</v>
      </c>
      <c r="P594" s="1934"/>
      <c r="Q594" s="1934"/>
      <c r="R594" s="1935"/>
    </row>
    <row r="595" customFormat="false" ht="14.25" hidden="false" customHeight="false" outlineLevel="0" collapsed="false">
      <c r="A595" s="829"/>
      <c r="B595" s="830"/>
      <c r="C595" s="1965"/>
      <c r="D595" s="1480" t="s">
        <v>5</v>
      </c>
      <c r="E595" s="1480" t="s">
        <v>1651</v>
      </c>
      <c r="F595" s="832"/>
      <c r="G595" s="2010"/>
      <c r="H595" s="837"/>
      <c r="I595" s="837"/>
      <c r="J595" s="1059"/>
      <c r="K595" s="943"/>
      <c r="L595" s="1521" t="n">
        <v>890.277</v>
      </c>
      <c r="M595" s="866" t="n">
        <v>30</v>
      </c>
      <c r="N595" s="866" t="n">
        <f aca="false">M595/H591</f>
        <v>2</v>
      </c>
      <c r="O595" s="545" t="n">
        <v>13481</v>
      </c>
      <c r="P595" s="1934"/>
      <c r="Q595" s="1934"/>
      <c r="R595" s="1935"/>
    </row>
    <row r="596" customFormat="false" ht="14.25" hidden="false" customHeight="false" outlineLevel="0" collapsed="false">
      <c r="A596" s="829"/>
      <c r="B596" s="830"/>
      <c r="C596" s="1965"/>
      <c r="D596" s="1480" t="s">
        <v>5</v>
      </c>
      <c r="E596" s="1480" t="s">
        <v>1651</v>
      </c>
      <c r="F596" s="832"/>
      <c r="G596" s="2010"/>
      <c r="H596" s="837"/>
      <c r="I596" s="837"/>
      <c r="J596" s="1059"/>
      <c r="K596" s="943"/>
      <c r="L596" s="1521" t="n">
        <v>3115.9695</v>
      </c>
      <c r="M596" s="866" t="n">
        <v>105</v>
      </c>
      <c r="N596" s="866" t="n">
        <f aca="false">M596/H591</f>
        <v>7</v>
      </c>
      <c r="O596" s="545" t="n">
        <v>86884</v>
      </c>
      <c r="P596" s="1934"/>
      <c r="Q596" s="1934"/>
      <c r="R596" s="1935"/>
    </row>
    <row r="597" customFormat="false" ht="14.25" hidden="false" customHeight="false" outlineLevel="0" collapsed="false">
      <c r="A597" s="829"/>
      <c r="B597" s="830"/>
      <c r="C597" s="1965"/>
      <c r="D597" s="1480" t="s">
        <v>5</v>
      </c>
      <c r="E597" s="1480" t="s">
        <v>1651</v>
      </c>
      <c r="F597" s="832"/>
      <c r="G597" s="2010"/>
      <c r="H597" s="837"/>
      <c r="I597" s="837"/>
      <c r="J597" s="1059"/>
      <c r="K597" s="943"/>
      <c r="L597" s="1521" t="n">
        <v>445.1385</v>
      </c>
      <c r="M597" s="866" t="n">
        <v>15</v>
      </c>
      <c r="N597" s="866" t="n">
        <f aca="false">M597/H591</f>
        <v>1</v>
      </c>
      <c r="O597" s="545" t="n">
        <v>86944</v>
      </c>
      <c r="P597" s="1934"/>
      <c r="Q597" s="1934"/>
      <c r="R597" s="1935"/>
    </row>
    <row r="598" customFormat="false" ht="14.25" hidden="false" customHeight="false" outlineLevel="0" collapsed="false">
      <c r="A598" s="829"/>
      <c r="B598" s="830"/>
      <c r="C598" s="1965"/>
      <c r="D598" s="1480" t="s">
        <v>5</v>
      </c>
      <c r="E598" s="1480" t="s">
        <v>1651</v>
      </c>
      <c r="F598" s="832"/>
      <c r="G598" s="2010"/>
      <c r="H598" s="837"/>
      <c r="I598" s="837"/>
      <c r="J598" s="1059"/>
      <c r="K598" s="943"/>
      <c r="L598" s="1521" t="n">
        <v>445.1385</v>
      </c>
      <c r="M598" s="866" t="n">
        <v>15</v>
      </c>
      <c r="N598" s="866" t="n">
        <f aca="false">M598/H591</f>
        <v>1</v>
      </c>
      <c r="O598" s="545" t="n">
        <v>86936</v>
      </c>
      <c r="P598" s="1934"/>
      <c r="Q598" s="1934"/>
      <c r="R598" s="1935"/>
    </row>
    <row r="599" customFormat="false" ht="14.25" hidden="false" customHeight="false" outlineLevel="0" collapsed="false">
      <c r="A599" s="829"/>
      <c r="B599" s="830"/>
      <c r="C599" s="1965"/>
      <c r="D599" s="1480" t="s">
        <v>5</v>
      </c>
      <c r="E599" s="1480" t="s">
        <v>1651</v>
      </c>
      <c r="F599" s="832"/>
      <c r="G599" s="2010"/>
      <c r="H599" s="837"/>
      <c r="I599" s="837"/>
      <c r="J599" s="1059"/>
      <c r="K599" s="943"/>
      <c r="L599" s="1521" t="n">
        <v>1780.554</v>
      </c>
      <c r="M599" s="866" t="n">
        <v>60</v>
      </c>
      <c r="N599" s="866" t="n">
        <f aca="false">M599/H591</f>
        <v>4</v>
      </c>
      <c r="O599" s="545" t="n">
        <v>86868</v>
      </c>
      <c r="P599" s="1934"/>
      <c r="Q599" s="1934"/>
      <c r="R599" s="1935"/>
    </row>
    <row r="600" customFormat="false" ht="14.25" hidden="false" customHeight="false" outlineLevel="0" collapsed="false">
      <c r="A600" s="829"/>
      <c r="B600" s="830"/>
      <c r="C600" s="1965"/>
      <c r="D600" s="1480" t="s">
        <v>5</v>
      </c>
      <c r="E600" s="1480" t="s">
        <v>1651</v>
      </c>
      <c r="F600" s="832"/>
      <c r="G600" s="2010"/>
      <c r="H600" s="837"/>
      <c r="I600" s="837"/>
      <c r="J600" s="1059"/>
      <c r="K600" s="943"/>
      <c r="L600" s="1521" t="n">
        <v>4451.385</v>
      </c>
      <c r="M600" s="866" t="n">
        <v>150</v>
      </c>
      <c r="N600" s="866" t="n">
        <f aca="false">M600/H591</f>
        <v>10</v>
      </c>
      <c r="O600" s="545" t="n">
        <v>86836</v>
      </c>
      <c r="P600" s="1934"/>
      <c r="Q600" s="1934"/>
      <c r="R600" s="1935"/>
    </row>
    <row r="601" customFormat="false" ht="14.25" hidden="false" customHeight="false" outlineLevel="0" collapsed="false">
      <c r="A601" s="829"/>
      <c r="B601" s="830"/>
      <c r="C601" s="1965"/>
      <c r="D601" s="1480" t="s">
        <v>5</v>
      </c>
      <c r="E601" s="1480" t="s">
        <v>1651</v>
      </c>
      <c r="F601" s="832"/>
      <c r="G601" s="2010"/>
      <c r="H601" s="837"/>
      <c r="I601" s="837"/>
      <c r="J601" s="1059"/>
      <c r="K601" s="943"/>
      <c r="L601" s="1521" t="n">
        <v>32495.1105</v>
      </c>
      <c r="M601" s="866" t="n">
        <v>1095</v>
      </c>
      <c r="N601" s="866" t="n">
        <f aca="false">M601/H591</f>
        <v>73</v>
      </c>
      <c r="O601" s="545" t="n">
        <v>86833</v>
      </c>
      <c r="P601" s="1934"/>
      <c r="Q601" s="1934"/>
      <c r="R601" s="1935"/>
    </row>
    <row r="602" customFormat="false" ht="14.25" hidden="false" customHeight="false" outlineLevel="0" collapsed="false">
      <c r="A602" s="829"/>
      <c r="B602" s="830"/>
      <c r="C602" s="1965"/>
      <c r="D602" s="1357" t="s">
        <v>5</v>
      </c>
      <c r="E602" s="1357" t="s">
        <v>1651</v>
      </c>
      <c r="F602" s="832"/>
      <c r="G602" s="2010"/>
      <c r="H602" s="837"/>
      <c r="I602" s="837"/>
      <c r="J602" s="1059"/>
      <c r="K602" s="943"/>
      <c r="L602" s="1362" t="n">
        <v>24037.479</v>
      </c>
      <c r="M602" s="846" t="n">
        <v>810</v>
      </c>
      <c r="N602" s="846" t="n">
        <f aca="false">M602/H591</f>
        <v>54</v>
      </c>
      <c r="O602" s="1936" t="n">
        <v>86810</v>
      </c>
      <c r="P602" s="1934"/>
      <c r="Q602" s="1934"/>
      <c r="R602" s="1935"/>
    </row>
    <row r="603" customFormat="false" ht="14.25" hidden="false" customHeight="false" outlineLevel="0" collapsed="false">
      <c r="A603" s="1465" t="n">
        <v>97</v>
      </c>
      <c r="B603" s="1546" t="n">
        <v>2024</v>
      </c>
      <c r="C603" s="1975" t="n">
        <v>45689</v>
      </c>
      <c r="D603" s="1365" t="s">
        <v>5</v>
      </c>
      <c r="E603" s="1365" t="s">
        <v>1652</v>
      </c>
      <c r="F603" s="1328" t="s">
        <v>3364</v>
      </c>
      <c r="G603" s="2011" t="n">
        <v>666</v>
      </c>
      <c r="H603" s="1036" t="n">
        <v>15</v>
      </c>
      <c r="I603" s="1036" t="n">
        <f aca="false">G603*H603</f>
        <v>9990</v>
      </c>
      <c r="J603" s="1557" t="n">
        <v>40.349</v>
      </c>
      <c r="K603" s="1547" t="n">
        <f aca="false">I603*J603</f>
        <v>403086.51</v>
      </c>
      <c r="L603" s="1665" t="n">
        <v>33893.16</v>
      </c>
      <c r="M603" s="886" t="n">
        <v>840</v>
      </c>
      <c r="N603" s="886" t="n">
        <f aca="false">M603/H603</f>
        <v>56</v>
      </c>
      <c r="O603" s="1595" t="n">
        <v>86620</v>
      </c>
      <c r="P603" s="1984" t="n">
        <f aca="false">K603-L603-L616-L615-L604-L605-L614-L606-L613-L607-L612-L608-L611-L609-L610</f>
        <v>0</v>
      </c>
      <c r="Q603" s="1978" t="n">
        <f aca="false">I603-M603-M616-M615-M604-M605-M614-M606-M613-M607-M612-M608-M611-M609-M610</f>
        <v>0</v>
      </c>
      <c r="R603" s="1979" t="n">
        <f aca="false">G603-N603-N616-N615-N604-N605-N614-N606-N613-N607-N612-N608-N611-N609-N610</f>
        <v>0</v>
      </c>
    </row>
    <row r="604" customFormat="false" ht="14.25" hidden="false" customHeight="false" outlineLevel="0" collapsed="false">
      <c r="A604" s="1465"/>
      <c r="B604" s="1546"/>
      <c r="C604" s="1975"/>
      <c r="D604" s="1480" t="s">
        <v>5</v>
      </c>
      <c r="E604" s="1480" t="s">
        <v>1652</v>
      </c>
      <c r="F604" s="1328"/>
      <c r="G604" s="2011"/>
      <c r="H604" s="1036"/>
      <c r="I604" s="1036"/>
      <c r="J604" s="1557"/>
      <c r="K604" s="1547"/>
      <c r="L604" s="1521" t="n">
        <v>39340.275</v>
      </c>
      <c r="M604" s="866" t="n">
        <v>975</v>
      </c>
      <c r="N604" s="866" t="n">
        <f aca="false">M604/H603</f>
        <v>65</v>
      </c>
      <c r="O604" s="545" t="n">
        <v>86668</v>
      </c>
      <c r="P604" s="1984"/>
      <c r="Q604" s="1978"/>
      <c r="R604" s="1979"/>
    </row>
    <row r="605" customFormat="false" ht="14.25" hidden="false" customHeight="false" outlineLevel="0" collapsed="false">
      <c r="A605" s="1465"/>
      <c r="B605" s="1546"/>
      <c r="C605" s="1975"/>
      <c r="D605" s="1480" t="s">
        <v>5</v>
      </c>
      <c r="E605" s="1480" t="s">
        <v>1652</v>
      </c>
      <c r="F605" s="1328"/>
      <c r="G605" s="2011"/>
      <c r="H605" s="1036"/>
      <c r="I605" s="1036"/>
      <c r="J605" s="1557"/>
      <c r="K605" s="1547"/>
      <c r="L605" s="1521" t="n">
        <v>24209.4</v>
      </c>
      <c r="M605" s="866" t="n">
        <v>600</v>
      </c>
      <c r="N605" s="866" t="n">
        <f aca="false">M605/H603</f>
        <v>40</v>
      </c>
      <c r="O605" s="545" t="n">
        <v>86719</v>
      </c>
      <c r="P605" s="1984"/>
      <c r="Q605" s="1978"/>
      <c r="R605" s="1979"/>
    </row>
    <row r="606" customFormat="false" ht="14.25" hidden="false" customHeight="false" outlineLevel="0" collapsed="false">
      <c r="A606" s="1465"/>
      <c r="B606" s="1546"/>
      <c r="C606" s="1975"/>
      <c r="D606" s="1480" t="s">
        <v>5</v>
      </c>
      <c r="E606" s="1480" t="s">
        <v>1652</v>
      </c>
      <c r="F606" s="1328"/>
      <c r="G606" s="2011"/>
      <c r="H606" s="1036"/>
      <c r="I606" s="1036"/>
      <c r="J606" s="1557"/>
      <c r="K606" s="1547"/>
      <c r="L606" s="1521" t="n">
        <v>16946.58</v>
      </c>
      <c r="M606" s="866" t="n">
        <v>420</v>
      </c>
      <c r="N606" s="866" t="n">
        <f aca="false">M606/H603</f>
        <v>28</v>
      </c>
      <c r="O606" s="545" t="n">
        <v>86763</v>
      </c>
      <c r="P606" s="1984"/>
      <c r="Q606" s="1978"/>
      <c r="R606" s="1979"/>
    </row>
    <row r="607" customFormat="false" ht="14.25" hidden="false" customHeight="false" outlineLevel="0" collapsed="false">
      <c r="A607" s="1465"/>
      <c r="B607" s="1546"/>
      <c r="C607" s="1975"/>
      <c r="D607" s="1480" t="s">
        <v>5</v>
      </c>
      <c r="E607" s="1480" t="s">
        <v>1652</v>
      </c>
      <c r="F607" s="1328"/>
      <c r="G607" s="2011"/>
      <c r="H607" s="1036"/>
      <c r="I607" s="1036"/>
      <c r="J607" s="1557"/>
      <c r="K607" s="1547"/>
      <c r="L607" s="1521" t="n">
        <v>205174.665</v>
      </c>
      <c r="M607" s="866" t="n">
        <v>5085</v>
      </c>
      <c r="N607" s="866" t="n">
        <f aca="false">M607/H603</f>
        <v>339</v>
      </c>
      <c r="O607" s="545" t="s">
        <v>404</v>
      </c>
      <c r="P607" s="1984"/>
      <c r="Q607" s="1978"/>
      <c r="R607" s="1979"/>
    </row>
    <row r="608" customFormat="false" ht="14.25" hidden="false" customHeight="false" outlineLevel="0" collapsed="false">
      <c r="A608" s="1465"/>
      <c r="B608" s="1546"/>
      <c r="C608" s="1975"/>
      <c r="D608" s="1480" t="s">
        <v>5</v>
      </c>
      <c r="E608" s="1480" t="s">
        <v>1652</v>
      </c>
      <c r="F608" s="1328"/>
      <c r="G608" s="2011"/>
      <c r="H608" s="1036"/>
      <c r="I608" s="1036"/>
      <c r="J608" s="1557"/>
      <c r="K608" s="1547"/>
      <c r="L608" s="1521" t="n">
        <v>20577.99</v>
      </c>
      <c r="M608" s="866" t="n">
        <v>510</v>
      </c>
      <c r="N608" s="866" t="n">
        <f aca="false">M608/H603</f>
        <v>34</v>
      </c>
      <c r="O608" s="545" t="s">
        <v>441</v>
      </c>
      <c r="P608" s="1984"/>
      <c r="Q608" s="1978"/>
      <c r="R608" s="1979"/>
    </row>
    <row r="609" customFormat="false" ht="14.25" hidden="false" customHeight="false" outlineLevel="0" collapsed="false">
      <c r="A609" s="1465"/>
      <c r="B609" s="1546"/>
      <c r="C609" s="1975"/>
      <c r="D609" s="1480" t="s">
        <v>5</v>
      </c>
      <c r="E609" s="1480" t="s">
        <v>1652</v>
      </c>
      <c r="F609" s="1328"/>
      <c r="G609" s="2011"/>
      <c r="H609" s="1036"/>
      <c r="I609" s="1036"/>
      <c r="J609" s="1557"/>
      <c r="K609" s="1547"/>
      <c r="L609" s="1521" t="n">
        <v>42366.45</v>
      </c>
      <c r="M609" s="866" t="n">
        <v>1050</v>
      </c>
      <c r="N609" s="866" t="n">
        <f aca="false">M609/H603</f>
        <v>70</v>
      </c>
      <c r="O609" s="545" t="s">
        <v>660</v>
      </c>
      <c r="P609" s="1984"/>
      <c r="Q609" s="1978"/>
      <c r="R609" s="1979"/>
    </row>
    <row r="610" customFormat="false" ht="14.25" hidden="false" customHeight="false" outlineLevel="0" collapsed="false">
      <c r="A610" s="1465"/>
      <c r="B610" s="1546"/>
      <c r="C610" s="1975"/>
      <c r="D610" s="1480" t="s">
        <v>5</v>
      </c>
      <c r="E610" s="1480" t="s">
        <v>1652</v>
      </c>
      <c r="F610" s="1328"/>
      <c r="G610" s="2011"/>
      <c r="H610" s="1036"/>
      <c r="I610" s="1036"/>
      <c r="J610" s="1557"/>
      <c r="K610" s="1547"/>
      <c r="L610" s="1521" t="n">
        <v>-84127.665</v>
      </c>
      <c r="M610" s="866" t="n">
        <v>-2085</v>
      </c>
      <c r="N610" s="866" t="n">
        <f aca="false">M610/H603</f>
        <v>-139</v>
      </c>
      <c r="O610" s="545" t="s">
        <v>1634</v>
      </c>
      <c r="P610" s="1984"/>
      <c r="Q610" s="1978"/>
      <c r="R610" s="1979"/>
    </row>
    <row r="611" customFormat="false" ht="14.25" hidden="false" customHeight="false" outlineLevel="0" collapsed="false">
      <c r="A611" s="1465"/>
      <c r="B611" s="1546"/>
      <c r="C611" s="1975"/>
      <c r="D611" s="1480" t="s">
        <v>5</v>
      </c>
      <c r="E611" s="1480" t="s">
        <v>1652</v>
      </c>
      <c r="F611" s="1328"/>
      <c r="G611" s="2011"/>
      <c r="H611" s="1036"/>
      <c r="I611" s="1036"/>
      <c r="J611" s="1557"/>
      <c r="K611" s="1547"/>
      <c r="L611" s="1521" t="n">
        <v>16341.345</v>
      </c>
      <c r="M611" s="866" t="n">
        <v>405</v>
      </c>
      <c r="N611" s="866" t="n">
        <f aca="false">M611/H603</f>
        <v>27</v>
      </c>
      <c r="O611" s="545" t="s">
        <v>554</v>
      </c>
      <c r="P611" s="1984"/>
      <c r="Q611" s="1978"/>
      <c r="R611" s="1979"/>
    </row>
    <row r="612" customFormat="false" ht="14.25" hidden="false" customHeight="false" outlineLevel="0" collapsed="false">
      <c r="A612" s="1465"/>
      <c r="B612" s="1546"/>
      <c r="C612" s="1975"/>
      <c r="D612" s="1480" t="s">
        <v>5</v>
      </c>
      <c r="E612" s="1480" t="s">
        <v>1652</v>
      </c>
      <c r="F612" s="1328"/>
      <c r="G612" s="2011"/>
      <c r="H612" s="1036"/>
      <c r="I612" s="1036"/>
      <c r="J612" s="1557"/>
      <c r="K612" s="1547"/>
      <c r="L612" s="1521" t="n">
        <v>4841.88</v>
      </c>
      <c r="M612" s="866" t="n">
        <v>120</v>
      </c>
      <c r="N612" s="866" t="n">
        <f aca="false">M612/H603</f>
        <v>8</v>
      </c>
      <c r="O612" s="545" t="s">
        <v>440</v>
      </c>
      <c r="P612" s="1984"/>
      <c r="Q612" s="1978"/>
      <c r="R612" s="1979"/>
    </row>
    <row r="613" customFormat="false" ht="14.25" hidden="false" customHeight="false" outlineLevel="0" collapsed="false">
      <c r="A613" s="1465"/>
      <c r="B613" s="1546"/>
      <c r="C613" s="1975"/>
      <c r="D613" s="1480" t="s">
        <v>5</v>
      </c>
      <c r="E613" s="1480" t="s">
        <v>1652</v>
      </c>
      <c r="F613" s="1328"/>
      <c r="G613" s="2011"/>
      <c r="H613" s="1036"/>
      <c r="I613" s="1036"/>
      <c r="J613" s="1557"/>
      <c r="K613" s="1547"/>
      <c r="L613" s="1521" t="n">
        <v>6052.35</v>
      </c>
      <c r="M613" s="866" t="n">
        <v>150</v>
      </c>
      <c r="N613" s="866" t="n">
        <f aca="false">M613/H603</f>
        <v>10</v>
      </c>
      <c r="O613" s="545" t="n">
        <v>86795</v>
      </c>
      <c r="P613" s="1984"/>
      <c r="Q613" s="1978"/>
      <c r="R613" s="1979"/>
    </row>
    <row r="614" customFormat="false" ht="14.25" hidden="false" customHeight="false" outlineLevel="0" collapsed="false">
      <c r="A614" s="1465"/>
      <c r="B614" s="1546"/>
      <c r="C614" s="1975"/>
      <c r="D614" s="1480" t="s">
        <v>5</v>
      </c>
      <c r="E614" s="1480" t="s">
        <v>1652</v>
      </c>
      <c r="F614" s="1328"/>
      <c r="G614" s="2011"/>
      <c r="H614" s="1036"/>
      <c r="I614" s="1036"/>
      <c r="J614" s="1557"/>
      <c r="K614" s="1547"/>
      <c r="L614" s="1521" t="n">
        <v>18157.05</v>
      </c>
      <c r="M614" s="866" t="n">
        <v>450</v>
      </c>
      <c r="N614" s="866" t="n">
        <f aca="false">M614/H603</f>
        <v>30</v>
      </c>
      <c r="O614" s="545" t="n">
        <v>86756</v>
      </c>
      <c r="P614" s="1984"/>
      <c r="Q614" s="1978"/>
      <c r="R614" s="1979"/>
    </row>
    <row r="615" customFormat="false" ht="14.25" hidden="false" customHeight="false" outlineLevel="0" collapsed="false">
      <c r="A615" s="1465"/>
      <c r="B615" s="1546"/>
      <c r="C615" s="1975"/>
      <c r="D615" s="1480" t="s">
        <v>5</v>
      </c>
      <c r="E615" s="1480" t="s">
        <v>1652</v>
      </c>
      <c r="F615" s="1328"/>
      <c r="G615" s="2011"/>
      <c r="H615" s="1036"/>
      <c r="I615" s="1036"/>
      <c r="J615" s="1557"/>
      <c r="K615" s="1547"/>
      <c r="L615" s="1521" t="n">
        <v>31472.22</v>
      </c>
      <c r="M615" s="866" t="n">
        <v>780</v>
      </c>
      <c r="N615" s="866" t="n">
        <f aca="false">M615/H603</f>
        <v>52</v>
      </c>
      <c r="O615" s="545" t="n">
        <v>86639</v>
      </c>
      <c r="P615" s="1984"/>
      <c r="Q615" s="1978"/>
      <c r="R615" s="1979"/>
    </row>
    <row r="616" customFormat="false" ht="14.25" hidden="false" customHeight="false" outlineLevel="0" collapsed="false">
      <c r="A616" s="1465"/>
      <c r="B616" s="1546"/>
      <c r="C616" s="1975"/>
      <c r="D616" s="1478" t="s">
        <v>5</v>
      </c>
      <c r="E616" s="1478" t="s">
        <v>1652</v>
      </c>
      <c r="F616" s="1328"/>
      <c r="G616" s="2011"/>
      <c r="H616" s="1036"/>
      <c r="I616" s="1036"/>
      <c r="J616" s="1557"/>
      <c r="K616" s="1547"/>
      <c r="L616" s="1587" t="n">
        <v>27840.81</v>
      </c>
      <c r="M616" s="877" t="n">
        <v>690</v>
      </c>
      <c r="N616" s="877" t="n">
        <f aca="false">M616/H603</f>
        <v>46</v>
      </c>
      <c r="O616" s="584" t="n">
        <v>86621</v>
      </c>
      <c r="P616" s="1984"/>
      <c r="Q616" s="1978"/>
      <c r="R616" s="1979"/>
    </row>
    <row r="617" customFormat="false" ht="14.25" hidden="false" customHeight="false" outlineLevel="0" collapsed="false">
      <c r="A617" s="829" t="n">
        <v>113</v>
      </c>
      <c r="B617" s="830" t="n">
        <v>2024</v>
      </c>
      <c r="C617" s="1965" t="n">
        <v>45689</v>
      </c>
      <c r="D617" s="1365" t="s">
        <v>5</v>
      </c>
      <c r="E617" s="1365" t="s">
        <v>2131</v>
      </c>
      <c r="F617" s="832" t="s">
        <v>3375</v>
      </c>
      <c r="G617" s="2010" t="n">
        <v>112</v>
      </c>
      <c r="H617" s="837" t="n">
        <v>25</v>
      </c>
      <c r="I617" s="837" t="n">
        <f aca="false">G617*H617</f>
        <v>2800</v>
      </c>
      <c r="J617" s="1059" t="n">
        <v>59.4435</v>
      </c>
      <c r="K617" s="841" t="n">
        <f aca="false">I617*J617</f>
        <v>166441.8</v>
      </c>
      <c r="L617" s="1369" t="n">
        <v>154553.1</v>
      </c>
      <c r="M617" s="840" t="n">
        <v>2600</v>
      </c>
      <c r="N617" s="840" t="n">
        <f aca="false">M617/H617</f>
        <v>104</v>
      </c>
      <c r="O617" s="578" t="n">
        <v>86613</v>
      </c>
      <c r="P617" s="1934" t="n">
        <f aca="false">K617-L617-L618</f>
        <v>-1.81898940354586E-011</v>
      </c>
      <c r="Q617" s="1934" t="n">
        <f aca="false">I617-M617-M618</f>
        <v>0</v>
      </c>
      <c r="R617" s="1935" t="n">
        <f aca="false">G617-N617-N618</f>
        <v>0</v>
      </c>
    </row>
    <row r="618" customFormat="false" ht="14.25" hidden="false" customHeight="false" outlineLevel="0" collapsed="false">
      <c r="A618" s="829"/>
      <c r="B618" s="830"/>
      <c r="C618" s="1965"/>
      <c r="D618" s="1357" t="s">
        <v>5</v>
      </c>
      <c r="E618" s="1357" t="s">
        <v>2131</v>
      </c>
      <c r="F618" s="832"/>
      <c r="G618" s="2010"/>
      <c r="H618" s="837"/>
      <c r="I618" s="837"/>
      <c r="J618" s="1059"/>
      <c r="K618" s="841"/>
      <c r="L618" s="1362" t="n">
        <v>11888.7</v>
      </c>
      <c r="M618" s="846" t="n">
        <v>200</v>
      </c>
      <c r="N618" s="846" t="n">
        <f aca="false">M618/H617</f>
        <v>8</v>
      </c>
      <c r="O618" s="1936" t="s">
        <v>769</v>
      </c>
      <c r="P618" s="1934"/>
      <c r="Q618" s="1934"/>
      <c r="R618" s="1935"/>
    </row>
    <row r="619" customFormat="false" ht="14.25" hidden="false" customHeight="false" outlineLevel="0" collapsed="false">
      <c r="A619" s="1087" t="n">
        <v>162</v>
      </c>
      <c r="B619" s="1072" t="n">
        <v>2024</v>
      </c>
      <c r="C619" s="1980" t="n">
        <v>45717</v>
      </c>
      <c r="D619" s="1479" t="s">
        <v>5</v>
      </c>
      <c r="E619" s="1479" t="s">
        <v>1651</v>
      </c>
      <c r="F619" s="1072" t="s">
        <v>3364</v>
      </c>
      <c r="G619" s="2017" t="n">
        <v>314</v>
      </c>
      <c r="H619" s="1067" t="n">
        <v>15</v>
      </c>
      <c r="I619" s="1067" t="n">
        <f aca="false">G619*H619</f>
        <v>4710</v>
      </c>
      <c r="J619" s="1063" t="n">
        <v>25.9303</v>
      </c>
      <c r="K619" s="1172" t="n">
        <f aca="false">I619*J619</f>
        <v>122131.713</v>
      </c>
      <c r="L619" s="1355" t="n">
        <v>3889.545</v>
      </c>
      <c r="M619" s="891" t="n">
        <v>150</v>
      </c>
      <c r="N619" s="891" t="n">
        <f aca="false">M619/H619</f>
        <v>10</v>
      </c>
      <c r="O619" s="1943" t="n">
        <v>86928</v>
      </c>
      <c r="P619" s="1952" t="n">
        <f aca="false">K619-L619-L627-L626-L620-L621-L625-L622-L624-L623</f>
        <v>0</v>
      </c>
      <c r="Q619" s="1953" t="n">
        <f aca="false">I619-M619-M627-M626-M620-M621-M625-M622-M624-M623</f>
        <v>0</v>
      </c>
      <c r="R619" s="1954" t="n">
        <f aca="false">G619-N619-N627-N626-N620-N621-N625-N622-N624-N623</f>
        <v>0</v>
      </c>
    </row>
    <row r="620" customFormat="false" ht="14.25" hidden="false" customHeight="false" outlineLevel="0" collapsed="false">
      <c r="A620" s="1087"/>
      <c r="B620" s="1072"/>
      <c r="C620" s="1980"/>
      <c r="D620" s="1480" t="s">
        <v>5</v>
      </c>
      <c r="E620" s="1480" t="s">
        <v>1651</v>
      </c>
      <c r="F620" s="1072"/>
      <c r="G620" s="2017"/>
      <c r="H620" s="1067"/>
      <c r="I620" s="1067"/>
      <c r="J620" s="1063"/>
      <c r="K620" s="1172"/>
      <c r="L620" s="1521" t="n">
        <v>12446.544</v>
      </c>
      <c r="M620" s="866" t="n">
        <v>480</v>
      </c>
      <c r="N620" s="866" t="n">
        <f aca="false">M620/H619</f>
        <v>32</v>
      </c>
      <c r="O620" s="545" t="s">
        <v>3430</v>
      </c>
      <c r="P620" s="1952"/>
      <c r="Q620" s="1953"/>
      <c r="R620" s="1954"/>
    </row>
    <row r="621" customFormat="false" ht="14.25" hidden="false" customHeight="false" outlineLevel="0" collapsed="false">
      <c r="A621" s="1087"/>
      <c r="B621" s="1072"/>
      <c r="C621" s="1980"/>
      <c r="D621" s="1480" t="s">
        <v>5</v>
      </c>
      <c r="E621" s="1480" t="s">
        <v>1651</v>
      </c>
      <c r="F621" s="1072"/>
      <c r="G621" s="2017"/>
      <c r="H621" s="1067"/>
      <c r="I621" s="1067"/>
      <c r="J621" s="1063"/>
      <c r="K621" s="1172"/>
      <c r="L621" s="1521" t="n">
        <v>5445.363</v>
      </c>
      <c r="M621" s="866" t="n">
        <v>210</v>
      </c>
      <c r="N621" s="866" t="n">
        <f aca="false">M621/H619</f>
        <v>14</v>
      </c>
      <c r="O621" s="545" t="s">
        <v>3431</v>
      </c>
      <c r="P621" s="1952"/>
      <c r="Q621" s="1953"/>
      <c r="R621" s="1954"/>
    </row>
    <row r="622" customFormat="false" ht="14.25" hidden="false" customHeight="false" outlineLevel="0" collapsed="false">
      <c r="A622" s="1087"/>
      <c r="B622" s="1072"/>
      <c r="C622" s="1980"/>
      <c r="D622" s="1480" t="s">
        <v>5</v>
      </c>
      <c r="E622" s="1480" t="s">
        <v>1651</v>
      </c>
      <c r="F622" s="1072"/>
      <c r="G622" s="2017"/>
      <c r="H622" s="1067"/>
      <c r="I622" s="1067"/>
      <c r="J622" s="1063"/>
      <c r="K622" s="1172"/>
      <c r="L622" s="1521" t="n">
        <v>14002.362</v>
      </c>
      <c r="M622" s="866" t="n">
        <v>540</v>
      </c>
      <c r="N622" s="866" t="n">
        <f aca="false">M622/H619</f>
        <v>36</v>
      </c>
      <c r="O622" s="545" t="s">
        <v>3432</v>
      </c>
      <c r="P622" s="1952"/>
      <c r="Q622" s="1953"/>
      <c r="R622" s="1954"/>
    </row>
    <row r="623" customFormat="false" ht="14.25" hidden="false" customHeight="false" outlineLevel="0" collapsed="false">
      <c r="A623" s="1087"/>
      <c r="B623" s="1072"/>
      <c r="C623" s="1980"/>
      <c r="D623" s="1480" t="s">
        <v>5</v>
      </c>
      <c r="E623" s="1480" t="s">
        <v>1651</v>
      </c>
      <c r="F623" s="1072"/>
      <c r="G623" s="2017"/>
      <c r="H623" s="1067"/>
      <c r="I623" s="1067"/>
      <c r="J623" s="1063"/>
      <c r="K623" s="1172"/>
      <c r="L623" s="1521" t="n">
        <v>388.9545</v>
      </c>
      <c r="M623" s="866" t="n">
        <v>15</v>
      </c>
      <c r="N623" s="866" t="n">
        <f aca="false">M623/H619</f>
        <v>1</v>
      </c>
      <c r="O623" s="545" t="s">
        <v>1634</v>
      </c>
      <c r="P623" s="1952"/>
      <c r="Q623" s="1953"/>
      <c r="R623" s="1954"/>
    </row>
    <row r="624" customFormat="false" ht="14.25" hidden="false" customHeight="false" outlineLevel="0" collapsed="false">
      <c r="A624" s="1087"/>
      <c r="B624" s="1072"/>
      <c r="C624" s="1980"/>
      <c r="D624" s="1480" t="s">
        <v>5</v>
      </c>
      <c r="E624" s="1480" t="s">
        <v>1651</v>
      </c>
      <c r="F624" s="1072"/>
      <c r="G624" s="2017"/>
      <c r="H624" s="1067"/>
      <c r="I624" s="1067"/>
      <c r="J624" s="1063"/>
      <c r="K624" s="1172"/>
      <c r="L624" s="1521" t="n">
        <v>38506.4955</v>
      </c>
      <c r="M624" s="866" t="n">
        <v>1485</v>
      </c>
      <c r="N624" s="866" t="n">
        <f aca="false">M624/H619</f>
        <v>99</v>
      </c>
      <c r="O624" s="545" t="s">
        <v>3429</v>
      </c>
      <c r="P624" s="1952"/>
      <c r="Q624" s="1953"/>
      <c r="R624" s="1954"/>
    </row>
    <row r="625" customFormat="false" ht="14.25" hidden="false" customHeight="false" outlineLevel="0" collapsed="false">
      <c r="A625" s="1087"/>
      <c r="B625" s="1072"/>
      <c r="C625" s="1980"/>
      <c r="D625" s="1480" t="s">
        <v>5</v>
      </c>
      <c r="E625" s="1480" t="s">
        <v>1651</v>
      </c>
      <c r="F625" s="1072"/>
      <c r="G625" s="2017"/>
      <c r="H625" s="1067"/>
      <c r="I625" s="1067"/>
      <c r="J625" s="1063"/>
      <c r="K625" s="1172"/>
      <c r="L625" s="1521" t="n">
        <v>37728.5865</v>
      </c>
      <c r="M625" s="866" t="n">
        <v>1455</v>
      </c>
      <c r="N625" s="866" t="n">
        <f aca="false">M625/H619</f>
        <v>97</v>
      </c>
      <c r="O625" s="545" t="s">
        <v>3433</v>
      </c>
      <c r="P625" s="1952"/>
      <c r="Q625" s="1953"/>
      <c r="R625" s="1954"/>
    </row>
    <row r="626" customFormat="false" ht="14.25" hidden="false" customHeight="false" outlineLevel="0" collapsed="false">
      <c r="A626" s="1087"/>
      <c r="B626" s="1072"/>
      <c r="C626" s="1980"/>
      <c r="D626" s="1480" t="s">
        <v>5</v>
      </c>
      <c r="E626" s="1480" t="s">
        <v>1651</v>
      </c>
      <c r="F626" s="1072"/>
      <c r="G626" s="2017"/>
      <c r="H626" s="1067"/>
      <c r="I626" s="1067"/>
      <c r="J626" s="1063"/>
      <c r="K626" s="1172"/>
      <c r="L626" s="1521" t="n">
        <v>1944.7725</v>
      </c>
      <c r="M626" s="866" t="n">
        <v>75</v>
      </c>
      <c r="N626" s="866" t="n">
        <f aca="false">M626/H619</f>
        <v>5</v>
      </c>
      <c r="O626" s="545" t="s">
        <v>3434</v>
      </c>
      <c r="P626" s="1952"/>
      <c r="Q626" s="1953"/>
      <c r="R626" s="1954"/>
    </row>
    <row r="627" customFormat="false" ht="14.25" hidden="false" customHeight="false" outlineLevel="0" collapsed="false">
      <c r="A627" s="1087"/>
      <c r="B627" s="1072"/>
      <c r="C627" s="1980"/>
      <c r="D627" s="1357" t="s">
        <v>5</v>
      </c>
      <c r="E627" s="1357" t="s">
        <v>1651</v>
      </c>
      <c r="F627" s="1072"/>
      <c r="G627" s="2017"/>
      <c r="H627" s="1067"/>
      <c r="I627" s="1067"/>
      <c r="J627" s="1063"/>
      <c r="K627" s="1172"/>
      <c r="L627" s="1362" t="n">
        <v>7779.09</v>
      </c>
      <c r="M627" s="846" t="n">
        <v>300</v>
      </c>
      <c r="N627" s="846" t="n">
        <v>20</v>
      </c>
      <c r="O627" s="1936" t="s">
        <v>3435</v>
      </c>
      <c r="P627" s="1952"/>
      <c r="Q627" s="1953"/>
      <c r="R627" s="1954"/>
    </row>
    <row r="628" customFormat="false" ht="14.25" hidden="false" customHeight="false" outlineLevel="0" collapsed="false">
      <c r="A628" s="847" t="n">
        <v>172</v>
      </c>
      <c r="B628" s="1396" t="n">
        <v>2024</v>
      </c>
      <c r="C628" s="1966" t="n">
        <v>45778</v>
      </c>
      <c r="D628" s="1479" t="s">
        <v>5</v>
      </c>
      <c r="E628" s="1479" t="s">
        <v>1651</v>
      </c>
      <c r="F628" s="848" t="s">
        <v>3364</v>
      </c>
      <c r="G628" s="2018" t="n">
        <v>4</v>
      </c>
      <c r="H628" s="537" t="n">
        <v>15</v>
      </c>
      <c r="I628" s="1380" t="n">
        <f aca="false">G628*H628</f>
        <v>60</v>
      </c>
      <c r="J628" s="1544" t="n">
        <v>28.5939</v>
      </c>
      <c r="K628" s="1678" t="n">
        <f aca="false">I628*J628</f>
        <v>1715.634</v>
      </c>
      <c r="L628" s="1380" t="n">
        <v>1715.634</v>
      </c>
      <c r="M628" s="854" t="n">
        <v>60</v>
      </c>
      <c r="N628" s="854" t="n">
        <f aca="false">M628/H628</f>
        <v>4</v>
      </c>
      <c r="O628" s="580" t="n">
        <v>86944</v>
      </c>
      <c r="P628" s="1969" t="n">
        <f aca="false">K628-L628</f>
        <v>0</v>
      </c>
      <c r="Q628" s="2027" t="n">
        <f aca="false">I628-M628</f>
        <v>0</v>
      </c>
      <c r="R628" s="2027" t="n">
        <f aca="false">G628-N628</f>
        <v>0</v>
      </c>
    </row>
    <row r="629" customFormat="false" ht="14.25" hidden="false" customHeight="false" outlineLevel="0" collapsed="false">
      <c r="A629" s="870" t="n">
        <v>173</v>
      </c>
      <c r="B629" s="1495" t="n">
        <v>2024</v>
      </c>
      <c r="C629" s="1972" t="n">
        <v>45809</v>
      </c>
      <c r="D629" s="1478" t="s">
        <v>5</v>
      </c>
      <c r="E629" s="1478" t="s">
        <v>1651</v>
      </c>
      <c r="F629" s="871" t="s">
        <v>3367</v>
      </c>
      <c r="G629" s="2024" t="n">
        <v>100</v>
      </c>
      <c r="H629" s="553" t="n">
        <v>10</v>
      </c>
      <c r="I629" s="1587" t="n">
        <f aca="false">G629*H629</f>
        <v>1000</v>
      </c>
      <c r="J629" s="1542" t="n">
        <v>28.5939</v>
      </c>
      <c r="K629" s="1680" t="n">
        <f aca="false">I629*J629</f>
        <v>28593.9</v>
      </c>
      <c r="L629" s="1587" t="n">
        <v>28593.9</v>
      </c>
      <c r="M629" s="877" t="n">
        <v>1000</v>
      </c>
      <c r="N629" s="891" t="n">
        <f aca="false">M629/H629</f>
        <v>100</v>
      </c>
      <c r="O629" s="584" t="n">
        <v>86954</v>
      </c>
      <c r="P629" s="2028" t="n">
        <f aca="false">K629-L629</f>
        <v>0</v>
      </c>
      <c r="Q629" s="2029" t="n">
        <f aca="false">I629-M629</f>
        <v>0</v>
      </c>
      <c r="R629" s="2029" t="n">
        <f aca="false">G629-N629</f>
        <v>0</v>
      </c>
    </row>
    <row r="630" customFormat="false" ht="14.25" hidden="false" customHeight="false" outlineLevel="0" collapsed="false">
      <c r="A630" s="829" t="n">
        <v>174</v>
      </c>
      <c r="B630" s="830" t="n">
        <v>2024</v>
      </c>
      <c r="C630" s="1965" t="n">
        <v>45809</v>
      </c>
      <c r="D630" s="1365" t="s">
        <v>5</v>
      </c>
      <c r="E630" s="1365" t="s">
        <v>1651</v>
      </c>
      <c r="F630" s="832" t="s">
        <v>3364</v>
      </c>
      <c r="G630" s="2010" t="n">
        <v>107</v>
      </c>
      <c r="H630" s="837" t="n">
        <v>10</v>
      </c>
      <c r="I630" s="837" t="n">
        <f aca="false">G630*H630</f>
        <v>1070</v>
      </c>
      <c r="J630" s="1059" t="n">
        <v>28.5939</v>
      </c>
      <c r="K630" s="1017" t="n">
        <f aca="false">I630*J630</f>
        <v>30595.473</v>
      </c>
      <c r="L630" s="1369" t="n">
        <v>28593.9</v>
      </c>
      <c r="M630" s="840" t="n">
        <v>1000</v>
      </c>
      <c r="N630" s="840" t="n">
        <f aca="false">M630/H630</f>
        <v>100</v>
      </c>
      <c r="O630" s="578" t="n">
        <v>86959</v>
      </c>
      <c r="P630" s="1937" t="n">
        <f aca="false">K630-L630-L631</f>
        <v>0</v>
      </c>
      <c r="Q630" s="1934" t="n">
        <f aca="false">I630-M630-M631</f>
        <v>0</v>
      </c>
      <c r="R630" s="1935" t="n">
        <f aca="false">G630-N630-N631</f>
        <v>0</v>
      </c>
    </row>
    <row r="631" customFormat="false" ht="14.25" hidden="false" customHeight="false" outlineLevel="0" collapsed="false">
      <c r="A631" s="829"/>
      <c r="B631" s="830"/>
      <c r="C631" s="1965"/>
      <c r="D631" s="1357" t="s">
        <v>5</v>
      </c>
      <c r="E631" s="1357" t="s">
        <v>1651</v>
      </c>
      <c r="F631" s="832"/>
      <c r="G631" s="2010"/>
      <c r="H631" s="837"/>
      <c r="I631" s="837"/>
      <c r="J631" s="1059"/>
      <c r="K631" s="1017"/>
      <c r="L631" s="1362" t="n">
        <v>2001.573</v>
      </c>
      <c r="M631" s="846" t="n">
        <v>70</v>
      </c>
      <c r="N631" s="846" t="n">
        <f aca="false">M631/H630</f>
        <v>7</v>
      </c>
      <c r="O631" s="1936" t="s">
        <v>373</v>
      </c>
      <c r="P631" s="1937"/>
      <c r="Q631" s="1934"/>
      <c r="R631" s="1935"/>
    </row>
    <row r="632" customFormat="false" ht="14.25" hidden="false" customHeight="false" outlineLevel="0" collapsed="false">
      <c r="A632" s="1087" t="n">
        <v>181</v>
      </c>
      <c r="B632" s="1072" t="n">
        <v>2024</v>
      </c>
      <c r="C632" s="1980" t="n">
        <v>45809</v>
      </c>
      <c r="D632" s="1479" t="s">
        <v>5</v>
      </c>
      <c r="E632" s="1479" t="s">
        <v>1651</v>
      </c>
      <c r="F632" s="887" t="s">
        <v>3364</v>
      </c>
      <c r="G632" s="2017" t="n">
        <v>540</v>
      </c>
      <c r="H632" s="1067" t="n">
        <v>15</v>
      </c>
      <c r="I632" s="1067" t="n">
        <f aca="false">G632*H632</f>
        <v>8100</v>
      </c>
      <c r="J632" s="1063" t="n">
        <v>29.4107</v>
      </c>
      <c r="K632" s="1172" t="n">
        <f aca="false">I632*J632</f>
        <v>238226.67</v>
      </c>
      <c r="L632" s="1355" t="n">
        <v>1323.4815</v>
      </c>
      <c r="M632" s="891" t="n">
        <v>45</v>
      </c>
      <c r="N632" s="891" t="n">
        <f aca="false">M632/H632</f>
        <v>3</v>
      </c>
      <c r="O632" s="1943" t="n">
        <v>86948</v>
      </c>
      <c r="P632" s="1953" t="n">
        <f aca="false">K632-L632-L647-L646-L633-L634-L645-L635-L644-L636-L643-L637-L638-L642-L639-L640-L641</f>
        <v>2646.96310000001</v>
      </c>
      <c r="Q632" s="1953" t="n">
        <f aca="false">I632-M632-M647-M646-M633-M634-M645-M635-M644-M636-M643-M637-M638-M642-M639-M640-M641</f>
        <v>90</v>
      </c>
      <c r="R632" s="1954" t="n">
        <f aca="false">G632-N632-N647-N646-N633-N634-N645-N635-N644-N636-N643-N637-N638-N642-N639-N640-N641</f>
        <v>6</v>
      </c>
    </row>
    <row r="633" customFormat="false" ht="14.25" hidden="false" customHeight="false" outlineLevel="0" collapsed="false">
      <c r="A633" s="1087"/>
      <c r="B633" s="1072"/>
      <c r="C633" s="1980"/>
      <c r="D633" s="1480" t="s">
        <v>5</v>
      </c>
      <c r="E633" s="1480" t="s">
        <v>1651</v>
      </c>
      <c r="F633" s="887"/>
      <c r="G633" s="2017"/>
      <c r="H633" s="1067"/>
      <c r="I633" s="1067"/>
      <c r="J633" s="1063"/>
      <c r="K633" s="1172"/>
      <c r="L633" s="1521" t="n">
        <v>59115.507</v>
      </c>
      <c r="M633" s="866" t="n">
        <v>2010</v>
      </c>
      <c r="N633" s="866" t="n">
        <f aca="false">M633/H632</f>
        <v>134</v>
      </c>
      <c r="O633" s="545" t="s">
        <v>375</v>
      </c>
      <c r="P633" s="1953"/>
      <c r="Q633" s="1953"/>
      <c r="R633" s="1954"/>
    </row>
    <row r="634" customFormat="false" ht="14.25" hidden="false" customHeight="false" outlineLevel="0" collapsed="false">
      <c r="A634" s="1087"/>
      <c r="B634" s="1072"/>
      <c r="C634" s="1980"/>
      <c r="D634" s="1480" t="s">
        <v>5</v>
      </c>
      <c r="E634" s="1480" t="s">
        <v>1651</v>
      </c>
      <c r="F634" s="887"/>
      <c r="G634" s="2017"/>
      <c r="H634" s="1067"/>
      <c r="I634" s="1067"/>
      <c r="J634" s="1063"/>
      <c r="K634" s="1172"/>
      <c r="L634" s="1521" t="n">
        <v>3088.1235</v>
      </c>
      <c r="M634" s="866" t="n">
        <v>105</v>
      </c>
      <c r="N634" s="866" t="n">
        <f aca="false">M634/H632</f>
        <v>7</v>
      </c>
      <c r="O634" s="545" t="s">
        <v>381</v>
      </c>
      <c r="P634" s="1953"/>
      <c r="Q634" s="1953"/>
      <c r="R634" s="1954"/>
    </row>
    <row r="635" customFormat="false" ht="14.25" hidden="false" customHeight="false" outlineLevel="0" collapsed="false">
      <c r="A635" s="1087"/>
      <c r="B635" s="1072"/>
      <c r="C635" s="1980"/>
      <c r="D635" s="1480" t="s">
        <v>5</v>
      </c>
      <c r="E635" s="1480" t="s">
        <v>1651</v>
      </c>
      <c r="F635" s="887"/>
      <c r="G635" s="2017"/>
      <c r="H635" s="1067"/>
      <c r="I635" s="1067"/>
      <c r="J635" s="1063"/>
      <c r="K635" s="1172"/>
      <c r="L635" s="1521" t="n">
        <v>97055.31</v>
      </c>
      <c r="M635" s="866" t="n">
        <v>3300</v>
      </c>
      <c r="N635" s="866" t="n">
        <f aca="false">M635/H632</f>
        <v>220</v>
      </c>
      <c r="O635" s="545" t="s">
        <v>385</v>
      </c>
      <c r="P635" s="1953"/>
      <c r="Q635" s="1953"/>
      <c r="R635" s="1954"/>
    </row>
    <row r="636" customFormat="false" ht="14.25" hidden="false" customHeight="false" outlineLevel="0" collapsed="false">
      <c r="A636" s="1087"/>
      <c r="B636" s="1072"/>
      <c r="C636" s="1980"/>
      <c r="D636" s="1480" t="s">
        <v>5</v>
      </c>
      <c r="E636" s="1480" t="s">
        <v>1651</v>
      </c>
      <c r="F636" s="887"/>
      <c r="G636" s="2017"/>
      <c r="H636" s="1067"/>
      <c r="I636" s="1067"/>
      <c r="J636" s="1063"/>
      <c r="K636" s="1172"/>
      <c r="L636" s="1521" t="n">
        <v>20734.5435</v>
      </c>
      <c r="M636" s="866" t="n">
        <v>705</v>
      </c>
      <c r="N636" s="866" t="n">
        <f aca="false">M636/H632</f>
        <v>47</v>
      </c>
      <c r="O636" s="545" t="s">
        <v>3436</v>
      </c>
      <c r="P636" s="1953"/>
      <c r="Q636" s="1953"/>
      <c r="R636" s="1954"/>
    </row>
    <row r="637" customFormat="false" ht="14.25" hidden="false" customHeight="false" outlineLevel="0" collapsed="false">
      <c r="A637" s="1087"/>
      <c r="B637" s="1072"/>
      <c r="C637" s="1980"/>
      <c r="D637" s="1480" t="s">
        <v>5</v>
      </c>
      <c r="E637" s="1480" t="s">
        <v>1651</v>
      </c>
      <c r="F637" s="887"/>
      <c r="G637" s="2017"/>
      <c r="H637" s="1067"/>
      <c r="I637" s="1067"/>
      <c r="J637" s="1063"/>
      <c r="K637" s="1172"/>
      <c r="L637" s="1521" t="n">
        <v>22058.025</v>
      </c>
      <c r="M637" s="866" t="n">
        <v>750</v>
      </c>
      <c r="N637" s="866" t="n">
        <f aca="false">M637/H632</f>
        <v>50</v>
      </c>
      <c r="O637" s="545" t="s">
        <v>1036</v>
      </c>
      <c r="P637" s="1953"/>
      <c r="Q637" s="1953"/>
      <c r="R637" s="1954"/>
    </row>
    <row r="638" customFormat="false" ht="14.25" hidden="false" customHeight="false" outlineLevel="0" collapsed="false">
      <c r="A638" s="1087"/>
      <c r="B638" s="1072"/>
      <c r="C638" s="1980"/>
      <c r="D638" s="1480" t="s">
        <v>5</v>
      </c>
      <c r="E638" s="1480" t="s">
        <v>1651</v>
      </c>
      <c r="F638" s="887"/>
      <c r="G638" s="2017"/>
      <c r="H638" s="1067"/>
      <c r="I638" s="1067"/>
      <c r="J638" s="1063"/>
      <c r="K638" s="1172"/>
      <c r="L638" s="1521" t="n">
        <v>3529.284</v>
      </c>
      <c r="M638" s="866" t="n">
        <v>120</v>
      </c>
      <c r="N638" s="866" t="n">
        <f aca="false">M638/H632</f>
        <v>8</v>
      </c>
      <c r="O638" s="545" t="s">
        <v>1111</v>
      </c>
      <c r="P638" s="1953"/>
      <c r="Q638" s="1953"/>
      <c r="R638" s="1954"/>
    </row>
    <row r="639" customFormat="false" ht="14.25" hidden="false" customHeight="false" outlineLevel="0" collapsed="false">
      <c r="A639" s="1087"/>
      <c r="B639" s="1072"/>
      <c r="C639" s="1980"/>
      <c r="D639" s="1480" t="s">
        <v>5</v>
      </c>
      <c r="E639" s="1480" t="s">
        <v>1651</v>
      </c>
      <c r="F639" s="887"/>
      <c r="G639" s="2017"/>
      <c r="H639" s="1067"/>
      <c r="I639" s="1067"/>
      <c r="J639" s="1063"/>
      <c r="K639" s="1172"/>
      <c r="L639" s="1521" t="n">
        <v>3088.1234</v>
      </c>
      <c r="M639" s="866" t="n">
        <v>105</v>
      </c>
      <c r="N639" s="866" t="n">
        <f aca="false">M639/H632</f>
        <v>7</v>
      </c>
      <c r="O639" s="545" t="s">
        <v>1151</v>
      </c>
      <c r="P639" s="1953"/>
      <c r="Q639" s="1953"/>
      <c r="R639" s="1954"/>
    </row>
    <row r="640" customFormat="false" ht="14.25" hidden="false" customHeight="false" outlineLevel="0" collapsed="false">
      <c r="A640" s="1087"/>
      <c r="B640" s="1072"/>
      <c r="C640" s="1980"/>
      <c r="D640" s="1480" t="s">
        <v>5</v>
      </c>
      <c r="E640" s="1480" t="s">
        <v>1651</v>
      </c>
      <c r="F640" s="887"/>
      <c r="G640" s="2017"/>
      <c r="H640" s="1067"/>
      <c r="I640" s="1067"/>
      <c r="J640" s="1063"/>
      <c r="K640" s="1172"/>
      <c r="L640" s="1521" t="n">
        <v>-33969.3585</v>
      </c>
      <c r="M640" s="866" t="n">
        <v>-1155</v>
      </c>
      <c r="N640" s="866" t="n">
        <f aca="false">M640/H632</f>
        <v>-77</v>
      </c>
      <c r="O640" s="545" t="s">
        <v>1634</v>
      </c>
      <c r="P640" s="1953"/>
      <c r="Q640" s="1953"/>
      <c r="R640" s="1954"/>
    </row>
    <row r="641" customFormat="false" ht="14.25" hidden="false" customHeight="false" outlineLevel="0" collapsed="false">
      <c r="A641" s="1087"/>
      <c r="B641" s="1072"/>
      <c r="C641" s="1980"/>
      <c r="D641" s="1480" t="s">
        <v>5</v>
      </c>
      <c r="E641" s="1480" t="s">
        <v>1651</v>
      </c>
      <c r="F641" s="887"/>
      <c r="G641" s="2017"/>
      <c r="H641" s="1067"/>
      <c r="I641" s="1067"/>
      <c r="J641" s="1063"/>
      <c r="K641" s="1172"/>
      <c r="L641" s="1521" t="n">
        <v>441.1605</v>
      </c>
      <c r="M641" s="866" t="n">
        <v>15</v>
      </c>
      <c r="N641" s="866" t="n">
        <f aca="false">M641/H632</f>
        <v>1</v>
      </c>
      <c r="O641" s="545" t="s">
        <v>1375</v>
      </c>
      <c r="P641" s="1953"/>
      <c r="Q641" s="1953"/>
      <c r="R641" s="1954"/>
    </row>
    <row r="642" customFormat="false" ht="14.25" hidden="false" customHeight="false" outlineLevel="0" collapsed="false">
      <c r="A642" s="1087"/>
      <c r="B642" s="1072"/>
      <c r="C642" s="1980"/>
      <c r="D642" s="1480" t="s">
        <v>5</v>
      </c>
      <c r="E642" s="1480" t="s">
        <v>1651</v>
      </c>
      <c r="F642" s="887"/>
      <c r="G642" s="2017"/>
      <c r="H642" s="1067"/>
      <c r="I642" s="1067"/>
      <c r="J642" s="1063"/>
      <c r="K642" s="1172"/>
      <c r="L642" s="1521" t="n">
        <v>441.1605</v>
      </c>
      <c r="M642" s="866" t="n">
        <v>15</v>
      </c>
      <c r="N642" s="866" t="n">
        <f aca="false">M642/H632</f>
        <v>1</v>
      </c>
      <c r="O642" s="545" t="s">
        <v>1160</v>
      </c>
      <c r="P642" s="1953"/>
      <c r="Q642" s="1953"/>
      <c r="R642" s="1954"/>
    </row>
    <row r="643" customFormat="false" ht="14.25" hidden="false" customHeight="false" outlineLevel="0" collapsed="false">
      <c r="A643" s="1087"/>
      <c r="B643" s="1072"/>
      <c r="C643" s="1980"/>
      <c r="D643" s="1480" t="s">
        <v>5</v>
      </c>
      <c r="E643" s="1480" t="s">
        <v>1651</v>
      </c>
      <c r="F643" s="887"/>
      <c r="G643" s="2017"/>
      <c r="H643" s="1067"/>
      <c r="I643" s="1067"/>
      <c r="J643" s="1063"/>
      <c r="K643" s="1172"/>
      <c r="L643" s="1521" t="n">
        <v>1764.642</v>
      </c>
      <c r="M643" s="866" t="n">
        <v>60</v>
      </c>
      <c r="N643" s="866" t="n">
        <f aca="false">M643/H632</f>
        <v>4</v>
      </c>
      <c r="O643" s="545" t="s">
        <v>1005</v>
      </c>
      <c r="P643" s="1953"/>
      <c r="Q643" s="1953"/>
      <c r="R643" s="1954"/>
    </row>
    <row r="644" customFormat="false" ht="14.25" hidden="false" customHeight="false" outlineLevel="0" collapsed="false">
      <c r="A644" s="1087"/>
      <c r="B644" s="1072"/>
      <c r="C644" s="1980"/>
      <c r="D644" s="1480" t="s">
        <v>5</v>
      </c>
      <c r="E644" s="1480" t="s">
        <v>1651</v>
      </c>
      <c r="F644" s="887"/>
      <c r="G644" s="2017"/>
      <c r="H644" s="1067"/>
      <c r="I644" s="1067"/>
      <c r="J644" s="1063"/>
      <c r="K644" s="1172"/>
      <c r="L644" s="1521" t="n">
        <v>9705.531</v>
      </c>
      <c r="M644" s="866" t="n">
        <v>330</v>
      </c>
      <c r="N644" s="866" t="n">
        <f aca="false">M644/H632</f>
        <v>22</v>
      </c>
      <c r="O644" s="545" t="s">
        <v>386</v>
      </c>
      <c r="P644" s="1953"/>
      <c r="Q644" s="1953"/>
      <c r="R644" s="1954"/>
    </row>
    <row r="645" customFormat="false" ht="14.25" hidden="false" customHeight="false" outlineLevel="0" collapsed="false">
      <c r="A645" s="1087"/>
      <c r="B645" s="1072"/>
      <c r="C645" s="1980"/>
      <c r="D645" s="1480" t="s">
        <v>5</v>
      </c>
      <c r="E645" s="1480" t="s">
        <v>1651</v>
      </c>
      <c r="F645" s="887"/>
      <c r="G645" s="2017"/>
      <c r="H645" s="1067"/>
      <c r="I645" s="1067"/>
      <c r="J645" s="1063"/>
      <c r="K645" s="1172"/>
      <c r="L645" s="1521" t="n">
        <v>6176.247</v>
      </c>
      <c r="M645" s="866" t="n">
        <v>210</v>
      </c>
      <c r="N645" s="866" t="n">
        <f aca="false">M645/H632</f>
        <v>14</v>
      </c>
      <c r="O645" s="545" t="s">
        <v>384</v>
      </c>
      <c r="P645" s="1953"/>
      <c r="Q645" s="1953"/>
      <c r="R645" s="1954"/>
    </row>
    <row r="646" customFormat="false" ht="14.25" hidden="false" customHeight="false" outlineLevel="0" collapsed="false">
      <c r="A646" s="1087"/>
      <c r="B646" s="1072"/>
      <c r="C646" s="1980"/>
      <c r="D646" s="1480" t="s">
        <v>5</v>
      </c>
      <c r="E646" s="1480" t="s">
        <v>1651</v>
      </c>
      <c r="F646" s="887"/>
      <c r="G646" s="2017"/>
      <c r="H646" s="1067"/>
      <c r="I646" s="1067"/>
      <c r="J646" s="1063"/>
      <c r="K646" s="1172"/>
      <c r="L646" s="1521" t="n">
        <v>32204.7165</v>
      </c>
      <c r="M646" s="866" t="n">
        <v>1095</v>
      </c>
      <c r="N646" s="866" t="n">
        <f aca="false">M646/H632</f>
        <v>73</v>
      </c>
      <c r="O646" s="545" t="s">
        <v>366</v>
      </c>
      <c r="P646" s="1953"/>
      <c r="Q646" s="1953"/>
      <c r="R646" s="1954"/>
    </row>
    <row r="647" customFormat="false" ht="14.25" hidden="false" customHeight="false" outlineLevel="0" collapsed="false">
      <c r="A647" s="1087"/>
      <c r="B647" s="1072"/>
      <c r="C647" s="1980"/>
      <c r="D647" s="1357" t="s">
        <v>5</v>
      </c>
      <c r="E647" s="1357" t="s">
        <v>1651</v>
      </c>
      <c r="F647" s="887"/>
      <c r="G647" s="2017"/>
      <c r="H647" s="1067"/>
      <c r="I647" s="1067"/>
      <c r="J647" s="1063"/>
      <c r="K647" s="1172"/>
      <c r="L647" s="1382" t="n">
        <v>8823.21</v>
      </c>
      <c r="M647" s="890" t="n">
        <v>300</v>
      </c>
      <c r="N647" s="890" t="n">
        <f aca="false">M647/H632</f>
        <v>20</v>
      </c>
      <c r="O647" s="1938" t="s">
        <v>363</v>
      </c>
      <c r="P647" s="1953"/>
      <c r="Q647" s="1953"/>
      <c r="R647" s="1954"/>
    </row>
    <row r="648" customFormat="false" ht="14.25" hidden="false" customHeight="false" outlineLevel="0" collapsed="false">
      <c r="A648" s="829" t="n">
        <v>182</v>
      </c>
      <c r="B648" s="830" t="n">
        <v>2024</v>
      </c>
      <c r="C648" s="1965" t="n">
        <v>45809</v>
      </c>
      <c r="D648" s="1365" t="s">
        <v>5</v>
      </c>
      <c r="E648" s="1365" t="s">
        <v>1651</v>
      </c>
      <c r="F648" s="832" t="s">
        <v>3367</v>
      </c>
      <c r="G648" s="2010" t="n">
        <v>119</v>
      </c>
      <c r="H648" s="837" t="n">
        <v>15</v>
      </c>
      <c r="I648" s="837" t="n">
        <f aca="false">G648*H648</f>
        <v>1785</v>
      </c>
      <c r="J648" s="1059" t="n">
        <v>27.8783</v>
      </c>
      <c r="K648" s="943" t="n">
        <f aca="false">I648*J648</f>
        <v>49762.7655</v>
      </c>
      <c r="L648" s="1369" t="n">
        <v>6272.6175</v>
      </c>
      <c r="M648" s="840" t="n">
        <v>225</v>
      </c>
      <c r="N648" s="840" t="n">
        <f aca="false">M648/H648</f>
        <v>15</v>
      </c>
      <c r="O648" s="578" t="s">
        <v>367</v>
      </c>
      <c r="P648" s="1948" t="n">
        <f aca="false">K648-L648-L649</f>
        <v>0</v>
      </c>
      <c r="Q648" s="1934" t="n">
        <f aca="false">I648-M648-M649</f>
        <v>0</v>
      </c>
      <c r="R648" s="1935" t="n">
        <f aca="false">G648-N648-N649</f>
        <v>0</v>
      </c>
    </row>
    <row r="649" customFormat="false" ht="14.25" hidden="false" customHeight="false" outlineLevel="0" collapsed="false">
      <c r="A649" s="829"/>
      <c r="B649" s="830"/>
      <c r="C649" s="1965"/>
      <c r="D649" s="1501" t="s">
        <v>5</v>
      </c>
      <c r="E649" s="1501" t="s">
        <v>1651</v>
      </c>
      <c r="F649" s="832"/>
      <c r="G649" s="2010"/>
      <c r="H649" s="837"/>
      <c r="I649" s="837"/>
      <c r="J649" s="1059"/>
      <c r="K649" s="943"/>
      <c r="L649" s="1381" t="n">
        <v>43490.148</v>
      </c>
      <c r="M649" s="890" t="n">
        <v>1560</v>
      </c>
      <c r="N649" s="890" t="n">
        <f aca="false">M649/H648</f>
        <v>104</v>
      </c>
      <c r="O649" s="1938" t="s">
        <v>398</v>
      </c>
      <c r="P649" s="1948"/>
      <c r="Q649" s="1934"/>
      <c r="R649" s="1935"/>
    </row>
    <row r="650" customFormat="false" ht="14.25" hidden="false" customHeight="false" outlineLevel="0" collapsed="false">
      <c r="A650" s="847" t="n">
        <v>200</v>
      </c>
      <c r="B650" s="1396" t="n">
        <v>2024</v>
      </c>
      <c r="C650" s="1966" t="n">
        <v>45809</v>
      </c>
      <c r="D650" s="1479" t="s">
        <v>5</v>
      </c>
      <c r="E650" s="1479" t="s">
        <v>1651</v>
      </c>
      <c r="F650" s="848" t="s">
        <v>3367</v>
      </c>
      <c r="G650" s="2018" t="n">
        <v>150</v>
      </c>
      <c r="H650" s="537" t="n">
        <v>10</v>
      </c>
      <c r="I650" s="1380" t="n">
        <f aca="false">G650*H650</f>
        <v>1500</v>
      </c>
      <c r="J650" s="1544" t="n">
        <v>28.657</v>
      </c>
      <c r="K650" s="1968" t="n">
        <f aca="false">I650*J650</f>
        <v>42985.5</v>
      </c>
      <c r="L650" s="1380" t="n">
        <v>42985.5</v>
      </c>
      <c r="M650" s="854" t="n">
        <v>1500</v>
      </c>
      <c r="N650" s="854" t="n">
        <f aca="false">M650/H650</f>
        <v>150</v>
      </c>
      <c r="O650" s="580" t="n">
        <v>86957</v>
      </c>
      <c r="P650" s="1983" t="n">
        <f aca="false">K650-L650</f>
        <v>0</v>
      </c>
      <c r="Q650" s="2027" t="n">
        <f aca="false">I650-M650</f>
        <v>0</v>
      </c>
      <c r="R650" s="2027" t="n">
        <f aca="false">G650-N650</f>
        <v>0</v>
      </c>
    </row>
    <row r="651" customFormat="false" ht="14.25" hidden="false" customHeight="false" outlineLevel="0" collapsed="false">
      <c r="A651" s="859" t="n">
        <v>201</v>
      </c>
      <c r="B651" s="2020" t="n">
        <v>2024</v>
      </c>
      <c r="C651" s="1990" t="n">
        <v>45809</v>
      </c>
      <c r="D651" s="1480" t="s">
        <v>5</v>
      </c>
      <c r="E651" s="1480" t="s">
        <v>1651</v>
      </c>
      <c r="F651" s="860" t="s">
        <v>3374</v>
      </c>
      <c r="G651" s="2021" t="n">
        <v>30</v>
      </c>
      <c r="H651" s="543" t="n">
        <v>10</v>
      </c>
      <c r="I651" s="1521" t="n">
        <f aca="false">G651*H651</f>
        <v>300</v>
      </c>
      <c r="J651" s="1585" t="n">
        <v>28.657</v>
      </c>
      <c r="K651" s="1992" t="n">
        <f aca="false">I651*J651</f>
        <v>8597.1</v>
      </c>
      <c r="L651" s="1521" t="n">
        <v>8597.1</v>
      </c>
      <c r="M651" s="866" t="n">
        <v>300</v>
      </c>
      <c r="N651" s="854" t="n">
        <f aca="false">M651/H651</f>
        <v>30</v>
      </c>
      <c r="O651" s="545" t="n">
        <v>86953</v>
      </c>
      <c r="P651" s="2030" t="n">
        <f aca="false">K651-L651</f>
        <v>0</v>
      </c>
      <c r="Q651" s="2031" t="n">
        <f aca="false">I651-M651</f>
        <v>0</v>
      </c>
      <c r="R651" s="2031" t="n">
        <f aca="false">G651-N651</f>
        <v>0</v>
      </c>
    </row>
    <row r="652" customFormat="false" ht="14.25" hidden="false" customHeight="false" outlineLevel="0" collapsed="false">
      <c r="A652" s="859" t="n">
        <v>203</v>
      </c>
      <c r="B652" s="2020" t="n">
        <v>2024</v>
      </c>
      <c r="C652" s="1990" t="n">
        <v>45839</v>
      </c>
      <c r="D652" s="1480" t="s">
        <v>5</v>
      </c>
      <c r="E652" s="1480" t="s">
        <v>1651</v>
      </c>
      <c r="F652" s="860" t="s">
        <v>3364</v>
      </c>
      <c r="G652" s="2021" t="n">
        <v>200</v>
      </c>
      <c r="H652" s="543" t="n">
        <v>10</v>
      </c>
      <c r="I652" s="1521" t="n">
        <f aca="false">G652*H652</f>
        <v>2000</v>
      </c>
      <c r="J652" s="1585" t="n">
        <v>28.1709</v>
      </c>
      <c r="K652" s="1992" t="n">
        <f aca="false">I652*J652</f>
        <v>56341.8</v>
      </c>
      <c r="L652" s="1521" t="n">
        <v>56341.8</v>
      </c>
      <c r="M652" s="866" t="n">
        <v>2000</v>
      </c>
      <c r="N652" s="854" t="n">
        <f aca="false">M652/H652</f>
        <v>200</v>
      </c>
      <c r="O652" s="545" t="s">
        <v>364</v>
      </c>
      <c r="P652" s="2030" t="n">
        <f aca="false">K652-L652</f>
        <v>0</v>
      </c>
      <c r="Q652" s="2031" t="n">
        <f aca="false">I652-M652</f>
        <v>0</v>
      </c>
      <c r="R652" s="2031" t="n">
        <f aca="false">G652-N652</f>
        <v>0</v>
      </c>
    </row>
    <row r="653" customFormat="false" ht="14.25" hidden="false" customHeight="false" outlineLevel="0" collapsed="false">
      <c r="A653" s="870" t="n">
        <v>204</v>
      </c>
      <c r="B653" s="1495" t="n">
        <v>2024</v>
      </c>
      <c r="C653" s="1972" t="n">
        <v>45839</v>
      </c>
      <c r="D653" s="1478" t="s">
        <v>5</v>
      </c>
      <c r="E653" s="1478" t="s">
        <v>1651</v>
      </c>
      <c r="F653" s="871" t="s">
        <v>3367</v>
      </c>
      <c r="G653" s="2024" t="n">
        <v>216</v>
      </c>
      <c r="H653" s="553" t="n">
        <v>15</v>
      </c>
      <c r="I653" s="1587" t="n">
        <f aca="false">G653*H653</f>
        <v>3240</v>
      </c>
      <c r="J653" s="1542" t="n">
        <v>28.31</v>
      </c>
      <c r="K653" s="1958" t="n">
        <f aca="false">I653*J653</f>
        <v>91724.4</v>
      </c>
      <c r="L653" s="1587" t="n">
        <v>91724.4</v>
      </c>
      <c r="M653" s="877" t="n">
        <v>3240</v>
      </c>
      <c r="N653" s="891" t="n">
        <f aca="false">M653/H653</f>
        <v>216</v>
      </c>
      <c r="O653" s="584" t="s">
        <v>393</v>
      </c>
      <c r="P653" s="1959" t="n">
        <f aca="false">K653-L653</f>
        <v>0</v>
      </c>
      <c r="Q653" s="2029" t="n">
        <f aca="false">I653-M653</f>
        <v>0</v>
      </c>
      <c r="R653" s="2029" t="n">
        <f aca="false">G653-N653</f>
        <v>0</v>
      </c>
    </row>
    <row r="654" customFormat="false" ht="14.25" hidden="false" customHeight="false" outlineLevel="0" collapsed="false">
      <c r="A654" s="829" t="n">
        <v>221</v>
      </c>
      <c r="B654" s="830" t="n">
        <v>2024</v>
      </c>
      <c r="C654" s="1965" t="n">
        <v>45839</v>
      </c>
      <c r="D654" s="1365" t="s">
        <v>5</v>
      </c>
      <c r="E654" s="1365" t="s">
        <v>1651</v>
      </c>
      <c r="F654" s="832" t="s">
        <v>3364</v>
      </c>
      <c r="G654" s="2010" t="n">
        <v>123</v>
      </c>
      <c r="H654" s="837" t="n">
        <v>10</v>
      </c>
      <c r="I654" s="837" t="n">
        <f aca="false">G654*H654</f>
        <v>1230</v>
      </c>
      <c r="J654" s="1059" t="n">
        <v>30.2027</v>
      </c>
      <c r="K654" s="943" t="n">
        <f aca="false">I654*J654</f>
        <v>37149.321</v>
      </c>
      <c r="L654" s="1665" t="n">
        <v>604.054</v>
      </c>
      <c r="M654" s="886" t="n">
        <v>20</v>
      </c>
      <c r="N654" s="886" t="n">
        <f aca="false">M654/H654</f>
        <v>2</v>
      </c>
      <c r="O654" s="1595" t="s">
        <v>704</v>
      </c>
      <c r="P654" s="1934" t="n">
        <f aca="false">K654-L654-L657-L656-L655</f>
        <v>5.91171556152403E-012</v>
      </c>
      <c r="Q654" s="1934" t="n">
        <f aca="false">I654-M654-M657-M656-M655</f>
        <v>0</v>
      </c>
      <c r="R654" s="1935" t="n">
        <f aca="false">G654-N654-N657-N656-N655</f>
        <v>0</v>
      </c>
    </row>
    <row r="655" customFormat="false" ht="14.25" hidden="false" customHeight="false" outlineLevel="0" collapsed="false">
      <c r="A655" s="829"/>
      <c r="B655" s="830"/>
      <c r="C655" s="1965"/>
      <c r="D655" s="1480" t="s">
        <v>5</v>
      </c>
      <c r="E655" s="1480" t="s">
        <v>1651</v>
      </c>
      <c r="F655" s="832"/>
      <c r="G655" s="2010"/>
      <c r="H655" s="837"/>
      <c r="I655" s="837"/>
      <c r="J655" s="1059"/>
      <c r="K655" s="943"/>
      <c r="L655" s="1521" t="n">
        <v>2114.189</v>
      </c>
      <c r="M655" s="866" t="n">
        <v>70</v>
      </c>
      <c r="N655" s="866" t="n">
        <f aca="false">M655/H654</f>
        <v>7</v>
      </c>
      <c r="O655" s="545" t="s">
        <v>715</v>
      </c>
      <c r="P655" s="1934"/>
      <c r="Q655" s="1934"/>
      <c r="R655" s="1935"/>
    </row>
    <row r="656" customFormat="false" ht="14.25" hidden="false" customHeight="false" outlineLevel="0" collapsed="false">
      <c r="A656" s="829"/>
      <c r="B656" s="830"/>
      <c r="C656" s="1965"/>
      <c r="D656" s="1480" t="s">
        <v>5</v>
      </c>
      <c r="E656" s="1480" t="s">
        <v>1651</v>
      </c>
      <c r="F656" s="832"/>
      <c r="G656" s="2010"/>
      <c r="H656" s="837"/>
      <c r="I656" s="837"/>
      <c r="J656" s="1059"/>
      <c r="K656" s="943"/>
      <c r="L656" s="1521" t="n">
        <v>33222.93</v>
      </c>
      <c r="M656" s="866" t="n">
        <v>1100</v>
      </c>
      <c r="N656" s="866" t="n">
        <f aca="false">M656/H654</f>
        <v>110</v>
      </c>
      <c r="O656" s="545" t="s">
        <v>377</v>
      </c>
      <c r="P656" s="1934"/>
      <c r="Q656" s="1934"/>
      <c r="R656" s="1935"/>
    </row>
    <row r="657" customFormat="false" ht="14.25" hidden="false" customHeight="false" outlineLevel="0" collapsed="false">
      <c r="A657" s="829"/>
      <c r="B657" s="830"/>
      <c r="C657" s="1965"/>
      <c r="D657" s="1357" t="s">
        <v>5</v>
      </c>
      <c r="E657" s="1357" t="s">
        <v>1651</v>
      </c>
      <c r="F657" s="832"/>
      <c r="G657" s="2010"/>
      <c r="H657" s="837"/>
      <c r="I657" s="837"/>
      <c r="J657" s="1059"/>
      <c r="K657" s="943"/>
      <c r="L657" s="1362" t="n">
        <v>1208.148</v>
      </c>
      <c r="M657" s="846" t="n">
        <v>40</v>
      </c>
      <c r="N657" s="846" t="n">
        <f aca="false">M657/H654</f>
        <v>4</v>
      </c>
      <c r="O657" s="1936" t="s">
        <v>374</v>
      </c>
      <c r="P657" s="1934"/>
      <c r="Q657" s="1934"/>
      <c r="R657" s="1935"/>
    </row>
    <row r="658" customFormat="false" ht="14.25" hidden="false" customHeight="false" outlineLevel="0" collapsed="false">
      <c r="A658" s="1087" t="n">
        <v>222</v>
      </c>
      <c r="B658" s="1072" t="n">
        <v>2024</v>
      </c>
      <c r="C658" s="1980" t="n">
        <v>45839</v>
      </c>
      <c r="D658" s="1479" t="s">
        <v>5</v>
      </c>
      <c r="E658" s="1479" t="s">
        <v>1651</v>
      </c>
      <c r="F658" s="887" t="s">
        <v>3367</v>
      </c>
      <c r="G658" s="2017" t="n">
        <v>140</v>
      </c>
      <c r="H658" s="1067" t="n">
        <v>10</v>
      </c>
      <c r="I658" s="1067" t="n">
        <f aca="false">G658*H658</f>
        <v>1400</v>
      </c>
      <c r="J658" s="1063" t="n">
        <v>30.2037</v>
      </c>
      <c r="K658" s="1452" t="n">
        <f aca="false">I658*J658</f>
        <v>42285.18</v>
      </c>
      <c r="L658" s="1380" t="n">
        <v>30203.7</v>
      </c>
      <c r="M658" s="854" t="n">
        <v>1000</v>
      </c>
      <c r="N658" s="854" t="n">
        <f aca="false">M658/H658</f>
        <v>100</v>
      </c>
      <c r="O658" s="580" t="s">
        <v>369</v>
      </c>
      <c r="P658" s="1952" t="n">
        <f aca="false">K658-L658-L659</f>
        <v>0</v>
      </c>
      <c r="Q658" s="1953" t="n">
        <f aca="false">I658-M658-M659</f>
        <v>0</v>
      </c>
      <c r="R658" s="1954" t="n">
        <f aca="false">G658-N658-N659</f>
        <v>0</v>
      </c>
    </row>
    <row r="659" customFormat="false" ht="14.25" hidden="false" customHeight="false" outlineLevel="0" collapsed="false">
      <c r="A659" s="1087"/>
      <c r="B659" s="1072"/>
      <c r="C659" s="1980"/>
      <c r="D659" s="1357" t="s">
        <v>5</v>
      </c>
      <c r="E659" s="1357" t="s">
        <v>1651</v>
      </c>
      <c r="F659" s="887"/>
      <c r="G659" s="2017"/>
      <c r="H659" s="1067"/>
      <c r="I659" s="1067"/>
      <c r="J659" s="1063"/>
      <c r="K659" s="1452"/>
      <c r="L659" s="1362" t="n">
        <v>12081.48</v>
      </c>
      <c r="M659" s="846" t="n">
        <v>400</v>
      </c>
      <c r="N659" s="890" t="n">
        <f aca="false">M659/H658</f>
        <v>40</v>
      </c>
      <c r="O659" s="1936" t="s">
        <v>370</v>
      </c>
      <c r="P659" s="1952"/>
      <c r="Q659" s="1953"/>
      <c r="R659" s="1954"/>
    </row>
    <row r="660" customFormat="false" ht="14.25" hidden="false" customHeight="false" outlineLevel="0" collapsed="false">
      <c r="A660" s="903" t="n">
        <v>223</v>
      </c>
      <c r="B660" s="903" t="n">
        <v>2024</v>
      </c>
      <c r="C660" s="1974" t="n">
        <v>45839</v>
      </c>
      <c r="D660" s="1351" t="s">
        <v>5</v>
      </c>
      <c r="E660" s="1351" t="s">
        <v>1651</v>
      </c>
      <c r="F660" s="904" t="s">
        <v>3367</v>
      </c>
      <c r="G660" s="2012" t="n">
        <v>49</v>
      </c>
      <c r="H660" s="942" t="n">
        <v>15</v>
      </c>
      <c r="I660" s="1355" t="n">
        <f aca="false">G660*H660</f>
        <v>735</v>
      </c>
      <c r="J660" s="1406" t="n">
        <v>30.8663</v>
      </c>
      <c r="K660" s="1942" t="n">
        <f aca="false">I660*J660</f>
        <v>22686.7305</v>
      </c>
      <c r="L660" s="1355" t="n">
        <v>22686.7305</v>
      </c>
      <c r="M660" s="891" t="n">
        <v>735</v>
      </c>
      <c r="N660" s="891" t="n">
        <f aca="false">M660/H660</f>
        <v>49</v>
      </c>
      <c r="O660" s="1943" t="s">
        <v>393</v>
      </c>
      <c r="P660" s="1947" t="n">
        <f aca="false">K660-L660</f>
        <v>0</v>
      </c>
      <c r="Q660" s="2000" t="n">
        <f aca="false">I660-M660</f>
        <v>0</v>
      </c>
      <c r="R660" s="2000" t="n">
        <f aca="false">G660-N660</f>
        <v>0</v>
      </c>
    </row>
    <row r="661" customFormat="false" ht="14.25" hidden="false" customHeight="false" outlineLevel="0" collapsed="false">
      <c r="A661" s="829" t="n">
        <v>258</v>
      </c>
      <c r="B661" s="830" t="n">
        <v>2024</v>
      </c>
      <c r="C661" s="1965" t="n">
        <v>45839</v>
      </c>
      <c r="D661" s="1365" t="s">
        <v>5</v>
      </c>
      <c r="E661" s="1365" t="s">
        <v>1651</v>
      </c>
      <c r="F661" s="832" t="s">
        <v>3367</v>
      </c>
      <c r="G661" s="2010" t="n">
        <v>666</v>
      </c>
      <c r="H661" s="837" t="n">
        <v>15</v>
      </c>
      <c r="I661" s="837" t="n">
        <f aca="false">G661*H661</f>
        <v>9990</v>
      </c>
      <c r="J661" s="1059" t="n">
        <v>27.3412</v>
      </c>
      <c r="K661" s="943" t="n">
        <f aca="false">I661*J661</f>
        <v>273138.588</v>
      </c>
      <c r="L661" s="1369" t="n">
        <v>219413.13</v>
      </c>
      <c r="M661" s="840" t="n">
        <v>8025</v>
      </c>
      <c r="N661" s="886" t="n">
        <f aca="false">M661/H661</f>
        <v>535</v>
      </c>
      <c r="O661" s="578" t="s">
        <v>393</v>
      </c>
      <c r="P661" s="1948" t="n">
        <f aca="false">K661-L661-L664-L662-L663</f>
        <v>0</v>
      </c>
      <c r="Q661" s="1934" t="n">
        <f aca="false">I661-M661-M664-M662-M663</f>
        <v>0</v>
      </c>
      <c r="R661" s="1935" t="n">
        <f aca="false">G661-N661-N664-N662-N663</f>
        <v>0</v>
      </c>
    </row>
    <row r="662" customFormat="false" ht="14.25" hidden="false" customHeight="false" outlineLevel="0" collapsed="false">
      <c r="A662" s="829"/>
      <c r="B662" s="830"/>
      <c r="C662" s="1965"/>
      <c r="D662" s="1480" t="s">
        <v>5</v>
      </c>
      <c r="E662" s="1480" t="s">
        <v>1651</v>
      </c>
      <c r="F662" s="832"/>
      <c r="G662" s="2010"/>
      <c r="H662" s="837"/>
      <c r="I662" s="837"/>
      <c r="J662" s="1059"/>
      <c r="K662" s="943"/>
      <c r="L662" s="1521" t="n">
        <v>-44292.744</v>
      </c>
      <c r="M662" s="866" t="n">
        <v>-1620</v>
      </c>
      <c r="N662" s="866" t="n">
        <f aca="false">M662/H661</f>
        <v>-108</v>
      </c>
      <c r="O662" s="545" t="s">
        <v>1634</v>
      </c>
      <c r="P662" s="1948"/>
      <c r="Q662" s="1934"/>
      <c r="R662" s="1935"/>
    </row>
    <row r="663" customFormat="false" ht="14.25" hidden="false" customHeight="false" outlineLevel="0" collapsed="false">
      <c r="A663" s="829"/>
      <c r="B663" s="830"/>
      <c r="C663" s="1965"/>
      <c r="D663" s="1480" t="s">
        <v>5</v>
      </c>
      <c r="E663" s="1480" t="s">
        <v>1651</v>
      </c>
      <c r="F663" s="832"/>
      <c r="G663" s="2010"/>
      <c r="H663" s="837"/>
      <c r="I663" s="837"/>
      <c r="J663" s="1059"/>
      <c r="K663" s="943"/>
      <c r="L663" s="1521" t="n">
        <v>44292.744</v>
      </c>
      <c r="M663" s="866" t="n">
        <v>1620</v>
      </c>
      <c r="N663" s="866" t="n">
        <f aca="false">M663/H661</f>
        <v>108</v>
      </c>
      <c r="O663" s="545" t="s">
        <v>1375</v>
      </c>
      <c r="P663" s="1948"/>
      <c r="Q663" s="1934"/>
      <c r="R663" s="1935"/>
    </row>
    <row r="664" customFormat="false" ht="14.25" hidden="false" customHeight="false" outlineLevel="0" collapsed="false">
      <c r="A664" s="829"/>
      <c r="B664" s="830"/>
      <c r="C664" s="1965"/>
      <c r="D664" s="1501" t="s">
        <v>5</v>
      </c>
      <c r="E664" s="1501" t="s">
        <v>1651</v>
      </c>
      <c r="F664" s="832"/>
      <c r="G664" s="2010"/>
      <c r="H664" s="837"/>
      <c r="I664" s="837"/>
      <c r="J664" s="1059"/>
      <c r="K664" s="943"/>
      <c r="L664" s="1381" t="n">
        <v>53725.458</v>
      </c>
      <c r="M664" s="890" t="n">
        <v>1965</v>
      </c>
      <c r="N664" s="890" t="n">
        <f aca="false">M664/H661</f>
        <v>131</v>
      </c>
      <c r="O664" s="1938" t="s">
        <v>398</v>
      </c>
      <c r="P664" s="1948"/>
      <c r="Q664" s="1934"/>
      <c r="R664" s="1935"/>
    </row>
    <row r="665" customFormat="false" ht="14.25" hidden="false" customHeight="false" outlineLevel="0" collapsed="false">
      <c r="A665" s="1465" t="n">
        <v>259</v>
      </c>
      <c r="B665" s="1546" t="n">
        <v>2024</v>
      </c>
      <c r="C665" s="1975" t="n">
        <v>45839</v>
      </c>
      <c r="D665" s="1365" t="s">
        <v>5</v>
      </c>
      <c r="E665" s="1365" t="s">
        <v>1651</v>
      </c>
      <c r="F665" s="1328" t="s">
        <v>3367</v>
      </c>
      <c r="G665" s="2011" t="n">
        <v>666</v>
      </c>
      <c r="H665" s="1036" t="n">
        <v>15</v>
      </c>
      <c r="I665" s="1036" t="n">
        <f aca="false">G665*H665</f>
        <v>9990</v>
      </c>
      <c r="J665" s="1557" t="n">
        <v>27.3412</v>
      </c>
      <c r="K665" s="1547" t="n">
        <f aca="false">I665*J665</f>
        <v>273138.588</v>
      </c>
      <c r="L665" s="1665" t="n">
        <v>149693.07</v>
      </c>
      <c r="M665" s="886" t="n">
        <v>5475</v>
      </c>
      <c r="N665" s="886" t="n">
        <f aca="false">M665/H665</f>
        <v>365</v>
      </c>
      <c r="O665" s="1595" t="s">
        <v>393</v>
      </c>
      <c r="P665" s="1978" t="n">
        <f aca="false">K665-L665-L669-L668-L666-L667</f>
        <v>-1.45519152283669E-011</v>
      </c>
      <c r="Q665" s="1978" t="n">
        <f aca="false">I665-M665-M669-M668-M666-M667</f>
        <v>0</v>
      </c>
      <c r="R665" s="1979" t="n">
        <f aca="false">G665-N665-N669-N668-N666-N667</f>
        <v>0</v>
      </c>
    </row>
    <row r="666" customFormat="false" ht="14.25" hidden="false" customHeight="false" outlineLevel="0" collapsed="false">
      <c r="A666" s="1465"/>
      <c r="B666" s="1546"/>
      <c r="C666" s="1975"/>
      <c r="D666" s="1479" t="s">
        <v>5</v>
      </c>
      <c r="E666" s="1479" t="s">
        <v>1651</v>
      </c>
      <c r="F666" s="1328"/>
      <c r="G666" s="2011"/>
      <c r="H666" s="1036"/>
      <c r="I666" s="1036"/>
      <c r="J666" s="1557"/>
      <c r="K666" s="1547"/>
      <c r="L666" s="1521" t="n">
        <v>410.118</v>
      </c>
      <c r="M666" s="866" t="n">
        <v>15</v>
      </c>
      <c r="N666" s="866" t="n">
        <f aca="false">M666/H665</f>
        <v>1</v>
      </c>
      <c r="O666" s="545" t="s">
        <v>746</v>
      </c>
      <c r="P666" s="1978"/>
      <c r="Q666" s="1978"/>
      <c r="R666" s="1979"/>
    </row>
    <row r="667" customFormat="false" ht="14.25" hidden="false" customHeight="false" outlineLevel="0" collapsed="false">
      <c r="A667" s="1465"/>
      <c r="B667" s="1546"/>
      <c r="C667" s="1975"/>
      <c r="D667" s="1479" t="s">
        <v>5</v>
      </c>
      <c r="E667" s="1479" t="s">
        <v>1651</v>
      </c>
      <c r="F667" s="1328"/>
      <c r="G667" s="2011"/>
      <c r="H667" s="1036"/>
      <c r="I667" s="1036"/>
      <c r="J667" s="1557"/>
      <c r="K667" s="1547"/>
      <c r="L667" s="1521" t="n">
        <v>-410.118</v>
      </c>
      <c r="M667" s="866" t="n">
        <v>-15</v>
      </c>
      <c r="N667" s="866" t="n">
        <f aca="false">M667/H665</f>
        <v>-1</v>
      </c>
      <c r="O667" s="545" t="s">
        <v>1634</v>
      </c>
      <c r="P667" s="1978"/>
      <c r="Q667" s="1978"/>
      <c r="R667" s="1979"/>
    </row>
    <row r="668" customFormat="false" ht="14.25" hidden="false" customHeight="false" outlineLevel="0" collapsed="false">
      <c r="A668" s="1465"/>
      <c r="B668" s="1546"/>
      <c r="C668" s="1975"/>
      <c r="D668" s="1480" t="s">
        <v>5</v>
      </c>
      <c r="E668" s="1480" t="s">
        <v>1651</v>
      </c>
      <c r="F668" s="1328"/>
      <c r="G668" s="2011"/>
      <c r="H668" s="1036"/>
      <c r="I668" s="1036"/>
      <c r="J668" s="1557"/>
      <c r="K668" s="1547"/>
      <c r="L668" s="1521" t="n">
        <v>68899.824</v>
      </c>
      <c r="M668" s="866" t="n">
        <v>2520</v>
      </c>
      <c r="N668" s="866" t="n">
        <f aca="false">M668/H665</f>
        <v>168</v>
      </c>
      <c r="O668" s="545" t="s">
        <v>400</v>
      </c>
      <c r="P668" s="1978"/>
      <c r="Q668" s="1978"/>
      <c r="R668" s="1979"/>
    </row>
    <row r="669" customFormat="false" ht="14.25" hidden="false" customHeight="false" outlineLevel="0" collapsed="false">
      <c r="A669" s="1465"/>
      <c r="B669" s="1546"/>
      <c r="C669" s="1975"/>
      <c r="D669" s="1351" t="s">
        <v>5</v>
      </c>
      <c r="E669" s="1351" t="s">
        <v>1651</v>
      </c>
      <c r="F669" s="1328"/>
      <c r="G669" s="2011"/>
      <c r="H669" s="1036"/>
      <c r="I669" s="1036"/>
      <c r="J669" s="1557"/>
      <c r="K669" s="1547"/>
      <c r="L669" s="1355" t="n">
        <v>54545.694</v>
      </c>
      <c r="M669" s="891" t="n">
        <v>1995</v>
      </c>
      <c r="N669" s="891" t="n">
        <f aca="false">M669/H665</f>
        <v>133</v>
      </c>
      <c r="O669" s="1943" t="s">
        <v>399</v>
      </c>
      <c r="P669" s="1978"/>
      <c r="Q669" s="1978"/>
      <c r="R669" s="1979"/>
    </row>
    <row r="670" customFormat="false" ht="14.25" hidden="false" customHeight="false" outlineLevel="0" collapsed="false">
      <c r="A670" s="882" t="n">
        <v>260</v>
      </c>
      <c r="B670" s="830" t="n">
        <v>2024</v>
      </c>
      <c r="C670" s="1965" t="n">
        <v>45839</v>
      </c>
      <c r="D670" s="1365" t="s">
        <v>5</v>
      </c>
      <c r="E670" s="1365" t="s">
        <v>1651</v>
      </c>
      <c r="F670" s="832" t="s">
        <v>3367</v>
      </c>
      <c r="G670" s="2010" t="n">
        <v>240</v>
      </c>
      <c r="H670" s="837" t="n">
        <v>15</v>
      </c>
      <c r="I670" s="837" t="n">
        <f aca="false">G670*H670</f>
        <v>3600</v>
      </c>
      <c r="J670" s="1059" t="n">
        <v>28.3437</v>
      </c>
      <c r="K670" s="943" t="n">
        <f aca="false">I670*J670</f>
        <v>102037.32</v>
      </c>
      <c r="L670" s="1369" t="n">
        <v>102037.32</v>
      </c>
      <c r="M670" s="840" t="n">
        <v>3600</v>
      </c>
      <c r="N670" s="886" t="n">
        <f aca="false">M670/H670</f>
        <v>240</v>
      </c>
      <c r="O670" s="578" t="s">
        <v>399</v>
      </c>
      <c r="P670" s="1934" t="n">
        <f aca="false">K670-L670-L672-L671</f>
        <v>-1.45519152283669E-011</v>
      </c>
      <c r="Q670" s="1934" t="n">
        <f aca="false">I670-M670-M672-M671</f>
        <v>0</v>
      </c>
      <c r="R670" s="1935" t="n">
        <f aca="false">G670-N670-N672-N671</f>
        <v>0</v>
      </c>
    </row>
    <row r="671" customFormat="false" ht="14.25" hidden="false" customHeight="false" outlineLevel="0" collapsed="false">
      <c r="A671" s="882"/>
      <c r="B671" s="830"/>
      <c r="C671" s="1965"/>
      <c r="D671" s="1351" t="s">
        <v>5</v>
      </c>
      <c r="E671" s="1351" t="s">
        <v>1651</v>
      </c>
      <c r="F671" s="832"/>
      <c r="G671" s="2010"/>
      <c r="H671" s="837"/>
      <c r="I671" s="837"/>
      <c r="J671" s="1059"/>
      <c r="K671" s="943"/>
      <c r="L671" s="1355" t="n">
        <v>-425.1555</v>
      </c>
      <c r="M671" s="891" t="n">
        <v>-15</v>
      </c>
      <c r="N671" s="866" t="n">
        <f aca="false">M671/H670</f>
        <v>-1</v>
      </c>
      <c r="O671" s="1943" t="s">
        <v>1634</v>
      </c>
      <c r="P671" s="1934"/>
      <c r="Q671" s="1934"/>
      <c r="R671" s="1935"/>
    </row>
    <row r="672" customFormat="false" ht="14.25" hidden="false" customHeight="false" outlineLevel="0" collapsed="false">
      <c r="A672" s="882"/>
      <c r="B672" s="830"/>
      <c r="C672" s="1965"/>
      <c r="D672" s="1357" t="s">
        <v>5</v>
      </c>
      <c r="E672" s="1357" t="s">
        <v>1651</v>
      </c>
      <c r="F672" s="832"/>
      <c r="G672" s="2010"/>
      <c r="H672" s="837"/>
      <c r="I672" s="837"/>
      <c r="J672" s="1059"/>
      <c r="K672" s="943"/>
      <c r="L672" s="1362" t="n">
        <v>425.1555</v>
      </c>
      <c r="M672" s="846" t="n">
        <v>15</v>
      </c>
      <c r="N672" s="846" t="n">
        <f aca="false">M672/H670</f>
        <v>1</v>
      </c>
      <c r="O672" s="1936" t="s">
        <v>768</v>
      </c>
      <c r="P672" s="1934"/>
      <c r="Q672" s="1934"/>
      <c r="R672" s="1935"/>
    </row>
    <row r="673" customFormat="false" ht="14.25" hidden="false" customHeight="false" outlineLevel="0" collapsed="false">
      <c r="A673" s="1087" t="n">
        <v>261</v>
      </c>
      <c r="B673" s="1072" t="n">
        <v>2024</v>
      </c>
      <c r="C673" s="1980" t="n">
        <v>45870</v>
      </c>
      <c r="D673" s="1479" t="s">
        <v>5</v>
      </c>
      <c r="E673" s="1479" t="s">
        <v>1651</v>
      </c>
      <c r="F673" s="887" t="s">
        <v>3367</v>
      </c>
      <c r="G673" s="2017" t="n">
        <v>1000</v>
      </c>
      <c r="H673" s="1067" t="n">
        <v>10</v>
      </c>
      <c r="I673" s="1067" t="n">
        <f aca="false">G673*H673</f>
        <v>10000</v>
      </c>
      <c r="J673" s="1063" t="n">
        <v>29.5128</v>
      </c>
      <c r="K673" s="1452" t="n">
        <f aca="false">I673*J673</f>
        <v>295128</v>
      </c>
      <c r="L673" s="1355" t="n">
        <v>44269.2</v>
      </c>
      <c r="M673" s="891" t="n">
        <v>1500</v>
      </c>
      <c r="N673" s="891" t="n">
        <f aca="false">M673/H673</f>
        <v>150</v>
      </c>
      <c r="O673" s="1943" t="s">
        <v>451</v>
      </c>
      <c r="P673" s="1952" t="n">
        <f aca="false">K673-L673-L681-L680-L674-L675-L679-L678-L676-L677</f>
        <v>0</v>
      </c>
      <c r="Q673" s="1953" t="n">
        <f aca="false">I673-M673-M681-M680-M674-M675-M679-M678-M676-M677</f>
        <v>0</v>
      </c>
      <c r="R673" s="1954" t="n">
        <f aca="false">G673-N673-N681-N680-N674-N675-N679-N678-N676-N677</f>
        <v>0</v>
      </c>
    </row>
    <row r="674" customFormat="false" ht="14.25" hidden="false" customHeight="false" outlineLevel="0" collapsed="false">
      <c r="A674" s="1087"/>
      <c r="B674" s="1072"/>
      <c r="C674" s="1980"/>
      <c r="D674" s="1480" t="s">
        <v>5</v>
      </c>
      <c r="E674" s="1480" t="s">
        <v>1651</v>
      </c>
      <c r="F674" s="887"/>
      <c r="G674" s="2017"/>
      <c r="H674" s="1067"/>
      <c r="I674" s="1067"/>
      <c r="J674" s="1063"/>
      <c r="K674" s="1452"/>
      <c r="L674" s="1521" t="n">
        <v>77618.664</v>
      </c>
      <c r="M674" s="866" t="n">
        <v>2630</v>
      </c>
      <c r="N674" s="866" t="n">
        <f aca="false">M674/H673</f>
        <v>263</v>
      </c>
      <c r="O674" s="545" t="s">
        <v>511</v>
      </c>
      <c r="P674" s="1952"/>
      <c r="Q674" s="1953"/>
      <c r="R674" s="1954"/>
    </row>
    <row r="675" customFormat="false" ht="14.25" hidden="false" customHeight="false" outlineLevel="0" collapsed="false">
      <c r="A675" s="1087"/>
      <c r="B675" s="1072"/>
      <c r="C675" s="1980"/>
      <c r="D675" s="1480" t="s">
        <v>5</v>
      </c>
      <c r="E675" s="1480" t="s">
        <v>1651</v>
      </c>
      <c r="F675" s="887"/>
      <c r="G675" s="2017"/>
      <c r="H675" s="1067"/>
      <c r="I675" s="1067"/>
      <c r="J675" s="1063"/>
      <c r="K675" s="1452"/>
      <c r="L675" s="1521" t="n">
        <v>5312.304</v>
      </c>
      <c r="M675" s="866" t="n">
        <v>180</v>
      </c>
      <c r="N675" s="866" t="n">
        <f aca="false">M675/H673</f>
        <v>18</v>
      </c>
      <c r="O675" s="545" t="s">
        <v>519</v>
      </c>
      <c r="P675" s="1952"/>
      <c r="Q675" s="1953"/>
      <c r="R675" s="1954"/>
    </row>
    <row r="676" customFormat="false" ht="14.25" hidden="false" customHeight="false" outlineLevel="0" collapsed="false">
      <c r="A676" s="1087"/>
      <c r="B676" s="1072"/>
      <c r="C676" s="1980"/>
      <c r="D676" s="1480" t="s">
        <v>5</v>
      </c>
      <c r="E676" s="1480" t="s">
        <v>1651</v>
      </c>
      <c r="F676" s="887"/>
      <c r="G676" s="2017"/>
      <c r="H676" s="1067"/>
      <c r="I676" s="1067"/>
      <c r="J676" s="1063"/>
      <c r="K676" s="1452"/>
      <c r="L676" s="1521" t="n">
        <v>14756.4</v>
      </c>
      <c r="M676" s="866" t="n">
        <v>500</v>
      </c>
      <c r="N676" s="866" t="n">
        <f aca="false">M676/H673</f>
        <v>50</v>
      </c>
      <c r="O676" s="545" t="s">
        <v>544</v>
      </c>
      <c r="P676" s="1952"/>
      <c r="Q676" s="1953"/>
      <c r="R676" s="1954"/>
    </row>
    <row r="677" customFormat="false" ht="14.25" hidden="false" customHeight="false" outlineLevel="0" collapsed="false">
      <c r="A677" s="1087"/>
      <c r="B677" s="1072"/>
      <c r="C677" s="1980"/>
      <c r="D677" s="1480" t="s">
        <v>5</v>
      </c>
      <c r="E677" s="1480" t="s">
        <v>1651</v>
      </c>
      <c r="F677" s="887"/>
      <c r="G677" s="2017"/>
      <c r="H677" s="1067"/>
      <c r="I677" s="1067"/>
      <c r="J677" s="1063"/>
      <c r="K677" s="1452"/>
      <c r="L677" s="1521" t="n">
        <v>36005.616</v>
      </c>
      <c r="M677" s="866" t="n">
        <v>1220</v>
      </c>
      <c r="N677" s="866" t="n">
        <f aca="false">M677/H673</f>
        <v>122</v>
      </c>
      <c r="O677" s="545" t="s">
        <v>561</v>
      </c>
      <c r="P677" s="1952"/>
      <c r="Q677" s="1953"/>
      <c r="R677" s="1954"/>
    </row>
    <row r="678" customFormat="false" ht="14.25" hidden="false" customHeight="false" outlineLevel="0" collapsed="false">
      <c r="A678" s="1087"/>
      <c r="B678" s="1072"/>
      <c r="C678" s="1980"/>
      <c r="D678" s="1480" t="s">
        <v>5</v>
      </c>
      <c r="E678" s="1480" t="s">
        <v>1651</v>
      </c>
      <c r="F678" s="887"/>
      <c r="G678" s="2017"/>
      <c r="H678" s="1067"/>
      <c r="I678" s="1067"/>
      <c r="J678" s="1063"/>
      <c r="K678" s="1452"/>
      <c r="L678" s="1521" t="n">
        <v>38956.896</v>
      </c>
      <c r="M678" s="866" t="n">
        <v>1320</v>
      </c>
      <c r="N678" s="866" t="n">
        <f aca="false">M678/H673</f>
        <v>132</v>
      </c>
      <c r="O678" s="545" t="s">
        <v>3437</v>
      </c>
      <c r="P678" s="1952"/>
      <c r="Q678" s="1953"/>
      <c r="R678" s="1954"/>
    </row>
    <row r="679" customFormat="false" ht="14.25" hidden="false" customHeight="false" outlineLevel="0" collapsed="false">
      <c r="A679" s="1087"/>
      <c r="B679" s="1072"/>
      <c r="C679" s="1980"/>
      <c r="D679" s="1480" t="s">
        <v>5</v>
      </c>
      <c r="E679" s="1480" t="s">
        <v>1651</v>
      </c>
      <c r="F679" s="887"/>
      <c r="G679" s="2017"/>
      <c r="H679" s="1067"/>
      <c r="I679" s="1067"/>
      <c r="J679" s="1063"/>
      <c r="K679" s="1452"/>
      <c r="L679" s="1521" t="n">
        <v>44269.2</v>
      </c>
      <c r="M679" s="866" t="n">
        <v>1500</v>
      </c>
      <c r="N679" s="866" t="n">
        <f aca="false">M679/H673</f>
        <v>150</v>
      </c>
      <c r="O679" s="545" t="s">
        <v>538</v>
      </c>
      <c r="P679" s="1952"/>
      <c r="Q679" s="1953"/>
      <c r="R679" s="1954"/>
    </row>
    <row r="680" customFormat="false" ht="14.25" hidden="false" customHeight="false" outlineLevel="0" collapsed="false">
      <c r="A680" s="1087"/>
      <c r="B680" s="1072"/>
      <c r="C680" s="1980"/>
      <c r="D680" s="1480" t="s">
        <v>5</v>
      </c>
      <c r="E680" s="1480" t="s">
        <v>1651</v>
      </c>
      <c r="F680" s="887"/>
      <c r="G680" s="2017"/>
      <c r="H680" s="1067"/>
      <c r="I680" s="1067"/>
      <c r="J680" s="1063"/>
      <c r="K680" s="1452"/>
      <c r="L680" s="1521" t="n">
        <v>6787.944</v>
      </c>
      <c r="M680" s="866" t="n">
        <v>230</v>
      </c>
      <c r="N680" s="866" t="n">
        <f aca="false">M680/H673</f>
        <v>23</v>
      </c>
      <c r="O680" s="545" t="s">
        <v>460</v>
      </c>
      <c r="P680" s="1952"/>
      <c r="Q680" s="1953"/>
      <c r="R680" s="1954"/>
    </row>
    <row r="681" customFormat="false" ht="14.25" hidden="false" customHeight="false" outlineLevel="0" collapsed="false">
      <c r="A681" s="1087"/>
      <c r="B681" s="1072"/>
      <c r="C681" s="1980"/>
      <c r="D681" s="1357" t="s">
        <v>5</v>
      </c>
      <c r="E681" s="1357" t="s">
        <v>1651</v>
      </c>
      <c r="F681" s="887"/>
      <c r="G681" s="2017"/>
      <c r="H681" s="1067"/>
      <c r="I681" s="1067"/>
      <c r="J681" s="1063"/>
      <c r="K681" s="1452"/>
      <c r="L681" s="1362" t="n">
        <v>27151.776</v>
      </c>
      <c r="M681" s="846" t="n">
        <v>920</v>
      </c>
      <c r="N681" s="846" t="n">
        <f aca="false">M681/H673</f>
        <v>92</v>
      </c>
      <c r="O681" s="1936" t="s">
        <v>459</v>
      </c>
      <c r="P681" s="1952"/>
      <c r="Q681" s="1953"/>
      <c r="R681" s="1954"/>
    </row>
    <row r="682" customFormat="false" ht="14.25" hidden="false" customHeight="false" outlineLevel="0" collapsed="false">
      <c r="A682" s="1087" t="n">
        <v>262</v>
      </c>
      <c r="B682" s="1072" t="n">
        <v>2024</v>
      </c>
      <c r="C682" s="1980" t="n">
        <v>45870</v>
      </c>
      <c r="D682" s="1479" t="s">
        <v>5</v>
      </c>
      <c r="E682" s="1479" t="s">
        <v>1651</v>
      </c>
      <c r="F682" s="887" t="s">
        <v>3367</v>
      </c>
      <c r="G682" s="2017" t="n">
        <v>92</v>
      </c>
      <c r="H682" s="1067" t="n">
        <v>10</v>
      </c>
      <c r="I682" s="1067" t="n">
        <f aca="false">G682*H682</f>
        <v>920</v>
      </c>
      <c r="J682" s="1063" t="n">
        <v>29.5128</v>
      </c>
      <c r="K682" s="1452" t="n">
        <f aca="false">I682*J682</f>
        <v>27151.776</v>
      </c>
      <c r="L682" s="1380" t="n">
        <v>4426.92</v>
      </c>
      <c r="M682" s="854" t="n">
        <v>150</v>
      </c>
      <c r="N682" s="854" t="n">
        <f aca="false">M682/H682</f>
        <v>15</v>
      </c>
      <c r="O682" s="580" t="s">
        <v>405</v>
      </c>
      <c r="P682" s="1952" t="n">
        <f aca="false">K682-L682-L683</f>
        <v>0</v>
      </c>
      <c r="Q682" s="1953" t="n">
        <f aca="false">I682-M682-M683</f>
        <v>0</v>
      </c>
      <c r="R682" s="1954" t="n">
        <f aca="false">G682-N682-N683</f>
        <v>0</v>
      </c>
    </row>
    <row r="683" customFormat="false" ht="14.25" hidden="false" customHeight="false" outlineLevel="0" collapsed="false">
      <c r="A683" s="1087"/>
      <c r="B683" s="1072"/>
      <c r="C683" s="1980"/>
      <c r="D683" s="1501" t="s">
        <v>5</v>
      </c>
      <c r="E683" s="1501" t="s">
        <v>1651</v>
      </c>
      <c r="F683" s="887"/>
      <c r="G683" s="2017"/>
      <c r="H683" s="1067"/>
      <c r="I683" s="1067"/>
      <c r="J683" s="1063"/>
      <c r="K683" s="1452"/>
      <c r="L683" s="1381" t="n">
        <v>22724.856</v>
      </c>
      <c r="M683" s="890" t="n">
        <v>770</v>
      </c>
      <c r="N683" s="846" t="n">
        <f aca="false">M683/H682</f>
        <v>77</v>
      </c>
      <c r="O683" s="1938" t="s">
        <v>451</v>
      </c>
      <c r="P683" s="1952"/>
      <c r="Q683" s="1953"/>
      <c r="R683" s="1954"/>
    </row>
    <row r="684" customFormat="false" ht="14.25" hidden="false" customHeight="false" outlineLevel="0" collapsed="false">
      <c r="A684" s="847" t="n">
        <v>263</v>
      </c>
      <c r="B684" s="1396" t="n">
        <v>2024</v>
      </c>
      <c r="C684" s="1966" t="n">
        <v>45870</v>
      </c>
      <c r="D684" s="1479" t="s">
        <v>5</v>
      </c>
      <c r="E684" s="1479" t="s">
        <v>1651</v>
      </c>
      <c r="F684" s="848" t="s">
        <v>3364</v>
      </c>
      <c r="G684" s="2018" t="n">
        <v>666</v>
      </c>
      <c r="H684" s="537" t="n">
        <v>15</v>
      </c>
      <c r="I684" s="1380" t="n">
        <f aca="false">G684*H684</f>
        <v>9990</v>
      </c>
      <c r="J684" s="1544" t="n">
        <v>29.5128</v>
      </c>
      <c r="K684" s="1968" t="n">
        <f aca="false">I684*J684</f>
        <v>294832.872</v>
      </c>
      <c r="L684" s="1380" t="n">
        <v>294832.872</v>
      </c>
      <c r="M684" s="854" t="n">
        <v>9990</v>
      </c>
      <c r="N684" s="854" t="n">
        <f aca="false">M684/H684</f>
        <v>666</v>
      </c>
      <c r="O684" s="580" t="s">
        <v>448</v>
      </c>
      <c r="P684" s="1983" t="n">
        <f aca="false">K684-L684</f>
        <v>0</v>
      </c>
      <c r="Q684" s="2027" t="n">
        <f aca="false">I684-M684</f>
        <v>0</v>
      </c>
      <c r="R684" s="2027" t="n">
        <f aca="false">G684-N684</f>
        <v>0</v>
      </c>
    </row>
    <row r="685" customFormat="false" ht="14.25" hidden="false" customHeight="false" outlineLevel="0" collapsed="false">
      <c r="A685" s="903" t="n">
        <v>264</v>
      </c>
      <c r="B685" s="903" t="n">
        <v>2024</v>
      </c>
      <c r="C685" s="1974" t="n">
        <v>45870</v>
      </c>
      <c r="D685" s="1351" t="s">
        <v>5</v>
      </c>
      <c r="E685" s="1351" t="s">
        <v>1651</v>
      </c>
      <c r="F685" s="904" t="s">
        <v>3364</v>
      </c>
      <c r="G685" s="2012" t="n">
        <v>134</v>
      </c>
      <c r="H685" s="942" t="n">
        <v>15</v>
      </c>
      <c r="I685" s="1355" t="n">
        <f aca="false">G685*H685</f>
        <v>2010</v>
      </c>
      <c r="J685" s="1406" t="n">
        <v>29.5128</v>
      </c>
      <c r="K685" s="1942" t="n">
        <f aca="false">I685*J685</f>
        <v>59320.728</v>
      </c>
      <c r="L685" s="1355" t="n">
        <v>59320.728</v>
      </c>
      <c r="M685" s="891" t="n">
        <v>2010</v>
      </c>
      <c r="N685" s="866" t="n">
        <f aca="false">M685/H685</f>
        <v>134</v>
      </c>
      <c r="O685" s="1943" t="s">
        <v>448</v>
      </c>
      <c r="P685" s="1947" t="n">
        <f aca="false">K685-L685</f>
        <v>0</v>
      </c>
      <c r="Q685" s="2000" t="n">
        <f aca="false">I685-M685</f>
        <v>0</v>
      </c>
      <c r="R685" s="2000" t="n">
        <f aca="false">G685-N685</f>
        <v>0</v>
      </c>
    </row>
    <row r="686" customFormat="false" ht="14.25" hidden="false" customHeight="false" outlineLevel="0" collapsed="false">
      <c r="A686" s="829" t="n">
        <v>265</v>
      </c>
      <c r="B686" s="830" t="n">
        <v>2024</v>
      </c>
      <c r="C686" s="1965" t="n">
        <v>45870</v>
      </c>
      <c r="D686" s="1365" t="s">
        <v>5</v>
      </c>
      <c r="E686" s="1365" t="s">
        <v>1651</v>
      </c>
      <c r="F686" s="832" t="s">
        <v>3364</v>
      </c>
      <c r="G686" s="2010" t="n">
        <v>266</v>
      </c>
      <c r="H686" s="837" t="n">
        <v>15</v>
      </c>
      <c r="I686" s="837" t="n">
        <f aca="false">G686*H686</f>
        <v>3990</v>
      </c>
      <c r="J686" s="1059" t="n">
        <v>29.5128</v>
      </c>
      <c r="K686" s="943" t="n">
        <f aca="false">I686*J686</f>
        <v>117756.072</v>
      </c>
      <c r="L686" s="1369" t="n">
        <v>22577.292</v>
      </c>
      <c r="M686" s="840" t="n">
        <v>765</v>
      </c>
      <c r="N686" s="886" t="n">
        <f aca="false">M686/H686</f>
        <v>51</v>
      </c>
      <c r="O686" s="578" t="s">
        <v>384</v>
      </c>
      <c r="P686" s="1934" t="n">
        <f aca="false">K686-L686-L689-L688-L687</f>
        <v>4.54747350886464E-012</v>
      </c>
      <c r="Q686" s="1934" t="n">
        <f aca="false">I686-M686-M689-M688-M687</f>
        <v>0</v>
      </c>
      <c r="R686" s="1935" t="n">
        <f aca="false">G686-N686-N689-N688-N687</f>
        <v>0</v>
      </c>
    </row>
    <row r="687" customFormat="false" ht="14.25" hidden="false" customHeight="false" outlineLevel="0" collapsed="false">
      <c r="A687" s="829"/>
      <c r="B687" s="830"/>
      <c r="C687" s="1965"/>
      <c r="D687" s="1479" t="s">
        <v>5</v>
      </c>
      <c r="E687" s="1479" t="s">
        <v>1651</v>
      </c>
      <c r="F687" s="832"/>
      <c r="G687" s="2010"/>
      <c r="H687" s="837"/>
      <c r="I687" s="837"/>
      <c r="J687" s="1059"/>
      <c r="K687" s="943"/>
      <c r="L687" s="1380" t="n">
        <v>1770.768</v>
      </c>
      <c r="M687" s="854" t="n">
        <v>60</v>
      </c>
      <c r="N687" s="866" t="n">
        <f aca="false">M687/H686</f>
        <v>4</v>
      </c>
      <c r="O687" s="580" t="s">
        <v>1634</v>
      </c>
      <c r="P687" s="1934"/>
      <c r="Q687" s="1934"/>
      <c r="R687" s="1935"/>
    </row>
    <row r="688" customFormat="false" ht="14.25" hidden="false" customHeight="false" outlineLevel="0" collapsed="false">
      <c r="A688" s="829"/>
      <c r="B688" s="830"/>
      <c r="C688" s="1965"/>
      <c r="D688" s="1480" t="s">
        <v>5</v>
      </c>
      <c r="E688" s="1480" t="s">
        <v>1651</v>
      </c>
      <c r="F688" s="832"/>
      <c r="G688" s="2010"/>
      <c r="H688" s="837"/>
      <c r="I688" s="837"/>
      <c r="J688" s="1059"/>
      <c r="K688" s="943"/>
      <c r="L688" s="1521" t="n">
        <v>4869.612</v>
      </c>
      <c r="M688" s="866" t="n">
        <v>165</v>
      </c>
      <c r="N688" s="866" t="n">
        <f aca="false">M688/H686</f>
        <v>11</v>
      </c>
      <c r="O688" s="545" t="s">
        <v>396</v>
      </c>
      <c r="P688" s="1934"/>
      <c r="Q688" s="1934"/>
      <c r="R688" s="1935"/>
    </row>
    <row r="689" customFormat="false" ht="14.25" hidden="false" customHeight="false" outlineLevel="0" collapsed="false">
      <c r="A689" s="829"/>
      <c r="B689" s="830"/>
      <c r="C689" s="1965"/>
      <c r="D689" s="1501" t="s">
        <v>5</v>
      </c>
      <c r="E689" s="1501" t="s">
        <v>1651</v>
      </c>
      <c r="F689" s="832"/>
      <c r="G689" s="2010"/>
      <c r="H689" s="837"/>
      <c r="I689" s="837"/>
      <c r="J689" s="1059"/>
      <c r="K689" s="943"/>
      <c r="L689" s="1381" t="n">
        <v>88538.4</v>
      </c>
      <c r="M689" s="890" t="n">
        <v>3000</v>
      </c>
      <c r="N689" s="890" t="n">
        <f aca="false">M689/H686</f>
        <v>200</v>
      </c>
      <c r="O689" s="1938" t="s">
        <v>395</v>
      </c>
      <c r="P689" s="1934"/>
      <c r="Q689" s="1934"/>
      <c r="R689" s="1935"/>
    </row>
    <row r="690" customFormat="false" ht="14.25" hidden="false" customHeight="false" outlineLevel="0" collapsed="false">
      <c r="A690" s="829" t="n">
        <v>266</v>
      </c>
      <c r="B690" s="830" t="n">
        <v>2024</v>
      </c>
      <c r="C690" s="1965" t="n">
        <v>45870</v>
      </c>
      <c r="D690" s="1365" t="s">
        <v>5</v>
      </c>
      <c r="E690" s="1365" t="s">
        <v>1651</v>
      </c>
      <c r="F690" s="832" t="s">
        <v>3375</v>
      </c>
      <c r="G690" s="2010" t="n">
        <v>56</v>
      </c>
      <c r="H690" s="837" t="n">
        <v>15</v>
      </c>
      <c r="I690" s="837" t="n">
        <f aca="false">G690*H690</f>
        <v>840</v>
      </c>
      <c r="J690" s="1059" t="n">
        <v>37.945</v>
      </c>
      <c r="K690" s="943" t="n">
        <f aca="false">I690*J690</f>
        <v>31873.8</v>
      </c>
      <c r="L690" s="1665" t="n">
        <v>1138.35</v>
      </c>
      <c r="M690" s="886" t="n">
        <v>30</v>
      </c>
      <c r="N690" s="886" t="n">
        <f aca="false">M690/H690</f>
        <v>2</v>
      </c>
      <c r="O690" s="1595" t="s">
        <v>392</v>
      </c>
      <c r="P690" s="1948" t="n">
        <f aca="false">K690-L690-L693-L692-L691</f>
        <v>0</v>
      </c>
      <c r="Q690" s="1934" t="n">
        <f aca="false">I690-M690-M693-M692-M691</f>
        <v>0</v>
      </c>
      <c r="R690" s="1935" t="n">
        <f aca="false">G690-N690-N693-N692-N691</f>
        <v>0</v>
      </c>
    </row>
    <row r="691" customFormat="false" ht="14.25" hidden="false" customHeight="false" outlineLevel="0" collapsed="false">
      <c r="A691" s="829"/>
      <c r="B691" s="830"/>
      <c r="C691" s="1965"/>
      <c r="D691" s="1479" t="s">
        <v>5</v>
      </c>
      <c r="E691" s="1479" t="s">
        <v>1651</v>
      </c>
      <c r="F691" s="832"/>
      <c r="G691" s="2010"/>
      <c r="H691" s="837"/>
      <c r="I691" s="837"/>
      <c r="J691" s="1059"/>
      <c r="K691" s="943"/>
      <c r="L691" s="1521" t="n">
        <v>-1138.35</v>
      </c>
      <c r="M691" s="866" t="n">
        <v>-30</v>
      </c>
      <c r="N691" s="866" t="n">
        <v>-2</v>
      </c>
      <c r="O691" s="545" t="s">
        <v>1634</v>
      </c>
      <c r="P691" s="1948"/>
      <c r="Q691" s="1934"/>
      <c r="R691" s="1935"/>
    </row>
    <row r="692" customFormat="false" ht="14.25" hidden="false" customHeight="false" outlineLevel="0" collapsed="false">
      <c r="A692" s="829"/>
      <c r="B692" s="830"/>
      <c r="C692" s="1965"/>
      <c r="D692" s="1480" t="s">
        <v>5</v>
      </c>
      <c r="E692" s="1480" t="s">
        <v>1651</v>
      </c>
      <c r="F692" s="832"/>
      <c r="G692" s="2010"/>
      <c r="H692" s="837"/>
      <c r="I692" s="837"/>
      <c r="J692" s="1059"/>
      <c r="K692" s="943"/>
      <c r="L692" s="1521" t="n">
        <v>9106.8</v>
      </c>
      <c r="M692" s="866" t="n">
        <v>240</v>
      </c>
      <c r="N692" s="866" t="n">
        <f aca="false">M692/H690</f>
        <v>16</v>
      </c>
      <c r="O692" s="545" t="s">
        <v>3438</v>
      </c>
      <c r="P692" s="1948"/>
      <c r="Q692" s="1934"/>
      <c r="R692" s="1935"/>
    </row>
    <row r="693" customFormat="false" ht="14.25" hidden="false" customHeight="false" outlineLevel="0" collapsed="false">
      <c r="A693" s="829"/>
      <c r="B693" s="830"/>
      <c r="C693" s="1965"/>
      <c r="D693" s="1501" t="s">
        <v>5</v>
      </c>
      <c r="E693" s="1501" t="s">
        <v>1651</v>
      </c>
      <c r="F693" s="832"/>
      <c r="G693" s="2010"/>
      <c r="H693" s="837"/>
      <c r="I693" s="837"/>
      <c r="J693" s="1059"/>
      <c r="K693" s="943"/>
      <c r="L693" s="1381" t="n">
        <v>22767</v>
      </c>
      <c r="M693" s="890" t="n">
        <v>600</v>
      </c>
      <c r="N693" s="890" t="n">
        <f aca="false">M693/H690</f>
        <v>40</v>
      </c>
      <c r="O693" s="1938" t="s">
        <v>392</v>
      </c>
      <c r="P693" s="1948"/>
      <c r="Q693" s="1934"/>
      <c r="R693" s="1935"/>
    </row>
    <row r="694" customFormat="false" ht="14.25" hidden="false" customHeight="false" outlineLevel="0" collapsed="false">
      <c r="A694" s="882" t="n">
        <v>275</v>
      </c>
      <c r="B694" s="830" t="n">
        <v>2024</v>
      </c>
      <c r="C694" s="1965" t="n">
        <v>45870</v>
      </c>
      <c r="D694" s="1365" t="s">
        <v>5</v>
      </c>
      <c r="E694" s="1365" t="s">
        <v>1652</v>
      </c>
      <c r="F694" s="832" t="s">
        <v>3364</v>
      </c>
      <c r="G694" s="2010" t="n">
        <v>570</v>
      </c>
      <c r="H694" s="837" t="n">
        <v>15</v>
      </c>
      <c r="I694" s="837" t="n">
        <f aca="false">G694*H694</f>
        <v>8550</v>
      </c>
      <c r="J694" s="1059" t="n">
        <v>37.2514</v>
      </c>
      <c r="K694" s="943" t="n">
        <f aca="false">I694*J694</f>
        <v>318499.47</v>
      </c>
      <c r="L694" s="1665" t="n">
        <v>183276.888</v>
      </c>
      <c r="M694" s="886" t="n">
        <v>4920</v>
      </c>
      <c r="N694" s="886" t="n">
        <f aca="false">M694/H694</f>
        <v>328</v>
      </c>
      <c r="O694" s="1595" t="s">
        <v>404</v>
      </c>
      <c r="P694" s="1948" t="n">
        <f aca="false">K694-L694-L700-L699-L695-L698-L696-L697</f>
        <v>558.770999999962</v>
      </c>
      <c r="Q694" s="1934" t="n">
        <f aca="false">I694-M694-M700-M699-M695-M698-M696-M697</f>
        <v>15</v>
      </c>
      <c r="R694" s="1935" t="n">
        <f aca="false">G694-N694-N700-N699-N695-N698-N696-N697</f>
        <v>1</v>
      </c>
    </row>
    <row r="695" customFormat="false" ht="14.25" hidden="false" customHeight="false" outlineLevel="0" collapsed="false">
      <c r="A695" s="882"/>
      <c r="B695" s="830"/>
      <c r="C695" s="1965"/>
      <c r="D695" s="1479" t="s">
        <v>5</v>
      </c>
      <c r="E695" s="1479" t="s">
        <v>1652</v>
      </c>
      <c r="F695" s="832"/>
      <c r="G695" s="2010"/>
      <c r="H695" s="837"/>
      <c r="I695" s="837"/>
      <c r="J695" s="1059"/>
      <c r="K695" s="943"/>
      <c r="L695" s="1521" t="n">
        <v>82139.337</v>
      </c>
      <c r="M695" s="866" t="n">
        <v>2205</v>
      </c>
      <c r="N695" s="866" t="n">
        <f aca="false">M695/H694</f>
        <v>147</v>
      </c>
      <c r="O695" s="545" t="s">
        <v>684</v>
      </c>
      <c r="P695" s="1948"/>
      <c r="Q695" s="1934"/>
      <c r="R695" s="1935"/>
    </row>
    <row r="696" customFormat="false" ht="14.25" hidden="false" customHeight="false" outlineLevel="0" collapsed="false">
      <c r="A696" s="882"/>
      <c r="B696" s="830"/>
      <c r="C696" s="1965"/>
      <c r="D696" s="1479" t="s">
        <v>5</v>
      </c>
      <c r="E696" s="1479" t="s">
        <v>1652</v>
      </c>
      <c r="F696" s="832"/>
      <c r="G696" s="2010"/>
      <c r="H696" s="837"/>
      <c r="I696" s="837"/>
      <c r="J696" s="1059"/>
      <c r="K696" s="943"/>
      <c r="L696" s="1521" t="n">
        <v>-108401.574</v>
      </c>
      <c r="M696" s="866" t="n">
        <v>-2910</v>
      </c>
      <c r="N696" s="866" t="n">
        <f aca="false">M696/H694</f>
        <v>-194</v>
      </c>
      <c r="O696" s="545" t="s">
        <v>1634</v>
      </c>
      <c r="P696" s="1948"/>
      <c r="Q696" s="1934"/>
      <c r="R696" s="1935"/>
    </row>
    <row r="697" customFormat="false" ht="14.25" hidden="false" customHeight="false" outlineLevel="0" collapsed="false">
      <c r="A697" s="882"/>
      <c r="B697" s="830"/>
      <c r="C697" s="1965"/>
      <c r="D697" s="1479" t="s">
        <v>5</v>
      </c>
      <c r="E697" s="1479" t="s">
        <v>1652</v>
      </c>
      <c r="F697" s="832"/>
      <c r="G697" s="2010"/>
      <c r="H697" s="837"/>
      <c r="I697" s="837"/>
      <c r="J697" s="1059"/>
      <c r="K697" s="943"/>
      <c r="L697" s="1521" t="n">
        <v>11175.42</v>
      </c>
      <c r="M697" s="866" t="n">
        <v>300</v>
      </c>
      <c r="N697" s="866" t="n">
        <f aca="false">M697/H694</f>
        <v>20</v>
      </c>
      <c r="O697" s="545" t="s">
        <v>1375</v>
      </c>
      <c r="P697" s="1948"/>
      <c r="Q697" s="1934"/>
      <c r="R697" s="1935"/>
    </row>
    <row r="698" customFormat="false" ht="14.25" hidden="false" customHeight="false" outlineLevel="0" collapsed="false">
      <c r="A698" s="882"/>
      <c r="B698" s="830"/>
      <c r="C698" s="1965"/>
      <c r="D698" s="1479" t="s">
        <v>5</v>
      </c>
      <c r="E698" s="1479" t="s">
        <v>1652</v>
      </c>
      <c r="F698" s="832"/>
      <c r="G698" s="2010"/>
      <c r="H698" s="837"/>
      <c r="I698" s="837"/>
      <c r="J698" s="1059"/>
      <c r="K698" s="943"/>
      <c r="L698" s="1521" t="n">
        <v>63699.894</v>
      </c>
      <c r="M698" s="866" t="n">
        <v>1710</v>
      </c>
      <c r="N698" s="866" t="n">
        <f aca="false">M698/H694</f>
        <v>114</v>
      </c>
      <c r="O698" s="545" t="s">
        <v>1221</v>
      </c>
      <c r="P698" s="1948"/>
      <c r="Q698" s="1934"/>
      <c r="R698" s="1935"/>
    </row>
    <row r="699" customFormat="false" ht="14.25" hidden="false" customHeight="false" outlineLevel="0" collapsed="false">
      <c r="A699" s="882"/>
      <c r="B699" s="830"/>
      <c r="C699" s="1965"/>
      <c r="D699" s="1480" t="s">
        <v>5</v>
      </c>
      <c r="E699" s="1480" t="s">
        <v>1652</v>
      </c>
      <c r="F699" s="832"/>
      <c r="G699" s="2010"/>
      <c r="H699" s="837"/>
      <c r="I699" s="837"/>
      <c r="J699" s="1059"/>
      <c r="K699" s="943"/>
      <c r="L699" s="1521" t="n">
        <v>3911.397</v>
      </c>
      <c r="M699" s="866" t="n">
        <v>105</v>
      </c>
      <c r="N699" s="866" t="n">
        <f aca="false">M699/H694</f>
        <v>7</v>
      </c>
      <c r="O699" s="545" t="s">
        <v>595</v>
      </c>
      <c r="P699" s="1948"/>
      <c r="Q699" s="1934"/>
      <c r="R699" s="1935"/>
    </row>
    <row r="700" customFormat="false" ht="14.25" hidden="false" customHeight="false" outlineLevel="0" collapsed="false">
      <c r="A700" s="882"/>
      <c r="B700" s="830"/>
      <c r="C700" s="1965"/>
      <c r="D700" s="1501" t="s">
        <v>5</v>
      </c>
      <c r="E700" s="1501" t="s">
        <v>1652</v>
      </c>
      <c r="F700" s="832"/>
      <c r="G700" s="2010"/>
      <c r="H700" s="837"/>
      <c r="I700" s="837"/>
      <c r="J700" s="1059"/>
      <c r="K700" s="943"/>
      <c r="L700" s="1381" t="n">
        <v>82139.337</v>
      </c>
      <c r="M700" s="890" t="n">
        <v>2205</v>
      </c>
      <c r="N700" s="890" t="n">
        <f aca="false">M700/H694</f>
        <v>147</v>
      </c>
      <c r="O700" s="1938" t="s">
        <v>595</v>
      </c>
      <c r="P700" s="1948"/>
      <c r="Q700" s="1934"/>
      <c r="R700" s="1935"/>
    </row>
    <row r="701" customFormat="false" ht="14.25" hidden="false" customHeight="false" outlineLevel="0" collapsed="false">
      <c r="A701" s="903" t="n">
        <v>276</v>
      </c>
      <c r="B701" s="903" t="n">
        <v>2024</v>
      </c>
      <c r="C701" s="1974" t="n">
        <v>45870</v>
      </c>
      <c r="D701" s="1351" t="s">
        <v>5</v>
      </c>
      <c r="E701" s="1351" t="s">
        <v>1651</v>
      </c>
      <c r="F701" s="904" t="s">
        <v>3364</v>
      </c>
      <c r="G701" s="2012" t="n">
        <v>376</v>
      </c>
      <c r="H701" s="942" t="n">
        <v>15</v>
      </c>
      <c r="I701" s="1355" t="n">
        <f aca="false">G701*H701</f>
        <v>5640</v>
      </c>
      <c r="J701" s="1406" t="n">
        <v>30.6204</v>
      </c>
      <c r="K701" s="1942" t="n">
        <f aca="false">I701*J701</f>
        <v>172699.056</v>
      </c>
      <c r="L701" s="1355" t="n">
        <v>172699.056</v>
      </c>
      <c r="M701" s="891" t="n">
        <v>5640</v>
      </c>
      <c r="N701" s="891" t="n">
        <f aca="false">M701/H701</f>
        <v>376</v>
      </c>
      <c r="O701" s="1943" t="s">
        <v>396</v>
      </c>
      <c r="P701" s="1947" t="n">
        <f aca="false">K701-L701</f>
        <v>0</v>
      </c>
      <c r="Q701" s="2000" t="n">
        <f aca="false">I701-M701</f>
        <v>0</v>
      </c>
      <c r="R701" s="2000" t="n">
        <f aca="false">G701-N701</f>
        <v>0</v>
      </c>
    </row>
    <row r="702" customFormat="false" ht="14.25" hidden="false" customHeight="false" outlineLevel="0" collapsed="false">
      <c r="A702" s="829" t="n">
        <v>277</v>
      </c>
      <c r="B702" s="830" t="n">
        <v>2024</v>
      </c>
      <c r="C702" s="1965" t="n">
        <v>45870</v>
      </c>
      <c r="D702" s="1365" t="s">
        <v>5</v>
      </c>
      <c r="E702" s="1365" t="s">
        <v>1651</v>
      </c>
      <c r="F702" s="832" t="s">
        <v>3364</v>
      </c>
      <c r="G702" s="2010" t="n">
        <v>666</v>
      </c>
      <c r="H702" s="837" t="n">
        <v>15</v>
      </c>
      <c r="I702" s="837" t="n">
        <f aca="false">G702*H702</f>
        <v>9990</v>
      </c>
      <c r="J702" s="1059" t="n">
        <v>30.6204</v>
      </c>
      <c r="K702" s="943" t="n">
        <f aca="false">I702*J702</f>
        <v>305897.796</v>
      </c>
      <c r="L702" s="1369" t="n">
        <v>918.612</v>
      </c>
      <c r="M702" s="840" t="n">
        <v>30</v>
      </c>
      <c r="N702" s="886" t="n">
        <f aca="false">M702/H702</f>
        <v>2</v>
      </c>
      <c r="O702" s="578" t="s">
        <v>394</v>
      </c>
      <c r="P702" s="1948" t="n">
        <f aca="false">K702-L702-L706-L703-L705-L704</f>
        <v>0</v>
      </c>
      <c r="Q702" s="1934" t="n">
        <f aca="false">I702-M702-M706-M703-M705-M704</f>
        <v>0</v>
      </c>
      <c r="R702" s="1935" t="n">
        <f aca="false">G702-N702-N706-N703-N705-N704</f>
        <v>0</v>
      </c>
    </row>
    <row r="703" customFormat="false" ht="14.25" hidden="false" customHeight="false" outlineLevel="0" collapsed="false">
      <c r="A703" s="829"/>
      <c r="B703" s="830"/>
      <c r="C703" s="1965"/>
      <c r="D703" s="1480" t="s">
        <v>5</v>
      </c>
      <c r="E703" s="1480" t="s">
        <v>1651</v>
      </c>
      <c r="F703" s="832"/>
      <c r="G703" s="2010"/>
      <c r="H703" s="837"/>
      <c r="I703" s="837"/>
      <c r="J703" s="1059"/>
      <c r="K703" s="943"/>
      <c r="L703" s="1521" t="n">
        <v>15616.404</v>
      </c>
      <c r="M703" s="866" t="n">
        <v>510</v>
      </c>
      <c r="N703" s="866" t="n">
        <f aca="false">M703/H702</f>
        <v>34</v>
      </c>
      <c r="O703" s="545" t="s">
        <v>402</v>
      </c>
      <c r="P703" s="1948"/>
      <c r="Q703" s="1934"/>
      <c r="R703" s="1935"/>
    </row>
    <row r="704" customFormat="false" ht="14.25" hidden="false" customHeight="false" outlineLevel="0" collapsed="false">
      <c r="A704" s="829"/>
      <c r="B704" s="830"/>
      <c r="C704" s="1965"/>
      <c r="D704" s="1480" t="s">
        <v>5</v>
      </c>
      <c r="E704" s="1480" t="s">
        <v>1651</v>
      </c>
      <c r="F704" s="832"/>
      <c r="G704" s="2010"/>
      <c r="H704" s="837"/>
      <c r="I704" s="837"/>
      <c r="J704" s="1059"/>
      <c r="K704" s="943"/>
      <c r="L704" s="1521" t="n">
        <v>91861.2</v>
      </c>
      <c r="M704" s="866" t="n">
        <v>3000</v>
      </c>
      <c r="N704" s="866" t="n">
        <f aca="false">M704/H702</f>
        <v>200</v>
      </c>
      <c r="O704" s="545" t="s">
        <v>415</v>
      </c>
      <c r="P704" s="1948"/>
      <c r="Q704" s="1934"/>
      <c r="R704" s="1935"/>
    </row>
    <row r="705" customFormat="false" ht="14.25" hidden="false" customHeight="false" outlineLevel="0" collapsed="false">
      <c r="A705" s="829"/>
      <c r="B705" s="830"/>
      <c r="C705" s="1965"/>
      <c r="D705" s="1480" t="s">
        <v>5</v>
      </c>
      <c r="E705" s="1480" t="s">
        <v>1651</v>
      </c>
      <c r="F705" s="832"/>
      <c r="G705" s="2010"/>
      <c r="H705" s="837"/>
      <c r="I705" s="837"/>
      <c r="J705" s="1059"/>
      <c r="K705" s="943"/>
      <c r="L705" s="1521" t="n">
        <v>191530.602</v>
      </c>
      <c r="M705" s="866" t="n">
        <v>6255</v>
      </c>
      <c r="N705" s="866" t="n">
        <f aca="false">M705/H702</f>
        <v>417</v>
      </c>
      <c r="O705" s="545" t="s">
        <v>404</v>
      </c>
      <c r="P705" s="1948"/>
      <c r="Q705" s="1934"/>
      <c r="R705" s="1935"/>
    </row>
    <row r="706" customFormat="false" ht="14.25" hidden="false" customHeight="false" outlineLevel="0" collapsed="false">
      <c r="A706" s="829"/>
      <c r="B706" s="830"/>
      <c r="C706" s="1965"/>
      <c r="D706" s="1357" t="s">
        <v>5</v>
      </c>
      <c r="E706" s="1357" t="s">
        <v>1651</v>
      </c>
      <c r="F706" s="832"/>
      <c r="G706" s="2010"/>
      <c r="H706" s="837"/>
      <c r="I706" s="837"/>
      <c r="J706" s="1059"/>
      <c r="K706" s="943"/>
      <c r="L706" s="1362" t="n">
        <v>5970.978</v>
      </c>
      <c r="M706" s="846" t="n">
        <v>195</v>
      </c>
      <c r="N706" s="846" t="n">
        <f aca="false">M706/H702</f>
        <v>13</v>
      </c>
      <c r="O706" s="1936" t="s">
        <v>396</v>
      </c>
      <c r="P706" s="1948"/>
      <c r="Q706" s="1934"/>
      <c r="R706" s="1935"/>
    </row>
    <row r="707" customFormat="false" ht="14.25" hidden="false" customHeight="false" outlineLevel="0" collapsed="false">
      <c r="A707" s="829" t="n">
        <v>278</v>
      </c>
      <c r="B707" s="830" t="n">
        <v>2024</v>
      </c>
      <c r="C707" s="1965" t="n">
        <v>45870</v>
      </c>
      <c r="D707" s="1365" t="s">
        <v>5</v>
      </c>
      <c r="E707" s="1365" t="s">
        <v>1651</v>
      </c>
      <c r="F707" s="832" t="s">
        <v>3364</v>
      </c>
      <c r="G707" s="2010" t="n">
        <v>600</v>
      </c>
      <c r="H707" s="837" t="n">
        <v>15</v>
      </c>
      <c r="I707" s="837" t="n">
        <f aca="false">G707*H707</f>
        <v>9000</v>
      </c>
      <c r="J707" s="1059" t="n">
        <v>30.6204</v>
      </c>
      <c r="K707" s="943" t="n">
        <f aca="false">I707*J707</f>
        <v>275583.6</v>
      </c>
      <c r="L707" s="1665" t="n">
        <v>18831.546</v>
      </c>
      <c r="M707" s="886" t="n">
        <v>615</v>
      </c>
      <c r="N707" s="886" t="n">
        <f aca="false">M707/H707</f>
        <v>41</v>
      </c>
      <c r="O707" s="1595" t="s">
        <v>401</v>
      </c>
      <c r="P707" s="1948" t="n">
        <f aca="false">K707-L707-L710-L709-L708</f>
        <v>0</v>
      </c>
      <c r="Q707" s="1934" t="n">
        <f aca="false">I707-M707-M710-M709-M708</f>
        <v>0</v>
      </c>
      <c r="R707" s="1935" t="n">
        <f aca="false">G707-N707-N710-N709-N708</f>
        <v>0</v>
      </c>
    </row>
    <row r="708" customFormat="false" ht="14.25" hidden="false" customHeight="false" outlineLevel="0" collapsed="false">
      <c r="A708" s="829"/>
      <c r="B708" s="830"/>
      <c r="C708" s="1965"/>
      <c r="D708" s="1479" t="s">
        <v>5</v>
      </c>
      <c r="E708" s="1479" t="s">
        <v>1651</v>
      </c>
      <c r="F708" s="832"/>
      <c r="G708" s="2010"/>
      <c r="H708" s="837"/>
      <c r="I708" s="837"/>
      <c r="J708" s="1059"/>
      <c r="K708" s="943"/>
      <c r="L708" s="1521" t="n">
        <v>19750.158</v>
      </c>
      <c r="M708" s="866" t="n">
        <v>645</v>
      </c>
      <c r="N708" s="866" t="n">
        <f aca="false">M708/H707</f>
        <v>43</v>
      </c>
      <c r="O708" s="545" t="s">
        <v>413</v>
      </c>
      <c r="P708" s="1948"/>
      <c r="Q708" s="1934"/>
      <c r="R708" s="1935"/>
    </row>
    <row r="709" customFormat="false" ht="14.25" hidden="false" customHeight="false" outlineLevel="0" collapsed="false">
      <c r="A709" s="829"/>
      <c r="B709" s="830"/>
      <c r="C709" s="1965"/>
      <c r="D709" s="1480" t="s">
        <v>5</v>
      </c>
      <c r="E709" s="1480" t="s">
        <v>1651</v>
      </c>
      <c r="F709" s="832"/>
      <c r="G709" s="2010"/>
      <c r="H709" s="837"/>
      <c r="I709" s="837"/>
      <c r="J709" s="1059"/>
      <c r="K709" s="943"/>
      <c r="L709" s="1521" t="n">
        <v>122634.702</v>
      </c>
      <c r="M709" s="866" t="n">
        <v>4005</v>
      </c>
      <c r="N709" s="866" t="n">
        <f aca="false">M709/H707</f>
        <v>267</v>
      </c>
      <c r="O709" s="545" t="s">
        <v>412</v>
      </c>
      <c r="P709" s="1948"/>
      <c r="Q709" s="1934"/>
      <c r="R709" s="1935"/>
    </row>
    <row r="710" customFormat="false" ht="14.25" hidden="false" customHeight="false" outlineLevel="0" collapsed="false">
      <c r="A710" s="829"/>
      <c r="B710" s="830"/>
      <c r="C710" s="1965"/>
      <c r="D710" s="1501" t="s">
        <v>5</v>
      </c>
      <c r="E710" s="1501" t="s">
        <v>1651</v>
      </c>
      <c r="F710" s="832"/>
      <c r="G710" s="2010"/>
      <c r="H710" s="837"/>
      <c r="I710" s="837"/>
      <c r="J710" s="1059"/>
      <c r="K710" s="943"/>
      <c r="L710" s="1381" t="n">
        <v>114367.194</v>
      </c>
      <c r="M710" s="890" t="n">
        <v>3735</v>
      </c>
      <c r="N710" s="890" t="n">
        <f aca="false">M710/H707</f>
        <v>249</v>
      </c>
      <c r="O710" s="1938" t="s">
        <v>404</v>
      </c>
      <c r="P710" s="1948"/>
      <c r="Q710" s="1934"/>
      <c r="R710" s="1935"/>
    </row>
    <row r="711" customFormat="false" ht="14.25" hidden="false" customHeight="false" outlineLevel="0" collapsed="false">
      <c r="A711" s="829" t="n">
        <v>279</v>
      </c>
      <c r="B711" s="830" t="n">
        <v>2024</v>
      </c>
      <c r="C711" s="1965" t="n">
        <v>45870</v>
      </c>
      <c r="D711" s="1365" t="s">
        <v>5</v>
      </c>
      <c r="E711" s="1365" t="s">
        <v>1651</v>
      </c>
      <c r="F711" s="830" t="s">
        <v>3364</v>
      </c>
      <c r="G711" s="2010" t="n">
        <v>666</v>
      </c>
      <c r="H711" s="837" t="n">
        <v>15</v>
      </c>
      <c r="I711" s="837" t="n">
        <f aca="false">G711*H711</f>
        <v>9990</v>
      </c>
      <c r="J711" s="1059" t="n">
        <v>30.6204</v>
      </c>
      <c r="K711" s="943" t="n">
        <f aca="false">I711*J711</f>
        <v>305897.796</v>
      </c>
      <c r="L711" s="1369" t="n">
        <v>91861.2</v>
      </c>
      <c r="M711" s="840" t="n">
        <v>3000</v>
      </c>
      <c r="N711" s="840" t="n">
        <f aca="false">M711/H711</f>
        <v>200</v>
      </c>
      <c r="O711" s="578" t="s">
        <v>419</v>
      </c>
      <c r="P711" s="1948" t="n">
        <f aca="false">K711-L711-L712</f>
        <v>0</v>
      </c>
      <c r="Q711" s="1934" t="n">
        <f aca="false">I711-M711-M712</f>
        <v>0</v>
      </c>
      <c r="R711" s="1935" t="n">
        <f aca="false">G711-N711-N712</f>
        <v>0</v>
      </c>
    </row>
    <row r="712" customFormat="false" ht="14.25" hidden="false" customHeight="false" outlineLevel="0" collapsed="false">
      <c r="A712" s="829"/>
      <c r="B712" s="830"/>
      <c r="C712" s="1965"/>
      <c r="D712" s="1357" t="s">
        <v>5</v>
      </c>
      <c r="E712" s="1357" t="s">
        <v>1651</v>
      </c>
      <c r="F712" s="830"/>
      <c r="G712" s="2010"/>
      <c r="H712" s="837"/>
      <c r="I712" s="837"/>
      <c r="J712" s="1059"/>
      <c r="K712" s="943"/>
      <c r="L712" s="1362" t="n">
        <v>214036.596</v>
      </c>
      <c r="M712" s="846" t="n">
        <v>6990</v>
      </c>
      <c r="N712" s="846" t="n">
        <f aca="false">M712/H711</f>
        <v>466</v>
      </c>
      <c r="O712" s="1936" t="s">
        <v>404</v>
      </c>
      <c r="P712" s="1948"/>
      <c r="Q712" s="1934"/>
      <c r="R712" s="1935"/>
    </row>
    <row r="713" customFormat="false" ht="14.25" hidden="false" customHeight="false" outlineLevel="0" collapsed="false">
      <c r="A713" s="829" t="n">
        <v>280</v>
      </c>
      <c r="B713" s="830" t="n">
        <v>2024</v>
      </c>
      <c r="C713" s="1965" t="n">
        <v>45870</v>
      </c>
      <c r="D713" s="1365" t="s">
        <v>5</v>
      </c>
      <c r="E713" s="1365" t="s">
        <v>1651</v>
      </c>
      <c r="F713" s="832" t="s">
        <v>3364</v>
      </c>
      <c r="G713" s="2010" t="n">
        <v>666</v>
      </c>
      <c r="H713" s="1075" t="n">
        <v>15</v>
      </c>
      <c r="I713" s="837" t="n">
        <f aca="false">G713*H713</f>
        <v>9990</v>
      </c>
      <c r="J713" s="1059" t="n">
        <v>30.6204</v>
      </c>
      <c r="K713" s="943" t="n">
        <f aca="false">I713*J713</f>
        <v>305897.796</v>
      </c>
      <c r="L713" s="1369" t="n">
        <v>133658.046</v>
      </c>
      <c r="M713" s="840" t="n">
        <v>4365</v>
      </c>
      <c r="N713" s="886" t="n">
        <f aca="false">M713/H713</f>
        <v>291</v>
      </c>
      <c r="O713" s="578" t="s">
        <v>413</v>
      </c>
      <c r="P713" s="1948" t="n">
        <f aca="false">K713-L713-L717-L714-L716-L715</f>
        <v>0</v>
      </c>
      <c r="Q713" s="1934" t="n">
        <f aca="false">I713-M713-M717-M714-M716-M715</f>
        <v>0</v>
      </c>
      <c r="R713" s="1935" t="n">
        <f aca="false">G713-N713-N717-N714-N716-N715</f>
        <v>0</v>
      </c>
    </row>
    <row r="714" customFormat="false" ht="14.25" hidden="false" customHeight="false" outlineLevel="0" collapsed="false">
      <c r="A714" s="829"/>
      <c r="B714" s="830"/>
      <c r="C714" s="1965"/>
      <c r="D714" s="1480" t="s">
        <v>5</v>
      </c>
      <c r="E714" s="1480" t="s">
        <v>1651</v>
      </c>
      <c r="F714" s="832"/>
      <c r="G714" s="2010"/>
      <c r="H714" s="1075"/>
      <c r="I714" s="837"/>
      <c r="J714" s="1059"/>
      <c r="K714" s="943"/>
      <c r="L714" s="1521" t="n">
        <v>45930.6</v>
      </c>
      <c r="M714" s="866" t="n">
        <v>1500</v>
      </c>
      <c r="N714" s="866" t="n">
        <f aca="false">M714/H713</f>
        <v>100</v>
      </c>
      <c r="O714" s="545" t="s">
        <v>425</v>
      </c>
      <c r="P714" s="1948"/>
      <c r="Q714" s="1934"/>
      <c r="R714" s="1935"/>
    </row>
    <row r="715" customFormat="false" ht="14.25" hidden="false" customHeight="false" outlineLevel="0" collapsed="false">
      <c r="A715" s="829"/>
      <c r="B715" s="830"/>
      <c r="C715" s="1965"/>
      <c r="D715" s="1480" t="s">
        <v>5</v>
      </c>
      <c r="E715" s="1480" t="s">
        <v>1651</v>
      </c>
      <c r="F715" s="832"/>
      <c r="G715" s="2010"/>
      <c r="H715" s="1075"/>
      <c r="I715" s="837"/>
      <c r="J715" s="1059"/>
      <c r="K715" s="943"/>
      <c r="L715" s="1521" t="n">
        <v>107936.91</v>
      </c>
      <c r="M715" s="866" t="n">
        <v>3525</v>
      </c>
      <c r="N715" s="866" t="n">
        <f aca="false">M715/H713</f>
        <v>235</v>
      </c>
      <c r="O715" s="545" t="s">
        <v>404</v>
      </c>
      <c r="P715" s="1948"/>
      <c r="Q715" s="1934"/>
      <c r="R715" s="1935"/>
    </row>
    <row r="716" customFormat="false" ht="14.25" hidden="false" customHeight="false" outlineLevel="0" collapsed="false">
      <c r="A716" s="829"/>
      <c r="B716" s="830"/>
      <c r="C716" s="1965"/>
      <c r="D716" s="1480" t="s">
        <v>5</v>
      </c>
      <c r="E716" s="1480" t="s">
        <v>1651</v>
      </c>
      <c r="F716" s="832"/>
      <c r="G716" s="2010"/>
      <c r="H716" s="1075"/>
      <c r="I716" s="837"/>
      <c r="J716" s="1059"/>
      <c r="K716" s="943"/>
      <c r="L716" s="1521" t="n">
        <v>2755.836</v>
      </c>
      <c r="M716" s="866" t="n">
        <v>90</v>
      </c>
      <c r="N716" s="866" t="n">
        <f aca="false">M716/H713</f>
        <v>6</v>
      </c>
      <c r="O716" s="545" t="s">
        <v>430</v>
      </c>
      <c r="P716" s="1948"/>
      <c r="Q716" s="1934"/>
      <c r="R716" s="1935"/>
    </row>
    <row r="717" customFormat="false" ht="14.25" hidden="false" customHeight="false" outlineLevel="0" collapsed="false">
      <c r="A717" s="829"/>
      <c r="B717" s="830"/>
      <c r="C717" s="1965"/>
      <c r="D717" s="1357" t="s">
        <v>5</v>
      </c>
      <c r="E717" s="1357" t="s">
        <v>1651</v>
      </c>
      <c r="F717" s="832"/>
      <c r="G717" s="2010"/>
      <c r="H717" s="1075"/>
      <c r="I717" s="837"/>
      <c r="J717" s="1059"/>
      <c r="K717" s="943"/>
      <c r="L717" s="1362" t="n">
        <v>15616.404</v>
      </c>
      <c r="M717" s="846" t="n">
        <v>510</v>
      </c>
      <c r="N717" s="846" t="n">
        <f aca="false">M717/H713</f>
        <v>34</v>
      </c>
      <c r="O717" s="1936" t="s">
        <v>423</v>
      </c>
      <c r="P717" s="1948"/>
      <c r="Q717" s="1934"/>
      <c r="R717" s="1935"/>
    </row>
    <row r="718" customFormat="false" ht="14.25" hidden="false" customHeight="false" outlineLevel="0" collapsed="false">
      <c r="A718" s="882" t="n">
        <v>281</v>
      </c>
      <c r="B718" s="830" t="n">
        <v>2024</v>
      </c>
      <c r="C718" s="1965" t="n">
        <v>45870</v>
      </c>
      <c r="D718" s="1365" t="s">
        <v>5</v>
      </c>
      <c r="E718" s="1365" t="s">
        <v>1651</v>
      </c>
      <c r="F718" s="832" t="s">
        <v>3364</v>
      </c>
      <c r="G718" s="2010" t="n">
        <v>666</v>
      </c>
      <c r="H718" s="837" t="n">
        <v>15</v>
      </c>
      <c r="I718" s="837" t="n">
        <f aca="false">G718*H718</f>
        <v>9990</v>
      </c>
      <c r="J718" s="1059" t="n">
        <v>30.6204</v>
      </c>
      <c r="K718" s="943" t="n">
        <f aca="false">I718*J718</f>
        <v>305897.796</v>
      </c>
      <c r="L718" s="1369" t="n">
        <v>39041.01</v>
      </c>
      <c r="M718" s="840" t="n">
        <v>1275</v>
      </c>
      <c r="N718" s="886" t="n">
        <f aca="false">M718/H718</f>
        <v>85</v>
      </c>
      <c r="O718" s="578" t="s">
        <v>423</v>
      </c>
      <c r="P718" s="1948" t="n">
        <f aca="false">K718-L718-L720-L719</f>
        <v>0</v>
      </c>
      <c r="Q718" s="1934" t="n">
        <f aca="false">I718-M718-M720-M719</f>
        <v>0</v>
      </c>
      <c r="R718" s="1935" t="n">
        <f aca="false">G718-N718-N720-N719</f>
        <v>0</v>
      </c>
    </row>
    <row r="719" customFormat="false" ht="14.25" hidden="false" customHeight="false" outlineLevel="0" collapsed="false">
      <c r="A719" s="882"/>
      <c r="B719" s="830"/>
      <c r="C719" s="1965"/>
      <c r="D719" s="1480" t="s">
        <v>5</v>
      </c>
      <c r="E719" s="1480" t="s">
        <v>1651</v>
      </c>
      <c r="F719" s="832"/>
      <c r="G719" s="2010"/>
      <c r="H719" s="837"/>
      <c r="I719" s="837"/>
      <c r="J719" s="1059"/>
      <c r="K719" s="943"/>
      <c r="L719" s="1521" t="n">
        <v>68895.9</v>
      </c>
      <c r="M719" s="866" t="n">
        <v>2250</v>
      </c>
      <c r="N719" s="866" t="n">
        <f aca="false">M719/H718</f>
        <v>150</v>
      </c>
      <c r="O719" s="545" t="s">
        <v>434</v>
      </c>
      <c r="P719" s="1948"/>
      <c r="Q719" s="1934"/>
      <c r="R719" s="1935"/>
    </row>
    <row r="720" customFormat="false" ht="14.25" hidden="false" customHeight="false" outlineLevel="0" collapsed="false">
      <c r="A720" s="882"/>
      <c r="B720" s="830"/>
      <c r="C720" s="1965"/>
      <c r="D720" s="1501" t="s">
        <v>5</v>
      </c>
      <c r="E720" s="1501" t="s">
        <v>1651</v>
      </c>
      <c r="F720" s="832"/>
      <c r="G720" s="2010"/>
      <c r="H720" s="837"/>
      <c r="I720" s="837"/>
      <c r="J720" s="1059"/>
      <c r="K720" s="943"/>
      <c r="L720" s="1381" t="n">
        <v>197960.886</v>
      </c>
      <c r="M720" s="890" t="n">
        <v>6465</v>
      </c>
      <c r="N720" s="890" t="n">
        <f aca="false">M720/H718</f>
        <v>431</v>
      </c>
      <c r="O720" s="1938" t="s">
        <v>404</v>
      </c>
      <c r="P720" s="1948"/>
      <c r="Q720" s="1934"/>
      <c r="R720" s="1935"/>
    </row>
    <row r="721" customFormat="false" ht="14.25" hidden="false" customHeight="false" outlineLevel="0" collapsed="false">
      <c r="A721" s="882" t="n">
        <v>282</v>
      </c>
      <c r="B721" s="830" t="n">
        <v>2024</v>
      </c>
      <c r="C721" s="1965" t="n">
        <v>45870</v>
      </c>
      <c r="D721" s="1365" t="s">
        <v>5</v>
      </c>
      <c r="E721" s="1365" t="s">
        <v>1651</v>
      </c>
      <c r="F721" s="832" t="s">
        <v>3364</v>
      </c>
      <c r="G721" s="2010" t="n">
        <v>296</v>
      </c>
      <c r="H721" s="837" t="n">
        <v>15</v>
      </c>
      <c r="I721" s="837" t="n">
        <f aca="false">G721*H721</f>
        <v>4440</v>
      </c>
      <c r="J721" s="1059" t="n">
        <v>30.6204</v>
      </c>
      <c r="K721" s="943" t="n">
        <f aca="false">I721*J721</f>
        <v>135954.576</v>
      </c>
      <c r="L721" s="1369" t="n">
        <v>110233.44</v>
      </c>
      <c r="M721" s="840" t="n">
        <v>3600</v>
      </c>
      <c r="N721" s="886" t="n">
        <f aca="false">M721/H721</f>
        <v>240</v>
      </c>
      <c r="O721" s="578" t="s">
        <v>392</v>
      </c>
      <c r="P721" s="1934" t="n">
        <f aca="false">K721-L721-L723-L722</f>
        <v>-2.61479726759717E-012</v>
      </c>
      <c r="Q721" s="1934" t="n">
        <f aca="false">I721-M721-M723-M722</f>
        <v>0</v>
      </c>
      <c r="R721" s="1935" t="n">
        <f aca="false">G721-N721-N723-N722</f>
        <v>0</v>
      </c>
    </row>
    <row r="722" customFormat="false" ht="14.25" hidden="false" customHeight="false" outlineLevel="0" collapsed="false">
      <c r="A722" s="882"/>
      <c r="B722" s="830"/>
      <c r="C722" s="1965"/>
      <c r="D722" s="1480" t="s">
        <v>5</v>
      </c>
      <c r="E722" s="1480" t="s">
        <v>1651</v>
      </c>
      <c r="F722" s="832"/>
      <c r="G722" s="2010"/>
      <c r="H722" s="837"/>
      <c r="I722" s="837"/>
      <c r="J722" s="1059"/>
      <c r="K722" s="943"/>
      <c r="L722" s="1521" t="n">
        <v>918.612</v>
      </c>
      <c r="M722" s="866" t="n">
        <v>30</v>
      </c>
      <c r="N722" s="866" t="n">
        <f aca="false">M722/H721</f>
        <v>2</v>
      </c>
      <c r="O722" s="545" t="s">
        <v>1634</v>
      </c>
      <c r="P722" s="1934"/>
      <c r="Q722" s="1934"/>
      <c r="R722" s="1935"/>
    </row>
    <row r="723" customFormat="false" ht="14.25" hidden="false" customHeight="false" outlineLevel="0" collapsed="false">
      <c r="A723" s="882"/>
      <c r="B723" s="830"/>
      <c r="C723" s="1965"/>
      <c r="D723" s="1501" t="s">
        <v>5</v>
      </c>
      <c r="E723" s="1501" t="s">
        <v>1651</v>
      </c>
      <c r="F723" s="832"/>
      <c r="G723" s="2010"/>
      <c r="H723" s="837"/>
      <c r="I723" s="837"/>
      <c r="J723" s="1059"/>
      <c r="K723" s="943"/>
      <c r="L723" s="1381" t="n">
        <v>24802.524</v>
      </c>
      <c r="M723" s="890" t="n">
        <v>810</v>
      </c>
      <c r="N723" s="890" t="n">
        <f aca="false">M723/H721</f>
        <v>54</v>
      </c>
      <c r="O723" s="1938" t="s">
        <v>3438</v>
      </c>
      <c r="P723" s="1934"/>
      <c r="Q723" s="1934"/>
      <c r="R723" s="1935"/>
    </row>
    <row r="724" customFormat="false" ht="14.25" hidden="false" customHeight="false" outlineLevel="0" collapsed="false">
      <c r="A724" s="903" t="n">
        <v>303</v>
      </c>
      <c r="B724" s="903" t="n">
        <v>2024</v>
      </c>
      <c r="C724" s="1966" t="n">
        <v>45870</v>
      </c>
      <c r="D724" s="1351" t="s">
        <v>5</v>
      </c>
      <c r="E724" s="1351" t="s">
        <v>1651</v>
      </c>
      <c r="F724" s="904" t="s">
        <v>2619</v>
      </c>
      <c r="G724" s="2012" t="n">
        <v>18</v>
      </c>
      <c r="H724" s="942" t="n">
        <v>30</v>
      </c>
      <c r="I724" s="1355" t="n">
        <f aca="false">G724*H724</f>
        <v>540</v>
      </c>
      <c r="J724" s="1406" t="n">
        <v>90.0133</v>
      </c>
      <c r="K724" s="1942" t="n">
        <f aca="false">I724*J724</f>
        <v>48607.182</v>
      </c>
      <c r="L724" s="1355" t="n">
        <v>48607.182</v>
      </c>
      <c r="M724" s="891" t="n">
        <v>540</v>
      </c>
      <c r="N724" s="854" t="n">
        <f aca="false">M724/H724</f>
        <v>18</v>
      </c>
      <c r="O724" s="1943"/>
      <c r="P724" s="1947" t="n">
        <f aca="false">K724-L724</f>
        <v>0</v>
      </c>
      <c r="Q724" s="2000" t="n">
        <f aca="false">I724-M724</f>
        <v>0</v>
      </c>
      <c r="R724" s="2000" t="n">
        <f aca="false">G724-N724</f>
        <v>0</v>
      </c>
    </row>
    <row r="725" customFormat="false" ht="14.25" hidden="false" customHeight="false" outlineLevel="0" collapsed="false">
      <c r="A725" s="870" t="n">
        <v>317</v>
      </c>
      <c r="B725" s="1495" t="n">
        <v>2024</v>
      </c>
      <c r="C725" s="1990" t="n">
        <v>45870</v>
      </c>
      <c r="D725" s="1478" t="s">
        <v>5</v>
      </c>
      <c r="E725" s="1478" t="s">
        <v>1652</v>
      </c>
      <c r="F725" s="871" t="s">
        <v>3364</v>
      </c>
      <c r="G725" s="2024" t="n">
        <v>353</v>
      </c>
      <c r="H725" s="553" t="n">
        <v>15</v>
      </c>
      <c r="I725" s="1587" t="n">
        <f aca="false">G725*H725</f>
        <v>5295</v>
      </c>
      <c r="J725" s="1542" t="n">
        <v>36.9538</v>
      </c>
      <c r="K725" s="1958" t="n">
        <f aca="false">I725*J725</f>
        <v>195670.371</v>
      </c>
      <c r="L725" s="1587" t="n">
        <v>195670.371</v>
      </c>
      <c r="M725" s="877" t="n">
        <v>5295</v>
      </c>
      <c r="N725" s="854" t="n">
        <f aca="false">M725/H725</f>
        <v>353</v>
      </c>
      <c r="O725" s="584" t="s">
        <v>438</v>
      </c>
      <c r="P725" s="1959" t="n">
        <f aca="false">K725-L725</f>
        <v>0</v>
      </c>
      <c r="Q725" s="2029" t="n">
        <f aca="false">I725-M725</f>
        <v>0</v>
      </c>
      <c r="R725" s="2029" t="n">
        <f aca="false">G725-N725</f>
        <v>0</v>
      </c>
    </row>
    <row r="726" customFormat="false" ht="14.25" hidden="false" customHeight="false" outlineLevel="0" collapsed="false">
      <c r="A726" s="870" t="n">
        <v>323</v>
      </c>
      <c r="B726" s="1495" t="n">
        <v>2024</v>
      </c>
      <c r="C726" s="1972" t="n">
        <v>45870</v>
      </c>
      <c r="D726" s="1478" t="s">
        <v>5</v>
      </c>
      <c r="E726" s="1478" t="s">
        <v>1652</v>
      </c>
      <c r="F726" s="871" t="s">
        <v>3364</v>
      </c>
      <c r="G726" s="2024" t="n">
        <v>44</v>
      </c>
      <c r="H726" s="553" t="n">
        <v>15</v>
      </c>
      <c r="I726" s="1587" t="n">
        <f aca="false">G726*H726</f>
        <v>660</v>
      </c>
      <c r="J726" s="1542" t="n">
        <v>35.9589</v>
      </c>
      <c r="K726" s="1958" t="n">
        <f aca="false">I726*J726</f>
        <v>23732.874</v>
      </c>
      <c r="L726" s="1587" t="n">
        <v>23732.874</v>
      </c>
      <c r="M726" s="877" t="n">
        <v>660</v>
      </c>
      <c r="N726" s="854" t="n">
        <f aca="false">M726/H726</f>
        <v>44</v>
      </c>
      <c r="O726" s="584" t="s">
        <v>1634</v>
      </c>
      <c r="P726" s="1959" t="n">
        <f aca="false">K726-L726</f>
        <v>0</v>
      </c>
      <c r="Q726" s="2029" t="n">
        <f aca="false">I726-M726</f>
        <v>0</v>
      </c>
      <c r="R726" s="2029" t="n">
        <f aca="false">G726-N726</f>
        <v>0</v>
      </c>
    </row>
    <row r="727" customFormat="false" ht="14.25" hidden="false" customHeight="false" outlineLevel="0" collapsed="false">
      <c r="A727" s="1465" t="n">
        <v>350</v>
      </c>
      <c r="B727" s="1546" t="n">
        <v>2024</v>
      </c>
      <c r="C727" s="1975" t="n">
        <v>45901</v>
      </c>
      <c r="D727" s="1607" t="s">
        <v>5</v>
      </c>
      <c r="E727" s="1607" t="s">
        <v>1652</v>
      </c>
      <c r="F727" s="1328" t="s">
        <v>3364</v>
      </c>
      <c r="G727" s="2011" t="n">
        <v>666</v>
      </c>
      <c r="H727" s="1036" t="n">
        <v>15</v>
      </c>
      <c r="I727" s="1036" t="n">
        <f aca="false">G727*H727</f>
        <v>9990</v>
      </c>
      <c r="J727" s="1557" t="n">
        <v>37.7416</v>
      </c>
      <c r="K727" s="1547" t="n">
        <f aca="false">I727*J727</f>
        <v>377038.584</v>
      </c>
      <c r="L727" s="1665" t="n">
        <v>207767.508</v>
      </c>
      <c r="M727" s="886" t="n">
        <v>5505</v>
      </c>
      <c r="N727" s="886" t="n">
        <f aca="false">M727/H727</f>
        <v>367</v>
      </c>
      <c r="O727" s="1595" t="s">
        <v>599</v>
      </c>
      <c r="P727" s="1978" t="n">
        <f aca="false">K727-L727-L735-L734-L728-L729-L733-L730-L732-L731</f>
        <v>2830.61999999997</v>
      </c>
      <c r="Q727" s="1978" t="n">
        <f aca="false">I727-M727-M735-M734-M728-M729-M733-M730-M732-M731</f>
        <v>75</v>
      </c>
      <c r="R727" s="1979" t="n">
        <f aca="false">G727-N727-N735-N734-N728-N729-N733-N730-N732-N731</f>
        <v>5</v>
      </c>
    </row>
    <row r="728" customFormat="false" ht="14.25" hidden="false" customHeight="false" outlineLevel="0" collapsed="false">
      <c r="A728" s="1465"/>
      <c r="B728" s="1546"/>
      <c r="C728" s="1975"/>
      <c r="D728" s="1480" t="s">
        <v>5</v>
      </c>
      <c r="E728" s="1480" t="s">
        <v>1652</v>
      </c>
      <c r="F728" s="1328"/>
      <c r="G728" s="2011"/>
      <c r="H728" s="1036"/>
      <c r="I728" s="1036"/>
      <c r="J728" s="1557"/>
      <c r="K728" s="1547"/>
      <c r="L728" s="1521" t="n">
        <v>103600.692</v>
      </c>
      <c r="M728" s="866" t="n">
        <v>2745</v>
      </c>
      <c r="N728" s="866" t="n">
        <f aca="false">M728/H727</f>
        <v>183</v>
      </c>
      <c r="O728" s="545" t="s">
        <v>660</v>
      </c>
      <c r="P728" s="1978"/>
      <c r="Q728" s="1978"/>
      <c r="R728" s="1979"/>
    </row>
    <row r="729" customFormat="false" ht="14.25" hidden="false" customHeight="false" outlineLevel="0" collapsed="false">
      <c r="A729" s="1465"/>
      <c r="B729" s="1546"/>
      <c r="C729" s="1975"/>
      <c r="D729" s="1480" t="s">
        <v>5</v>
      </c>
      <c r="E729" s="1480" t="s">
        <v>1652</v>
      </c>
      <c r="F729" s="1328"/>
      <c r="G729" s="2011"/>
      <c r="H729" s="1036"/>
      <c r="I729" s="1036"/>
      <c r="J729" s="1557"/>
      <c r="K729" s="1547"/>
      <c r="L729" s="1521" t="n">
        <v>7925.736</v>
      </c>
      <c r="M729" s="866" t="n">
        <v>210</v>
      </c>
      <c r="N729" s="866" t="n">
        <f aca="false">M729/H727</f>
        <v>14</v>
      </c>
      <c r="O729" s="545" t="s">
        <v>1118</v>
      </c>
      <c r="P729" s="1978"/>
      <c r="Q729" s="1978"/>
      <c r="R729" s="1979"/>
    </row>
    <row r="730" customFormat="false" ht="14.25" hidden="false" customHeight="false" outlineLevel="0" collapsed="false">
      <c r="A730" s="1465"/>
      <c r="B730" s="1546"/>
      <c r="C730" s="1975"/>
      <c r="D730" s="1480" t="s">
        <v>5</v>
      </c>
      <c r="E730" s="1480" t="s">
        <v>1652</v>
      </c>
      <c r="F730" s="1328"/>
      <c r="G730" s="2011"/>
      <c r="H730" s="1036"/>
      <c r="I730" s="1036"/>
      <c r="J730" s="1557"/>
      <c r="K730" s="1547"/>
      <c r="L730" s="1521" t="n">
        <v>-34533.564</v>
      </c>
      <c r="M730" s="866" t="n">
        <v>-915</v>
      </c>
      <c r="N730" s="866" t="n">
        <f aca="false">M730/H727</f>
        <v>-61</v>
      </c>
      <c r="O730" s="545" t="s">
        <v>1634</v>
      </c>
      <c r="P730" s="1978"/>
      <c r="Q730" s="1978"/>
      <c r="R730" s="1979"/>
    </row>
    <row r="731" customFormat="false" ht="14.25" hidden="false" customHeight="false" outlineLevel="0" collapsed="false">
      <c r="A731" s="1465"/>
      <c r="B731" s="1546"/>
      <c r="C731" s="1975"/>
      <c r="D731" s="1480" t="s">
        <v>5</v>
      </c>
      <c r="E731" s="1480" t="s">
        <v>1652</v>
      </c>
      <c r="F731" s="1328"/>
      <c r="G731" s="2011"/>
      <c r="H731" s="1036"/>
      <c r="I731" s="1036"/>
      <c r="J731" s="1557"/>
      <c r="K731" s="1547"/>
      <c r="L731" s="1521" t="n">
        <v>-7359.612</v>
      </c>
      <c r="M731" s="866" t="n">
        <v>-195</v>
      </c>
      <c r="N731" s="866" t="n">
        <f aca="false">M731/H727</f>
        <v>-13</v>
      </c>
      <c r="O731" s="545" t="s">
        <v>1375</v>
      </c>
      <c r="P731" s="1978"/>
      <c r="Q731" s="1978"/>
      <c r="R731" s="1979"/>
    </row>
    <row r="732" customFormat="false" ht="14.25" hidden="false" customHeight="false" outlineLevel="0" collapsed="false">
      <c r="A732" s="1465"/>
      <c r="B732" s="1546"/>
      <c r="C732" s="1975"/>
      <c r="D732" s="1480" t="s">
        <v>5</v>
      </c>
      <c r="E732" s="1480" t="s">
        <v>1652</v>
      </c>
      <c r="F732" s="1328"/>
      <c r="G732" s="2011"/>
      <c r="H732" s="1036"/>
      <c r="I732" s="1036"/>
      <c r="J732" s="1557"/>
      <c r="K732" s="1547"/>
      <c r="L732" s="1521" t="n">
        <v>4528.992</v>
      </c>
      <c r="M732" s="866" t="n">
        <v>120</v>
      </c>
      <c r="N732" s="866" t="n">
        <f aca="false">M732/H727</f>
        <v>8</v>
      </c>
      <c r="O732" s="545" t="s">
        <v>1318</v>
      </c>
      <c r="P732" s="1978"/>
      <c r="Q732" s="1978"/>
      <c r="R732" s="1979"/>
    </row>
    <row r="733" customFormat="false" ht="14.25" hidden="false" customHeight="false" outlineLevel="0" collapsed="false">
      <c r="A733" s="1465"/>
      <c r="B733" s="1546"/>
      <c r="C733" s="1975"/>
      <c r="D733" s="1480" t="s">
        <v>5</v>
      </c>
      <c r="E733" s="1480" t="s">
        <v>1652</v>
      </c>
      <c r="F733" s="1328"/>
      <c r="G733" s="2011"/>
      <c r="H733" s="1036"/>
      <c r="I733" s="1036"/>
      <c r="J733" s="1557"/>
      <c r="K733" s="1547"/>
      <c r="L733" s="1521" t="n">
        <v>26607.828</v>
      </c>
      <c r="M733" s="866" t="n">
        <v>705</v>
      </c>
      <c r="N733" s="866" t="n">
        <f aca="false">M733/H727</f>
        <v>47</v>
      </c>
      <c r="O733" s="545" t="s">
        <v>1190</v>
      </c>
      <c r="P733" s="1978"/>
      <c r="Q733" s="1978"/>
      <c r="R733" s="1979"/>
    </row>
    <row r="734" customFormat="false" ht="14.25" hidden="false" customHeight="false" outlineLevel="0" collapsed="false">
      <c r="A734" s="1465"/>
      <c r="B734" s="1546"/>
      <c r="C734" s="1975"/>
      <c r="D734" s="1480" t="s">
        <v>5</v>
      </c>
      <c r="E734" s="1480" t="s">
        <v>1652</v>
      </c>
      <c r="F734" s="1328"/>
      <c r="G734" s="2011"/>
      <c r="H734" s="1036"/>
      <c r="I734" s="1036"/>
      <c r="J734" s="1557"/>
      <c r="K734" s="1547"/>
      <c r="L734" s="1521" t="n">
        <v>1698.372</v>
      </c>
      <c r="M734" s="866" t="n">
        <v>45</v>
      </c>
      <c r="N734" s="866" t="n">
        <f aca="false">M734/H727</f>
        <v>3</v>
      </c>
      <c r="O734" s="545" t="s">
        <v>643</v>
      </c>
      <c r="P734" s="1978"/>
      <c r="Q734" s="1978"/>
      <c r="R734" s="1979"/>
    </row>
    <row r="735" customFormat="false" ht="14.25" hidden="false" customHeight="false" outlineLevel="0" collapsed="false">
      <c r="A735" s="1465"/>
      <c r="B735" s="1546"/>
      <c r="C735" s="1975"/>
      <c r="D735" s="1478" t="s">
        <v>5</v>
      </c>
      <c r="E735" s="1478" t="s">
        <v>1652</v>
      </c>
      <c r="F735" s="1328"/>
      <c r="G735" s="2011"/>
      <c r="H735" s="1036"/>
      <c r="I735" s="1036"/>
      <c r="J735" s="1557"/>
      <c r="K735" s="1547"/>
      <c r="L735" s="1587" t="n">
        <v>63972.012</v>
      </c>
      <c r="M735" s="877" t="n">
        <v>1695</v>
      </c>
      <c r="N735" s="877" t="n">
        <f aca="false">M735/H727</f>
        <v>113</v>
      </c>
      <c r="O735" s="584" t="s">
        <v>617</v>
      </c>
      <c r="P735" s="1978"/>
      <c r="Q735" s="1978"/>
      <c r="R735" s="1979"/>
    </row>
    <row r="736" customFormat="false" ht="14.25" hidden="false" customHeight="false" outlineLevel="0" collapsed="false">
      <c r="A736" s="882" t="n">
        <v>351</v>
      </c>
      <c r="B736" s="830" t="n">
        <v>2024</v>
      </c>
      <c r="C736" s="1965" t="n">
        <v>45901</v>
      </c>
      <c r="D736" s="1365" t="s">
        <v>5</v>
      </c>
      <c r="E736" s="1365" t="s">
        <v>1652</v>
      </c>
      <c r="F736" s="832" t="s">
        <v>3364</v>
      </c>
      <c r="G736" s="2010" t="n">
        <v>334</v>
      </c>
      <c r="H736" s="837" t="n">
        <v>15</v>
      </c>
      <c r="I736" s="837" t="n">
        <f aca="false">G736*H736</f>
        <v>5010</v>
      </c>
      <c r="J736" s="1059" t="n">
        <v>37.7416</v>
      </c>
      <c r="K736" s="943" t="n">
        <f aca="false">I736*J736</f>
        <v>189085.416</v>
      </c>
      <c r="L736" s="1665" t="n">
        <v>14719.224</v>
      </c>
      <c r="M736" s="886" t="n">
        <v>390</v>
      </c>
      <c r="N736" s="886" t="n">
        <f aca="false">M736/H736</f>
        <v>26</v>
      </c>
      <c r="O736" s="1595" t="s">
        <v>660</v>
      </c>
      <c r="P736" s="1934" t="n">
        <f aca="false">K736-L736-L742-L741-L737-L738-L739-L740</f>
        <v>2.95585778076202E-012</v>
      </c>
      <c r="Q736" s="1934" t="n">
        <f aca="false">I736-M736-M742-M741-M737-M738-M739-M740</f>
        <v>0</v>
      </c>
      <c r="R736" s="1935" t="n">
        <f aca="false">G736-N736-N742-N741-N737-N738-N739-N740</f>
        <v>0</v>
      </c>
    </row>
    <row r="737" customFormat="false" ht="14.25" hidden="false" customHeight="false" outlineLevel="0" collapsed="false">
      <c r="A737" s="882"/>
      <c r="B737" s="830"/>
      <c r="C737" s="1965"/>
      <c r="D737" s="1480" t="s">
        <v>5</v>
      </c>
      <c r="E737" s="1480" t="s">
        <v>1652</v>
      </c>
      <c r="F737" s="832"/>
      <c r="G737" s="2010"/>
      <c r="H737" s="837"/>
      <c r="I737" s="837"/>
      <c r="J737" s="1059"/>
      <c r="K737" s="943"/>
      <c r="L737" s="1521" t="n">
        <v>27173.952</v>
      </c>
      <c r="M737" s="866" t="n">
        <v>720</v>
      </c>
      <c r="N737" s="866" t="n">
        <f aca="false">M737/H736</f>
        <v>48</v>
      </c>
      <c r="O737" s="545" t="s">
        <v>685</v>
      </c>
      <c r="P737" s="1934"/>
      <c r="Q737" s="1934"/>
      <c r="R737" s="1935"/>
    </row>
    <row r="738" customFormat="false" ht="14.25" hidden="false" customHeight="false" outlineLevel="0" collapsed="false">
      <c r="A738" s="882"/>
      <c r="B738" s="830"/>
      <c r="C738" s="1965"/>
      <c r="D738" s="1480" t="s">
        <v>5</v>
      </c>
      <c r="E738" s="1480" t="s">
        <v>1652</v>
      </c>
      <c r="F738" s="832"/>
      <c r="G738" s="2010"/>
      <c r="H738" s="837"/>
      <c r="I738" s="837"/>
      <c r="J738" s="1059"/>
      <c r="K738" s="943"/>
      <c r="L738" s="1521" t="n">
        <v>3396.744</v>
      </c>
      <c r="M738" s="866" t="n">
        <v>90</v>
      </c>
      <c r="N738" s="866" t="n">
        <f aca="false">M738/H736</f>
        <v>6</v>
      </c>
      <c r="O738" s="545" t="s">
        <v>690</v>
      </c>
      <c r="P738" s="1934"/>
      <c r="Q738" s="1934"/>
      <c r="R738" s="1935"/>
    </row>
    <row r="739" customFormat="false" ht="14.25" hidden="false" customHeight="false" outlineLevel="0" collapsed="false">
      <c r="A739" s="882"/>
      <c r="B739" s="830"/>
      <c r="C739" s="1965"/>
      <c r="D739" s="1480" t="s">
        <v>5</v>
      </c>
      <c r="E739" s="1480" t="s">
        <v>1652</v>
      </c>
      <c r="F739" s="832"/>
      <c r="G739" s="2010"/>
      <c r="H739" s="837"/>
      <c r="I739" s="837"/>
      <c r="J739" s="1059"/>
      <c r="K739" s="943"/>
      <c r="L739" s="1521" t="n">
        <v>22078.836</v>
      </c>
      <c r="M739" s="866" t="n">
        <v>585</v>
      </c>
      <c r="N739" s="866" t="n">
        <f aca="false">M739/H736</f>
        <v>39</v>
      </c>
      <c r="O739" s="545" t="s">
        <v>691</v>
      </c>
      <c r="P739" s="1934"/>
      <c r="Q739" s="1934"/>
      <c r="R739" s="1935"/>
    </row>
    <row r="740" customFormat="false" ht="14.25" hidden="false" customHeight="false" outlineLevel="0" collapsed="false">
      <c r="A740" s="882"/>
      <c r="B740" s="830"/>
      <c r="C740" s="1965"/>
      <c r="D740" s="1480" t="s">
        <v>5</v>
      </c>
      <c r="E740" s="1480" t="s">
        <v>1652</v>
      </c>
      <c r="F740" s="832"/>
      <c r="G740" s="2010"/>
      <c r="H740" s="837"/>
      <c r="I740" s="837"/>
      <c r="J740" s="1059"/>
      <c r="K740" s="943"/>
      <c r="L740" s="1521" t="n">
        <v>1698.372</v>
      </c>
      <c r="M740" s="866" t="n">
        <v>45</v>
      </c>
      <c r="N740" s="866" t="n">
        <f aca="false">M740/H736</f>
        <v>3</v>
      </c>
      <c r="O740" s="545" t="s">
        <v>1634</v>
      </c>
      <c r="P740" s="1934"/>
      <c r="Q740" s="1934"/>
      <c r="R740" s="1935"/>
    </row>
    <row r="741" customFormat="false" ht="14.25" hidden="false" customHeight="false" outlineLevel="0" collapsed="false">
      <c r="A741" s="882"/>
      <c r="B741" s="830"/>
      <c r="C741" s="1965"/>
      <c r="D741" s="1480" t="s">
        <v>5</v>
      </c>
      <c r="E741" s="1480" t="s">
        <v>1652</v>
      </c>
      <c r="F741" s="832"/>
      <c r="G741" s="2010"/>
      <c r="H741" s="837"/>
      <c r="I741" s="837"/>
      <c r="J741" s="1059"/>
      <c r="K741" s="943"/>
      <c r="L741" s="1521" t="n">
        <v>566.124</v>
      </c>
      <c r="M741" s="866" t="n">
        <v>15</v>
      </c>
      <c r="N741" s="866" t="n">
        <f aca="false">M741/H736</f>
        <v>1</v>
      </c>
      <c r="O741" s="545" t="s">
        <v>681</v>
      </c>
      <c r="P741" s="1934"/>
      <c r="Q741" s="1934"/>
      <c r="R741" s="1935"/>
    </row>
    <row r="742" customFormat="false" ht="14.25" hidden="false" customHeight="false" outlineLevel="0" collapsed="false">
      <c r="A742" s="882"/>
      <c r="B742" s="830"/>
      <c r="C742" s="1965"/>
      <c r="D742" s="1357" t="s">
        <v>5</v>
      </c>
      <c r="E742" s="1357" t="s">
        <v>1652</v>
      </c>
      <c r="F742" s="832"/>
      <c r="G742" s="2010"/>
      <c r="H742" s="837"/>
      <c r="I742" s="837"/>
      <c r="J742" s="1059"/>
      <c r="K742" s="943"/>
      <c r="L742" s="1362" t="n">
        <v>119452.164</v>
      </c>
      <c r="M742" s="846" t="n">
        <v>3165</v>
      </c>
      <c r="N742" s="846" t="n">
        <f aca="false">M742/H736</f>
        <v>211</v>
      </c>
      <c r="O742" s="1936" t="s">
        <v>661</v>
      </c>
      <c r="P742" s="1934"/>
      <c r="Q742" s="1934"/>
      <c r="R742" s="1935"/>
    </row>
    <row r="743" customFormat="false" ht="14.25" hidden="false" customHeight="false" outlineLevel="0" collapsed="false">
      <c r="A743" s="903" t="n">
        <v>358</v>
      </c>
      <c r="B743" s="903" t="n">
        <v>2024</v>
      </c>
      <c r="C743" s="1974" t="n">
        <v>45901</v>
      </c>
      <c r="D743" s="1351" t="s">
        <v>5</v>
      </c>
      <c r="E743" s="1351" t="s">
        <v>1651</v>
      </c>
      <c r="F743" s="904" t="s">
        <v>3364</v>
      </c>
      <c r="G743" s="2012" t="n">
        <v>4</v>
      </c>
      <c r="H743" s="942" t="n">
        <v>800</v>
      </c>
      <c r="I743" s="1355" t="n">
        <f aca="false">G743*H743</f>
        <v>3200</v>
      </c>
      <c r="J743" s="1406" t="n">
        <v>28.8206</v>
      </c>
      <c r="K743" s="1942" t="n">
        <f aca="false">I743*J743</f>
        <v>92225.92</v>
      </c>
      <c r="L743" s="1355" t="n">
        <v>92225.92</v>
      </c>
      <c r="M743" s="891" t="n">
        <v>3200</v>
      </c>
      <c r="N743" s="854" t="n">
        <f aca="false">M743/H743</f>
        <v>4</v>
      </c>
      <c r="O743" s="1943" t="s">
        <v>472</v>
      </c>
      <c r="P743" s="1947" t="n">
        <f aca="false">K743-L743</f>
        <v>0</v>
      </c>
      <c r="Q743" s="2000" t="n">
        <f aca="false">I743-M743</f>
        <v>0</v>
      </c>
      <c r="R743" s="2000" t="n">
        <f aca="false">G743-N743</f>
        <v>0</v>
      </c>
    </row>
    <row r="744" customFormat="false" ht="14.25" hidden="false" customHeight="false" outlineLevel="0" collapsed="false">
      <c r="A744" s="870" t="n">
        <v>361</v>
      </c>
      <c r="B744" s="1495" t="n">
        <v>2024</v>
      </c>
      <c r="C744" s="1972" t="n">
        <v>45901</v>
      </c>
      <c r="D744" s="1478" t="s">
        <v>5</v>
      </c>
      <c r="E744" s="1478" t="s">
        <v>1651</v>
      </c>
      <c r="F744" s="871" t="s">
        <v>3364</v>
      </c>
      <c r="G744" s="2024" t="n">
        <v>666</v>
      </c>
      <c r="H744" s="553" t="n">
        <v>15</v>
      </c>
      <c r="I744" s="1587" t="n">
        <f aca="false">G744*H744</f>
        <v>9990</v>
      </c>
      <c r="J744" s="1542" t="n">
        <v>26.7859</v>
      </c>
      <c r="K744" s="1958" t="n">
        <f aca="false">I744*J744</f>
        <v>267591.141</v>
      </c>
      <c r="L744" s="1587" t="n">
        <v>267591.141</v>
      </c>
      <c r="M744" s="877" t="n">
        <v>9990</v>
      </c>
      <c r="N744" s="866" t="n">
        <f aca="false">M744/H744</f>
        <v>666</v>
      </c>
      <c r="O744" s="584" t="s">
        <v>404</v>
      </c>
      <c r="P744" s="1959" t="n">
        <f aca="false">K744-L744</f>
        <v>0</v>
      </c>
      <c r="Q744" s="2029" t="n">
        <f aca="false">I744-M744</f>
        <v>0</v>
      </c>
      <c r="R744" s="2029" t="n">
        <f aca="false">G744-N744</f>
        <v>0</v>
      </c>
    </row>
    <row r="745" customFormat="false" ht="14.25" hidden="false" customHeight="false" outlineLevel="0" collapsed="false">
      <c r="A745" s="829" t="n">
        <v>362</v>
      </c>
      <c r="B745" s="830" t="n">
        <v>2024</v>
      </c>
      <c r="C745" s="1965" t="n">
        <v>45901</v>
      </c>
      <c r="D745" s="1365" t="s">
        <v>5</v>
      </c>
      <c r="E745" s="1365" t="s">
        <v>1651</v>
      </c>
      <c r="F745" s="832" t="s">
        <v>3364</v>
      </c>
      <c r="G745" s="2010" t="n">
        <v>568</v>
      </c>
      <c r="H745" s="837" t="n">
        <v>15</v>
      </c>
      <c r="I745" s="837" t="n">
        <f aca="false">G745*H745</f>
        <v>8520</v>
      </c>
      <c r="J745" s="1059" t="n">
        <v>27.773</v>
      </c>
      <c r="K745" s="943" t="n">
        <f aca="false">I745*J745</f>
        <v>236625.96</v>
      </c>
      <c r="L745" s="1665" t="n">
        <v>11248.065</v>
      </c>
      <c r="M745" s="886" t="n">
        <v>405</v>
      </c>
      <c r="N745" s="886" t="n">
        <f aca="false">M745/H745</f>
        <v>27</v>
      </c>
      <c r="O745" s="1595" t="s">
        <v>470</v>
      </c>
      <c r="P745" s="1948" t="n">
        <f aca="false">K745-L745-L757-L756-L746-L747-L755-L748-L753-L749-L754-L750-L751-L752</f>
        <v>0</v>
      </c>
      <c r="Q745" s="1934" t="n">
        <f aca="false">I745-M745-M757-M756-M746-M747-M755-M748-M753-M749-M754-M750-M751-M752</f>
        <v>0</v>
      </c>
      <c r="R745" s="1935" t="n">
        <f aca="false">G745-N745-N757-N756-N746-N747-N755-N748-N753-N749-N754-N750-N751-N752</f>
        <v>0</v>
      </c>
    </row>
    <row r="746" customFormat="false" ht="14.25" hidden="false" customHeight="false" outlineLevel="0" collapsed="false">
      <c r="A746" s="829"/>
      <c r="B746" s="830"/>
      <c r="C746" s="1965"/>
      <c r="D746" s="1480" t="s">
        <v>5</v>
      </c>
      <c r="E746" s="1480" t="s">
        <v>1651</v>
      </c>
      <c r="F746" s="832"/>
      <c r="G746" s="2010"/>
      <c r="H746" s="837"/>
      <c r="I746" s="837"/>
      <c r="J746" s="1059"/>
      <c r="K746" s="943"/>
      <c r="L746" s="1521" t="n">
        <v>19996.56</v>
      </c>
      <c r="M746" s="866" t="n">
        <v>720</v>
      </c>
      <c r="N746" s="866" t="n">
        <f aca="false">M746/H745</f>
        <v>48</v>
      </c>
      <c r="O746" s="545" t="s">
        <v>473</v>
      </c>
      <c r="P746" s="1948"/>
      <c r="Q746" s="1934"/>
      <c r="R746" s="1935"/>
    </row>
    <row r="747" customFormat="false" ht="14.25" hidden="false" customHeight="false" outlineLevel="0" collapsed="false">
      <c r="A747" s="829"/>
      <c r="B747" s="830"/>
      <c r="C747" s="1965"/>
      <c r="D747" s="1480" t="s">
        <v>5</v>
      </c>
      <c r="E747" s="1480" t="s">
        <v>1651</v>
      </c>
      <c r="F747" s="832"/>
      <c r="G747" s="2010"/>
      <c r="H747" s="837"/>
      <c r="I747" s="837"/>
      <c r="J747" s="1059"/>
      <c r="K747" s="943"/>
      <c r="L747" s="1521" t="n">
        <v>28328.46</v>
      </c>
      <c r="M747" s="866" t="n">
        <v>1020</v>
      </c>
      <c r="N747" s="866" t="n">
        <f aca="false">M747/H745</f>
        <v>68</v>
      </c>
      <c r="O747" s="545" t="s">
        <v>474</v>
      </c>
      <c r="P747" s="1948"/>
      <c r="Q747" s="1934"/>
      <c r="R747" s="1935"/>
    </row>
    <row r="748" customFormat="false" ht="14.25" hidden="false" customHeight="false" outlineLevel="0" collapsed="false">
      <c r="A748" s="829"/>
      <c r="B748" s="830"/>
      <c r="C748" s="1965"/>
      <c r="D748" s="1480" t="s">
        <v>5</v>
      </c>
      <c r="E748" s="1480" t="s">
        <v>1651</v>
      </c>
      <c r="F748" s="832"/>
      <c r="G748" s="2010"/>
      <c r="H748" s="837"/>
      <c r="I748" s="837"/>
      <c r="J748" s="1059"/>
      <c r="K748" s="943"/>
      <c r="L748" s="1521" t="n">
        <v>4165.95</v>
      </c>
      <c r="M748" s="866" t="n">
        <v>150</v>
      </c>
      <c r="N748" s="866" t="n">
        <f aca="false">M748/H745</f>
        <v>10</v>
      </c>
      <c r="O748" s="545" t="s">
        <v>476</v>
      </c>
      <c r="P748" s="1948"/>
      <c r="Q748" s="1934"/>
      <c r="R748" s="1935"/>
    </row>
    <row r="749" customFormat="false" ht="14.25" hidden="false" customHeight="false" outlineLevel="0" collapsed="false">
      <c r="A749" s="829"/>
      <c r="B749" s="830"/>
      <c r="C749" s="1965"/>
      <c r="D749" s="1480" t="s">
        <v>5</v>
      </c>
      <c r="E749" s="1480" t="s">
        <v>1651</v>
      </c>
      <c r="F749" s="832"/>
      <c r="G749" s="2010"/>
      <c r="H749" s="837"/>
      <c r="I749" s="837"/>
      <c r="J749" s="1059"/>
      <c r="K749" s="943"/>
      <c r="L749" s="1521" t="n">
        <v>14164.23</v>
      </c>
      <c r="M749" s="866" t="n">
        <v>510</v>
      </c>
      <c r="N749" s="866" t="n">
        <f aca="false">M749/H745</f>
        <v>34</v>
      </c>
      <c r="O749" s="545" t="s">
        <v>478</v>
      </c>
      <c r="P749" s="1948"/>
      <c r="Q749" s="1934"/>
      <c r="R749" s="1935"/>
    </row>
    <row r="750" customFormat="false" ht="14.25" hidden="false" customHeight="false" outlineLevel="0" collapsed="false">
      <c r="A750" s="829"/>
      <c r="B750" s="830"/>
      <c r="C750" s="1965"/>
      <c r="D750" s="1480" t="s">
        <v>5</v>
      </c>
      <c r="E750" s="1480" t="s">
        <v>1651</v>
      </c>
      <c r="F750" s="832"/>
      <c r="G750" s="2010"/>
      <c r="H750" s="837"/>
      <c r="I750" s="837"/>
      <c r="J750" s="1059"/>
      <c r="K750" s="943"/>
      <c r="L750" s="1521" t="n">
        <v>2082.975</v>
      </c>
      <c r="M750" s="866" t="n">
        <v>75</v>
      </c>
      <c r="N750" s="866" t="n">
        <f aca="false">M750/H745</f>
        <v>5</v>
      </c>
      <c r="O750" s="545" t="s">
        <v>481</v>
      </c>
      <c r="P750" s="1948"/>
      <c r="Q750" s="1934"/>
      <c r="R750" s="1935"/>
    </row>
    <row r="751" customFormat="false" ht="14.25" hidden="false" customHeight="false" outlineLevel="0" collapsed="false">
      <c r="A751" s="829"/>
      <c r="B751" s="830"/>
      <c r="C751" s="1965"/>
      <c r="D751" s="1480" t="s">
        <v>5</v>
      </c>
      <c r="E751" s="1480" t="s">
        <v>1651</v>
      </c>
      <c r="F751" s="832"/>
      <c r="G751" s="2010"/>
      <c r="H751" s="837"/>
      <c r="I751" s="837"/>
      <c r="J751" s="1059"/>
      <c r="K751" s="943"/>
      <c r="L751" s="1521" t="n">
        <v>2499.57</v>
      </c>
      <c r="M751" s="866" t="n">
        <v>90</v>
      </c>
      <c r="N751" s="866" t="n">
        <f aca="false">M751/H745</f>
        <v>6</v>
      </c>
      <c r="O751" s="545" t="s">
        <v>483</v>
      </c>
      <c r="P751" s="1948"/>
      <c r="Q751" s="1934"/>
      <c r="R751" s="1935"/>
    </row>
    <row r="752" customFormat="false" ht="14.25" hidden="false" customHeight="false" outlineLevel="0" collapsed="false">
      <c r="A752" s="829"/>
      <c r="B752" s="830"/>
      <c r="C752" s="1965"/>
      <c r="D752" s="1480" t="s">
        <v>5</v>
      </c>
      <c r="E752" s="1480" t="s">
        <v>1651</v>
      </c>
      <c r="F752" s="832"/>
      <c r="G752" s="2010"/>
      <c r="H752" s="837"/>
      <c r="I752" s="837"/>
      <c r="J752" s="1059"/>
      <c r="K752" s="943"/>
      <c r="L752" s="1521" t="n">
        <v>34160.79</v>
      </c>
      <c r="M752" s="866" t="n">
        <v>1230</v>
      </c>
      <c r="N752" s="866" t="n">
        <f aca="false">M752/H745</f>
        <v>82</v>
      </c>
      <c r="O752" s="545" t="s">
        <v>396</v>
      </c>
      <c r="P752" s="1948"/>
      <c r="Q752" s="1934"/>
      <c r="R752" s="1935"/>
    </row>
    <row r="753" customFormat="false" ht="14.25" hidden="false" customHeight="false" outlineLevel="0" collapsed="false">
      <c r="A753" s="829"/>
      <c r="B753" s="830"/>
      <c r="C753" s="1965"/>
      <c r="D753" s="1480" t="s">
        <v>5</v>
      </c>
      <c r="E753" s="1480" t="s">
        <v>1651</v>
      </c>
      <c r="F753" s="832"/>
      <c r="G753" s="2010"/>
      <c r="H753" s="837"/>
      <c r="I753" s="837"/>
      <c r="J753" s="1059"/>
      <c r="K753" s="943"/>
      <c r="L753" s="1521" t="n">
        <v>8331.9</v>
      </c>
      <c r="M753" s="866" t="n">
        <v>300</v>
      </c>
      <c r="N753" s="866" t="n">
        <f aca="false">M753/H745</f>
        <v>20</v>
      </c>
      <c r="O753" s="545" t="s">
        <v>477</v>
      </c>
      <c r="P753" s="1948"/>
      <c r="Q753" s="1934"/>
      <c r="R753" s="1935"/>
    </row>
    <row r="754" customFormat="false" ht="14.25" hidden="false" customHeight="false" outlineLevel="0" collapsed="false">
      <c r="A754" s="829"/>
      <c r="B754" s="830"/>
      <c r="C754" s="1965"/>
      <c r="D754" s="1480" t="s">
        <v>5</v>
      </c>
      <c r="E754" s="1480" t="s">
        <v>1651</v>
      </c>
      <c r="F754" s="832"/>
      <c r="G754" s="2010"/>
      <c r="H754" s="837"/>
      <c r="I754" s="837"/>
      <c r="J754" s="1059"/>
      <c r="K754" s="943"/>
      <c r="L754" s="1521" t="n">
        <v>2916.165</v>
      </c>
      <c r="M754" s="866" t="n">
        <v>105</v>
      </c>
      <c r="N754" s="866" t="n">
        <f aca="false">M754/H745</f>
        <v>7</v>
      </c>
      <c r="O754" s="545" t="s">
        <v>480</v>
      </c>
      <c r="P754" s="1948"/>
      <c r="Q754" s="1934"/>
      <c r="R754" s="1935"/>
    </row>
    <row r="755" customFormat="false" ht="14.25" hidden="false" customHeight="false" outlineLevel="0" collapsed="false">
      <c r="A755" s="829"/>
      <c r="B755" s="830"/>
      <c r="C755" s="1965"/>
      <c r="D755" s="1480" t="s">
        <v>5</v>
      </c>
      <c r="E755" s="1480" t="s">
        <v>1651</v>
      </c>
      <c r="F755" s="832"/>
      <c r="G755" s="2010"/>
      <c r="H755" s="837"/>
      <c r="I755" s="837"/>
      <c r="J755" s="1059"/>
      <c r="K755" s="943"/>
      <c r="L755" s="1521" t="n">
        <v>8331.9</v>
      </c>
      <c r="M755" s="866" t="n">
        <v>300</v>
      </c>
      <c r="N755" s="866" t="n">
        <f aca="false">M755/H745</f>
        <v>20</v>
      </c>
      <c r="O755" s="545" t="s">
        <v>475</v>
      </c>
      <c r="P755" s="1948"/>
      <c r="Q755" s="1934"/>
      <c r="R755" s="1935"/>
    </row>
    <row r="756" customFormat="false" ht="14.25" hidden="false" customHeight="false" outlineLevel="0" collapsed="false">
      <c r="A756" s="829"/>
      <c r="B756" s="830"/>
      <c r="C756" s="1965"/>
      <c r="D756" s="1480" t="s">
        <v>5</v>
      </c>
      <c r="E756" s="1480" t="s">
        <v>1651</v>
      </c>
      <c r="F756" s="832"/>
      <c r="G756" s="2010"/>
      <c r="H756" s="837"/>
      <c r="I756" s="837"/>
      <c r="J756" s="1059"/>
      <c r="K756" s="943"/>
      <c r="L756" s="1521" t="n">
        <v>62489.25</v>
      </c>
      <c r="M756" s="866" t="n">
        <v>2250</v>
      </c>
      <c r="N756" s="866" t="n">
        <f aca="false">M756/H745</f>
        <v>150</v>
      </c>
      <c r="O756" s="545" t="s">
        <v>471</v>
      </c>
      <c r="P756" s="1948"/>
      <c r="Q756" s="1934"/>
      <c r="R756" s="1935"/>
    </row>
    <row r="757" customFormat="false" ht="14.25" hidden="false" customHeight="false" outlineLevel="0" collapsed="false">
      <c r="A757" s="829"/>
      <c r="B757" s="830"/>
      <c r="C757" s="1965"/>
      <c r="D757" s="1357" t="s">
        <v>5</v>
      </c>
      <c r="E757" s="1357" t="s">
        <v>1651</v>
      </c>
      <c r="F757" s="832"/>
      <c r="G757" s="2010"/>
      <c r="H757" s="837"/>
      <c r="I757" s="837"/>
      <c r="J757" s="1059"/>
      <c r="K757" s="943"/>
      <c r="L757" s="1362" t="n">
        <v>37910.145</v>
      </c>
      <c r="M757" s="846" t="n">
        <v>1365</v>
      </c>
      <c r="N757" s="846" t="n">
        <f aca="false">M757/H745</f>
        <v>91</v>
      </c>
      <c r="O757" s="1936" t="s">
        <v>396</v>
      </c>
      <c r="P757" s="1948"/>
      <c r="Q757" s="1934"/>
      <c r="R757" s="1935"/>
    </row>
    <row r="758" customFormat="false" ht="14.25" hidden="false" customHeight="false" outlineLevel="0" collapsed="false">
      <c r="A758" s="1344" t="n">
        <v>380</v>
      </c>
      <c r="B758" s="903" t="n">
        <v>2024</v>
      </c>
      <c r="C758" s="1974" t="n">
        <v>45901</v>
      </c>
      <c r="D758" s="1351" t="s">
        <v>5</v>
      </c>
      <c r="E758" s="1351" t="s">
        <v>1651</v>
      </c>
      <c r="F758" s="904" t="s">
        <v>3375</v>
      </c>
      <c r="G758" s="2012" t="n">
        <v>666</v>
      </c>
      <c r="H758" s="942" t="n">
        <v>15</v>
      </c>
      <c r="I758" s="942" t="n">
        <f aca="false">G758*H758</f>
        <v>9990</v>
      </c>
      <c r="J758" s="1406" t="n">
        <v>28.8206</v>
      </c>
      <c r="K758" s="948" t="n">
        <f aca="false">I758*J758</f>
        <v>287917.794</v>
      </c>
      <c r="L758" s="1355" t="n">
        <v>4323.09</v>
      </c>
      <c r="M758" s="891" t="n">
        <v>150</v>
      </c>
      <c r="N758" s="891" t="n">
        <f aca="false">M758/H758</f>
        <v>10</v>
      </c>
      <c r="O758" s="1943" t="s">
        <v>3438</v>
      </c>
      <c r="P758" s="2000" t="n">
        <f aca="false">K758-L758-L761-L760-L759</f>
        <v>-3.09228198602796E-011</v>
      </c>
      <c r="Q758" s="2000" t="n">
        <f aca="false">I758-M758-M761-M760-M759</f>
        <v>0</v>
      </c>
      <c r="R758" s="2005" t="n">
        <f aca="false">G758-N758-N761-N760-N759</f>
        <v>0</v>
      </c>
    </row>
    <row r="759" customFormat="false" ht="14.25" hidden="false" customHeight="false" outlineLevel="0" collapsed="false">
      <c r="A759" s="1344"/>
      <c r="B759" s="903"/>
      <c r="C759" s="1974"/>
      <c r="D759" s="1480" t="s">
        <v>5</v>
      </c>
      <c r="E759" s="1480" t="s">
        <v>1651</v>
      </c>
      <c r="F759" s="904"/>
      <c r="G759" s="2012"/>
      <c r="H759" s="942"/>
      <c r="I759" s="942"/>
      <c r="J759" s="1406"/>
      <c r="K759" s="948"/>
      <c r="L759" s="1521" t="n">
        <v>10375.416</v>
      </c>
      <c r="M759" s="866" t="n">
        <v>360</v>
      </c>
      <c r="N759" s="866" t="n">
        <f aca="false">M759/H758</f>
        <v>24</v>
      </c>
      <c r="O759" s="545" t="s">
        <v>392</v>
      </c>
      <c r="P759" s="2000"/>
      <c r="Q759" s="2000"/>
      <c r="R759" s="2005"/>
    </row>
    <row r="760" customFormat="false" ht="14.25" hidden="false" customHeight="false" outlineLevel="0" collapsed="false">
      <c r="A760" s="1344"/>
      <c r="B760" s="903"/>
      <c r="C760" s="1974"/>
      <c r="D760" s="1480" t="s">
        <v>5</v>
      </c>
      <c r="E760" s="1480" t="s">
        <v>1651</v>
      </c>
      <c r="F760" s="904"/>
      <c r="G760" s="2012"/>
      <c r="H760" s="942"/>
      <c r="I760" s="942"/>
      <c r="J760" s="1406"/>
      <c r="K760" s="948"/>
      <c r="L760" s="1521" t="n">
        <v>100295.688</v>
      </c>
      <c r="M760" s="866" t="n">
        <v>3480</v>
      </c>
      <c r="N760" s="866" t="n">
        <f aca="false">M760/H758</f>
        <v>232</v>
      </c>
      <c r="O760" s="545" t="s">
        <v>392</v>
      </c>
      <c r="P760" s="2000"/>
      <c r="Q760" s="2000"/>
      <c r="R760" s="2005"/>
    </row>
    <row r="761" customFormat="false" ht="14.25" hidden="false" customHeight="false" outlineLevel="0" collapsed="false">
      <c r="A761" s="1344"/>
      <c r="B761" s="903"/>
      <c r="C761" s="1974"/>
      <c r="D761" s="1478" t="s">
        <v>5</v>
      </c>
      <c r="E761" s="1478" t="s">
        <v>1651</v>
      </c>
      <c r="F761" s="904"/>
      <c r="G761" s="2012"/>
      <c r="H761" s="942"/>
      <c r="I761" s="942"/>
      <c r="J761" s="1406"/>
      <c r="K761" s="948"/>
      <c r="L761" s="1587" t="n">
        <v>172923.6</v>
      </c>
      <c r="M761" s="877" t="n">
        <v>6000</v>
      </c>
      <c r="N761" s="877" t="n">
        <f aca="false">M761/H758</f>
        <v>400</v>
      </c>
      <c r="O761" s="584" t="s">
        <v>392</v>
      </c>
      <c r="P761" s="2000"/>
      <c r="Q761" s="2000"/>
      <c r="R761" s="2005"/>
    </row>
    <row r="762" customFormat="false" ht="14.25" hidden="false" customHeight="false" outlineLevel="0" collapsed="false">
      <c r="A762" s="829" t="n">
        <v>381</v>
      </c>
      <c r="B762" s="830" t="n">
        <v>2024</v>
      </c>
      <c r="C762" s="1965" t="n">
        <v>45901</v>
      </c>
      <c r="D762" s="1365" t="s">
        <v>5</v>
      </c>
      <c r="E762" s="1365" t="s">
        <v>1651</v>
      </c>
      <c r="F762" s="832" t="s">
        <v>3375</v>
      </c>
      <c r="G762" s="2010" t="n">
        <v>666</v>
      </c>
      <c r="H762" s="837" t="n">
        <v>15</v>
      </c>
      <c r="I762" s="837" t="n">
        <f aca="false">G762*H762</f>
        <v>9990</v>
      </c>
      <c r="J762" s="1059" t="n">
        <v>28.8206</v>
      </c>
      <c r="K762" s="943" t="n">
        <f aca="false">I762*J762</f>
        <v>287917.794</v>
      </c>
      <c r="L762" s="1665" t="n">
        <v>15130.815</v>
      </c>
      <c r="M762" s="886" t="n">
        <v>525</v>
      </c>
      <c r="N762" s="886" t="n">
        <f aca="false">M762/H762</f>
        <v>35</v>
      </c>
      <c r="O762" s="1595" t="s">
        <v>392</v>
      </c>
      <c r="P762" s="1948" t="n">
        <f aca="false">K762-L762-L769-L768-L763-L764-L767-L765-L766</f>
        <v>0</v>
      </c>
      <c r="Q762" s="1934" t="n">
        <f aca="false">I762-M762-M769-M768-M763-M764-M767-M765-M766</f>
        <v>0</v>
      </c>
      <c r="R762" s="1935" t="n">
        <f aca="false">G762-N762-N769-N768-N763-N764-N767-N765-N766</f>
        <v>0</v>
      </c>
    </row>
    <row r="763" customFormat="false" ht="14.25" hidden="false" customHeight="false" outlineLevel="0" collapsed="false">
      <c r="A763" s="829"/>
      <c r="B763" s="830"/>
      <c r="C763" s="1965"/>
      <c r="D763" s="1480" t="s">
        <v>5</v>
      </c>
      <c r="E763" s="1480" t="s">
        <v>1651</v>
      </c>
      <c r="F763" s="832"/>
      <c r="G763" s="2010"/>
      <c r="H763" s="837"/>
      <c r="I763" s="837"/>
      <c r="J763" s="1059"/>
      <c r="K763" s="943"/>
      <c r="L763" s="1521" t="n">
        <v>110671.104</v>
      </c>
      <c r="M763" s="866" t="n">
        <v>3840</v>
      </c>
      <c r="N763" s="866" t="n">
        <f aca="false">M763/H762</f>
        <v>256</v>
      </c>
      <c r="O763" s="545" t="s">
        <v>392</v>
      </c>
      <c r="P763" s="1948"/>
      <c r="Q763" s="1934"/>
      <c r="R763" s="1935"/>
    </row>
    <row r="764" customFormat="false" ht="14.25" hidden="false" customHeight="false" outlineLevel="0" collapsed="false">
      <c r="A764" s="829"/>
      <c r="B764" s="830"/>
      <c r="C764" s="1965"/>
      <c r="D764" s="1480" t="s">
        <v>5</v>
      </c>
      <c r="E764" s="1480" t="s">
        <v>1651</v>
      </c>
      <c r="F764" s="832"/>
      <c r="G764" s="2010"/>
      <c r="H764" s="837"/>
      <c r="I764" s="837"/>
      <c r="J764" s="1059"/>
      <c r="K764" s="943"/>
      <c r="L764" s="1521" t="n">
        <v>8646.18</v>
      </c>
      <c r="M764" s="866" t="n">
        <v>300</v>
      </c>
      <c r="N764" s="866" t="n">
        <f aca="false">M764/H762</f>
        <v>20</v>
      </c>
      <c r="O764" s="545" t="s">
        <v>392</v>
      </c>
      <c r="P764" s="1948"/>
      <c r="Q764" s="1934"/>
      <c r="R764" s="1935"/>
    </row>
    <row r="765" customFormat="false" ht="14.25" hidden="false" customHeight="false" outlineLevel="0" collapsed="false">
      <c r="A765" s="829"/>
      <c r="B765" s="830"/>
      <c r="C765" s="1965"/>
      <c r="D765" s="1480" t="s">
        <v>5</v>
      </c>
      <c r="E765" s="1480" t="s">
        <v>1651</v>
      </c>
      <c r="F765" s="832"/>
      <c r="G765" s="2010"/>
      <c r="H765" s="837"/>
      <c r="I765" s="837"/>
      <c r="J765" s="1059"/>
      <c r="K765" s="943"/>
      <c r="L765" s="1521" t="n">
        <v>-432.309</v>
      </c>
      <c r="M765" s="866" t="n">
        <v>-15</v>
      </c>
      <c r="N765" s="866" t="n">
        <f aca="false">M765/H762</f>
        <v>-1</v>
      </c>
      <c r="O765" s="545" t="s">
        <v>1634</v>
      </c>
      <c r="P765" s="1948"/>
      <c r="Q765" s="1934"/>
      <c r="R765" s="1935"/>
    </row>
    <row r="766" customFormat="false" ht="14.25" hidden="false" customHeight="false" outlineLevel="0" collapsed="false">
      <c r="A766" s="829"/>
      <c r="B766" s="830"/>
      <c r="C766" s="1965"/>
      <c r="D766" s="1480" t="s">
        <v>5</v>
      </c>
      <c r="E766" s="1480" t="s">
        <v>1651</v>
      </c>
      <c r="F766" s="832"/>
      <c r="G766" s="2010"/>
      <c r="H766" s="837"/>
      <c r="I766" s="837"/>
      <c r="J766" s="1059"/>
      <c r="K766" s="943"/>
      <c r="L766" s="1521" t="n">
        <v>432.309</v>
      </c>
      <c r="M766" s="866" t="n">
        <v>15</v>
      </c>
      <c r="N766" s="866" t="n">
        <f aca="false">M766/H762</f>
        <v>1</v>
      </c>
      <c r="O766" s="545" t="s">
        <v>1375</v>
      </c>
      <c r="P766" s="1948"/>
      <c r="Q766" s="1934"/>
      <c r="R766" s="1935"/>
    </row>
    <row r="767" customFormat="false" ht="14.25" hidden="false" customHeight="false" outlineLevel="0" collapsed="false">
      <c r="A767" s="829"/>
      <c r="B767" s="830"/>
      <c r="C767" s="1965"/>
      <c r="D767" s="1480" t="s">
        <v>5</v>
      </c>
      <c r="E767" s="1480" t="s">
        <v>1651</v>
      </c>
      <c r="F767" s="832"/>
      <c r="G767" s="2010"/>
      <c r="H767" s="837"/>
      <c r="I767" s="837"/>
      <c r="J767" s="1059"/>
      <c r="K767" s="943"/>
      <c r="L767" s="1521" t="n">
        <v>41501.664</v>
      </c>
      <c r="M767" s="866" t="n">
        <v>1440</v>
      </c>
      <c r="N767" s="866" t="n">
        <f aca="false">M767/H762</f>
        <v>96</v>
      </c>
      <c r="O767" s="545" t="s">
        <v>3408</v>
      </c>
      <c r="P767" s="1948"/>
      <c r="Q767" s="1934"/>
      <c r="R767" s="1935"/>
    </row>
    <row r="768" customFormat="false" ht="14.25" hidden="false" customHeight="false" outlineLevel="0" collapsed="false">
      <c r="A768" s="829"/>
      <c r="B768" s="830"/>
      <c r="C768" s="1965"/>
      <c r="D768" s="1480" t="s">
        <v>5</v>
      </c>
      <c r="E768" s="1480" t="s">
        <v>1651</v>
      </c>
      <c r="F768" s="832"/>
      <c r="G768" s="2010"/>
      <c r="H768" s="837"/>
      <c r="I768" s="837"/>
      <c r="J768" s="1059"/>
      <c r="K768" s="943"/>
      <c r="L768" s="1521" t="n">
        <v>68737.131</v>
      </c>
      <c r="M768" s="866" t="n">
        <v>2385</v>
      </c>
      <c r="N768" s="866" t="n">
        <f aca="false">M768/H762</f>
        <v>159</v>
      </c>
      <c r="O768" s="545" t="s">
        <v>453</v>
      </c>
      <c r="P768" s="1948"/>
      <c r="Q768" s="1934"/>
      <c r="R768" s="1935"/>
    </row>
    <row r="769" customFormat="false" ht="14.25" hidden="false" customHeight="false" outlineLevel="0" collapsed="false">
      <c r="A769" s="829"/>
      <c r="B769" s="830"/>
      <c r="C769" s="1965"/>
      <c r="D769" s="1357" t="s">
        <v>5</v>
      </c>
      <c r="E769" s="1357" t="s">
        <v>1651</v>
      </c>
      <c r="F769" s="832"/>
      <c r="G769" s="2010"/>
      <c r="H769" s="837"/>
      <c r="I769" s="837"/>
      <c r="J769" s="1059"/>
      <c r="K769" s="943"/>
      <c r="L769" s="1362" t="n">
        <v>43230.9</v>
      </c>
      <c r="M769" s="846" t="n">
        <v>1500</v>
      </c>
      <c r="N769" s="846" t="n">
        <f aca="false">M769/H762</f>
        <v>100</v>
      </c>
      <c r="O769" s="1936" t="s">
        <v>392</v>
      </c>
      <c r="P769" s="1948"/>
      <c r="Q769" s="1934"/>
      <c r="R769" s="1935"/>
    </row>
    <row r="770" customFormat="false" ht="14.25" hidden="false" customHeight="false" outlineLevel="0" collapsed="false">
      <c r="A770" s="1344" t="n">
        <v>382</v>
      </c>
      <c r="B770" s="903" t="n">
        <v>2024</v>
      </c>
      <c r="C770" s="1974" t="n">
        <v>45901</v>
      </c>
      <c r="D770" s="1351" t="s">
        <v>5</v>
      </c>
      <c r="E770" s="1351" t="s">
        <v>1651</v>
      </c>
      <c r="F770" s="904" t="s">
        <v>3364</v>
      </c>
      <c r="G770" s="2012" t="n">
        <v>666</v>
      </c>
      <c r="H770" s="942" t="n">
        <v>15</v>
      </c>
      <c r="I770" s="942" t="n">
        <f aca="false">G770*H770</f>
        <v>9990</v>
      </c>
      <c r="J770" s="1406" t="n">
        <v>28.8206</v>
      </c>
      <c r="K770" s="948" t="n">
        <f aca="false">I770*J770</f>
        <v>287917.794</v>
      </c>
      <c r="L770" s="1355" t="n">
        <v>28964.703</v>
      </c>
      <c r="M770" s="891" t="n">
        <v>1005</v>
      </c>
      <c r="N770" s="891" t="n">
        <f aca="false">M770/H770</f>
        <v>67</v>
      </c>
      <c r="O770" s="1943" t="s">
        <v>484</v>
      </c>
      <c r="P770" s="2009" t="n">
        <f aca="false">K770-L770-L773-L772-L771</f>
        <v>0</v>
      </c>
      <c r="Q770" s="2000" t="n">
        <f aca="false">I770-M770-M773-M772-M771</f>
        <v>0</v>
      </c>
      <c r="R770" s="2005" t="n">
        <f aca="false">G770-N770-N773-N772-N771</f>
        <v>0</v>
      </c>
    </row>
    <row r="771" customFormat="false" ht="14.25" hidden="false" customHeight="false" outlineLevel="0" collapsed="false">
      <c r="A771" s="1344"/>
      <c r="B771" s="903"/>
      <c r="C771" s="1974"/>
      <c r="D771" s="1480" t="s">
        <v>5</v>
      </c>
      <c r="E771" s="1480" t="s">
        <v>1651</v>
      </c>
      <c r="F771" s="904"/>
      <c r="G771" s="2012"/>
      <c r="H771" s="942"/>
      <c r="I771" s="942"/>
      <c r="J771" s="1406"/>
      <c r="K771" s="948"/>
      <c r="L771" s="1521" t="n">
        <v>36313.956</v>
      </c>
      <c r="M771" s="866" t="n">
        <v>1260</v>
      </c>
      <c r="N771" s="866" t="n">
        <f aca="false">M771/H770</f>
        <v>84</v>
      </c>
      <c r="O771" s="545" t="s">
        <v>491</v>
      </c>
      <c r="P771" s="2009"/>
      <c r="Q771" s="2000"/>
      <c r="R771" s="2005"/>
    </row>
    <row r="772" customFormat="false" ht="14.25" hidden="false" customHeight="false" outlineLevel="0" collapsed="false">
      <c r="A772" s="1344"/>
      <c r="B772" s="903"/>
      <c r="C772" s="1974"/>
      <c r="D772" s="1480" t="s">
        <v>5</v>
      </c>
      <c r="E772" s="1480" t="s">
        <v>1651</v>
      </c>
      <c r="F772" s="904"/>
      <c r="G772" s="2012"/>
      <c r="H772" s="942"/>
      <c r="I772" s="942"/>
      <c r="J772" s="1406"/>
      <c r="K772" s="948"/>
      <c r="L772" s="1521" t="n">
        <v>184595.943</v>
      </c>
      <c r="M772" s="866" t="n">
        <v>6405</v>
      </c>
      <c r="N772" s="866" t="n">
        <f aca="false">M772/H770</f>
        <v>427</v>
      </c>
      <c r="O772" s="545" t="s">
        <v>396</v>
      </c>
      <c r="P772" s="2009"/>
      <c r="Q772" s="2000"/>
      <c r="R772" s="2005"/>
    </row>
    <row r="773" customFormat="false" ht="14.25" hidden="false" customHeight="false" outlineLevel="0" collapsed="false">
      <c r="A773" s="1344"/>
      <c r="B773" s="903"/>
      <c r="C773" s="1974"/>
      <c r="D773" s="1478" t="s">
        <v>5</v>
      </c>
      <c r="E773" s="1478" t="s">
        <v>1651</v>
      </c>
      <c r="F773" s="904"/>
      <c r="G773" s="2012"/>
      <c r="H773" s="942"/>
      <c r="I773" s="942"/>
      <c r="J773" s="1406"/>
      <c r="K773" s="948"/>
      <c r="L773" s="1355" t="n">
        <v>38043.192</v>
      </c>
      <c r="M773" s="891" t="n">
        <v>1320</v>
      </c>
      <c r="N773" s="891" t="n">
        <f aca="false">M773/H770</f>
        <v>88</v>
      </c>
      <c r="O773" s="1943" t="s">
        <v>486</v>
      </c>
      <c r="P773" s="2009"/>
      <c r="Q773" s="2000"/>
      <c r="R773" s="2005"/>
    </row>
    <row r="774" customFormat="false" ht="14.25" hidden="false" customHeight="false" outlineLevel="0" collapsed="false">
      <c r="A774" s="882" t="n">
        <v>383</v>
      </c>
      <c r="B774" s="830" t="n">
        <v>2024</v>
      </c>
      <c r="C774" s="1965" t="n">
        <v>45901</v>
      </c>
      <c r="D774" s="1365" t="s">
        <v>5</v>
      </c>
      <c r="E774" s="1365" t="s">
        <v>1651</v>
      </c>
      <c r="F774" s="832" t="s">
        <v>3364</v>
      </c>
      <c r="G774" s="2010" t="n">
        <v>666</v>
      </c>
      <c r="H774" s="837" t="n">
        <v>15</v>
      </c>
      <c r="I774" s="837" t="n">
        <f aca="false">G774*H774</f>
        <v>9990</v>
      </c>
      <c r="J774" s="1059" t="n">
        <v>28.8206</v>
      </c>
      <c r="K774" s="943" t="n">
        <f aca="false">I774*J774</f>
        <v>287917.794</v>
      </c>
      <c r="L774" s="1369" t="n">
        <v>31990.866</v>
      </c>
      <c r="M774" s="840" t="n">
        <v>1110</v>
      </c>
      <c r="N774" s="886" t="n">
        <f aca="false">M774/H774</f>
        <v>74</v>
      </c>
      <c r="O774" s="578"/>
      <c r="P774" s="1934" t="n">
        <f aca="false">K774-L774-L779-L775-L778-L776-L777</f>
        <v>-2.91038304567337E-011</v>
      </c>
      <c r="Q774" s="1934" t="n">
        <f aca="false">I774-M774-M779-M775-M778-M776-M777</f>
        <v>0</v>
      </c>
      <c r="R774" s="1935" t="n">
        <f aca="false">G774-N774-N779-N775-N778-N776-N777</f>
        <v>0</v>
      </c>
    </row>
    <row r="775" customFormat="false" ht="14.25" hidden="false" customHeight="false" outlineLevel="0" collapsed="false">
      <c r="A775" s="882"/>
      <c r="B775" s="830"/>
      <c r="C775" s="1965"/>
      <c r="D775" s="1480" t="s">
        <v>5</v>
      </c>
      <c r="E775" s="1480" t="s">
        <v>1651</v>
      </c>
      <c r="F775" s="832"/>
      <c r="G775" s="2010"/>
      <c r="H775" s="837"/>
      <c r="I775" s="837"/>
      <c r="J775" s="1059"/>
      <c r="K775" s="943"/>
      <c r="L775" s="1521" t="n">
        <v>129692.7</v>
      </c>
      <c r="M775" s="866" t="n">
        <v>4500</v>
      </c>
      <c r="N775" s="866" t="n">
        <f aca="false">M775/H774</f>
        <v>300</v>
      </c>
      <c r="O775" s="545" t="s">
        <v>496</v>
      </c>
      <c r="P775" s="1934"/>
      <c r="Q775" s="1934"/>
      <c r="R775" s="1935"/>
    </row>
    <row r="776" customFormat="false" ht="14.25" hidden="false" customHeight="false" outlineLevel="0" collapsed="false">
      <c r="A776" s="882"/>
      <c r="B776" s="830"/>
      <c r="C776" s="1965"/>
      <c r="D776" s="1480" t="s">
        <v>5</v>
      </c>
      <c r="E776" s="1480" t="s">
        <v>1651</v>
      </c>
      <c r="F776" s="832"/>
      <c r="G776" s="2010"/>
      <c r="H776" s="837"/>
      <c r="I776" s="837"/>
      <c r="J776" s="1059"/>
      <c r="K776" s="943"/>
      <c r="L776" s="1521" t="n">
        <v>54903.243</v>
      </c>
      <c r="M776" s="866" t="n">
        <v>1905</v>
      </c>
      <c r="N776" s="866" t="n">
        <f aca="false">M776/H774</f>
        <v>127</v>
      </c>
      <c r="O776" s="545" t="s">
        <v>3378</v>
      </c>
      <c r="P776" s="1934"/>
      <c r="Q776" s="1934"/>
      <c r="R776" s="1935"/>
    </row>
    <row r="777" customFormat="false" ht="14.25" hidden="false" customHeight="false" outlineLevel="0" collapsed="false">
      <c r="A777" s="882"/>
      <c r="B777" s="830"/>
      <c r="C777" s="1965"/>
      <c r="D777" s="1480" t="s">
        <v>5</v>
      </c>
      <c r="E777" s="1480" t="s">
        <v>1651</v>
      </c>
      <c r="F777" s="832"/>
      <c r="G777" s="2010"/>
      <c r="H777" s="837"/>
      <c r="I777" s="837"/>
      <c r="J777" s="1059"/>
      <c r="K777" s="943"/>
      <c r="L777" s="1521" t="n">
        <v>20318.523</v>
      </c>
      <c r="M777" s="866" t="n">
        <v>705</v>
      </c>
      <c r="N777" s="866" t="n">
        <f aca="false">M777/H774</f>
        <v>47</v>
      </c>
      <c r="O777" s="545" t="s">
        <v>504</v>
      </c>
      <c r="P777" s="1934"/>
      <c r="Q777" s="1934"/>
      <c r="R777" s="1935"/>
    </row>
    <row r="778" customFormat="false" ht="14.25" hidden="false" customHeight="false" outlineLevel="0" collapsed="false">
      <c r="A778" s="882"/>
      <c r="B778" s="830"/>
      <c r="C778" s="1965"/>
      <c r="D778" s="1480" t="s">
        <v>5</v>
      </c>
      <c r="E778" s="1480" t="s">
        <v>1651</v>
      </c>
      <c r="F778" s="832"/>
      <c r="G778" s="2010"/>
      <c r="H778" s="837"/>
      <c r="I778" s="837"/>
      <c r="J778" s="1059"/>
      <c r="K778" s="943"/>
      <c r="L778" s="1521" t="n">
        <v>864.618</v>
      </c>
      <c r="M778" s="866" t="n">
        <v>30</v>
      </c>
      <c r="N778" s="866" t="n">
        <f aca="false">M778/H774</f>
        <v>2</v>
      </c>
      <c r="O778" s="545" t="s">
        <v>498</v>
      </c>
      <c r="P778" s="1934"/>
      <c r="Q778" s="1934"/>
      <c r="R778" s="1935"/>
    </row>
    <row r="779" customFormat="false" ht="14.25" hidden="false" customHeight="false" outlineLevel="0" collapsed="false">
      <c r="A779" s="882"/>
      <c r="B779" s="830"/>
      <c r="C779" s="1965"/>
      <c r="D779" s="1357" t="s">
        <v>5</v>
      </c>
      <c r="E779" s="1357" t="s">
        <v>1651</v>
      </c>
      <c r="F779" s="832"/>
      <c r="G779" s="2010"/>
      <c r="H779" s="837"/>
      <c r="I779" s="837"/>
      <c r="J779" s="1059"/>
      <c r="K779" s="943"/>
      <c r="L779" s="1362" t="n">
        <v>50147.844</v>
      </c>
      <c r="M779" s="846" t="n">
        <v>1740</v>
      </c>
      <c r="N779" s="846" t="n">
        <f aca="false">M779/H774</f>
        <v>116</v>
      </c>
      <c r="O779" s="1936" t="s">
        <v>491</v>
      </c>
      <c r="P779" s="1934"/>
      <c r="Q779" s="1934"/>
      <c r="R779" s="1935"/>
    </row>
    <row r="780" customFormat="false" ht="14.25" hidden="false" customHeight="false" outlineLevel="0" collapsed="false">
      <c r="A780" s="1087" t="n">
        <v>384</v>
      </c>
      <c r="B780" s="1072" t="n">
        <v>2024</v>
      </c>
      <c r="C780" s="1980" t="n">
        <v>45901</v>
      </c>
      <c r="D780" s="1351" t="s">
        <v>5</v>
      </c>
      <c r="E780" s="1351" t="s">
        <v>1651</v>
      </c>
      <c r="F780" s="887" t="s">
        <v>3364</v>
      </c>
      <c r="G780" s="2017" t="n">
        <v>195</v>
      </c>
      <c r="H780" s="1067" t="n">
        <v>10</v>
      </c>
      <c r="I780" s="1067" t="n">
        <f aca="false">G780*H780</f>
        <v>1950</v>
      </c>
      <c r="J780" s="1063" t="n">
        <v>34.2004</v>
      </c>
      <c r="K780" s="1452" t="n">
        <f aca="false">I780*J780</f>
        <v>66690.78</v>
      </c>
      <c r="L780" s="1355" t="n">
        <v>20520.24</v>
      </c>
      <c r="M780" s="891" t="n">
        <v>600</v>
      </c>
      <c r="N780" s="854" t="n">
        <f aca="false">M780/H780</f>
        <v>60</v>
      </c>
      <c r="O780" s="1943" t="s">
        <v>464</v>
      </c>
      <c r="P780" s="1952" t="n">
        <f aca="false">K780-L780-L781</f>
        <v>0</v>
      </c>
      <c r="Q780" s="1953" t="n">
        <f aca="false">I780-M780-M781</f>
        <v>0</v>
      </c>
      <c r="R780" s="1954" t="n">
        <f aca="false">G780-N780-N781</f>
        <v>0</v>
      </c>
    </row>
    <row r="781" customFormat="false" ht="14.25" hidden="false" customHeight="false" outlineLevel="0" collapsed="false">
      <c r="A781" s="1087"/>
      <c r="B781" s="1072"/>
      <c r="C781" s="1980"/>
      <c r="D781" s="1357" t="s">
        <v>5</v>
      </c>
      <c r="E781" s="1357" t="s">
        <v>1651</v>
      </c>
      <c r="F781" s="887"/>
      <c r="G781" s="2017"/>
      <c r="H781" s="1067"/>
      <c r="I781" s="1067"/>
      <c r="J781" s="1063"/>
      <c r="K781" s="1452"/>
      <c r="L781" s="1362" t="n">
        <v>46170.54</v>
      </c>
      <c r="M781" s="846" t="n">
        <v>1350</v>
      </c>
      <c r="N781" s="846" t="n">
        <f aca="false">M781/H780</f>
        <v>135</v>
      </c>
      <c r="O781" s="1936" t="s">
        <v>465</v>
      </c>
      <c r="P781" s="1952"/>
      <c r="Q781" s="1953"/>
      <c r="R781" s="1954"/>
    </row>
    <row r="782" customFormat="false" ht="14.25" hidden="false" customHeight="false" outlineLevel="0" collapsed="false">
      <c r="A782" s="882" t="n">
        <v>385</v>
      </c>
      <c r="B782" s="830" t="n">
        <v>2024</v>
      </c>
      <c r="C782" s="1965" t="n">
        <v>45901</v>
      </c>
      <c r="D782" s="1365" t="s">
        <v>5</v>
      </c>
      <c r="E782" s="1365" t="s">
        <v>1651</v>
      </c>
      <c r="F782" s="832" t="s">
        <v>3375</v>
      </c>
      <c r="G782" s="2010" t="n">
        <v>666</v>
      </c>
      <c r="H782" s="837" t="n">
        <v>15</v>
      </c>
      <c r="I782" s="837" t="n">
        <f aca="false">G782*H782</f>
        <v>9990</v>
      </c>
      <c r="J782" s="1059" t="n">
        <v>30.4963</v>
      </c>
      <c r="K782" s="943" t="n">
        <f aca="false">I782*J782</f>
        <v>304658.037</v>
      </c>
      <c r="L782" s="1369" t="n">
        <v>274466.7</v>
      </c>
      <c r="M782" s="840" t="n">
        <v>9000</v>
      </c>
      <c r="N782" s="886" t="n">
        <f aca="false">M782/H782</f>
        <v>600</v>
      </c>
      <c r="O782" s="578" t="s">
        <v>517</v>
      </c>
      <c r="P782" s="1948" t="n">
        <f aca="false">K782-L782-L784-L783</f>
        <v>0</v>
      </c>
      <c r="Q782" s="1934" t="n">
        <f aca="false">I782-M782-M784-M783</f>
        <v>0</v>
      </c>
      <c r="R782" s="1935" t="n">
        <f aca="false">G782-N782-N784-N783</f>
        <v>0</v>
      </c>
    </row>
    <row r="783" customFormat="false" ht="14.25" hidden="false" customHeight="false" outlineLevel="0" collapsed="false">
      <c r="A783" s="882"/>
      <c r="B783" s="830"/>
      <c r="C783" s="1965"/>
      <c r="D783" s="1480" t="s">
        <v>5</v>
      </c>
      <c r="E783" s="1480" t="s">
        <v>1651</v>
      </c>
      <c r="F783" s="832"/>
      <c r="G783" s="2010"/>
      <c r="H783" s="837"/>
      <c r="I783" s="837"/>
      <c r="J783" s="1059"/>
      <c r="K783" s="943"/>
      <c r="L783" s="1521" t="n">
        <v>12808.446</v>
      </c>
      <c r="M783" s="866" t="n">
        <v>420</v>
      </c>
      <c r="N783" s="866" t="n">
        <f aca="false">M783/H782</f>
        <v>28</v>
      </c>
      <c r="O783" s="545" t="s">
        <v>562</v>
      </c>
      <c r="P783" s="1948"/>
      <c r="Q783" s="1934"/>
      <c r="R783" s="1935"/>
    </row>
    <row r="784" customFormat="false" ht="14.25" hidden="false" customHeight="false" outlineLevel="0" collapsed="false">
      <c r="A784" s="882"/>
      <c r="B784" s="830"/>
      <c r="C784" s="1965"/>
      <c r="D784" s="1501" t="s">
        <v>5</v>
      </c>
      <c r="E784" s="1501" t="s">
        <v>1651</v>
      </c>
      <c r="F784" s="832"/>
      <c r="G784" s="2010"/>
      <c r="H784" s="837"/>
      <c r="I784" s="837"/>
      <c r="J784" s="1059"/>
      <c r="K784" s="943"/>
      <c r="L784" s="1381" t="n">
        <v>17382.891</v>
      </c>
      <c r="M784" s="890" t="n">
        <v>570</v>
      </c>
      <c r="N784" s="890" t="n">
        <f aca="false">M784/H782</f>
        <v>38</v>
      </c>
      <c r="O784" s="1938" t="s">
        <v>3408</v>
      </c>
      <c r="P784" s="1948"/>
      <c r="Q784" s="1934"/>
      <c r="R784" s="1935"/>
    </row>
    <row r="785" customFormat="false" ht="14.25" hidden="false" customHeight="false" outlineLevel="0" collapsed="false">
      <c r="A785" s="829" t="n">
        <v>387</v>
      </c>
      <c r="B785" s="830" t="n">
        <v>2024</v>
      </c>
      <c r="C785" s="1965" t="n">
        <v>45901</v>
      </c>
      <c r="D785" s="1365" t="s">
        <v>5</v>
      </c>
      <c r="E785" s="1365" t="s">
        <v>1652</v>
      </c>
      <c r="F785" s="832" t="s">
        <v>3364</v>
      </c>
      <c r="G785" s="2010" t="n">
        <v>222</v>
      </c>
      <c r="H785" s="837" t="n">
        <v>15</v>
      </c>
      <c r="I785" s="837" t="n">
        <f aca="false">G785*H785</f>
        <v>3330</v>
      </c>
      <c r="J785" s="1059" t="n">
        <v>42.8304</v>
      </c>
      <c r="K785" s="943" t="n">
        <f aca="false">I785*J785</f>
        <v>142625.232</v>
      </c>
      <c r="L785" s="1369" t="n">
        <v>16703.856</v>
      </c>
      <c r="M785" s="840" t="n">
        <v>390</v>
      </c>
      <c r="N785" s="886" t="n">
        <f aca="false">M785/H785</f>
        <v>26</v>
      </c>
      <c r="O785" s="578" t="s">
        <v>595</v>
      </c>
      <c r="P785" s="1948" t="n">
        <f aca="false">K785-L785-L788-L787-L786</f>
        <v>0</v>
      </c>
      <c r="Q785" s="1934" t="n">
        <f aca="false">I785-M785-M788-M787-M786</f>
        <v>0</v>
      </c>
      <c r="R785" s="1935" t="n">
        <f aca="false">G785-N785-N788-N787-N786</f>
        <v>0</v>
      </c>
    </row>
    <row r="786" customFormat="false" ht="14.25" hidden="false" customHeight="false" outlineLevel="0" collapsed="false">
      <c r="A786" s="829"/>
      <c r="B786" s="830"/>
      <c r="C786" s="1965"/>
      <c r="D786" s="1479" t="s">
        <v>5</v>
      </c>
      <c r="E786" s="1479" t="s">
        <v>1652</v>
      </c>
      <c r="F786" s="832"/>
      <c r="G786" s="2010"/>
      <c r="H786" s="837"/>
      <c r="I786" s="837"/>
      <c r="J786" s="1059"/>
      <c r="K786" s="943"/>
      <c r="L786" s="1380" t="n">
        <v>-16703.856</v>
      </c>
      <c r="M786" s="854" t="n">
        <v>-390</v>
      </c>
      <c r="N786" s="866" t="n">
        <f aca="false">M786/H785</f>
        <v>-26</v>
      </c>
      <c r="O786" s="580" t="s">
        <v>1634</v>
      </c>
      <c r="P786" s="1948"/>
      <c r="Q786" s="1934"/>
      <c r="R786" s="1935"/>
    </row>
    <row r="787" customFormat="false" ht="14.25" hidden="false" customHeight="false" outlineLevel="0" collapsed="false">
      <c r="A787" s="829"/>
      <c r="B787" s="830"/>
      <c r="C787" s="1965"/>
      <c r="D787" s="1480" t="s">
        <v>5</v>
      </c>
      <c r="E787" s="1480" t="s">
        <v>1652</v>
      </c>
      <c r="F787" s="832"/>
      <c r="G787" s="2010"/>
      <c r="H787" s="837"/>
      <c r="I787" s="837"/>
      <c r="J787" s="1059"/>
      <c r="K787" s="943"/>
      <c r="L787" s="1521" t="n">
        <v>16703.856</v>
      </c>
      <c r="M787" s="866" t="n">
        <v>390</v>
      </c>
      <c r="N787" s="866" t="n">
        <f aca="false">M787/H785</f>
        <v>26</v>
      </c>
      <c r="O787" s="545" t="s">
        <v>684</v>
      </c>
      <c r="P787" s="1948"/>
      <c r="Q787" s="1934"/>
      <c r="R787" s="1935"/>
    </row>
    <row r="788" customFormat="false" ht="14.25" hidden="false" customHeight="false" outlineLevel="0" collapsed="false">
      <c r="A788" s="829"/>
      <c r="B788" s="830"/>
      <c r="C788" s="1965"/>
      <c r="D788" s="1501" t="s">
        <v>5</v>
      </c>
      <c r="E788" s="1501" t="s">
        <v>1652</v>
      </c>
      <c r="F788" s="832"/>
      <c r="G788" s="2010"/>
      <c r="H788" s="837"/>
      <c r="I788" s="837"/>
      <c r="J788" s="1059"/>
      <c r="K788" s="943"/>
      <c r="L788" s="1381" t="n">
        <v>125921.376</v>
      </c>
      <c r="M788" s="890" t="n">
        <v>2940</v>
      </c>
      <c r="N788" s="890" t="n">
        <f aca="false">M788/H785</f>
        <v>196</v>
      </c>
      <c r="O788" s="1938" t="s">
        <v>548</v>
      </c>
      <c r="P788" s="1948"/>
      <c r="Q788" s="1934"/>
      <c r="R788" s="1935"/>
    </row>
    <row r="789" customFormat="false" ht="14.25" hidden="false" customHeight="false" outlineLevel="0" collapsed="false">
      <c r="A789" s="829" t="n">
        <v>411</v>
      </c>
      <c r="B789" s="830" t="n">
        <v>2024</v>
      </c>
      <c r="C789" s="1965" t="n">
        <v>45901</v>
      </c>
      <c r="D789" s="1607" t="s">
        <v>5</v>
      </c>
      <c r="E789" s="1607" t="s">
        <v>1652</v>
      </c>
      <c r="F789" s="832" t="s">
        <v>3364</v>
      </c>
      <c r="G789" s="2010" t="n">
        <v>414</v>
      </c>
      <c r="H789" s="837" t="n">
        <v>15</v>
      </c>
      <c r="I789" s="837" t="n">
        <f aca="false">G789*H789</f>
        <v>6210</v>
      </c>
      <c r="J789" s="1059" t="n">
        <v>38.0433</v>
      </c>
      <c r="K789" s="943" t="n">
        <f aca="false">I789*J789</f>
        <v>236248.893</v>
      </c>
      <c r="L789" s="1665" t="n">
        <v>55923.651</v>
      </c>
      <c r="M789" s="886" t="n">
        <v>1470</v>
      </c>
      <c r="N789" s="886" t="n">
        <f aca="false">M789/H789</f>
        <v>98</v>
      </c>
      <c r="O789" s="1595" t="s">
        <v>548</v>
      </c>
      <c r="P789" s="1934" t="n">
        <f aca="false">K789-L789-L802-L801-L790-L791-L800-L799-L792-L793-L798-L794-L795-L797-L796</f>
        <v>4.32009983342141E-011</v>
      </c>
      <c r="Q789" s="1934" t="n">
        <f aca="false">I789-M789-M802-M801-M790-M791-M800-M799-M792-M793-M798-M794-M795-M797-M796</f>
        <v>0</v>
      </c>
      <c r="R789" s="1935" t="n">
        <f aca="false">G789-N789-N802-N801-N790-N791-N800-N799-N792-N793-N798-N794-N795-N797-N796</f>
        <v>0</v>
      </c>
    </row>
    <row r="790" customFormat="false" ht="14.25" hidden="false" customHeight="false" outlineLevel="0" collapsed="false">
      <c r="A790" s="829"/>
      <c r="B790" s="830"/>
      <c r="C790" s="1965"/>
      <c r="D790" s="1480" t="s">
        <v>5</v>
      </c>
      <c r="E790" s="1480" t="s">
        <v>1652</v>
      </c>
      <c r="F790" s="832"/>
      <c r="G790" s="2010"/>
      <c r="H790" s="837"/>
      <c r="I790" s="837"/>
      <c r="J790" s="1059"/>
      <c r="K790" s="943"/>
      <c r="L790" s="1521" t="n">
        <v>55353.0015</v>
      </c>
      <c r="M790" s="866" t="n">
        <v>1455</v>
      </c>
      <c r="N790" s="866" t="n">
        <f aca="false">M790/H789</f>
        <v>97</v>
      </c>
      <c r="O790" s="545" t="s">
        <v>595</v>
      </c>
      <c r="P790" s="1934"/>
      <c r="Q790" s="1934"/>
      <c r="R790" s="1935"/>
    </row>
    <row r="791" customFormat="false" ht="14.25" hidden="false" customHeight="false" outlineLevel="0" collapsed="false">
      <c r="A791" s="829"/>
      <c r="B791" s="830"/>
      <c r="C791" s="1965"/>
      <c r="D791" s="1480" t="s">
        <v>5</v>
      </c>
      <c r="E791" s="1480" t="s">
        <v>1652</v>
      </c>
      <c r="F791" s="832"/>
      <c r="G791" s="2010"/>
      <c r="H791" s="837"/>
      <c r="I791" s="837"/>
      <c r="J791" s="1059"/>
      <c r="K791" s="943"/>
      <c r="L791" s="1521" t="n">
        <v>72472.4865</v>
      </c>
      <c r="M791" s="2032" t="n">
        <v>1905</v>
      </c>
      <c r="N791" s="866" t="n">
        <f aca="false">M791/H789</f>
        <v>127</v>
      </c>
      <c r="O791" s="2033" t="s">
        <v>617</v>
      </c>
      <c r="P791" s="1934"/>
      <c r="Q791" s="1934"/>
      <c r="R791" s="1935"/>
    </row>
    <row r="792" customFormat="false" ht="14.25" hidden="false" customHeight="false" outlineLevel="0" collapsed="false">
      <c r="A792" s="829"/>
      <c r="B792" s="830"/>
      <c r="C792" s="1965"/>
      <c r="D792" s="1480" t="s">
        <v>5</v>
      </c>
      <c r="E792" s="1480" t="s">
        <v>1652</v>
      </c>
      <c r="F792" s="832"/>
      <c r="G792" s="2010"/>
      <c r="H792" s="837"/>
      <c r="I792" s="837"/>
      <c r="J792" s="1059"/>
      <c r="K792" s="943"/>
      <c r="L792" s="1521" t="n">
        <v>2853.2475</v>
      </c>
      <c r="M792" s="2032" t="n">
        <v>75</v>
      </c>
      <c r="N792" s="866" t="n">
        <f aca="false">M792/H789</f>
        <v>5</v>
      </c>
      <c r="O792" s="2033" t="s">
        <v>997</v>
      </c>
      <c r="P792" s="1934"/>
      <c r="Q792" s="1934"/>
      <c r="R792" s="1935"/>
    </row>
    <row r="793" customFormat="false" ht="14.25" hidden="false" customHeight="false" outlineLevel="0" collapsed="false">
      <c r="A793" s="829"/>
      <c r="B793" s="830"/>
      <c r="C793" s="1965"/>
      <c r="D793" s="1480" t="s">
        <v>5</v>
      </c>
      <c r="E793" s="1480" t="s">
        <v>1652</v>
      </c>
      <c r="F793" s="832"/>
      <c r="G793" s="2010"/>
      <c r="H793" s="837"/>
      <c r="I793" s="837"/>
      <c r="J793" s="1059"/>
      <c r="K793" s="943"/>
      <c r="L793" s="1521" t="n">
        <v>12554.289</v>
      </c>
      <c r="M793" s="2032" t="n">
        <v>330</v>
      </c>
      <c r="N793" s="866" t="n">
        <f aca="false">M793/H789</f>
        <v>22</v>
      </c>
      <c r="O793" s="2033" t="s">
        <v>1008</v>
      </c>
      <c r="P793" s="1934"/>
      <c r="Q793" s="1934"/>
      <c r="R793" s="1935"/>
    </row>
    <row r="794" customFormat="false" ht="14.25" hidden="false" customHeight="false" outlineLevel="0" collapsed="false">
      <c r="A794" s="829"/>
      <c r="B794" s="830"/>
      <c r="C794" s="1965"/>
      <c r="D794" s="1480" t="s">
        <v>5</v>
      </c>
      <c r="E794" s="1480" t="s">
        <v>1652</v>
      </c>
      <c r="F794" s="832"/>
      <c r="G794" s="2010"/>
      <c r="H794" s="837"/>
      <c r="I794" s="837"/>
      <c r="J794" s="1059"/>
      <c r="K794" s="943"/>
      <c r="L794" s="1521" t="n">
        <v>33668.3205</v>
      </c>
      <c r="M794" s="2032" t="n">
        <v>885</v>
      </c>
      <c r="N794" s="866" t="n">
        <f aca="false">M794/H789</f>
        <v>59</v>
      </c>
      <c r="O794" s="2033" t="s">
        <v>1118</v>
      </c>
      <c r="P794" s="1934"/>
      <c r="Q794" s="1934"/>
      <c r="R794" s="1935"/>
    </row>
    <row r="795" customFormat="false" ht="14.25" hidden="false" customHeight="false" outlineLevel="0" collapsed="false">
      <c r="A795" s="829"/>
      <c r="B795" s="830"/>
      <c r="C795" s="1965"/>
      <c r="D795" s="1480" t="s">
        <v>5</v>
      </c>
      <c r="E795" s="1480" t="s">
        <v>1652</v>
      </c>
      <c r="F795" s="832"/>
      <c r="G795" s="2010"/>
      <c r="H795" s="837"/>
      <c r="I795" s="837"/>
      <c r="J795" s="1059"/>
      <c r="K795" s="943"/>
      <c r="L795" s="1521" t="n">
        <v>5135.8455</v>
      </c>
      <c r="M795" s="2032" t="n">
        <v>135</v>
      </c>
      <c r="N795" s="866" t="n">
        <f aca="false">M795/H789</f>
        <v>9</v>
      </c>
      <c r="O795" s="2033" t="s">
        <v>1221</v>
      </c>
      <c r="P795" s="1934"/>
      <c r="Q795" s="1934"/>
      <c r="R795" s="1935"/>
    </row>
    <row r="796" customFormat="false" ht="14.25" hidden="false" customHeight="false" outlineLevel="0" collapsed="false">
      <c r="A796" s="829"/>
      <c r="B796" s="830"/>
      <c r="C796" s="1965"/>
      <c r="D796" s="1480" t="s">
        <v>5</v>
      </c>
      <c r="E796" s="1480" t="s">
        <v>1652</v>
      </c>
      <c r="F796" s="832"/>
      <c r="G796" s="2010"/>
      <c r="H796" s="837"/>
      <c r="I796" s="837"/>
      <c r="J796" s="1059"/>
      <c r="K796" s="943"/>
      <c r="L796" s="1521" t="n">
        <v>570.6495</v>
      </c>
      <c r="M796" s="2032" t="n">
        <v>15</v>
      </c>
      <c r="N796" s="866" t="n">
        <f aca="false">M796/H789</f>
        <v>1</v>
      </c>
      <c r="O796" s="2033" t="s">
        <v>1375</v>
      </c>
      <c r="P796" s="1934"/>
      <c r="Q796" s="1934"/>
      <c r="R796" s="1935"/>
    </row>
    <row r="797" customFormat="false" ht="14.25" hidden="false" customHeight="false" outlineLevel="0" collapsed="false">
      <c r="A797" s="829"/>
      <c r="B797" s="830"/>
      <c r="C797" s="1965"/>
      <c r="D797" s="1480" t="s">
        <v>5</v>
      </c>
      <c r="E797" s="1480" t="s">
        <v>1652</v>
      </c>
      <c r="F797" s="832"/>
      <c r="G797" s="2010"/>
      <c r="H797" s="837"/>
      <c r="I797" s="837"/>
      <c r="J797" s="1059"/>
      <c r="K797" s="943"/>
      <c r="L797" s="1521" t="n">
        <v>-70760.538</v>
      </c>
      <c r="M797" s="2032" t="n">
        <v>-1860</v>
      </c>
      <c r="N797" s="866" t="n">
        <f aca="false">M797/H789</f>
        <v>-124</v>
      </c>
      <c r="O797" s="2033" t="s">
        <v>1634</v>
      </c>
      <c r="P797" s="1934"/>
      <c r="Q797" s="1934"/>
      <c r="R797" s="1935"/>
    </row>
    <row r="798" customFormat="false" ht="14.25" hidden="false" customHeight="false" outlineLevel="0" collapsed="false">
      <c r="A798" s="829"/>
      <c r="B798" s="830"/>
      <c r="C798" s="1965"/>
      <c r="D798" s="1480" t="s">
        <v>5</v>
      </c>
      <c r="E798" s="1480" t="s">
        <v>1652</v>
      </c>
      <c r="F798" s="832"/>
      <c r="G798" s="2010"/>
      <c r="H798" s="837"/>
      <c r="I798" s="837"/>
      <c r="J798" s="1059"/>
      <c r="K798" s="943"/>
      <c r="L798" s="1521" t="n">
        <v>570.6495</v>
      </c>
      <c r="M798" s="2032" t="n">
        <v>15</v>
      </c>
      <c r="N798" s="866" t="n">
        <f aca="false">M798/H789</f>
        <v>1</v>
      </c>
      <c r="O798" s="2033" t="s">
        <v>1086</v>
      </c>
      <c r="P798" s="1934"/>
      <c r="Q798" s="1934"/>
      <c r="R798" s="1935"/>
    </row>
    <row r="799" customFormat="false" ht="14.25" hidden="false" customHeight="false" outlineLevel="0" collapsed="false">
      <c r="A799" s="829"/>
      <c r="B799" s="830"/>
      <c r="C799" s="1965"/>
      <c r="D799" s="1480" t="s">
        <v>5</v>
      </c>
      <c r="E799" s="1480" t="s">
        <v>1652</v>
      </c>
      <c r="F799" s="832"/>
      <c r="G799" s="2010"/>
      <c r="H799" s="837"/>
      <c r="I799" s="837"/>
      <c r="J799" s="1059"/>
      <c r="K799" s="943"/>
      <c r="L799" s="1521" t="n">
        <v>38233.5165</v>
      </c>
      <c r="M799" s="2032" t="n">
        <v>1005</v>
      </c>
      <c r="N799" s="866" t="n">
        <f aca="false">M799/H789</f>
        <v>67</v>
      </c>
      <c r="O799" s="2033" t="s">
        <v>782</v>
      </c>
      <c r="P799" s="1934"/>
      <c r="Q799" s="1934"/>
      <c r="R799" s="1935"/>
    </row>
    <row r="800" customFormat="false" ht="14.25" hidden="false" customHeight="false" outlineLevel="0" collapsed="false">
      <c r="A800" s="829"/>
      <c r="B800" s="830"/>
      <c r="C800" s="1965"/>
      <c r="D800" s="1480" t="s">
        <v>5</v>
      </c>
      <c r="E800" s="1480" t="s">
        <v>1652</v>
      </c>
      <c r="F800" s="832"/>
      <c r="G800" s="2010"/>
      <c r="H800" s="837"/>
      <c r="I800" s="837"/>
      <c r="J800" s="1059"/>
      <c r="K800" s="943"/>
      <c r="L800" s="1521" t="n">
        <v>15407.5365</v>
      </c>
      <c r="M800" s="2032" t="n">
        <v>405</v>
      </c>
      <c r="N800" s="866" t="n">
        <f aca="false">M800/H789</f>
        <v>27</v>
      </c>
      <c r="O800" s="2033" t="s">
        <v>684</v>
      </c>
      <c r="P800" s="1934"/>
      <c r="Q800" s="1934"/>
      <c r="R800" s="1935"/>
    </row>
    <row r="801" customFormat="false" ht="14.25" hidden="false" customHeight="false" outlineLevel="0" collapsed="false">
      <c r="A801" s="829"/>
      <c r="B801" s="830"/>
      <c r="C801" s="1965"/>
      <c r="D801" s="1480" t="s">
        <v>5</v>
      </c>
      <c r="E801" s="1480" t="s">
        <v>1652</v>
      </c>
      <c r="F801" s="832"/>
      <c r="G801" s="2010"/>
      <c r="H801" s="837"/>
      <c r="I801" s="837"/>
      <c r="J801" s="1059"/>
      <c r="K801" s="943"/>
      <c r="L801" s="1521" t="n">
        <v>1711.9485</v>
      </c>
      <c r="M801" s="2032" t="n">
        <v>45</v>
      </c>
      <c r="N801" s="866" t="n">
        <f aca="false">M801/H789</f>
        <v>3</v>
      </c>
      <c r="O801" s="2033" t="s">
        <v>593</v>
      </c>
      <c r="P801" s="1934"/>
      <c r="Q801" s="1934"/>
      <c r="R801" s="1935"/>
    </row>
    <row r="802" customFormat="false" ht="14.25" hidden="false" customHeight="false" outlineLevel="0" collapsed="false">
      <c r="A802" s="829"/>
      <c r="B802" s="830"/>
      <c r="C802" s="1965"/>
      <c r="D802" s="1501" t="s">
        <v>5</v>
      </c>
      <c r="E802" s="1501" t="s">
        <v>1652</v>
      </c>
      <c r="F802" s="832"/>
      <c r="G802" s="2010"/>
      <c r="H802" s="837"/>
      <c r="I802" s="837"/>
      <c r="J802" s="1059"/>
      <c r="K802" s="943"/>
      <c r="L802" s="1381" t="n">
        <v>12554.289</v>
      </c>
      <c r="M802" s="890" t="n">
        <v>330</v>
      </c>
      <c r="N802" s="890" t="n">
        <f aca="false">M802/H789</f>
        <v>22</v>
      </c>
      <c r="O802" s="1938" t="s">
        <v>553</v>
      </c>
      <c r="P802" s="1934"/>
      <c r="Q802" s="1934"/>
      <c r="R802" s="1935"/>
    </row>
    <row r="803" customFormat="false" ht="14.25" hidden="false" customHeight="false" outlineLevel="0" collapsed="false">
      <c r="A803" s="903" t="n">
        <v>413</v>
      </c>
      <c r="B803" s="903" t="n">
        <v>2024</v>
      </c>
      <c r="C803" s="1974" t="n">
        <v>45901</v>
      </c>
      <c r="D803" s="1351" t="s">
        <v>5</v>
      </c>
      <c r="E803" s="1351" t="s">
        <v>2131</v>
      </c>
      <c r="F803" s="904" t="s">
        <v>3364</v>
      </c>
      <c r="G803" s="2012" t="n">
        <v>20</v>
      </c>
      <c r="H803" s="942" t="n">
        <v>25</v>
      </c>
      <c r="I803" s="1355" t="n">
        <f aca="false">G803*H803</f>
        <v>500</v>
      </c>
      <c r="J803" s="1406" t="n">
        <v>63.2595</v>
      </c>
      <c r="K803" s="1942" t="n">
        <f aca="false">I803*J803</f>
        <v>31629.75</v>
      </c>
      <c r="L803" s="1355" t="n">
        <v>31629.75</v>
      </c>
      <c r="M803" s="891" t="n">
        <v>500</v>
      </c>
      <c r="N803" s="891" t="n">
        <f aca="false">M803/H803</f>
        <v>20</v>
      </c>
      <c r="O803" s="1943" t="s">
        <v>495</v>
      </c>
      <c r="P803" s="1947" t="n">
        <f aca="false">K803-L803</f>
        <v>0</v>
      </c>
      <c r="Q803" s="1945" t="n">
        <f aca="false">I803-M803</f>
        <v>0</v>
      </c>
      <c r="R803" s="2000" t="n">
        <f aca="false">G803-N803</f>
        <v>0</v>
      </c>
    </row>
    <row r="804" customFormat="false" ht="14.25" hidden="false" customHeight="false" outlineLevel="0" collapsed="false">
      <c r="A804" s="882" t="n">
        <v>414</v>
      </c>
      <c r="B804" s="830" t="n">
        <v>2024</v>
      </c>
      <c r="C804" s="1965" t="n">
        <v>45901</v>
      </c>
      <c r="D804" s="1365" t="s">
        <v>5</v>
      </c>
      <c r="E804" s="1365" t="s">
        <v>1731</v>
      </c>
      <c r="F804" s="832" t="s">
        <v>3364</v>
      </c>
      <c r="G804" s="2010" t="n">
        <v>400</v>
      </c>
      <c r="H804" s="837" t="n">
        <v>25</v>
      </c>
      <c r="I804" s="837" t="n">
        <f aca="false">G804*H804</f>
        <v>10000</v>
      </c>
      <c r="J804" s="1059" t="n">
        <v>65.2373</v>
      </c>
      <c r="K804" s="943" t="n">
        <f aca="false">I804*J804</f>
        <v>652373</v>
      </c>
      <c r="L804" s="1369" t="n">
        <v>652373</v>
      </c>
      <c r="M804" s="840" t="n">
        <v>10000</v>
      </c>
      <c r="N804" s="840" t="n">
        <f aca="false">M804/H804</f>
        <v>400</v>
      </c>
      <c r="O804" s="578" t="s">
        <v>404</v>
      </c>
      <c r="P804" s="1948" t="n">
        <f aca="false">K804-L804-L806-L805</f>
        <v>8154.66249999999</v>
      </c>
      <c r="Q804" s="1934" t="n">
        <f aca="false">I804-M804-M806-M805</f>
        <v>125</v>
      </c>
      <c r="R804" s="1935" t="n">
        <f aca="false">G804-N804-N806-N805</f>
        <v>5</v>
      </c>
    </row>
    <row r="805" customFormat="false" ht="14.25" hidden="false" customHeight="false" outlineLevel="0" collapsed="false">
      <c r="A805" s="882"/>
      <c r="B805" s="830"/>
      <c r="C805" s="1965"/>
      <c r="D805" s="1480" t="s">
        <v>5</v>
      </c>
      <c r="E805" s="1480" t="s">
        <v>1731</v>
      </c>
      <c r="F805" s="832"/>
      <c r="G805" s="2010"/>
      <c r="H805" s="837"/>
      <c r="I805" s="837"/>
      <c r="J805" s="1059"/>
      <c r="K805" s="943"/>
      <c r="L805" s="1521" t="n">
        <v>-119058.0725</v>
      </c>
      <c r="M805" s="866" t="n">
        <v>-1825</v>
      </c>
      <c r="N805" s="866" t="n">
        <f aca="false">M805/H804</f>
        <v>-73</v>
      </c>
      <c r="O805" s="545" t="s">
        <v>1634</v>
      </c>
      <c r="P805" s="1948"/>
      <c r="Q805" s="1934"/>
      <c r="R805" s="1935"/>
    </row>
    <row r="806" customFormat="false" ht="14.25" hidden="false" customHeight="false" outlineLevel="0" collapsed="false">
      <c r="A806" s="882"/>
      <c r="B806" s="830"/>
      <c r="C806" s="1965"/>
      <c r="D806" s="1357" t="s">
        <v>5</v>
      </c>
      <c r="E806" s="1357" t="s">
        <v>1731</v>
      </c>
      <c r="F806" s="832"/>
      <c r="G806" s="2010"/>
      <c r="H806" s="837"/>
      <c r="I806" s="837"/>
      <c r="J806" s="1059"/>
      <c r="K806" s="943"/>
      <c r="L806" s="1362" t="n">
        <v>110903.41</v>
      </c>
      <c r="M806" s="846" t="n">
        <v>1700</v>
      </c>
      <c r="N806" s="846" t="n">
        <f aca="false">M806/H804</f>
        <v>68</v>
      </c>
      <c r="O806" s="1936" t="s">
        <v>1297</v>
      </c>
      <c r="P806" s="1948"/>
      <c r="Q806" s="1934"/>
      <c r="R806" s="1935"/>
    </row>
    <row r="807" customFormat="false" ht="14.25" hidden="false" customHeight="false" outlineLevel="0" collapsed="false">
      <c r="A807" s="1087" t="n">
        <v>415</v>
      </c>
      <c r="B807" s="1072" t="n">
        <v>2024</v>
      </c>
      <c r="C807" s="1980" t="n">
        <v>45901</v>
      </c>
      <c r="D807" s="1479" t="s">
        <v>5</v>
      </c>
      <c r="E807" s="1479" t="s">
        <v>1731</v>
      </c>
      <c r="F807" s="887" t="s">
        <v>3364</v>
      </c>
      <c r="G807" s="2017" t="n">
        <v>304</v>
      </c>
      <c r="H807" s="1067" t="n">
        <v>25</v>
      </c>
      <c r="I807" s="1067" t="n">
        <f aca="false">G807*H807</f>
        <v>7600</v>
      </c>
      <c r="J807" s="1063" t="n">
        <v>65.2373</v>
      </c>
      <c r="K807" s="1452" t="n">
        <f aca="false">I807*J807</f>
        <v>495803.48</v>
      </c>
      <c r="L807" s="1355" t="n">
        <v>195711.9</v>
      </c>
      <c r="M807" s="891" t="n">
        <v>3000</v>
      </c>
      <c r="N807" s="891" t="n">
        <f aca="false">M807/H807</f>
        <v>120</v>
      </c>
      <c r="O807" s="1943" t="s">
        <v>406</v>
      </c>
      <c r="P807" s="1952" t="n">
        <f aca="false">K807-L807-L821-L820-L808-L809-L819-L818-L810-L812-L813-L817-L814-L811-L816-L815</f>
        <v>4892.79750000009</v>
      </c>
      <c r="Q807" s="1953" t="n">
        <f aca="false">I807-M807-M821-M820-M808-M809-M819-M818-M810-M812-M813-M817-M814-M811-M816-M815</f>
        <v>75</v>
      </c>
      <c r="R807" s="1954" t="n">
        <f aca="false">G807-N807-N821-N820-N808-N809-N819-N818-N810-N812-N813-N817-N814-N811-N816-N815</f>
        <v>3</v>
      </c>
    </row>
    <row r="808" customFormat="false" ht="14.25" hidden="false" customHeight="false" outlineLevel="0" collapsed="false">
      <c r="A808" s="1087"/>
      <c r="B808" s="1072"/>
      <c r="C808" s="1980"/>
      <c r="D808" s="1480" t="s">
        <v>5</v>
      </c>
      <c r="E808" s="1480" t="s">
        <v>1731</v>
      </c>
      <c r="F808" s="887"/>
      <c r="G808" s="2017"/>
      <c r="H808" s="1067"/>
      <c r="I808" s="1067"/>
      <c r="J808" s="1063"/>
      <c r="K808" s="1452"/>
      <c r="L808" s="1521" t="n">
        <v>21202.1225</v>
      </c>
      <c r="M808" s="866" t="n">
        <v>325</v>
      </c>
      <c r="N808" s="866" t="n">
        <f aca="false">M808/H807</f>
        <v>13</v>
      </c>
      <c r="O808" s="545" t="s">
        <v>786</v>
      </c>
      <c r="P808" s="1952"/>
      <c r="Q808" s="1953"/>
      <c r="R808" s="1954"/>
    </row>
    <row r="809" customFormat="false" ht="14.25" hidden="false" customHeight="false" outlineLevel="0" collapsed="false">
      <c r="A809" s="1087"/>
      <c r="B809" s="1072"/>
      <c r="C809" s="1980"/>
      <c r="D809" s="1480" t="s">
        <v>5</v>
      </c>
      <c r="E809" s="1480" t="s">
        <v>1731</v>
      </c>
      <c r="F809" s="887"/>
      <c r="G809" s="2017"/>
      <c r="H809" s="1067"/>
      <c r="I809" s="1067"/>
      <c r="J809" s="1063"/>
      <c r="K809" s="1452"/>
      <c r="L809" s="1521" t="n">
        <v>1630.9325</v>
      </c>
      <c r="M809" s="866" t="n">
        <v>25</v>
      </c>
      <c r="N809" s="866" t="n">
        <f aca="false">M809/H807</f>
        <v>1</v>
      </c>
      <c r="O809" s="545" t="s">
        <v>789</v>
      </c>
      <c r="P809" s="1952"/>
      <c r="Q809" s="1953"/>
      <c r="R809" s="1954"/>
    </row>
    <row r="810" customFormat="false" ht="14.25" hidden="false" customHeight="false" outlineLevel="0" collapsed="false">
      <c r="A810" s="1087"/>
      <c r="B810" s="1072"/>
      <c r="C810" s="1980"/>
      <c r="D810" s="1480" t="s">
        <v>5</v>
      </c>
      <c r="E810" s="1480" t="s">
        <v>1731</v>
      </c>
      <c r="F810" s="887"/>
      <c r="G810" s="2017"/>
      <c r="H810" s="1067"/>
      <c r="I810" s="1067"/>
      <c r="J810" s="1063"/>
      <c r="K810" s="1452"/>
      <c r="L810" s="1521" t="n">
        <v>11416.5275</v>
      </c>
      <c r="M810" s="866" t="n">
        <v>175</v>
      </c>
      <c r="N810" s="866" t="n">
        <f aca="false">M810/H807</f>
        <v>7</v>
      </c>
      <c r="O810" s="545" t="s">
        <v>1228</v>
      </c>
      <c r="P810" s="1952"/>
      <c r="Q810" s="1953"/>
      <c r="R810" s="1954"/>
    </row>
    <row r="811" customFormat="false" ht="14.25" hidden="false" customHeight="false" outlineLevel="0" collapsed="false">
      <c r="A811" s="1087"/>
      <c r="B811" s="1072"/>
      <c r="C811" s="1980"/>
      <c r="D811" s="1480" t="s">
        <v>5</v>
      </c>
      <c r="E811" s="1480" t="s">
        <v>1731</v>
      </c>
      <c r="F811" s="887"/>
      <c r="G811" s="2017"/>
      <c r="H811" s="1067"/>
      <c r="I811" s="1067"/>
      <c r="J811" s="1063"/>
      <c r="K811" s="1452"/>
      <c r="L811" s="1521" t="n">
        <v>-3261.865</v>
      </c>
      <c r="M811" s="866" t="n">
        <v>-50</v>
      </c>
      <c r="N811" s="866" t="n">
        <f aca="false">M811/H807</f>
        <v>-2</v>
      </c>
      <c r="O811" s="545" t="s">
        <v>1634</v>
      </c>
      <c r="P811" s="1952"/>
      <c r="Q811" s="1953"/>
      <c r="R811" s="1954"/>
    </row>
    <row r="812" customFormat="false" ht="14.25" hidden="false" customHeight="false" outlineLevel="0" collapsed="false">
      <c r="A812" s="1087"/>
      <c r="B812" s="1072"/>
      <c r="C812" s="1980"/>
      <c r="D812" s="1480" t="s">
        <v>5</v>
      </c>
      <c r="E812" s="1480" t="s">
        <v>1731</v>
      </c>
      <c r="F812" s="887"/>
      <c r="G812" s="2017"/>
      <c r="H812" s="1067"/>
      <c r="I812" s="1067"/>
      <c r="J812" s="1063"/>
      <c r="K812" s="1452"/>
      <c r="L812" s="1521" t="n">
        <v>16309.325</v>
      </c>
      <c r="M812" s="866" t="n">
        <v>250</v>
      </c>
      <c r="N812" s="866" t="n">
        <f aca="false">M812/H807</f>
        <v>10</v>
      </c>
      <c r="O812" s="545" t="s">
        <v>1230</v>
      </c>
      <c r="P812" s="1952"/>
      <c r="Q812" s="1953"/>
      <c r="R812" s="1954"/>
    </row>
    <row r="813" customFormat="false" ht="14.25" hidden="false" customHeight="false" outlineLevel="0" collapsed="false">
      <c r="A813" s="1087"/>
      <c r="B813" s="1072"/>
      <c r="C813" s="1980"/>
      <c r="D813" s="1480" t="s">
        <v>5</v>
      </c>
      <c r="E813" s="1480" t="s">
        <v>1731</v>
      </c>
      <c r="F813" s="887"/>
      <c r="G813" s="2017"/>
      <c r="H813" s="1067"/>
      <c r="I813" s="1067"/>
      <c r="J813" s="1063"/>
      <c r="K813" s="1452"/>
      <c r="L813" s="1521" t="n">
        <v>6523.73</v>
      </c>
      <c r="M813" s="866" t="n">
        <v>100</v>
      </c>
      <c r="N813" s="866" t="n">
        <f aca="false">M813/H807</f>
        <v>4</v>
      </c>
      <c r="O813" s="545" t="s">
        <v>1235</v>
      </c>
      <c r="P813" s="1952"/>
      <c r="Q813" s="1953"/>
      <c r="R813" s="1954"/>
    </row>
    <row r="814" customFormat="false" ht="14.25" hidden="false" customHeight="false" outlineLevel="0" collapsed="false">
      <c r="A814" s="1087"/>
      <c r="B814" s="1072"/>
      <c r="C814" s="1980"/>
      <c r="D814" s="1480" t="s">
        <v>5</v>
      </c>
      <c r="E814" s="1480" t="s">
        <v>1731</v>
      </c>
      <c r="F814" s="887"/>
      <c r="G814" s="2017"/>
      <c r="H814" s="1067"/>
      <c r="I814" s="1067"/>
      <c r="J814" s="1063"/>
      <c r="K814" s="1452"/>
      <c r="L814" s="1521" t="n">
        <v>84808.49</v>
      </c>
      <c r="M814" s="866" t="n">
        <v>1300</v>
      </c>
      <c r="N814" s="866" t="n">
        <f aca="false">M814/H807</f>
        <v>52</v>
      </c>
      <c r="O814" s="545" t="s">
        <v>1297</v>
      </c>
      <c r="P814" s="1952"/>
      <c r="Q814" s="1953"/>
      <c r="R814" s="1954"/>
    </row>
    <row r="815" customFormat="false" ht="14.25" hidden="false" customHeight="false" outlineLevel="0" collapsed="false">
      <c r="A815" s="1087"/>
      <c r="B815" s="1072"/>
      <c r="C815" s="1980"/>
      <c r="D815" s="1480" t="s">
        <v>5</v>
      </c>
      <c r="E815" s="1480" t="s">
        <v>1731</v>
      </c>
      <c r="F815" s="887"/>
      <c r="G815" s="2017"/>
      <c r="H815" s="1067"/>
      <c r="I815" s="1067"/>
      <c r="J815" s="1063"/>
      <c r="K815" s="1452"/>
      <c r="L815" s="1521" t="n">
        <v>16309.325</v>
      </c>
      <c r="M815" s="866" t="n">
        <v>250</v>
      </c>
      <c r="N815" s="866" t="n">
        <f aca="false">M815/H807</f>
        <v>10</v>
      </c>
      <c r="O815" s="545" t="s">
        <v>1343</v>
      </c>
      <c r="P815" s="1952"/>
      <c r="Q815" s="1953"/>
      <c r="R815" s="1954"/>
    </row>
    <row r="816" customFormat="false" ht="14.25" hidden="false" customHeight="false" outlineLevel="0" collapsed="false">
      <c r="A816" s="1087"/>
      <c r="B816" s="1072"/>
      <c r="C816" s="1980"/>
      <c r="D816" s="1480" t="s">
        <v>5</v>
      </c>
      <c r="E816" s="1480" t="s">
        <v>1731</v>
      </c>
      <c r="F816" s="887"/>
      <c r="G816" s="2017"/>
      <c r="H816" s="1067"/>
      <c r="I816" s="1067"/>
      <c r="J816" s="1063"/>
      <c r="K816" s="1452"/>
      <c r="L816" s="1521" t="n">
        <v>6523.73</v>
      </c>
      <c r="M816" s="866" t="n">
        <v>100</v>
      </c>
      <c r="N816" s="866" t="n">
        <f aca="false">M816/H807</f>
        <v>4</v>
      </c>
      <c r="O816" s="545" t="s">
        <v>1342</v>
      </c>
      <c r="P816" s="1952"/>
      <c r="Q816" s="1953"/>
      <c r="R816" s="1954"/>
    </row>
    <row r="817" customFormat="false" ht="14.25" hidden="false" customHeight="false" outlineLevel="0" collapsed="false">
      <c r="A817" s="1087"/>
      <c r="B817" s="1072"/>
      <c r="C817" s="1980"/>
      <c r="D817" s="1480" t="s">
        <v>5</v>
      </c>
      <c r="E817" s="1480" t="s">
        <v>1731</v>
      </c>
      <c r="F817" s="887"/>
      <c r="G817" s="2017"/>
      <c r="H817" s="1067"/>
      <c r="I817" s="1067"/>
      <c r="J817" s="1063"/>
      <c r="K817" s="1452"/>
      <c r="L817" s="1521" t="n">
        <v>1630.9325</v>
      </c>
      <c r="M817" s="866" t="n">
        <v>25</v>
      </c>
      <c r="N817" s="866" t="n">
        <f aca="false">M817/H807</f>
        <v>1</v>
      </c>
      <c r="O817" s="545" t="s">
        <v>1242</v>
      </c>
      <c r="P817" s="1952"/>
      <c r="Q817" s="1953"/>
      <c r="R817" s="1954"/>
    </row>
    <row r="818" customFormat="false" ht="14.25" hidden="false" customHeight="false" outlineLevel="0" collapsed="false">
      <c r="A818" s="1087"/>
      <c r="B818" s="1072"/>
      <c r="C818" s="1980"/>
      <c r="D818" s="1480" t="s">
        <v>5</v>
      </c>
      <c r="E818" s="1480" t="s">
        <v>1731</v>
      </c>
      <c r="F818" s="887"/>
      <c r="G818" s="2017"/>
      <c r="H818" s="1067"/>
      <c r="I818" s="1067"/>
      <c r="J818" s="1063"/>
      <c r="K818" s="1452"/>
      <c r="L818" s="1521" t="n">
        <v>29356.785</v>
      </c>
      <c r="M818" s="866" t="n">
        <v>450</v>
      </c>
      <c r="N818" s="866" t="n">
        <f aca="false">M818/H807</f>
        <v>18</v>
      </c>
      <c r="O818" s="545" t="s">
        <v>798</v>
      </c>
      <c r="P818" s="1952"/>
      <c r="Q818" s="1953"/>
      <c r="R818" s="1954"/>
    </row>
    <row r="819" customFormat="false" ht="14.25" hidden="false" customHeight="false" outlineLevel="0" collapsed="false">
      <c r="A819" s="1087"/>
      <c r="B819" s="1072"/>
      <c r="C819" s="1980"/>
      <c r="D819" s="1480" t="s">
        <v>5</v>
      </c>
      <c r="E819" s="1480" t="s">
        <v>1731</v>
      </c>
      <c r="F819" s="887"/>
      <c r="G819" s="2017"/>
      <c r="H819" s="1067"/>
      <c r="I819" s="1067"/>
      <c r="J819" s="1063"/>
      <c r="K819" s="1452"/>
      <c r="L819" s="1521" t="n">
        <v>39142.38</v>
      </c>
      <c r="M819" s="866" t="n">
        <v>600</v>
      </c>
      <c r="N819" s="866" t="n">
        <f aca="false">M819/H807</f>
        <v>24</v>
      </c>
      <c r="O819" s="545" t="s">
        <v>794</v>
      </c>
      <c r="P819" s="1952"/>
      <c r="Q819" s="1953"/>
      <c r="R819" s="1954"/>
    </row>
    <row r="820" customFormat="false" ht="14.25" hidden="false" customHeight="false" outlineLevel="0" collapsed="false">
      <c r="A820" s="1087"/>
      <c r="B820" s="1072"/>
      <c r="C820" s="1980"/>
      <c r="D820" s="1480" t="s">
        <v>5</v>
      </c>
      <c r="E820" s="1480" t="s">
        <v>1731</v>
      </c>
      <c r="F820" s="887"/>
      <c r="G820" s="2017"/>
      <c r="H820" s="1067"/>
      <c r="I820" s="1067"/>
      <c r="J820" s="1063"/>
      <c r="K820" s="1452"/>
      <c r="L820" s="1521" t="n">
        <v>17940.2575</v>
      </c>
      <c r="M820" s="866" t="n">
        <v>275</v>
      </c>
      <c r="N820" s="866" t="n">
        <f aca="false">M820/H807</f>
        <v>11</v>
      </c>
      <c r="O820" s="545" t="s">
        <v>785</v>
      </c>
      <c r="P820" s="1952"/>
      <c r="Q820" s="1953"/>
      <c r="R820" s="1954"/>
    </row>
    <row r="821" customFormat="false" ht="14.25" hidden="false" customHeight="false" outlineLevel="0" collapsed="false">
      <c r="A821" s="1087"/>
      <c r="B821" s="1072"/>
      <c r="C821" s="1980"/>
      <c r="D821" s="1357" t="s">
        <v>5</v>
      </c>
      <c r="E821" s="1357" t="s">
        <v>1731</v>
      </c>
      <c r="F821" s="887"/>
      <c r="G821" s="2017"/>
      <c r="H821" s="1067"/>
      <c r="I821" s="1067"/>
      <c r="J821" s="1063"/>
      <c r="K821" s="1452"/>
      <c r="L821" s="1362" t="n">
        <v>45666.11</v>
      </c>
      <c r="M821" s="846" t="n">
        <v>700</v>
      </c>
      <c r="N821" s="846" t="n">
        <f aca="false">M821/H807</f>
        <v>28</v>
      </c>
      <c r="O821" s="1936" t="s">
        <v>620</v>
      </c>
      <c r="P821" s="1952"/>
      <c r="Q821" s="1953"/>
      <c r="R821" s="1954"/>
    </row>
    <row r="822" customFormat="false" ht="14.25" hidden="false" customHeight="false" outlineLevel="0" collapsed="false">
      <c r="A822" s="1087" t="n">
        <v>417</v>
      </c>
      <c r="B822" s="1072" t="n">
        <v>2024</v>
      </c>
      <c r="C822" s="1980" t="n">
        <v>45901</v>
      </c>
      <c r="D822" s="1479" t="s">
        <v>5</v>
      </c>
      <c r="E822" s="1479" t="s">
        <v>1651</v>
      </c>
      <c r="F822" s="887" t="s">
        <v>3375</v>
      </c>
      <c r="G822" s="2017" t="n">
        <v>666</v>
      </c>
      <c r="H822" s="1067" t="n">
        <v>15</v>
      </c>
      <c r="I822" s="1067" t="n">
        <f aca="false">G822*H822</f>
        <v>9990</v>
      </c>
      <c r="J822" s="1063" t="n">
        <v>30.4963</v>
      </c>
      <c r="K822" s="1452" t="n">
        <f aca="false">I822*J822</f>
        <v>304658.037</v>
      </c>
      <c r="L822" s="1380" t="n">
        <v>296424.036</v>
      </c>
      <c r="M822" s="854" t="n">
        <v>9720</v>
      </c>
      <c r="N822" s="854" t="n">
        <f aca="false">M822/H822</f>
        <v>648</v>
      </c>
      <c r="O822" s="580" t="s">
        <v>562</v>
      </c>
      <c r="P822" s="1952" t="n">
        <f aca="false">K822-L822-L823</f>
        <v>0</v>
      </c>
      <c r="Q822" s="1953" t="n">
        <f aca="false">I822-M822-M823</f>
        <v>0</v>
      </c>
      <c r="R822" s="1954" t="n">
        <f aca="false">G822-N822-N823</f>
        <v>0</v>
      </c>
    </row>
    <row r="823" customFormat="false" ht="14.25" hidden="false" customHeight="false" outlineLevel="0" collapsed="false">
      <c r="A823" s="1087"/>
      <c r="B823" s="1072"/>
      <c r="C823" s="1980"/>
      <c r="D823" s="1357" t="s">
        <v>5</v>
      </c>
      <c r="E823" s="1357" t="s">
        <v>1651</v>
      </c>
      <c r="F823" s="887"/>
      <c r="G823" s="2017"/>
      <c r="H823" s="1067"/>
      <c r="I823" s="1067"/>
      <c r="J823" s="1063"/>
      <c r="K823" s="1452"/>
      <c r="L823" s="1362" t="n">
        <v>8234.001</v>
      </c>
      <c r="M823" s="846" t="n">
        <v>270</v>
      </c>
      <c r="N823" s="846" t="n">
        <f aca="false">M823/H822</f>
        <v>18</v>
      </c>
      <c r="O823" s="1936" t="s">
        <v>392</v>
      </c>
      <c r="P823" s="1952"/>
      <c r="Q823" s="1953"/>
      <c r="R823" s="1954"/>
    </row>
    <row r="824" customFormat="false" ht="14.25" hidden="false" customHeight="false" outlineLevel="0" collapsed="false">
      <c r="A824" s="1087" t="n">
        <v>418</v>
      </c>
      <c r="B824" s="1072" t="n">
        <v>2024</v>
      </c>
      <c r="C824" s="1980" t="n">
        <v>45901</v>
      </c>
      <c r="D824" s="1351" t="s">
        <v>5</v>
      </c>
      <c r="E824" s="1351" t="s">
        <v>1651</v>
      </c>
      <c r="F824" s="887" t="s">
        <v>3364</v>
      </c>
      <c r="G824" s="2017" t="n">
        <v>666</v>
      </c>
      <c r="H824" s="1067" t="n">
        <v>15</v>
      </c>
      <c r="I824" s="1067" t="n">
        <f aca="false">G824*H824</f>
        <v>9990</v>
      </c>
      <c r="J824" s="1063" t="n">
        <v>30.4963</v>
      </c>
      <c r="K824" s="1452" t="n">
        <f aca="false">I824*J824</f>
        <v>304658.037</v>
      </c>
      <c r="L824" s="1355" t="n">
        <v>282243.2565</v>
      </c>
      <c r="M824" s="891" t="n">
        <v>9255</v>
      </c>
      <c r="N824" s="854" t="n">
        <f aca="false">M824/H824</f>
        <v>617</v>
      </c>
      <c r="O824" s="1943" t="s">
        <v>404</v>
      </c>
      <c r="P824" s="1952" t="n">
        <f aca="false">K824-L824-L825</f>
        <v>0</v>
      </c>
      <c r="Q824" s="1953" t="n">
        <f aca="false">I824-M824-M825</f>
        <v>0</v>
      </c>
      <c r="R824" s="1954" t="n">
        <f aca="false">G824-N824-N825</f>
        <v>0</v>
      </c>
    </row>
    <row r="825" customFormat="false" ht="14.25" hidden="false" customHeight="false" outlineLevel="0" collapsed="false">
      <c r="A825" s="1087"/>
      <c r="B825" s="1072"/>
      <c r="C825" s="1980"/>
      <c r="D825" s="1357" t="s">
        <v>5</v>
      </c>
      <c r="E825" s="1357" t="s">
        <v>1651</v>
      </c>
      <c r="F825" s="887"/>
      <c r="G825" s="2017"/>
      <c r="H825" s="1067"/>
      <c r="I825" s="1067"/>
      <c r="J825" s="1063"/>
      <c r="K825" s="1452"/>
      <c r="L825" s="1362" t="n">
        <v>22414.7805</v>
      </c>
      <c r="M825" s="846" t="n">
        <v>735</v>
      </c>
      <c r="N825" s="890" t="n">
        <f aca="false">M825/H824</f>
        <v>49</v>
      </c>
      <c r="O825" s="1936" t="s">
        <v>531</v>
      </c>
      <c r="P825" s="1952"/>
      <c r="Q825" s="1953"/>
      <c r="R825" s="1954"/>
    </row>
    <row r="826" customFormat="false" ht="14.25" hidden="false" customHeight="false" outlineLevel="0" collapsed="false">
      <c r="A826" s="903" t="n">
        <v>419</v>
      </c>
      <c r="B826" s="903" t="n">
        <v>2024</v>
      </c>
      <c r="C826" s="1974" t="n">
        <v>45901</v>
      </c>
      <c r="D826" s="1351" t="s">
        <v>5</v>
      </c>
      <c r="E826" s="1351" t="s">
        <v>1651</v>
      </c>
      <c r="F826" s="904" t="s">
        <v>3364</v>
      </c>
      <c r="G826" s="2012" t="n">
        <v>666</v>
      </c>
      <c r="H826" s="942" t="n">
        <v>15</v>
      </c>
      <c r="I826" s="1355" t="n">
        <f aca="false">G826*H826</f>
        <v>9990</v>
      </c>
      <c r="J826" s="1406" t="n">
        <v>30.4963</v>
      </c>
      <c r="K826" s="1942" t="n">
        <f aca="false">I826*J826</f>
        <v>304658.037</v>
      </c>
      <c r="L826" s="1355" t="n">
        <v>304658.037</v>
      </c>
      <c r="M826" s="891" t="n">
        <v>9990</v>
      </c>
      <c r="N826" s="891" t="n">
        <f aca="false">M826/H826</f>
        <v>666</v>
      </c>
      <c r="O826" s="1943" t="s">
        <v>413</v>
      </c>
      <c r="P826" s="1947" t="n">
        <f aca="false">K826-L826</f>
        <v>0</v>
      </c>
      <c r="Q826" s="1945" t="n">
        <f aca="false">I826-M826</f>
        <v>0</v>
      </c>
      <c r="R826" s="2000" t="n">
        <f aca="false">G826-N826</f>
        <v>0</v>
      </c>
    </row>
    <row r="827" customFormat="false" ht="14.25" hidden="false" customHeight="false" outlineLevel="0" collapsed="false">
      <c r="A827" s="1465" t="n">
        <v>420</v>
      </c>
      <c r="B827" s="1546" t="n">
        <v>2024</v>
      </c>
      <c r="C827" s="1975" t="n">
        <v>45901</v>
      </c>
      <c r="D827" s="1607" t="s">
        <v>5</v>
      </c>
      <c r="E827" s="1607" t="s">
        <v>1651</v>
      </c>
      <c r="F827" s="1328" t="s">
        <v>3364</v>
      </c>
      <c r="G827" s="2011" t="n">
        <v>620</v>
      </c>
      <c r="H827" s="1036" t="n">
        <v>15</v>
      </c>
      <c r="I827" s="1036" t="n">
        <f aca="false">G827*H827</f>
        <v>9300</v>
      </c>
      <c r="J827" s="1557" t="n">
        <v>30.4963</v>
      </c>
      <c r="K827" s="1547" t="n">
        <f aca="false">I827*J827</f>
        <v>283615.59</v>
      </c>
      <c r="L827" s="1665" t="n">
        <v>45744.45</v>
      </c>
      <c r="M827" s="886" t="n">
        <v>1500</v>
      </c>
      <c r="N827" s="886" t="n">
        <f aca="false">M827/H827</f>
        <v>100</v>
      </c>
      <c r="O827" s="1595" t="s">
        <v>3439</v>
      </c>
      <c r="P827" s="1984" t="n">
        <f aca="false">K827-L827-L831-L830-L828-L829</f>
        <v>0</v>
      </c>
      <c r="Q827" s="1978" t="n">
        <f aca="false">I827-M827-M831-M830-M828-M829</f>
        <v>0</v>
      </c>
      <c r="R827" s="1979" t="n">
        <f aca="false">G827-N827-N831-N830-N828-N829</f>
        <v>0</v>
      </c>
    </row>
    <row r="828" customFormat="false" ht="14.25" hidden="false" customHeight="false" outlineLevel="0" collapsed="false">
      <c r="A828" s="1465"/>
      <c r="B828" s="1546"/>
      <c r="C828" s="1975"/>
      <c r="D828" s="1480" t="s">
        <v>5</v>
      </c>
      <c r="E828" s="1480" t="s">
        <v>1651</v>
      </c>
      <c r="F828" s="1328"/>
      <c r="G828" s="2011"/>
      <c r="H828" s="1036"/>
      <c r="I828" s="1036"/>
      <c r="J828" s="1557"/>
      <c r="K828" s="1547"/>
      <c r="L828" s="1521" t="n">
        <v>23329.6695</v>
      </c>
      <c r="M828" s="866" t="n">
        <v>765</v>
      </c>
      <c r="N828" s="866" t="n">
        <f aca="false">M828/H827</f>
        <v>51</v>
      </c>
      <c r="O828" s="545" t="s">
        <v>531</v>
      </c>
      <c r="P828" s="1984"/>
      <c r="Q828" s="1978"/>
      <c r="R828" s="1979"/>
    </row>
    <row r="829" customFormat="false" ht="14.25" hidden="false" customHeight="false" outlineLevel="0" collapsed="false">
      <c r="A829" s="1465"/>
      <c r="B829" s="1546"/>
      <c r="C829" s="1975"/>
      <c r="D829" s="1480" t="s">
        <v>5</v>
      </c>
      <c r="E829" s="1480" t="s">
        <v>1651</v>
      </c>
      <c r="F829" s="1328"/>
      <c r="G829" s="2011"/>
      <c r="H829" s="1036"/>
      <c r="I829" s="1036"/>
      <c r="J829" s="1557"/>
      <c r="K829" s="1547"/>
      <c r="L829" s="1521" t="n">
        <v>27446.67</v>
      </c>
      <c r="M829" s="866" t="n">
        <v>900</v>
      </c>
      <c r="N829" s="866" t="n">
        <f aca="false">M829/H827</f>
        <v>60</v>
      </c>
      <c r="O829" s="545" t="s">
        <v>779</v>
      </c>
      <c r="P829" s="1984"/>
      <c r="Q829" s="1978"/>
      <c r="R829" s="1979"/>
    </row>
    <row r="830" customFormat="false" ht="14.25" hidden="false" customHeight="false" outlineLevel="0" collapsed="false">
      <c r="A830" s="1465"/>
      <c r="B830" s="1546"/>
      <c r="C830" s="1975"/>
      <c r="D830" s="1480" t="s">
        <v>5</v>
      </c>
      <c r="E830" s="1480" t="s">
        <v>1651</v>
      </c>
      <c r="F830" s="1328"/>
      <c r="G830" s="2011"/>
      <c r="H830" s="1036"/>
      <c r="I830" s="1036"/>
      <c r="J830" s="1557"/>
      <c r="K830" s="1547"/>
      <c r="L830" s="1521" t="n">
        <v>10521.2235</v>
      </c>
      <c r="M830" s="866" t="n">
        <v>345</v>
      </c>
      <c r="N830" s="866" t="n">
        <f aca="false">M830/H827</f>
        <v>23</v>
      </c>
      <c r="O830" s="545" t="s">
        <v>585</v>
      </c>
      <c r="P830" s="1984"/>
      <c r="Q830" s="1978"/>
      <c r="R830" s="1979"/>
    </row>
    <row r="831" customFormat="false" ht="14.25" hidden="false" customHeight="false" outlineLevel="0" collapsed="false">
      <c r="A831" s="1465"/>
      <c r="B831" s="1546"/>
      <c r="C831" s="1975"/>
      <c r="D831" s="1478" t="s">
        <v>5</v>
      </c>
      <c r="E831" s="1478" t="s">
        <v>1651</v>
      </c>
      <c r="F831" s="1328"/>
      <c r="G831" s="2011"/>
      <c r="H831" s="1036"/>
      <c r="I831" s="1036"/>
      <c r="J831" s="1557"/>
      <c r="K831" s="1547"/>
      <c r="L831" s="1587" t="n">
        <v>176573.577</v>
      </c>
      <c r="M831" s="877" t="n">
        <v>5790</v>
      </c>
      <c r="N831" s="877" t="n">
        <f aca="false">M831/H827</f>
        <v>386</v>
      </c>
      <c r="O831" s="584" t="s">
        <v>404</v>
      </c>
      <c r="P831" s="1984"/>
      <c r="Q831" s="1978"/>
      <c r="R831" s="1979"/>
    </row>
    <row r="832" customFormat="false" ht="14.25" hidden="false" customHeight="false" outlineLevel="0" collapsed="false">
      <c r="A832" s="829" t="n">
        <v>421</v>
      </c>
      <c r="B832" s="830" t="n">
        <v>2024</v>
      </c>
      <c r="C832" s="1965" t="n">
        <v>45931</v>
      </c>
      <c r="D832" s="1365" t="s">
        <v>5</v>
      </c>
      <c r="E832" s="1365" t="s">
        <v>1651</v>
      </c>
      <c r="F832" s="832" t="s">
        <v>3364</v>
      </c>
      <c r="G832" s="2010" t="n">
        <v>412</v>
      </c>
      <c r="H832" s="837" t="n">
        <v>15</v>
      </c>
      <c r="I832" s="837" t="n">
        <f aca="false">G832*H832</f>
        <v>6180</v>
      </c>
      <c r="J832" s="1059" t="n">
        <v>33.8518</v>
      </c>
      <c r="K832" s="943" t="n">
        <f aca="false">I832*J832</f>
        <v>209204.124</v>
      </c>
      <c r="L832" s="1665" t="n">
        <v>7108.878</v>
      </c>
      <c r="M832" s="886" t="n">
        <v>210</v>
      </c>
      <c r="N832" s="886" t="n">
        <f aca="false">M832/H832</f>
        <v>14</v>
      </c>
      <c r="O832" s="1595" t="s">
        <v>404</v>
      </c>
      <c r="P832" s="1948" t="n">
        <f aca="false">K832-L832-L841-L840-L834-L833-L839-L838-L835-L837-L836</f>
        <v>0</v>
      </c>
      <c r="Q832" s="1934" t="n">
        <f aca="false">I832-M832-M841-M840-M834-M833-M839-M838-M835-M837-M836</f>
        <v>0</v>
      </c>
      <c r="R832" s="1935" t="n">
        <f aca="false">G832-N832-N841-N840-N834-N833-N839-N838-N835-N837-N836</f>
        <v>0</v>
      </c>
    </row>
    <row r="833" customFormat="false" ht="14.25" hidden="false" customHeight="false" outlineLevel="0" collapsed="false">
      <c r="A833" s="829"/>
      <c r="B833" s="830"/>
      <c r="C833" s="1965"/>
      <c r="D833" s="1479" t="s">
        <v>5</v>
      </c>
      <c r="E833" s="1479" t="s">
        <v>1651</v>
      </c>
      <c r="F833" s="832"/>
      <c r="G833" s="2010"/>
      <c r="H833" s="837"/>
      <c r="I833" s="837"/>
      <c r="J833" s="1059"/>
      <c r="K833" s="943"/>
      <c r="L833" s="1521" t="n">
        <v>7108.878</v>
      </c>
      <c r="M833" s="866" t="n">
        <v>210</v>
      </c>
      <c r="N833" s="866" t="n">
        <f aca="false">M833/H832</f>
        <v>14</v>
      </c>
      <c r="O833" s="545" t="s">
        <v>539</v>
      </c>
      <c r="P833" s="1948"/>
      <c r="Q833" s="1934"/>
      <c r="R833" s="1935"/>
    </row>
    <row r="834" customFormat="false" ht="14.25" hidden="false" customHeight="false" outlineLevel="0" collapsed="false">
      <c r="A834" s="829"/>
      <c r="B834" s="830"/>
      <c r="C834" s="1965"/>
      <c r="D834" s="1480" t="s">
        <v>5</v>
      </c>
      <c r="E834" s="1480" t="s">
        <v>1651</v>
      </c>
      <c r="F834" s="832"/>
      <c r="G834" s="2010"/>
      <c r="H834" s="837"/>
      <c r="I834" s="837"/>
      <c r="J834" s="1059"/>
      <c r="K834" s="943"/>
      <c r="L834" s="1521" t="n">
        <v>24881.073</v>
      </c>
      <c r="M834" s="866" t="n">
        <v>735</v>
      </c>
      <c r="N834" s="866" t="n">
        <f aca="false">M834/H832</f>
        <v>49</v>
      </c>
      <c r="O834" s="545" t="s">
        <v>465</v>
      </c>
      <c r="P834" s="1948"/>
      <c r="Q834" s="1934"/>
      <c r="R834" s="1935"/>
    </row>
    <row r="835" customFormat="false" ht="14.25" hidden="false" customHeight="false" outlineLevel="0" collapsed="false">
      <c r="A835" s="829"/>
      <c r="B835" s="830"/>
      <c r="C835" s="1965"/>
      <c r="D835" s="1480" t="s">
        <v>5</v>
      </c>
      <c r="E835" s="1480" t="s">
        <v>1651</v>
      </c>
      <c r="F835" s="832"/>
      <c r="G835" s="2010"/>
      <c r="H835" s="837"/>
      <c r="I835" s="837"/>
      <c r="J835" s="1059"/>
      <c r="K835" s="943"/>
      <c r="L835" s="1521" t="n">
        <v>2538.885</v>
      </c>
      <c r="M835" s="866" t="n">
        <v>75</v>
      </c>
      <c r="N835" s="866" t="n">
        <f aca="false">M835/H832</f>
        <v>5</v>
      </c>
      <c r="O835" s="545" t="s">
        <v>778</v>
      </c>
      <c r="P835" s="1948"/>
      <c r="Q835" s="1934"/>
      <c r="R835" s="1935"/>
    </row>
    <row r="836" customFormat="false" ht="14.25" hidden="false" customHeight="false" outlineLevel="0" collapsed="false">
      <c r="A836" s="829"/>
      <c r="B836" s="830"/>
      <c r="C836" s="1965"/>
      <c r="D836" s="1480" t="s">
        <v>5</v>
      </c>
      <c r="E836" s="1480" t="s">
        <v>1651</v>
      </c>
      <c r="F836" s="832"/>
      <c r="G836" s="2010"/>
      <c r="H836" s="837"/>
      <c r="I836" s="837"/>
      <c r="J836" s="1059"/>
      <c r="K836" s="943"/>
      <c r="L836" s="1521" t="n">
        <v>33005.505</v>
      </c>
      <c r="M836" s="866" t="n">
        <v>975</v>
      </c>
      <c r="N836" s="866" t="n">
        <f aca="false">M836/H832</f>
        <v>65</v>
      </c>
      <c r="O836" s="545" t="s">
        <v>515</v>
      </c>
      <c r="P836" s="1948"/>
      <c r="Q836" s="1934"/>
      <c r="R836" s="1935"/>
    </row>
    <row r="837" customFormat="false" ht="14.25" hidden="false" customHeight="false" outlineLevel="0" collapsed="false">
      <c r="A837" s="829"/>
      <c r="B837" s="830"/>
      <c r="C837" s="1965"/>
      <c r="D837" s="1480" t="s">
        <v>5</v>
      </c>
      <c r="E837" s="1480" t="s">
        <v>1651</v>
      </c>
      <c r="F837" s="832"/>
      <c r="G837" s="2010"/>
      <c r="H837" s="837"/>
      <c r="I837" s="837"/>
      <c r="J837" s="1059"/>
      <c r="K837" s="943"/>
      <c r="L837" s="1521" t="n">
        <v>6601.101</v>
      </c>
      <c r="M837" s="866" t="n">
        <v>195</v>
      </c>
      <c r="N837" s="866" t="n">
        <f aca="false">M837/H832</f>
        <v>13</v>
      </c>
      <c r="O837" s="545" t="s">
        <v>780</v>
      </c>
      <c r="P837" s="1948"/>
      <c r="Q837" s="1934"/>
      <c r="R837" s="1935"/>
    </row>
    <row r="838" customFormat="false" ht="14.25" hidden="false" customHeight="false" outlineLevel="0" collapsed="false">
      <c r="A838" s="829"/>
      <c r="B838" s="830"/>
      <c r="C838" s="1965"/>
      <c r="D838" s="1480" t="s">
        <v>5</v>
      </c>
      <c r="E838" s="1480" t="s">
        <v>1651</v>
      </c>
      <c r="F838" s="832"/>
      <c r="G838" s="2010"/>
      <c r="H838" s="837"/>
      <c r="I838" s="837"/>
      <c r="J838" s="1059"/>
      <c r="K838" s="943"/>
      <c r="L838" s="1521" t="n">
        <v>10155.54</v>
      </c>
      <c r="M838" s="866" t="n">
        <v>300</v>
      </c>
      <c r="N838" s="866" t="n">
        <f aca="false">M838/H832</f>
        <v>20</v>
      </c>
      <c r="O838" s="545" t="s">
        <v>777</v>
      </c>
      <c r="P838" s="1948"/>
      <c r="Q838" s="1934"/>
      <c r="R838" s="1935"/>
    </row>
    <row r="839" customFormat="false" ht="14.25" hidden="false" customHeight="false" outlineLevel="0" collapsed="false">
      <c r="A839" s="829"/>
      <c r="B839" s="830"/>
      <c r="C839" s="1965"/>
      <c r="D839" s="1480" t="s">
        <v>5</v>
      </c>
      <c r="E839" s="1480" t="s">
        <v>1651</v>
      </c>
      <c r="F839" s="832"/>
      <c r="G839" s="2010"/>
      <c r="H839" s="837"/>
      <c r="I839" s="837"/>
      <c r="J839" s="1059"/>
      <c r="K839" s="943"/>
      <c r="L839" s="1521" t="n">
        <v>3046.662</v>
      </c>
      <c r="M839" s="866" t="n">
        <v>90</v>
      </c>
      <c r="N839" s="866" t="n">
        <f aca="false">M839/H832</f>
        <v>6</v>
      </c>
      <c r="O839" s="545" t="s">
        <v>541</v>
      </c>
      <c r="P839" s="1948"/>
      <c r="Q839" s="1934"/>
      <c r="R839" s="1935"/>
    </row>
    <row r="840" customFormat="false" ht="14.25" hidden="false" customHeight="false" outlineLevel="0" collapsed="false">
      <c r="A840" s="829"/>
      <c r="B840" s="830"/>
      <c r="C840" s="1965"/>
      <c r="D840" s="1480" t="s">
        <v>5</v>
      </c>
      <c r="E840" s="1480" t="s">
        <v>1651</v>
      </c>
      <c r="F840" s="832"/>
      <c r="G840" s="2010"/>
      <c r="H840" s="837"/>
      <c r="I840" s="837"/>
      <c r="J840" s="1059"/>
      <c r="K840" s="943"/>
      <c r="L840" s="1521" t="n">
        <v>1015.554</v>
      </c>
      <c r="M840" s="866" t="n">
        <v>30</v>
      </c>
      <c r="N840" s="866" t="n">
        <f aca="false">M840/H832</f>
        <v>2</v>
      </c>
      <c r="O840" s="545" t="s">
        <v>532</v>
      </c>
      <c r="P840" s="1948"/>
      <c r="Q840" s="1934"/>
      <c r="R840" s="1935"/>
    </row>
    <row r="841" customFormat="false" ht="14.25" hidden="false" customHeight="false" outlineLevel="0" collapsed="false">
      <c r="A841" s="829"/>
      <c r="B841" s="830"/>
      <c r="C841" s="1965"/>
      <c r="D841" s="1357" t="s">
        <v>5</v>
      </c>
      <c r="E841" s="1357" t="s">
        <v>1651</v>
      </c>
      <c r="F841" s="832"/>
      <c r="G841" s="2010"/>
      <c r="H841" s="837"/>
      <c r="I841" s="837"/>
      <c r="J841" s="1059"/>
      <c r="K841" s="943"/>
      <c r="L841" s="1362" t="n">
        <v>113742.048</v>
      </c>
      <c r="M841" s="846" t="n">
        <v>3360</v>
      </c>
      <c r="N841" s="846" t="n">
        <f aca="false">M841/H832</f>
        <v>224</v>
      </c>
      <c r="O841" s="1936" t="s">
        <v>385</v>
      </c>
      <c r="P841" s="1948"/>
      <c r="Q841" s="1934"/>
      <c r="R841" s="1935"/>
    </row>
    <row r="842" customFormat="false" ht="14.25" hidden="false" customHeight="false" outlineLevel="0" collapsed="false">
      <c r="A842" s="903" t="n">
        <v>428</v>
      </c>
      <c r="B842" s="903" t="n">
        <v>2024</v>
      </c>
      <c r="C842" s="1974" t="n">
        <v>45931</v>
      </c>
      <c r="D842" s="1351" t="s">
        <v>5</v>
      </c>
      <c r="E842" s="1351" t="s">
        <v>2133</v>
      </c>
      <c r="F842" s="904" t="s">
        <v>3364</v>
      </c>
      <c r="G842" s="2012" t="n">
        <v>17</v>
      </c>
      <c r="H842" s="942" t="n">
        <v>30</v>
      </c>
      <c r="I842" s="1355" t="n">
        <f aca="false">G842*H842</f>
        <v>510</v>
      </c>
      <c r="J842" s="1406" t="n">
        <v>96.5</v>
      </c>
      <c r="K842" s="1942" t="n">
        <f aca="false">I842*J842</f>
        <v>49215</v>
      </c>
      <c r="L842" s="1355" t="n">
        <v>49215</v>
      </c>
      <c r="M842" s="891" t="n">
        <v>510</v>
      </c>
      <c r="N842" s="891" t="n">
        <f aca="false">M842/H842</f>
        <v>17</v>
      </c>
      <c r="O842" s="1943" t="s">
        <v>505</v>
      </c>
      <c r="P842" s="1947" t="n">
        <f aca="false">K842-L842</f>
        <v>0</v>
      </c>
      <c r="Q842" s="1945" t="n">
        <f aca="false">I842-M842</f>
        <v>0</v>
      </c>
      <c r="R842" s="2000" t="n">
        <f aca="false">G842-N842</f>
        <v>0</v>
      </c>
    </row>
    <row r="843" customFormat="false" ht="14.25" hidden="false" customHeight="false" outlineLevel="0" collapsed="false">
      <c r="A843" s="829" t="n">
        <v>461</v>
      </c>
      <c r="B843" s="830" t="n">
        <v>2024</v>
      </c>
      <c r="C843" s="1965" t="n">
        <v>45931</v>
      </c>
      <c r="D843" s="1365" t="s">
        <v>5</v>
      </c>
      <c r="E843" s="1365" t="s">
        <v>2131</v>
      </c>
      <c r="F843" s="832" t="s">
        <v>3375</v>
      </c>
      <c r="G843" s="2010" t="n">
        <v>189</v>
      </c>
      <c r="H843" s="837" t="n">
        <v>25</v>
      </c>
      <c r="I843" s="837" t="n">
        <f aca="false">G843*H843</f>
        <v>4725</v>
      </c>
      <c r="J843" s="1059" t="n">
        <v>62.3897</v>
      </c>
      <c r="K843" s="943" t="n">
        <f aca="false">I843*J843</f>
        <v>294791.3325</v>
      </c>
      <c r="L843" s="1369" t="n">
        <v>93584.55</v>
      </c>
      <c r="M843" s="840" t="n">
        <v>1500</v>
      </c>
      <c r="N843" s="840" t="n">
        <f aca="false">M843/H843</f>
        <v>60</v>
      </c>
      <c r="O843" s="578" t="s">
        <v>837</v>
      </c>
      <c r="P843" s="1934" t="n">
        <f aca="false">K843-L843-L844-L845-L846</f>
        <v>-3.45607986673713E-011</v>
      </c>
      <c r="Q843" s="1934" t="n">
        <f aca="false">I843-M843-M844-M845-M846</f>
        <v>0</v>
      </c>
      <c r="R843" s="1935" t="n">
        <f aca="false">G843-N843-N844-N845-N846</f>
        <v>0</v>
      </c>
    </row>
    <row r="844" customFormat="false" ht="14.25" hidden="false" customHeight="false" outlineLevel="0" collapsed="false">
      <c r="A844" s="829"/>
      <c r="B844" s="830"/>
      <c r="C844" s="1965"/>
      <c r="D844" s="1480" t="s">
        <v>5</v>
      </c>
      <c r="E844" s="1480" t="s">
        <v>2131</v>
      </c>
      <c r="F844" s="832"/>
      <c r="G844" s="2010"/>
      <c r="H844" s="837"/>
      <c r="I844" s="837"/>
      <c r="J844" s="1059"/>
      <c r="K844" s="943"/>
      <c r="L844" s="1521" t="n">
        <v>93584.55</v>
      </c>
      <c r="M844" s="866" t="n">
        <v>1500</v>
      </c>
      <c r="N844" s="854" t="n">
        <f aca="false">M844/H843</f>
        <v>60</v>
      </c>
      <c r="O844" s="545" t="s">
        <v>840</v>
      </c>
      <c r="P844" s="1934"/>
      <c r="Q844" s="1934"/>
      <c r="R844" s="1935"/>
    </row>
    <row r="845" customFormat="false" ht="14.25" hidden="false" customHeight="false" outlineLevel="0" collapsed="false">
      <c r="A845" s="829"/>
      <c r="B845" s="830"/>
      <c r="C845" s="1965"/>
      <c r="D845" s="1480" t="s">
        <v>5</v>
      </c>
      <c r="E845" s="1480" t="s">
        <v>2131</v>
      </c>
      <c r="F845" s="832"/>
      <c r="G845" s="2010"/>
      <c r="H845" s="837"/>
      <c r="I845" s="837"/>
      <c r="J845" s="1059"/>
      <c r="K845" s="943"/>
      <c r="L845" s="1521" t="n">
        <v>93584.55</v>
      </c>
      <c r="M845" s="866" t="n">
        <v>1500</v>
      </c>
      <c r="N845" s="854" t="n">
        <f aca="false">M845/H843</f>
        <v>60</v>
      </c>
      <c r="O845" s="545" t="s">
        <v>838</v>
      </c>
      <c r="P845" s="1934"/>
      <c r="Q845" s="1934"/>
      <c r="R845" s="1935"/>
    </row>
    <row r="846" customFormat="false" ht="14.25" hidden="false" customHeight="false" outlineLevel="0" collapsed="false">
      <c r="A846" s="829"/>
      <c r="B846" s="830"/>
      <c r="C846" s="1965"/>
      <c r="D846" s="1357" t="s">
        <v>5</v>
      </c>
      <c r="E846" s="1357" t="s">
        <v>2131</v>
      </c>
      <c r="F846" s="832"/>
      <c r="G846" s="2010"/>
      <c r="H846" s="837"/>
      <c r="I846" s="837"/>
      <c r="J846" s="1059"/>
      <c r="K846" s="943"/>
      <c r="L846" s="1362" t="n">
        <v>14037.6825</v>
      </c>
      <c r="M846" s="846" t="n">
        <v>225</v>
      </c>
      <c r="N846" s="890" t="n">
        <f aca="false">M846/H843</f>
        <v>9</v>
      </c>
      <c r="O846" s="1936" t="s">
        <v>3440</v>
      </c>
      <c r="P846" s="1934"/>
      <c r="Q846" s="1934"/>
      <c r="R846" s="1935"/>
    </row>
    <row r="847" customFormat="false" ht="14.25" hidden="false" customHeight="false" outlineLevel="0" collapsed="false">
      <c r="A847" s="1087" t="n">
        <v>462</v>
      </c>
      <c r="B847" s="1072" t="n">
        <v>2024</v>
      </c>
      <c r="C847" s="1980" t="n">
        <v>45931</v>
      </c>
      <c r="D847" s="1479" t="s">
        <v>5</v>
      </c>
      <c r="E847" s="1479" t="s">
        <v>2131</v>
      </c>
      <c r="F847" s="887" t="s">
        <v>3364</v>
      </c>
      <c r="G847" s="2017" t="n">
        <v>104</v>
      </c>
      <c r="H847" s="1067" t="n">
        <v>25</v>
      </c>
      <c r="I847" s="1067" t="n">
        <f aca="false">G847*H847</f>
        <v>2600</v>
      </c>
      <c r="J847" s="1063" t="n">
        <v>62.3897</v>
      </c>
      <c r="K847" s="1452" t="n">
        <f aca="false">I847*J847</f>
        <v>162213.22</v>
      </c>
      <c r="L847" s="1380" t="n">
        <v>31194.85</v>
      </c>
      <c r="M847" s="854" t="n">
        <v>500</v>
      </c>
      <c r="N847" s="891" t="n">
        <f aca="false">M847/H847</f>
        <v>20</v>
      </c>
      <c r="O847" s="580" t="s">
        <v>665</v>
      </c>
      <c r="P847" s="1952" t="n">
        <f aca="false">K847-L847-L849-L848</f>
        <v>0</v>
      </c>
      <c r="Q847" s="1953" t="n">
        <f aca="false">I847-M847-M849-M848</f>
        <v>0</v>
      </c>
      <c r="R847" s="1954" t="n">
        <f aca="false">G847-N847-N849-N848</f>
        <v>0</v>
      </c>
    </row>
    <row r="848" customFormat="false" ht="14.25" hidden="false" customHeight="false" outlineLevel="0" collapsed="false">
      <c r="A848" s="1087"/>
      <c r="B848" s="1072"/>
      <c r="C848" s="1980"/>
      <c r="D848" s="1351" t="s">
        <v>5</v>
      </c>
      <c r="E848" s="1351" t="s">
        <v>2131</v>
      </c>
      <c r="F848" s="887"/>
      <c r="G848" s="2017"/>
      <c r="H848" s="1067"/>
      <c r="I848" s="1067"/>
      <c r="J848" s="1063"/>
      <c r="K848" s="1452"/>
      <c r="L848" s="1355" t="n">
        <v>124779.4</v>
      </c>
      <c r="M848" s="891" t="n">
        <v>2000</v>
      </c>
      <c r="N848" s="866" t="n">
        <f aca="false">M848/H847</f>
        <v>80</v>
      </c>
      <c r="O848" s="1943" t="s">
        <v>697</v>
      </c>
      <c r="P848" s="1952"/>
      <c r="Q848" s="1953"/>
      <c r="R848" s="1954"/>
    </row>
    <row r="849" customFormat="false" ht="14.25" hidden="false" customHeight="false" outlineLevel="0" collapsed="false">
      <c r="A849" s="1087"/>
      <c r="B849" s="1072"/>
      <c r="C849" s="1980"/>
      <c r="D849" s="1357" t="s">
        <v>5</v>
      </c>
      <c r="E849" s="1357" t="s">
        <v>2131</v>
      </c>
      <c r="F849" s="887"/>
      <c r="G849" s="2017"/>
      <c r="H849" s="1067"/>
      <c r="I849" s="1067"/>
      <c r="J849" s="1063"/>
      <c r="K849" s="1452"/>
      <c r="L849" s="1362" t="n">
        <v>6238.97</v>
      </c>
      <c r="M849" s="846" t="n">
        <v>100</v>
      </c>
      <c r="N849" s="846" t="n">
        <f aca="false">M849/H847</f>
        <v>4</v>
      </c>
      <c r="O849" s="1936" t="s">
        <v>668</v>
      </c>
      <c r="P849" s="1952"/>
      <c r="Q849" s="1953"/>
      <c r="R849" s="1954"/>
    </row>
    <row r="850" customFormat="false" ht="14.25" hidden="false" customHeight="false" outlineLevel="0" collapsed="false">
      <c r="A850" s="1087" t="n">
        <v>474</v>
      </c>
      <c r="B850" s="1072" t="n">
        <v>2024</v>
      </c>
      <c r="C850" s="1980" t="n">
        <v>45931</v>
      </c>
      <c r="D850" s="1479" t="s">
        <v>5</v>
      </c>
      <c r="E850" s="1479" t="s">
        <v>1651</v>
      </c>
      <c r="F850" s="887" t="s">
        <v>3375</v>
      </c>
      <c r="G850" s="2017" t="n">
        <v>200</v>
      </c>
      <c r="H850" s="1067" t="n">
        <v>15</v>
      </c>
      <c r="I850" s="1067" t="n">
        <f aca="false">G850*H850</f>
        <v>3000</v>
      </c>
      <c r="J850" s="1063" t="n">
        <v>31.1875</v>
      </c>
      <c r="K850" s="1452" t="n">
        <f aca="false">I850*J850</f>
        <v>93562.5</v>
      </c>
      <c r="L850" s="1380" t="n">
        <v>38360.625</v>
      </c>
      <c r="M850" s="854" t="n">
        <v>1230</v>
      </c>
      <c r="N850" s="891" t="n">
        <f aca="false">M850/H850</f>
        <v>82</v>
      </c>
      <c r="O850" s="580" t="s">
        <v>392</v>
      </c>
      <c r="P850" s="1952" t="n">
        <f aca="false">K850-L850-L852-L851</f>
        <v>0</v>
      </c>
      <c r="Q850" s="1953" t="n">
        <f aca="false">I850-M850-M852-M851</f>
        <v>0</v>
      </c>
      <c r="R850" s="1954" t="n">
        <f aca="false">G850-N850-N852-N851</f>
        <v>0</v>
      </c>
    </row>
    <row r="851" customFormat="false" ht="14.25" hidden="false" customHeight="false" outlineLevel="0" collapsed="false">
      <c r="A851" s="1087"/>
      <c r="B851" s="1072"/>
      <c r="C851" s="1980"/>
      <c r="D851" s="1351" t="s">
        <v>5</v>
      </c>
      <c r="E851" s="1351" t="s">
        <v>1651</v>
      </c>
      <c r="F851" s="887"/>
      <c r="G851" s="2017"/>
      <c r="H851" s="1067"/>
      <c r="I851" s="1067"/>
      <c r="J851" s="1063"/>
      <c r="K851" s="1452"/>
      <c r="L851" s="1355" t="n">
        <v>23858.4375</v>
      </c>
      <c r="M851" s="891" t="n">
        <v>765</v>
      </c>
      <c r="N851" s="866" t="n">
        <f aca="false">M851/H850</f>
        <v>51</v>
      </c>
      <c r="O851" s="1943" t="s">
        <v>392</v>
      </c>
      <c r="P851" s="1952"/>
      <c r="Q851" s="1953"/>
      <c r="R851" s="1954"/>
    </row>
    <row r="852" customFormat="false" ht="14.25" hidden="false" customHeight="false" outlineLevel="0" collapsed="false">
      <c r="A852" s="1087"/>
      <c r="B852" s="1072"/>
      <c r="C852" s="1980"/>
      <c r="D852" s="1357" t="s">
        <v>5</v>
      </c>
      <c r="E852" s="1357" t="s">
        <v>1651</v>
      </c>
      <c r="F852" s="887"/>
      <c r="G852" s="2017"/>
      <c r="H852" s="1067"/>
      <c r="I852" s="1067"/>
      <c r="J852" s="1063"/>
      <c r="K852" s="1452"/>
      <c r="L852" s="1362" t="n">
        <v>31343.4375</v>
      </c>
      <c r="M852" s="846" t="n">
        <v>1005</v>
      </c>
      <c r="N852" s="846" t="n">
        <f aca="false">M852/H850</f>
        <v>67</v>
      </c>
      <c r="O852" s="1936" t="s">
        <v>392</v>
      </c>
      <c r="P852" s="1952"/>
      <c r="Q852" s="1953"/>
      <c r="R852" s="1954"/>
    </row>
    <row r="853" customFormat="false" ht="14.25" hidden="false" customHeight="false" outlineLevel="0" collapsed="false">
      <c r="A853" s="1087" t="n">
        <v>475</v>
      </c>
      <c r="B853" s="1072" t="n">
        <v>2024</v>
      </c>
      <c r="C853" s="1980" t="n">
        <v>45931</v>
      </c>
      <c r="D853" s="1479" t="s">
        <v>5</v>
      </c>
      <c r="E853" s="1479" t="s">
        <v>1651</v>
      </c>
      <c r="F853" s="887" t="s">
        <v>3367</v>
      </c>
      <c r="G853" s="2017" t="n">
        <v>380</v>
      </c>
      <c r="H853" s="1067" t="n">
        <v>10</v>
      </c>
      <c r="I853" s="1067" t="n">
        <f aca="false">G853*H853</f>
        <v>3800</v>
      </c>
      <c r="J853" s="1063" t="n">
        <v>31.1875</v>
      </c>
      <c r="K853" s="1452" t="n">
        <f aca="false">I853*J853</f>
        <v>118512.5</v>
      </c>
      <c r="L853" s="1380" t="n">
        <v>46781.25</v>
      </c>
      <c r="M853" s="854" t="n">
        <v>1500</v>
      </c>
      <c r="N853" s="891" t="n">
        <f aca="false">M853/H853</f>
        <v>150</v>
      </c>
      <c r="O853" s="580" t="s">
        <v>603</v>
      </c>
      <c r="P853" s="1952" t="n">
        <f aca="false">K853-L853-L855-L854</f>
        <v>0</v>
      </c>
      <c r="Q853" s="1953" t="n">
        <f aca="false">I853-M853-M855-M854</f>
        <v>0</v>
      </c>
      <c r="R853" s="1954" t="n">
        <f aca="false">G853-N853-N855-N854</f>
        <v>0</v>
      </c>
    </row>
    <row r="854" customFormat="false" ht="14.25" hidden="false" customHeight="false" outlineLevel="0" collapsed="false">
      <c r="A854" s="1087"/>
      <c r="B854" s="1072"/>
      <c r="C854" s="1980"/>
      <c r="D854" s="1351" t="s">
        <v>5</v>
      </c>
      <c r="E854" s="1351" t="s">
        <v>1651</v>
      </c>
      <c r="F854" s="887"/>
      <c r="G854" s="2017"/>
      <c r="H854" s="1067"/>
      <c r="I854" s="1067"/>
      <c r="J854" s="1063"/>
      <c r="K854" s="1452"/>
      <c r="L854" s="1355" t="n">
        <v>31811.25</v>
      </c>
      <c r="M854" s="891" t="n">
        <v>1020</v>
      </c>
      <c r="N854" s="866" t="n">
        <f aca="false">M854/H853</f>
        <v>102</v>
      </c>
      <c r="O854" s="1943" t="s">
        <v>561</v>
      </c>
      <c r="P854" s="1952"/>
      <c r="Q854" s="1953"/>
      <c r="R854" s="1954"/>
    </row>
    <row r="855" customFormat="false" ht="14.25" hidden="false" customHeight="false" outlineLevel="0" collapsed="false">
      <c r="A855" s="1087"/>
      <c r="B855" s="1072"/>
      <c r="C855" s="1980"/>
      <c r="D855" s="1357" t="s">
        <v>5</v>
      </c>
      <c r="E855" s="1357" t="s">
        <v>1651</v>
      </c>
      <c r="F855" s="887"/>
      <c r="G855" s="2017"/>
      <c r="H855" s="1067"/>
      <c r="I855" s="1067"/>
      <c r="J855" s="1063"/>
      <c r="K855" s="1452"/>
      <c r="L855" s="1362" t="n">
        <v>39920</v>
      </c>
      <c r="M855" s="846" t="n">
        <v>1280</v>
      </c>
      <c r="N855" s="846" t="n">
        <f aca="false">M855/H853</f>
        <v>128</v>
      </c>
      <c r="O855" s="1936" t="s">
        <v>604</v>
      </c>
      <c r="P855" s="1952"/>
      <c r="Q855" s="1953"/>
      <c r="R855" s="1954"/>
    </row>
    <row r="856" customFormat="false" ht="14.25" hidden="false" customHeight="false" outlineLevel="0" collapsed="false">
      <c r="A856" s="829" t="n">
        <v>476</v>
      </c>
      <c r="B856" s="830" t="n">
        <v>2024</v>
      </c>
      <c r="C856" s="1965" t="n">
        <v>45931</v>
      </c>
      <c r="D856" s="1607" t="s">
        <v>5</v>
      </c>
      <c r="E856" s="1607" t="s">
        <v>1651</v>
      </c>
      <c r="F856" s="1119" t="s">
        <v>3364</v>
      </c>
      <c r="G856" s="2010" t="n">
        <v>638</v>
      </c>
      <c r="H856" s="837" t="n">
        <v>15</v>
      </c>
      <c r="I856" s="837" t="n">
        <f aca="false">G856*H856</f>
        <v>9570</v>
      </c>
      <c r="J856" s="1059" t="n">
        <v>32.2303</v>
      </c>
      <c r="K856" s="943" t="n">
        <f aca="false">I856*J856</f>
        <v>308443.971</v>
      </c>
      <c r="L856" s="1665" t="n">
        <v>205468.1625</v>
      </c>
      <c r="M856" s="886" t="n">
        <v>6375</v>
      </c>
      <c r="N856" s="886" t="n">
        <f aca="false">M856/H856</f>
        <v>425</v>
      </c>
      <c r="O856" s="1595" t="s">
        <v>576</v>
      </c>
      <c r="P856" s="1948" t="n">
        <f aca="false">K856-L856-L860-L859-L857-L858</f>
        <v>0</v>
      </c>
      <c r="Q856" s="1934" t="n">
        <f aca="false">I856-M856-M860-M859-M857-M858</f>
        <v>0</v>
      </c>
      <c r="R856" s="1935" t="n">
        <f aca="false">G856-N856-N860-N859-N857-N858</f>
        <v>0</v>
      </c>
    </row>
    <row r="857" customFormat="false" ht="14.25" hidden="false" customHeight="false" outlineLevel="0" collapsed="false">
      <c r="A857" s="829"/>
      <c r="B857" s="830"/>
      <c r="C857" s="1965"/>
      <c r="D857" s="1480" t="s">
        <v>5</v>
      </c>
      <c r="E857" s="1480" t="s">
        <v>1651</v>
      </c>
      <c r="F857" s="1119"/>
      <c r="G857" s="2010"/>
      <c r="H857" s="837"/>
      <c r="I857" s="837"/>
      <c r="J857" s="1059"/>
      <c r="K857" s="943"/>
      <c r="L857" s="1521" t="n">
        <v>4834.545</v>
      </c>
      <c r="M857" s="866" t="n">
        <v>150</v>
      </c>
      <c r="N857" s="866" t="n">
        <f aca="false">M857/H856</f>
        <v>10</v>
      </c>
      <c r="O857" s="545" t="s">
        <v>581</v>
      </c>
      <c r="P857" s="1948"/>
      <c r="Q857" s="1934"/>
      <c r="R857" s="1935"/>
    </row>
    <row r="858" customFormat="false" ht="14.25" hidden="false" customHeight="false" outlineLevel="0" collapsed="false">
      <c r="A858" s="829"/>
      <c r="B858" s="830"/>
      <c r="C858" s="1965"/>
      <c r="D858" s="1480" t="s">
        <v>5</v>
      </c>
      <c r="E858" s="1480" t="s">
        <v>1651</v>
      </c>
      <c r="F858" s="1119"/>
      <c r="G858" s="2010"/>
      <c r="H858" s="837"/>
      <c r="I858" s="837"/>
      <c r="J858" s="1059"/>
      <c r="K858" s="943"/>
      <c r="L858" s="1521" t="n">
        <v>36259.0875</v>
      </c>
      <c r="M858" s="866" t="n">
        <v>1125</v>
      </c>
      <c r="N858" s="866" t="n">
        <f aca="false">M858/H856</f>
        <v>75</v>
      </c>
      <c r="O858" s="545" t="s">
        <v>673</v>
      </c>
      <c r="P858" s="1948"/>
      <c r="Q858" s="1934"/>
      <c r="R858" s="1935"/>
    </row>
    <row r="859" customFormat="false" ht="14.25" hidden="false" customHeight="false" outlineLevel="0" collapsed="false">
      <c r="A859" s="829"/>
      <c r="B859" s="830"/>
      <c r="C859" s="1965"/>
      <c r="D859" s="1480" t="s">
        <v>5</v>
      </c>
      <c r="E859" s="1480" t="s">
        <v>1651</v>
      </c>
      <c r="F859" s="1119"/>
      <c r="G859" s="2010"/>
      <c r="H859" s="837"/>
      <c r="I859" s="837"/>
      <c r="J859" s="1059"/>
      <c r="K859" s="943"/>
      <c r="L859" s="1521" t="n">
        <v>55113.813</v>
      </c>
      <c r="M859" s="866" t="n">
        <v>1710</v>
      </c>
      <c r="N859" s="866" t="n">
        <f aca="false">M859/H856</f>
        <v>114</v>
      </c>
      <c r="O859" s="545" t="s">
        <v>577</v>
      </c>
      <c r="P859" s="1948"/>
      <c r="Q859" s="1934"/>
      <c r="R859" s="1935"/>
    </row>
    <row r="860" customFormat="false" ht="14.25" hidden="false" customHeight="false" outlineLevel="0" collapsed="false">
      <c r="A860" s="829"/>
      <c r="B860" s="830"/>
      <c r="C860" s="1965"/>
      <c r="D860" s="1357" t="s">
        <v>5</v>
      </c>
      <c r="E860" s="1357" t="s">
        <v>1651</v>
      </c>
      <c r="F860" s="1119"/>
      <c r="G860" s="2010"/>
      <c r="H860" s="837"/>
      <c r="I860" s="837"/>
      <c r="J860" s="1059"/>
      <c r="K860" s="943"/>
      <c r="L860" s="1362" t="n">
        <v>6768.363</v>
      </c>
      <c r="M860" s="846" t="n">
        <v>210</v>
      </c>
      <c r="N860" s="846" t="n">
        <f aca="false">M860/H856</f>
        <v>14</v>
      </c>
      <c r="O860" s="1936" t="s">
        <v>541</v>
      </c>
      <c r="P860" s="1948"/>
      <c r="Q860" s="1934"/>
      <c r="R860" s="1935"/>
    </row>
    <row r="861" customFormat="false" ht="14.25" hidden="false" customHeight="false" outlineLevel="0" collapsed="false">
      <c r="A861" s="882" t="n">
        <v>576</v>
      </c>
      <c r="B861" s="830" t="n">
        <v>2024</v>
      </c>
      <c r="C861" s="1965" t="n">
        <v>45962</v>
      </c>
      <c r="D861" s="1365" t="s">
        <v>5</v>
      </c>
      <c r="E861" s="1365" t="s">
        <v>2131</v>
      </c>
      <c r="F861" s="832" t="s">
        <v>3364</v>
      </c>
      <c r="G861" s="2010" t="n">
        <v>77</v>
      </c>
      <c r="H861" s="837" t="n">
        <v>25</v>
      </c>
      <c r="I861" s="837" t="n">
        <f aca="false">G861*H861</f>
        <v>1925</v>
      </c>
      <c r="J861" s="1059" t="n">
        <v>61.9019</v>
      </c>
      <c r="K861" s="943" t="n">
        <f aca="false">I861*J861</f>
        <v>119161.1575</v>
      </c>
      <c r="L861" s="1369" t="n">
        <v>3095.095</v>
      </c>
      <c r="M861" s="840" t="n">
        <v>50</v>
      </c>
      <c r="N861" s="886" t="n">
        <f aca="false">M861/H861</f>
        <v>2</v>
      </c>
      <c r="O861" s="578" t="s">
        <v>768</v>
      </c>
      <c r="P861" s="1948" t="n">
        <f aca="false">K861-L861-L863-L862</f>
        <v>0</v>
      </c>
      <c r="Q861" s="1934" t="n">
        <f aca="false">I861-M861-M863-M862</f>
        <v>0</v>
      </c>
      <c r="R861" s="1935" t="n">
        <f aca="false">G861-N861-N863-N862</f>
        <v>0</v>
      </c>
    </row>
    <row r="862" customFormat="false" ht="14.25" hidden="false" customHeight="false" outlineLevel="0" collapsed="false">
      <c r="A862" s="882"/>
      <c r="B862" s="830"/>
      <c r="C862" s="1965"/>
      <c r="D862" s="1480" t="s">
        <v>5</v>
      </c>
      <c r="E862" s="1480" t="s">
        <v>2131</v>
      </c>
      <c r="F862" s="832"/>
      <c r="G862" s="2010"/>
      <c r="H862" s="837"/>
      <c r="I862" s="837"/>
      <c r="J862" s="1059"/>
      <c r="K862" s="943"/>
      <c r="L862" s="1521" t="n">
        <v>54164.1625</v>
      </c>
      <c r="M862" s="866" t="n">
        <v>875</v>
      </c>
      <c r="N862" s="866" t="n">
        <f aca="false">M862/H861</f>
        <v>35</v>
      </c>
      <c r="O862" s="545" t="s">
        <v>699</v>
      </c>
      <c r="P862" s="1948"/>
      <c r="Q862" s="1934"/>
      <c r="R862" s="1935"/>
    </row>
    <row r="863" customFormat="false" ht="14.25" hidden="false" customHeight="false" outlineLevel="0" collapsed="false">
      <c r="A863" s="882"/>
      <c r="B863" s="830"/>
      <c r="C863" s="1965"/>
      <c r="D863" s="1501" t="s">
        <v>5</v>
      </c>
      <c r="E863" s="1501" t="s">
        <v>2131</v>
      </c>
      <c r="F863" s="832"/>
      <c r="G863" s="2010"/>
      <c r="H863" s="837"/>
      <c r="I863" s="837"/>
      <c r="J863" s="1059"/>
      <c r="K863" s="943"/>
      <c r="L863" s="1381" t="n">
        <v>61901.9</v>
      </c>
      <c r="M863" s="890" t="n">
        <v>1000</v>
      </c>
      <c r="N863" s="890" t="n">
        <f aca="false">M863/H861</f>
        <v>40</v>
      </c>
      <c r="O863" s="1938" t="s">
        <v>769</v>
      </c>
      <c r="P863" s="1948"/>
      <c r="Q863" s="1934"/>
      <c r="R863" s="1935"/>
    </row>
    <row r="864" customFormat="false" ht="14.25" hidden="false" customHeight="false" outlineLevel="0" collapsed="false">
      <c r="A864" s="847" t="n">
        <v>596</v>
      </c>
      <c r="B864" s="1396" t="n">
        <v>2024</v>
      </c>
      <c r="C864" s="1966" t="n">
        <v>45962</v>
      </c>
      <c r="D864" s="1479" t="s">
        <v>5</v>
      </c>
      <c r="E864" s="1479" t="s">
        <v>1651</v>
      </c>
      <c r="F864" s="848" t="s">
        <v>3364</v>
      </c>
      <c r="G864" s="2018" t="n">
        <v>134</v>
      </c>
      <c r="H864" s="537" t="n">
        <v>15</v>
      </c>
      <c r="I864" s="1380" t="n">
        <f aca="false">G864*H864</f>
        <v>2010</v>
      </c>
      <c r="J864" s="1544" t="n">
        <v>30.1546</v>
      </c>
      <c r="K864" s="1968" t="n">
        <f aca="false">I864*J864</f>
        <v>60610.746</v>
      </c>
      <c r="L864" s="1380" t="n">
        <v>60610.746</v>
      </c>
      <c r="M864" s="854" t="n">
        <v>2010</v>
      </c>
      <c r="N864" s="866" t="n">
        <f aca="false">M864/H864</f>
        <v>134</v>
      </c>
      <c r="O864" s="580" t="s">
        <v>866</v>
      </c>
      <c r="P864" s="1969" t="n">
        <f aca="false">K864-L864</f>
        <v>0</v>
      </c>
      <c r="Q864" s="1970" t="n">
        <f aca="false">I864-M864</f>
        <v>0</v>
      </c>
      <c r="R864" s="2027" t="n">
        <f aca="false">G864-N864</f>
        <v>0</v>
      </c>
    </row>
    <row r="865" customFormat="false" ht="14.25" hidden="false" customHeight="false" outlineLevel="0" collapsed="false">
      <c r="A865" s="847" t="n">
        <v>600</v>
      </c>
      <c r="B865" s="1396" t="n">
        <v>2024</v>
      </c>
      <c r="C865" s="1966" t="n">
        <v>45962</v>
      </c>
      <c r="D865" s="1479" t="s">
        <v>5</v>
      </c>
      <c r="E865" s="1479" t="s">
        <v>2619</v>
      </c>
      <c r="F865" s="848" t="s">
        <v>3364</v>
      </c>
      <c r="G865" s="2018" t="n">
        <v>2</v>
      </c>
      <c r="H865" s="537" t="n">
        <v>460</v>
      </c>
      <c r="I865" s="1380" t="n">
        <f aca="false">G865*H865</f>
        <v>920</v>
      </c>
      <c r="J865" s="1544" t="n">
        <v>98.4948</v>
      </c>
      <c r="K865" s="1968" t="n">
        <f aca="false">I865*J865</f>
        <v>90615.216</v>
      </c>
      <c r="L865" s="1380" t="n">
        <v>90615.216</v>
      </c>
      <c r="M865" s="854" t="n">
        <v>920</v>
      </c>
      <c r="N865" s="866" t="n">
        <f aca="false">M865/H865</f>
        <v>2</v>
      </c>
      <c r="O865" s="580" t="s">
        <v>809</v>
      </c>
      <c r="P865" s="1969" t="n">
        <f aca="false">K865-L865</f>
        <v>0</v>
      </c>
      <c r="Q865" s="1970" t="n">
        <f aca="false">I865-M865</f>
        <v>0</v>
      </c>
      <c r="R865" s="2027" t="n">
        <f aca="false">G865-N865</f>
        <v>0</v>
      </c>
    </row>
    <row r="866" customFormat="false" ht="14.25" hidden="false" customHeight="false" outlineLevel="0" collapsed="false">
      <c r="A866" s="847" t="n">
        <v>601</v>
      </c>
      <c r="B866" s="1396" t="n">
        <v>2024</v>
      </c>
      <c r="C866" s="1966" t="n">
        <v>45962</v>
      </c>
      <c r="D866" s="1479" t="s">
        <v>5</v>
      </c>
      <c r="E866" s="1479" t="s">
        <v>2619</v>
      </c>
      <c r="F866" s="848" t="s">
        <v>3364</v>
      </c>
      <c r="G866" s="2018" t="n">
        <v>4</v>
      </c>
      <c r="H866" s="537" t="n">
        <v>800</v>
      </c>
      <c r="I866" s="1380" t="n">
        <f aca="false">G866*H866</f>
        <v>3200</v>
      </c>
      <c r="J866" s="1544" t="n">
        <v>98.4948</v>
      </c>
      <c r="K866" s="1968" t="n">
        <f aca="false">I866*J866</f>
        <v>315183.36</v>
      </c>
      <c r="L866" s="1380" t="n">
        <v>315183.36</v>
      </c>
      <c r="M866" s="854" t="n">
        <v>3200</v>
      </c>
      <c r="N866" s="866" t="n">
        <f aca="false">M866/H866</f>
        <v>4</v>
      </c>
      <c r="O866" s="580" t="s">
        <v>810</v>
      </c>
      <c r="P866" s="1969" t="n">
        <f aca="false">K866-L866</f>
        <v>0</v>
      </c>
      <c r="Q866" s="1970" t="n">
        <f aca="false">I866-M866</f>
        <v>0</v>
      </c>
      <c r="R866" s="2027" t="n">
        <f aca="false">G866-N866</f>
        <v>0</v>
      </c>
    </row>
    <row r="867" customFormat="false" ht="14.25" hidden="false" customHeight="false" outlineLevel="0" collapsed="false">
      <c r="A867" s="847" t="n">
        <v>602</v>
      </c>
      <c r="B867" s="1396" t="n">
        <v>2024</v>
      </c>
      <c r="C867" s="1966" t="n">
        <v>45962</v>
      </c>
      <c r="D867" s="1479" t="s">
        <v>5</v>
      </c>
      <c r="E867" s="1479" t="s">
        <v>2619</v>
      </c>
      <c r="F867" s="848" t="s">
        <v>3364</v>
      </c>
      <c r="G867" s="2018" t="n">
        <v>1</v>
      </c>
      <c r="H867" s="537" t="n">
        <v>620</v>
      </c>
      <c r="I867" s="1380" t="n">
        <f aca="false">G867*H867</f>
        <v>620</v>
      </c>
      <c r="J867" s="1544" t="n">
        <v>98.4948</v>
      </c>
      <c r="K867" s="1968" t="n">
        <f aca="false">I867*J867</f>
        <v>61066.776</v>
      </c>
      <c r="L867" s="1380" t="n">
        <v>61066.776</v>
      </c>
      <c r="M867" s="854" t="n">
        <v>620</v>
      </c>
      <c r="N867" s="854" t="n">
        <f aca="false">M867/H867</f>
        <v>1</v>
      </c>
      <c r="O867" s="580" t="s">
        <v>808</v>
      </c>
      <c r="P867" s="1969" t="n">
        <f aca="false">K867-L867</f>
        <v>0</v>
      </c>
      <c r="Q867" s="1970" t="n">
        <f aca="false">I867-M867</f>
        <v>0</v>
      </c>
      <c r="R867" s="2027" t="n">
        <f aca="false">G867-N867</f>
        <v>0</v>
      </c>
    </row>
    <row r="868" customFormat="false" ht="14.25" hidden="false" customHeight="false" outlineLevel="0" collapsed="false">
      <c r="A868" s="903" t="n">
        <v>603</v>
      </c>
      <c r="B868" s="903" t="n">
        <v>2024</v>
      </c>
      <c r="C868" s="1974" t="n">
        <v>45962</v>
      </c>
      <c r="D868" s="1351" t="s">
        <v>5</v>
      </c>
      <c r="E868" s="1351" t="s">
        <v>2619</v>
      </c>
      <c r="F868" s="904" t="s">
        <v>3364</v>
      </c>
      <c r="G868" s="2012" t="n">
        <v>1</v>
      </c>
      <c r="H868" s="942" t="n">
        <v>160</v>
      </c>
      <c r="I868" s="1355" t="n">
        <f aca="false">G868*H868</f>
        <v>160</v>
      </c>
      <c r="J868" s="1406" t="n">
        <v>98.4948</v>
      </c>
      <c r="K868" s="1942" t="n">
        <f aca="false">I868*J868</f>
        <v>15759.168</v>
      </c>
      <c r="L868" s="1355" t="n">
        <v>15759.168</v>
      </c>
      <c r="M868" s="891" t="n">
        <v>160</v>
      </c>
      <c r="N868" s="866" t="n">
        <f aca="false">M868/H868</f>
        <v>1</v>
      </c>
      <c r="O868" s="1943" t="s">
        <v>809</v>
      </c>
      <c r="P868" s="1944" t="n">
        <f aca="false">K868-L868</f>
        <v>0</v>
      </c>
      <c r="Q868" s="1945" t="n">
        <f aca="false">I868-M868</f>
        <v>0</v>
      </c>
      <c r="R868" s="2000" t="n">
        <f aca="false">G868-N868</f>
        <v>0</v>
      </c>
    </row>
    <row r="869" customFormat="false" ht="14.25" hidden="false" customHeight="false" outlineLevel="0" collapsed="false">
      <c r="A869" s="829" t="n">
        <v>604</v>
      </c>
      <c r="B869" s="830" t="n">
        <v>2024</v>
      </c>
      <c r="C869" s="1965" t="n">
        <v>45962</v>
      </c>
      <c r="D869" s="1365" t="s">
        <v>5</v>
      </c>
      <c r="E869" s="1365" t="s">
        <v>2619</v>
      </c>
      <c r="F869" s="832" t="s">
        <v>3364</v>
      </c>
      <c r="G869" s="2010" t="n">
        <v>267</v>
      </c>
      <c r="H869" s="837" t="n">
        <v>30</v>
      </c>
      <c r="I869" s="837" t="n">
        <f aca="false">G869*H869</f>
        <v>8010</v>
      </c>
      <c r="J869" s="1059" t="n">
        <v>95.2187</v>
      </c>
      <c r="K869" s="943" t="n">
        <f aca="false">I869*J869</f>
        <v>762701.787</v>
      </c>
      <c r="L869" s="1665" t="n">
        <v>291369.222</v>
      </c>
      <c r="M869" s="886" t="n">
        <v>3060</v>
      </c>
      <c r="N869" s="886" t="n">
        <f aca="false">M869/H869</f>
        <v>102</v>
      </c>
      <c r="O869" s="1595" t="s">
        <v>3441</v>
      </c>
      <c r="P869" s="1937" t="n">
        <f aca="false">K869-L869-L873-L872-L870-L871</f>
        <v>0</v>
      </c>
      <c r="Q869" s="1934" t="n">
        <f aca="false">I869-M869-M873-M872-M870-M871</f>
        <v>0</v>
      </c>
      <c r="R869" s="1935" t="n">
        <f aca="false">G869-N869-N873-N872-N870-N871</f>
        <v>0</v>
      </c>
    </row>
    <row r="870" customFormat="false" ht="14.25" hidden="false" customHeight="false" outlineLevel="0" collapsed="false">
      <c r="A870" s="829"/>
      <c r="B870" s="830"/>
      <c r="C870" s="1965"/>
      <c r="D870" s="1480" t="s">
        <v>5</v>
      </c>
      <c r="E870" s="1480" t="s">
        <v>2619</v>
      </c>
      <c r="F870" s="832"/>
      <c r="G870" s="2010"/>
      <c r="H870" s="837"/>
      <c r="I870" s="837"/>
      <c r="J870" s="1059"/>
      <c r="K870" s="943"/>
      <c r="L870" s="1521" t="n">
        <v>34278.732</v>
      </c>
      <c r="M870" s="866" t="n">
        <v>360</v>
      </c>
      <c r="N870" s="866" t="n">
        <f aca="false">M870/H869</f>
        <v>12</v>
      </c>
      <c r="O870" s="545" t="s">
        <v>815</v>
      </c>
      <c r="P870" s="1937"/>
      <c r="Q870" s="1934"/>
      <c r="R870" s="1935"/>
    </row>
    <row r="871" customFormat="false" ht="14.25" hidden="false" customHeight="false" outlineLevel="0" collapsed="false">
      <c r="A871" s="829"/>
      <c r="B871" s="830"/>
      <c r="C871" s="1965"/>
      <c r="D871" s="1480" t="s">
        <v>5</v>
      </c>
      <c r="E871" s="1480" t="s">
        <v>2619</v>
      </c>
      <c r="F871" s="832"/>
      <c r="G871" s="2010"/>
      <c r="H871" s="837"/>
      <c r="I871" s="837"/>
      <c r="J871" s="1059"/>
      <c r="K871" s="943"/>
      <c r="L871" s="1521" t="n">
        <v>39991.854</v>
      </c>
      <c r="M871" s="866" t="n">
        <v>420</v>
      </c>
      <c r="N871" s="866" t="n">
        <f aca="false">M871/H869</f>
        <v>14</v>
      </c>
      <c r="O871" s="545" t="s">
        <v>3442</v>
      </c>
      <c r="P871" s="1937"/>
      <c r="Q871" s="1934"/>
      <c r="R871" s="1935"/>
    </row>
    <row r="872" customFormat="false" ht="14.25" hidden="false" customHeight="false" outlineLevel="0" collapsed="false">
      <c r="A872" s="829"/>
      <c r="B872" s="830"/>
      <c r="C872" s="1965"/>
      <c r="D872" s="1480" t="s">
        <v>5</v>
      </c>
      <c r="E872" s="1480" t="s">
        <v>2619</v>
      </c>
      <c r="F872" s="832"/>
      <c r="G872" s="2010"/>
      <c r="H872" s="837"/>
      <c r="I872" s="837"/>
      <c r="J872" s="1059"/>
      <c r="K872" s="943"/>
      <c r="L872" s="1521" t="n">
        <v>14282.805</v>
      </c>
      <c r="M872" s="866" t="n">
        <v>150</v>
      </c>
      <c r="N872" s="866" t="n">
        <f aca="false">M872/H869</f>
        <v>5</v>
      </c>
      <c r="O872" s="545" t="s">
        <v>816</v>
      </c>
      <c r="P872" s="1937"/>
      <c r="Q872" s="1934"/>
      <c r="R872" s="1935"/>
    </row>
    <row r="873" customFormat="false" ht="14.25" hidden="false" customHeight="false" outlineLevel="0" collapsed="false">
      <c r="A873" s="829"/>
      <c r="B873" s="830"/>
      <c r="C873" s="1965"/>
      <c r="D873" s="1357" t="s">
        <v>5</v>
      </c>
      <c r="E873" s="1357" t="s">
        <v>2619</v>
      </c>
      <c r="F873" s="832"/>
      <c r="G873" s="2010"/>
      <c r="H873" s="837"/>
      <c r="I873" s="837"/>
      <c r="J873" s="1059"/>
      <c r="K873" s="943"/>
      <c r="L873" s="1362" t="n">
        <v>382779.174</v>
      </c>
      <c r="M873" s="846" t="n">
        <v>4020</v>
      </c>
      <c r="N873" s="846" t="n">
        <f aca="false">M873/H869</f>
        <v>134</v>
      </c>
      <c r="O873" s="1936" t="s">
        <v>3443</v>
      </c>
      <c r="P873" s="1937"/>
      <c r="Q873" s="1934"/>
      <c r="R873" s="1935"/>
    </row>
    <row r="874" customFormat="false" ht="14.25" hidden="false" customHeight="false" outlineLevel="0" collapsed="false">
      <c r="A874" s="1344" t="n">
        <v>605</v>
      </c>
      <c r="B874" s="903" t="n">
        <v>2024</v>
      </c>
      <c r="C874" s="1974" t="n">
        <v>45962</v>
      </c>
      <c r="D874" s="1479" t="s">
        <v>5</v>
      </c>
      <c r="E874" s="1479" t="s">
        <v>1651</v>
      </c>
      <c r="F874" s="904" t="s">
        <v>3364</v>
      </c>
      <c r="G874" s="2012" t="n">
        <v>666</v>
      </c>
      <c r="H874" s="942" t="n">
        <v>15</v>
      </c>
      <c r="I874" s="942" t="n">
        <f aca="false">G874*H874</f>
        <v>9990</v>
      </c>
      <c r="J874" s="1406" t="n">
        <v>30.1546</v>
      </c>
      <c r="K874" s="948" t="n">
        <f aca="false">I874*J874</f>
        <v>301244.454</v>
      </c>
      <c r="L874" s="1355" t="n">
        <v>2261.595</v>
      </c>
      <c r="M874" s="891" t="n">
        <v>75</v>
      </c>
      <c r="N874" s="891" t="n">
        <f aca="false">M874/H874</f>
        <v>5</v>
      </c>
      <c r="O874" s="1943" t="s">
        <v>719</v>
      </c>
      <c r="P874" s="2000" t="n">
        <f aca="false">K874-L874-L890-L889-L875-L876-L887-L877-L888-L886-L878-L879-L884-L885-L881-L880-L883-L882</f>
        <v>3.27418092638254E-011</v>
      </c>
      <c r="Q874" s="2000" t="n">
        <f aca="false">I874-M890-M874-M889-M875-M876-M887-M877-M888-M886-M878-M879-M884-M885-M881-M880-M883-M882</f>
        <v>0</v>
      </c>
      <c r="R874" s="2005" t="n">
        <f aca="false">G874-N874-N890-N889-N875-N876-N887-N877-N888-N886-N878-N879-N884-N885-N881-N880-N883-N882</f>
        <v>0</v>
      </c>
    </row>
    <row r="875" customFormat="false" ht="14.25" hidden="false" customHeight="false" outlineLevel="0" collapsed="false">
      <c r="A875" s="1344"/>
      <c r="B875" s="903"/>
      <c r="C875" s="1974"/>
      <c r="D875" s="1480" t="s">
        <v>5</v>
      </c>
      <c r="E875" s="1480" t="s">
        <v>1651</v>
      </c>
      <c r="F875" s="904"/>
      <c r="G875" s="2012"/>
      <c r="H875" s="942"/>
      <c r="I875" s="942"/>
      <c r="J875" s="1406"/>
      <c r="K875" s="948"/>
      <c r="L875" s="1521" t="n">
        <v>1809.276</v>
      </c>
      <c r="M875" s="866" t="n">
        <v>60</v>
      </c>
      <c r="N875" s="866" t="n">
        <f aca="false">M875/H874</f>
        <v>4</v>
      </c>
      <c r="O875" s="545" t="s">
        <v>656</v>
      </c>
      <c r="P875" s="2000"/>
      <c r="Q875" s="2000"/>
      <c r="R875" s="2005"/>
    </row>
    <row r="876" customFormat="false" ht="14.25" hidden="false" customHeight="false" outlineLevel="0" collapsed="false">
      <c r="A876" s="1344"/>
      <c r="B876" s="903"/>
      <c r="C876" s="1974"/>
      <c r="D876" s="1480" t="s">
        <v>5</v>
      </c>
      <c r="E876" s="1480" t="s">
        <v>1651</v>
      </c>
      <c r="F876" s="904"/>
      <c r="G876" s="2012"/>
      <c r="H876" s="942"/>
      <c r="I876" s="942"/>
      <c r="J876" s="1406"/>
      <c r="K876" s="948"/>
      <c r="L876" s="1521" t="n">
        <v>452.319</v>
      </c>
      <c r="M876" s="866" t="n">
        <v>15</v>
      </c>
      <c r="N876" s="866" t="n">
        <f aca="false">M876/H874</f>
        <v>1</v>
      </c>
      <c r="O876" s="545" t="s">
        <v>829</v>
      </c>
      <c r="P876" s="2000"/>
      <c r="Q876" s="2000"/>
      <c r="R876" s="2005"/>
    </row>
    <row r="877" customFormat="false" ht="14.25" hidden="false" customHeight="false" outlineLevel="0" collapsed="false">
      <c r="A877" s="1344"/>
      <c r="B877" s="903"/>
      <c r="C877" s="1974"/>
      <c r="D877" s="1480" t="s">
        <v>5</v>
      </c>
      <c r="E877" s="1480" t="s">
        <v>1651</v>
      </c>
      <c r="F877" s="904"/>
      <c r="G877" s="2012"/>
      <c r="H877" s="942"/>
      <c r="I877" s="942"/>
      <c r="J877" s="1406"/>
      <c r="K877" s="948"/>
      <c r="L877" s="1521" t="n">
        <v>4523.19</v>
      </c>
      <c r="M877" s="866" t="n">
        <v>150</v>
      </c>
      <c r="N877" s="866" t="n">
        <f aca="false">M877/H874</f>
        <v>10</v>
      </c>
      <c r="O877" s="545" t="s">
        <v>827</v>
      </c>
      <c r="P877" s="2000"/>
      <c r="Q877" s="2000"/>
      <c r="R877" s="2005"/>
    </row>
    <row r="878" customFormat="false" ht="14.25" hidden="false" customHeight="false" outlineLevel="0" collapsed="false">
      <c r="A878" s="1344"/>
      <c r="B878" s="903"/>
      <c r="C878" s="1974"/>
      <c r="D878" s="1480" t="s">
        <v>5</v>
      </c>
      <c r="E878" s="1480" t="s">
        <v>1651</v>
      </c>
      <c r="F878" s="904"/>
      <c r="G878" s="2012"/>
      <c r="H878" s="942"/>
      <c r="I878" s="942"/>
      <c r="J878" s="1406"/>
      <c r="K878" s="948"/>
      <c r="L878" s="1521" t="n">
        <v>60610.746</v>
      </c>
      <c r="M878" s="866" t="n">
        <v>2010</v>
      </c>
      <c r="N878" s="866" t="n">
        <f aca="false">M878/H874</f>
        <v>134</v>
      </c>
      <c r="O878" s="545" t="s">
        <v>729</v>
      </c>
      <c r="P878" s="2000"/>
      <c r="Q878" s="2000"/>
      <c r="R878" s="2005"/>
    </row>
    <row r="879" customFormat="false" ht="14.25" hidden="false" customHeight="false" outlineLevel="0" collapsed="false">
      <c r="A879" s="1344"/>
      <c r="B879" s="903"/>
      <c r="C879" s="1974"/>
      <c r="D879" s="1480" t="s">
        <v>5</v>
      </c>
      <c r="E879" s="1480" t="s">
        <v>1651</v>
      </c>
      <c r="F879" s="904"/>
      <c r="G879" s="2012"/>
      <c r="H879" s="942"/>
      <c r="I879" s="942"/>
      <c r="J879" s="1406"/>
      <c r="K879" s="948"/>
      <c r="L879" s="1521" t="n">
        <v>152883.822</v>
      </c>
      <c r="M879" s="866" t="n">
        <v>5070</v>
      </c>
      <c r="N879" s="866" t="n">
        <f aca="false">M879/H874</f>
        <v>338</v>
      </c>
      <c r="O879" s="545" t="s">
        <v>3444</v>
      </c>
      <c r="P879" s="2000"/>
      <c r="Q879" s="2000"/>
      <c r="R879" s="2005"/>
    </row>
    <row r="880" customFormat="false" ht="14.25" hidden="false" customHeight="false" outlineLevel="0" collapsed="false">
      <c r="A880" s="1344"/>
      <c r="B880" s="903"/>
      <c r="C880" s="1974"/>
      <c r="D880" s="1480" t="s">
        <v>5</v>
      </c>
      <c r="E880" s="1480" t="s">
        <v>1651</v>
      </c>
      <c r="F880" s="904"/>
      <c r="G880" s="2012"/>
      <c r="H880" s="942"/>
      <c r="I880" s="942"/>
      <c r="J880" s="1406"/>
      <c r="K880" s="948"/>
      <c r="L880" s="1521" t="n">
        <v>22615.95</v>
      </c>
      <c r="M880" s="866" t="n">
        <v>750</v>
      </c>
      <c r="N880" s="866" t="n">
        <f aca="false">M880/H874</f>
        <v>50</v>
      </c>
      <c r="O880" s="545" t="s">
        <v>813</v>
      </c>
      <c r="P880" s="2000"/>
      <c r="Q880" s="2000"/>
      <c r="R880" s="2005"/>
    </row>
    <row r="881" customFormat="false" ht="14.25" hidden="false" customHeight="false" outlineLevel="0" collapsed="false">
      <c r="A881" s="1344"/>
      <c r="B881" s="903"/>
      <c r="C881" s="1974"/>
      <c r="D881" s="1480" t="s">
        <v>5</v>
      </c>
      <c r="E881" s="1480" t="s">
        <v>1651</v>
      </c>
      <c r="F881" s="904"/>
      <c r="G881" s="2012"/>
      <c r="H881" s="942"/>
      <c r="I881" s="942"/>
      <c r="J881" s="1406"/>
      <c r="K881" s="948"/>
      <c r="L881" s="1521" t="n">
        <v>12664.932</v>
      </c>
      <c r="M881" s="866" t="n">
        <v>420</v>
      </c>
      <c r="N881" s="866" t="n">
        <f aca="false">M881/H874</f>
        <v>28</v>
      </c>
      <c r="O881" s="545" t="s">
        <v>622</v>
      </c>
      <c r="P881" s="2000"/>
      <c r="Q881" s="2000"/>
      <c r="R881" s="2005"/>
    </row>
    <row r="882" customFormat="false" ht="14.25" hidden="false" customHeight="false" outlineLevel="0" collapsed="false">
      <c r="A882" s="1344"/>
      <c r="B882" s="903"/>
      <c r="C882" s="1974"/>
      <c r="D882" s="1480" t="s">
        <v>5</v>
      </c>
      <c r="E882" s="1480" t="s">
        <v>1651</v>
      </c>
      <c r="F882" s="904"/>
      <c r="G882" s="2012"/>
      <c r="H882" s="942"/>
      <c r="I882" s="942"/>
      <c r="J882" s="1406"/>
      <c r="K882" s="948"/>
      <c r="L882" s="1521" t="n">
        <v>27311.312</v>
      </c>
      <c r="M882" s="866" t="n">
        <v>720</v>
      </c>
      <c r="N882" s="866" t="n">
        <f aca="false">M882/H874</f>
        <v>48</v>
      </c>
      <c r="O882" s="545" t="s">
        <v>1291</v>
      </c>
      <c r="P882" s="2000"/>
      <c r="Q882" s="2000"/>
      <c r="R882" s="2005"/>
    </row>
    <row r="883" customFormat="false" ht="14.25" hidden="false" customHeight="false" outlineLevel="0" collapsed="false">
      <c r="A883" s="1344"/>
      <c r="B883" s="903"/>
      <c r="C883" s="1974"/>
      <c r="D883" s="1480" t="s">
        <v>5</v>
      </c>
      <c r="E883" s="1480" t="s">
        <v>1651</v>
      </c>
      <c r="F883" s="904"/>
      <c r="G883" s="2012"/>
      <c r="H883" s="942"/>
      <c r="I883" s="942"/>
      <c r="J883" s="1406"/>
      <c r="K883" s="948"/>
      <c r="L883" s="1521" t="n">
        <v>-38166.968</v>
      </c>
      <c r="M883" s="866" t="n">
        <v>-1080</v>
      </c>
      <c r="N883" s="866" t="n">
        <f aca="false">M883/H874</f>
        <v>-72</v>
      </c>
      <c r="O883" s="545" t="s">
        <v>1634</v>
      </c>
      <c r="P883" s="2000"/>
      <c r="Q883" s="2000"/>
      <c r="R883" s="2005"/>
    </row>
    <row r="884" customFormat="false" ht="14.25" hidden="false" customHeight="false" outlineLevel="0" collapsed="false">
      <c r="A884" s="1344"/>
      <c r="B884" s="903"/>
      <c r="C884" s="1974"/>
      <c r="D884" s="1480" t="s">
        <v>5</v>
      </c>
      <c r="E884" s="1480" t="s">
        <v>1651</v>
      </c>
      <c r="F884" s="904"/>
      <c r="G884" s="2012"/>
      <c r="H884" s="942"/>
      <c r="I884" s="942"/>
      <c r="J884" s="1406"/>
      <c r="K884" s="948"/>
      <c r="L884" s="1521" t="n">
        <v>1356.957</v>
      </c>
      <c r="M884" s="866" t="n">
        <v>45</v>
      </c>
      <c r="N884" s="866" t="n">
        <f aca="false">M884/H874</f>
        <v>3</v>
      </c>
      <c r="O884" s="545" t="s">
        <v>718</v>
      </c>
      <c r="P884" s="2000"/>
      <c r="Q884" s="2000"/>
      <c r="R884" s="2005"/>
    </row>
    <row r="885" customFormat="false" ht="14.25" hidden="false" customHeight="false" outlineLevel="0" collapsed="false">
      <c r="A885" s="1344"/>
      <c r="B885" s="903"/>
      <c r="C885" s="1974"/>
      <c r="D885" s="1480" t="s">
        <v>5</v>
      </c>
      <c r="E885" s="1480" t="s">
        <v>1651</v>
      </c>
      <c r="F885" s="904"/>
      <c r="G885" s="2012"/>
      <c r="H885" s="942"/>
      <c r="I885" s="942"/>
      <c r="J885" s="1406"/>
      <c r="K885" s="948"/>
      <c r="L885" s="1521" t="n">
        <v>6332.466</v>
      </c>
      <c r="M885" s="866" t="n">
        <v>210</v>
      </c>
      <c r="N885" s="866" t="n">
        <f aca="false">M885/H874</f>
        <v>14</v>
      </c>
      <c r="O885" s="545" t="s">
        <v>773</v>
      </c>
      <c r="P885" s="2000"/>
      <c r="Q885" s="2000"/>
      <c r="R885" s="2005"/>
    </row>
    <row r="886" customFormat="false" ht="14.25" hidden="false" customHeight="false" outlineLevel="0" collapsed="false">
      <c r="A886" s="1344"/>
      <c r="B886" s="903"/>
      <c r="C886" s="1974"/>
      <c r="D886" s="1480" t="s">
        <v>5</v>
      </c>
      <c r="E886" s="1480" t="s">
        <v>1651</v>
      </c>
      <c r="F886" s="904"/>
      <c r="G886" s="2012"/>
      <c r="H886" s="942"/>
      <c r="I886" s="942"/>
      <c r="J886" s="1406"/>
      <c r="K886" s="948"/>
      <c r="L886" s="1521" t="n">
        <v>4975.509</v>
      </c>
      <c r="M886" s="866" t="n">
        <v>165</v>
      </c>
      <c r="N886" s="866" t="n">
        <f aca="false">M886/H874</f>
        <v>11</v>
      </c>
      <c r="O886" s="545" t="s">
        <v>825</v>
      </c>
      <c r="P886" s="2000"/>
      <c r="Q886" s="2000"/>
      <c r="R886" s="2005"/>
    </row>
    <row r="887" customFormat="false" ht="14.25" hidden="false" customHeight="false" outlineLevel="0" collapsed="false">
      <c r="A887" s="1344"/>
      <c r="B887" s="903"/>
      <c r="C887" s="1974"/>
      <c r="D887" s="1480" t="s">
        <v>5</v>
      </c>
      <c r="E887" s="1480" t="s">
        <v>1651</v>
      </c>
      <c r="F887" s="904"/>
      <c r="G887" s="2012"/>
      <c r="H887" s="942"/>
      <c r="I887" s="942"/>
      <c r="J887" s="1406"/>
      <c r="K887" s="948"/>
      <c r="L887" s="1521" t="n">
        <v>2261.595</v>
      </c>
      <c r="M887" s="866" t="n">
        <v>75</v>
      </c>
      <c r="N887" s="866" t="n">
        <f aca="false">M887/H874</f>
        <v>5</v>
      </c>
      <c r="O887" s="545" t="s">
        <v>828</v>
      </c>
      <c r="P887" s="2000"/>
      <c r="Q887" s="2000"/>
      <c r="R887" s="2005"/>
    </row>
    <row r="888" customFormat="false" ht="14.25" hidden="false" customHeight="false" outlineLevel="0" collapsed="false">
      <c r="A888" s="1344"/>
      <c r="B888" s="903"/>
      <c r="C888" s="1974"/>
      <c r="D888" s="1480" t="s">
        <v>5</v>
      </c>
      <c r="E888" s="1480" t="s">
        <v>1651</v>
      </c>
      <c r="F888" s="904"/>
      <c r="G888" s="2012"/>
      <c r="H888" s="942"/>
      <c r="I888" s="942"/>
      <c r="J888" s="1406"/>
      <c r="K888" s="948"/>
      <c r="L888" s="1521" t="n">
        <v>3618.552</v>
      </c>
      <c r="M888" s="866" t="n">
        <v>120</v>
      </c>
      <c r="N888" s="866" t="n">
        <f aca="false">M888/H874</f>
        <v>8</v>
      </c>
      <c r="O888" s="545" t="s">
        <v>826</v>
      </c>
      <c r="P888" s="2000"/>
      <c r="Q888" s="2000"/>
      <c r="R888" s="2005"/>
    </row>
    <row r="889" customFormat="false" ht="14.25" hidden="false" customHeight="false" outlineLevel="0" collapsed="false">
      <c r="A889" s="1344"/>
      <c r="B889" s="903"/>
      <c r="C889" s="1974"/>
      <c r="D889" s="1480" t="s">
        <v>5</v>
      </c>
      <c r="E889" s="1480" t="s">
        <v>1651</v>
      </c>
      <c r="F889" s="904"/>
      <c r="G889" s="2012"/>
      <c r="H889" s="942"/>
      <c r="I889" s="942"/>
      <c r="J889" s="1406"/>
      <c r="K889" s="948"/>
      <c r="L889" s="1521" t="n">
        <v>10403.337</v>
      </c>
      <c r="M889" s="866" t="n">
        <v>345</v>
      </c>
      <c r="N889" s="866" t="n">
        <f aca="false">M889/H874</f>
        <v>23</v>
      </c>
      <c r="O889" s="545" t="s">
        <v>3445</v>
      </c>
      <c r="P889" s="2000"/>
      <c r="Q889" s="2000"/>
      <c r="R889" s="2005"/>
    </row>
    <row r="890" customFormat="false" ht="14.25" hidden="false" customHeight="false" outlineLevel="0" collapsed="false">
      <c r="A890" s="1344"/>
      <c r="B890" s="903"/>
      <c r="C890" s="1974"/>
      <c r="D890" s="1478" t="s">
        <v>5</v>
      </c>
      <c r="E890" s="1478" t="s">
        <v>1651</v>
      </c>
      <c r="F890" s="904"/>
      <c r="G890" s="2012"/>
      <c r="H890" s="942"/>
      <c r="I890" s="942"/>
      <c r="J890" s="1406"/>
      <c r="K890" s="948"/>
      <c r="L890" s="1587" t="n">
        <v>25329.864</v>
      </c>
      <c r="M890" s="877" t="n">
        <v>840</v>
      </c>
      <c r="N890" s="877" t="n">
        <f aca="false">M890/H874</f>
        <v>56</v>
      </c>
      <c r="O890" s="584" t="s">
        <v>848</v>
      </c>
      <c r="P890" s="2000"/>
      <c r="Q890" s="2000"/>
      <c r="R890" s="2005"/>
    </row>
    <row r="891" customFormat="false" ht="14.25" hidden="false" customHeight="false" outlineLevel="0" collapsed="false">
      <c r="A891" s="829" t="n">
        <v>606</v>
      </c>
      <c r="B891" s="830" t="n">
        <v>2024</v>
      </c>
      <c r="C891" s="1965" t="n">
        <v>45962</v>
      </c>
      <c r="D891" s="1365" t="s">
        <v>5</v>
      </c>
      <c r="E891" s="1365" t="s">
        <v>1651</v>
      </c>
      <c r="F891" s="832" t="s">
        <v>3364</v>
      </c>
      <c r="G891" s="2010" t="n">
        <v>302</v>
      </c>
      <c r="H891" s="837" t="n">
        <v>15</v>
      </c>
      <c r="I891" s="837" t="n">
        <f aca="false">G891*H891</f>
        <v>4530</v>
      </c>
      <c r="J891" s="1059" t="n">
        <v>31.1863</v>
      </c>
      <c r="K891" s="943" t="n">
        <f aca="false">I891*J891</f>
        <v>141273.939</v>
      </c>
      <c r="L891" s="1665" t="n">
        <v>14033.835</v>
      </c>
      <c r="M891" s="886" t="n">
        <v>450</v>
      </c>
      <c r="N891" s="886" t="n">
        <f aca="false">M891/H891</f>
        <v>30</v>
      </c>
      <c r="O891" s="1595" t="s">
        <v>3445</v>
      </c>
      <c r="P891" s="1948" t="n">
        <f aca="false">K891-L891-L894-L893-L892</f>
        <v>0</v>
      </c>
      <c r="Q891" s="1934" t="n">
        <f aca="false">I891-M891-M894-M893-M892</f>
        <v>0</v>
      </c>
      <c r="R891" s="1935" t="n">
        <f aca="false">G891-N891-N894-N893-N892</f>
        <v>0</v>
      </c>
    </row>
    <row r="892" customFormat="false" ht="14.25" hidden="false" customHeight="false" outlineLevel="0" collapsed="false">
      <c r="A892" s="829"/>
      <c r="B892" s="830"/>
      <c r="C892" s="1965"/>
      <c r="D892" s="1480" t="s">
        <v>5</v>
      </c>
      <c r="E892" s="1480" t="s">
        <v>1651</v>
      </c>
      <c r="F892" s="832"/>
      <c r="G892" s="2010"/>
      <c r="H892" s="837"/>
      <c r="I892" s="837"/>
      <c r="J892" s="1059"/>
      <c r="K892" s="943"/>
      <c r="L892" s="1521" t="n">
        <v>33681.204</v>
      </c>
      <c r="M892" s="866" t="n">
        <v>1080</v>
      </c>
      <c r="N892" s="866" t="n">
        <f aca="false">M892/H891</f>
        <v>72</v>
      </c>
      <c r="O892" s="545" t="s">
        <v>1634</v>
      </c>
      <c r="P892" s="1948"/>
      <c r="Q892" s="1934"/>
      <c r="R892" s="1935"/>
    </row>
    <row r="893" customFormat="false" ht="14.25" hidden="false" customHeight="false" outlineLevel="0" collapsed="false">
      <c r="A893" s="829"/>
      <c r="B893" s="830"/>
      <c r="C893" s="1965"/>
      <c r="D893" s="1480" t="s">
        <v>5</v>
      </c>
      <c r="E893" s="1480" t="s">
        <v>1651</v>
      </c>
      <c r="F893" s="832"/>
      <c r="G893" s="2010"/>
      <c r="H893" s="837"/>
      <c r="I893" s="837"/>
      <c r="J893" s="1059"/>
      <c r="K893" s="943"/>
      <c r="L893" s="1521" t="n">
        <v>9355.89</v>
      </c>
      <c r="M893" s="866" t="n">
        <v>300</v>
      </c>
      <c r="N893" s="866" t="n">
        <f aca="false">M893/H891</f>
        <v>20</v>
      </c>
      <c r="O893" s="545" t="s">
        <v>3446</v>
      </c>
      <c r="P893" s="1948"/>
      <c r="Q893" s="1934"/>
      <c r="R893" s="1935"/>
    </row>
    <row r="894" customFormat="false" ht="14.25" hidden="false" customHeight="false" outlineLevel="0" collapsed="false">
      <c r="A894" s="829"/>
      <c r="B894" s="830"/>
      <c r="C894" s="1965"/>
      <c r="D894" s="1357" t="s">
        <v>5</v>
      </c>
      <c r="E894" s="1357" t="s">
        <v>1651</v>
      </c>
      <c r="F894" s="832"/>
      <c r="G894" s="2010"/>
      <c r="H894" s="837"/>
      <c r="I894" s="837"/>
      <c r="J894" s="1059"/>
      <c r="K894" s="943"/>
      <c r="L894" s="1362" t="n">
        <v>84203.01</v>
      </c>
      <c r="M894" s="846" t="n">
        <v>2700</v>
      </c>
      <c r="N894" s="846" t="n">
        <f aca="false">M894/H891</f>
        <v>180</v>
      </c>
      <c r="O894" s="1936" t="s">
        <v>822</v>
      </c>
      <c r="P894" s="1948"/>
      <c r="Q894" s="1934"/>
      <c r="R894" s="1935"/>
    </row>
    <row r="895" customFormat="false" ht="14.25" hidden="false" customHeight="false" outlineLevel="0" collapsed="false">
      <c r="A895" s="1609" t="n">
        <v>610</v>
      </c>
      <c r="B895" s="903" t="n">
        <v>2024</v>
      </c>
      <c r="C895" s="1974" t="n">
        <v>45962</v>
      </c>
      <c r="D895" s="1479" t="s">
        <v>5</v>
      </c>
      <c r="E895" s="1479" t="s">
        <v>1652</v>
      </c>
      <c r="F895" s="904" t="s">
        <v>3364</v>
      </c>
      <c r="G895" s="2012" t="n">
        <v>362</v>
      </c>
      <c r="H895" s="942" t="n">
        <v>15</v>
      </c>
      <c r="I895" s="942" t="n">
        <f aca="false">G895*H895</f>
        <v>5430</v>
      </c>
      <c r="J895" s="1406" t="n">
        <v>39.9032</v>
      </c>
      <c r="K895" s="948" t="n">
        <f aca="false">I895*J895</f>
        <v>216674.376</v>
      </c>
      <c r="L895" s="1380" t="n">
        <v>21547.728</v>
      </c>
      <c r="M895" s="854" t="n">
        <v>540</v>
      </c>
      <c r="N895" s="891" t="n">
        <f aca="false">M895/H895</f>
        <v>36</v>
      </c>
      <c r="O895" s="580" t="s">
        <v>907</v>
      </c>
      <c r="P895" s="2009" t="n">
        <f aca="false">K895-L895-L899-L898-L896-L897</f>
        <v>0</v>
      </c>
      <c r="Q895" s="2000" t="n">
        <f aca="false">I895-M895-M899-M898-M896-M897</f>
        <v>0</v>
      </c>
      <c r="R895" s="2005" t="n">
        <f aca="false">G895-N895-N899-N898-N896-N897</f>
        <v>0</v>
      </c>
    </row>
    <row r="896" customFormat="false" ht="14.25" hidden="false" customHeight="false" outlineLevel="0" collapsed="false">
      <c r="A896" s="1609"/>
      <c r="B896" s="903"/>
      <c r="C896" s="1974"/>
      <c r="D896" s="1479" t="s">
        <v>5</v>
      </c>
      <c r="E896" s="1479" t="s">
        <v>1652</v>
      </c>
      <c r="F896" s="904"/>
      <c r="G896" s="2012"/>
      <c r="H896" s="942"/>
      <c r="I896" s="942"/>
      <c r="J896" s="1406"/>
      <c r="K896" s="948"/>
      <c r="L896" s="1380" t="n">
        <v>20350.632</v>
      </c>
      <c r="M896" s="854" t="n">
        <v>510</v>
      </c>
      <c r="N896" s="866" t="n">
        <f aca="false">M896/H895</f>
        <v>34</v>
      </c>
      <c r="O896" s="580" t="s">
        <v>850</v>
      </c>
      <c r="P896" s="2009"/>
      <c r="Q896" s="2000"/>
      <c r="R896" s="2005"/>
    </row>
    <row r="897" customFormat="false" ht="14.25" hidden="false" customHeight="false" outlineLevel="0" collapsed="false">
      <c r="A897" s="1609"/>
      <c r="B897" s="903"/>
      <c r="C897" s="1974"/>
      <c r="D897" s="1479" t="s">
        <v>5</v>
      </c>
      <c r="E897" s="1479" t="s">
        <v>1652</v>
      </c>
      <c r="F897" s="904"/>
      <c r="G897" s="2012"/>
      <c r="H897" s="942"/>
      <c r="I897" s="942"/>
      <c r="J897" s="1406"/>
      <c r="K897" s="948"/>
      <c r="L897" s="1380" t="n">
        <v>28730.304</v>
      </c>
      <c r="M897" s="854" t="n">
        <v>720</v>
      </c>
      <c r="N897" s="866" t="n">
        <f aca="false">M897/H895</f>
        <v>48</v>
      </c>
      <c r="O897" s="580" t="s">
        <v>691</v>
      </c>
      <c r="P897" s="2009"/>
      <c r="Q897" s="2000"/>
      <c r="R897" s="2005"/>
    </row>
    <row r="898" customFormat="false" ht="14.25" hidden="false" customHeight="false" outlineLevel="0" collapsed="false">
      <c r="A898" s="1609"/>
      <c r="B898" s="903"/>
      <c r="C898" s="1974"/>
      <c r="D898" s="1480" t="s">
        <v>5</v>
      </c>
      <c r="E898" s="1480" t="s">
        <v>1652</v>
      </c>
      <c r="F898" s="904"/>
      <c r="G898" s="2012"/>
      <c r="H898" s="942"/>
      <c r="I898" s="942"/>
      <c r="J898" s="1406"/>
      <c r="K898" s="948"/>
      <c r="L898" s="1521" t="n">
        <v>143651.52</v>
      </c>
      <c r="M898" s="866" t="n">
        <v>3600</v>
      </c>
      <c r="N898" s="866" t="n">
        <f aca="false">M898/H895</f>
        <v>240</v>
      </c>
      <c r="O898" s="545" t="s">
        <v>891</v>
      </c>
      <c r="P898" s="2009"/>
      <c r="Q898" s="2000"/>
      <c r="R898" s="2005"/>
    </row>
    <row r="899" customFormat="false" ht="14.25" hidden="false" customHeight="false" outlineLevel="0" collapsed="false">
      <c r="A899" s="1609"/>
      <c r="B899" s="903"/>
      <c r="C899" s="1974"/>
      <c r="D899" s="1351" t="s">
        <v>5</v>
      </c>
      <c r="E899" s="1351" t="s">
        <v>1652</v>
      </c>
      <c r="F899" s="904"/>
      <c r="G899" s="2012"/>
      <c r="H899" s="942"/>
      <c r="I899" s="942"/>
      <c r="J899" s="1406"/>
      <c r="K899" s="948"/>
      <c r="L899" s="1355" t="n">
        <v>2394.192</v>
      </c>
      <c r="M899" s="891" t="n">
        <v>60</v>
      </c>
      <c r="N899" s="891" t="n">
        <f aca="false">M899/H895</f>
        <v>4</v>
      </c>
      <c r="O899" s="1943" t="s">
        <v>690</v>
      </c>
      <c r="P899" s="2009"/>
      <c r="Q899" s="2000"/>
      <c r="R899" s="2005"/>
    </row>
    <row r="900" customFormat="false" ht="14.25" hidden="false" customHeight="false" outlineLevel="0" collapsed="false">
      <c r="A900" s="829" t="n">
        <v>611</v>
      </c>
      <c r="B900" s="830" t="n">
        <v>2024</v>
      </c>
      <c r="C900" s="1965" t="n">
        <v>45962</v>
      </c>
      <c r="D900" s="1365" t="s">
        <v>5</v>
      </c>
      <c r="E900" s="1365" t="s">
        <v>2131</v>
      </c>
      <c r="F900" s="832" t="s">
        <v>3375</v>
      </c>
      <c r="G900" s="2010" t="n">
        <v>149</v>
      </c>
      <c r="H900" s="837" t="n">
        <v>25</v>
      </c>
      <c r="I900" s="837" t="n">
        <f aca="false">G900*H900</f>
        <v>3725</v>
      </c>
      <c r="J900" s="1059" t="n">
        <v>60.2775</v>
      </c>
      <c r="K900" s="943" t="n">
        <f aca="false">I900*J900</f>
        <v>224533.6875</v>
      </c>
      <c r="L900" s="1369" t="n">
        <v>180832.5</v>
      </c>
      <c r="M900" s="840" t="n">
        <v>3000</v>
      </c>
      <c r="N900" s="840" t="n">
        <f aca="false">M900/H900</f>
        <v>120</v>
      </c>
      <c r="O900" s="578" t="s">
        <v>769</v>
      </c>
      <c r="P900" s="1934" t="n">
        <f aca="false">K900-L900-L901</f>
        <v>0</v>
      </c>
      <c r="Q900" s="1934" t="n">
        <f aca="false">I900-M900-M901</f>
        <v>0</v>
      </c>
      <c r="R900" s="1935" t="n">
        <f aca="false">G900-N900-N901</f>
        <v>0</v>
      </c>
    </row>
    <row r="901" customFormat="false" ht="14.25" hidden="false" customHeight="false" outlineLevel="0" collapsed="false">
      <c r="A901" s="829"/>
      <c r="B901" s="830"/>
      <c r="C901" s="1965"/>
      <c r="D901" s="1357" t="s">
        <v>5</v>
      </c>
      <c r="E901" s="1357" t="s">
        <v>2131</v>
      </c>
      <c r="F901" s="832"/>
      <c r="G901" s="2010"/>
      <c r="H901" s="837"/>
      <c r="I901" s="837"/>
      <c r="J901" s="1059"/>
      <c r="K901" s="943"/>
      <c r="L901" s="1362" t="n">
        <v>43701.1875</v>
      </c>
      <c r="M901" s="846" t="n">
        <v>725</v>
      </c>
      <c r="N901" s="846" t="n">
        <f aca="false">M901/H900</f>
        <v>29</v>
      </c>
      <c r="O901" s="1936" t="s">
        <v>392</v>
      </c>
      <c r="P901" s="1934"/>
      <c r="Q901" s="1934"/>
      <c r="R901" s="1935"/>
    </row>
    <row r="902" customFormat="false" ht="14.25" hidden="false" customHeight="false" outlineLevel="0" collapsed="false">
      <c r="A902" s="1060" t="n">
        <v>612</v>
      </c>
      <c r="B902" s="1072" t="n">
        <v>2024</v>
      </c>
      <c r="C902" s="1980" t="n">
        <v>45962</v>
      </c>
      <c r="D902" s="1479" t="s">
        <v>5</v>
      </c>
      <c r="E902" s="1479" t="s">
        <v>2131</v>
      </c>
      <c r="F902" s="887" t="s">
        <v>3364</v>
      </c>
      <c r="G902" s="2017" t="n">
        <v>232</v>
      </c>
      <c r="H902" s="1067" t="n">
        <v>25</v>
      </c>
      <c r="I902" s="1067" t="n">
        <f aca="false">G902*H902</f>
        <v>5800</v>
      </c>
      <c r="J902" s="1063" t="n">
        <v>60.2775</v>
      </c>
      <c r="K902" s="1452" t="n">
        <f aca="false">I902*J902</f>
        <v>349609.5</v>
      </c>
      <c r="L902" s="1355" t="n">
        <v>22604.0625</v>
      </c>
      <c r="M902" s="891" t="n">
        <v>375</v>
      </c>
      <c r="N902" s="891" t="n">
        <f aca="false">M902/H902</f>
        <v>15</v>
      </c>
      <c r="O902" s="1943" t="s">
        <v>699</v>
      </c>
      <c r="P902" s="1952" t="n">
        <f aca="false">K902-L902-L905-L904-L903</f>
        <v>0</v>
      </c>
      <c r="Q902" s="1953" t="n">
        <f aca="false">I902-M902-M905-M904-M903</f>
        <v>0</v>
      </c>
      <c r="R902" s="1954" t="n">
        <f aca="false">G902-N902-N905-N904-N903</f>
        <v>0</v>
      </c>
    </row>
    <row r="903" customFormat="false" ht="14.25" hidden="false" customHeight="false" outlineLevel="0" collapsed="false">
      <c r="A903" s="1060"/>
      <c r="B903" s="1072"/>
      <c r="C903" s="1980"/>
      <c r="D903" s="1480" t="s">
        <v>5</v>
      </c>
      <c r="E903" s="1480" t="s">
        <v>2131</v>
      </c>
      <c r="F903" s="887"/>
      <c r="G903" s="2017"/>
      <c r="H903" s="1067"/>
      <c r="I903" s="1067"/>
      <c r="J903" s="1063"/>
      <c r="K903" s="1452"/>
      <c r="L903" s="1521" t="n">
        <v>114528.25</v>
      </c>
      <c r="M903" s="866" t="n">
        <v>1900</v>
      </c>
      <c r="N903" s="866" t="n">
        <f aca="false">M903/H902</f>
        <v>76</v>
      </c>
      <c r="O903" s="545" t="s">
        <v>1634</v>
      </c>
      <c r="P903" s="1952"/>
      <c r="Q903" s="1953"/>
      <c r="R903" s="1954"/>
    </row>
    <row r="904" customFormat="false" ht="14.25" hidden="false" customHeight="false" outlineLevel="0" collapsed="false">
      <c r="A904" s="1060"/>
      <c r="B904" s="1072"/>
      <c r="C904" s="1980"/>
      <c r="D904" s="1480" t="s">
        <v>5</v>
      </c>
      <c r="E904" s="1480" t="s">
        <v>2131</v>
      </c>
      <c r="F904" s="887"/>
      <c r="G904" s="2017"/>
      <c r="H904" s="1067"/>
      <c r="I904" s="1067"/>
      <c r="J904" s="1063"/>
      <c r="K904" s="1452"/>
      <c r="L904" s="1521" t="n">
        <v>15068.375</v>
      </c>
      <c r="M904" s="866" t="n">
        <v>250</v>
      </c>
      <c r="N904" s="866" t="n">
        <f aca="false">M904/H902</f>
        <v>10</v>
      </c>
      <c r="O904" s="545" t="s">
        <v>944</v>
      </c>
      <c r="P904" s="1952"/>
      <c r="Q904" s="1953"/>
      <c r="R904" s="1954"/>
    </row>
    <row r="905" customFormat="false" ht="14.25" hidden="false" customHeight="false" outlineLevel="0" collapsed="false">
      <c r="A905" s="1060"/>
      <c r="B905" s="1072"/>
      <c r="C905" s="1980"/>
      <c r="D905" s="1357" t="s">
        <v>5</v>
      </c>
      <c r="E905" s="1357" t="s">
        <v>2131</v>
      </c>
      <c r="F905" s="887"/>
      <c r="G905" s="2017"/>
      <c r="H905" s="1067"/>
      <c r="I905" s="1067"/>
      <c r="J905" s="1063"/>
      <c r="K905" s="1452"/>
      <c r="L905" s="1362" t="n">
        <v>197408.8125</v>
      </c>
      <c r="M905" s="846" t="n">
        <v>3275</v>
      </c>
      <c r="N905" s="846" t="n">
        <f aca="false">M905/H902</f>
        <v>131</v>
      </c>
      <c r="O905" s="1936" t="s">
        <v>3447</v>
      </c>
      <c r="P905" s="1952"/>
      <c r="Q905" s="1953"/>
      <c r="R905" s="1954"/>
    </row>
    <row r="906" customFormat="false" ht="14.25" hidden="false" customHeight="false" outlineLevel="0" collapsed="false">
      <c r="A906" s="1087" t="n">
        <v>613</v>
      </c>
      <c r="B906" s="1072" t="n">
        <v>2024</v>
      </c>
      <c r="C906" s="1980" t="n">
        <v>45962</v>
      </c>
      <c r="D906" s="1479" t="s">
        <v>5</v>
      </c>
      <c r="E906" s="1479" t="s">
        <v>1651</v>
      </c>
      <c r="F906" s="887" t="s">
        <v>3364</v>
      </c>
      <c r="G906" s="2017" t="n">
        <v>666</v>
      </c>
      <c r="H906" s="1067" t="n">
        <v>15</v>
      </c>
      <c r="I906" s="1067" t="n">
        <f aca="false">G906*H906</f>
        <v>9990</v>
      </c>
      <c r="J906" s="1063" t="n">
        <v>30.4583</v>
      </c>
      <c r="K906" s="1452" t="n">
        <f aca="false">I906*J906</f>
        <v>304278.417</v>
      </c>
      <c r="L906" s="1380" t="n">
        <v>1827.498</v>
      </c>
      <c r="M906" s="854" t="n">
        <v>60</v>
      </c>
      <c r="N906" s="854" t="n">
        <f aca="false">M906/H906</f>
        <v>4</v>
      </c>
      <c r="O906" s="580" t="s">
        <v>3448</v>
      </c>
      <c r="P906" s="1952" t="n">
        <f aca="false">K906-L906-L913-L912-L907-L911-L908-L909-L910</f>
        <v>0</v>
      </c>
      <c r="Q906" s="1953" t="n">
        <f aca="false">I906-M906-M913-M912-M907-M911-M908-M909-M910</f>
        <v>0</v>
      </c>
      <c r="R906" s="1954" t="n">
        <f aca="false">G906-N906-N913-N912-N907-N911-N908-N909-N910</f>
        <v>0</v>
      </c>
    </row>
    <row r="907" customFormat="false" ht="14.25" hidden="false" customHeight="false" outlineLevel="0" collapsed="false">
      <c r="A907" s="1087"/>
      <c r="B907" s="1072"/>
      <c r="C907" s="1980"/>
      <c r="D907" s="1480" t="s">
        <v>5</v>
      </c>
      <c r="E907" s="1480" t="s">
        <v>1651</v>
      </c>
      <c r="F907" s="887"/>
      <c r="G907" s="2017"/>
      <c r="H907" s="1067"/>
      <c r="I907" s="1067"/>
      <c r="J907" s="1063"/>
      <c r="K907" s="1452"/>
      <c r="L907" s="1521" t="n">
        <v>45687.45</v>
      </c>
      <c r="M907" s="854" t="n">
        <v>1500</v>
      </c>
      <c r="N907" s="854" t="n">
        <f aca="false">M907/H906</f>
        <v>100</v>
      </c>
      <c r="O907" s="545" t="s">
        <v>840</v>
      </c>
      <c r="P907" s="1952"/>
      <c r="Q907" s="1953"/>
      <c r="R907" s="1954"/>
    </row>
    <row r="908" customFormat="false" ht="14.25" hidden="false" customHeight="false" outlineLevel="0" collapsed="false">
      <c r="A908" s="1087"/>
      <c r="B908" s="1072"/>
      <c r="C908" s="1980"/>
      <c r="D908" s="1480" t="s">
        <v>5</v>
      </c>
      <c r="E908" s="1480" t="s">
        <v>1651</v>
      </c>
      <c r="F908" s="887"/>
      <c r="G908" s="2017"/>
      <c r="H908" s="1067"/>
      <c r="I908" s="1067"/>
      <c r="J908" s="1063"/>
      <c r="K908" s="1452"/>
      <c r="L908" s="1521" t="n">
        <v>45687.45</v>
      </c>
      <c r="M908" s="854" t="n">
        <v>1500</v>
      </c>
      <c r="N908" s="854" t="n">
        <f aca="false">M908/H906</f>
        <v>100</v>
      </c>
      <c r="O908" s="545" t="s">
        <v>837</v>
      </c>
      <c r="P908" s="1952"/>
      <c r="Q908" s="1953"/>
      <c r="R908" s="1954"/>
    </row>
    <row r="909" customFormat="false" ht="14.25" hidden="false" customHeight="false" outlineLevel="0" collapsed="false">
      <c r="A909" s="1087"/>
      <c r="B909" s="1072"/>
      <c r="C909" s="1980"/>
      <c r="D909" s="1480" t="s">
        <v>5</v>
      </c>
      <c r="E909" s="1480" t="s">
        <v>1651</v>
      </c>
      <c r="F909" s="887"/>
      <c r="G909" s="2017"/>
      <c r="H909" s="1067"/>
      <c r="I909" s="1067"/>
      <c r="J909" s="1063"/>
      <c r="K909" s="1452"/>
      <c r="L909" s="1521" t="n">
        <v>2741.247</v>
      </c>
      <c r="M909" s="854" t="n">
        <v>90</v>
      </c>
      <c r="N909" s="854" t="n">
        <f aca="false">M909/H906</f>
        <v>6</v>
      </c>
      <c r="O909" s="545" t="s">
        <v>3449</v>
      </c>
      <c r="P909" s="1952"/>
      <c r="Q909" s="1953"/>
      <c r="R909" s="1954"/>
    </row>
    <row r="910" customFormat="false" ht="14.25" hidden="false" customHeight="false" outlineLevel="0" collapsed="false">
      <c r="A910" s="1087"/>
      <c r="B910" s="1072"/>
      <c r="C910" s="1980"/>
      <c r="D910" s="1480" t="s">
        <v>5</v>
      </c>
      <c r="E910" s="1480" t="s">
        <v>1651</v>
      </c>
      <c r="F910" s="887"/>
      <c r="G910" s="2017"/>
      <c r="H910" s="1067"/>
      <c r="I910" s="1067"/>
      <c r="J910" s="1063"/>
      <c r="K910" s="1452"/>
      <c r="L910" s="1521" t="n">
        <v>-4568.745</v>
      </c>
      <c r="M910" s="854" t="n">
        <v>-150</v>
      </c>
      <c r="N910" s="854" t="n">
        <f aca="false">M910/H906</f>
        <v>-10</v>
      </c>
      <c r="O910" s="545" t="s">
        <v>1634</v>
      </c>
      <c r="P910" s="1952"/>
      <c r="Q910" s="1953"/>
      <c r="R910" s="1954"/>
    </row>
    <row r="911" customFormat="false" ht="14.25" hidden="false" customHeight="false" outlineLevel="0" collapsed="false">
      <c r="A911" s="1087"/>
      <c r="B911" s="1072"/>
      <c r="C911" s="1980"/>
      <c r="D911" s="1480" t="s">
        <v>5</v>
      </c>
      <c r="E911" s="1480" t="s">
        <v>1651</v>
      </c>
      <c r="F911" s="887"/>
      <c r="G911" s="2017"/>
      <c r="H911" s="1067"/>
      <c r="I911" s="1067"/>
      <c r="J911" s="1063"/>
      <c r="K911" s="1452"/>
      <c r="L911" s="1521" t="n">
        <v>45687.45</v>
      </c>
      <c r="M911" s="854" t="n">
        <v>1500</v>
      </c>
      <c r="N911" s="854" t="n">
        <f aca="false">M911/H906</f>
        <v>100</v>
      </c>
      <c r="O911" s="545" t="s">
        <v>838</v>
      </c>
      <c r="P911" s="1952"/>
      <c r="Q911" s="1953"/>
      <c r="R911" s="1954"/>
    </row>
    <row r="912" customFormat="false" ht="14.25" hidden="false" customHeight="false" outlineLevel="0" collapsed="false">
      <c r="A912" s="1087"/>
      <c r="B912" s="1072"/>
      <c r="C912" s="1980"/>
      <c r="D912" s="1480" t="s">
        <v>5</v>
      </c>
      <c r="E912" s="1480" t="s">
        <v>1651</v>
      </c>
      <c r="F912" s="887"/>
      <c r="G912" s="2017"/>
      <c r="H912" s="1067"/>
      <c r="I912" s="1067"/>
      <c r="J912" s="1063"/>
      <c r="K912" s="1452"/>
      <c r="L912" s="1521" t="n">
        <v>137062.35</v>
      </c>
      <c r="M912" s="866" t="n">
        <v>4500</v>
      </c>
      <c r="N912" s="866" t="n">
        <f aca="false">M912/H906</f>
        <v>300</v>
      </c>
      <c r="O912" s="545" t="s">
        <v>841</v>
      </c>
      <c r="P912" s="1952"/>
      <c r="Q912" s="1953"/>
      <c r="R912" s="1954"/>
    </row>
    <row r="913" customFormat="false" ht="14.25" hidden="false" customHeight="false" outlineLevel="0" collapsed="false">
      <c r="A913" s="1087"/>
      <c r="B913" s="1072"/>
      <c r="C913" s="1980"/>
      <c r="D913" s="1357" t="s">
        <v>5</v>
      </c>
      <c r="E913" s="1357" t="s">
        <v>1651</v>
      </c>
      <c r="F913" s="887"/>
      <c r="G913" s="2017"/>
      <c r="H913" s="1067"/>
      <c r="I913" s="1067"/>
      <c r="J913" s="1063"/>
      <c r="K913" s="1452"/>
      <c r="L913" s="1362" t="n">
        <v>30153.717</v>
      </c>
      <c r="M913" s="846" t="n">
        <v>990</v>
      </c>
      <c r="N913" s="846" t="n">
        <f aca="false">M913/H906</f>
        <v>66</v>
      </c>
      <c r="O913" s="1936" t="s">
        <v>3450</v>
      </c>
      <c r="P913" s="1952"/>
      <c r="Q913" s="1953"/>
      <c r="R913" s="1954"/>
    </row>
    <row r="914" customFormat="false" ht="14.25" hidden="false" customHeight="false" outlineLevel="0" collapsed="false">
      <c r="A914" s="1087" t="n">
        <v>614</v>
      </c>
      <c r="B914" s="1072" t="n">
        <v>2024</v>
      </c>
      <c r="C914" s="1980" t="n">
        <v>45962</v>
      </c>
      <c r="D914" s="1479" t="s">
        <v>5</v>
      </c>
      <c r="E914" s="1479" t="s">
        <v>1651</v>
      </c>
      <c r="F914" s="887" t="s">
        <v>3364</v>
      </c>
      <c r="G914" s="2017" t="n">
        <v>551</v>
      </c>
      <c r="H914" s="1067" t="n">
        <v>15</v>
      </c>
      <c r="I914" s="1067" t="n">
        <f aca="false">G914*H914</f>
        <v>8265</v>
      </c>
      <c r="J914" s="1063" t="n">
        <v>30.9926</v>
      </c>
      <c r="K914" s="1452" t="n">
        <f aca="false">I914*J914</f>
        <v>256153.839</v>
      </c>
      <c r="L914" s="1355" t="n">
        <v>19990.227</v>
      </c>
      <c r="M914" s="891" t="n">
        <v>645</v>
      </c>
      <c r="N914" s="891" t="n">
        <f aca="false">M914/H914</f>
        <v>43</v>
      </c>
      <c r="O914" s="1943" t="s">
        <v>848</v>
      </c>
      <c r="P914" s="1952" t="n">
        <f aca="false">K914-L914-L921-L920-L915-L916-L919-L917-L918</f>
        <v>0</v>
      </c>
      <c r="Q914" s="1953" t="n">
        <f aca="false">I914-M914-M921-M920-M915-M916-M919-M917-M918</f>
        <v>0</v>
      </c>
      <c r="R914" s="1954" t="n">
        <f aca="false">G914-N914-N921-N920-N915-N916-N919-N917-N918</f>
        <v>0</v>
      </c>
    </row>
    <row r="915" customFormat="false" ht="14.25" hidden="false" customHeight="false" outlineLevel="0" collapsed="false">
      <c r="A915" s="1087"/>
      <c r="B915" s="1072"/>
      <c r="C915" s="1980"/>
      <c r="D915" s="1480" t="s">
        <v>5</v>
      </c>
      <c r="E915" s="1480" t="s">
        <v>1651</v>
      </c>
      <c r="F915" s="887"/>
      <c r="G915" s="2017"/>
      <c r="H915" s="1067"/>
      <c r="I915" s="1067"/>
      <c r="J915" s="1063"/>
      <c r="K915" s="1452"/>
      <c r="L915" s="1521" t="n">
        <v>23244.45</v>
      </c>
      <c r="M915" s="866" t="n">
        <v>750</v>
      </c>
      <c r="N915" s="866" t="n">
        <f aca="false">M915/H914</f>
        <v>50</v>
      </c>
      <c r="O915" s="545" t="s">
        <v>699</v>
      </c>
      <c r="P915" s="1952"/>
      <c r="Q915" s="1953"/>
      <c r="R915" s="1954"/>
    </row>
    <row r="916" customFormat="false" ht="14.25" hidden="false" customHeight="false" outlineLevel="0" collapsed="false">
      <c r="A916" s="1087"/>
      <c r="B916" s="1072"/>
      <c r="C916" s="1980"/>
      <c r="D916" s="1480" t="s">
        <v>5</v>
      </c>
      <c r="E916" s="1480" t="s">
        <v>1651</v>
      </c>
      <c r="F916" s="887"/>
      <c r="G916" s="2017"/>
      <c r="H916" s="1067"/>
      <c r="I916" s="1067"/>
      <c r="J916" s="1063"/>
      <c r="K916" s="1452"/>
      <c r="L916" s="1521" t="n">
        <v>39050.676</v>
      </c>
      <c r="M916" s="866" t="n">
        <v>1260</v>
      </c>
      <c r="N916" s="866" t="n">
        <f aca="false">M916/H914</f>
        <v>84</v>
      </c>
      <c r="O916" s="545" t="s">
        <v>3451</v>
      </c>
      <c r="P916" s="1952"/>
      <c r="Q916" s="1953"/>
      <c r="R916" s="1954"/>
    </row>
    <row r="917" customFormat="false" ht="14.25" hidden="false" customHeight="false" outlineLevel="0" collapsed="false">
      <c r="A917" s="1087"/>
      <c r="B917" s="1072"/>
      <c r="C917" s="1980"/>
      <c r="D917" s="1480" t="s">
        <v>5</v>
      </c>
      <c r="E917" s="1480" t="s">
        <v>1651</v>
      </c>
      <c r="F917" s="887"/>
      <c r="G917" s="2017"/>
      <c r="H917" s="1067"/>
      <c r="I917" s="1067"/>
      <c r="J917" s="1063"/>
      <c r="K917" s="1452"/>
      <c r="L917" s="1521" t="n">
        <v>76241.796</v>
      </c>
      <c r="M917" s="866" t="n">
        <v>2460</v>
      </c>
      <c r="N917" s="866" t="n">
        <f aca="false">M917/H914</f>
        <v>164</v>
      </c>
      <c r="O917" s="545" t="s">
        <v>3426</v>
      </c>
      <c r="P917" s="1952"/>
      <c r="Q917" s="1953"/>
      <c r="R917" s="1954"/>
    </row>
    <row r="918" customFormat="false" ht="14.25" hidden="false" customHeight="false" outlineLevel="0" collapsed="false">
      <c r="A918" s="1087"/>
      <c r="B918" s="1072"/>
      <c r="C918" s="1980"/>
      <c r="D918" s="1480" t="s">
        <v>5</v>
      </c>
      <c r="E918" s="1480" t="s">
        <v>1651</v>
      </c>
      <c r="F918" s="887"/>
      <c r="G918" s="2017"/>
      <c r="H918" s="1067"/>
      <c r="I918" s="1067"/>
      <c r="J918" s="1063"/>
      <c r="K918" s="1452"/>
      <c r="L918" s="1521" t="n">
        <v>62295.126</v>
      </c>
      <c r="M918" s="866" t="n">
        <v>2010</v>
      </c>
      <c r="N918" s="866" t="n">
        <f aca="false">M918/H914</f>
        <v>134</v>
      </c>
      <c r="O918" s="545" t="s">
        <v>3452</v>
      </c>
      <c r="P918" s="1952"/>
      <c r="Q918" s="1953"/>
      <c r="R918" s="1954"/>
    </row>
    <row r="919" customFormat="false" ht="14.25" hidden="false" customHeight="false" outlineLevel="0" collapsed="false">
      <c r="A919" s="1087"/>
      <c r="B919" s="1072"/>
      <c r="C919" s="1980"/>
      <c r="D919" s="1480" t="s">
        <v>5</v>
      </c>
      <c r="E919" s="1480" t="s">
        <v>1651</v>
      </c>
      <c r="F919" s="887"/>
      <c r="G919" s="2017"/>
      <c r="H919" s="1067"/>
      <c r="I919" s="1067"/>
      <c r="J919" s="1063"/>
      <c r="K919" s="1452"/>
      <c r="L919" s="1521" t="n">
        <v>18595.56</v>
      </c>
      <c r="M919" s="866" t="n">
        <v>600</v>
      </c>
      <c r="N919" s="866" t="n">
        <f aca="false">M919/H914</f>
        <v>40</v>
      </c>
      <c r="O919" s="545" t="s">
        <v>839</v>
      </c>
      <c r="P919" s="1952"/>
      <c r="Q919" s="1953"/>
      <c r="R919" s="1954"/>
    </row>
    <row r="920" customFormat="false" ht="14.25" hidden="false" customHeight="false" outlineLevel="0" collapsed="false">
      <c r="A920" s="1087"/>
      <c r="B920" s="1072"/>
      <c r="C920" s="1980"/>
      <c r="D920" s="1480" t="s">
        <v>5</v>
      </c>
      <c r="E920" s="1480" t="s">
        <v>1651</v>
      </c>
      <c r="F920" s="887"/>
      <c r="G920" s="2017"/>
      <c r="H920" s="1067"/>
      <c r="I920" s="1067"/>
      <c r="J920" s="1063"/>
      <c r="K920" s="1452"/>
      <c r="L920" s="1521" t="n">
        <v>4648.89</v>
      </c>
      <c r="M920" s="866" t="n">
        <v>150</v>
      </c>
      <c r="N920" s="866" t="n">
        <f aca="false">M920/H914</f>
        <v>10</v>
      </c>
      <c r="O920" s="545" t="s">
        <v>700</v>
      </c>
      <c r="P920" s="1952"/>
      <c r="Q920" s="1953"/>
      <c r="R920" s="1954"/>
    </row>
    <row r="921" customFormat="false" ht="14.25" hidden="false" customHeight="false" outlineLevel="0" collapsed="false">
      <c r="A921" s="1087"/>
      <c r="B921" s="1072"/>
      <c r="C921" s="1980"/>
      <c r="D921" s="1357" t="s">
        <v>5</v>
      </c>
      <c r="E921" s="1357" t="s">
        <v>1651</v>
      </c>
      <c r="F921" s="887"/>
      <c r="G921" s="2017"/>
      <c r="H921" s="1067"/>
      <c r="I921" s="1067"/>
      <c r="J921" s="1063"/>
      <c r="K921" s="1452"/>
      <c r="L921" s="1362" t="n">
        <v>12087.114</v>
      </c>
      <c r="M921" s="846" t="n">
        <v>390</v>
      </c>
      <c r="N921" s="846" t="n">
        <f aca="false">M921/H914</f>
        <v>26</v>
      </c>
      <c r="O921" s="1936" t="s">
        <v>672</v>
      </c>
      <c r="P921" s="1952"/>
      <c r="Q921" s="1953"/>
      <c r="R921" s="1954"/>
    </row>
    <row r="922" customFormat="false" ht="14.25" hidden="false" customHeight="false" outlineLevel="0" collapsed="false">
      <c r="A922" s="1060" t="n">
        <v>615</v>
      </c>
      <c r="B922" s="1072" t="n">
        <v>2024</v>
      </c>
      <c r="C922" s="1980" t="n">
        <v>45962</v>
      </c>
      <c r="D922" s="1479" t="s">
        <v>5</v>
      </c>
      <c r="E922" s="1479" t="s">
        <v>1651</v>
      </c>
      <c r="F922" s="887" t="s">
        <v>3364</v>
      </c>
      <c r="G922" s="2017" t="n">
        <v>586</v>
      </c>
      <c r="H922" s="1067" t="n">
        <v>15</v>
      </c>
      <c r="I922" s="1067" t="n">
        <f aca="false">G922*H922</f>
        <v>8790</v>
      </c>
      <c r="J922" s="1063" t="n">
        <v>29.0974</v>
      </c>
      <c r="K922" s="1452" t="n">
        <f aca="false">I922*J922</f>
        <v>255766.146</v>
      </c>
      <c r="L922" s="1355" t="n">
        <v>872.922</v>
      </c>
      <c r="M922" s="891" t="n">
        <v>30</v>
      </c>
      <c r="N922" s="891" t="n">
        <f aca="false">M922/H922</f>
        <v>2</v>
      </c>
      <c r="O922" s="1943" t="s">
        <v>3448</v>
      </c>
      <c r="P922" s="1953" t="n">
        <f aca="false">K922-L922-L927-L926-L923-L925-L924</f>
        <v>3.68345354218036E-011</v>
      </c>
      <c r="Q922" s="1953" t="n">
        <f aca="false">I922-M922-M927-M926-M923-M925-M924</f>
        <v>0</v>
      </c>
      <c r="R922" s="1954" t="n">
        <f aca="false">G922-N922-N927-N926-N923-N925-N924</f>
        <v>0</v>
      </c>
    </row>
    <row r="923" customFormat="false" ht="14.25" hidden="false" customHeight="false" outlineLevel="0" collapsed="false">
      <c r="A923" s="1060"/>
      <c r="B923" s="1072"/>
      <c r="C923" s="1980"/>
      <c r="D923" s="1480" t="s">
        <v>5</v>
      </c>
      <c r="E923" s="1480" t="s">
        <v>1651</v>
      </c>
      <c r="F923" s="887"/>
      <c r="G923" s="2017"/>
      <c r="H923" s="1067"/>
      <c r="I923" s="1067"/>
      <c r="J923" s="1063"/>
      <c r="K923" s="1452"/>
      <c r="L923" s="1521" t="n">
        <v>87728.661</v>
      </c>
      <c r="M923" s="866" t="n">
        <v>3015</v>
      </c>
      <c r="N923" s="866" t="n">
        <f aca="false">M923/H922</f>
        <v>201</v>
      </c>
      <c r="O923" s="545" t="s">
        <v>848</v>
      </c>
      <c r="P923" s="1953"/>
      <c r="Q923" s="1953"/>
      <c r="R923" s="1954"/>
    </row>
    <row r="924" customFormat="false" ht="14.25" hidden="false" customHeight="false" outlineLevel="0" collapsed="false">
      <c r="A924" s="1060"/>
      <c r="B924" s="1072"/>
      <c r="C924" s="1980"/>
      <c r="D924" s="1480" t="s">
        <v>5</v>
      </c>
      <c r="E924" s="1480" t="s">
        <v>1651</v>
      </c>
      <c r="F924" s="887"/>
      <c r="G924" s="2017"/>
      <c r="H924" s="1067"/>
      <c r="I924" s="1067"/>
      <c r="J924" s="1063"/>
      <c r="K924" s="1452"/>
      <c r="L924" s="1521" t="n">
        <v>-872.922</v>
      </c>
      <c r="M924" s="866" t="n">
        <v>-30</v>
      </c>
      <c r="N924" s="866" t="n">
        <f aca="false">M924/H922</f>
        <v>-2</v>
      </c>
      <c r="O924" s="545" t="s">
        <v>1634</v>
      </c>
      <c r="P924" s="1953"/>
      <c r="Q924" s="1953"/>
      <c r="R924" s="1954"/>
    </row>
    <row r="925" customFormat="false" ht="14.25" hidden="false" customHeight="false" outlineLevel="0" collapsed="false">
      <c r="A925" s="1060"/>
      <c r="B925" s="1072"/>
      <c r="C925" s="1980"/>
      <c r="D925" s="1480" t="s">
        <v>5</v>
      </c>
      <c r="E925" s="1480" t="s">
        <v>1651</v>
      </c>
      <c r="F925" s="887"/>
      <c r="G925" s="2017"/>
      <c r="H925" s="1067"/>
      <c r="I925" s="1067"/>
      <c r="J925" s="1063"/>
      <c r="K925" s="1452"/>
      <c r="L925" s="1521" t="n">
        <v>3055.227</v>
      </c>
      <c r="M925" s="866" t="n">
        <v>105</v>
      </c>
      <c r="N925" s="866" t="n">
        <f aca="false">M925/H922</f>
        <v>7</v>
      </c>
      <c r="O925" s="545" t="s">
        <v>3453</v>
      </c>
      <c r="P925" s="1953"/>
      <c r="Q925" s="1953"/>
      <c r="R925" s="1954"/>
    </row>
    <row r="926" customFormat="false" ht="14.25" hidden="false" customHeight="false" outlineLevel="0" collapsed="false">
      <c r="A926" s="1060"/>
      <c r="B926" s="1072"/>
      <c r="C926" s="1980"/>
      <c r="D926" s="1480" t="s">
        <v>5</v>
      </c>
      <c r="E926" s="1480" t="s">
        <v>1651</v>
      </c>
      <c r="F926" s="887"/>
      <c r="G926" s="2017"/>
      <c r="H926" s="1067"/>
      <c r="I926" s="1067"/>
      <c r="J926" s="1063"/>
      <c r="K926" s="1452"/>
      <c r="L926" s="1521" t="n">
        <v>109551.711</v>
      </c>
      <c r="M926" s="866" t="n">
        <v>3765</v>
      </c>
      <c r="N926" s="866" t="n">
        <f aca="false">M926/H922</f>
        <v>251</v>
      </c>
      <c r="O926" s="545" t="s">
        <v>3454</v>
      </c>
      <c r="P926" s="1953"/>
      <c r="Q926" s="1953"/>
      <c r="R926" s="1954"/>
    </row>
    <row r="927" customFormat="false" ht="14.25" hidden="false" customHeight="false" outlineLevel="0" collapsed="false">
      <c r="A927" s="1060"/>
      <c r="B927" s="1072"/>
      <c r="C927" s="1980"/>
      <c r="D927" s="1357" t="s">
        <v>5</v>
      </c>
      <c r="E927" s="1357" t="s">
        <v>1651</v>
      </c>
      <c r="F927" s="887"/>
      <c r="G927" s="2017"/>
      <c r="H927" s="1067"/>
      <c r="I927" s="1067"/>
      <c r="J927" s="1063"/>
      <c r="K927" s="1452"/>
      <c r="L927" s="1362" t="n">
        <v>55430.547</v>
      </c>
      <c r="M927" s="846" t="n">
        <v>1905</v>
      </c>
      <c r="N927" s="846" t="n">
        <f aca="false">M927/H922</f>
        <v>127</v>
      </c>
      <c r="O927" s="1936" t="s">
        <v>572</v>
      </c>
      <c r="P927" s="1953"/>
      <c r="Q927" s="1953"/>
      <c r="R927" s="1954"/>
    </row>
    <row r="928" customFormat="false" ht="14.25" hidden="false" customHeight="false" outlineLevel="0" collapsed="false">
      <c r="A928" s="1087" t="n">
        <v>618</v>
      </c>
      <c r="B928" s="1072" t="n">
        <v>2024</v>
      </c>
      <c r="C928" s="1980" t="n">
        <v>45962</v>
      </c>
      <c r="D928" s="1479" t="s">
        <v>5</v>
      </c>
      <c r="E928" s="1479" t="s">
        <v>1651</v>
      </c>
      <c r="F928" s="887" t="s">
        <v>3367</v>
      </c>
      <c r="G928" s="2017" t="n">
        <v>1000</v>
      </c>
      <c r="H928" s="1067" t="n">
        <v>10</v>
      </c>
      <c r="I928" s="1067" t="n">
        <f aca="false">G928*H928</f>
        <v>10000</v>
      </c>
      <c r="J928" s="1063" t="n">
        <v>31.7157</v>
      </c>
      <c r="K928" s="1452" t="n">
        <f aca="false">I928*J928</f>
        <v>317157</v>
      </c>
      <c r="L928" s="1380" t="n">
        <v>206152.05</v>
      </c>
      <c r="M928" s="854" t="n">
        <v>6500</v>
      </c>
      <c r="N928" s="891" t="n">
        <f aca="false">M928/H928</f>
        <v>650</v>
      </c>
      <c r="O928" s="580" t="s">
        <v>3455</v>
      </c>
      <c r="P928" s="1952" t="n">
        <f aca="false">K928-L928-L934-L929-L933-L930-L931-L932</f>
        <v>0</v>
      </c>
      <c r="Q928" s="1953" t="n">
        <f aca="false">I928-M928-M934-M929-M933-M930-M931-M932</f>
        <v>0</v>
      </c>
      <c r="R928" s="1954" t="n">
        <f aca="false">G928-N928-N934-N929-N933-N930-N931-N932</f>
        <v>0</v>
      </c>
    </row>
    <row r="929" customFormat="false" ht="14.25" hidden="false" customHeight="false" outlineLevel="0" collapsed="false">
      <c r="A929" s="1087"/>
      <c r="B929" s="1072"/>
      <c r="C929" s="1980"/>
      <c r="D929" s="1480" t="s">
        <v>5</v>
      </c>
      <c r="E929" s="1480" t="s">
        <v>1651</v>
      </c>
      <c r="F929" s="887"/>
      <c r="G929" s="2017"/>
      <c r="H929" s="1067"/>
      <c r="I929" s="1067"/>
      <c r="J929" s="1063"/>
      <c r="K929" s="1452"/>
      <c r="L929" s="1521" t="n">
        <v>32032.857</v>
      </c>
      <c r="M929" s="866" t="n">
        <v>1010</v>
      </c>
      <c r="N929" s="866" t="n">
        <f aca="false">M929/H928</f>
        <v>101</v>
      </c>
      <c r="O929" s="545" t="s">
        <v>657</v>
      </c>
      <c r="P929" s="1952"/>
      <c r="Q929" s="1953"/>
      <c r="R929" s="1954"/>
    </row>
    <row r="930" customFormat="false" ht="14.25" hidden="false" customHeight="false" outlineLevel="0" collapsed="false">
      <c r="A930" s="1087"/>
      <c r="B930" s="1072"/>
      <c r="C930" s="1980"/>
      <c r="D930" s="1480" t="s">
        <v>5</v>
      </c>
      <c r="E930" s="1480" t="s">
        <v>1651</v>
      </c>
      <c r="F930" s="887"/>
      <c r="G930" s="2017"/>
      <c r="H930" s="1067"/>
      <c r="I930" s="1067"/>
      <c r="J930" s="1063"/>
      <c r="K930" s="1452"/>
      <c r="L930" s="1521" t="n">
        <v>20298.048</v>
      </c>
      <c r="M930" s="866" t="n">
        <v>640</v>
      </c>
      <c r="N930" s="866" t="n">
        <f aca="false">M930/H928</f>
        <v>64</v>
      </c>
      <c r="O930" s="545" t="s">
        <v>561</v>
      </c>
      <c r="P930" s="1952"/>
      <c r="Q930" s="1953"/>
      <c r="R930" s="1954"/>
    </row>
    <row r="931" customFormat="false" ht="14.25" hidden="false" customHeight="false" outlineLevel="0" collapsed="false">
      <c r="A931" s="1087"/>
      <c r="B931" s="1072"/>
      <c r="C931" s="1980"/>
      <c r="D931" s="1480" t="s">
        <v>5</v>
      </c>
      <c r="E931" s="1480" t="s">
        <v>1651</v>
      </c>
      <c r="F931" s="887"/>
      <c r="G931" s="2017"/>
      <c r="H931" s="1067"/>
      <c r="I931" s="1067"/>
      <c r="J931" s="1063"/>
      <c r="K931" s="1452"/>
      <c r="L931" s="1521" t="n">
        <v>-26324.031</v>
      </c>
      <c r="M931" s="866" t="n">
        <v>-830</v>
      </c>
      <c r="N931" s="866" t="n">
        <f aca="false">M931/H928</f>
        <v>-83</v>
      </c>
      <c r="O931" s="545" t="s">
        <v>1634</v>
      </c>
      <c r="P931" s="1952"/>
      <c r="Q931" s="1953"/>
      <c r="R931" s="1954"/>
    </row>
    <row r="932" customFormat="false" ht="14.25" hidden="false" customHeight="false" outlineLevel="0" collapsed="false">
      <c r="A932" s="1087"/>
      <c r="B932" s="1072"/>
      <c r="C932" s="1980"/>
      <c r="D932" s="1480" t="s">
        <v>5</v>
      </c>
      <c r="E932" s="1480" t="s">
        <v>1651</v>
      </c>
      <c r="F932" s="887"/>
      <c r="G932" s="2017"/>
      <c r="H932" s="1067"/>
      <c r="I932" s="1067"/>
      <c r="J932" s="1063"/>
      <c r="K932" s="1452"/>
      <c r="L932" s="1521" t="n">
        <v>26324.031</v>
      </c>
      <c r="M932" s="866" t="n">
        <v>830</v>
      </c>
      <c r="N932" s="866" t="n">
        <f aca="false">M932/H928</f>
        <v>83</v>
      </c>
      <c r="O932" s="545" t="s">
        <v>1375</v>
      </c>
      <c r="P932" s="1952"/>
      <c r="Q932" s="1953"/>
      <c r="R932" s="1954"/>
    </row>
    <row r="933" customFormat="false" ht="14.25" hidden="false" customHeight="false" outlineLevel="0" collapsed="false">
      <c r="A933" s="1087"/>
      <c r="B933" s="1072"/>
      <c r="C933" s="1980"/>
      <c r="D933" s="1480" t="s">
        <v>5</v>
      </c>
      <c r="E933" s="1480" t="s">
        <v>1651</v>
      </c>
      <c r="F933" s="887"/>
      <c r="G933" s="2017"/>
      <c r="H933" s="1067"/>
      <c r="I933" s="1067"/>
      <c r="J933" s="1063"/>
      <c r="K933" s="1452"/>
      <c r="L933" s="1521" t="n">
        <v>32984.328</v>
      </c>
      <c r="M933" s="866" t="n">
        <v>1040</v>
      </c>
      <c r="N933" s="866" t="n">
        <f aca="false">M933/H928</f>
        <v>104</v>
      </c>
      <c r="O933" s="545" t="s">
        <v>3456</v>
      </c>
      <c r="P933" s="1952"/>
      <c r="Q933" s="1953"/>
      <c r="R933" s="1954"/>
    </row>
    <row r="934" customFormat="false" ht="14.25" hidden="false" customHeight="false" outlineLevel="0" collapsed="false">
      <c r="A934" s="1087"/>
      <c r="B934" s="1072"/>
      <c r="C934" s="1980"/>
      <c r="D934" s="1357" t="s">
        <v>5</v>
      </c>
      <c r="E934" s="1357" t="s">
        <v>1651</v>
      </c>
      <c r="F934" s="887"/>
      <c r="G934" s="2017"/>
      <c r="H934" s="1067"/>
      <c r="I934" s="1067"/>
      <c r="J934" s="1063"/>
      <c r="K934" s="1452"/>
      <c r="L934" s="1362" t="n">
        <v>25689.717</v>
      </c>
      <c r="M934" s="846" t="n">
        <v>810</v>
      </c>
      <c r="N934" s="846" t="n">
        <f aca="false">M934/H928</f>
        <v>81</v>
      </c>
      <c r="O934" s="1936" t="s">
        <v>624</v>
      </c>
      <c r="P934" s="1952"/>
      <c r="Q934" s="1953"/>
      <c r="R934" s="1954"/>
    </row>
    <row r="935" customFormat="false" ht="14.25" hidden="false" customHeight="false" outlineLevel="0" collapsed="false">
      <c r="A935" s="1087" t="n">
        <v>619</v>
      </c>
      <c r="B935" s="1072" t="n">
        <v>2024</v>
      </c>
      <c r="C935" s="1980" t="n">
        <v>45962</v>
      </c>
      <c r="D935" s="1351" t="s">
        <v>5</v>
      </c>
      <c r="E935" s="1351" t="s">
        <v>1651</v>
      </c>
      <c r="F935" s="887" t="s">
        <v>3367</v>
      </c>
      <c r="G935" s="2017" t="n">
        <v>1000</v>
      </c>
      <c r="H935" s="1067" t="n">
        <v>10</v>
      </c>
      <c r="I935" s="1067" t="n">
        <f aca="false">G935*H935</f>
        <v>10000</v>
      </c>
      <c r="J935" s="1063" t="n">
        <v>31.7157</v>
      </c>
      <c r="K935" s="1452" t="n">
        <f aca="false">I935*J935</f>
        <v>317157</v>
      </c>
      <c r="L935" s="1355" t="n">
        <v>634.314</v>
      </c>
      <c r="M935" s="891" t="n">
        <v>20</v>
      </c>
      <c r="N935" s="891" t="n">
        <f aca="false">M935/H935</f>
        <v>2</v>
      </c>
      <c r="O935" s="1943" t="s">
        <v>895</v>
      </c>
      <c r="P935" s="1953" t="n">
        <f aca="false">K935-L935-L942-L941-L936-L940-L937-L939-L938</f>
        <v>-2.91038304567337E-011</v>
      </c>
      <c r="Q935" s="1953" t="n">
        <f aca="false">I935-M935-M942-M941-M936-M940-M937-M939-M938</f>
        <v>0</v>
      </c>
      <c r="R935" s="1954" t="n">
        <f aca="false">G935-N935-N942-N941-N936-N940-N937-N939-N938</f>
        <v>0</v>
      </c>
    </row>
    <row r="936" customFormat="false" ht="14.25" hidden="false" customHeight="false" outlineLevel="0" collapsed="false">
      <c r="A936" s="1087"/>
      <c r="B936" s="1072"/>
      <c r="C936" s="1980"/>
      <c r="D936" s="1480" t="s">
        <v>5</v>
      </c>
      <c r="E936" s="1480" t="s">
        <v>1651</v>
      </c>
      <c r="F936" s="887"/>
      <c r="G936" s="2017"/>
      <c r="H936" s="1067"/>
      <c r="I936" s="1067"/>
      <c r="J936" s="1063"/>
      <c r="K936" s="1452"/>
      <c r="L936" s="1521" t="n">
        <v>6343.14</v>
      </c>
      <c r="M936" s="866" t="n">
        <v>200</v>
      </c>
      <c r="N936" s="866" t="n">
        <f aca="false">M936/H935</f>
        <v>20</v>
      </c>
      <c r="O936" s="545" t="s">
        <v>624</v>
      </c>
      <c r="P936" s="1953"/>
      <c r="Q936" s="1953"/>
      <c r="R936" s="1954"/>
    </row>
    <row r="937" customFormat="false" ht="14.25" hidden="false" customHeight="false" outlineLevel="0" collapsed="false">
      <c r="A937" s="1087"/>
      <c r="B937" s="1072"/>
      <c r="C937" s="1980"/>
      <c r="D937" s="1480" t="s">
        <v>5</v>
      </c>
      <c r="E937" s="1480" t="s">
        <v>1651</v>
      </c>
      <c r="F937" s="887"/>
      <c r="G937" s="2017"/>
      <c r="H937" s="1067"/>
      <c r="I937" s="1067"/>
      <c r="J937" s="1063"/>
      <c r="K937" s="1452"/>
      <c r="L937" s="1521" t="n">
        <v>157309.872</v>
      </c>
      <c r="M937" s="866" t="n">
        <v>4960</v>
      </c>
      <c r="N937" s="866" t="n">
        <f aca="false">M937/H935</f>
        <v>496</v>
      </c>
      <c r="O937" s="545" t="s">
        <v>3457</v>
      </c>
      <c r="P937" s="1953"/>
      <c r="Q937" s="1953"/>
      <c r="R937" s="1954"/>
    </row>
    <row r="938" customFormat="false" ht="14.25" hidden="false" customHeight="false" outlineLevel="0" collapsed="false">
      <c r="A938" s="1087"/>
      <c r="B938" s="1072"/>
      <c r="C938" s="1980"/>
      <c r="D938" s="1480" t="s">
        <v>5</v>
      </c>
      <c r="E938" s="1480" t="s">
        <v>1651</v>
      </c>
      <c r="F938" s="887"/>
      <c r="G938" s="2017"/>
      <c r="H938" s="1067"/>
      <c r="I938" s="1067"/>
      <c r="J938" s="1063"/>
      <c r="K938" s="1452"/>
      <c r="L938" s="1521" t="n">
        <v>14272.065</v>
      </c>
      <c r="M938" s="866" t="n">
        <v>450</v>
      </c>
      <c r="N938" s="866" t="n">
        <f aca="false">M938/H935</f>
        <v>45</v>
      </c>
      <c r="O938" s="545" t="s">
        <v>1375</v>
      </c>
      <c r="P938" s="1953"/>
      <c r="Q938" s="1953"/>
      <c r="R938" s="1954"/>
    </row>
    <row r="939" customFormat="false" ht="14.25" hidden="false" customHeight="false" outlineLevel="0" collapsed="false">
      <c r="A939" s="1087"/>
      <c r="B939" s="1072"/>
      <c r="C939" s="1980"/>
      <c r="D939" s="1480" t="s">
        <v>5</v>
      </c>
      <c r="E939" s="1480" t="s">
        <v>1651</v>
      </c>
      <c r="F939" s="887"/>
      <c r="G939" s="2017"/>
      <c r="H939" s="1067"/>
      <c r="I939" s="1067"/>
      <c r="J939" s="1063"/>
      <c r="K939" s="1452"/>
      <c r="L939" s="1521" t="n">
        <v>-14272.065</v>
      </c>
      <c r="M939" s="866" t="n">
        <v>-450</v>
      </c>
      <c r="N939" s="866" t="n">
        <f aca="false">M939/H935</f>
        <v>-45</v>
      </c>
      <c r="O939" s="545" t="s">
        <v>1634</v>
      </c>
      <c r="P939" s="1953"/>
      <c r="Q939" s="1953"/>
      <c r="R939" s="1954"/>
    </row>
    <row r="940" customFormat="false" ht="14.25" hidden="false" customHeight="false" outlineLevel="0" collapsed="false">
      <c r="A940" s="1087"/>
      <c r="B940" s="1072"/>
      <c r="C940" s="1980"/>
      <c r="D940" s="1480" t="s">
        <v>5</v>
      </c>
      <c r="E940" s="1480" t="s">
        <v>1651</v>
      </c>
      <c r="F940" s="887"/>
      <c r="G940" s="2017"/>
      <c r="H940" s="1067"/>
      <c r="I940" s="1067"/>
      <c r="J940" s="1063"/>
      <c r="K940" s="1452"/>
      <c r="L940" s="1521" t="n">
        <v>14272.065</v>
      </c>
      <c r="M940" s="866" t="n">
        <v>450</v>
      </c>
      <c r="N940" s="866" t="n">
        <f aca="false">M940/H935</f>
        <v>45</v>
      </c>
      <c r="O940" s="545" t="s">
        <v>625</v>
      </c>
      <c r="P940" s="1953"/>
      <c r="Q940" s="1953"/>
      <c r="R940" s="1954"/>
    </row>
    <row r="941" customFormat="false" ht="14.25" hidden="false" customHeight="false" outlineLevel="0" collapsed="false">
      <c r="A941" s="1087"/>
      <c r="B941" s="1072"/>
      <c r="C941" s="1980"/>
      <c r="D941" s="1480" t="s">
        <v>5</v>
      </c>
      <c r="E941" s="1480" t="s">
        <v>1651</v>
      </c>
      <c r="F941" s="887"/>
      <c r="G941" s="2017"/>
      <c r="H941" s="1067"/>
      <c r="I941" s="1067"/>
      <c r="J941" s="1063"/>
      <c r="K941" s="1452"/>
      <c r="L941" s="1521" t="n">
        <v>122422.602</v>
      </c>
      <c r="M941" s="866" t="n">
        <v>3860</v>
      </c>
      <c r="N941" s="866" t="n">
        <f aca="false">M941/H935</f>
        <v>386</v>
      </c>
      <c r="O941" s="545" t="s">
        <v>3458</v>
      </c>
      <c r="P941" s="1953"/>
      <c r="Q941" s="1953"/>
      <c r="R941" s="1954"/>
    </row>
    <row r="942" customFormat="false" ht="14.25" hidden="false" customHeight="false" outlineLevel="0" collapsed="false">
      <c r="A942" s="1087"/>
      <c r="B942" s="1072"/>
      <c r="C942" s="1980"/>
      <c r="D942" s="1357" t="s">
        <v>5</v>
      </c>
      <c r="E942" s="1357" t="s">
        <v>1651</v>
      </c>
      <c r="F942" s="887"/>
      <c r="G942" s="2017"/>
      <c r="H942" s="1067"/>
      <c r="I942" s="1067"/>
      <c r="J942" s="1063"/>
      <c r="K942" s="1452"/>
      <c r="L942" s="1362" t="n">
        <v>16175.007</v>
      </c>
      <c r="M942" s="846" t="n">
        <v>510</v>
      </c>
      <c r="N942" s="846" t="n">
        <f aca="false">M942/H935</f>
        <v>51</v>
      </c>
      <c r="O942" s="1936" t="s">
        <v>885</v>
      </c>
      <c r="P942" s="1953"/>
      <c r="Q942" s="1953"/>
      <c r="R942" s="1954"/>
    </row>
    <row r="943" customFormat="false" ht="14.25" hidden="false" customHeight="false" outlineLevel="0" collapsed="false">
      <c r="A943" s="903" t="n">
        <v>620</v>
      </c>
      <c r="B943" s="903" t="n">
        <v>2024</v>
      </c>
      <c r="C943" s="1974" t="n">
        <v>45962</v>
      </c>
      <c r="D943" s="1351" t="s">
        <v>5</v>
      </c>
      <c r="E943" s="1351" t="s">
        <v>1651</v>
      </c>
      <c r="F943" s="904" t="s">
        <v>3367</v>
      </c>
      <c r="G943" s="2012" t="n">
        <v>512</v>
      </c>
      <c r="H943" s="942" t="n">
        <v>10</v>
      </c>
      <c r="I943" s="1355" t="n">
        <f aca="false">G943*H943</f>
        <v>5120</v>
      </c>
      <c r="J943" s="1406" t="n">
        <v>31.7157</v>
      </c>
      <c r="K943" s="1942" t="n">
        <f aca="false">I943*J943</f>
        <v>162384.384</v>
      </c>
      <c r="L943" s="1355" t="n">
        <v>162384.384</v>
      </c>
      <c r="M943" s="891" t="n">
        <v>5120</v>
      </c>
      <c r="N943" s="891" t="n">
        <f aca="false">M943/H943</f>
        <v>512</v>
      </c>
      <c r="O943" s="1943" t="s">
        <v>561</v>
      </c>
      <c r="P943" s="1947" t="n">
        <f aca="false">K943-L943</f>
        <v>0</v>
      </c>
      <c r="Q943" s="1945" t="n">
        <f aca="false">I943-M943</f>
        <v>0</v>
      </c>
      <c r="R943" s="2000" t="n">
        <f aca="false">G943-N943</f>
        <v>0</v>
      </c>
    </row>
    <row r="944" customFormat="false" ht="14.25" hidden="false" customHeight="false" outlineLevel="0" collapsed="false">
      <c r="A944" s="829" t="n">
        <v>621</v>
      </c>
      <c r="B944" s="830" t="n">
        <v>2024</v>
      </c>
      <c r="C944" s="1965" t="n">
        <v>45992</v>
      </c>
      <c r="D944" s="1365" t="s">
        <v>5</v>
      </c>
      <c r="E944" s="1365" t="s">
        <v>1651</v>
      </c>
      <c r="F944" s="832" t="s">
        <v>3364</v>
      </c>
      <c r="G944" s="2010" t="n">
        <v>666</v>
      </c>
      <c r="H944" s="837" t="n">
        <v>15</v>
      </c>
      <c r="I944" s="837" t="n">
        <f aca="false">G944*H944</f>
        <v>9990</v>
      </c>
      <c r="J944" s="1059" t="n">
        <v>31.7157</v>
      </c>
      <c r="K944" s="943" t="n">
        <f aca="false">I944*J944</f>
        <v>316839.843</v>
      </c>
      <c r="L944" s="1369" t="n">
        <v>1902.942</v>
      </c>
      <c r="M944" s="840" t="n">
        <v>60</v>
      </c>
      <c r="N944" s="840" t="n">
        <f aca="false">M944/H944</f>
        <v>4</v>
      </c>
      <c r="O944" s="578" t="s">
        <v>865</v>
      </c>
      <c r="P944" s="1948" t="n">
        <f aca="false">K944-L944-L945</f>
        <v>0</v>
      </c>
      <c r="Q944" s="1934" t="n">
        <f aca="false">I944-M944-M945</f>
        <v>0</v>
      </c>
      <c r="R944" s="1935" t="n">
        <f aca="false">G944-N944-N945</f>
        <v>0</v>
      </c>
    </row>
    <row r="945" customFormat="false" ht="14.25" hidden="false" customHeight="false" outlineLevel="0" collapsed="false">
      <c r="A945" s="829"/>
      <c r="B945" s="830"/>
      <c r="C945" s="1965"/>
      <c r="D945" s="1357" t="s">
        <v>5</v>
      </c>
      <c r="E945" s="1357" t="s">
        <v>1651</v>
      </c>
      <c r="F945" s="832"/>
      <c r="G945" s="2010"/>
      <c r="H945" s="837"/>
      <c r="I945" s="837"/>
      <c r="J945" s="1059"/>
      <c r="K945" s="943"/>
      <c r="L945" s="1362" t="n">
        <v>314936.901</v>
      </c>
      <c r="M945" s="846" t="n">
        <v>9930</v>
      </c>
      <c r="N945" s="846" t="n">
        <f aca="false">M945/H944</f>
        <v>662</v>
      </c>
      <c r="O945" s="1936" t="s">
        <v>721</v>
      </c>
      <c r="P945" s="1948"/>
      <c r="Q945" s="1934"/>
      <c r="R945" s="1935"/>
    </row>
    <row r="946" customFormat="false" ht="14.25" hidden="false" customHeight="false" outlineLevel="0" collapsed="false">
      <c r="A946" s="1060" t="n">
        <v>622</v>
      </c>
      <c r="B946" s="1072" t="n">
        <v>2024</v>
      </c>
      <c r="C946" s="1980" t="n">
        <v>45992</v>
      </c>
      <c r="D946" s="1479" t="s">
        <v>5</v>
      </c>
      <c r="E946" s="1479" t="s">
        <v>1651</v>
      </c>
      <c r="F946" s="887" t="s">
        <v>3364</v>
      </c>
      <c r="G946" s="2017" t="n">
        <v>666</v>
      </c>
      <c r="H946" s="1067" t="n">
        <v>15</v>
      </c>
      <c r="I946" s="1067" t="n">
        <f aca="false">G946*H946</f>
        <v>9990</v>
      </c>
      <c r="J946" s="1063" t="n">
        <v>31.7157</v>
      </c>
      <c r="K946" s="1452" t="n">
        <f aca="false">I946*J946</f>
        <v>316839.843</v>
      </c>
      <c r="L946" s="1380" t="n">
        <v>23311.0395</v>
      </c>
      <c r="M946" s="854" t="n">
        <v>735</v>
      </c>
      <c r="N946" s="891" t="n">
        <f aca="false">M946/H946</f>
        <v>49</v>
      </c>
      <c r="O946" s="580" t="s">
        <v>469</v>
      </c>
      <c r="P946" s="1952" t="n">
        <f aca="false">K946-L946-L951-L947-L950-L948-L949</f>
        <v>0</v>
      </c>
      <c r="Q946" s="1953" t="n">
        <f aca="false">I946-M946-M951-M947-M950-M948-M949</f>
        <v>0</v>
      </c>
      <c r="R946" s="1954" t="n">
        <f aca="false">G946-N946-N951-N947-N950-N948-N949</f>
        <v>0</v>
      </c>
    </row>
    <row r="947" customFormat="false" ht="14.25" hidden="false" customHeight="false" outlineLevel="0" collapsed="false">
      <c r="A947" s="1060"/>
      <c r="B947" s="1072"/>
      <c r="C947" s="1980"/>
      <c r="D947" s="1480" t="s">
        <v>5</v>
      </c>
      <c r="E947" s="1480" t="s">
        <v>1651</v>
      </c>
      <c r="F947" s="887"/>
      <c r="G947" s="2017"/>
      <c r="H947" s="1067"/>
      <c r="I947" s="1067"/>
      <c r="J947" s="1063"/>
      <c r="K947" s="1452"/>
      <c r="L947" s="1521" t="n">
        <v>61845.615</v>
      </c>
      <c r="M947" s="866" t="n">
        <v>1950</v>
      </c>
      <c r="N947" s="866" t="n">
        <f aca="false">M947/H946</f>
        <v>130</v>
      </c>
      <c r="O947" s="545" t="s">
        <v>865</v>
      </c>
      <c r="P947" s="1952"/>
      <c r="Q947" s="1953"/>
      <c r="R947" s="1954"/>
    </row>
    <row r="948" customFormat="false" ht="14.25" hidden="false" customHeight="false" outlineLevel="0" collapsed="false">
      <c r="A948" s="1060"/>
      <c r="B948" s="1072"/>
      <c r="C948" s="1980"/>
      <c r="D948" s="1480" t="s">
        <v>5</v>
      </c>
      <c r="E948" s="1480" t="s">
        <v>1651</v>
      </c>
      <c r="F948" s="887"/>
      <c r="G948" s="2017"/>
      <c r="H948" s="1067"/>
      <c r="I948" s="1067"/>
      <c r="J948" s="1063"/>
      <c r="K948" s="1452"/>
      <c r="L948" s="1521" t="n">
        <v>152235.36</v>
      </c>
      <c r="M948" s="866" t="n">
        <v>4800</v>
      </c>
      <c r="N948" s="866" t="n">
        <f aca="false">M948/H946</f>
        <v>320</v>
      </c>
      <c r="O948" s="545" t="s">
        <v>862</v>
      </c>
      <c r="P948" s="1952"/>
      <c r="Q948" s="1953"/>
      <c r="R948" s="1954"/>
    </row>
    <row r="949" customFormat="false" ht="14.25" hidden="false" customHeight="false" outlineLevel="0" collapsed="false">
      <c r="A949" s="1060"/>
      <c r="B949" s="1072"/>
      <c r="C949" s="1980"/>
      <c r="D949" s="1480" t="s">
        <v>5</v>
      </c>
      <c r="E949" s="1480" t="s">
        <v>1651</v>
      </c>
      <c r="F949" s="887"/>
      <c r="G949" s="2017"/>
      <c r="H949" s="1067"/>
      <c r="I949" s="1067"/>
      <c r="J949" s="1063"/>
      <c r="K949" s="1452"/>
      <c r="L949" s="1521" t="n">
        <v>-68505.912</v>
      </c>
      <c r="M949" s="866" t="n">
        <v>-2160</v>
      </c>
      <c r="N949" s="866" t="n">
        <f aca="false">M949/H946</f>
        <v>-144</v>
      </c>
      <c r="O949" s="545" t="s">
        <v>1634</v>
      </c>
      <c r="P949" s="1952"/>
      <c r="Q949" s="1953"/>
      <c r="R949" s="1954"/>
    </row>
    <row r="950" customFormat="false" ht="14.25" hidden="false" customHeight="false" outlineLevel="0" collapsed="false">
      <c r="A950" s="1060"/>
      <c r="B950" s="1072"/>
      <c r="C950" s="1980"/>
      <c r="D950" s="1480" t="s">
        <v>5</v>
      </c>
      <c r="E950" s="1480" t="s">
        <v>1651</v>
      </c>
      <c r="F950" s="887"/>
      <c r="G950" s="2017"/>
      <c r="H950" s="1067"/>
      <c r="I950" s="1067"/>
      <c r="J950" s="1063"/>
      <c r="K950" s="1452"/>
      <c r="L950" s="1521" t="n">
        <v>79447.8285</v>
      </c>
      <c r="M950" s="866" t="n">
        <v>2505</v>
      </c>
      <c r="N950" s="866" t="n">
        <f aca="false">M950/H946</f>
        <v>167</v>
      </c>
      <c r="O950" s="545" t="s">
        <v>862</v>
      </c>
      <c r="P950" s="1952"/>
      <c r="Q950" s="1953"/>
      <c r="R950" s="1954"/>
    </row>
    <row r="951" customFormat="false" ht="14.25" hidden="false" customHeight="false" outlineLevel="0" collapsed="false">
      <c r="A951" s="1060"/>
      <c r="B951" s="1072"/>
      <c r="C951" s="1980"/>
      <c r="D951" s="1357" t="s">
        <v>5</v>
      </c>
      <c r="E951" s="1357" t="s">
        <v>1651</v>
      </c>
      <c r="F951" s="887"/>
      <c r="G951" s="2017"/>
      <c r="H951" s="1067"/>
      <c r="I951" s="1067"/>
      <c r="J951" s="1063"/>
      <c r="K951" s="1452"/>
      <c r="L951" s="1362" t="n">
        <v>68505.912</v>
      </c>
      <c r="M951" s="846" t="n">
        <v>2160</v>
      </c>
      <c r="N951" s="846" t="n">
        <f aca="false">M951/H946</f>
        <v>144</v>
      </c>
      <c r="O951" s="1936" t="s">
        <v>870</v>
      </c>
      <c r="P951" s="1952"/>
      <c r="Q951" s="1953"/>
      <c r="R951" s="1954"/>
    </row>
    <row r="952" customFormat="false" ht="14.25" hidden="false" customHeight="false" outlineLevel="0" collapsed="false">
      <c r="A952" s="1060" t="n">
        <v>623</v>
      </c>
      <c r="B952" s="1072" t="n">
        <v>2024</v>
      </c>
      <c r="C952" s="1980" t="n">
        <v>45992</v>
      </c>
      <c r="D952" s="1479" t="s">
        <v>5</v>
      </c>
      <c r="E952" s="1479" t="s">
        <v>1651</v>
      </c>
      <c r="F952" s="887" t="s">
        <v>3364</v>
      </c>
      <c r="G952" s="2017" t="n">
        <v>170</v>
      </c>
      <c r="H952" s="1067" t="n">
        <v>15</v>
      </c>
      <c r="I952" s="1067" t="n">
        <f aca="false">G952*H952</f>
        <v>2550</v>
      </c>
      <c r="J952" s="1063" t="n">
        <v>38.3449</v>
      </c>
      <c r="K952" s="1452" t="n">
        <f aca="false">I952*J952</f>
        <v>97779.495</v>
      </c>
      <c r="L952" s="1355" t="n">
        <v>10928.2965</v>
      </c>
      <c r="M952" s="891" t="n">
        <v>285</v>
      </c>
      <c r="N952" s="891" t="n">
        <f aca="false">M952/H952</f>
        <v>19</v>
      </c>
      <c r="O952" s="1943" t="s">
        <v>572</v>
      </c>
      <c r="P952" s="1952" t="n">
        <f aca="false">K952-L952-L955-L954-L953</f>
        <v>0</v>
      </c>
      <c r="Q952" s="1953" t="n">
        <f aca="false">I952-M952-M955-M954-M953</f>
        <v>0</v>
      </c>
      <c r="R952" s="1954" t="n">
        <f aca="false">G952-N952-N955-N954-N953</f>
        <v>0</v>
      </c>
    </row>
    <row r="953" customFormat="false" ht="14.25" hidden="false" customHeight="false" outlineLevel="0" collapsed="false">
      <c r="A953" s="1060"/>
      <c r="B953" s="1072"/>
      <c r="C953" s="1980"/>
      <c r="D953" s="1480" t="s">
        <v>5</v>
      </c>
      <c r="E953" s="1480" t="s">
        <v>1651</v>
      </c>
      <c r="F953" s="887"/>
      <c r="G953" s="2017"/>
      <c r="H953" s="1067"/>
      <c r="I953" s="1067"/>
      <c r="J953" s="1063"/>
      <c r="K953" s="1452"/>
      <c r="L953" s="1521" t="n">
        <v>82824.984</v>
      </c>
      <c r="M953" s="866" t="n">
        <v>2160</v>
      </c>
      <c r="N953" s="866" t="n">
        <f aca="false">M953/H952</f>
        <v>144</v>
      </c>
      <c r="O953" s="545" t="s">
        <v>1634</v>
      </c>
      <c r="P953" s="1952"/>
      <c r="Q953" s="1953"/>
      <c r="R953" s="1954"/>
    </row>
    <row r="954" customFormat="false" ht="14.25" hidden="false" customHeight="false" outlineLevel="0" collapsed="false">
      <c r="A954" s="1060"/>
      <c r="B954" s="1072"/>
      <c r="C954" s="1980"/>
      <c r="D954" s="1480" t="s">
        <v>5</v>
      </c>
      <c r="E954" s="1480" t="s">
        <v>1651</v>
      </c>
      <c r="F954" s="887"/>
      <c r="G954" s="2017"/>
      <c r="H954" s="1067"/>
      <c r="I954" s="1067"/>
      <c r="J954" s="1063"/>
      <c r="K954" s="1452"/>
      <c r="L954" s="1521" t="n">
        <v>3451.041</v>
      </c>
      <c r="M954" s="866" t="n">
        <v>90</v>
      </c>
      <c r="N954" s="866" t="n">
        <f aca="false">M954/H952</f>
        <v>6</v>
      </c>
      <c r="O954" s="545" t="s">
        <v>870</v>
      </c>
      <c r="P954" s="1952"/>
      <c r="Q954" s="1953"/>
      <c r="R954" s="1954"/>
    </row>
    <row r="955" customFormat="false" ht="14.25" hidden="false" customHeight="false" outlineLevel="0" collapsed="false">
      <c r="A955" s="1060"/>
      <c r="B955" s="1072"/>
      <c r="C955" s="1980"/>
      <c r="D955" s="1357" t="s">
        <v>5</v>
      </c>
      <c r="E955" s="1357" t="s">
        <v>1651</v>
      </c>
      <c r="F955" s="887"/>
      <c r="G955" s="2017"/>
      <c r="H955" s="1067"/>
      <c r="I955" s="1067"/>
      <c r="J955" s="1063"/>
      <c r="K955" s="1452"/>
      <c r="L955" s="1362" t="n">
        <v>575.1735</v>
      </c>
      <c r="M955" s="846" t="n">
        <v>15</v>
      </c>
      <c r="N955" s="846" t="n">
        <f aca="false">M955/H952</f>
        <v>1</v>
      </c>
      <c r="O955" s="1936" t="s">
        <v>873</v>
      </c>
      <c r="P955" s="1952"/>
      <c r="Q955" s="1953"/>
      <c r="R955" s="1954"/>
    </row>
    <row r="956" customFormat="false" ht="14.25" hidden="false" customHeight="false" outlineLevel="0" collapsed="false">
      <c r="A956" s="1087" t="n">
        <v>624</v>
      </c>
      <c r="B956" s="1072" t="n">
        <v>2024</v>
      </c>
      <c r="C956" s="1980" t="n">
        <v>45992</v>
      </c>
      <c r="D956" s="1479" t="s">
        <v>5</v>
      </c>
      <c r="E956" s="1479" t="s">
        <v>1651</v>
      </c>
      <c r="F956" s="887" t="s">
        <v>3375</v>
      </c>
      <c r="G956" s="2017" t="n">
        <v>666</v>
      </c>
      <c r="H956" s="1067" t="n">
        <v>15</v>
      </c>
      <c r="I956" s="1067" t="n">
        <f aca="false">G956*H956</f>
        <v>9990</v>
      </c>
      <c r="J956" s="1063" t="n">
        <v>30.3055</v>
      </c>
      <c r="K956" s="1452" t="n">
        <f aca="false">I956*J956</f>
        <v>302751.945</v>
      </c>
      <c r="L956" s="1380" t="n">
        <v>102735.645</v>
      </c>
      <c r="M956" s="854" t="n">
        <v>3390</v>
      </c>
      <c r="N956" s="854" t="n">
        <f aca="false">M956/H956</f>
        <v>226</v>
      </c>
      <c r="O956" s="580" t="s">
        <v>3438</v>
      </c>
      <c r="P956" s="1952" t="n">
        <f aca="false">K956-L956-L957</f>
        <v>0</v>
      </c>
      <c r="Q956" s="1953" t="n">
        <f aca="false">I956-M956-M957</f>
        <v>0</v>
      </c>
      <c r="R956" s="1954" t="n">
        <f aca="false">G956-N956-N957</f>
        <v>0</v>
      </c>
    </row>
    <row r="957" customFormat="false" ht="14.25" hidden="false" customHeight="false" outlineLevel="0" collapsed="false">
      <c r="A957" s="1087"/>
      <c r="B957" s="1072"/>
      <c r="C957" s="1980"/>
      <c r="D957" s="1357" t="s">
        <v>5</v>
      </c>
      <c r="E957" s="1357" t="s">
        <v>1651</v>
      </c>
      <c r="F957" s="887"/>
      <c r="G957" s="2017"/>
      <c r="H957" s="1067"/>
      <c r="I957" s="1067"/>
      <c r="J957" s="1063"/>
      <c r="K957" s="1452"/>
      <c r="L957" s="1362" t="n">
        <v>200016.3</v>
      </c>
      <c r="M957" s="846" t="n">
        <v>6600</v>
      </c>
      <c r="N957" s="846" t="n">
        <f aca="false">M957/H956</f>
        <v>440</v>
      </c>
      <c r="O957" s="1936" t="s">
        <v>875</v>
      </c>
      <c r="P957" s="1952"/>
      <c r="Q957" s="1953"/>
      <c r="R957" s="1954"/>
    </row>
    <row r="958" customFormat="false" ht="14.25" hidden="false" customHeight="false" outlineLevel="0" collapsed="false">
      <c r="A958" s="1344" t="n">
        <v>625</v>
      </c>
      <c r="B958" s="903" t="n">
        <v>2024</v>
      </c>
      <c r="C958" s="1974" t="n">
        <v>45992</v>
      </c>
      <c r="D958" s="1351" t="s">
        <v>5</v>
      </c>
      <c r="E958" s="1351" t="s">
        <v>1651</v>
      </c>
      <c r="F958" s="904" t="s">
        <v>3375</v>
      </c>
      <c r="G958" s="2012" t="n">
        <v>420</v>
      </c>
      <c r="H958" s="942" t="n">
        <v>15</v>
      </c>
      <c r="I958" s="942" t="n">
        <f aca="false">G958*H958</f>
        <v>6300</v>
      </c>
      <c r="J958" s="1406" t="n">
        <v>30.3055</v>
      </c>
      <c r="K958" s="948" t="n">
        <f aca="false">I958*J958</f>
        <v>190924.65</v>
      </c>
      <c r="L958" s="1355" t="n">
        <v>909.165</v>
      </c>
      <c r="M958" s="891" t="n">
        <v>30</v>
      </c>
      <c r="N958" s="891" t="n">
        <f aca="false">M958/H958</f>
        <v>2</v>
      </c>
      <c r="O958" s="1943" t="s">
        <v>3459</v>
      </c>
      <c r="P958" s="2000" t="n">
        <f aca="false">K958-L958-L963-L959-L962-L960-L961</f>
        <v>-1.00044417195022E-011</v>
      </c>
      <c r="Q958" s="2000" t="n">
        <f aca="false">I958-M958-M963-M959-M962-M960-M961</f>
        <v>0</v>
      </c>
      <c r="R958" s="2005" t="n">
        <f aca="false">G958-N958-N963-N959-N962-N960-N961</f>
        <v>0</v>
      </c>
    </row>
    <row r="959" customFormat="false" ht="14.25" hidden="false" customHeight="false" outlineLevel="0" collapsed="false">
      <c r="A959" s="1344"/>
      <c r="B959" s="903"/>
      <c r="C959" s="1974"/>
      <c r="D959" s="1480" t="s">
        <v>5</v>
      </c>
      <c r="E959" s="1480" t="s">
        <v>1651</v>
      </c>
      <c r="F959" s="904"/>
      <c r="G959" s="2012"/>
      <c r="H959" s="942"/>
      <c r="I959" s="942"/>
      <c r="J959" s="1406"/>
      <c r="K959" s="948"/>
      <c r="L959" s="1521" t="n">
        <v>90916.5</v>
      </c>
      <c r="M959" s="866" t="n">
        <v>3000</v>
      </c>
      <c r="N959" s="866" t="n">
        <f aca="false">M959/H958</f>
        <v>200</v>
      </c>
      <c r="O959" s="545" t="s">
        <v>729</v>
      </c>
      <c r="P959" s="2000"/>
      <c r="Q959" s="2000"/>
      <c r="R959" s="2005"/>
    </row>
    <row r="960" customFormat="false" ht="14.25" hidden="false" customHeight="false" outlineLevel="0" collapsed="false">
      <c r="A960" s="1344"/>
      <c r="B960" s="903"/>
      <c r="C960" s="1974"/>
      <c r="D960" s="1478" t="s">
        <v>5</v>
      </c>
      <c r="E960" s="1478" t="s">
        <v>1651</v>
      </c>
      <c r="F960" s="904"/>
      <c r="G960" s="2012"/>
      <c r="H960" s="942"/>
      <c r="I960" s="942"/>
      <c r="J960" s="1406"/>
      <c r="K960" s="948"/>
      <c r="L960" s="1587" t="n">
        <v>9091.65</v>
      </c>
      <c r="M960" s="877" t="n">
        <v>300</v>
      </c>
      <c r="N960" s="866" t="n">
        <f aca="false">M960/H958</f>
        <v>20</v>
      </c>
      <c r="O960" s="584" t="s">
        <v>898</v>
      </c>
      <c r="P960" s="2000"/>
      <c r="Q960" s="2000"/>
      <c r="R960" s="2005"/>
    </row>
    <row r="961" customFormat="false" ht="14.25" hidden="false" customHeight="false" outlineLevel="0" collapsed="false">
      <c r="A961" s="1344"/>
      <c r="B961" s="903"/>
      <c r="C961" s="1974"/>
      <c r="D961" s="1478" t="s">
        <v>5</v>
      </c>
      <c r="E961" s="1478" t="s">
        <v>1651</v>
      </c>
      <c r="F961" s="904"/>
      <c r="G961" s="2012"/>
      <c r="H961" s="942"/>
      <c r="I961" s="942"/>
      <c r="J961" s="1406"/>
      <c r="K961" s="948"/>
      <c r="L961" s="1587" t="n">
        <v>6364.155</v>
      </c>
      <c r="M961" s="877" t="n">
        <v>210</v>
      </c>
      <c r="N961" s="866" t="n">
        <f aca="false">M961/H958</f>
        <v>14</v>
      </c>
      <c r="O961" s="584" t="s">
        <v>3438</v>
      </c>
      <c r="P961" s="2000"/>
      <c r="Q961" s="2000"/>
      <c r="R961" s="2005"/>
    </row>
    <row r="962" customFormat="false" ht="14.25" hidden="false" customHeight="false" outlineLevel="0" collapsed="false">
      <c r="A962" s="1344"/>
      <c r="B962" s="903"/>
      <c r="C962" s="1974"/>
      <c r="D962" s="1478" t="s">
        <v>5</v>
      </c>
      <c r="E962" s="1478" t="s">
        <v>1651</v>
      </c>
      <c r="F962" s="904"/>
      <c r="G962" s="2012"/>
      <c r="H962" s="942"/>
      <c r="I962" s="942"/>
      <c r="J962" s="1406"/>
      <c r="K962" s="948"/>
      <c r="L962" s="1587" t="n">
        <v>30457.0275</v>
      </c>
      <c r="M962" s="877" t="n">
        <v>1005</v>
      </c>
      <c r="N962" s="866" t="n">
        <f aca="false">M962/H958</f>
        <v>67</v>
      </c>
      <c r="O962" s="584" t="s">
        <v>904</v>
      </c>
      <c r="P962" s="2000"/>
      <c r="Q962" s="2000"/>
      <c r="R962" s="2005"/>
    </row>
    <row r="963" customFormat="false" ht="14.25" hidden="false" customHeight="false" outlineLevel="0" collapsed="false">
      <c r="A963" s="1344"/>
      <c r="B963" s="903"/>
      <c r="C963" s="1974"/>
      <c r="D963" s="1478" t="s">
        <v>5</v>
      </c>
      <c r="E963" s="1478" t="s">
        <v>1651</v>
      </c>
      <c r="F963" s="904"/>
      <c r="G963" s="2012"/>
      <c r="H963" s="942"/>
      <c r="I963" s="942"/>
      <c r="J963" s="1406"/>
      <c r="K963" s="948"/>
      <c r="L963" s="1587" t="n">
        <v>53186.1525</v>
      </c>
      <c r="M963" s="877" t="n">
        <v>1755</v>
      </c>
      <c r="N963" s="877" t="n">
        <f aca="false">M963/H958</f>
        <v>117</v>
      </c>
      <c r="O963" s="584" t="s">
        <v>3460</v>
      </c>
      <c r="P963" s="2000"/>
      <c r="Q963" s="2000"/>
      <c r="R963" s="2005"/>
    </row>
    <row r="964" customFormat="false" ht="14.25" hidden="false" customHeight="false" outlineLevel="0" collapsed="false">
      <c r="A964" s="1027" t="n">
        <v>626</v>
      </c>
      <c r="B964" s="1546" t="n">
        <v>2024</v>
      </c>
      <c r="C964" s="1975" t="n">
        <v>45992</v>
      </c>
      <c r="D964" s="1365" t="s">
        <v>5</v>
      </c>
      <c r="E964" s="1365" t="s">
        <v>1651</v>
      </c>
      <c r="F964" s="1328" t="s">
        <v>3364</v>
      </c>
      <c r="G964" s="2011" t="n">
        <v>666</v>
      </c>
      <c r="H964" s="1036" t="n">
        <v>15</v>
      </c>
      <c r="I964" s="1036" t="n">
        <f aca="false">G964*H964</f>
        <v>9990</v>
      </c>
      <c r="J964" s="1557" t="n">
        <v>30.3055</v>
      </c>
      <c r="K964" s="1547" t="n">
        <f aca="false">I964*J964</f>
        <v>302751.945</v>
      </c>
      <c r="L964" s="1369" t="n">
        <v>44549.085</v>
      </c>
      <c r="M964" s="840" t="n">
        <v>1470</v>
      </c>
      <c r="N964" s="886" t="n">
        <f aca="false">M964/H964</f>
        <v>98</v>
      </c>
      <c r="O964" s="578" t="s">
        <v>873</v>
      </c>
      <c r="P964" s="1984" t="n">
        <f aca="false">K964-L964-L966-L965</f>
        <v>0</v>
      </c>
      <c r="Q964" s="1978" t="n">
        <f aca="false">I964-M964-M966-M965</f>
        <v>0</v>
      </c>
      <c r="R964" s="1979" t="n">
        <f aca="false">G964-N964-N966-N965</f>
        <v>0</v>
      </c>
    </row>
    <row r="965" customFormat="false" ht="14.25" hidden="false" customHeight="false" outlineLevel="0" collapsed="false">
      <c r="A965" s="1027"/>
      <c r="B965" s="1546"/>
      <c r="C965" s="1975"/>
      <c r="D965" s="1351" t="s">
        <v>5</v>
      </c>
      <c r="E965" s="1480" t="s">
        <v>1651</v>
      </c>
      <c r="F965" s="1328"/>
      <c r="G965" s="2011"/>
      <c r="H965" s="1036"/>
      <c r="I965" s="1036"/>
      <c r="J965" s="1557"/>
      <c r="K965" s="1547"/>
      <c r="L965" s="1355" t="n">
        <v>227291.25</v>
      </c>
      <c r="M965" s="891" t="n">
        <v>7500</v>
      </c>
      <c r="N965" s="866" t="n">
        <f aca="false">M965/H964</f>
        <v>500</v>
      </c>
      <c r="O965" s="1943" t="s">
        <v>871</v>
      </c>
      <c r="P965" s="1984"/>
      <c r="Q965" s="1978"/>
      <c r="R965" s="1979"/>
    </row>
    <row r="966" customFormat="false" ht="14.25" hidden="false" customHeight="false" outlineLevel="0" collapsed="false">
      <c r="A966" s="1027"/>
      <c r="B966" s="1546"/>
      <c r="C966" s="1975"/>
      <c r="D966" s="1478" t="s">
        <v>5</v>
      </c>
      <c r="E966" s="1478" t="s">
        <v>1651</v>
      </c>
      <c r="F966" s="1328"/>
      <c r="G966" s="2011"/>
      <c r="H966" s="1036"/>
      <c r="I966" s="1036"/>
      <c r="J966" s="1557"/>
      <c r="K966" s="1547"/>
      <c r="L966" s="1587" t="n">
        <v>30911.61</v>
      </c>
      <c r="M966" s="877" t="n">
        <v>1020</v>
      </c>
      <c r="N966" s="877" t="n">
        <f aca="false">M966/H964</f>
        <v>68</v>
      </c>
      <c r="O966" s="584" t="s">
        <v>872</v>
      </c>
      <c r="P966" s="1984"/>
      <c r="Q966" s="1978"/>
      <c r="R966" s="1979"/>
    </row>
    <row r="967" customFormat="false" ht="14.25" hidden="false" customHeight="false" outlineLevel="0" collapsed="false">
      <c r="A967" s="882" t="n">
        <v>627</v>
      </c>
      <c r="B967" s="830" t="n">
        <v>2024</v>
      </c>
      <c r="C967" s="1965" t="n">
        <v>45992</v>
      </c>
      <c r="D967" s="1365" t="s">
        <v>5</v>
      </c>
      <c r="E967" s="1365" t="s">
        <v>1651</v>
      </c>
      <c r="F967" s="832" t="s">
        <v>3364</v>
      </c>
      <c r="G967" s="2010" t="n">
        <v>368</v>
      </c>
      <c r="H967" s="837" t="n">
        <v>15</v>
      </c>
      <c r="I967" s="837" t="n">
        <f aca="false">G967*H967</f>
        <v>5520</v>
      </c>
      <c r="J967" s="1059" t="n">
        <v>31.7658</v>
      </c>
      <c r="K967" s="943" t="n">
        <f aca="false">I967*J967</f>
        <v>175347.216</v>
      </c>
      <c r="L967" s="1369" t="n">
        <v>72902.511</v>
      </c>
      <c r="M967" s="840" t="n">
        <v>2295</v>
      </c>
      <c r="N967" s="886" t="n">
        <f aca="false">M967/H967</f>
        <v>153</v>
      </c>
      <c r="O967" s="578" t="s">
        <v>572</v>
      </c>
      <c r="P967" s="1934" t="n">
        <f aca="false">K967-L967-L969-L968</f>
        <v>-7.27595761418343E-012</v>
      </c>
      <c r="Q967" s="1934" t="n">
        <f aca="false">I967-M967-M969-M968</f>
        <v>0</v>
      </c>
      <c r="R967" s="1935" t="n">
        <f aca="false">G967-N967-N969-N968</f>
        <v>0</v>
      </c>
    </row>
    <row r="968" customFormat="false" ht="14.25" hidden="false" customHeight="false" outlineLevel="0" collapsed="false">
      <c r="A968" s="882"/>
      <c r="B968" s="830"/>
      <c r="C968" s="1965"/>
      <c r="D968" s="1351" t="s">
        <v>5</v>
      </c>
      <c r="E968" s="1351" t="s">
        <v>1651</v>
      </c>
      <c r="F968" s="832"/>
      <c r="G968" s="2010"/>
      <c r="H968" s="837"/>
      <c r="I968" s="837"/>
      <c r="J968" s="1059"/>
      <c r="K968" s="943"/>
      <c r="L968" s="1355" t="n">
        <v>7147.305</v>
      </c>
      <c r="M968" s="891" t="n">
        <v>225</v>
      </c>
      <c r="N968" s="866" t="n">
        <f aca="false">M968/H967</f>
        <v>15</v>
      </c>
      <c r="O968" s="1943" t="s">
        <v>868</v>
      </c>
      <c r="P968" s="1934"/>
      <c r="Q968" s="1934"/>
      <c r="R968" s="1935"/>
    </row>
    <row r="969" customFormat="false" ht="14.25" hidden="false" customHeight="false" outlineLevel="0" collapsed="false">
      <c r="A969" s="882"/>
      <c r="B969" s="830"/>
      <c r="C969" s="1965"/>
      <c r="D969" s="1357" t="s">
        <v>5</v>
      </c>
      <c r="E969" s="1357" t="s">
        <v>1651</v>
      </c>
      <c r="F969" s="832"/>
      <c r="G969" s="2010"/>
      <c r="H969" s="837"/>
      <c r="I969" s="837"/>
      <c r="J969" s="1059"/>
      <c r="K969" s="943"/>
      <c r="L969" s="1362" t="n">
        <v>95297.4</v>
      </c>
      <c r="M969" s="846" t="n">
        <v>3000</v>
      </c>
      <c r="N969" s="846" t="n">
        <f aca="false">M969/H967</f>
        <v>200</v>
      </c>
      <c r="O969" s="1936" t="s">
        <v>404</v>
      </c>
      <c r="P969" s="1934"/>
      <c r="Q969" s="1934"/>
      <c r="R969" s="1935"/>
    </row>
    <row r="970" customFormat="false" ht="14.25" hidden="false" customHeight="false" outlineLevel="0" collapsed="false">
      <c r="A970" s="903" t="n">
        <v>656</v>
      </c>
      <c r="B970" s="903" t="n">
        <v>2024</v>
      </c>
      <c r="C970" s="1974" t="n">
        <v>45992</v>
      </c>
      <c r="D970" s="1351" t="s">
        <v>5</v>
      </c>
      <c r="E970" s="1351" t="s">
        <v>2619</v>
      </c>
      <c r="F970" s="904" t="s">
        <v>3364</v>
      </c>
      <c r="G970" s="2012" t="n">
        <v>10</v>
      </c>
      <c r="H970" s="942" t="n">
        <v>30</v>
      </c>
      <c r="I970" s="1355" t="n">
        <f aca="false">G970*H970</f>
        <v>300</v>
      </c>
      <c r="J970" s="1406" t="n">
        <v>92.5</v>
      </c>
      <c r="K970" s="1942" t="n">
        <f aca="false">I970*J970</f>
        <v>27750</v>
      </c>
      <c r="L970" s="1355" t="n">
        <v>27750</v>
      </c>
      <c r="M970" s="891" t="n">
        <v>300</v>
      </c>
      <c r="N970" s="886" t="n">
        <f aca="false">M970/H970</f>
        <v>10</v>
      </c>
      <c r="O970" s="1943" t="s">
        <v>934</v>
      </c>
      <c r="P970" s="1947" t="n">
        <f aca="false">K970-L970</f>
        <v>0</v>
      </c>
      <c r="Q970" s="1945" t="n">
        <f aca="false">I970-M970</f>
        <v>0</v>
      </c>
      <c r="R970" s="2000" t="n">
        <f aca="false">G970-N970</f>
        <v>0</v>
      </c>
    </row>
    <row r="971" customFormat="false" ht="14.25" hidden="false" customHeight="false" outlineLevel="0" collapsed="false">
      <c r="A971" s="882" t="n">
        <v>657</v>
      </c>
      <c r="B971" s="830" t="n">
        <v>2024</v>
      </c>
      <c r="C971" s="1965" t="n">
        <v>45992</v>
      </c>
      <c r="D971" s="1365" t="s">
        <v>5</v>
      </c>
      <c r="E971" s="1365" t="s">
        <v>1651</v>
      </c>
      <c r="F971" s="832" t="s">
        <v>3375</v>
      </c>
      <c r="G971" s="2010" t="n">
        <v>262</v>
      </c>
      <c r="H971" s="837" t="n">
        <v>15</v>
      </c>
      <c r="I971" s="837" t="n">
        <f aca="false">G971*H971</f>
        <v>3930</v>
      </c>
      <c r="J971" s="1059" t="n">
        <v>28.1595</v>
      </c>
      <c r="K971" s="943" t="n">
        <f aca="false">I971*J971</f>
        <v>110666.835</v>
      </c>
      <c r="L971" s="1369" t="n">
        <v>70961.94</v>
      </c>
      <c r="M971" s="840" t="n">
        <v>2520</v>
      </c>
      <c r="N971" s="886" t="n">
        <f aca="false">M971/H971</f>
        <v>168</v>
      </c>
      <c r="O971" s="578" t="s">
        <v>3438</v>
      </c>
      <c r="P971" s="1948" t="n">
        <f aca="false">K971-L971-L973-L972</f>
        <v>0</v>
      </c>
      <c r="Q971" s="1934" t="n">
        <f aca="false">I971-M971-M973-M972</f>
        <v>0</v>
      </c>
      <c r="R971" s="1935" t="n">
        <f aca="false">G971-N971-N973-N972</f>
        <v>0</v>
      </c>
    </row>
    <row r="972" customFormat="false" ht="14.25" hidden="false" customHeight="false" outlineLevel="0" collapsed="false">
      <c r="A972" s="882"/>
      <c r="B972" s="830"/>
      <c r="C972" s="1965"/>
      <c r="D972" s="1351" t="s">
        <v>5</v>
      </c>
      <c r="E972" s="1351" t="s">
        <v>1651</v>
      </c>
      <c r="F972" s="832"/>
      <c r="G972" s="2010"/>
      <c r="H972" s="837"/>
      <c r="I972" s="837"/>
      <c r="J972" s="1059"/>
      <c r="K972" s="943"/>
      <c r="L972" s="1355" t="n">
        <v>11404.5975</v>
      </c>
      <c r="M972" s="891" t="n">
        <v>405</v>
      </c>
      <c r="N972" s="866" t="n">
        <f aca="false">M972/H971</f>
        <v>27</v>
      </c>
      <c r="O972" s="1943" t="s">
        <v>1111</v>
      </c>
      <c r="P972" s="1948"/>
      <c r="Q972" s="1934"/>
      <c r="R972" s="1935"/>
    </row>
    <row r="973" customFormat="false" ht="14.25" hidden="false" customHeight="false" outlineLevel="0" collapsed="false">
      <c r="A973" s="882"/>
      <c r="B973" s="830"/>
      <c r="C973" s="1965"/>
      <c r="D973" s="1357" t="s">
        <v>5</v>
      </c>
      <c r="E973" s="1357" t="s">
        <v>1651</v>
      </c>
      <c r="F973" s="832"/>
      <c r="G973" s="2010"/>
      <c r="H973" s="837"/>
      <c r="I973" s="837"/>
      <c r="J973" s="1059"/>
      <c r="K973" s="943"/>
      <c r="L973" s="1362" t="n">
        <v>28300.2975</v>
      </c>
      <c r="M973" s="846" t="n">
        <v>1005</v>
      </c>
      <c r="N973" s="846" t="n">
        <f aca="false">M973/H971</f>
        <v>67</v>
      </c>
      <c r="O973" s="1936" t="s">
        <v>3438</v>
      </c>
      <c r="P973" s="1948"/>
      <c r="Q973" s="1934"/>
      <c r="R973" s="1935"/>
    </row>
    <row r="974" customFormat="false" ht="14.25" hidden="false" customHeight="false" outlineLevel="0" collapsed="false">
      <c r="A974" s="1087" t="n">
        <v>658</v>
      </c>
      <c r="B974" s="1072" t="n">
        <v>2024</v>
      </c>
      <c r="C974" s="1980" t="n">
        <v>45992</v>
      </c>
      <c r="D974" s="1479" t="s">
        <v>5</v>
      </c>
      <c r="E974" s="1479" t="s">
        <v>1651</v>
      </c>
      <c r="F974" s="887" t="s">
        <v>3364</v>
      </c>
      <c r="G974" s="2017" t="n">
        <v>666</v>
      </c>
      <c r="H974" s="1067" t="n">
        <v>15</v>
      </c>
      <c r="I974" s="1067" t="n">
        <f aca="false">G974*H974</f>
        <v>9990</v>
      </c>
      <c r="J974" s="1063" t="n">
        <v>28.1595</v>
      </c>
      <c r="K974" s="1452" t="n">
        <f aca="false">I974*J974</f>
        <v>281313.405</v>
      </c>
      <c r="L974" s="1380" t="n">
        <v>84478.5</v>
      </c>
      <c r="M974" s="854" t="n">
        <v>3000</v>
      </c>
      <c r="N974" s="891" t="n">
        <f aca="false">M974/H974</f>
        <v>200</v>
      </c>
      <c r="O974" s="580" t="s">
        <v>919</v>
      </c>
      <c r="P974" s="1952" t="n">
        <f aca="false">K974-L974-L976-L975</f>
        <v>0</v>
      </c>
      <c r="Q974" s="1953" t="n">
        <f aca="false">I974-M974-M976-M975</f>
        <v>0</v>
      </c>
      <c r="R974" s="1954" t="n">
        <f aca="false">G974-N974-N976-N975</f>
        <v>0</v>
      </c>
    </row>
    <row r="975" customFormat="false" ht="14.25" hidden="false" customHeight="false" outlineLevel="0" collapsed="false">
      <c r="A975" s="1087"/>
      <c r="B975" s="1072"/>
      <c r="C975" s="1980"/>
      <c r="D975" s="1351" t="s">
        <v>5</v>
      </c>
      <c r="E975" s="1351" t="s">
        <v>1651</v>
      </c>
      <c r="F975" s="887"/>
      <c r="G975" s="2017"/>
      <c r="H975" s="1067"/>
      <c r="I975" s="1067"/>
      <c r="J975" s="1063"/>
      <c r="K975" s="1452"/>
      <c r="L975" s="1355" t="n">
        <v>55755.81</v>
      </c>
      <c r="M975" s="891" t="n">
        <v>1980</v>
      </c>
      <c r="N975" s="866" t="n">
        <f aca="false">M975/H974</f>
        <v>132</v>
      </c>
      <c r="O975" s="1943" t="s">
        <v>572</v>
      </c>
      <c r="P975" s="1952"/>
      <c r="Q975" s="1953"/>
      <c r="R975" s="1954"/>
    </row>
    <row r="976" customFormat="false" ht="14.25" hidden="false" customHeight="false" outlineLevel="0" collapsed="false">
      <c r="A976" s="1087"/>
      <c r="B976" s="1072"/>
      <c r="C976" s="1980"/>
      <c r="D976" s="1357" t="s">
        <v>5</v>
      </c>
      <c r="E976" s="1357" t="s">
        <v>1651</v>
      </c>
      <c r="F976" s="887"/>
      <c r="G976" s="2017"/>
      <c r="H976" s="1067"/>
      <c r="I976" s="1067"/>
      <c r="J976" s="1063"/>
      <c r="K976" s="1452"/>
      <c r="L976" s="1362" t="n">
        <v>141079.095</v>
      </c>
      <c r="M976" s="846" t="n">
        <v>5010</v>
      </c>
      <c r="N976" s="846" t="n">
        <f aca="false">M976/H974</f>
        <v>334</v>
      </c>
      <c r="O976" s="1936" t="s">
        <v>847</v>
      </c>
      <c r="P976" s="1952"/>
      <c r="Q976" s="1953"/>
      <c r="R976" s="1954"/>
    </row>
    <row r="977" customFormat="false" ht="14.25" hidden="false" customHeight="false" outlineLevel="0" collapsed="false">
      <c r="A977" s="1027" t="n">
        <v>659</v>
      </c>
      <c r="B977" s="1546" t="n">
        <v>2024</v>
      </c>
      <c r="C977" s="1975" t="n">
        <v>45992</v>
      </c>
      <c r="D977" s="1365" t="s">
        <v>5</v>
      </c>
      <c r="E977" s="1365" t="s">
        <v>1651</v>
      </c>
      <c r="F977" s="1328" t="s">
        <v>3364</v>
      </c>
      <c r="G977" s="2011" t="n">
        <v>366</v>
      </c>
      <c r="H977" s="1036" t="n">
        <v>15</v>
      </c>
      <c r="I977" s="1036" t="n">
        <f aca="false">G977*H977</f>
        <v>5490</v>
      </c>
      <c r="J977" s="1557" t="n">
        <v>28.1595</v>
      </c>
      <c r="K977" s="1547" t="n">
        <f aca="false">I977*J977</f>
        <v>154595.655</v>
      </c>
      <c r="L977" s="1665" t="n">
        <v>28722.69</v>
      </c>
      <c r="M977" s="886" t="n">
        <v>1020</v>
      </c>
      <c r="N977" s="886" t="n">
        <f aca="false">M977/H977</f>
        <v>68</v>
      </c>
      <c r="O977" s="1595" t="s">
        <v>572</v>
      </c>
      <c r="P977" s="1984" t="n">
        <f aca="false">K977-L977-L979-L978</f>
        <v>0</v>
      </c>
      <c r="Q977" s="1978" t="n">
        <f aca="false">I977-M977-M979-M978</f>
        <v>0</v>
      </c>
      <c r="R977" s="1979" t="n">
        <f aca="false">G977-N977-N979-N978</f>
        <v>0</v>
      </c>
    </row>
    <row r="978" customFormat="false" ht="14.25" hidden="false" customHeight="false" outlineLevel="0" collapsed="false">
      <c r="A978" s="1027"/>
      <c r="B978" s="1546"/>
      <c r="C978" s="1975"/>
      <c r="D978" s="1480" t="s">
        <v>5</v>
      </c>
      <c r="E978" s="1480" t="s">
        <v>1651</v>
      </c>
      <c r="F978" s="1328"/>
      <c r="G978" s="2011"/>
      <c r="H978" s="1036"/>
      <c r="I978" s="1036"/>
      <c r="J978" s="1557"/>
      <c r="K978" s="1547"/>
      <c r="L978" s="1521" t="n">
        <v>13094.1675</v>
      </c>
      <c r="M978" s="866" t="n">
        <v>465</v>
      </c>
      <c r="N978" s="866" t="n">
        <f aca="false">M978/H977</f>
        <v>31</v>
      </c>
      <c r="O978" s="545" t="s">
        <v>404</v>
      </c>
      <c r="P978" s="1984"/>
      <c r="Q978" s="1978"/>
      <c r="R978" s="1979"/>
    </row>
    <row r="979" customFormat="false" ht="14.25" hidden="false" customHeight="false" outlineLevel="0" collapsed="false">
      <c r="A979" s="1027"/>
      <c r="B979" s="1546"/>
      <c r="C979" s="1975"/>
      <c r="D979" s="1351" t="s">
        <v>5</v>
      </c>
      <c r="E979" s="1351" t="s">
        <v>1651</v>
      </c>
      <c r="F979" s="1328"/>
      <c r="G979" s="2011"/>
      <c r="H979" s="1036"/>
      <c r="I979" s="1036"/>
      <c r="J979" s="1557"/>
      <c r="K979" s="1547"/>
      <c r="L979" s="1355" t="n">
        <v>112778.7975</v>
      </c>
      <c r="M979" s="891" t="n">
        <v>4005</v>
      </c>
      <c r="N979" s="891" t="n">
        <f aca="false">M979/H977</f>
        <v>267</v>
      </c>
      <c r="O979" s="1943" t="s">
        <v>920</v>
      </c>
      <c r="P979" s="1984"/>
      <c r="Q979" s="1978"/>
      <c r="R979" s="1979"/>
    </row>
    <row r="980" customFormat="false" ht="14.25" hidden="false" customHeight="false" outlineLevel="0" collapsed="false">
      <c r="A980" s="882" t="n">
        <v>660</v>
      </c>
      <c r="B980" s="830" t="n">
        <v>2024</v>
      </c>
      <c r="C980" s="1965" t="n">
        <v>45992</v>
      </c>
      <c r="D980" s="1365" t="s">
        <v>5</v>
      </c>
      <c r="E980" s="1365" t="s">
        <v>1651</v>
      </c>
      <c r="F980" s="832" t="s">
        <v>3367</v>
      </c>
      <c r="G980" s="2010" t="n">
        <v>1000</v>
      </c>
      <c r="H980" s="837" t="n">
        <v>10</v>
      </c>
      <c r="I980" s="837" t="n">
        <f aca="false">G980*H980</f>
        <v>10000</v>
      </c>
      <c r="J980" s="1059" t="n">
        <v>28.1595</v>
      </c>
      <c r="K980" s="943" t="n">
        <f aca="false">I980*J980</f>
        <v>281595</v>
      </c>
      <c r="L980" s="1369" t="n">
        <v>281595</v>
      </c>
      <c r="M980" s="840" t="n">
        <v>10000</v>
      </c>
      <c r="N980" s="886" t="n">
        <f aca="false">M980/H980</f>
        <v>1000</v>
      </c>
      <c r="O980" s="578" t="s">
        <v>923</v>
      </c>
      <c r="P980" s="1948" t="n">
        <f aca="false">K980-L980-L982-L981</f>
        <v>0</v>
      </c>
      <c r="Q980" s="1934" t="n">
        <f aca="false">I980-M980-M982-M981</f>
        <v>0</v>
      </c>
      <c r="R980" s="1935" t="n">
        <f aca="false">G980-N980-N982-N981</f>
        <v>0</v>
      </c>
    </row>
    <row r="981" customFormat="false" ht="14.25" hidden="false" customHeight="false" outlineLevel="0" collapsed="false">
      <c r="A981" s="882"/>
      <c r="B981" s="830"/>
      <c r="C981" s="1965"/>
      <c r="D981" s="1351" t="s">
        <v>5</v>
      </c>
      <c r="E981" s="1351" t="s">
        <v>1651</v>
      </c>
      <c r="F981" s="832"/>
      <c r="G981" s="2010"/>
      <c r="H981" s="837"/>
      <c r="I981" s="837"/>
      <c r="J981" s="1059"/>
      <c r="K981" s="943"/>
      <c r="L981" s="1355" t="n">
        <v>563.19</v>
      </c>
      <c r="M981" s="891" t="n">
        <v>20</v>
      </c>
      <c r="N981" s="866" t="n">
        <f aca="false">M981/H980</f>
        <v>2</v>
      </c>
      <c r="O981" s="1943" t="s">
        <v>1375</v>
      </c>
      <c r="P981" s="1948"/>
      <c r="Q981" s="1934"/>
      <c r="R981" s="1935"/>
    </row>
    <row r="982" customFormat="false" ht="14.25" hidden="false" customHeight="false" outlineLevel="0" collapsed="false">
      <c r="A982" s="882"/>
      <c r="B982" s="830"/>
      <c r="C982" s="1965"/>
      <c r="D982" s="1357" t="s">
        <v>5</v>
      </c>
      <c r="E982" s="1357" t="s">
        <v>1651</v>
      </c>
      <c r="F982" s="832"/>
      <c r="G982" s="2010"/>
      <c r="H982" s="837"/>
      <c r="I982" s="837"/>
      <c r="J982" s="1059"/>
      <c r="K982" s="943"/>
      <c r="L982" s="1362" t="n">
        <v>-563.19</v>
      </c>
      <c r="M982" s="846" t="n">
        <v>-20</v>
      </c>
      <c r="N982" s="846" t="n">
        <f aca="false">M982/H980</f>
        <v>-2</v>
      </c>
      <c r="O982" s="1936" t="s">
        <v>1634</v>
      </c>
      <c r="P982" s="1948"/>
      <c r="Q982" s="1934"/>
      <c r="R982" s="1935"/>
    </row>
    <row r="983" customFormat="false" ht="14.25" hidden="false" customHeight="false" outlineLevel="0" collapsed="false">
      <c r="A983" s="1087" t="n">
        <v>661</v>
      </c>
      <c r="B983" s="1072" t="n">
        <v>2024</v>
      </c>
      <c r="C983" s="1980" t="n">
        <v>45992</v>
      </c>
      <c r="D983" s="1479" t="s">
        <v>5</v>
      </c>
      <c r="E983" s="1479" t="s">
        <v>1651</v>
      </c>
      <c r="F983" s="887" t="s">
        <v>3367</v>
      </c>
      <c r="G983" s="2017" t="n">
        <v>1000</v>
      </c>
      <c r="H983" s="1067" t="n">
        <v>10</v>
      </c>
      <c r="I983" s="1067" t="n">
        <f aca="false">G983*H983</f>
        <v>10000</v>
      </c>
      <c r="J983" s="1063" t="n">
        <v>28.1595</v>
      </c>
      <c r="K983" s="1452" t="n">
        <f aca="false">I983*J983</f>
        <v>281595</v>
      </c>
      <c r="L983" s="1380" t="n">
        <v>140797.5</v>
      </c>
      <c r="M983" s="854" t="n">
        <v>5000</v>
      </c>
      <c r="N983" s="854" t="n">
        <f aca="false">M983/H983</f>
        <v>500</v>
      </c>
      <c r="O983" s="580" t="s">
        <v>921</v>
      </c>
      <c r="P983" s="1952" t="n">
        <f aca="false">K983-L983-L984</f>
        <v>0</v>
      </c>
      <c r="Q983" s="1953" t="n">
        <f aca="false">I983-M983-M984</f>
        <v>0</v>
      </c>
      <c r="R983" s="1954" t="n">
        <f aca="false">G983-N983-N984</f>
        <v>0</v>
      </c>
    </row>
    <row r="984" customFormat="false" ht="14.25" hidden="false" customHeight="false" outlineLevel="0" collapsed="false">
      <c r="A984" s="1087"/>
      <c r="B984" s="1072"/>
      <c r="C984" s="1980"/>
      <c r="D984" s="1357" t="s">
        <v>5</v>
      </c>
      <c r="E984" s="1357" t="s">
        <v>1651</v>
      </c>
      <c r="F984" s="887"/>
      <c r="G984" s="2017"/>
      <c r="H984" s="1067"/>
      <c r="I984" s="1067"/>
      <c r="J984" s="1063"/>
      <c r="K984" s="1452"/>
      <c r="L984" s="1362" t="n">
        <v>140797.5</v>
      </c>
      <c r="M984" s="846" t="n">
        <v>5000</v>
      </c>
      <c r="N984" s="846" t="n">
        <f aca="false">M984/H983</f>
        <v>500</v>
      </c>
      <c r="O984" s="1936" t="s">
        <v>894</v>
      </c>
      <c r="P984" s="1952"/>
      <c r="Q984" s="1953"/>
      <c r="R984" s="1954"/>
    </row>
    <row r="985" customFormat="false" ht="14.25" hidden="false" customHeight="false" outlineLevel="0" collapsed="false">
      <c r="A985" s="1060" t="n">
        <v>662</v>
      </c>
      <c r="B985" s="1072" t="n">
        <v>2024</v>
      </c>
      <c r="C985" s="1980" t="n">
        <v>45992</v>
      </c>
      <c r="D985" s="1479" t="s">
        <v>5</v>
      </c>
      <c r="E985" s="1479" t="s">
        <v>1651</v>
      </c>
      <c r="F985" s="887" t="s">
        <v>3364</v>
      </c>
      <c r="G985" s="2017" t="n">
        <v>666</v>
      </c>
      <c r="H985" s="1067" t="n">
        <v>15</v>
      </c>
      <c r="I985" s="1067" t="n">
        <f aca="false">G985*H985</f>
        <v>9990</v>
      </c>
      <c r="J985" s="1063" t="n">
        <v>28.1595</v>
      </c>
      <c r="K985" s="1452" t="n">
        <f aca="false">I985*J985</f>
        <v>281313.405</v>
      </c>
      <c r="L985" s="1355" t="n">
        <v>42239.25</v>
      </c>
      <c r="M985" s="891" t="n">
        <v>1500</v>
      </c>
      <c r="N985" s="891" t="n">
        <f aca="false">M985/H985</f>
        <v>100</v>
      </c>
      <c r="O985" s="1943" t="s">
        <v>924</v>
      </c>
      <c r="P985" s="1952" t="n">
        <f aca="false">K985-L985-L988-L987-L986</f>
        <v>0</v>
      </c>
      <c r="Q985" s="1953" t="n">
        <f aca="false">I985-M985-M988-M987-M986</f>
        <v>0</v>
      </c>
      <c r="R985" s="1954" t="n">
        <f aca="false">G985-N985-N988-N987-N986</f>
        <v>0</v>
      </c>
    </row>
    <row r="986" customFormat="false" ht="14.25" hidden="false" customHeight="false" outlineLevel="0" collapsed="false">
      <c r="A986" s="1060"/>
      <c r="B986" s="1072"/>
      <c r="C986" s="1980"/>
      <c r="D986" s="1480" t="s">
        <v>5</v>
      </c>
      <c r="E986" s="1480" t="s">
        <v>1651</v>
      </c>
      <c r="F986" s="887"/>
      <c r="G986" s="2017"/>
      <c r="H986" s="1067"/>
      <c r="I986" s="1067"/>
      <c r="J986" s="1063"/>
      <c r="K986" s="1452"/>
      <c r="L986" s="1521" t="n">
        <v>32946.615</v>
      </c>
      <c r="M986" s="866" t="n">
        <v>1170</v>
      </c>
      <c r="N986" s="866" t="n">
        <f aca="false">M986/H985</f>
        <v>78</v>
      </c>
      <c r="O986" s="545" t="s">
        <v>726</v>
      </c>
      <c r="P986" s="1952"/>
      <c r="Q986" s="1953"/>
      <c r="R986" s="1954"/>
    </row>
    <row r="987" customFormat="false" ht="14.25" hidden="false" customHeight="false" outlineLevel="0" collapsed="false">
      <c r="A987" s="1060"/>
      <c r="B987" s="1072"/>
      <c r="C987" s="1980"/>
      <c r="D987" s="1480" t="s">
        <v>5</v>
      </c>
      <c r="E987" s="1480" t="s">
        <v>1651</v>
      </c>
      <c r="F987" s="887"/>
      <c r="G987" s="2017"/>
      <c r="H987" s="1067"/>
      <c r="I987" s="1067"/>
      <c r="J987" s="1063"/>
      <c r="K987" s="1452"/>
      <c r="L987" s="1521" t="n">
        <v>121649.04</v>
      </c>
      <c r="M987" s="866" t="n">
        <v>4320</v>
      </c>
      <c r="N987" s="866" t="n">
        <f aca="false">M987/H985</f>
        <v>288</v>
      </c>
      <c r="O987" s="545" t="s">
        <v>404</v>
      </c>
      <c r="P987" s="1952"/>
      <c r="Q987" s="1953"/>
      <c r="R987" s="1954"/>
    </row>
    <row r="988" customFormat="false" ht="14.25" hidden="false" customHeight="false" outlineLevel="0" collapsed="false">
      <c r="A988" s="1060"/>
      <c r="B988" s="1072"/>
      <c r="C988" s="1980"/>
      <c r="D988" s="1357" t="s">
        <v>5</v>
      </c>
      <c r="E988" s="1357" t="s">
        <v>1651</v>
      </c>
      <c r="F988" s="887"/>
      <c r="G988" s="2017"/>
      <c r="H988" s="1067"/>
      <c r="I988" s="1067"/>
      <c r="J988" s="1063"/>
      <c r="K988" s="1452"/>
      <c r="L988" s="1362" t="n">
        <v>84478.5</v>
      </c>
      <c r="M988" s="846" t="n">
        <v>3000</v>
      </c>
      <c r="N988" s="846" t="n">
        <f aca="false">M988/H985</f>
        <v>200</v>
      </c>
      <c r="O988" s="1936" t="s">
        <v>727</v>
      </c>
      <c r="P988" s="1952"/>
      <c r="Q988" s="1953"/>
      <c r="R988" s="1954"/>
    </row>
    <row r="989" customFormat="false" ht="14.25" hidden="false" customHeight="false" outlineLevel="0" collapsed="false">
      <c r="A989" s="882" t="n">
        <v>663</v>
      </c>
      <c r="B989" s="830" t="n">
        <v>2024</v>
      </c>
      <c r="C989" s="1965" t="n">
        <v>45992</v>
      </c>
      <c r="D989" s="1365" t="s">
        <v>5</v>
      </c>
      <c r="E989" s="1365" t="s">
        <v>1651</v>
      </c>
      <c r="F989" s="832" t="s">
        <v>3364</v>
      </c>
      <c r="G989" s="2010" t="n">
        <v>628</v>
      </c>
      <c r="H989" s="837" t="n">
        <v>15</v>
      </c>
      <c r="I989" s="837" t="n">
        <f aca="false">G989*H989</f>
        <v>9420</v>
      </c>
      <c r="J989" s="1059" t="n">
        <v>28.1595</v>
      </c>
      <c r="K989" s="943" t="n">
        <f aca="false">I989*J989</f>
        <v>265262.49</v>
      </c>
      <c r="L989" s="1369" t="n">
        <v>136010.385</v>
      </c>
      <c r="M989" s="840" t="n">
        <v>4830</v>
      </c>
      <c r="N989" s="886" t="n">
        <f aca="false">M989/H989</f>
        <v>322</v>
      </c>
      <c r="O989" s="578" t="s">
        <v>925</v>
      </c>
      <c r="P989" s="1934" t="n">
        <f aca="false">K989-L989-L991-L990</f>
        <v>-2.18278728425503E-011</v>
      </c>
      <c r="Q989" s="1934" t="n">
        <f aca="false">I989-M989-M991-M990</f>
        <v>0</v>
      </c>
      <c r="R989" s="1935" t="n">
        <f aca="false">G989-N989-N991-N990</f>
        <v>0</v>
      </c>
    </row>
    <row r="990" customFormat="false" ht="14.25" hidden="false" customHeight="false" outlineLevel="0" collapsed="false">
      <c r="A990" s="882"/>
      <c r="B990" s="830"/>
      <c r="C990" s="1965"/>
      <c r="D990" s="1480" t="s">
        <v>5</v>
      </c>
      <c r="E990" s="1480" t="s">
        <v>1651</v>
      </c>
      <c r="F990" s="832"/>
      <c r="G990" s="2010"/>
      <c r="H990" s="837"/>
      <c r="I990" s="837"/>
      <c r="J990" s="1059"/>
      <c r="K990" s="943"/>
      <c r="L990" s="1521" t="n">
        <v>16050.915</v>
      </c>
      <c r="M990" s="866" t="n">
        <v>570</v>
      </c>
      <c r="N990" s="866" t="n">
        <f aca="false">M990/H989</f>
        <v>38</v>
      </c>
      <c r="O990" s="545" t="s">
        <v>572</v>
      </c>
      <c r="P990" s="1934"/>
      <c r="Q990" s="1934"/>
      <c r="R990" s="1935"/>
    </row>
    <row r="991" customFormat="false" ht="14.25" hidden="false" customHeight="false" outlineLevel="0" collapsed="false">
      <c r="A991" s="882"/>
      <c r="B991" s="830"/>
      <c r="C991" s="1965"/>
      <c r="D991" s="1501" t="s">
        <v>5</v>
      </c>
      <c r="E991" s="1501" t="s">
        <v>1651</v>
      </c>
      <c r="F991" s="832"/>
      <c r="G991" s="2010"/>
      <c r="H991" s="837"/>
      <c r="I991" s="837"/>
      <c r="J991" s="1059"/>
      <c r="K991" s="943"/>
      <c r="L991" s="1381" t="n">
        <v>113201.19</v>
      </c>
      <c r="M991" s="890" t="n">
        <v>4020</v>
      </c>
      <c r="N991" s="890" t="n">
        <f aca="false">M991/H989</f>
        <v>268</v>
      </c>
      <c r="O991" s="1938" t="s">
        <v>926</v>
      </c>
      <c r="P991" s="1934"/>
      <c r="Q991" s="1934"/>
      <c r="R991" s="1935"/>
    </row>
    <row r="992" customFormat="false" ht="14.25" hidden="false" customHeight="false" outlineLevel="0" collapsed="false">
      <c r="A992" s="903" t="n">
        <v>664</v>
      </c>
      <c r="B992" s="903" t="n">
        <v>2024</v>
      </c>
      <c r="C992" s="1974" t="n">
        <v>45992</v>
      </c>
      <c r="D992" s="1351" t="s">
        <v>5</v>
      </c>
      <c r="E992" s="1351" t="s">
        <v>1651</v>
      </c>
      <c r="F992" s="904" t="s">
        <v>3364</v>
      </c>
      <c r="G992" s="2012" t="n">
        <v>120</v>
      </c>
      <c r="H992" s="942" t="n">
        <v>10</v>
      </c>
      <c r="I992" s="1355" t="n">
        <f aca="false">G992*H992</f>
        <v>1200</v>
      </c>
      <c r="J992" s="1406" t="n">
        <v>52.0246</v>
      </c>
      <c r="K992" s="1942" t="n">
        <f aca="false">I992*J992</f>
        <v>62429.52</v>
      </c>
      <c r="L992" s="1355" t="n">
        <v>62429.52</v>
      </c>
      <c r="M992" s="891" t="n">
        <v>1200</v>
      </c>
      <c r="N992" s="886" t="n">
        <f aca="false">M992/H992</f>
        <v>120</v>
      </c>
      <c r="O992" s="1943" t="s">
        <v>996</v>
      </c>
      <c r="P992" s="1947" t="n">
        <f aca="false">K992-L992</f>
        <v>0</v>
      </c>
      <c r="Q992" s="1945" t="n">
        <f aca="false">I992-M992</f>
        <v>0</v>
      </c>
      <c r="R992" s="2000" t="n">
        <f aca="false">G992-N992</f>
        <v>0</v>
      </c>
    </row>
    <row r="993" customFormat="false" ht="14.25" hidden="false" customHeight="false" outlineLevel="0" collapsed="false">
      <c r="A993" s="829" t="n">
        <v>665</v>
      </c>
      <c r="B993" s="830" t="n">
        <v>2024</v>
      </c>
      <c r="C993" s="1965" t="n">
        <v>45992</v>
      </c>
      <c r="D993" s="1607" t="s">
        <v>5</v>
      </c>
      <c r="E993" s="1607" t="s">
        <v>1651</v>
      </c>
      <c r="F993" s="832" t="s">
        <v>3364</v>
      </c>
      <c r="G993" s="2010" t="n">
        <v>666</v>
      </c>
      <c r="H993" s="837" t="n">
        <v>15</v>
      </c>
      <c r="I993" s="837" t="n">
        <f aca="false">G993*H993</f>
        <v>9990</v>
      </c>
      <c r="J993" s="1059" t="n">
        <v>28.8909</v>
      </c>
      <c r="K993" s="943" t="n">
        <f aca="false">I993*J993</f>
        <v>288620.091</v>
      </c>
      <c r="L993" s="1665" t="n">
        <v>42469.623</v>
      </c>
      <c r="M993" s="886" t="n">
        <v>1470</v>
      </c>
      <c r="N993" s="886" t="n">
        <f aca="false">M993/H993</f>
        <v>98</v>
      </c>
      <c r="O993" s="1595" t="s">
        <v>572</v>
      </c>
      <c r="P993" s="1934" t="n">
        <f aca="false">K993-L993-L996-L995-L994</f>
        <v>-3.63797880709171E-011</v>
      </c>
      <c r="Q993" s="1934" t="n">
        <f aca="false">I993-M993-M996-M995-M994</f>
        <v>0</v>
      </c>
      <c r="R993" s="1935" t="n">
        <f aca="false">G993-N993-N996-N995-N994</f>
        <v>0</v>
      </c>
    </row>
    <row r="994" customFormat="false" ht="14.25" hidden="false" customHeight="false" outlineLevel="0" collapsed="false">
      <c r="A994" s="829"/>
      <c r="B994" s="830"/>
      <c r="C994" s="1965"/>
      <c r="D994" s="1480" t="s">
        <v>5</v>
      </c>
      <c r="E994" s="1480" t="s">
        <v>1651</v>
      </c>
      <c r="F994" s="832"/>
      <c r="G994" s="2010"/>
      <c r="H994" s="837"/>
      <c r="I994" s="837"/>
      <c r="J994" s="1059"/>
      <c r="K994" s="943"/>
      <c r="L994" s="1521" t="n">
        <v>29468.718</v>
      </c>
      <c r="M994" s="866" t="n">
        <v>1020</v>
      </c>
      <c r="N994" s="866" t="n">
        <f aca="false">M994/H993</f>
        <v>68</v>
      </c>
      <c r="O994" s="545" t="s">
        <v>1277</v>
      </c>
      <c r="P994" s="1934"/>
      <c r="Q994" s="1934"/>
      <c r="R994" s="1935"/>
    </row>
    <row r="995" customFormat="false" ht="14.25" hidden="false" customHeight="false" outlineLevel="0" collapsed="false">
      <c r="A995" s="829"/>
      <c r="B995" s="830"/>
      <c r="C995" s="1965"/>
      <c r="D995" s="1480" t="s">
        <v>5</v>
      </c>
      <c r="E995" s="1480" t="s">
        <v>1651</v>
      </c>
      <c r="F995" s="832"/>
      <c r="G995" s="2010"/>
      <c r="H995" s="837"/>
      <c r="I995" s="837"/>
      <c r="J995" s="1059"/>
      <c r="K995" s="943"/>
      <c r="L995" s="1521" t="n">
        <v>86672.7</v>
      </c>
      <c r="M995" s="866" t="n">
        <v>3000</v>
      </c>
      <c r="N995" s="866" t="n">
        <f aca="false">M995/H993</f>
        <v>200</v>
      </c>
      <c r="O995" s="545" t="s">
        <v>893</v>
      </c>
      <c r="P995" s="1934"/>
      <c r="Q995" s="1934"/>
      <c r="R995" s="1935"/>
    </row>
    <row r="996" customFormat="false" ht="14.25" hidden="false" customHeight="false" outlineLevel="0" collapsed="false">
      <c r="A996" s="829"/>
      <c r="B996" s="830"/>
      <c r="C996" s="1965"/>
      <c r="D996" s="1357" t="s">
        <v>5</v>
      </c>
      <c r="E996" s="1357" t="s">
        <v>1651</v>
      </c>
      <c r="F996" s="832"/>
      <c r="G996" s="2010"/>
      <c r="H996" s="837"/>
      <c r="I996" s="837"/>
      <c r="J996" s="1059"/>
      <c r="K996" s="943"/>
      <c r="L996" s="1362" t="n">
        <v>130009.05</v>
      </c>
      <c r="M996" s="846" t="n">
        <v>4500</v>
      </c>
      <c r="N996" s="846" t="n">
        <f aca="false">M996/H993</f>
        <v>300</v>
      </c>
      <c r="O996" s="1936" t="s">
        <v>928</v>
      </c>
      <c r="P996" s="1934"/>
      <c r="Q996" s="1934"/>
      <c r="R996" s="1935"/>
    </row>
    <row r="997" customFormat="false" ht="14.25" hidden="false" customHeight="false" outlineLevel="0" collapsed="false">
      <c r="A997" s="903" t="n">
        <v>667</v>
      </c>
      <c r="B997" s="903" t="n">
        <v>2024</v>
      </c>
      <c r="C997" s="1974" t="n">
        <v>45992</v>
      </c>
      <c r="D997" s="1351" t="s">
        <v>5</v>
      </c>
      <c r="E997" s="1351" t="s">
        <v>1651</v>
      </c>
      <c r="F997" s="904" t="s">
        <v>3367</v>
      </c>
      <c r="G997" s="2012" t="n">
        <v>1000</v>
      </c>
      <c r="H997" s="537" t="n">
        <v>10</v>
      </c>
      <c r="I997" s="1380" t="n">
        <f aca="false">G997*H997</f>
        <v>10000</v>
      </c>
      <c r="J997" s="1544" t="n">
        <v>28.8909</v>
      </c>
      <c r="K997" s="1968" t="n">
        <f aca="false">I997*J997</f>
        <v>288909</v>
      </c>
      <c r="L997" s="1380" t="n">
        <v>288909</v>
      </c>
      <c r="M997" s="854" t="n">
        <v>10000</v>
      </c>
      <c r="N997" s="854" t="n">
        <f aca="false">M997/H997</f>
        <v>1000</v>
      </c>
      <c r="O997" s="580"/>
      <c r="P997" s="1983" t="n">
        <f aca="false">K997-L997</f>
        <v>0</v>
      </c>
      <c r="Q997" s="1970" t="n">
        <f aca="false">I997-M997</f>
        <v>0</v>
      </c>
      <c r="R997" s="2027" t="n">
        <f aca="false">G997-N997</f>
        <v>0</v>
      </c>
    </row>
    <row r="998" customFormat="false" ht="14.25" hidden="false" customHeight="false" outlineLevel="0" collapsed="false">
      <c r="A998" s="870" t="n">
        <v>668</v>
      </c>
      <c r="B998" s="1495" t="n">
        <v>2024</v>
      </c>
      <c r="C998" s="1972" t="n">
        <v>45992</v>
      </c>
      <c r="D998" s="1478" t="s">
        <v>5</v>
      </c>
      <c r="E998" s="1478" t="s">
        <v>1651</v>
      </c>
      <c r="F998" s="871" t="s">
        <v>3367</v>
      </c>
      <c r="G998" s="2024" t="n">
        <v>1000</v>
      </c>
      <c r="H998" s="553" t="n">
        <v>10</v>
      </c>
      <c r="I998" s="1587" t="n">
        <f aca="false">G998*H998</f>
        <v>10000</v>
      </c>
      <c r="J998" s="1542" t="n">
        <v>28.8909</v>
      </c>
      <c r="K998" s="1958" t="n">
        <f aca="false">I998*J998</f>
        <v>288909</v>
      </c>
      <c r="L998" s="1587" t="n">
        <v>288909</v>
      </c>
      <c r="M998" s="877" t="n">
        <v>10000</v>
      </c>
      <c r="N998" s="891" t="n">
        <f aca="false">M998/H998</f>
        <v>1000</v>
      </c>
      <c r="O998" s="584"/>
      <c r="P998" s="1959" t="n">
        <f aca="false">K998-L998</f>
        <v>0</v>
      </c>
      <c r="Q998" s="1960" t="n">
        <f aca="false">I998-M998</f>
        <v>0</v>
      </c>
      <c r="R998" s="2029" t="n">
        <f aca="false">G998-N998</f>
        <v>0</v>
      </c>
    </row>
    <row r="999" customFormat="false" ht="14.25" hidden="false" customHeight="false" outlineLevel="0" collapsed="false">
      <c r="A999" s="882" t="n">
        <v>671</v>
      </c>
      <c r="B999" s="830" t="n">
        <v>2024</v>
      </c>
      <c r="C999" s="1965" t="n">
        <v>45992</v>
      </c>
      <c r="D999" s="1607" t="s">
        <v>5</v>
      </c>
      <c r="E999" s="1607" t="s">
        <v>1651</v>
      </c>
      <c r="F999" s="832" t="s">
        <v>3364</v>
      </c>
      <c r="G999" s="2010" t="n">
        <v>666</v>
      </c>
      <c r="H999" s="837" t="n">
        <v>15</v>
      </c>
      <c r="I999" s="837" t="n">
        <f aca="false">G999*H999</f>
        <v>9990</v>
      </c>
      <c r="J999" s="1059" t="n">
        <v>28.8909</v>
      </c>
      <c r="K999" s="943" t="n">
        <f aca="false">I999*J999</f>
        <v>288620.091</v>
      </c>
      <c r="L999" s="1665" t="n">
        <v>35969.1705</v>
      </c>
      <c r="M999" s="886" t="n">
        <v>1245</v>
      </c>
      <c r="N999" s="886" t="n">
        <f aca="false">M999/H999</f>
        <v>83</v>
      </c>
      <c r="O999" s="1595" t="s">
        <v>385</v>
      </c>
      <c r="P999" s="1934" t="n">
        <f aca="false">K999-L999-L1005-L1004-L1000-L1001-L1003-L1002</f>
        <v>-5.45696821063757E-011</v>
      </c>
      <c r="Q999" s="1934" t="n">
        <f aca="false">I999-M999-M1005-M1004-M1000-M1001-M1003-M1002</f>
        <v>0</v>
      </c>
      <c r="R999" s="1935" t="n">
        <f aca="false">G999-N999-N1005-N1004-N1000-N1001-N1003-N1002</f>
        <v>0</v>
      </c>
    </row>
    <row r="1000" customFormat="false" ht="14.25" hidden="false" customHeight="false" outlineLevel="0" collapsed="false">
      <c r="A1000" s="882"/>
      <c r="B1000" s="830"/>
      <c r="C1000" s="1965"/>
      <c r="D1000" s="1480" t="s">
        <v>5</v>
      </c>
      <c r="E1000" s="1480" t="s">
        <v>1651</v>
      </c>
      <c r="F1000" s="832"/>
      <c r="G1000" s="2010"/>
      <c r="H1000" s="837"/>
      <c r="I1000" s="837"/>
      <c r="J1000" s="1059"/>
      <c r="K1000" s="943"/>
      <c r="L1000" s="1521" t="n">
        <v>43336.35</v>
      </c>
      <c r="M1000" s="866" t="n">
        <v>1500</v>
      </c>
      <c r="N1000" s="866" t="n">
        <f aca="false">M1000/H999</f>
        <v>100</v>
      </c>
      <c r="O1000" s="545" t="s">
        <v>945</v>
      </c>
      <c r="P1000" s="1934"/>
      <c r="Q1000" s="1934"/>
      <c r="R1000" s="1935"/>
    </row>
    <row r="1001" customFormat="false" ht="14.25" hidden="false" customHeight="false" outlineLevel="0" collapsed="false">
      <c r="A1001" s="882"/>
      <c r="B1001" s="830"/>
      <c r="C1001" s="1965"/>
      <c r="D1001" s="1480" t="s">
        <v>5</v>
      </c>
      <c r="E1001" s="1480" t="s">
        <v>1651</v>
      </c>
      <c r="F1001" s="832"/>
      <c r="G1001" s="2010"/>
      <c r="H1001" s="837"/>
      <c r="I1001" s="837"/>
      <c r="J1001" s="1059"/>
      <c r="K1001" s="943"/>
      <c r="L1001" s="1521" t="n">
        <v>43336.35</v>
      </c>
      <c r="M1001" s="866" t="n">
        <v>1500</v>
      </c>
      <c r="N1001" s="866" t="n">
        <f aca="false">M1001/H999</f>
        <v>100</v>
      </c>
      <c r="O1001" s="545" t="s">
        <v>946</v>
      </c>
      <c r="P1001" s="1934"/>
      <c r="Q1001" s="1934"/>
      <c r="R1001" s="1935"/>
    </row>
    <row r="1002" customFormat="false" ht="14.25" hidden="false" customHeight="false" outlineLevel="0" collapsed="false">
      <c r="A1002" s="882"/>
      <c r="B1002" s="830"/>
      <c r="C1002" s="1965"/>
      <c r="D1002" s="1480" t="s">
        <v>5</v>
      </c>
      <c r="E1002" s="1480" t="s">
        <v>1651</v>
      </c>
      <c r="F1002" s="832"/>
      <c r="G1002" s="2010"/>
      <c r="H1002" s="837"/>
      <c r="I1002" s="837"/>
      <c r="J1002" s="1059"/>
      <c r="K1002" s="943"/>
      <c r="L1002" s="1521" t="n">
        <v>25135.083</v>
      </c>
      <c r="M1002" s="866" t="n">
        <v>870</v>
      </c>
      <c r="N1002" s="866" t="n">
        <f aca="false">M1002/H999</f>
        <v>58</v>
      </c>
      <c r="O1002" s="545" t="s">
        <v>1634</v>
      </c>
      <c r="P1002" s="1934"/>
      <c r="Q1002" s="1934"/>
      <c r="R1002" s="1935"/>
    </row>
    <row r="1003" customFormat="false" ht="14.25" hidden="false" customHeight="false" outlineLevel="0" collapsed="false">
      <c r="A1003" s="882"/>
      <c r="B1003" s="830"/>
      <c r="C1003" s="1965"/>
      <c r="D1003" s="1480" t="s">
        <v>5</v>
      </c>
      <c r="E1003" s="1480" t="s">
        <v>1651</v>
      </c>
      <c r="F1003" s="832"/>
      <c r="G1003" s="2010"/>
      <c r="H1003" s="837"/>
      <c r="I1003" s="837"/>
      <c r="J1003" s="1059"/>
      <c r="K1003" s="943"/>
      <c r="L1003" s="1521" t="n">
        <v>32502.2625</v>
      </c>
      <c r="M1003" s="866" t="n">
        <v>1125</v>
      </c>
      <c r="N1003" s="866" t="n">
        <f aca="false">M1003/H999</f>
        <v>75</v>
      </c>
      <c r="O1003" s="545" t="s">
        <v>1252</v>
      </c>
      <c r="P1003" s="1934"/>
      <c r="Q1003" s="1934"/>
      <c r="R1003" s="1935"/>
    </row>
    <row r="1004" customFormat="false" ht="14.25" hidden="false" customHeight="false" outlineLevel="0" collapsed="false">
      <c r="A1004" s="882"/>
      <c r="B1004" s="830"/>
      <c r="C1004" s="1965"/>
      <c r="D1004" s="1480" t="s">
        <v>5</v>
      </c>
      <c r="E1004" s="1480" t="s">
        <v>1651</v>
      </c>
      <c r="F1004" s="832"/>
      <c r="G1004" s="2010"/>
      <c r="H1004" s="837"/>
      <c r="I1004" s="837"/>
      <c r="J1004" s="1059"/>
      <c r="K1004" s="943"/>
      <c r="L1004" s="1521" t="n">
        <v>65004.525</v>
      </c>
      <c r="M1004" s="866" t="n">
        <v>2250</v>
      </c>
      <c r="N1004" s="866" t="n">
        <f aca="false">M1004/H999</f>
        <v>150</v>
      </c>
      <c r="O1004" s="545" t="s">
        <v>944</v>
      </c>
      <c r="P1004" s="1934"/>
      <c r="Q1004" s="1934"/>
      <c r="R1004" s="1935"/>
    </row>
    <row r="1005" customFormat="false" ht="14.25" hidden="false" customHeight="false" outlineLevel="0" collapsed="false">
      <c r="A1005" s="882"/>
      <c r="B1005" s="830"/>
      <c r="C1005" s="1965"/>
      <c r="D1005" s="1357" t="s">
        <v>5</v>
      </c>
      <c r="E1005" s="1357" t="s">
        <v>1651</v>
      </c>
      <c r="F1005" s="832"/>
      <c r="G1005" s="2010"/>
      <c r="H1005" s="837"/>
      <c r="I1005" s="837"/>
      <c r="J1005" s="1059"/>
      <c r="K1005" s="943"/>
      <c r="L1005" s="1381" t="n">
        <v>43336.35</v>
      </c>
      <c r="M1005" s="890" t="n">
        <v>1500</v>
      </c>
      <c r="N1005" s="890" t="n">
        <f aca="false">M1005/H999</f>
        <v>100</v>
      </c>
      <c r="O1005" s="1938" t="s">
        <v>943</v>
      </c>
      <c r="P1005" s="1934"/>
      <c r="Q1005" s="1934"/>
      <c r="R1005" s="1935"/>
    </row>
    <row r="1006" customFormat="false" ht="14.25" hidden="false" customHeight="false" outlineLevel="0" collapsed="false">
      <c r="A1006" s="903" t="n">
        <v>672</v>
      </c>
      <c r="B1006" s="903" t="n">
        <v>2024</v>
      </c>
      <c r="C1006" s="1974" t="n">
        <v>45992</v>
      </c>
      <c r="D1006" s="1351" t="s">
        <v>5</v>
      </c>
      <c r="E1006" s="1351" t="s">
        <v>1651</v>
      </c>
      <c r="F1006" s="904" t="s">
        <v>3364</v>
      </c>
      <c r="G1006" s="2012" t="n">
        <v>666</v>
      </c>
      <c r="H1006" s="942" t="n">
        <v>15</v>
      </c>
      <c r="I1006" s="1355" t="n">
        <f aca="false">G1006*H1006</f>
        <v>9990</v>
      </c>
      <c r="J1006" s="1406" t="n">
        <v>28.8909</v>
      </c>
      <c r="K1006" s="1942" t="n">
        <f aca="false">I1006*J1006</f>
        <v>288620.091</v>
      </c>
      <c r="L1006" s="1355" t="n">
        <v>288620.091</v>
      </c>
      <c r="M1006" s="891" t="n">
        <v>9990</v>
      </c>
      <c r="N1006" s="854" t="n">
        <f aca="false">M1006/H1006</f>
        <v>666</v>
      </c>
      <c r="O1006" s="1943" t="s">
        <v>721</v>
      </c>
      <c r="P1006" s="1947" t="n">
        <f aca="false">K1006-L1006</f>
        <v>0</v>
      </c>
      <c r="Q1006" s="1945" t="n">
        <f aca="false">I1006-M1006</f>
        <v>0</v>
      </c>
      <c r="R1006" s="2000" t="n">
        <f aca="false">G1006-N1006</f>
        <v>0</v>
      </c>
    </row>
    <row r="1007" customFormat="false" ht="14.25" hidden="false" customHeight="false" outlineLevel="0" collapsed="false">
      <c r="A1007" s="1465" t="n">
        <v>673</v>
      </c>
      <c r="B1007" s="1546" t="n">
        <v>2024</v>
      </c>
      <c r="C1007" s="1975" t="n">
        <v>45992</v>
      </c>
      <c r="D1007" s="1607" t="s">
        <v>5</v>
      </c>
      <c r="E1007" s="1607" t="s">
        <v>1651</v>
      </c>
      <c r="F1007" s="1328" t="s">
        <v>3364</v>
      </c>
      <c r="G1007" s="2011" t="n">
        <v>666</v>
      </c>
      <c r="H1007" s="1036" t="n">
        <v>15</v>
      </c>
      <c r="I1007" s="1036" t="n">
        <f aca="false">G1007*H1007</f>
        <v>9990</v>
      </c>
      <c r="J1007" s="1557" t="n">
        <v>28.8909</v>
      </c>
      <c r="K1007" s="1547" t="n">
        <f aca="false">I1007*J1007</f>
        <v>288620.091</v>
      </c>
      <c r="L1007" s="1369" t="n">
        <v>71504.9775</v>
      </c>
      <c r="M1007" s="840" t="n">
        <v>2475</v>
      </c>
      <c r="N1007" s="886" t="n">
        <f aca="false">M1007/H1007</f>
        <v>165</v>
      </c>
      <c r="O1007" s="578" t="s">
        <v>572</v>
      </c>
      <c r="P1007" s="1984" t="n">
        <f aca="false">K1007-L1007-L1011-L1008-L1010-L1009</f>
        <v>0</v>
      </c>
      <c r="Q1007" s="1978" t="n">
        <f aca="false">I1007-M1007-M1011-M1008-M1010-M1009</f>
        <v>0</v>
      </c>
      <c r="R1007" s="1979" t="n">
        <f aca="false">G1007-N1007-N1011-N1008-N1010-N1009</f>
        <v>0</v>
      </c>
    </row>
    <row r="1008" customFormat="false" ht="14.25" hidden="false" customHeight="false" outlineLevel="0" collapsed="false">
      <c r="A1008" s="1465"/>
      <c r="B1008" s="1546"/>
      <c r="C1008" s="1975"/>
      <c r="D1008" s="1480" t="s">
        <v>5</v>
      </c>
      <c r="E1008" s="1480" t="s">
        <v>1651</v>
      </c>
      <c r="F1008" s="1328"/>
      <c r="G1008" s="2011"/>
      <c r="H1008" s="1036"/>
      <c r="I1008" s="1036"/>
      <c r="J1008" s="1557"/>
      <c r="K1008" s="1547"/>
      <c r="L1008" s="1521" t="n">
        <v>4766.9985</v>
      </c>
      <c r="M1008" s="866" t="n">
        <v>165</v>
      </c>
      <c r="N1008" s="866" t="n">
        <f aca="false">M1008/H1007</f>
        <v>11</v>
      </c>
      <c r="O1008" s="545" t="s">
        <v>930</v>
      </c>
      <c r="P1008" s="1984"/>
      <c r="Q1008" s="1978"/>
      <c r="R1008" s="1979"/>
    </row>
    <row r="1009" customFormat="false" ht="14.25" hidden="false" customHeight="false" outlineLevel="0" collapsed="false">
      <c r="A1009" s="1465"/>
      <c r="B1009" s="1546"/>
      <c r="C1009" s="1975"/>
      <c r="D1009" s="1478" t="s">
        <v>5</v>
      </c>
      <c r="E1009" s="1478" t="s">
        <v>1651</v>
      </c>
      <c r="F1009" s="1328"/>
      <c r="G1009" s="2011"/>
      <c r="H1009" s="1036"/>
      <c r="I1009" s="1036"/>
      <c r="J1009" s="1557"/>
      <c r="K1009" s="1547"/>
      <c r="L1009" s="1521" t="n">
        <v>30768.8085</v>
      </c>
      <c r="M1009" s="866" t="n">
        <v>1065</v>
      </c>
      <c r="N1009" s="866" t="n">
        <f aca="false">M1009/H1007</f>
        <v>71</v>
      </c>
      <c r="O1009" s="545" t="s">
        <v>385</v>
      </c>
      <c r="P1009" s="1984"/>
      <c r="Q1009" s="1978"/>
      <c r="R1009" s="1979"/>
    </row>
    <row r="1010" customFormat="false" ht="14.25" hidden="false" customHeight="false" outlineLevel="0" collapsed="false">
      <c r="A1010" s="1465"/>
      <c r="B1010" s="1546"/>
      <c r="C1010" s="1975"/>
      <c r="D1010" s="1478" t="s">
        <v>5</v>
      </c>
      <c r="E1010" s="1478" t="s">
        <v>1651</v>
      </c>
      <c r="F1010" s="1328"/>
      <c r="G1010" s="2011"/>
      <c r="H1010" s="1036"/>
      <c r="I1010" s="1036"/>
      <c r="J1010" s="1557"/>
      <c r="K1010" s="1547"/>
      <c r="L1010" s="1521" t="n">
        <v>60237.5265</v>
      </c>
      <c r="M1010" s="866" t="n">
        <v>2085</v>
      </c>
      <c r="N1010" s="866" t="n">
        <f aca="false">M1010/H1007</f>
        <v>139</v>
      </c>
      <c r="O1010" s="545" t="s">
        <v>721</v>
      </c>
      <c r="P1010" s="1984"/>
      <c r="Q1010" s="1978"/>
      <c r="R1010" s="1979"/>
    </row>
    <row r="1011" customFormat="false" ht="14.25" hidden="false" customHeight="false" outlineLevel="0" collapsed="false">
      <c r="A1011" s="1465"/>
      <c r="B1011" s="1546"/>
      <c r="C1011" s="1975"/>
      <c r="D1011" s="1478" t="s">
        <v>5</v>
      </c>
      <c r="E1011" s="1478" t="s">
        <v>1651</v>
      </c>
      <c r="F1011" s="1328"/>
      <c r="G1011" s="2011"/>
      <c r="H1011" s="1036"/>
      <c r="I1011" s="1036"/>
      <c r="J1011" s="1557"/>
      <c r="K1011" s="1547"/>
      <c r="L1011" s="1587" t="n">
        <v>121341.78</v>
      </c>
      <c r="M1011" s="877" t="n">
        <v>4200</v>
      </c>
      <c r="N1011" s="877" t="n">
        <f aca="false">M1011/H1007</f>
        <v>280</v>
      </c>
      <c r="O1011" s="584" t="s">
        <v>3461</v>
      </c>
      <c r="P1011" s="1984"/>
      <c r="Q1011" s="1978"/>
      <c r="R1011" s="1979"/>
    </row>
    <row r="1012" customFormat="false" ht="14.25" hidden="false" customHeight="false" outlineLevel="0" collapsed="false">
      <c r="A1012" s="829" t="n">
        <v>682</v>
      </c>
      <c r="B1012" s="830" t="n">
        <v>2024</v>
      </c>
      <c r="C1012" s="1965" t="n">
        <v>45992</v>
      </c>
      <c r="D1012" s="1365" t="s">
        <v>5</v>
      </c>
      <c r="E1012" s="1365" t="s">
        <v>1651</v>
      </c>
      <c r="F1012" s="832" t="s">
        <v>3364</v>
      </c>
      <c r="G1012" s="2014" t="n">
        <v>405</v>
      </c>
      <c r="H1012" s="837" t="n">
        <v>15</v>
      </c>
      <c r="I1012" s="837" t="n">
        <f aca="false">G1012*H1012</f>
        <v>6075</v>
      </c>
      <c r="J1012" s="1059" t="n">
        <v>28.5104</v>
      </c>
      <c r="K1012" s="943" t="n">
        <f aca="false">I1012*J1012</f>
        <v>173200.68</v>
      </c>
      <c r="L1012" s="1369" t="n">
        <v>85531.2</v>
      </c>
      <c r="M1012" s="840" t="n">
        <v>3000</v>
      </c>
      <c r="N1012" s="886" t="n">
        <f aca="false">M1012/H1012</f>
        <v>200</v>
      </c>
      <c r="O1012" s="578"/>
      <c r="P1012" s="1948" t="n">
        <f aca="false">K1012-L1012-L1021-L1013-L1020-L1014-L1015-L1019-L1018-L1017-L1016</f>
        <v>0</v>
      </c>
      <c r="Q1012" s="1934" t="n">
        <f aca="false">I1012-M1012-M1021-M1013-M1020-M1014-M1015-M1019-M1018-M1017-M1016</f>
        <v>0</v>
      </c>
      <c r="R1012" s="1935" t="n">
        <f aca="false">G1012-N1012-N1021-N1013-N1020-N1014-N1015-N1019-N1018-N1017-N1016</f>
        <v>0</v>
      </c>
    </row>
    <row r="1013" customFormat="false" ht="14.25" hidden="false" customHeight="false" outlineLevel="0" collapsed="false">
      <c r="A1013" s="829"/>
      <c r="B1013" s="830"/>
      <c r="C1013" s="1965"/>
      <c r="D1013" s="1480" t="s">
        <v>5</v>
      </c>
      <c r="E1013" s="1480" t="s">
        <v>1651</v>
      </c>
      <c r="F1013" s="832"/>
      <c r="G1013" s="2014"/>
      <c r="H1013" s="837"/>
      <c r="I1013" s="837"/>
      <c r="J1013" s="1059"/>
      <c r="K1013" s="943"/>
      <c r="L1013" s="1521" t="n">
        <v>2138.28</v>
      </c>
      <c r="M1013" s="866" t="n">
        <v>75</v>
      </c>
      <c r="N1013" s="866" t="n">
        <f aca="false">M1013/H1012</f>
        <v>5</v>
      </c>
      <c r="O1013" s="545" t="s">
        <v>3462</v>
      </c>
      <c r="P1013" s="1948"/>
      <c r="Q1013" s="1934"/>
      <c r="R1013" s="1935"/>
    </row>
    <row r="1014" customFormat="false" ht="14.25" hidden="false" customHeight="false" outlineLevel="0" collapsed="false">
      <c r="A1014" s="829"/>
      <c r="B1014" s="830"/>
      <c r="C1014" s="1965"/>
      <c r="D1014" s="1480" t="s">
        <v>5</v>
      </c>
      <c r="E1014" s="1480" t="s">
        <v>1651</v>
      </c>
      <c r="F1014" s="832"/>
      <c r="G1014" s="2014"/>
      <c r="H1014" s="837"/>
      <c r="I1014" s="837"/>
      <c r="J1014" s="1059"/>
      <c r="K1014" s="943"/>
      <c r="L1014" s="1521" t="n">
        <v>12829.68</v>
      </c>
      <c r="M1014" s="866" t="n">
        <v>450</v>
      </c>
      <c r="N1014" s="866" t="n">
        <f aca="false">M1014/H1012</f>
        <v>30</v>
      </c>
      <c r="O1014" s="545" t="s">
        <v>966</v>
      </c>
      <c r="P1014" s="1948"/>
      <c r="Q1014" s="1934"/>
      <c r="R1014" s="1935"/>
    </row>
    <row r="1015" customFormat="false" ht="14.25" hidden="false" customHeight="false" outlineLevel="0" collapsed="false">
      <c r="A1015" s="829"/>
      <c r="B1015" s="830"/>
      <c r="C1015" s="1965"/>
      <c r="D1015" s="1480" t="s">
        <v>5</v>
      </c>
      <c r="E1015" s="1480" t="s">
        <v>1651</v>
      </c>
      <c r="F1015" s="832"/>
      <c r="G1015" s="2014"/>
      <c r="H1015" s="837"/>
      <c r="I1015" s="837"/>
      <c r="J1015" s="1059"/>
      <c r="K1015" s="943"/>
      <c r="L1015" s="1521" t="n">
        <v>19244.52</v>
      </c>
      <c r="M1015" s="866" t="n">
        <v>675</v>
      </c>
      <c r="N1015" s="866" t="n">
        <f aca="false">M1015/H1012</f>
        <v>45</v>
      </c>
      <c r="O1015" s="545" t="s">
        <v>878</v>
      </c>
      <c r="P1015" s="1948"/>
      <c r="Q1015" s="1934"/>
      <c r="R1015" s="1935"/>
    </row>
    <row r="1016" customFormat="false" ht="14.25" hidden="false" customHeight="false" outlineLevel="0" collapsed="false">
      <c r="A1016" s="829"/>
      <c r="B1016" s="830"/>
      <c r="C1016" s="1965"/>
      <c r="D1016" s="1480" t="s">
        <v>5</v>
      </c>
      <c r="E1016" s="1480" t="s">
        <v>1651</v>
      </c>
      <c r="F1016" s="832"/>
      <c r="G1016" s="2014"/>
      <c r="H1016" s="837"/>
      <c r="I1016" s="837"/>
      <c r="J1016" s="1059"/>
      <c r="K1016" s="943"/>
      <c r="L1016" s="1521" t="n">
        <v>29508.264</v>
      </c>
      <c r="M1016" s="866" t="n">
        <v>1035</v>
      </c>
      <c r="N1016" s="866" t="n">
        <f aca="false">M1016/H1012</f>
        <v>69</v>
      </c>
      <c r="O1016" s="545" t="s">
        <v>1375</v>
      </c>
      <c r="P1016" s="1948"/>
      <c r="Q1016" s="1934"/>
      <c r="R1016" s="1935"/>
    </row>
    <row r="1017" customFormat="false" ht="14.25" hidden="false" customHeight="false" outlineLevel="0" collapsed="false">
      <c r="A1017" s="829"/>
      <c r="B1017" s="830"/>
      <c r="C1017" s="1965"/>
      <c r="D1017" s="1480" t="s">
        <v>5</v>
      </c>
      <c r="E1017" s="1480" t="s">
        <v>1651</v>
      </c>
      <c r="F1017" s="832"/>
      <c r="G1017" s="2014"/>
      <c r="H1017" s="837"/>
      <c r="I1017" s="837"/>
      <c r="J1017" s="1059"/>
      <c r="K1017" s="943"/>
      <c r="L1017" s="1521" t="n">
        <v>-29508.264</v>
      </c>
      <c r="M1017" s="866" t="n">
        <v>-1035</v>
      </c>
      <c r="N1017" s="866" t="n">
        <f aca="false">M1017/H1012</f>
        <v>-69</v>
      </c>
      <c r="O1017" s="545" t="s">
        <v>1634</v>
      </c>
      <c r="P1017" s="1948"/>
      <c r="Q1017" s="1934"/>
      <c r="R1017" s="1935"/>
    </row>
    <row r="1018" customFormat="false" ht="14.25" hidden="false" customHeight="false" outlineLevel="0" collapsed="false">
      <c r="A1018" s="829"/>
      <c r="B1018" s="830"/>
      <c r="C1018" s="1965"/>
      <c r="D1018" s="1480" t="s">
        <v>5</v>
      </c>
      <c r="E1018" s="1480" t="s">
        <v>1651</v>
      </c>
      <c r="F1018" s="832"/>
      <c r="G1018" s="2014"/>
      <c r="H1018" s="837"/>
      <c r="I1018" s="837"/>
      <c r="J1018" s="1059"/>
      <c r="K1018" s="943"/>
      <c r="L1018" s="1521" t="n">
        <v>8553.12</v>
      </c>
      <c r="M1018" s="866" t="n">
        <v>300</v>
      </c>
      <c r="N1018" s="866" t="n">
        <f aca="false">M1018/H1012</f>
        <v>20</v>
      </c>
      <c r="O1018" s="545" t="s">
        <v>973</v>
      </c>
      <c r="P1018" s="1948"/>
      <c r="Q1018" s="1934"/>
      <c r="R1018" s="1935"/>
    </row>
    <row r="1019" customFormat="false" ht="14.25" hidden="false" customHeight="false" outlineLevel="0" collapsed="false">
      <c r="A1019" s="829"/>
      <c r="B1019" s="830"/>
      <c r="C1019" s="1965"/>
      <c r="D1019" s="1480" t="s">
        <v>5</v>
      </c>
      <c r="E1019" s="1480" t="s">
        <v>1651</v>
      </c>
      <c r="F1019" s="832"/>
      <c r="G1019" s="2014"/>
      <c r="H1019" s="837"/>
      <c r="I1019" s="837"/>
      <c r="J1019" s="1059"/>
      <c r="K1019" s="943"/>
      <c r="L1019" s="1521" t="n">
        <v>13684.992</v>
      </c>
      <c r="M1019" s="866" t="n">
        <v>480</v>
      </c>
      <c r="N1019" s="866" t="n">
        <f aca="false">M1019/H1012</f>
        <v>32</v>
      </c>
      <c r="O1019" s="545" t="s">
        <v>970</v>
      </c>
      <c r="P1019" s="1948"/>
      <c r="Q1019" s="1934"/>
      <c r="R1019" s="1935"/>
    </row>
    <row r="1020" customFormat="false" ht="14.25" hidden="false" customHeight="false" outlineLevel="0" collapsed="false">
      <c r="A1020" s="829"/>
      <c r="B1020" s="830"/>
      <c r="C1020" s="1965"/>
      <c r="D1020" s="1480" t="s">
        <v>5</v>
      </c>
      <c r="E1020" s="1480" t="s">
        <v>1651</v>
      </c>
      <c r="F1020" s="832"/>
      <c r="G1020" s="2014"/>
      <c r="H1020" s="837"/>
      <c r="I1020" s="837"/>
      <c r="J1020" s="1059"/>
      <c r="K1020" s="943"/>
      <c r="L1020" s="1521" t="n">
        <v>29508.264</v>
      </c>
      <c r="M1020" s="866" t="n">
        <v>1035</v>
      </c>
      <c r="N1020" s="866" t="n">
        <f aca="false">M1020/H1012</f>
        <v>69</v>
      </c>
      <c r="O1020" s="545" t="s">
        <v>385</v>
      </c>
      <c r="P1020" s="1948"/>
      <c r="Q1020" s="1934"/>
      <c r="R1020" s="1935"/>
    </row>
    <row r="1021" customFormat="false" ht="14.25" hidden="false" customHeight="false" outlineLevel="0" collapsed="false">
      <c r="A1021" s="829"/>
      <c r="B1021" s="830"/>
      <c r="C1021" s="1965"/>
      <c r="D1021" s="1357" t="s">
        <v>5</v>
      </c>
      <c r="E1021" s="1357" t="s">
        <v>1651</v>
      </c>
      <c r="F1021" s="832"/>
      <c r="G1021" s="2014"/>
      <c r="H1021" s="837"/>
      <c r="I1021" s="837"/>
      <c r="J1021" s="1059"/>
      <c r="K1021" s="943"/>
      <c r="L1021" s="1362" t="n">
        <v>1710.624</v>
      </c>
      <c r="M1021" s="846" t="n">
        <v>60</v>
      </c>
      <c r="N1021" s="846" t="n">
        <f aca="false">M1021/H1012</f>
        <v>4</v>
      </c>
      <c r="O1021" s="1936" t="s">
        <v>959</v>
      </c>
      <c r="P1021" s="1948"/>
      <c r="Q1021" s="1934"/>
      <c r="R1021" s="1935"/>
    </row>
    <row r="1022" customFormat="false" ht="14.25" hidden="false" customHeight="false" outlineLevel="0" collapsed="false">
      <c r="A1022" s="903" t="n">
        <v>683</v>
      </c>
      <c r="B1022" s="903" t="n">
        <v>2024</v>
      </c>
      <c r="C1022" s="1974" t="n">
        <v>45992</v>
      </c>
      <c r="D1022" s="1351" t="s">
        <v>5</v>
      </c>
      <c r="E1022" s="1351" t="s">
        <v>1651</v>
      </c>
      <c r="F1022" s="904" t="s">
        <v>3364</v>
      </c>
      <c r="G1022" s="2012" t="n">
        <v>6</v>
      </c>
      <c r="H1022" s="942" t="n">
        <v>30</v>
      </c>
      <c r="I1022" s="1355" t="n">
        <f aca="false">G1022*H1022</f>
        <v>180</v>
      </c>
      <c r="J1022" s="1406" t="n">
        <v>96</v>
      </c>
      <c r="K1022" s="1942" t="n">
        <f aca="false">I1022*J1022</f>
        <v>17280</v>
      </c>
      <c r="L1022" s="1355" t="n">
        <v>17280</v>
      </c>
      <c r="M1022" s="891" t="n">
        <v>180</v>
      </c>
      <c r="N1022" s="840" t="n">
        <f aca="false">M1022/H1022</f>
        <v>6</v>
      </c>
      <c r="O1022" s="1943" t="s">
        <v>1192</v>
      </c>
      <c r="P1022" s="1947" t="n">
        <f aca="false">K1022-L1022</f>
        <v>0</v>
      </c>
      <c r="Q1022" s="1945" t="n">
        <f aca="false">I1022-M1022</f>
        <v>0</v>
      </c>
      <c r="R1022" s="2000" t="n">
        <f aca="false">G1022-N1022</f>
        <v>0</v>
      </c>
    </row>
    <row r="1023" customFormat="false" ht="14.25" hidden="false" customHeight="false" outlineLevel="0" collapsed="false">
      <c r="A1023" s="882" t="n">
        <v>704</v>
      </c>
      <c r="B1023" s="830" t="n">
        <v>2024</v>
      </c>
      <c r="C1023" s="1965" t="n">
        <v>45992</v>
      </c>
      <c r="D1023" s="1607" t="s">
        <v>5</v>
      </c>
      <c r="E1023" s="1607" t="s">
        <v>1651</v>
      </c>
      <c r="F1023" s="832" t="s">
        <v>3364</v>
      </c>
      <c r="G1023" s="2010" t="n">
        <v>53</v>
      </c>
      <c r="H1023" s="837" t="n">
        <v>15</v>
      </c>
      <c r="I1023" s="837" t="n">
        <f aca="false">G1023*H1023</f>
        <v>795</v>
      </c>
      <c r="J1023" s="1059" t="n">
        <v>42.1433</v>
      </c>
      <c r="K1023" s="943" t="n">
        <f aca="false">I1023*J1023</f>
        <v>33503.9235</v>
      </c>
      <c r="L1023" s="1665" t="n">
        <v>17068.0365</v>
      </c>
      <c r="M1023" s="886" t="n">
        <v>405</v>
      </c>
      <c r="N1023" s="886" t="n">
        <f aca="false">M1023/H1023</f>
        <v>27</v>
      </c>
      <c r="O1023" s="1595" t="s">
        <v>957</v>
      </c>
      <c r="P1023" s="1948" t="n">
        <f aca="false">K1023-L1023-L1025-L1024</f>
        <v>0</v>
      </c>
      <c r="Q1023" s="1934" t="n">
        <f aca="false">I1023-M1023-M1025-M1024</f>
        <v>0</v>
      </c>
      <c r="R1023" s="1935" t="n">
        <f aca="false">G1023-N1023-N1025-N1024</f>
        <v>0</v>
      </c>
    </row>
    <row r="1024" customFormat="false" ht="14.25" hidden="false" customHeight="false" outlineLevel="0" collapsed="false">
      <c r="A1024" s="882"/>
      <c r="B1024" s="830"/>
      <c r="C1024" s="1965"/>
      <c r="D1024" s="1480" t="s">
        <v>5</v>
      </c>
      <c r="E1024" s="1480" t="s">
        <v>1651</v>
      </c>
      <c r="F1024" s="832"/>
      <c r="G1024" s="2010"/>
      <c r="H1024" s="837"/>
      <c r="I1024" s="837"/>
      <c r="J1024" s="1059"/>
      <c r="K1024" s="943"/>
      <c r="L1024" s="1521" t="n">
        <v>9482.2425</v>
      </c>
      <c r="M1024" s="866" t="n">
        <v>225</v>
      </c>
      <c r="N1024" s="866" t="n">
        <f aca="false">M1024/H1023</f>
        <v>15</v>
      </c>
      <c r="O1024" s="545" t="s">
        <v>997</v>
      </c>
      <c r="P1024" s="1948"/>
      <c r="Q1024" s="1934"/>
      <c r="R1024" s="1935"/>
    </row>
    <row r="1025" customFormat="false" ht="14.25" hidden="false" customHeight="false" outlineLevel="0" collapsed="false">
      <c r="A1025" s="882"/>
      <c r="B1025" s="830"/>
      <c r="C1025" s="1965"/>
      <c r="D1025" s="1357" t="s">
        <v>5</v>
      </c>
      <c r="E1025" s="1357" t="s">
        <v>1651</v>
      </c>
      <c r="F1025" s="832"/>
      <c r="G1025" s="2010"/>
      <c r="H1025" s="837"/>
      <c r="I1025" s="837"/>
      <c r="J1025" s="1059"/>
      <c r="K1025" s="943"/>
      <c r="L1025" s="1362" t="n">
        <v>6953.6445</v>
      </c>
      <c r="M1025" s="846" t="n">
        <v>165</v>
      </c>
      <c r="N1025" s="846" t="n">
        <f aca="false">M1025/H1023</f>
        <v>11</v>
      </c>
      <c r="O1025" s="1936" t="s">
        <v>907</v>
      </c>
      <c r="P1025" s="1948"/>
      <c r="Q1025" s="1934"/>
      <c r="R1025" s="1935"/>
    </row>
    <row r="1026" customFormat="false" ht="14.25" hidden="false" customHeight="false" outlineLevel="0" collapsed="false">
      <c r="A1026" s="903" t="n">
        <v>710</v>
      </c>
      <c r="B1026" s="903" t="n">
        <v>2024</v>
      </c>
      <c r="C1026" s="1974" t="n">
        <v>45992</v>
      </c>
      <c r="D1026" s="1351" t="s">
        <v>5</v>
      </c>
      <c r="E1026" s="1351" t="s">
        <v>1651</v>
      </c>
      <c r="F1026" s="904" t="s">
        <v>3364</v>
      </c>
      <c r="G1026" s="2012" t="n">
        <v>666</v>
      </c>
      <c r="H1026" s="942" t="n">
        <v>15</v>
      </c>
      <c r="I1026" s="1355" t="n">
        <f aca="false">G1026*H1026</f>
        <v>9990</v>
      </c>
      <c r="J1026" s="1406" t="n">
        <v>29.3257</v>
      </c>
      <c r="K1026" s="1942" t="n">
        <f aca="false">I1026*J1026</f>
        <v>292963.743</v>
      </c>
      <c r="L1026" s="1355" t="n">
        <v>292963.743</v>
      </c>
      <c r="M1026" s="891" t="n">
        <v>9990</v>
      </c>
      <c r="N1026" s="840" t="n">
        <f aca="false">M1026/H1026</f>
        <v>666</v>
      </c>
      <c r="O1026" s="1943" t="s">
        <v>976</v>
      </c>
      <c r="P1026" s="1947" t="n">
        <f aca="false">K1026-L1026</f>
        <v>0</v>
      </c>
      <c r="Q1026" s="1945" t="n">
        <f aca="false">I1026-M1026</f>
        <v>0</v>
      </c>
      <c r="R1026" s="2000" t="n">
        <f aca="false">G1026-N1026</f>
        <v>0</v>
      </c>
    </row>
    <row r="1027" customFormat="false" ht="14.25" hidden="false" customHeight="false" outlineLevel="0" collapsed="false">
      <c r="A1027" s="1465" t="n">
        <v>711</v>
      </c>
      <c r="B1027" s="1546" t="n">
        <v>2024</v>
      </c>
      <c r="C1027" s="1975" t="n">
        <v>45992</v>
      </c>
      <c r="D1027" s="1607" t="s">
        <v>5</v>
      </c>
      <c r="E1027" s="1607" t="s">
        <v>1651</v>
      </c>
      <c r="F1027" s="1328" t="s">
        <v>3364</v>
      </c>
      <c r="G1027" s="2011" t="n">
        <v>506</v>
      </c>
      <c r="H1027" s="1036" t="n">
        <v>15</v>
      </c>
      <c r="I1027" s="1036" t="n">
        <f aca="false">G1027*H1027</f>
        <v>7590</v>
      </c>
      <c r="J1027" s="1557" t="n">
        <v>29.6888</v>
      </c>
      <c r="K1027" s="1547" t="n">
        <f aca="false">I1027*J1027</f>
        <v>225337.992</v>
      </c>
      <c r="L1027" s="1665" t="n">
        <v>60565.152</v>
      </c>
      <c r="M1027" s="886" t="n">
        <v>2040</v>
      </c>
      <c r="N1027" s="886" t="n">
        <f aca="false">M1027/H1027</f>
        <v>136</v>
      </c>
      <c r="O1027" s="1595" t="s">
        <v>3449</v>
      </c>
      <c r="P1027" s="1978" t="n">
        <f aca="false">K1027-L1027-L1037-L1036-L1028-L1029-L1035-L1034-L1030-L1031-L1032-L1033</f>
        <v>7.95807864051312E-012</v>
      </c>
      <c r="Q1027" s="1978" t="n">
        <f aca="false">I1027-M1027-M1037-M1036-M1028-M1029-M1035-M1034-M1030-M1031-M1032-M1033</f>
        <v>0</v>
      </c>
      <c r="R1027" s="1979" t="n">
        <f aca="false">G1027-N1027-N1037-N1036-N1028-N1029-N1035-N1034-N1030-N1031-N1032-N1033</f>
        <v>0</v>
      </c>
    </row>
    <row r="1028" customFormat="false" ht="14.25" hidden="false" customHeight="false" outlineLevel="0" collapsed="false">
      <c r="A1028" s="1465"/>
      <c r="B1028" s="1546"/>
      <c r="C1028" s="1975"/>
      <c r="D1028" s="1480" t="s">
        <v>5</v>
      </c>
      <c r="E1028" s="1480" t="s">
        <v>1651</v>
      </c>
      <c r="F1028" s="1328"/>
      <c r="G1028" s="2011"/>
      <c r="H1028" s="1036"/>
      <c r="I1028" s="1036"/>
      <c r="J1028" s="1557"/>
      <c r="K1028" s="1547"/>
      <c r="L1028" s="1521" t="n">
        <v>17813.28</v>
      </c>
      <c r="M1028" s="866" t="n">
        <v>600</v>
      </c>
      <c r="N1028" s="866" t="n">
        <f aca="false">M1028/H1027</f>
        <v>40</v>
      </c>
      <c r="O1028" s="545" t="s">
        <v>983</v>
      </c>
      <c r="P1028" s="1978"/>
      <c r="Q1028" s="1978"/>
      <c r="R1028" s="1979"/>
    </row>
    <row r="1029" customFormat="false" ht="14.25" hidden="false" customHeight="false" outlineLevel="0" collapsed="false">
      <c r="A1029" s="1465"/>
      <c r="B1029" s="1546"/>
      <c r="C1029" s="1975"/>
      <c r="D1029" s="1480" t="s">
        <v>5</v>
      </c>
      <c r="E1029" s="1480" t="s">
        <v>1651</v>
      </c>
      <c r="F1029" s="1328"/>
      <c r="G1029" s="2011"/>
      <c r="H1029" s="1036"/>
      <c r="I1029" s="1036"/>
      <c r="J1029" s="1557"/>
      <c r="K1029" s="1547"/>
      <c r="L1029" s="1521" t="n">
        <v>17813.28</v>
      </c>
      <c r="M1029" s="866" t="n">
        <v>600</v>
      </c>
      <c r="N1029" s="866" t="n">
        <f aca="false">M1029/H1027</f>
        <v>40</v>
      </c>
      <c r="O1029" s="545" t="s">
        <v>984</v>
      </c>
      <c r="P1029" s="1978"/>
      <c r="Q1029" s="1978"/>
      <c r="R1029" s="1979"/>
    </row>
    <row r="1030" customFormat="false" ht="14.25" hidden="false" customHeight="false" outlineLevel="0" collapsed="false">
      <c r="A1030" s="1465"/>
      <c r="B1030" s="1546"/>
      <c r="C1030" s="1975"/>
      <c r="D1030" s="1480" t="s">
        <v>5</v>
      </c>
      <c r="E1030" s="1480" t="s">
        <v>1651</v>
      </c>
      <c r="F1030" s="1328"/>
      <c r="G1030" s="2011"/>
      <c r="H1030" s="1036"/>
      <c r="I1030" s="1036"/>
      <c r="J1030" s="1557"/>
      <c r="K1030" s="1547"/>
      <c r="L1030" s="1521" t="n">
        <v>12023.964</v>
      </c>
      <c r="M1030" s="866" t="n">
        <v>405</v>
      </c>
      <c r="N1030" s="866" t="n">
        <f aca="false">M1030/H1027</f>
        <v>27</v>
      </c>
      <c r="O1030" s="545" t="s">
        <v>530</v>
      </c>
      <c r="P1030" s="1978"/>
      <c r="Q1030" s="1978"/>
      <c r="R1030" s="1979"/>
    </row>
    <row r="1031" customFormat="false" ht="14.25" hidden="false" customHeight="false" outlineLevel="0" collapsed="false">
      <c r="A1031" s="1465"/>
      <c r="B1031" s="1546"/>
      <c r="C1031" s="1975"/>
      <c r="D1031" s="1480" t="s">
        <v>5</v>
      </c>
      <c r="E1031" s="1480" t="s">
        <v>1651</v>
      </c>
      <c r="F1031" s="1328"/>
      <c r="G1031" s="2011"/>
      <c r="H1031" s="1036"/>
      <c r="I1031" s="1036"/>
      <c r="J1031" s="1557"/>
      <c r="K1031" s="1547"/>
      <c r="L1031" s="1521" t="n">
        <v>2226.66</v>
      </c>
      <c r="M1031" s="866" t="n">
        <v>75</v>
      </c>
      <c r="N1031" s="866" t="n">
        <f aca="false">M1031/H1027</f>
        <v>5</v>
      </c>
      <c r="O1031" s="545" t="s">
        <v>1010</v>
      </c>
      <c r="P1031" s="1978"/>
      <c r="Q1031" s="1978"/>
      <c r="R1031" s="1979"/>
    </row>
    <row r="1032" customFormat="false" ht="14.25" hidden="false" customHeight="false" outlineLevel="0" collapsed="false">
      <c r="A1032" s="1465"/>
      <c r="B1032" s="1546"/>
      <c r="C1032" s="1975"/>
      <c r="D1032" s="1480" t="s">
        <v>5</v>
      </c>
      <c r="E1032" s="1480" t="s">
        <v>1651</v>
      </c>
      <c r="F1032" s="1328"/>
      <c r="G1032" s="2011"/>
      <c r="H1032" s="1036"/>
      <c r="I1032" s="1036"/>
      <c r="J1032" s="1557"/>
      <c r="K1032" s="1547"/>
      <c r="L1032" s="1521" t="n">
        <v>8906.64</v>
      </c>
      <c r="M1032" s="866" t="n">
        <v>300</v>
      </c>
      <c r="N1032" s="866" t="n">
        <f aca="false">M1032/H1027</f>
        <v>20</v>
      </c>
      <c r="O1032" s="545" t="s">
        <v>1011</v>
      </c>
      <c r="P1032" s="1978"/>
      <c r="Q1032" s="1978"/>
      <c r="R1032" s="1979"/>
    </row>
    <row r="1033" customFormat="false" ht="14.25" hidden="false" customHeight="false" outlineLevel="0" collapsed="false">
      <c r="A1033" s="1465"/>
      <c r="B1033" s="1546"/>
      <c r="C1033" s="1975"/>
      <c r="D1033" s="1480" t="s">
        <v>5</v>
      </c>
      <c r="E1033" s="1480" t="s">
        <v>1651</v>
      </c>
      <c r="F1033" s="1328"/>
      <c r="G1033" s="2011"/>
      <c r="H1033" s="1036"/>
      <c r="I1033" s="1036"/>
      <c r="J1033" s="1557"/>
      <c r="K1033" s="1547"/>
      <c r="L1033" s="1521" t="n">
        <v>890.664</v>
      </c>
      <c r="M1033" s="866" t="n">
        <v>30</v>
      </c>
      <c r="N1033" s="866" t="n">
        <f aca="false">M1033/H1027</f>
        <v>2</v>
      </c>
      <c r="O1033" s="545" t="s">
        <v>1634</v>
      </c>
      <c r="P1033" s="1978"/>
      <c r="Q1033" s="1978"/>
      <c r="R1033" s="1979"/>
    </row>
    <row r="1034" customFormat="false" ht="14.25" hidden="false" customHeight="false" outlineLevel="0" collapsed="false">
      <c r="A1034" s="1465"/>
      <c r="B1034" s="1546"/>
      <c r="C1034" s="1975"/>
      <c r="D1034" s="1480" t="s">
        <v>5</v>
      </c>
      <c r="E1034" s="1480" t="s">
        <v>1651</v>
      </c>
      <c r="F1034" s="1328"/>
      <c r="G1034" s="2011"/>
      <c r="H1034" s="1036"/>
      <c r="I1034" s="1036"/>
      <c r="J1034" s="1557"/>
      <c r="K1034" s="1547"/>
      <c r="L1034" s="1521" t="n">
        <v>22266.6</v>
      </c>
      <c r="M1034" s="866" t="n">
        <v>750</v>
      </c>
      <c r="N1034" s="866" t="n">
        <f aca="false">M1034/H1027</f>
        <v>50</v>
      </c>
      <c r="O1034" s="545" t="s">
        <v>3463</v>
      </c>
      <c r="P1034" s="1978"/>
      <c r="Q1034" s="1978"/>
      <c r="R1034" s="1979"/>
    </row>
    <row r="1035" customFormat="false" ht="14.25" hidden="false" customHeight="false" outlineLevel="0" collapsed="false">
      <c r="A1035" s="1465"/>
      <c r="B1035" s="1546"/>
      <c r="C1035" s="1975"/>
      <c r="D1035" s="1480" t="s">
        <v>5</v>
      </c>
      <c r="E1035" s="1480" t="s">
        <v>1651</v>
      </c>
      <c r="F1035" s="1328"/>
      <c r="G1035" s="2011"/>
      <c r="H1035" s="1036"/>
      <c r="I1035" s="1036"/>
      <c r="J1035" s="1557"/>
      <c r="K1035" s="1547"/>
      <c r="L1035" s="1521" t="n">
        <v>44533.2</v>
      </c>
      <c r="M1035" s="866" t="n">
        <v>1500</v>
      </c>
      <c r="N1035" s="866" t="n">
        <f aca="false">M1035/H1027</f>
        <v>100</v>
      </c>
      <c r="O1035" s="545" t="s">
        <v>985</v>
      </c>
      <c r="P1035" s="1978"/>
      <c r="Q1035" s="1978"/>
      <c r="R1035" s="1979"/>
    </row>
    <row r="1036" customFormat="false" ht="14.25" hidden="false" customHeight="false" outlineLevel="0" collapsed="false">
      <c r="A1036" s="1465"/>
      <c r="B1036" s="1546"/>
      <c r="C1036" s="1975"/>
      <c r="D1036" s="1480" t="s">
        <v>5</v>
      </c>
      <c r="E1036" s="1480" t="s">
        <v>1651</v>
      </c>
      <c r="F1036" s="1328"/>
      <c r="G1036" s="2011"/>
      <c r="H1036" s="1036"/>
      <c r="I1036" s="1036"/>
      <c r="J1036" s="1557"/>
      <c r="K1036" s="1547"/>
      <c r="L1036" s="1521" t="n">
        <v>22266.6</v>
      </c>
      <c r="M1036" s="866" t="n">
        <v>750</v>
      </c>
      <c r="N1036" s="866" t="n">
        <f aca="false">M1036/H1027</f>
        <v>50</v>
      </c>
      <c r="O1036" s="545" t="s">
        <v>982</v>
      </c>
      <c r="P1036" s="1978"/>
      <c r="Q1036" s="1978"/>
      <c r="R1036" s="1979"/>
    </row>
    <row r="1037" customFormat="false" ht="14.25" hidden="false" customHeight="false" outlineLevel="0" collapsed="false">
      <c r="A1037" s="1465"/>
      <c r="B1037" s="1546"/>
      <c r="C1037" s="1975"/>
      <c r="D1037" s="1478" t="s">
        <v>5</v>
      </c>
      <c r="E1037" s="1478" t="s">
        <v>1651</v>
      </c>
      <c r="F1037" s="1328"/>
      <c r="G1037" s="2011"/>
      <c r="H1037" s="1036"/>
      <c r="I1037" s="1036"/>
      <c r="J1037" s="1557"/>
      <c r="K1037" s="1547"/>
      <c r="L1037" s="1587" t="n">
        <v>16031.952</v>
      </c>
      <c r="M1037" s="877" t="n">
        <v>540</v>
      </c>
      <c r="N1037" s="877" t="n">
        <f aca="false">M1037/H1027</f>
        <v>36</v>
      </c>
      <c r="O1037" s="584" t="s">
        <v>970</v>
      </c>
      <c r="P1037" s="1978"/>
      <c r="Q1037" s="1978"/>
      <c r="R1037" s="1979"/>
    </row>
    <row r="1038" customFormat="false" ht="14.25" hidden="false" customHeight="false" outlineLevel="0" collapsed="false">
      <c r="A1038" s="1027" t="n">
        <v>27</v>
      </c>
      <c r="B1038" s="1546" t="n">
        <v>2025</v>
      </c>
      <c r="C1038" s="1975" t="n">
        <v>46023</v>
      </c>
      <c r="D1038" s="1365" t="s">
        <v>5</v>
      </c>
      <c r="E1038" s="1365" t="s">
        <v>2131</v>
      </c>
      <c r="F1038" s="1328" t="s">
        <v>3364</v>
      </c>
      <c r="G1038" s="2011" t="n">
        <v>399</v>
      </c>
      <c r="H1038" s="1036" t="n">
        <v>25</v>
      </c>
      <c r="I1038" s="1036" t="n">
        <f aca="false">G1038*H1038</f>
        <v>9975</v>
      </c>
      <c r="J1038" s="1557" t="n">
        <v>61.5516</v>
      </c>
      <c r="K1038" s="1547" t="n">
        <f aca="false">I1038*J1038</f>
        <v>613977.21</v>
      </c>
      <c r="L1038" s="1665" t="n">
        <v>153879</v>
      </c>
      <c r="M1038" s="886" t="n">
        <v>2500</v>
      </c>
      <c r="N1038" s="886" t="n">
        <f aca="false">M1038/H1038</f>
        <v>100</v>
      </c>
      <c r="O1038" s="1595" t="s">
        <v>946</v>
      </c>
      <c r="P1038" s="1984" t="n">
        <f aca="false">K1038-L1038-L1043-L1042-L1039-L1040-L1041</f>
        <v>0</v>
      </c>
      <c r="Q1038" s="1978" t="n">
        <f aca="false">I1038-M1038-M1043-M1042-M1039-M1040-M1041</f>
        <v>0</v>
      </c>
      <c r="R1038" s="1979" t="n">
        <f aca="false">G1038-N1038-N1043-N1042-N1039-N1040-N1041</f>
        <v>0</v>
      </c>
    </row>
    <row r="1039" customFormat="false" ht="14.25" hidden="false" customHeight="false" outlineLevel="0" collapsed="false">
      <c r="A1039" s="1027"/>
      <c r="B1039" s="1546"/>
      <c r="C1039" s="1975"/>
      <c r="D1039" s="1480" t="s">
        <v>5</v>
      </c>
      <c r="E1039" s="1480" t="s">
        <v>2131</v>
      </c>
      <c r="F1039" s="1328"/>
      <c r="G1039" s="2011"/>
      <c r="H1039" s="1036"/>
      <c r="I1039" s="1036"/>
      <c r="J1039" s="1557"/>
      <c r="K1039" s="1547"/>
      <c r="L1039" s="1521" t="n">
        <v>27698.22</v>
      </c>
      <c r="M1039" s="866" t="n">
        <v>450</v>
      </c>
      <c r="N1039" s="866" t="n">
        <f aca="false">M1039/H1038</f>
        <v>18</v>
      </c>
      <c r="O1039" s="545" t="s">
        <v>1087</v>
      </c>
      <c r="P1039" s="1984"/>
      <c r="Q1039" s="1978"/>
      <c r="R1039" s="1979"/>
    </row>
    <row r="1040" customFormat="false" ht="14.25" hidden="false" customHeight="false" outlineLevel="0" collapsed="false">
      <c r="A1040" s="1027"/>
      <c r="B1040" s="1546"/>
      <c r="C1040" s="1975"/>
      <c r="D1040" s="1480" t="s">
        <v>5</v>
      </c>
      <c r="E1040" s="1480" t="s">
        <v>2131</v>
      </c>
      <c r="F1040" s="1328"/>
      <c r="G1040" s="2011"/>
      <c r="H1040" s="1036"/>
      <c r="I1040" s="1036"/>
      <c r="J1040" s="1557"/>
      <c r="K1040" s="1547"/>
      <c r="L1040" s="1521" t="n">
        <v>38469.75</v>
      </c>
      <c r="M1040" s="866" t="n">
        <v>625</v>
      </c>
      <c r="N1040" s="866" t="n">
        <f aca="false">M1040/H1038</f>
        <v>25</v>
      </c>
      <c r="O1040" s="545" t="s">
        <v>1090</v>
      </c>
      <c r="P1040" s="1984"/>
      <c r="Q1040" s="1978"/>
      <c r="R1040" s="1979"/>
    </row>
    <row r="1041" customFormat="false" ht="14.25" hidden="false" customHeight="false" outlineLevel="0" collapsed="false">
      <c r="A1041" s="1027"/>
      <c r="B1041" s="1546"/>
      <c r="C1041" s="1975"/>
      <c r="D1041" s="1480" t="s">
        <v>5</v>
      </c>
      <c r="E1041" s="1480" t="s">
        <v>2131</v>
      </c>
      <c r="F1041" s="1328"/>
      <c r="G1041" s="2011"/>
      <c r="H1041" s="1036"/>
      <c r="I1041" s="1036"/>
      <c r="J1041" s="1557"/>
      <c r="K1041" s="1547"/>
      <c r="L1041" s="1521" t="n">
        <v>40008.54</v>
      </c>
      <c r="M1041" s="866" t="n">
        <v>650</v>
      </c>
      <c r="N1041" s="866" t="n">
        <f aca="false">M1041/H1038</f>
        <v>26</v>
      </c>
      <c r="O1041" s="545" t="s">
        <v>1091</v>
      </c>
      <c r="P1041" s="1984"/>
      <c r="Q1041" s="1978"/>
      <c r="R1041" s="1979"/>
    </row>
    <row r="1042" customFormat="false" ht="14.25" hidden="false" customHeight="false" outlineLevel="0" collapsed="false">
      <c r="A1042" s="1027"/>
      <c r="B1042" s="1546"/>
      <c r="C1042" s="1975"/>
      <c r="D1042" s="1480" t="s">
        <v>5</v>
      </c>
      <c r="E1042" s="1480" t="s">
        <v>2131</v>
      </c>
      <c r="F1042" s="1328"/>
      <c r="G1042" s="2011"/>
      <c r="H1042" s="1036"/>
      <c r="I1042" s="1036"/>
      <c r="J1042" s="1557"/>
      <c r="K1042" s="1547"/>
      <c r="L1042" s="1521" t="n">
        <v>61551.6</v>
      </c>
      <c r="M1042" s="866" t="n">
        <v>1000</v>
      </c>
      <c r="N1042" s="866" t="n">
        <f aca="false">M1042/H1038</f>
        <v>40</v>
      </c>
      <c r="O1042" s="545" t="s">
        <v>945</v>
      </c>
      <c r="P1042" s="1984"/>
      <c r="Q1042" s="1978"/>
      <c r="R1042" s="1979"/>
    </row>
    <row r="1043" customFormat="false" ht="14.25" hidden="false" customHeight="false" outlineLevel="0" collapsed="false">
      <c r="A1043" s="1027"/>
      <c r="B1043" s="1546"/>
      <c r="C1043" s="1975"/>
      <c r="D1043" s="1478" t="s">
        <v>5</v>
      </c>
      <c r="E1043" s="1478" t="s">
        <v>2131</v>
      </c>
      <c r="F1043" s="1328"/>
      <c r="G1043" s="2011"/>
      <c r="H1043" s="1036"/>
      <c r="I1043" s="1036"/>
      <c r="J1043" s="1557"/>
      <c r="K1043" s="1547"/>
      <c r="L1043" s="1587" t="n">
        <v>292370.1</v>
      </c>
      <c r="M1043" s="877" t="n">
        <v>4750</v>
      </c>
      <c r="N1043" s="877" t="n">
        <f aca="false">M1043/H1038</f>
        <v>190</v>
      </c>
      <c r="O1043" s="584" t="s">
        <v>944</v>
      </c>
      <c r="P1043" s="1984"/>
      <c r="Q1043" s="1978"/>
      <c r="R1043" s="1979"/>
    </row>
    <row r="1044" customFormat="false" ht="14.25" hidden="false" customHeight="false" outlineLevel="0" collapsed="false">
      <c r="A1044" s="1027" t="n">
        <v>32</v>
      </c>
      <c r="B1044" s="1546" t="n">
        <v>2025</v>
      </c>
      <c r="C1044" s="1975" t="n">
        <v>46023</v>
      </c>
      <c r="D1044" s="1365" t="s">
        <v>5</v>
      </c>
      <c r="E1044" s="1365" t="s">
        <v>2131</v>
      </c>
      <c r="F1044" s="1328" t="s">
        <v>3364</v>
      </c>
      <c r="G1044" s="2011" t="n">
        <v>32</v>
      </c>
      <c r="H1044" s="1036" t="n">
        <v>25</v>
      </c>
      <c r="I1044" s="1036" t="n">
        <f aca="false">G1044*H1044</f>
        <v>800</v>
      </c>
      <c r="J1044" s="1557" t="n">
        <v>61.5516</v>
      </c>
      <c r="K1044" s="1547" t="n">
        <f aca="false">I1044*J1044</f>
        <v>49241.28</v>
      </c>
      <c r="L1044" s="1369" t="n">
        <v>10771.53</v>
      </c>
      <c r="M1044" s="840" t="n">
        <v>175</v>
      </c>
      <c r="N1044" s="840" t="n">
        <f aca="false">M1044/H1044</f>
        <v>7</v>
      </c>
      <c r="O1044" s="578" t="s">
        <v>1087</v>
      </c>
      <c r="P1044" s="1984" t="n">
        <f aca="false">K1044-L1044-L1045</f>
        <v>0</v>
      </c>
      <c r="Q1044" s="1978" t="n">
        <f aca="false">I1044-M1044-M1045</f>
        <v>0</v>
      </c>
      <c r="R1044" s="1979" t="n">
        <f aca="false">G1044-N1044-N1045</f>
        <v>0</v>
      </c>
    </row>
    <row r="1045" customFormat="false" ht="14.25" hidden="false" customHeight="false" outlineLevel="0" collapsed="false">
      <c r="A1045" s="1027"/>
      <c r="B1045" s="1546"/>
      <c r="C1045" s="1975"/>
      <c r="D1045" s="1478" t="s">
        <v>5</v>
      </c>
      <c r="E1045" s="1478" t="s">
        <v>2131</v>
      </c>
      <c r="F1045" s="1328"/>
      <c r="G1045" s="2011"/>
      <c r="H1045" s="1036"/>
      <c r="I1045" s="1036"/>
      <c r="J1045" s="1557"/>
      <c r="K1045" s="1547"/>
      <c r="L1045" s="1587" t="n">
        <v>38469.75</v>
      </c>
      <c r="M1045" s="877" t="n">
        <v>625</v>
      </c>
      <c r="N1045" s="877" t="n">
        <f aca="false">M1045/H1044</f>
        <v>25</v>
      </c>
      <c r="O1045" s="584" t="s">
        <v>1088</v>
      </c>
      <c r="P1045" s="1984"/>
      <c r="Q1045" s="1978"/>
      <c r="R1045" s="1979"/>
    </row>
    <row r="1046" customFormat="false" ht="14.25" hidden="false" customHeight="false" outlineLevel="0" collapsed="false">
      <c r="A1046" s="882" t="n">
        <v>39</v>
      </c>
      <c r="B1046" s="830" t="n">
        <v>2025</v>
      </c>
      <c r="C1046" s="1965" t="n">
        <v>46023</v>
      </c>
      <c r="D1046" s="1365" t="s">
        <v>5</v>
      </c>
      <c r="E1046" s="1365" t="s">
        <v>1651</v>
      </c>
      <c r="F1046" s="832" t="s">
        <v>3371</v>
      </c>
      <c r="G1046" s="2010" t="n">
        <v>177</v>
      </c>
      <c r="H1046" s="837" t="n">
        <v>12</v>
      </c>
      <c r="I1046" s="837" t="n">
        <f aca="false">G1046*H1046</f>
        <v>2124</v>
      </c>
      <c r="J1046" s="1059" t="n">
        <v>29.8052</v>
      </c>
      <c r="K1046" s="943" t="n">
        <f aca="false">I1046*J1046</f>
        <v>63306.2448</v>
      </c>
      <c r="L1046" s="1369" t="n">
        <v>60802.608</v>
      </c>
      <c r="M1046" s="840" t="n">
        <v>2040</v>
      </c>
      <c r="N1046" s="886" t="n">
        <f aca="false">M1046/H1046</f>
        <v>170</v>
      </c>
      <c r="O1046" s="578" t="s">
        <v>1022</v>
      </c>
      <c r="P1046" s="1948" t="n">
        <f aca="false">K1046-L1046-L1048-L1047</f>
        <v>0</v>
      </c>
      <c r="Q1046" s="1934" t="n">
        <f aca="false">I1046-M1046-M1048-M1047</f>
        <v>0</v>
      </c>
      <c r="R1046" s="2034" t="n">
        <f aca="false">G1046-N1046-N1048-N1047</f>
        <v>0</v>
      </c>
    </row>
    <row r="1047" customFormat="false" ht="14.25" hidden="false" customHeight="false" outlineLevel="0" collapsed="false">
      <c r="A1047" s="882"/>
      <c r="B1047" s="830"/>
      <c r="C1047" s="1965"/>
      <c r="D1047" s="1351" t="s">
        <v>5</v>
      </c>
      <c r="E1047" s="1351" t="s">
        <v>1651</v>
      </c>
      <c r="F1047" s="832"/>
      <c r="G1047" s="2010"/>
      <c r="H1047" s="837"/>
      <c r="I1047" s="837"/>
      <c r="J1047" s="1059"/>
      <c r="K1047" s="943"/>
      <c r="L1047" s="1355" t="n">
        <v>2682.468</v>
      </c>
      <c r="M1047" s="891" t="n">
        <v>90</v>
      </c>
      <c r="N1047" s="866" t="n">
        <f aca="false">M1047/H1046</f>
        <v>7.5</v>
      </c>
      <c r="O1047" s="1943" t="s">
        <v>1375</v>
      </c>
      <c r="P1047" s="1948"/>
      <c r="Q1047" s="1934"/>
      <c r="R1047" s="2034"/>
    </row>
    <row r="1048" customFormat="false" ht="14.25" hidden="false" customHeight="false" outlineLevel="0" collapsed="false">
      <c r="A1048" s="882"/>
      <c r="B1048" s="830"/>
      <c r="C1048" s="1965"/>
      <c r="D1048" s="1357" t="s">
        <v>5</v>
      </c>
      <c r="E1048" s="1357" t="s">
        <v>1651</v>
      </c>
      <c r="F1048" s="832"/>
      <c r="G1048" s="2010"/>
      <c r="H1048" s="837"/>
      <c r="I1048" s="837"/>
      <c r="J1048" s="1059"/>
      <c r="K1048" s="943"/>
      <c r="L1048" s="1362" t="n">
        <v>-178.8312</v>
      </c>
      <c r="M1048" s="846" t="n">
        <v>-6</v>
      </c>
      <c r="N1048" s="1350" t="n">
        <f aca="false">M1048/H1046</f>
        <v>-0.5</v>
      </c>
      <c r="O1048" s="1936" t="s">
        <v>1634</v>
      </c>
      <c r="P1048" s="1948"/>
      <c r="Q1048" s="1934"/>
      <c r="R1048" s="2034"/>
    </row>
    <row r="1049" customFormat="false" ht="14.25" hidden="false" customHeight="false" outlineLevel="0" collapsed="false">
      <c r="A1049" s="1609" t="n">
        <v>111</v>
      </c>
      <c r="B1049" s="903" t="n">
        <v>2025</v>
      </c>
      <c r="C1049" s="1974" t="n">
        <v>46023</v>
      </c>
      <c r="D1049" s="1351" t="s">
        <v>5</v>
      </c>
      <c r="E1049" s="1351" t="s">
        <v>2131</v>
      </c>
      <c r="F1049" s="904" t="s">
        <v>3364</v>
      </c>
      <c r="G1049" s="2012" t="n">
        <v>400</v>
      </c>
      <c r="H1049" s="942" t="n">
        <v>25</v>
      </c>
      <c r="I1049" s="942" t="n">
        <f aca="false">G1049*H1049</f>
        <v>10000</v>
      </c>
      <c r="J1049" s="1406" t="n">
        <v>65.1573</v>
      </c>
      <c r="K1049" s="948" t="n">
        <f aca="false">I1049*J1049</f>
        <v>651573</v>
      </c>
      <c r="L1049" s="1355" t="n">
        <v>162893.25</v>
      </c>
      <c r="M1049" s="891" t="n">
        <v>2500</v>
      </c>
      <c r="N1049" s="891" t="n">
        <f aca="false">M1049/H1049</f>
        <v>100</v>
      </c>
      <c r="O1049" s="1943" t="s">
        <v>1089</v>
      </c>
      <c r="P1049" s="2009" t="n">
        <f aca="false">K1049-L1049-L1053-L1050-L1052-L1051</f>
        <v>0</v>
      </c>
      <c r="Q1049" s="2000" t="n">
        <f aca="false">I1049-M1049-M1053-M1050-M1052-M1051</f>
        <v>0</v>
      </c>
      <c r="R1049" s="2005" t="n">
        <f aca="false">G1049-N1049-N1053-N1050-N1052-N1051</f>
        <v>0</v>
      </c>
    </row>
    <row r="1050" customFormat="false" ht="14.25" hidden="false" customHeight="false" outlineLevel="0" collapsed="false">
      <c r="A1050" s="1609"/>
      <c r="B1050" s="903"/>
      <c r="C1050" s="1974"/>
      <c r="D1050" s="1480" t="s">
        <v>5</v>
      </c>
      <c r="E1050" s="1480" t="s">
        <v>2131</v>
      </c>
      <c r="F1050" s="904"/>
      <c r="G1050" s="2012"/>
      <c r="H1050" s="942"/>
      <c r="I1050" s="942"/>
      <c r="J1050" s="1406"/>
      <c r="K1050" s="948"/>
      <c r="L1050" s="1521" t="n">
        <v>24433.9875</v>
      </c>
      <c r="M1050" s="866" t="n">
        <v>375</v>
      </c>
      <c r="N1050" s="866" t="n">
        <f aca="false">M1050/H1049</f>
        <v>15</v>
      </c>
      <c r="O1050" s="545" t="s">
        <v>1090</v>
      </c>
      <c r="P1050" s="2009"/>
      <c r="Q1050" s="2000"/>
      <c r="R1050" s="2005"/>
    </row>
    <row r="1051" customFormat="false" ht="14.25" hidden="false" customHeight="false" outlineLevel="0" collapsed="false">
      <c r="A1051" s="1609"/>
      <c r="B1051" s="903"/>
      <c r="C1051" s="1974"/>
      <c r="D1051" s="1478" t="s">
        <v>5</v>
      </c>
      <c r="E1051" s="1478" t="s">
        <v>2131</v>
      </c>
      <c r="F1051" s="904"/>
      <c r="G1051" s="2012"/>
      <c r="H1051" s="942"/>
      <c r="I1051" s="942"/>
      <c r="J1051" s="1406"/>
      <c r="K1051" s="948"/>
      <c r="L1051" s="1521" t="n">
        <v>221534.82</v>
      </c>
      <c r="M1051" s="866" t="n">
        <v>3400</v>
      </c>
      <c r="N1051" s="866" t="n">
        <f aca="false">M1051/H1049</f>
        <v>136</v>
      </c>
      <c r="O1051" s="545" t="s">
        <v>1087</v>
      </c>
      <c r="P1051" s="2009"/>
      <c r="Q1051" s="2000"/>
      <c r="R1051" s="2005"/>
    </row>
    <row r="1052" customFormat="false" ht="14.25" hidden="false" customHeight="false" outlineLevel="0" collapsed="false">
      <c r="A1052" s="1609"/>
      <c r="B1052" s="903"/>
      <c r="C1052" s="1974"/>
      <c r="D1052" s="1478" t="s">
        <v>5</v>
      </c>
      <c r="E1052" s="1478" t="s">
        <v>2131</v>
      </c>
      <c r="F1052" s="904"/>
      <c r="G1052" s="2012"/>
      <c r="H1052" s="942"/>
      <c r="I1052" s="942"/>
      <c r="J1052" s="1406"/>
      <c r="K1052" s="948"/>
      <c r="L1052" s="1521" t="n">
        <v>122169.9375</v>
      </c>
      <c r="M1052" s="866" t="n">
        <v>1875</v>
      </c>
      <c r="N1052" s="866" t="n">
        <f aca="false">M1052/H1049</f>
        <v>75</v>
      </c>
      <c r="O1052" s="545" t="s">
        <v>1088</v>
      </c>
      <c r="P1052" s="2009"/>
      <c r="Q1052" s="2000"/>
      <c r="R1052" s="2005"/>
    </row>
    <row r="1053" customFormat="false" ht="14.25" hidden="false" customHeight="false" outlineLevel="0" collapsed="false">
      <c r="A1053" s="1609"/>
      <c r="B1053" s="903"/>
      <c r="C1053" s="1974"/>
      <c r="D1053" s="1478" t="s">
        <v>5</v>
      </c>
      <c r="E1053" s="1478" t="s">
        <v>2131</v>
      </c>
      <c r="F1053" s="904"/>
      <c r="G1053" s="2012"/>
      <c r="H1053" s="942"/>
      <c r="I1053" s="942"/>
      <c r="J1053" s="1406"/>
      <c r="K1053" s="948"/>
      <c r="L1053" s="1355" t="n">
        <v>120541.005</v>
      </c>
      <c r="M1053" s="891" t="n">
        <v>1850</v>
      </c>
      <c r="N1053" s="891" t="n">
        <f aca="false">M1053/H1049</f>
        <v>74</v>
      </c>
      <c r="O1053" s="1943" t="s">
        <v>1091</v>
      </c>
      <c r="P1053" s="2009"/>
      <c r="Q1053" s="2000"/>
      <c r="R1053" s="2005"/>
    </row>
    <row r="1054" customFormat="false" ht="14.25" hidden="false" customHeight="false" outlineLevel="0" collapsed="false">
      <c r="A1054" s="829" t="n">
        <v>112</v>
      </c>
      <c r="B1054" s="830" t="n">
        <v>2025</v>
      </c>
      <c r="C1054" s="1965" t="n">
        <v>46023</v>
      </c>
      <c r="D1054" s="1365" t="s">
        <v>5</v>
      </c>
      <c r="E1054" s="1365" t="s">
        <v>2131</v>
      </c>
      <c r="F1054" s="832" t="s">
        <v>3364</v>
      </c>
      <c r="G1054" s="2010" t="n">
        <v>340</v>
      </c>
      <c r="H1054" s="837" t="n">
        <v>25</v>
      </c>
      <c r="I1054" s="837" t="n">
        <f aca="false">G1054*H1054</f>
        <v>8500</v>
      </c>
      <c r="J1054" s="1059" t="n">
        <v>65.1573</v>
      </c>
      <c r="K1054" s="943" t="n">
        <f aca="false">I1054*J1054</f>
        <v>553837.05</v>
      </c>
      <c r="L1054" s="1369" t="n">
        <v>226421.6175</v>
      </c>
      <c r="M1054" s="840" t="n">
        <v>3475</v>
      </c>
      <c r="N1054" s="886" t="n">
        <f aca="false">M1054/H1054</f>
        <v>139</v>
      </c>
      <c r="O1054" s="578" t="s">
        <v>1087</v>
      </c>
      <c r="P1054" s="1948" t="n">
        <f aca="false">K1054-L1054-L1058-L1055-L1057-L1056</f>
        <v>47239.0425000001</v>
      </c>
      <c r="Q1054" s="1934" t="n">
        <f aca="false">I1054-M1054-M1058-M1055-M1057-M1056</f>
        <v>725</v>
      </c>
      <c r="R1054" s="1935" t="n">
        <f aca="false">G1054-N1054-N1058-N1055-N1057-N1056</f>
        <v>29</v>
      </c>
    </row>
    <row r="1055" customFormat="false" ht="14.25" hidden="false" customHeight="false" outlineLevel="0" collapsed="false">
      <c r="A1055" s="829"/>
      <c r="B1055" s="830"/>
      <c r="C1055" s="1965"/>
      <c r="D1055" s="1480" t="s">
        <v>5</v>
      </c>
      <c r="E1055" s="1480" t="s">
        <v>2131</v>
      </c>
      <c r="F1055" s="832"/>
      <c r="G1055" s="2010"/>
      <c r="H1055" s="837"/>
      <c r="I1055" s="837"/>
      <c r="J1055" s="1059"/>
      <c r="K1055" s="943"/>
      <c r="L1055" s="1521" t="n">
        <v>162893.25</v>
      </c>
      <c r="M1055" s="866" t="n">
        <v>2500</v>
      </c>
      <c r="N1055" s="866" t="n">
        <f aca="false">M1055/H1054</f>
        <v>100</v>
      </c>
      <c r="O1055" s="545" t="s">
        <v>1233</v>
      </c>
      <c r="P1055" s="1948"/>
      <c r="Q1055" s="1934"/>
      <c r="R1055" s="1935"/>
    </row>
    <row r="1056" customFormat="false" ht="14.25" hidden="false" customHeight="false" outlineLevel="0" collapsed="false">
      <c r="A1056" s="829"/>
      <c r="B1056" s="830"/>
      <c r="C1056" s="1965"/>
      <c r="D1056" s="1480" t="s">
        <v>5</v>
      </c>
      <c r="E1056" s="1480" t="s">
        <v>2131</v>
      </c>
      <c r="F1056" s="832"/>
      <c r="G1056" s="2010"/>
      <c r="H1056" s="837"/>
      <c r="I1056" s="837"/>
      <c r="J1056" s="1059"/>
      <c r="K1056" s="943"/>
      <c r="L1056" s="1521" t="n">
        <v>97735.95</v>
      </c>
      <c r="M1056" s="866" t="n">
        <v>1500</v>
      </c>
      <c r="N1056" s="866" t="n">
        <f aca="false">M1056/H1054</f>
        <v>60</v>
      </c>
      <c r="O1056" s="545" t="s">
        <v>1369</v>
      </c>
      <c r="P1056" s="1948"/>
      <c r="Q1056" s="1934"/>
      <c r="R1056" s="1935"/>
    </row>
    <row r="1057" customFormat="false" ht="14.25" hidden="false" customHeight="false" outlineLevel="0" collapsed="false">
      <c r="A1057" s="829"/>
      <c r="B1057" s="830"/>
      <c r="C1057" s="1965"/>
      <c r="D1057" s="1480" t="s">
        <v>5</v>
      </c>
      <c r="E1057" s="1480" t="s">
        <v>2131</v>
      </c>
      <c r="F1057" s="832"/>
      <c r="G1057" s="2010"/>
      <c r="H1057" s="837"/>
      <c r="I1057" s="837"/>
      <c r="J1057" s="1059"/>
      <c r="K1057" s="943"/>
      <c r="L1057" s="1521" t="n">
        <v>3257.865</v>
      </c>
      <c r="M1057" s="866" t="n">
        <v>50</v>
      </c>
      <c r="N1057" s="866" t="n">
        <f aca="false">M1057/H1054</f>
        <v>2</v>
      </c>
      <c r="O1057" s="545" t="s">
        <v>1375</v>
      </c>
      <c r="P1057" s="1948"/>
      <c r="Q1057" s="1934"/>
      <c r="R1057" s="1935"/>
    </row>
    <row r="1058" customFormat="false" ht="14.25" hidden="false" customHeight="false" outlineLevel="0" collapsed="false">
      <c r="A1058" s="829"/>
      <c r="B1058" s="830"/>
      <c r="C1058" s="1965"/>
      <c r="D1058" s="1357" t="s">
        <v>5</v>
      </c>
      <c r="E1058" s="1357" t="s">
        <v>2131</v>
      </c>
      <c r="F1058" s="832"/>
      <c r="G1058" s="2010"/>
      <c r="H1058" s="837"/>
      <c r="I1058" s="837"/>
      <c r="J1058" s="1059"/>
      <c r="K1058" s="943"/>
      <c r="L1058" s="1362" t="n">
        <v>16289.325</v>
      </c>
      <c r="M1058" s="846" t="n">
        <v>250</v>
      </c>
      <c r="N1058" s="846" t="n">
        <f aca="false">M1058/H1054</f>
        <v>10</v>
      </c>
      <c r="O1058" s="1936" t="s">
        <v>3440</v>
      </c>
      <c r="P1058" s="1948"/>
      <c r="Q1058" s="1934"/>
      <c r="R1058" s="1935"/>
    </row>
    <row r="1059" customFormat="false" ht="14.25" hidden="false" customHeight="false" outlineLevel="0" collapsed="false">
      <c r="A1059" s="1344" t="n">
        <v>122</v>
      </c>
      <c r="B1059" s="903" t="n">
        <v>2025</v>
      </c>
      <c r="C1059" s="1974" t="n">
        <v>46054</v>
      </c>
      <c r="D1059" s="1351" t="s">
        <v>5</v>
      </c>
      <c r="E1059" s="1351" t="s">
        <v>1651</v>
      </c>
      <c r="F1059" s="904" t="s">
        <v>3364</v>
      </c>
      <c r="G1059" s="2012" t="n">
        <v>666</v>
      </c>
      <c r="H1059" s="942" t="n">
        <v>15</v>
      </c>
      <c r="I1059" s="942" t="n">
        <f aca="false">G1059*H1059</f>
        <v>9990</v>
      </c>
      <c r="J1059" s="1406" t="n">
        <v>27.489</v>
      </c>
      <c r="K1059" s="948" t="n">
        <f aca="false">I1059*J1059</f>
        <v>274615.11</v>
      </c>
      <c r="L1059" s="1355" t="n">
        <v>41233.5</v>
      </c>
      <c r="M1059" s="891" t="n">
        <v>1500</v>
      </c>
      <c r="N1059" s="891" t="n">
        <f aca="false">M1059/H1059</f>
        <v>100</v>
      </c>
      <c r="O1059" s="1943" t="s">
        <v>1090</v>
      </c>
      <c r="P1059" s="2009" t="n">
        <f aca="false">K1059-L1059-L1061-L1060</f>
        <v>0</v>
      </c>
      <c r="Q1059" s="2000" t="n">
        <f aca="false">I1059-M1059-M1061-M1060</f>
        <v>0</v>
      </c>
      <c r="R1059" s="2005" t="n">
        <f aca="false">G1059-N1059-N1061-N1060</f>
        <v>0</v>
      </c>
    </row>
    <row r="1060" customFormat="false" ht="14.25" hidden="false" customHeight="false" outlineLevel="0" collapsed="false">
      <c r="A1060" s="1344"/>
      <c r="B1060" s="903"/>
      <c r="C1060" s="1974"/>
      <c r="D1060" s="1480" t="s">
        <v>5</v>
      </c>
      <c r="E1060" s="1480" t="s">
        <v>1651</v>
      </c>
      <c r="F1060" s="904"/>
      <c r="G1060" s="2012"/>
      <c r="H1060" s="942"/>
      <c r="I1060" s="942"/>
      <c r="J1060" s="1406"/>
      <c r="K1060" s="948"/>
      <c r="L1060" s="1521" t="n">
        <v>68446.61</v>
      </c>
      <c r="M1060" s="866" t="n">
        <v>2490</v>
      </c>
      <c r="N1060" s="866" t="n">
        <f aca="false">M1060/H1059</f>
        <v>166</v>
      </c>
      <c r="O1060" s="545" t="s">
        <v>1089</v>
      </c>
      <c r="P1060" s="2009"/>
      <c r="Q1060" s="2000"/>
      <c r="R1060" s="2005"/>
    </row>
    <row r="1061" customFormat="false" ht="14.25" hidden="false" customHeight="false" outlineLevel="0" collapsed="false">
      <c r="A1061" s="1344"/>
      <c r="B1061" s="903"/>
      <c r="C1061" s="1974"/>
      <c r="D1061" s="1478" t="s">
        <v>5</v>
      </c>
      <c r="E1061" s="1478" t="s">
        <v>1651</v>
      </c>
      <c r="F1061" s="904"/>
      <c r="G1061" s="2012"/>
      <c r="H1061" s="942"/>
      <c r="I1061" s="942"/>
      <c r="J1061" s="1406"/>
      <c r="K1061" s="948"/>
      <c r="L1061" s="1587" t="n">
        <v>164935</v>
      </c>
      <c r="M1061" s="877" t="n">
        <v>6000</v>
      </c>
      <c r="N1061" s="877" t="n">
        <f aca="false">M1061/H1059</f>
        <v>400</v>
      </c>
      <c r="O1061" s="584" t="s">
        <v>3464</v>
      </c>
      <c r="P1061" s="2009"/>
      <c r="Q1061" s="2000"/>
      <c r="R1061" s="2005"/>
    </row>
    <row r="1062" customFormat="false" ht="14.25" hidden="false" customHeight="false" outlineLevel="0" collapsed="false">
      <c r="A1062" s="829" t="n">
        <v>123</v>
      </c>
      <c r="B1062" s="830" t="n">
        <v>2025</v>
      </c>
      <c r="C1062" s="1965" t="n">
        <v>46054</v>
      </c>
      <c r="D1062" s="1365" t="s">
        <v>5</v>
      </c>
      <c r="E1062" s="1365" t="s">
        <v>1651</v>
      </c>
      <c r="F1062" s="832" t="s">
        <v>3364</v>
      </c>
      <c r="G1062" s="2010" t="n">
        <v>267</v>
      </c>
      <c r="H1062" s="837" t="n">
        <v>15</v>
      </c>
      <c r="I1062" s="837" t="n">
        <f aca="false">G1062*H1062</f>
        <v>4005</v>
      </c>
      <c r="J1062" s="1059" t="n">
        <v>27.489</v>
      </c>
      <c r="K1062" s="943" t="n">
        <f aca="false">I1062*J1062</f>
        <v>110093.445</v>
      </c>
      <c r="L1062" s="1369" t="n">
        <v>55252.89</v>
      </c>
      <c r="M1062" s="840" t="n">
        <v>2010</v>
      </c>
      <c r="N1062" s="840" t="n">
        <f aca="false">M1062/H1062</f>
        <v>134</v>
      </c>
      <c r="O1062" s="578" t="s">
        <v>1089</v>
      </c>
      <c r="P1062" s="1948" t="n">
        <f aca="false">K1062-L1062-L1063</f>
        <v>0</v>
      </c>
      <c r="Q1062" s="1934" t="n">
        <f aca="false">I1062-M1062-M1063</f>
        <v>0</v>
      </c>
      <c r="R1062" s="1935" t="n">
        <f aca="false">G1062-N1062-N1063</f>
        <v>0</v>
      </c>
    </row>
    <row r="1063" customFormat="false" ht="14.25" hidden="false" customHeight="false" outlineLevel="0" collapsed="false">
      <c r="A1063" s="829"/>
      <c r="B1063" s="830"/>
      <c r="C1063" s="1965"/>
      <c r="D1063" s="1357" t="s">
        <v>5</v>
      </c>
      <c r="E1063" s="1357" t="s">
        <v>1651</v>
      </c>
      <c r="F1063" s="832"/>
      <c r="G1063" s="2010"/>
      <c r="H1063" s="837"/>
      <c r="I1063" s="837"/>
      <c r="J1063" s="1059"/>
      <c r="K1063" s="943"/>
      <c r="L1063" s="1362" t="n">
        <v>54840.555</v>
      </c>
      <c r="M1063" s="846" t="n">
        <v>1995</v>
      </c>
      <c r="N1063" s="846" t="n">
        <f aca="false">M1063/H1062</f>
        <v>133</v>
      </c>
      <c r="O1063" s="1936" t="s">
        <v>1091</v>
      </c>
      <c r="P1063" s="1948"/>
      <c r="Q1063" s="1934"/>
      <c r="R1063" s="1935"/>
    </row>
    <row r="1064" customFormat="false" ht="14.25" hidden="false" customHeight="false" outlineLevel="0" collapsed="false">
      <c r="A1064" s="903" t="n">
        <v>124</v>
      </c>
      <c r="B1064" s="903" t="n">
        <v>2025</v>
      </c>
      <c r="C1064" s="1974" t="n">
        <v>46054</v>
      </c>
      <c r="D1064" s="1351" t="s">
        <v>5</v>
      </c>
      <c r="E1064" s="1351" t="s">
        <v>2619</v>
      </c>
      <c r="F1064" s="904" t="s">
        <v>3364</v>
      </c>
      <c r="G1064" s="2012" t="n">
        <v>130</v>
      </c>
      <c r="H1064" s="942" t="n">
        <v>30</v>
      </c>
      <c r="I1064" s="1355" t="n">
        <f aca="false">G1064*H1064</f>
        <v>3900</v>
      </c>
      <c r="J1064" s="1406" t="n">
        <v>94.3</v>
      </c>
      <c r="K1064" s="1942" t="n">
        <f aca="false">I1064*J1064</f>
        <v>367770</v>
      </c>
      <c r="L1064" s="1355" t="n">
        <v>364941</v>
      </c>
      <c r="M1064" s="891" t="n">
        <v>3870</v>
      </c>
      <c r="N1064" s="840" t="n">
        <f aca="false">M1064/H1064</f>
        <v>129</v>
      </c>
      <c r="O1064" s="1943" t="s">
        <v>1124</v>
      </c>
      <c r="P1064" s="1947" t="n">
        <f aca="false">K1064-L1064</f>
        <v>2829</v>
      </c>
      <c r="Q1064" s="1945" t="n">
        <f aca="false">I1064-M1064</f>
        <v>30</v>
      </c>
      <c r="R1064" s="2000" t="n">
        <f aca="false">G1064-N1064</f>
        <v>1</v>
      </c>
    </row>
    <row r="1065" customFormat="false" ht="14.25" hidden="false" customHeight="false" outlineLevel="0" collapsed="false">
      <c r="A1065" s="1465" t="n">
        <v>128</v>
      </c>
      <c r="B1065" s="1546" t="n">
        <v>2025</v>
      </c>
      <c r="C1065" s="1975" t="n">
        <v>46054</v>
      </c>
      <c r="D1065" s="1607" t="s">
        <v>5</v>
      </c>
      <c r="E1065" s="1607" t="s">
        <v>1651</v>
      </c>
      <c r="F1065" s="1328" t="s">
        <v>3364</v>
      </c>
      <c r="G1065" s="2011" t="n">
        <v>666</v>
      </c>
      <c r="H1065" s="1036" t="n">
        <v>15</v>
      </c>
      <c r="I1065" s="1036" t="n">
        <f aca="false">G1065*H1065</f>
        <v>9990</v>
      </c>
      <c r="J1065" s="1557" t="n">
        <v>27.2477</v>
      </c>
      <c r="K1065" s="1547" t="n">
        <f aca="false">I1065*J1065</f>
        <v>272204.523</v>
      </c>
      <c r="L1065" s="1665" t="n">
        <v>68255.4885</v>
      </c>
      <c r="M1065" s="886" t="n">
        <v>2505</v>
      </c>
      <c r="N1065" s="886" t="n">
        <f aca="false">M1065/H1065</f>
        <v>167</v>
      </c>
      <c r="O1065" s="1595" t="s">
        <v>1091</v>
      </c>
      <c r="P1065" s="1984" t="n">
        <f aca="false">K1065-L1065-L1068-L1067-L1066</f>
        <v>0</v>
      </c>
      <c r="Q1065" s="1978" t="n">
        <f aca="false">I1065-M1065-M1068-M1067-M1066</f>
        <v>0</v>
      </c>
      <c r="R1065" s="1979" t="n">
        <f aca="false">G1065-N1065-N1068-N1067-N1066</f>
        <v>0</v>
      </c>
    </row>
    <row r="1066" customFormat="false" ht="14.25" hidden="false" customHeight="false" outlineLevel="0" collapsed="false">
      <c r="A1066" s="1465"/>
      <c r="B1066" s="1546"/>
      <c r="C1066" s="1975"/>
      <c r="D1066" s="1480" t="s">
        <v>5</v>
      </c>
      <c r="E1066" s="1480" t="s">
        <v>1651</v>
      </c>
      <c r="F1066" s="1328"/>
      <c r="G1066" s="2011"/>
      <c r="H1066" s="1036"/>
      <c r="I1066" s="1036"/>
      <c r="J1066" s="1557"/>
      <c r="K1066" s="1547"/>
      <c r="L1066" s="1521" t="n">
        <v>60898.6095</v>
      </c>
      <c r="M1066" s="866" t="n">
        <v>2235</v>
      </c>
      <c r="N1066" s="866" t="n">
        <f aca="false">M1066/H1065</f>
        <v>149</v>
      </c>
      <c r="O1066" s="545" t="s">
        <v>1160</v>
      </c>
      <c r="P1066" s="1984"/>
      <c r="Q1066" s="1978"/>
      <c r="R1066" s="1979"/>
    </row>
    <row r="1067" customFormat="false" ht="14.25" hidden="false" customHeight="false" outlineLevel="0" collapsed="false">
      <c r="A1067" s="1465"/>
      <c r="B1067" s="1546"/>
      <c r="C1067" s="1975"/>
      <c r="D1067" s="1480" t="s">
        <v>5</v>
      </c>
      <c r="E1067" s="1480" t="s">
        <v>1651</v>
      </c>
      <c r="F1067" s="1328"/>
      <c r="G1067" s="2011"/>
      <c r="H1067" s="1036"/>
      <c r="I1067" s="1036"/>
      <c r="J1067" s="1557"/>
      <c r="K1067" s="1547"/>
      <c r="L1067" s="1521" t="n">
        <v>20435.775</v>
      </c>
      <c r="M1067" s="866" t="n">
        <v>750</v>
      </c>
      <c r="N1067" s="866" t="n">
        <f aca="false">M1067/H1065</f>
        <v>50</v>
      </c>
      <c r="O1067" s="545" t="s">
        <v>1121</v>
      </c>
      <c r="P1067" s="1984"/>
      <c r="Q1067" s="1978"/>
      <c r="R1067" s="1979"/>
    </row>
    <row r="1068" customFormat="false" ht="14.25" hidden="false" customHeight="false" outlineLevel="0" collapsed="false">
      <c r="A1068" s="1465"/>
      <c r="B1068" s="1546"/>
      <c r="C1068" s="1975"/>
      <c r="D1068" s="1478" t="s">
        <v>5</v>
      </c>
      <c r="E1068" s="1478" t="s">
        <v>1651</v>
      </c>
      <c r="F1068" s="1328"/>
      <c r="G1068" s="2011"/>
      <c r="H1068" s="1036"/>
      <c r="I1068" s="1036"/>
      <c r="J1068" s="1557"/>
      <c r="K1068" s="1547"/>
      <c r="L1068" s="1587" t="n">
        <v>122614.65</v>
      </c>
      <c r="M1068" s="877" t="n">
        <v>4500</v>
      </c>
      <c r="N1068" s="877" t="n">
        <f aca="false">M1068/H1065</f>
        <v>300</v>
      </c>
      <c r="O1068" s="584" t="s">
        <v>1088</v>
      </c>
      <c r="P1068" s="1984"/>
      <c r="Q1068" s="1978"/>
      <c r="R1068" s="1979"/>
    </row>
    <row r="1069" customFormat="false" ht="14.25" hidden="false" customHeight="false" outlineLevel="0" collapsed="false">
      <c r="A1069" s="882" t="n">
        <v>129</v>
      </c>
      <c r="B1069" s="830" t="n">
        <v>2025</v>
      </c>
      <c r="C1069" s="1965" t="n">
        <v>46054</v>
      </c>
      <c r="D1069" s="1365" t="s">
        <v>5</v>
      </c>
      <c r="E1069" s="1365" t="s">
        <v>1651</v>
      </c>
      <c r="F1069" s="832" t="s">
        <v>3375</v>
      </c>
      <c r="G1069" s="2010" t="n">
        <v>69</v>
      </c>
      <c r="H1069" s="837" t="n">
        <v>15</v>
      </c>
      <c r="I1069" s="837" t="n">
        <f aca="false">G1069*H1069</f>
        <v>1035</v>
      </c>
      <c r="J1069" s="1059" t="n">
        <v>27.2477</v>
      </c>
      <c r="K1069" s="943" t="n">
        <f aca="false">I1069*J1069</f>
        <v>28201.3695</v>
      </c>
      <c r="L1069" s="1369" t="n">
        <v>17166.05</v>
      </c>
      <c r="M1069" s="840" t="n">
        <v>630</v>
      </c>
      <c r="N1069" s="886" t="n">
        <f aca="false">M1069/H1069</f>
        <v>42</v>
      </c>
      <c r="O1069" s="578" t="s">
        <v>1134</v>
      </c>
      <c r="P1069" s="1948" t="n">
        <f aca="false">K1069-L1069-L1071-L1070</f>
        <v>0</v>
      </c>
      <c r="Q1069" s="1934" t="n">
        <f aca="false">I1069-M1069-M1071-M1070</f>
        <v>0</v>
      </c>
      <c r="R1069" s="1935" t="n">
        <f aca="false">G1069-N1069-N1071-N1070</f>
        <v>0</v>
      </c>
    </row>
    <row r="1070" customFormat="false" ht="14.25" hidden="false" customHeight="false" outlineLevel="0" collapsed="false">
      <c r="A1070" s="882"/>
      <c r="B1070" s="830"/>
      <c r="C1070" s="1965"/>
      <c r="D1070" s="1351" t="s">
        <v>5</v>
      </c>
      <c r="E1070" s="1351" t="s">
        <v>1651</v>
      </c>
      <c r="F1070" s="832"/>
      <c r="G1070" s="2010"/>
      <c r="H1070" s="837"/>
      <c r="I1070" s="837"/>
      <c r="J1070" s="1059"/>
      <c r="K1070" s="943"/>
      <c r="L1070" s="1355" t="n">
        <v>4904.587</v>
      </c>
      <c r="M1070" s="891" t="n">
        <v>180</v>
      </c>
      <c r="N1070" s="866" t="n">
        <f aca="false">M1070/H1069</f>
        <v>12</v>
      </c>
      <c r="O1070" s="1943" t="s">
        <v>1318</v>
      </c>
      <c r="P1070" s="1948"/>
      <c r="Q1070" s="1934"/>
      <c r="R1070" s="1935"/>
    </row>
    <row r="1071" customFormat="false" ht="14.25" hidden="false" customHeight="false" outlineLevel="0" collapsed="false">
      <c r="A1071" s="882"/>
      <c r="B1071" s="830"/>
      <c r="C1071" s="1965"/>
      <c r="D1071" s="1357" t="s">
        <v>5</v>
      </c>
      <c r="E1071" s="1357" t="s">
        <v>1651</v>
      </c>
      <c r="F1071" s="832"/>
      <c r="G1071" s="2010"/>
      <c r="H1071" s="837"/>
      <c r="I1071" s="837"/>
      <c r="J1071" s="1059"/>
      <c r="K1071" s="943"/>
      <c r="L1071" s="1362" t="n">
        <v>6130.7325</v>
      </c>
      <c r="M1071" s="846" t="n">
        <v>225</v>
      </c>
      <c r="N1071" s="846" t="n">
        <f aca="false">M1071/H1069</f>
        <v>15</v>
      </c>
      <c r="O1071" s="1936" t="s">
        <v>1314</v>
      </c>
      <c r="P1071" s="1948"/>
      <c r="Q1071" s="1934"/>
      <c r="R1071" s="1935"/>
    </row>
    <row r="1072" customFormat="false" ht="14.25" hidden="false" customHeight="false" outlineLevel="0" collapsed="false">
      <c r="A1072" s="1087" t="n">
        <v>130</v>
      </c>
      <c r="B1072" s="1072" t="n">
        <v>2025</v>
      </c>
      <c r="C1072" s="1980" t="n">
        <v>46054</v>
      </c>
      <c r="D1072" s="1351" t="s">
        <v>5</v>
      </c>
      <c r="E1072" s="1351" t="s">
        <v>1651</v>
      </c>
      <c r="F1072" s="887" t="s">
        <v>3364</v>
      </c>
      <c r="G1072" s="2017" t="n">
        <v>337</v>
      </c>
      <c r="H1072" s="1067" t="n">
        <v>15</v>
      </c>
      <c r="I1072" s="1067" t="n">
        <f aca="false">G1072*H1072</f>
        <v>5055</v>
      </c>
      <c r="J1072" s="1063" t="n">
        <v>35.6457</v>
      </c>
      <c r="K1072" s="1452" t="n">
        <f aca="false">I1072*J1072</f>
        <v>180189.0135</v>
      </c>
      <c r="L1072" s="1355" t="n">
        <v>37427.985</v>
      </c>
      <c r="M1072" s="891" t="n">
        <v>1050</v>
      </c>
      <c r="N1072" s="854" t="n">
        <f aca="false">M1072/H1072</f>
        <v>70</v>
      </c>
      <c r="O1072" s="1943" t="s">
        <v>1121</v>
      </c>
      <c r="P1072" s="1952" t="n">
        <f aca="false">K1072-L1072-L1073</f>
        <v>0</v>
      </c>
      <c r="Q1072" s="1953" t="n">
        <f aca="false">I1072-M1072-M1073</f>
        <v>0</v>
      </c>
      <c r="R1072" s="1954" t="n">
        <f aca="false">G1072-N1072-N1073</f>
        <v>0</v>
      </c>
    </row>
    <row r="1073" customFormat="false" ht="14.25" hidden="false" customHeight="false" outlineLevel="0" collapsed="false">
      <c r="A1073" s="1087"/>
      <c r="B1073" s="1072"/>
      <c r="C1073" s="1980"/>
      <c r="D1073" s="1357" t="s">
        <v>5</v>
      </c>
      <c r="E1073" s="1357" t="s">
        <v>1651</v>
      </c>
      <c r="F1073" s="887"/>
      <c r="G1073" s="2017"/>
      <c r="H1073" s="1067"/>
      <c r="I1073" s="1067"/>
      <c r="J1073" s="1063"/>
      <c r="K1073" s="1452"/>
      <c r="L1073" s="1362" t="n">
        <v>142761.0285</v>
      </c>
      <c r="M1073" s="846" t="n">
        <v>4005</v>
      </c>
      <c r="N1073" s="846" t="n">
        <f aca="false">M1073/H1072</f>
        <v>267</v>
      </c>
      <c r="O1073" s="1936" t="s">
        <v>567</v>
      </c>
      <c r="P1073" s="1952"/>
      <c r="Q1073" s="1953"/>
      <c r="R1073" s="1954"/>
    </row>
    <row r="1074" customFormat="false" ht="14.25" hidden="false" customHeight="false" outlineLevel="0" collapsed="false">
      <c r="A1074" s="903" t="n">
        <v>135</v>
      </c>
      <c r="B1074" s="903" t="n">
        <v>2025</v>
      </c>
      <c r="C1074" s="1974" t="n">
        <v>46054</v>
      </c>
      <c r="D1074" s="1351" t="s">
        <v>5</v>
      </c>
      <c r="E1074" s="1351" t="s">
        <v>1651</v>
      </c>
      <c r="F1074" s="904" t="s">
        <v>3371</v>
      </c>
      <c r="G1074" s="2012" t="n">
        <v>247</v>
      </c>
      <c r="H1074" s="942" t="n">
        <v>12</v>
      </c>
      <c r="I1074" s="1355" t="n">
        <f aca="false">G1074*H1074</f>
        <v>2964</v>
      </c>
      <c r="J1074" s="1406" t="n">
        <v>24.4478</v>
      </c>
      <c r="K1074" s="1942" t="n">
        <f aca="false">I1074*J1074</f>
        <v>72463.2792</v>
      </c>
      <c r="L1074" s="1355" t="n">
        <v>72463.2792</v>
      </c>
      <c r="M1074" s="891" t="n">
        <v>2964</v>
      </c>
      <c r="N1074" s="891" t="n">
        <f aca="false">M1074/H1074</f>
        <v>247</v>
      </c>
      <c r="O1074" s="1943" t="s">
        <v>1122</v>
      </c>
      <c r="P1074" s="1947" t="n">
        <f aca="false">K1074-L1074</f>
        <v>0</v>
      </c>
      <c r="Q1074" s="1945" t="n">
        <f aca="false">I1074-M1074</f>
        <v>0</v>
      </c>
      <c r="R1074" s="2000" t="n">
        <f aca="false">G1074-N1074</f>
        <v>0</v>
      </c>
    </row>
    <row r="1075" customFormat="false" ht="14.25" hidden="false" customHeight="false" outlineLevel="0" collapsed="false">
      <c r="A1075" s="1465" t="n">
        <v>136</v>
      </c>
      <c r="B1075" s="1546" t="n">
        <v>2025</v>
      </c>
      <c r="C1075" s="1975" t="n">
        <v>46054</v>
      </c>
      <c r="D1075" s="1607" t="s">
        <v>5</v>
      </c>
      <c r="E1075" s="1607" t="s">
        <v>1651</v>
      </c>
      <c r="F1075" s="1328" t="s">
        <v>3364</v>
      </c>
      <c r="G1075" s="2011" t="n">
        <v>520</v>
      </c>
      <c r="H1075" s="1036" t="n">
        <v>15</v>
      </c>
      <c r="I1075" s="1036" t="n">
        <f aca="false">G1075*H1075</f>
        <v>7800</v>
      </c>
      <c r="J1075" s="1557" t="n">
        <v>24.4478</v>
      </c>
      <c r="K1075" s="1547" t="n">
        <f aca="false">I1075*J1075</f>
        <v>190692.84</v>
      </c>
      <c r="L1075" s="1665" t="n">
        <v>49140.078</v>
      </c>
      <c r="M1075" s="886" t="n">
        <v>2010</v>
      </c>
      <c r="N1075" s="886" t="n">
        <f aca="false">M1075/H1075</f>
        <v>134</v>
      </c>
      <c r="O1075" s="1595" t="s">
        <v>1133</v>
      </c>
      <c r="P1075" s="1984" t="n">
        <f aca="false">K1075-L1075-L1078-L1077-L1076</f>
        <v>0</v>
      </c>
      <c r="Q1075" s="1978" t="n">
        <f aca="false">I1075-M1075-M1078-M1077-M1076</f>
        <v>0</v>
      </c>
      <c r="R1075" s="1979" t="n">
        <f aca="false">G1075-N1075-N1078-N1077-N1076</f>
        <v>0</v>
      </c>
    </row>
    <row r="1076" customFormat="false" ht="14.25" hidden="false" customHeight="false" outlineLevel="0" collapsed="false">
      <c r="A1076" s="1465"/>
      <c r="B1076" s="1546"/>
      <c r="C1076" s="1975"/>
      <c r="D1076" s="1480" t="s">
        <v>5</v>
      </c>
      <c r="E1076" s="1480" t="s">
        <v>1651</v>
      </c>
      <c r="F1076" s="1328"/>
      <c r="G1076" s="2011"/>
      <c r="H1076" s="1036"/>
      <c r="I1076" s="1036"/>
      <c r="J1076" s="1557"/>
      <c r="K1076" s="1547"/>
      <c r="L1076" s="1521" t="n">
        <v>19069.284</v>
      </c>
      <c r="M1076" s="866" t="n">
        <v>780</v>
      </c>
      <c r="N1076" s="866" t="n">
        <f aca="false">M1076/H1075</f>
        <v>52</v>
      </c>
      <c r="O1076" s="545" t="s">
        <v>1151</v>
      </c>
      <c r="P1076" s="1984"/>
      <c r="Q1076" s="1978"/>
      <c r="R1076" s="1979"/>
    </row>
    <row r="1077" customFormat="false" ht="14.25" hidden="false" customHeight="false" outlineLevel="0" collapsed="false">
      <c r="A1077" s="1465"/>
      <c r="B1077" s="1546"/>
      <c r="C1077" s="1975"/>
      <c r="D1077" s="1480" t="s">
        <v>5</v>
      </c>
      <c r="E1077" s="1480" t="s">
        <v>1651</v>
      </c>
      <c r="F1077" s="1328"/>
      <c r="G1077" s="2011"/>
      <c r="H1077" s="1036"/>
      <c r="I1077" s="1036"/>
      <c r="J1077" s="1557"/>
      <c r="K1077" s="1547"/>
      <c r="L1077" s="1521" t="n">
        <v>73343.4</v>
      </c>
      <c r="M1077" s="866" t="n">
        <v>3000</v>
      </c>
      <c r="N1077" s="866" t="n">
        <f aca="false">M1077/H1075</f>
        <v>200</v>
      </c>
      <c r="O1077" s="545" t="s">
        <v>1146</v>
      </c>
      <c r="P1077" s="1984"/>
      <c r="Q1077" s="1978"/>
      <c r="R1077" s="1979"/>
    </row>
    <row r="1078" customFormat="false" ht="14.25" hidden="false" customHeight="false" outlineLevel="0" collapsed="false">
      <c r="A1078" s="1465"/>
      <c r="B1078" s="1546"/>
      <c r="C1078" s="1975"/>
      <c r="D1078" s="1478" t="s">
        <v>5</v>
      </c>
      <c r="E1078" s="1478" t="s">
        <v>1651</v>
      </c>
      <c r="F1078" s="1328"/>
      <c r="G1078" s="2011"/>
      <c r="H1078" s="1036"/>
      <c r="I1078" s="1036"/>
      <c r="J1078" s="1557"/>
      <c r="K1078" s="1547"/>
      <c r="L1078" s="1355" t="n">
        <v>49140.078</v>
      </c>
      <c r="M1078" s="891" t="n">
        <v>2010</v>
      </c>
      <c r="N1078" s="891" t="n">
        <f aca="false">M1078/H1075</f>
        <v>134</v>
      </c>
      <c r="O1078" s="1943" t="s">
        <v>1145</v>
      </c>
      <c r="P1078" s="1984"/>
      <c r="Q1078" s="1978"/>
      <c r="R1078" s="1979"/>
    </row>
    <row r="1079" customFormat="false" ht="14.25" hidden="false" customHeight="false" outlineLevel="0" collapsed="false">
      <c r="A1079" s="1027" t="n">
        <v>149</v>
      </c>
      <c r="B1079" s="1546" t="n">
        <v>2025</v>
      </c>
      <c r="C1079" s="1975" t="n">
        <v>46054</v>
      </c>
      <c r="D1079" s="1365" t="s">
        <v>5</v>
      </c>
      <c r="E1079" s="1365" t="s">
        <v>1651</v>
      </c>
      <c r="F1079" s="1328" t="s">
        <v>3364</v>
      </c>
      <c r="G1079" s="2011" t="n">
        <v>156</v>
      </c>
      <c r="H1079" s="1036" t="n">
        <v>15</v>
      </c>
      <c r="I1079" s="1036" t="n">
        <f aca="false">G1079*H1079</f>
        <v>2340</v>
      </c>
      <c r="J1079" s="1557" t="n">
        <v>30.6015</v>
      </c>
      <c r="K1079" s="1547" t="n">
        <f aca="false">I1079*J1079</f>
        <v>71607.51</v>
      </c>
      <c r="L1079" s="1369" t="n">
        <v>9180.45</v>
      </c>
      <c r="M1079" s="840" t="n">
        <v>300</v>
      </c>
      <c r="N1079" s="886" t="n">
        <f aca="false">M1079/H1079</f>
        <v>20</v>
      </c>
      <c r="O1079" s="578" t="s">
        <v>1034</v>
      </c>
      <c r="P1079" s="1984" t="n">
        <f aca="false">K1079-L1079-L1081-L1080</f>
        <v>0</v>
      </c>
      <c r="Q1079" s="1978" t="n">
        <f aca="false">I1079-M1079-M1081-M1080</f>
        <v>0</v>
      </c>
      <c r="R1079" s="1979" t="n">
        <f aca="false">G1079-N1079-N1081-N1080</f>
        <v>0</v>
      </c>
    </row>
    <row r="1080" customFormat="false" ht="14.25" hidden="false" customHeight="false" outlineLevel="0" collapsed="false">
      <c r="A1080" s="1027"/>
      <c r="B1080" s="1546"/>
      <c r="C1080" s="1975"/>
      <c r="D1080" s="1351" t="s">
        <v>5</v>
      </c>
      <c r="E1080" s="1351" t="s">
        <v>1651</v>
      </c>
      <c r="F1080" s="1328"/>
      <c r="G1080" s="2011"/>
      <c r="H1080" s="1036"/>
      <c r="I1080" s="1036"/>
      <c r="J1080" s="1557"/>
      <c r="K1080" s="1547"/>
      <c r="L1080" s="1355" t="n">
        <v>39475.935</v>
      </c>
      <c r="M1080" s="891" t="n">
        <v>1290</v>
      </c>
      <c r="N1080" s="866" t="n">
        <f aca="false">M1080/H1079</f>
        <v>86</v>
      </c>
      <c r="O1080" s="1943" t="s">
        <v>1191</v>
      </c>
      <c r="P1080" s="1984"/>
      <c r="Q1080" s="1978"/>
      <c r="R1080" s="1979"/>
    </row>
    <row r="1081" customFormat="false" ht="14.25" hidden="false" customHeight="false" outlineLevel="0" collapsed="false">
      <c r="A1081" s="1027"/>
      <c r="B1081" s="1546"/>
      <c r="C1081" s="1975"/>
      <c r="D1081" s="1478" t="s">
        <v>5</v>
      </c>
      <c r="E1081" s="1478" t="s">
        <v>1651</v>
      </c>
      <c r="F1081" s="1328"/>
      <c r="G1081" s="2011"/>
      <c r="H1081" s="1036"/>
      <c r="I1081" s="1036"/>
      <c r="J1081" s="1557"/>
      <c r="K1081" s="1547"/>
      <c r="L1081" s="1587" t="n">
        <v>22951.125</v>
      </c>
      <c r="M1081" s="877" t="n">
        <v>750</v>
      </c>
      <c r="N1081" s="877" t="n">
        <f aca="false">M1081/H1079</f>
        <v>50</v>
      </c>
      <c r="O1081" s="584" t="s">
        <v>1160</v>
      </c>
      <c r="P1081" s="1984"/>
      <c r="Q1081" s="1978"/>
      <c r="R1081" s="1979"/>
    </row>
    <row r="1082" customFormat="false" ht="14.25" hidden="false" customHeight="false" outlineLevel="0" collapsed="false">
      <c r="A1082" s="829" t="n">
        <v>150</v>
      </c>
      <c r="B1082" s="830" t="n">
        <v>2025</v>
      </c>
      <c r="C1082" s="1965" t="n">
        <v>46054</v>
      </c>
      <c r="D1082" s="1365" t="s">
        <v>5</v>
      </c>
      <c r="E1082" s="1365" t="s">
        <v>1651</v>
      </c>
      <c r="F1082" s="832" t="s">
        <v>3364</v>
      </c>
      <c r="G1082" s="2010" t="n">
        <v>401</v>
      </c>
      <c r="H1082" s="837" t="n">
        <v>15</v>
      </c>
      <c r="I1082" s="837" t="n">
        <f aca="false">G1082*H1082</f>
        <v>6015</v>
      </c>
      <c r="J1082" s="1059" t="n">
        <v>30.3503</v>
      </c>
      <c r="K1082" s="943" t="n">
        <f aca="false">I1082*J1082</f>
        <v>182557.0545</v>
      </c>
      <c r="L1082" s="1665" t="n">
        <v>98790.2265</v>
      </c>
      <c r="M1082" s="886" t="n">
        <v>3255</v>
      </c>
      <c r="N1082" s="886" t="n">
        <f aca="false">M1082/H1082</f>
        <v>217</v>
      </c>
      <c r="O1082" s="1595" t="s">
        <v>1059</v>
      </c>
      <c r="P1082" s="1948" t="n">
        <f aca="false">K1082-L1082-L1089-L1088-L1083-L1087-L1084-L1086-L1085</f>
        <v>0</v>
      </c>
      <c r="Q1082" s="1934" t="n">
        <f aca="false">I1082-M1082-M1089-M1088-M1083-M1087-M1084-M1086-M1085</f>
        <v>0</v>
      </c>
      <c r="R1082" s="1935" t="n">
        <f aca="false">G1082-N1082-N1089-N1088-N1083-N1087-N1084-N1086-N1085</f>
        <v>0</v>
      </c>
    </row>
    <row r="1083" customFormat="false" ht="14.25" hidden="false" customHeight="false" outlineLevel="0" collapsed="false">
      <c r="A1083" s="829"/>
      <c r="B1083" s="830"/>
      <c r="C1083" s="1965"/>
      <c r="D1083" s="1480" t="s">
        <v>5</v>
      </c>
      <c r="E1083" s="1480" t="s">
        <v>1651</v>
      </c>
      <c r="F1083" s="832"/>
      <c r="G1083" s="2010"/>
      <c r="H1083" s="837"/>
      <c r="I1083" s="837"/>
      <c r="J1083" s="1059"/>
      <c r="K1083" s="943"/>
      <c r="L1083" s="1521" t="n">
        <v>3186.7815</v>
      </c>
      <c r="M1083" s="866" t="n">
        <v>105</v>
      </c>
      <c r="N1083" s="866" t="n">
        <f aca="false">M1083/H1082</f>
        <v>7</v>
      </c>
      <c r="O1083" s="545" t="s">
        <v>1255</v>
      </c>
      <c r="P1083" s="1948"/>
      <c r="Q1083" s="1934"/>
      <c r="R1083" s="1935"/>
    </row>
    <row r="1084" customFormat="false" ht="14.25" hidden="false" customHeight="false" outlineLevel="0" collapsed="false">
      <c r="A1084" s="829"/>
      <c r="B1084" s="830"/>
      <c r="C1084" s="1965"/>
      <c r="D1084" s="1480" t="s">
        <v>5</v>
      </c>
      <c r="E1084" s="1480" t="s">
        <v>1651</v>
      </c>
      <c r="F1084" s="832"/>
      <c r="G1084" s="2010"/>
      <c r="H1084" s="837"/>
      <c r="I1084" s="837"/>
      <c r="J1084" s="1059"/>
      <c r="K1084" s="943"/>
      <c r="L1084" s="1521" t="n">
        <v>7284.072</v>
      </c>
      <c r="M1084" s="866" t="n">
        <v>240</v>
      </c>
      <c r="N1084" s="866" t="n">
        <f aca="false">M1084/H1082</f>
        <v>16</v>
      </c>
      <c r="O1084" s="545" t="s">
        <v>1300</v>
      </c>
      <c r="P1084" s="1948"/>
      <c r="Q1084" s="1934"/>
      <c r="R1084" s="1935"/>
    </row>
    <row r="1085" customFormat="false" ht="14.25" hidden="false" customHeight="false" outlineLevel="0" collapsed="false">
      <c r="A1085" s="829"/>
      <c r="B1085" s="830"/>
      <c r="C1085" s="1965"/>
      <c r="D1085" s="1480" t="s">
        <v>5</v>
      </c>
      <c r="E1085" s="1480" t="s">
        <v>1651</v>
      </c>
      <c r="F1085" s="832"/>
      <c r="G1085" s="2010"/>
      <c r="H1085" s="837"/>
      <c r="I1085" s="837"/>
      <c r="J1085" s="1059"/>
      <c r="K1085" s="943"/>
      <c r="L1085" s="1521" t="n">
        <v>5918.3085</v>
      </c>
      <c r="M1085" s="866" t="n">
        <v>195</v>
      </c>
      <c r="N1085" s="866" t="n">
        <f aca="false">M1085/H1082</f>
        <v>13</v>
      </c>
      <c r="O1085" s="545" t="s">
        <v>1318</v>
      </c>
      <c r="P1085" s="1948"/>
      <c r="Q1085" s="1934"/>
      <c r="R1085" s="1935"/>
    </row>
    <row r="1086" customFormat="false" ht="14.25" hidden="false" customHeight="false" outlineLevel="0" collapsed="false">
      <c r="A1086" s="829"/>
      <c r="B1086" s="830"/>
      <c r="C1086" s="1965"/>
      <c r="D1086" s="1480" t="s">
        <v>5</v>
      </c>
      <c r="E1086" s="1480" t="s">
        <v>1651</v>
      </c>
      <c r="F1086" s="832"/>
      <c r="G1086" s="2010"/>
      <c r="H1086" s="837"/>
      <c r="I1086" s="837"/>
      <c r="J1086" s="1059"/>
      <c r="K1086" s="943"/>
      <c r="L1086" s="1521" t="n">
        <v>12291.8715</v>
      </c>
      <c r="M1086" s="866" t="n">
        <v>405</v>
      </c>
      <c r="N1086" s="866" t="n">
        <f aca="false">M1086/H1082</f>
        <v>27</v>
      </c>
      <c r="O1086" s="545" t="s">
        <v>3465</v>
      </c>
      <c r="P1086" s="1948"/>
      <c r="Q1086" s="1934"/>
      <c r="R1086" s="1935"/>
    </row>
    <row r="1087" customFormat="false" ht="14.25" hidden="false" customHeight="false" outlineLevel="0" collapsed="false">
      <c r="A1087" s="829"/>
      <c r="B1087" s="830"/>
      <c r="C1087" s="1965"/>
      <c r="D1087" s="1480" t="s">
        <v>5</v>
      </c>
      <c r="E1087" s="1480" t="s">
        <v>1651</v>
      </c>
      <c r="F1087" s="832"/>
      <c r="G1087" s="2010"/>
      <c r="H1087" s="837"/>
      <c r="I1087" s="837"/>
      <c r="J1087" s="1059"/>
      <c r="K1087" s="943"/>
      <c r="L1087" s="1521" t="n">
        <v>23673.234</v>
      </c>
      <c r="M1087" s="866" t="n">
        <v>780</v>
      </c>
      <c r="N1087" s="866" t="n">
        <f aca="false">M1087/H1082</f>
        <v>52</v>
      </c>
      <c r="O1087" s="545" t="s">
        <v>1284</v>
      </c>
      <c r="P1087" s="1948"/>
      <c r="Q1087" s="1934"/>
      <c r="R1087" s="1935"/>
    </row>
    <row r="1088" customFormat="false" ht="14.25" hidden="false" customHeight="false" outlineLevel="0" collapsed="false">
      <c r="A1088" s="829"/>
      <c r="B1088" s="830"/>
      <c r="C1088" s="1965"/>
      <c r="D1088" s="1480" t="s">
        <v>5</v>
      </c>
      <c r="E1088" s="1480" t="s">
        <v>1651</v>
      </c>
      <c r="F1088" s="832"/>
      <c r="G1088" s="2010"/>
      <c r="H1088" s="837"/>
      <c r="I1088" s="837"/>
      <c r="J1088" s="1059"/>
      <c r="K1088" s="943"/>
      <c r="L1088" s="1521" t="n">
        <v>22762.725</v>
      </c>
      <c r="M1088" s="866" t="n">
        <v>750</v>
      </c>
      <c r="N1088" s="866" t="n">
        <f aca="false">M1088/H1082</f>
        <v>50</v>
      </c>
      <c r="O1088" s="545" t="s">
        <v>1195</v>
      </c>
      <c r="P1088" s="1948"/>
      <c r="Q1088" s="1934"/>
      <c r="R1088" s="1935"/>
    </row>
    <row r="1089" customFormat="false" ht="14.25" hidden="false" customHeight="false" outlineLevel="0" collapsed="false">
      <c r="A1089" s="829"/>
      <c r="B1089" s="830"/>
      <c r="C1089" s="1965"/>
      <c r="D1089" s="1357" t="s">
        <v>5</v>
      </c>
      <c r="E1089" s="1357" t="s">
        <v>1651</v>
      </c>
      <c r="F1089" s="832"/>
      <c r="G1089" s="2010"/>
      <c r="H1089" s="837"/>
      <c r="I1089" s="837"/>
      <c r="J1089" s="1059"/>
      <c r="K1089" s="943"/>
      <c r="L1089" s="1362" t="n">
        <v>8649.8355</v>
      </c>
      <c r="M1089" s="846" t="n">
        <v>285</v>
      </c>
      <c r="N1089" s="846" t="n">
        <f aca="false">M1089/H1082</f>
        <v>19</v>
      </c>
      <c r="O1089" s="1936" t="s">
        <v>1191</v>
      </c>
      <c r="P1089" s="1948"/>
      <c r="Q1089" s="1934"/>
      <c r="R1089" s="1935"/>
    </row>
    <row r="1090" customFormat="false" ht="14.25" hidden="false" customHeight="false" outlineLevel="0" collapsed="false">
      <c r="A1090" s="903" t="n">
        <v>151</v>
      </c>
      <c r="B1090" s="903" t="n">
        <v>2025</v>
      </c>
      <c r="C1090" s="1974" t="n">
        <v>46054</v>
      </c>
      <c r="D1090" s="1351" t="s">
        <v>5</v>
      </c>
      <c r="E1090" s="1351" t="s">
        <v>1651</v>
      </c>
      <c r="F1090" s="904" t="s">
        <v>3364</v>
      </c>
      <c r="G1090" s="2012" t="n">
        <v>34</v>
      </c>
      <c r="H1090" s="942" t="n">
        <v>15</v>
      </c>
      <c r="I1090" s="1355" t="n">
        <f aca="false">G1090*H1090</f>
        <v>510</v>
      </c>
      <c r="J1090" s="1406" t="n">
        <v>48.9175</v>
      </c>
      <c r="K1090" s="1942" t="n">
        <f aca="false">I1090*J1090</f>
        <v>24947.925</v>
      </c>
      <c r="L1090" s="1355" t="n">
        <v>24947.925</v>
      </c>
      <c r="M1090" s="891" t="n">
        <v>510</v>
      </c>
      <c r="N1090" s="891" t="n">
        <f aca="false">M1090/H1090</f>
        <v>34</v>
      </c>
      <c r="O1090" s="1943" t="s">
        <v>1059</v>
      </c>
      <c r="P1090" s="1947" t="n">
        <f aca="false">K1090-L1090</f>
        <v>0</v>
      </c>
      <c r="Q1090" s="1945" t="n">
        <f aca="false">I1090-M1090</f>
        <v>0</v>
      </c>
      <c r="R1090" s="2000" t="n">
        <f aca="false">G1090-N1090</f>
        <v>0</v>
      </c>
    </row>
    <row r="1091" customFormat="false" ht="14.25" hidden="false" customHeight="false" outlineLevel="0" collapsed="false">
      <c r="A1091" s="829" t="n">
        <v>152</v>
      </c>
      <c r="B1091" s="830" t="n">
        <v>2025</v>
      </c>
      <c r="C1091" s="1965" t="n">
        <v>46054</v>
      </c>
      <c r="D1091" s="1607" t="s">
        <v>5</v>
      </c>
      <c r="E1091" s="1607" t="s">
        <v>1651</v>
      </c>
      <c r="F1091" s="1119" t="s">
        <v>3367</v>
      </c>
      <c r="G1091" s="2010" t="n">
        <v>666</v>
      </c>
      <c r="H1091" s="837" t="n">
        <v>15</v>
      </c>
      <c r="I1091" s="837" t="n">
        <f aca="false">G1091*H1091</f>
        <v>9990</v>
      </c>
      <c r="J1091" s="1059" t="n">
        <v>27.3193</v>
      </c>
      <c r="K1091" s="943" t="n">
        <f aca="false">I1091*J1091</f>
        <v>272919.807</v>
      </c>
      <c r="L1091" s="1665" t="n">
        <v>4917.474</v>
      </c>
      <c r="M1091" s="886" t="n">
        <v>180</v>
      </c>
      <c r="N1091" s="886" t="n">
        <f aca="false">M1091/H1091</f>
        <v>12</v>
      </c>
      <c r="O1091" s="1595" t="s">
        <v>1162</v>
      </c>
      <c r="P1091" s="1948" t="n">
        <f aca="false">K1091-L1091-L1099-L1098-L1092-L1093-L1097-L1094-L1096-L1095</f>
        <v>0</v>
      </c>
      <c r="Q1091" s="1934" t="n">
        <f aca="false">I1091-M1091-M1099-M1098-M1092-M1093-M1097-M1094-M1096-M1095</f>
        <v>0</v>
      </c>
      <c r="R1091" s="1935" t="n">
        <f aca="false">G1091-N1091-N1099-N1098-N1092-N1093-N1097-N1094-N1096-N1095</f>
        <v>0</v>
      </c>
    </row>
    <row r="1092" customFormat="false" ht="14.25" hidden="false" customHeight="false" outlineLevel="0" collapsed="false">
      <c r="A1092" s="829"/>
      <c r="B1092" s="830"/>
      <c r="C1092" s="1965"/>
      <c r="D1092" s="1480" t="s">
        <v>5</v>
      </c>
      <c r="E1092" s="1480" t="s">
        <v>1651</v>
      </c>
      <c r="F1092" s="1119"/>
      <c r="G1092" s="2010"/>
      <c r="H1092" s="837"/>
      <c r="I1092" s="837"/>
      <c r="J1092" s="1059"/>
      <c r="K1092" s="943"/>
      <c r="L1092" s="1521" t="n">
        <v>2458.737</v>
      </c>
      <c r="M1092" s="866" t="n">
        <v>90</v>
      </c>
      <c r="N1092" s="866" t="n">
        <f aca="false">M1092/H1091</f>
        <v>6</v>
      </c>
      <c r="O1092" s="545" t="s">
        <v>1167</v>
      </c>
      <c r="P1092" s="1948"/>
      <c r="Q1092" s="1934"/>
      <c r="R1092" s="1935"/>
    </row>
    <row r="1093" customFormat="false" ht="14.25" hidden="false" customHeight="false" outlineLevel="0" collapsed="false">
      <c r="A1093" s="829"/>
      <c r="B1093" s="830"/>
      <c r="C1093" s="1965"/>
      <c r="D1093" s="1480" t="s">
        <v>5</v>
      </c>
      <c r="E1093" s="1480" t="s">
        <v>1651</v>
      </c>
      <c r="F1093" s="1119"/>
      <c r="G1093" s="2010"/>
      <c r="H1093" s="837"/>
      <c r="I1093" s="837"/>
      <c r="J1093" s="1059"/>
      <c r="K1093" s="943"/>
      <c r="L1093" s="1521" t="n">
        <v>4917.474</v>
      </c>
      <c r="M1093" s="866" t="n">
        <v>180</v>
      </c>
      <c r="N1093" s="866" t="n">
        <f aca="false">M1093/H1091</f>
        <v>12</v>
      </c>
      <c r="O1093" s="545" t="s">
        <v>1168</v>
      </c>
      <c r="P1093" s="1948"/>
      <c r="Q1093" s="1934"/>
      <c r="R1093" s="1935"/>
    </row>
    <row r="1094" customFormat="false" ht="14.25" hidden="false" customHeight="false" outlineLevel="0" collapsed="false">
      <c r="A1094" s="829"/>
      <c r="B1094" s="830"/>
      <c r="C1094" s="1965"/>
      <c r="D1094" s="1480" t="s">
        <v>5</v>
      </c>
      <c r="E1094" s="1480" t="s">
        <v>1651</v>
      </c>
      <c r="F1094" s="1119"/>
      <c r="G1094" s="2010"/>
      <c r="H1094" s="837"/>
      <c r="I1094" s="837"/>
      <c r="J1094" s="1059"/>
      <c r="K1094" s="943"/>
      <c r="L1094" s="1521" t="n">
        <v>2458.737</v>
      </c>
      <c r="M1094" s="866" t="n">
        <v>90</v>
      </c>
      <c r="N1094" s="866" t="n">
        <f aca="false">M1094/H1091</f>
        <v>6</v>
      </c>
      <c r="O1094" s="545" t="s">
        <v>1170</v>
      </c>
      <c r="P1094" s="1948"/>
      <c r="Q1094" s="1934"/>
      <c r="R1094" s="1935"/>
    </row>
    <row r="1095" customFormat="false" ht="14.25" hidden="false" customHeight="false" outlineLevel="0" collapsed="false">
      <c r="A1095" s="829"/>
      <c r="B1095" s="830"/>
      <c r="C1095" s="1965"/>
      <c r="D1095" s="1480" t="s">
        <v>5</v>
      </c>
      <c r="E1095" s="1480" t="s">
        <v>1651</v>
      </c>
      <c r="F1095" s="1119"/>
      <c r="G1095" s="2010"/>
      <c r="H1095" s="837"/>
      <c r="I1095" s="837"/>
      <c r="J1095" s="1059"/>
      <c r="K1095" s="943"/>
      <c r="L1095" s="1521" t="n">
        <v>244644.3315</v>
      </c>
      <c r="M1095" s="866" t="n">
        <v>8955</v>
      </c>
      <c r="N1095" s="866" t="n">
        <f aca="false">M1095/H1091</f>
        <v>597</v>
      </c>
      <c r="O1095" s="545" t="s">
        <v>1155</v>
      </c>
      <c r="P1095" s="1948"/>
      <c r="Q1095" s="1934"/>
      <c r="R1095" s="1935"/>
    </row>
    <row r="1096" customFormat="false" ht="14.25" hidden="false" customHeight="false" outlineLevel="0" collapsed="false">
      <c r="A1096" s="829"/>
      <c r="B1096" s="830"/>
      <c r="C1096" s="1965"/>
      <c r="D1096" s="1480" t="s">
        <v>5</v>
      </c>
      <c r="E1096" s="1480" t="s">
        <v>1651</v>
      </c>
      <c r="F1096" s="1119"/>
      <c r="G1096" s="2010"/>
      <c r="H1096" s="837"/>
      <c r="I1096" s="837"/>
      <c r="J1096" s="1059"/>
      <c r="K1096" s="943"/>
      <c r="L1096" s="1521" t="n">
        <v>2458.737</v>
      </c>
      <c r="M1096" s="866" t="n">
        <v>90</v>
      </c>
      <c r="N1096" s="866" t="n">
        <f aca="false">M1096/H1091</f>
        <v>6</v>
      </c>
      <c r="O1096" s="545" t="s">
        <v>1171</v>
      </c>
      <c r="P1096" s="1948"/>
      <c r="Q1096" s="1934"/>
      <c r="R1096" s="1935"/>
    </row>
    <row r="1097" customFormat="false" ht="14.25" hidden="false" customHeight="false" outlineLevel="0" collapsed="false">
      <c r="A1097" s="829"/>
      <c r="B1097" s="830"/>
      <c r="C1097" s="1965"/>
      <c r="D1097" s="1480" t="s">
        <v>5</v>
      </c>
      <c r="E1097" s="1480" t="s">
        <v>1651</v>
      </c>
      <c r="F1097" s="1119"/>
      <c r="G1097" s="2010"/>
      <c r="H1097" s="837"/>
      <c r="I1097" s="837"/>
      <c r="J1097" s="1059"/>
      <c r="K1097" s="943"/>
      <c r="L1097" s="1521" t="n">
        <v>819.579</v>
      </c>
      <c r="M1097" s="866" t="n">
        <v>30</v>
      </c>
      <c r="N1097" s="866" t="n">
        <f aca="false">M1097/H1091</f>
        <v>2</v>
      </c>
      <c r="O1097" s="545" t="s">
        <v>1169</v>
      </c>
      <c r="P1097" s="1948"/>
      <c r="Q1097" s="1934"/>
      <c r="R1097" s="1935"/>
    </row>
    <row r="1098" customFormat="false" ht="14.25" hidden="false" customHeight="false" outlineLevel="0" collapsed="false">
      <c r="A1098" s="829"/>
      <c r="B1098" s="830"/>
      <c r="C1098" s="1965"/>
      <c r="D1098" s="1480" t="s">
        <v>5</v>
      </c>
      <c r="E1098" s="1480" t="s">
        <v>1651</v>
      </c>
      <c r="F1098" s="1119"/>
      <c r="G1098" s="2010"/>
      <c r="H1098" s="837"/>
      <c r="I1098" s="837"/>
      <c r="J1098" s="1059"/>
      <c r="K1098" s="943"/>
      <c r="L1098" s="1521" t="n">
        <v>3278.316</v>
      </c>
      <c r="M1098" s="866" t="n">
        <v>120</v>
      </c>
      <c r="N1098" s="866" t="n">
        <f aca="false">M1098/H1091</f>
        <v>8</v>
      </c>
      <c r="O1098" s="545" t="s">
        <v>1166</v>
      </c>
      <c r="P1098" s="1948"/>
      <c r="Q1098" s="1934"/>
      <c r="R1098" s="1935"/>
    </row>
    <row r="1099" customFormat="false" ht="14.25" hidden="false" customHeight="false" outlineLevel="0" collapsed="false">
      <c r="A1099" s="829"/>
      <c r="B1099" s="830"/>
      <c r="C1099" s="1965"/>
      <c r="D1099" s="1357" t="s">
        <v>5</v>
      </c>
      <c r="E1099" s="1357" t="s">
        <v>1651</v>
      </c>
      <c r="F1099" s="1119"/>
      <c r="G1099" s="2010"/>
      <c r="H1099" s="837"/>
      <c r="I1099" s="837"/>
      <c r="J1099" s="1059"/>
      <c r="K1099" s="943"/>
      <c r="L1099" s="1362" t="n">
        <v>6966.4215</v>
      </c>
      <c r="M1099" s="846" t="n">
        <v>255</v>
      </c>
      <c r="N1099" s="846" t="n">
        <f aca="false">M1099/H1091</f>
        <v>17</v>
      </c>
      <c r="O1099" s="1936" t="s">
        <v>1165</v>
      </c>
      <c r="P1099" s="1948"/>
      <c r="Q1099" s="1934"/>
      <c r="R1099" s="1935"/>
    </row>
    <row r="1100" customFormat="false" ht="14.25" hidden="false" customHeight="false" outlineLevel="0" collapsed="false">
      <c r="A1100" s="903" t="n">
        <v>153</v>
      </c>
      <c r="B1100" s="903" t="n">
        <v>2025</v>
      </c>
      <c r="C1100" s="1974" t="n">
        <v>46054</v>
      </c>
      <c r="D1100" s="1351" t="s">
        <v>5</v>
      </c>
      <c r="E1100" s="1351" t="s">
        <v>1651</v>
      </c>
      <c r="F1100" s="904" t="s">
        <v>3364</v>
      </c>
      <c r="G1100" s="2012" t="n">
        <v>549</v>
      </c>
      <c r="H1100" s="942" t="n">
        <v>15</v>
      </c>
      <c r="I1100" s="1355" t="n">
        <f aca="false">G1100*H1100</f>
        <v>8235</v>
      </c>
      <c r="J1100" s="1406" t="n">
        <v>30.3503</v>
      </c>
      <c r="K1100" s="1942" t="n">
        <f aca="false">I1100*J1100</f>
        <v>249934.7205</v>
      </c>
      <c r="L1100" s="1355" t="n">
        <v>249934.7205</v>
      </c>
      <c r="M1100" s="891" t="n">
        <v>8235</v>
      </c>
      <c r="N1100" s="891" t="n">
        <f aca="false">M1100/H1100</f>
        <v>549</v>
      </c>
      <c r="O1100" s="1943" t="s">
        <v>1059</v>
      </c>
      <c r="P1100" s="1947" t="n">
        <f aca="false">K1100-L1100</f>
        <v>0</v>
      </c>
      <c r="Q1100" s="1945" t="n">
        <f aca="false">I1100-M1100</f>
        <v>0</v>
      </c>
      <c r="R1100" s="2000" t="n">
        <f aca="false">G1100-N1100</f>
        <v>0</v>
      </c>
    </row>
    <row r="1101" customFormat="false" ht="14.25" hidden="false" customHeight="false" outlineLevel="0" collapsed="false">
      <c r="A1101" s="829" t="n">
        <v>155</v>
      </c>
      <c r="B1101" s="830" t="n">
        <v>2025</v>
      </c>
      <c r="C1101" s="1965" t="n">
        <v>46054</v>
      </c>
      <c r="D1101" s="1365" t="s">
        <v>5</v>
      </c>
      <c r="E1101" s="1365" t="s">
        <v>1651</v>
      </c>
      <c r="F1101" s="832" t="s">
        <v>3364</v>
      </c>
      <c r="G1101" s="2010" t="n">
        <v>334</v>
      </c>
      <c r="H1101" s="837" t="n">
        <v>15</v>
      </c>
      <c r="I1101" s="837" t="n">
        <f aca="false">G1101*H1101</f>
        <v>5010</v>
      </c>
      <c r="J1101" s="1059" t="n">
        <v>27.3193</v>
      </c>
      <c r="K1101" s="943" t="n">
        <f aca="false">I1101*J1101</f>
        <v>136869.693</v>
      </c>
      <c r="L1101" s="1369" t="n">
        <v>16391.58</v>
      </c>
      <c r="M1101" s="840" t="n">
        <v>600</v>
      </c>
      <c r="N1101" s="840" t="n">
        <f aca="false">M1101/H1101</f>
        <v>40</v>
      </c>
      <c r="O1101" s="578" t="s">
        <v>1326</v>
      </c>
      <c r="P1101" s="1948" t="n">
        <f aca="false">K1101-L1101-L1102</f>
        <v>110233.3755</v>
      </c>
      <c r="Q1101" s="1934" t="n">
        <f aca="false">I1101-M1101-M1102</f>
        <v>4035</v>
      </c>
      <c r="R1101" s="1935" t="n">
        <f aca="false">G1101-N1101-N1102</f>
        <v>269</v>
      </c>
    </row>
    <row r="1102" customFormat="false" ht="14.25" hidden="false" customHeight="false" outlineLevel="0" collapsed="false">
      <c r="A1102" s="829"/>
      <c r="B1102" s="830"/>
      <c r="C1102" s="1965"/>
      <c r="D1102" s="1357" t="s">
        <v>5</v>
      </c>
      <c r="E1102" s="1357" t="s">
        <v>1651</v>
      </c>
      <c r="F1102" s="832"/>
      <c r="G1102" s="2010"/>
      <c r="H1102" s="837"/>
      <c r="I1102" s="837"/>
      <c r="J1102" s="1059"/>
      <c r="K1102" s="943"/>
      <c r="L1102" s="1362" t="n">
        <v>10244.7375</v>
      </c>
      <c r="M1102" s="846" t="n">
        <v>375</v>
      </c>
      <c r="N1102" s="846" t="n">
        <f aca="false">M1102/H1101</f>
        <v>25</v>
      </c>
      <c r="O1102" s="1936" t="s">
        <v>1368</v>
      </c>
      <c r="P1102" s="1948"/>
      <c r="Q1102" s="1934"/>
      <c r="R1102" s="1935"/>
    </row>
    <row r="1103" customFormat="false" ht="14.25" hidden="false" customHeight="false" outlineLevel="0" collapsed="false">
      <c r="A1103" s="1060" t="n">
        <v>156</v>
      </c>
      <c r="B1103" s="1072" t="n">
        <v>2025</v>
      </c>
      <c r="C1103" s="1980" t="n">
        <v>46054</v>
      </c>
      <c r="D1103" s="1351" t="s">
        <v>5</v>
      </c>
      <c r="E1103" s="1351" t="s">
        <v>1651</v>
      </c>
      <c r="F1103" s="887" t="s">
        <v>3364</v>
      </c>
      <c r="G1103" s="2017" t="n">
        <v>187</v>
      </c>
      <c r="H1103" s="1067" t="n">
        <v>15</v>
      </c>
      <c r="I1103" s="1067" t="n">
        <f aca="false">G1103*H1103</f>
        <v>2805</v>
      </c>
      <c r="J1103" s="1063" t="n">
        <v>27.6361</v>
      </c>
      <c r="K1103" s="1452" t="n">
        <f aca="false">I1103*J1103</f>
        <v>77519.2605</v>
      </c>
      <c r="L1103" s="1355" t="n">
        <v>41454.15</v>
      </c>
      <c r="M1103" s="891" t="n">
        <v>1500</v>
      </c>
      <c r="N1103" s="891" t="n">
        <f aca="false">M1103/H1103</f>
        <v>100</v>
      </c>
      <c r="O1103" s="1943" t="s">
        <v>3466</v>
      </c>
      <c r="P1103" s="1953" t="n">
        <f aca="false">K1103-L1103-L1108-L1107-L1104-L1105-L1106</f>
        <v>2.61479726759717E-012</v>
      </c>
      <c r="Q1103" s="1953" t="n">
        <f aca="false">I1103-M1103-M1108-M1107-M1104-M1105-M1106</f>
        <v>0</v>
      </c>
      <c r="R1103" s="2035" t="n">
        <f aca="false">G1103-N1103-N1108-N1107-N1104-N1105-N1106</f>
        <v>0</v>
      </c>
    </row>
    <row r="1104" customFormat="false" ht="14.25" hidden="false" customHeight="false" outlineLevel="0" collapsed="false">
      <c r="A1104" s="1060"/>
      <c r="B1104" s="1072"/>
      <c r="C1104" s="1980"/>
      <c r="D1104" s="1480" t="s">
        <v>5</v>
      </c>
      <c r="E1104" s="1480" t="s">
        <v>1651</v>
      </c>
      <c r="F1104" s="887"/>
      <c r="G1104" s="2017"/>
      <c r="H1104" s="1067"/>
      <c r="I1104" s="1067"/>
      <c r="J1104" s="1063"/>
      <c r="K1104" s="1452"/>
      <c r="L1104" s="1521" t="n">
        <v>1243.6245</v>
      </c>
      <c r="M1104" s="866" t="n">
        <v>45</v>
      </c>
      <c r="N1104" s="866" t="n">
        <f aca="false">M1104/H1103</f>
        <v>3</v>
      </c>
      <c r="O1104" s="545" t="s">
        <v>1255</v>
      </c>
      <c r="P1104" s="1953"/>
      <c r="Q1104" s="1953"/>
      <c r="R1104" s="2035"/>
    </row>
    <row r="1105" customFormat="false" ht="14.25" hidden="false" customHeight="false" outlineLevel="0" collapsed="false">
      <c r="A1105" s="1060"/>
      <c r="B1105" s="1072"/>
      <c r="C1105" s="1980"/>
      <c r="D1105" s="1480" t="s">
        <v>5</v>
      </c>
      <c r="E1105" s="1480" t="s">
        <v>1651</v>
      </c>
      <c r="F1105" s="887"/>
      <c r="G1105" s="2017"/>
      <c r="H1105" s="1067"/>
      <c r="I1105" s="1067"/>
      <c r="J1105" s="1063"/>
      <c r="K1105" s="1452"/>
      <c r="L1105" s="1521" t="n">
        <v>2321.4324</v>
      </c>
      <c r="M1105" s="866" t="n">
        <v>84</v>
      </c>
      <c r="N1105" s="1018" t="n">
        <f aca="false">M1105/H1103</f>
        <v>5.6</v>
      </c>
      <c r="O1105" s="545" t="s">
        <v>1188</v>
      </c>
      <c r="P1105" s="1953"/>
      <c r="Q1105" s="1953"/>
      <c r="R1105" s="2035"/>
    </row>
    <row r="1106" customFormat="false" ht="14.25" hidden="false" customHeight="false" outlineLevel="0" collapsed="false">
      <c r="A1106" s="1060"/>
      <c r="B1106" s="1072"/>
      <c r="C1106" s="1980"/>
      <c r="D1106" s="1480" t="s">
        <v>5</v>
      </c>
      <c r="E1106" s="1480" t="s">
        <v>1651</v>
      </c>
      <c r="F1106" s="887"/>
      <c r="G1106" s="2017"/>
      <c r="H1106" s="1067"/>
      <c r="I1106" s="1067"/>
      <c r="J1106" s="1063"/>
      <c r="K1106" s="1452"/>
      <c r="L1106" s="1521" t="n">
        <v>580.3581</v>
      </c>
      <c r="M1106" s="866" t="n">
        <v>21</v>
      </c>
      <c r="N1106" s="1018" t="n">
        <f aca="false">M1106/H1103</f>
        <v>1.4</v>
      </c>
      <c r="O1106" s="545" t="s">
        <v>1375</v>
      </c>
      <c r="P1106" s="1953"/>
      <c r="Q1106" s="1953"/>
      <c r="R1106" s="2035"/>
    </row>
    <row r="1107" customFormat="false" ht="14.25" hidden="false" customHeight="false" outlineLevel="0" collapsed="false">
      <c r="A1107" s="1060"/>
      <c r="B1107" s="1072"/>
      <c r="C1107" s="1980"/>
      <c r="D1107" s="1480" t="s">
        <v>5</v>
      </c>
      <c r="E1107" s="1480" t="s">
        <v>1651</v>
      </c>
      <c r="F1107" s="887"/>
      <c r="G1107" s="2017"/>
      <c r="H1107" s="1067"/>
      <c r="I1107" s="1067"/>
      <c r="J1107" s="1063"/>
      <c r="K1107" s="1452"/>
      <c r="L1107" s="1521" t="n">
        <v>3316.332</v>
      </c>
      <c r="M1107" s="866" t="n">
        <v>120</v>
      </c>
      <c r="N1107" s="866" t="n">
        <f aca="false">M1107/H1103</f>
        <v>8</v>
      </c>
      <c r="O1107" s="545" t="s">
        <v>1236</v>
      </c>
      <c r="P1107" s="1953"/>
      <c r="Q1107" s="1953"/>
      <c r="R1107" s="2035"/>
    </row>
    <row r="1108" customFormat="false" ht="14.25" hidden="false" customHeight="false" outlineLevel="0" collapsed="false">
      <c r="A1108" s="1060"/>
      <c r="B1108" s="1072"/>
      <c r="C1108" s="1980"/>
      <c r="D1108" s="1357" t="s">
        <v>5</v>
      </c>
      <c r="E1108" s="1357" t="s">
        <v>1651</v>
      </c>
      <c r="F1108" s="887"/>
      <c r="G1108" s="2017"/>
      <c r="H1108" s="1067"/>
      <c r="I1108" s="1067"/>
      <c r="J1108" s="1063"/>
      <c r="K1108" s="1452"/>
      <c r="L1108" s="1362" t="n">
        <v>28603.3635</v>
      </c>
      <c r="M1108" s="846" t="n">
        <v>1035</v>
      </c>
      <c r="N1108" s="846" t="n">
        <f aca="false">M1108/H1103</f>
        <v>69</v>
      </c>
      <c r="O1108" s="1936" t="s">
        <v>1155</v>
      </c>
      <c r="P1108" s="1953"/>
      <c r="Q1108" s="1953"/>
      <c r="R1108" s="2035"/>
    </row>
    <row r="1109" customFormat="false" ht="14.25" hidden="false" customHeight="false" outlineLevel="0" collapsed="false">
      <c r="A1109" s="903" t="n">
        <v>157</v>
      </c>
      <c r="B1109" s="903" t="n">
        <v>2025</v>
      </c>
      <c r="C1109" s="1974" t="n">
        <v>46054</v>
      </c>
      <c r="D1109" s="1351" t="s">
        <v>5</v>
      </c>
      <c r="E1109" s="1351" t="s">
        <v>1651</v>
      </c>
      <c r="F1109" s="904" t="s">
        <v>3371</v>
      </c>
      <c r="G1109" s="2012" t="n">
        <v>827</v>
      </c>
      <c r="H1109" s="942" t="n">
        <v>12</v>
      </c>
      <c r="I1109" s="1355" t="n">
        <f aca="false">G1109*H1109</f>
        <v>9924</v>
      </c>
      <c r="J1109" s="1406" t="n">
        <v>27.7196</v>
      </c>
      <c r="K1109" s="1942" t="n">
        <f aca="false">I1109*J1109</f>
        <v>275089.3104</v>
      </c>
      <c r="L1109" s="1355" t="n">
        <v>275089.3104</v>
      </c>
      <c r="M1109" s="891" t="n">
        <v>9924</v>
      </c>
      <c r="N1109" s="854" t="n">
        <f aca="false">M1109/H1109</f>
        <v>827</v>
      </c>
      <c r="O1109" s="1943" t="s">
        <v>3467</v>
      </c>
      <c r="P1109" s="1947" t="n">
        <f aca="false">K1109-L1109</f>
        <v>0</v>
      </c>
      <c r="Q1109" s="1945" t="n">
        <f aca="false">I1109-M1109</f>
        <v>0</v>
      </c>
      <c r="R1109" s="2000" t="n">
        <f aca="false">G1109-N1109</f>
        <v>0</v>
      </c>
    </row>
    <row r="1110" customFormat="false" ht="14.25" hidden="false" customHeight="false" outlineLevel="0" collapsed="false">
      <c r="A1110" s="870"/>
      <c r="B1110" s="1495"/>
      <c r="C1110" s="1972"/>
      <c r="D1110" s="871"/>
      <c r="E1110" s="871"/>
      <c r="F1110" s="871"/>
      <c r="G1110" s="2024"/>
      <c r="H1110" s="1301"/>
      <c r="I1110" s="553"/>
      <c r="J1110" s="2036"/>
      <c r="K1110" s="1402"/>
      <c r="L1110" s="877"/>
      <c r="M1110" s="877"/>
      <c r="N1110" s="877"/>
      <c r="O1110" s="553"/>
      <c r="P1110" s="1988"/>
      <c r="Q1110" s="2029"/>
      <c r="R1110" s="2029"/>
    </row>
    <row r="1111" customFormat="false" ht="14.25" hidden="false" customHeight="false" outlineLevel="0" collapsed="false">
      <c r="A1111" s="829" t="n">
        <v>497</v>
      </c>
      <c r="B1111" s="830" t="n">
        <v>2023</v>
      </c>
      <c r="C1111" s="1965" t="n">
        <v>45597</v>
      </c>
      <c r="D1111" s="831" t="s">
        <v>15</v>
      </c>
      <c r="E1111" s="1365" t="s">
        <v>2619</v>
      </c>
      <c r="F1111" s="832" t="s">
        <v>3364</v>
      </c>
      <c r="G1111" s="2010" t="n">
        <v>185</v>
      </c>
      <c r="H1111" s="837" t="n">
        <v>25</v>
      </c>
      <c r="I1111" s="837" t="n">
        <f aca="false">G1111*H1111</f>
        <v>4625</v>
      </c>
      <c r="J1111" s="1932" t="n">
        <v>91</v>
      </c>
      <c r="K1111" s="943" t="n">
        <f aca="false">I1111*J1111</f>
        <v>420875</v>
      </c>
      <c r="L1111" s="840" t="n">
        <v>409500</v>
      </c>
      <c r="M1111" s="840" t="n">
        <v>4500</v>
      </c>
      <c r="N1111" s="840" t="n">
        <f aca="false">M1111/H1111</f>
        <v>180</v>
      </c>
      <c r="O1111" s="1114" t="n">
        <v>85798</v>
      </c>
      <c r="P1111" s="1934" t="n">
        <f aca="false">K1111-L1111-L1112</f>
        <v>0</v>
      </c>
      <c r="Q1111" s="1934" t="n">
        <f aca="false">I1111-M1111-M1112</f>
        <v>0</v>
      </c>
      <c r="R1111" s="1935" t="n">
        <f aca="false">G1111-N1111-N1112</f>
        <v>0</v>
      </c>
    </row>
    <row r="1112" customFormat="false" ht="14.25" hidden="false" customHeight="false" outlineLevel="0" collapsed="false">
      <c r="A1112" s="829"/>
      <c r="B1112" s="830"/>
      <c r="C1112" s="1965"/>
      <c r="D1112" s="843" t="s">
        <v>15</v>
      </c>
      <c r="E1112" s="1357" t="s">
        <v>2619</v>
      </c>
      <c r="F1112" s="832"/>
      <c r="G1112" s="2010"/>
      <c r="H1112" s="837"/>
      <c r="I1112" s="837"/>
      <c r="J1112" s="1932"/>
      <c r="K1112" s="943"/>
      <c r="L1112" s="846" t="n">
        <v>11375</v>
      </c>
      <c r="M1112" s="846" t="n">
        <v>125</v>
      </c>
      <c r="N1112" s="846" t="n">
        <f aca="false">M1112/H1111</f>
        <v>5</v>
      </c>
      <c r="O1112" s="589" t="s">
        <v>3373</v>
      </c>
      <c r="P1112" s="1934"/>
      <c r="Q1112" s="1934"/>
      <c r="R1112" s="1935"/>
    </row>
    <row r="1113" customFormat="false" ht="14.25" hidden="false" customHeight="false" outlineLevel="0" collapsed="false">
      <c r="A1113" s="903" t="n">
        <v>579</v>
      </c>
      <c r="B1113" s="903" t="n">
        <v>2023</v>
      </c>
      <c r="C1113" s="1974" t="n">
        <v>45627</v>
      </c>
      <c r="D1113" s="904" t="s">
        <v>15</v>
      </c>
      <c r="E1113" s="1351" t="s">
        <v>2130</v>
      </c>
      <c r="F1113" s="904" t="s">
        <v>3364</v>
      </c>
      <c r="G1113" s="2012" t="n">
        <v>33</v>
      </c>
      <c r="H1113" s="942" t="n">
        <v>25</v>
      </c>
      <c r="I1113" s="1355" t="n">
        <f aca="false">G1113*H1113</f>
        <v>825</v>
      </c>
      <c r="J1113" s="1941" t="n">
        <v>40</v>
      </c>
      <c r="K1113" s="1942" t="n">
        <f aca="false">I1113*J1113</f>
        <v>33000</v>
      </c>
      <c r="L1113" s="891" t="n">
        <v>33000</v>
      </c>
      <c r="M1113" s="891" t="n">
        <v>825</v>
      </c>
      <c r="N1113" s="891" t="n">
        <f aca="false">M1113/H1113</f>
        <v>33</v>
      </c>
      <c r="O1113" s="942" t="s">
        <v>3377</v>
      </c>
      <c r="P1113" s="1964" t="n">
        <f aca="false">K1113-L1113</f>
        <v>0</v>
      </c>
      <c r="Q1113" s="1945" t="n">
        <f aca="false">I1113-M1113</f>
        <v>0</v>
      </c>
      <c r="R1113" s="2000" t="n">
        <f aca="false">G1113-N1113</f>
        <v>0</v>
      </c>
    </row>
    <row r="1114" customFormat="false" ht="14.25" hidden="false" customHeight="false" outlineLevel="0" collapsed="false">
      <c r="A1114" s="829" t="n">
        <v>581</v>
      </c>
      <c r="B1114" s="830" t="n">
        <v>2023</v>
      </c>
      <c r="C1114" s="1965" t="n">
        <v>45627</v>
      </c>
      <c r="D1114" s="831" t="s">
        <v>15</v>
      </c>
      <c r="E1114" s="1365" t="s">
        <v>2131</v>
      </c>
      <c r="F1114" s="832" t="s">
        <v>3364</v>
      </c>
      <c r="G1114" s="2010" t="n">
        <v>188</v>
      </c>
      <c r="H1114" s="837" t="n">
        <v>25</v>
      </c>
      <c r="I1114" s="837" t="n">
        <f aca="false">G1114*H1114</f>
        <v>4700</v>
      </c>
      <c r="J1114" s="1932" t="n">
        <v>58.2548</v>
      </c>
      <c r="K1114" s="943" t="n">
        <f aca="false">I1114*J1114</f>
        <v>273797.56</v>
      </c>
      <c r="L1114" s="840" t="n">
        <v>244670.16</v>
      </c>
      <c r="M1114" s="840" t="n">
        <v>4200</v>
      </c>
      <c r="N1114" s="840" t="n">
        <f aca="false">M1114/H1114</f>
        <v>168</v>
      </c>
      <c r="O1114" s="1114" t="n">
        <v>86084</v>
      </c>
      <c r="P1114" s="1937" t="n">
        <f aca="false">K1114-L1114-L1115</f>
        <v>0</v>
      </c>
      <c r="Q1114" s="1934" t="n">
        <f aca="false">I1114-M1114-M1115</f>
        <v>0</v>
      </c>
      <c r="R1114" s="1935" t="n">
        <f aca="false">G1114-N1114-N1115</f>
        <v>0</v>
      </c>
    </row>
    <row r="1115" customFormat="false" ht="14.25" hidden="false" customHeight="false" outlineLevel="0" collapsed="false">
      <c r="A1115" s="829"/>
      <c r="B1115" s="830"/>
      <c r="C1115" s="1965"/>
      <c r="D1115" s="843" t="s">
        <v>15</v>
      </c>
      <c r="E1115" s="1357" t="s">
        <v>2131</v>
      </c>
      <c r="F1115" s="832"/>
      <c r="G1115" s="2010"/>
      <c r="H1115" s="837"/>
      <c r="I1115" s="837"/>
      <c r="J1115" s="1932"/>
      <c r="K1115" s="943"/>
      <c r="L1115" s="846" t="n">
        <v>29127.4</v>
      </c>
      <c r="M1115" s="846" t="n">
        <v>500</v>
      </c>
      <c r="N1115" s="846" t="n">
        <f aca="false">M1115/H1114</f>
        <v>20</v>
      </c>
      <c r="O1115" s="589" t="s">
        <v>1634</v>
      </c>
      <c r="P1115" s="1937"/>
      <c r="Q1115" s="1934"/>
      <c r="R1115" s="1935"/>
    </row>
    <row r="1116" customFormat="false" ht="14.25" hidden="false" customHeight="false" outlineLevel="0" collapsed="false">
      <c r="A1116" s="847" t="n">
        <v>644</v>
      </c>
      <c r="B1116" s="1396" t="n">
        <v>2023</v>
      </c>
      <c r="C1116" s="1966" t="n">
        <v>45627</v>
      </c>
      <c r="D1116" s="848" t="s">
        <v>15</v>
      </c>
      <c r="E1116" s="1479" t="s">
        <v>1651</v>
      </c>
      <c r="F1116" s="848" t="s">
        <v>3367</v>
      </c>
      <c r="G1116" s="2018" t="n">
        <v>1</v>
      </c>
      <c r="H1116" s="537" t="n">
        <v>15</v>
      </c>
      <c r="I1116" s="1380" t="n">
        <f aca="false">G1116*H1116</f>
        <v>15</v>
      </c>
      <c r="J1116" s="1989" t="n">
        <v>22.5</v>
      </c>
      <c r="K1116" s="1968" t="n">
        <f aca="false">I1116*J1116</f>
        <v>337.5</v>
      </c>
      <c r="L1116" s="854" t="n">
        <v>337.5</v>
      </c>
      <c r="M1116" s="854" t="n">
        <v>15</v>
      </c>
      <c r="N1116" s="886" t="n">
        <f aca="false">M1116/H1116</f>
        <v>1</v>
      </c>
      <c r="O1116" s="537" t="s">
        <v>1375</v>
      </c>
      <c r="P1116" s="2037" t="n">
        <f aca="false">K1116-L1116</f>
        <v>0</v>
      </c>
      <c r="Q1116" s="1970" t="n">
        <f aca="false">I1116-M1116</f>
        <v>0</v>
      </c>
      <c r="R1116" s="2027" t="n">
        <f aca="false">G1116-N1116</f>
        <v>0</v>
      </c>
    </row>
    <row r="1117" customFormat="false" ht="14.25" hidden="false" customHeight="false" outlineLevel="0" collapsed="false">
      <c r="A1117" s="903" t="n">
        <v>67</v>
      </c>
      <c r="B1117" s="903" t="n">
        <v>2024</v>
      </c>
      <c r="C1117" s="1974" t="n">
        <v>45658</v>
      </c>
      <c r="D1117" s="904" t="s">
        <v>15</v>
      </c>
      <c r="E1117" s="1351" t="s">
        <v>1651</v>
      </c>
      <c r="F1117" s="904" t="s">
        <v>3364</v>
      </c>
      <c r="G1117" s="2012" t="n">
        <v>69</v>
      </c>
      <c r="H1117" s="942" t="n">
        <v>15</v>
      </c>
      <c r="I1117" s="1355" t="n">
        <f aca="false">G1117*H1117</f>
        <v>1035</v>
      </c>
      <c r="J1117" s="1941" t="n">
        <v>22.5</v>
      </c>
      <c r="K1117" s="1942" t="n">
        <f aca="false">I1117*J1117</f>
        <v>23287.5</v>
      </c>
      <c r="L1117" s="891" t="n">
        <v>23287.5</v>
      </c>
      <c r="M1117" s="891" t="n">
        <v>1035</v>
      </c>
      <c r="N1117" s="877" t="n">
        <f aca="false">M1117/H1117</f>
        <v>69</v>
      </c>
      <c r="O1117" s="942" t="s">
        <v>1375</v>
      </c>
      <c r="P1117" s="2038" t="n">
        <f aca="false">K1117-L1117</f>
        <v>0</v>
      </c>
      <c r="Q1117" s="1945" t="n">
        <f aca="false">I1117-M1117</f>
        <v>0</v>
      </c>
      <c r="R1117" s="2000" t="n">
        <f aca="false">G1117-N1117</f>
        <v>0</v>
      </c>
    </row>
    <row r="1118" customFormat="false" ht="14.25" hidden="false" customHeight="false" outlineLevel="0" collapsed="false">
      <c r="A1118" s="882" t="n">
        <v>69</v>
      </c>
      <c r="B1118" s="830" t="n">
        <v>2024</v>
      </c>
      <c r="C1118" s="1965" t="n">
        <v>45658</v>
      </c>
      <c r="D1118" s="831" t="s">
        <v>15</v>
      </c>
      <c r="E1118" s="1365" t="s">
        <v>1652</v>
      </c>
      <c r="F1118" s="832" t="s">
        <v>3364</v>
      </c>
      <c r="G1118" s="2010" t="n">
        <v>156</v>
      </c>
      <c r="H1118" s="837" t="n">
        <v>15</v>
      </c>
      <c r="I1118" s="837" t="n">
        <f aca="false">G1118*H1118</f>
        <v>2340</v>
      </c>
      <c r="J1118" s="1932" t="n">
        <v>38.5702</v>
      </c>
      <c r="K1118" s="943" t="n">
        <f aca="false">I1118*J1118</f>
        <v>90254.268</v>
      </c>
      <c r="L1118" s="840" t="n">
        <v>13306.719</v>
      </c>
      <c r="M1118" s="840" t="n">
        <v>345</v>
      </c>
      <c r="N1118" s="840" t="n">
        <f aca="false">M1118/H1118</f>
        <v>23</v>
      </c>
      <c r="O1118" s="1114" t="n">
        <v>86473</v>
      </c>
      <c r="P1118" s="1948" t="n">
        <f aca="false">K1118-L1118-L1124-L1119-L1123-L1122-L1120-L1121</f>
        <v>0</v>
      </c>
      <c r="Q1118" s="1934" t="n">
        <f aca="false">I1118-M1118-M1124-M1119-M1123-M1122-M1120-M1121</f>
        <v>0</v>
      </c>
      <c r="R1118" s="1935" t="n">
        <f aca="false">G1118-N1118-N1124-N1119-N1123-N1122-N1120-N1121</f>
        <v>0</v>
      </c>
    </row>
    <row r="1119" customFormat="false" ht="14.25" hidden="false" customHeight="false" outlineLevel="0" collapsed="false">
      <c r="A1119" s="882"/>
      <c r="B1119" s="830"/>
      <c r="C1119" s="1965"/>
      <c r="D1119" s="871" t="s">
        <v>15</v>
      </c>
      <c r="E1119" s="1478" t="s">
        <v>1652</v>
      </c>
      <c r="F1119" s="832"/>
      <c r="G1119" s="2010"/>
      <c r="H1119" s="837"/>
      <c r="I1119" s="837"/>
      <c r="J1119" s="1932"/>
      <c r="K1119" s="943"/>
      <c r="L1119" s="877" t="n">
        <v>578.553</v>
      </c>
      <c r="M1119" s="877" t="n">
        <v>15</v>
      </c>
      <c r="N1119" s="866" t="n">
        <f aca="false">M1119/H1118</f>
        <v>1</v>
      </c>
      <c r="O1119" s="553" t="n">
        <v>86619</v>
      </c>
      <c r="P1119" s="1948"/>
      <c r="Q1119" s="1934"/>
      <c r="R1119" s="1935"/>
    </row>
    <row r="1120" customFormat="false" ht="14.25" hidden="false" customHeight="false" outlineLevel="0" collapsed="false">
      <c r="A1120" s="882"/>
      <c r="B1120" s="830"/>
      <c r="C1120" s="1965"/>
      <c r="D1120" s="871" t="s">
        <v>15</v>
      </c>
      <c r="E1120" s="1478" t="s">
        <v>1652</v>
      </c>
      <c r="F1120" s="832"/>
      <c r="G1120" s="2010"/>
      <c r="H1120" s="837"/>
      <c r="I1120" s="837"/>
      <c r="J1120" s="1932"/>
      <c r="K1120" s="943"/>
      <c r="L1120" s="877" t="n">
        <v>12728.166</v>
      </c>
      <c r="M1120" s="877" t="n">
        <v>330</v>
      </c>
      <c r="N1120" s="866" t="n">
        <f aca="false">M1120/H1118</f>
        <v>22</v>
      </c>
      <c r="O1120" s="553" t="n">
        <v>13481</v>
      </c>
      <c r="P1120" s="1948"/>
      <c r="Q1120" s="1934"/>
      <c r="R1120" s="1935"/>
    </row>
    <row r="1121" customFormat="false" ht="14.25" hidden="false" customHeight="false" outlineLevel="0" collapsed="false">
      <c r="A1121" s="882"/>
      <c r="B1121" s="830"/>
      <c r="C1121" s="1965"/>
      <c r="D1121" s="871" t="s">
        <v>15</v>
      </c>
      <c r="E1121" s="1478" t="s">
        <v>1652</v>
      </c>
      <c r="F1121" s="832"/>
      <c r="G1121" s="2010"/>
      <c r="H1121" s="837"/>
      <c r="I1121" s="837"/>
      <c r="J1121" s="1932"/>
      <c r="K1121" s="943"/>
      <c r="L1121" s="877" t="n">
        <v>49755.558</v>
      </c>
      <c r="M1121" s="877" t="n">
        <v>1290</v>
      </c>
      <c r="N1121" s="866" t="n">
        <f aca="false">M1121/H1118</f>
        <v>86</v>
      </c>
      <c r="O1121" s="553" t="s">
        <v>468</v>
      </c>
      <c r="P1121" s="1948"/>
      <c r="Q1121" s="1934"/>
      <c r="R1121" s="1935"/>
    </row>
    <row r="1122" customFormat="false" ht="14.25" hidden="false" customHeight="false" outlineLevel="0" collapsed="false">
      <c r="A1122" s="882"/>
      <c r="B1122" s="830"/>
      <c r="C1122" s="1965"/>
      <c r="D1122" s="871" t="s">
        <v>15</v>
      </c>
      <c r="E1122" s="1478" t="s">
        <v>1652</v>
      </c>
      <c r="F1122" s="832"/>
      <c r="G1122" s="2010"/>
      <c r="H1122" s="837"/>
      <c r="I1122" s="837"/>
      <c r="J1122" s="1932"/>
      <c r="K1122" s="943"/>
      <c r="L1122" s="877" t="n">
        <v>9256.848</v>
      </c>
      <c r="M1122" s="877" t="n">
        <v>240</v>
      </c>
      <c r="N1122" s="866" t="n">
        <f aca="false">M1122/H1118</f>
        <v>16</v>
      </c>
      <c r="O1122" s="553" t="n">
        <v>86665</v>
      </c>
      <c r="P1122" s="1948"/>
      <c r="Q1122" s="1934"/>
      <c r="R1122" s="1935"/>
    </row>
    <row r="1123" customFormat="false" ht="14.25" hidden="false" customHeight="false" outlineLevel="0" collapsed="false">
      <c r="A1123" s="882"/>
      <c r="B1123" s="830"/>
      <c r="C1123" s="1965"/>
      <c r="D1123" s="871" t="s">
        <v>15</v>
      </c>
      <c r="E1123" s="1478" t="s">
        <v>1652</v>
      </c>
      <c r="F1123" s="832"/>
      <c r="G1123" s="2010"/>
      <c r="H1123" s="837"/>
      <c r="I1123" s="837"/>
      <c r="J1123" s="1932"/>
      <c r="K1123" s="943"/>
      <c r="L1123" s="877" t="n">
        <v>578.553</v>
      </c>
      <c r="M1123" s="877" t="n">
        <v>15</v>
      </c>
      <c r="N1123" s="866" t="n">
        <f aca="false">M1123/H1118</f>
        <v>1</v>
      </c>
      <c r="O1123" s="553" t="n">
        <v>86662</v>
      </c>
      <c r="P1123" s="1948"/>
      <c r="Q1123" s="1934"/>
      <c r="R1123" s="1935"/>
    </row>
    <row r="1124" customFormat="false" ht="14.25" hidden="false" customHeight="false" outlineLevel="0" collapsed="false">
      <c r="A1124" s="882"/>
      <c r="B1124" s="830"/>
      <c r="C1124" s="1965"/>
      <c r="D1124" s="843" t="s">
        <v>15</v>
      </c>
      <c r="E1124" s="1357" t="s">
        <v>1652</v>
      </c>
      <c r="F1124" s="832"/>
      <c r="G1124" s="2010"/>
      <c r="H1124" s="837"/>
      <c r="I1124" s="837"/>
      <c r="J1124" s="1932"/>
      <c r="K1124" s="943"/>
      <c r="L1124" s="846" t="n">
        <v>4049.871</v>
      </c>
      <c r="M1124" s="846" t="n">
        <v>105</v>
      </c>
      <c r="N1124" s="846" t="n">
        <f aca="false">M1124/H1118</f>
        <v>7</v>
      </c>
      <c r="O1124" s="589" t="n">
        <v>86463</v>
      </c>
      <c r="P1124" s="1948"/>
      <c r="Q1124" s="1934"/>
      <c r="R1124" s="1935"/>
    </row>
    <row r="1125" customFormat="false" ht="14.25" hidden="false" customHeight="false" outlineLevel="0" collapsed="false">
      <c r="A1125" s="829" t="n">
        <v>188</v>
      </c>
      <c r="B1125" s="830" t="n">
        <v>2024</v>
      </c>
      <c r="C1125" s="1965" t="n">
        <v>45809</v>
      </c>
      <c r="D1125" s="831" t="s">
        <v>15</v>
      </c>
      <c r="E1125" s="1365" t="s">
        <v>1651</v>
      </c>
      <c r="F1125" s="832" t="s">
        <v>3367</v>
      </c>
      <c r="G1125" s="2010" t="n">
        <v>98</v>
      </c>
      <c r="H1125" s="837" t="n">
        <v>15</v>
      </c>
      <c r="I1125" s="837" t="n">
        <f aca="false">G1125*H1125</f>
        <v>1470</v>
      </c>
      <c r="J1125" s="1932" t="n">
        <v>27.7057</v>
      </c>
      <c r="K1125" s="943" t="n">
        <f aca="false">I1125*J1125</f>
        <v>40727.379</v>
      </c>
      <c r="L1125" s="840" t="n">
        <v>20779.275</v>
      </c>
      <c r="M1125" s="886" t="n">
        <v>750</v>
      </c>
      <c r="N1125" s="886" t="n">
        <f aca="false">M1125/H1125</f>
        <v>50</v>
      </c>
      <c r="O1125" s="1114" t="s">
        <v>399</v>
      </c>
      <c r="P1125" s="1937" t="n">
        <f aca="false">K1125-L1125-L1128-L1126-L1127</f>
        <v>0</v>
      </c>
      <c r="Q1125" s="1934" t="n">
        <f aca="false">I1125-M1125-M1128-M1126-M1127</f>
        <v>0</v>
      </c>
      <c r="R1125" s="1935" t="n">
        <f aca="false">G1125-N1125-N1128-N1126-N1127</f>
        <v>0</v>
      </c>
    </row>
    <row r="1126" customFormat="false" ht="14.25" hidden="false" customHeight="false" outlineLevel="0" collapsed="false">
      <c r="A1126" s="829"/>
      <c r="B1126" s="830"/>
      <c r="C1126" s="1965"/>
      <c r="D1126" s="860" t="s">
        <v>15</v>
      </c>
      <c r="E1126" s="1480" t="s">
        <v>1651</v>
      </c>
      <c r="F1126" s="832"/>
      <c r="G1126" s="2010"/>
      <c r="H1126" s="837"/>
      <c r="I1126" s="837"/>
      <c r="J1126" s="1932"/>
      <c r="K1126" s="943"/>
      <c r="L1126" s="866" t="n">
        <v>-415.5855</v>
      </c>
      <c r="M1126" s="866" t="n">
        <v>-15</v>
      </c>
      <c r="N1126" s="866" t="n">
        <f aca="false">M1126/H1125</f>
        <v>-1</v>
      </c>
      <c r="O1126" s="543" t="s">
        <v>1634</v>
      </c>
      <c r="P1126" s="1937"/>
      <c r="Q1126" s="1934"/>
      <c r="R1126" s="1935"/>
    </row>
    <row r="1127" customFormat="false" ht="14.25" hidden="false" customHeight="false" outlineLevel="0" collapsed="false">
      <c r="A1127" s="829"/>
      <c r="B1127" s="830"/>
      <c r="C1127" s="1965"/>
      <c r="D1127" s="860" t="s">
        <v>15</v>
      </c>
      <c r="E1127" s="1480" t="s">
        <v>1651</v>
      </c>
      <c r="F1127" s="832"/>
      <c r="G1127" s="2010"/>
      <c r="H1127" s="837"/>
      <c r="I1127" s="837"/>
      <c r="J1127" s="1932"/>
      <c r="K1127" s="943"/>
      <c r="L1127" s="866" t="n">
        <v>415.5855</v>
      </c>
      <c r="M1127" s="877" t="n">
        <v>15</v>
      </c>
      <c r="N1127" s="866" t="n">
        <f aca="false">M1127/H1125</f>
        <v>1</v>
      </c>
      <c r="O1127" s="543" t="s">
        <v>1375</v>
      </c>
      <c r="P1127" s="1937"/>
      <c r="Q1127" s="1934"/>
      <c r="R1127" s="1935"/>
    </row>
    <row r="1128" customFormat="false" ht="14.25" hidden="false" customHeight="false" outlineLevel="0" collapsed="false">
      <c r="A1128" s="829"/>
      <c r="B1128" s="830"/>
      <c r="C1128" s="1965"/>
      <c r="D1128" s="843" t="s">
        <v>15</v>
      </c>
      <c r="E1128" s="1357" t="s">
        <v>1651</v>
      </c>
      <c r="F1128" s="832"/>
      <c r="G1128" s="2010"/>
      <c r="H1128" s="837"/>
      <c r="I1128" s="837"/>
      <c r="J1128" s="1932"/>
      <c r="K1128" s="943"/>
      <c r="L1128" s="846" t="n">
        <v>19948.104</v>
      </c>
      <c r="M1128" s="846" t="n">
        <v>720</v>
      </c>
      <c r="N1128" s="846" t="n">
        <f aca="false">M1128/H1125</f>
        <v>48</v>
      </c>
      <c r="O1128" s="589" t="s">
        <v>454</v>
      </c>
      <c r="P1128" s="1937"/>
      <c r="Q1128" s="1934"/>
      <c r="R1128" s="1935"/>
    </row>
    <row r="1129" customFormat="false" ht="14.25" hidden="false" customHeight="false" outlineLevel="0" collapsed="false">
      <c r="A1129" s="1060" t="n">
        <v>189</v>
      </c>
      <c r="B1129" s="1072" t="n">
        <v>2024</v>
      </c>
      <c r="C1129" s="1980" t="n">
        <v>45809</v>
      </c>
      <c r="D1129" s="848" t="s">
        <v>15</v>
      </c>
      <c r="E1129" s="1479" t="s">
        <v>1651</v>
      </c>
      <c r="F1129" s="887" t="s">
        <v>3364</v>
      </c>
      <c r="G1129" s="2017" t="n">
        <v>570</v>
      </c>
      <c r="H1129" s="1067" t="n">
        <v>15</v>
      </c>
      <c r="I1129" s="1067" t="n">
        <f aca="false">G1129*H1129</f>
        <v>8550</v>
      </c>
      <c r="J1129" s="1951" t="n">
        <v>27.1697</v>
      </c>
      <c r="K1129" s="1452" t="n">
        <f aca="false">I1129*J1129</f>
        <v>232300.935</v>
      </c>
      <c r="L1129" s="854" t="n">
        <v>4890.546</v>
      </c>
      <c r="M1129" s="854" t="n">
        <v>180</v>
      </c>
      <c r="N1129" s="891" t="n">
        <f aca="false">M1129/H1129</f>
        <v>12</v>
      </c>
      <c r="O1129" s="537" t="n">
        <v>86948</v>
      </c>
      <c r="P1129" s="1953" t="n">
        <f aca="false">K1129-L1129-L1134-L1130-L1133-L1131-L1132</f>
        <v>0.000499999969235887</v>
      </c>
      <c r="Q1129" s="1953" t="n">
        <f aca="false">I1129-M1129-M1134-M1130-M1133-M1131-M1132</f>
        <v>0</v>
      </c>
      <c r="R1129" s="1954" t="n">
        <f aca="false">G1129-N1129-N1134-N1130-N1133-N1131-N1132</f>
        <v>0</v>
      </c>
    </row>
    <row r="1130" customFormat="false" ht="14.25" hidden="false" customHeight="false" outlineLevel="0" collapsed="false">
      <c r="A1130" s="1060"/>
      <c r="B1130" s="1072"/>
      <c r="C1130" s="1980"/>
      <c r="D1130" s="860" t="s">
        <v>15</v>
      </c>
      <c r="E1130" s="1480" t="s">
        <v>1651</v>
      </c>
      <c r="F1130" s="887"/>
      <c r="G1130" s="2017"/>
      <c r="H1130" s="1067"/>
      <c r="I1130" s="1067"/>
      <c r="J1130" s="1951"/>
      <c r="K1130" s="1452"/>
      <c r="L1130" s="866" t="n">
        <v>35456.4585</v>
      </c>
      <c r="M1130" s="866" t="n">
        <v>1305</v>
      </c>
      <c r="N1130" s="866" t="n">
        <f aca="false">M1130/H1129</f>
        <v>87</v>
      </c>
      <c r="O1130" s="543" t="s">
        <v>3468</v>
      </c>
      <c r="P1130" s="1953"/>
      <c r="Q1130" s="1953"/>
      <c r="R1130" s="1954"/>
    </row>
    <row r="1131" customFormat="false" ht="14.25" hidden="false" customHeight="false" outlineLevel="0" collapsed="false">
      <c r="A1131" s="1060"/>
      <c r="B1131" s="1072"/>
      <c r="C1131" s="1980"/>
      <c r="D1131" s="860" t="s">
        <v>15</v>
      </c>
      <c r="E1131" s="1480" t="s">
        <v>1651</v>
      </c>
      <c r="F1131" s="887"/>
      <c r="G1131" s="2017"/>
      <c r="H1131" s="1067"/>
      <c r="I1131" s="1067"/>
      <c r="J1131" s="1951"/>
      <c r="K1131" s="1452"/>
      <c r="L1131" s="866" t="n">
        <v>13856.547</v>
      </c>
      <c r="M1131" s="866" t="n">
        <v>510</v>
      </c>
      <c r="N1131" s="866" t="n">
        <f aca="false">M1131/H1129</f>
        <v>34</v>
      </c>
      <c r="O1131" s="543" t="s">
        <v>415</v>
      </c>
      <c r="P1131" s="1953"/>
      <c r="Q1131" s="1953"/>
      <c r="R1131" s="1954"/>
    </row>
    <row r="1132" customFormat="false" ht="14.25" hidden="false" customHeight="false" outlineLevel="0" collapsed="false">
      <c r="A1132" s="1060"/>
      <c r="B1132" s="1072"/>
      <c r="C1132" s="1980"/>
      <c r="D1132" s="860" t="s">
        <v>15</v>
      </c>
      <c r="E1132" s="1480" t="s">
        <v>1651</v>
      </c>
      <c r="F1132" s="887"/>
      <c r="G1132" s="2017"/>
      <c r="H1132" s="1067"/>
      <c r="I1132" s="1067"/>
      <c r="J1132" s="1951"/>
      <c r="K1132" s="1452"/>
      <c r="L1132" s="866" t="n">
        <v>407.545</v>
      </c>
      <c r="M1132" s="866" t="n">
        <v>15</v>
      </c>
      <c r="N1132" s="866" t="n">
        <f aca="false">M1132/H1129</f>
        <v>1</v>
      </c>
      <c r="O1132" s="543" t="s">
        <v>850</v>
      </c>
      <c r="P1132" s="1953"/>
      <c r="Q1132" s="1953"/>
      <c r="R1132" s="1954"/>
    </row>
    <row r="1133" customFormat="false" ht="14.25" hidden="false" customHeight="false" outlineLevel="0" collapsed="false">
      <c r="A1133" s="1060"/>
      <c r="B1133" s="1072"/>
      <c r="C1133" s="1980"/>
      <c r="D1133" s="860" t="s">
        <v>15</v>
      </c>
      <c r="E1133" s="1480" t="s">
        <v>1651</v>
      </c>
      <c r="F1133" s="887"/>
      <c r="G1133" s="2017"/>
      <c r="H1133" s="1067"/>
      <c r="I1133" s="1067"/>
      <c r="J1133" s="1951"/>
      <c r="K1133" s="1452"/>
      <c r="L1133" s="866" t="n">
        <v>163018.2</v>
      </c>
      <c r="M1133" s="866" t="n">
        <v>6000</v>
      </c>
      <c r="N1133" s="866" t="n">
        <f aca="false">M1133/H1129</f>
        <v>400</v>
      </c>
      <c r="O1133" s="543" t="s">
        <v>396</v>
      </c>
      <c r="P1133" s="1953"/>
      <c r="Q1133" s="1953"/>
      <c r="R1133" s="1954"/>
    </row>
    <row r="1134" customFormat="false" ht="14.25" hidden="false" customHeight="false" outlineLevel="0" collapsed="false">
      <c r="A1134" s="1060"/>
      <c r="B1134" s="1072"/>
      <c r="C1134" s="1980"/>
      <c r="D1134" s="843" t="s">
        <v>15</v>
      </c>
      <c r="E1134" s="1357" t="s">
        <v>1651</v>
      </c>
      <c r="F1134" s="887"/>
      <c r="G1134" s="2017"/>
      <c r="H1134" s="1067"/>
      <c r="I1134" s="1067"/>
      <c r="J1134" s="1951"/>
      <c r="K1134" s="1452"/>
      <c r="L1134" s="846" t="n">
        <v>14671.638</v>
      </c>
      <c r="M1134" s="846" t="n">
        <v>540</v>
      </c>
      <c r="N1134" s="846" t="n">
        <f aca="false">M1134/H1129</f>
        <v>36</v>
      </c>
      <c r="O1134" s="589" t="s">
        <v>366</v>
      </c>
      <c r="P1134" s="1953"/>
      <c r="Q1134" s="1953"/>
      <c r="R1134" s="1954"/>
    </row>
    <row r="1135" customFormat="false" ht="14.25" hidden="false" customHeight="false" outlineLevel="0" collapsed="false">
      <c r="A1135" s="829" t="n">
        <v>302</v>
      </c>
      <c r="B1135" s="830" t="n">
        <v>2024</v>
      </c>
      <c r="C1135" s="1965" t="n">
        <v>45870</v>
      </c>
      <c r="D1135" s="831" t="s">
        <v>15</v>
      </c>
      <c r="E1135" s="1365" t="s">
        <v>1651</v>
      </c>
      <c r="F1135" s="832" t="s">
        <v>3364</v>
      </c>
      <c r="G1135" s="2010" t="n">
        <v>666</v>
      </c>
      <c r="H1135" s="837" t="n">
        <v>15</v>
      </c>
      <c r="I1135" s="837" t="n">
        <f aca="false">G1135*H1135</f>
        <v>9990</v>
      </c>
      <c r="J1135" s="1932" t="n">
        <v>25.0106</v>
      </c>
      <c r="K1135" s="943" t="n">
        <f aca="false">I1135*J1135</f>
        <v>249855.894</v>
      </c>
      <c r="L1135" s="886" t="n">
        <v>48020.352</v>
      </c>
      <c r="M1135" s="886" t="n">
        <v>1920</v>
      </c>
      <c r="N1135" s="886" t="n">
        <f aca="false">M1135/H1135</f>
        <v>128</v>
      </c>
      <c r="O1135" s="1036" t="s">
        <v>406</v>
      </c>
      <c r="P1135" s="1937" t="n">
        <f aca="false">K1135-L1135-L1139-L1138-L1136-L1137</f>
        <v>0</v>
      </c>
      <c r="Q1135" s="1934" t="n">
        <f aca="false">I1135-M1135-M1139-M1138-M1136-M1137</f>
        <v>0</v>
      </c>
      <c r="R1135" s="1935" t="n">
        <f aca="false">G1135-N1135-N1139-N1138-N1136-N1137</f>
        <v>0</v>
      </c>
    </row>
    <row r="1136" customFormat="false" ht="14.25" hidden="false" customHeight="false" outlineLevel="0" collapsed="false">
      <c r="A1136" s="829"/>
      <c r="B1136" s="830"/>
      <c r="C1136" s="1965"/>
      <c r="D1136" s="848" t="s">
        <v>15</v>
      </c>
      <c r="E1136" s="1479" t="s">
        <v>1651</v>
      </c>
      <c r="F1136" s="832"/>
      <c r="G1136" s="2010"/>
      <c r="H1136" s="837"/>
      <c r="I1136" s="837"/>
      <c r="J1136" s="1932"/>
      <c r="K1136" s="943"/>
      <c r="L1136" s="866" t="n">
        <v>2626.113</v>
      </c>
      <c r="M1136" s="866" t="n">
        <v>105</v>
      </c>
      <c r="N1136" s="866" t="n">
        <f aca="false">M1136/H1135</f>
        <v>7</v>
      </c>
      <c r="O1136" s="543" t="s">
        <v>440</v>
      </c>
      <c r="P1136" s="1937"/>
      <c r="Q1136" s="1934"/>
      <c r="R1136" s="1935"/>
    </row>
    <row r="1137" customFormat="false" ht="14.25" hidden="false" customHeight="false" outlineLevel="0" collapsed="false">
      <c r="A1137" s="829"/>
      <c r="B1137" s="830"/>
      <c r="C1137" s="1965"/>
      <c r="D1137" s="848" t="s">
        <v>15</v>
      </c>
      <c r="E1137" s="1479" t="s">
        <v>1651</v>
      </c>
      <c r="F1137" s="832"/>
      <c r="G1137" s="2010"/>
      <c r="H1137" s="837"/>
      <c r="I1137" s="837"/>
      <c r="J1137" s="1932"/>
      <c r="K1137" s="943"/>
      <c r="L1137" s="866" t="n">
        <v>73906.323</v>
      </c>
      <c r="M1137" s="866" t="n">
        <v>2955</v>
      </c>
      <c r="N1137" s="866" t="n">
        <f aca="false">M1137/H1135</f>
        <v>197</v>
      </c>
      <c r="O1137" s="543" t="s">
        <v>442</v>
      </c>
      <c r="P1137" s="1937"/>
      <c r="Q1137" s="1934"/>
      <c r="R1137" s="1935"/>
    </row>
    <row r="1138" customFormat="false" ht="14.25" hidden="false" customHeight="false" outlineLevel="0" collapsed="false">
      <c r="A1138" s="829"/>
      <c r="B1138" s="830"/>
      <c r="C1138" s="1965"/>
      <c r="D1138" s="860" t="s">
        <v>15</v>
      </c>
      <c r="E1138" s="1480" t="s">
        <v>1651</v>
      </c>
      <c r="F1138" s="832"/>
      <c r="G1138" s="2010"/>
      <c r="H1138" s="837"/>
      <c r="I1138" s="837"/>
      <c r="J1138" s="1932"/>
      <c r="K1138" s="943"/>
      <c r="L1138" s="866" t="n">
        <v>62651.553</v>
      </c>
      <c r="M1138" s="866" t="n">
        <v>2505</v>
      </c>
      <c r="N1138" s="866" t="n">
        <f aca="false">M1138/H1135</f>
        <v>167</v>
      </c>
      <c r="O1138" s="543" t="s">
        <v>417</v>
      </c>
      <c r="P1138" s="1937"/>
      <c r="Q1138" s="1934"/>
      <c r="R1138" s="1935"/>
    </row>
    <row r="1139" customFormat="false" ht="14.25" hidden="false" customHeight="false" outlineLevel="0" collapsed="false">
      <c r="A1139" s="829"/>
      <c r="B1139" s="830"/>
      <c r="C1139" s="1965"/>
      <c r="D1139" s="887" t="s">
        <v>15</v>
      </c>
      <c r="E1139" s="1501" t="s">
        <v>1651</v>
      </c>
      <c r="F1139" s="832"/>
      <c r="G1139" s="2010"/>
      <c r="H1139" s="837"/>
      <c r="I1139" s="837"/>
      <c r="J1139" s="1932"/>
      <c r="K1139" s="943"/>
      <c r="L1139" s="890" t="n">
        <v>62651.553</v>
      </c>
      <c r="M1139" s="890" t="n">
        <v>2505</v>
      </c>
      <c r="N1139" s="890" t="n">
        <f aca="false">M1139/H1135</f>
        <v>167</v>
      </c>
      <c r="O1139" s="1067" t="s">
        <v>3377</v>
      </c>
      <c r="P1139" s="1937"/>
      <c r="Q1139" s="1934"/>
      <c r="R1139" s="1935"/>
    </row>
    <row r="1140" customFormat="false" ht="14.25" hidden="false" customHeight="false" outlineLevel="0" collapsed="false">
      <c r="A1140" s="903" t="n">
        <v>306</v>
      </c>
      <c r="B1140" s="903" t="n">
        <v>2024</v>
      </c>
      <c r="C1140" s="1974" t="n">
        <v>45870</v>
      </c>
      <c r="D1140" s="904" t="s">
        <v>15</v>
      </c>
      <c r="E1140" s="1351" t="s">
        <v>1651</v>
      </c>
      <c r="F1140" s="904" t="s">
        <v>3364</v>
      </c>
      <c r="G1140" s="2012" t="n">
        <v>272</v>
      </c>
      <c r="H1140" s="942" t="n">
        <v>15</v>
      </c>
      <c r="I1140" s="1355" t="n">
        <f aca="false">G1140*H1140</f>
        <v>4080</v>
      </c>
      <c r="J1140" s="1941" t="n">
        <v>26.2095</v>
      </c>
      <c r="K1140" s="1942" t="n">
        <f aca="false">I1140*J1140</f>
        <v>106934.76</v>
      </c>
      <c r="L1140" s="891" t="n">
        <v>106934.76</v>
      </c>
      <c r="M1140" s="891" t="n">
        <v>4080</v>
      </c>
      <c r="N1140" s="891" t="n">
        <f aca="false">M1140/H1140</f>
        <v>272</v>
      </c>
      <c r="O1140" s="942" t="s">
        <v>406</v>
      </c>
      <c r="P1140" s="1944" t="n">
        <f aca="false">K1140-L1140</f>
        <v>0</v>
      </c>
      <c r="Q1140" s="1945" t="n">
        <f aca="false">I1140-M1140</f>
        <v>0</v>
      </c>
      <c r="R1140" s="2000" t="n">
        <f aca="false">G1140-N1140</f>
        <v>0</v>
      </c>
    </row>
    <row r="1141" customFormat="false" ht="14.25" hidden="false" customHeight="false" outlineLevel="0" collapsed="false">
      <c r="A1141" s="829" t="n">
        <v>336</v>
      </c>
      <c r="B1141" s="830" t="n">
        <v>2024</v>
      </c>
      <c r="C1141" s="1965" t="n">
        <v>45901</v>
      </c>
      <c r="D1141" s="831" t="s">
        <v>15</v>
      </c>
      <c r="E1141" s="1365" t="s">
        <v>2130</v>
      </c>
      <c r="F1141" s="832" t="s">
        <v>3364</v>
      </c>
      <c r="G1141" s="2010" t="n">
        <v>303</v>
      </c>
      <c r="H1141" s="837" t="n">
        <v>25</v>
      </c>
      <c r="I1141" s="837" t="n">
        <f aca="false">G1141*H1141</f>
        <v>7575</v>
      </c>
      <c r="J1141" s="1932" t="n">
        <v>43.751</v>
      </c>
      <c r="K1141" s="943" t="n">
        <f aca="false">I1141*J1141</f>
        <v>331413.825</v>
      </c>
      <c r="L1141" s="886" t="n">
        <v>106096.175</v>
      </c>
      <c r="M1141" s="886" t="n">
        <v>2425</v>
      </c>
      <c r="N1141" s="886" t="n">
        <f aca="false">M1141/H1141</f>
        <v>97</v>
      </c>
      <c r="O1141" s="1036" t="s">
        <v>3378</v>
      </c>
      <c r="P1141" s="1934" t="n">
        <f aca="false">K1141-L1141-L1148-L1147-L1142-L1143-L1146-L1144-L1145</f>
        <v>-2.81943357549608E-011</v>
      </c>
      <c r="Q1141" s="1934" t="n">
        <f aca="false">I1141-M1141-M1148-M1147-M1142-M1143-M1146-M1144-M1145</f>
        <v>0</v>
      </c>
      <c r="R1141" s="1935" t="n">
        <f aca="false">G1141-N1141-N1148-N1147-N1142-N1143-N1146-N1144-N1145</f>
        <v>0</v>
      </c>
    </row>
    <row r="1142" customFormat="false" ht="14.25" hidden="false" customHeight="false" outlineLevel="0" collapsed="false">
      <c r="A1142" s="829"/>
      <c r="B1142" s="830"/>
      <c r="C1142" s="1965"/>
      <c r="D1142" s="860" t="s">
        <v>15</v>
      </c>
      <c r="E1142" s="1480" t="s">
        <v>2130</v>
      </c>
      <c r="F1142" s="832"/>
      <c r="G1142" s="2010"/>
      <c r="H1142" s="837"/>
      <c r="I1142" s="837"/>
      <c r="J1142" s="1932"/>
      <c r="K1142" s="943"/>
      <c r="L1142" s="866" t="n">
        <v>131253</v>
      </c>
      <c r="M1142" s="866" t="n">
        <v>3000</v>
      </c>
      <c r="N1142" s="866" t="n">
        <f aca="false">M1142/H1141</f>
        <v>120</v>
      </c>
      <c r="O1142" s="543" t="s">
        <v>442</v>
      </c>
      <c r="P1142" s="1934"/>
      <c r="Q1142" s="1934"/>
      <c r="R1142" s="1935"/>
    </row>
    <row r="1143" customFormat="false" ht="14.25" hidden="false" customHeight="false" outlineLevel="0" collapsed="false">
      <c r="A1143" s="829"/>
      <c r="B1143" s="830"/>
      <c r="C1143" s="1965"/>
      <c r="D1143" s="860" t="s">
        <v>15</v>
      </c>
      <c r="E1143" s="1480" t="s">
        <v>2130</v>
      </c>
      <c r="F1143" s="832"/>
      <c r="G1143" s="2010"/>
      <c r="H1143" s="837"/>
      <c r="I1143" s="837"/>
      <c r="J1143" s="1932"/>
      <c r="K1143" s="943"/>
      <c r="L1143" s="866" t="n">
        <v>1093.775</v>
      </c>
      <c r="M1143" s="866" t="n">
        <v>25</v>
      </c>
      <c r="N1143" s="866" t="n">
        <f aca="false">M1143/H1141</f>
        <v>1</v>
      </c>
      <c r="O1143" s="543" t="s">
        <v>789</v>
      </c>
      <c r="P1143" s="1934"/>
      <c r="Q1143" s="1934"/>
      <c r="R1143" s="1935"/>
    </row>
    <row r="1144" customFormat="false" ht="14.25" hidden="false" customHeight="false" outlineLevel="0" collapsed="false">
      <c r="A1144" s="829"/>
      <c r="B1144" s="830"/>
      <c r="C1144" s="1965"/>
      <c r="D1144" s="860" t="s">
        <v>15</v>
      </c>
      <c r="E1144" s="1480" t="s">
        <v>2130</v>
      </c>
      <c r="F1144" s="832"/>
      <c r="G1144" s="2010"/>
      <c r="H1144" s="837"/>
      <c r="I1144" s="837"/>
      <c r="J1144" s="1932"/>
      <c r="K1144" s="943"/>
      <c r="L1144" s="866" t="n">
        <v>6562.65</v>
      </c>
      <c r="M1144" s="866" t="n">
        <v>150</v>
      </c>
      <c r="N1144" s="866" t="n">
        <f aca="false">M1144/H1141</f>
        <v>6</v>
      </c>
      <c r="O1144" s="543" t="s">
        <v>1298</v>
      </c>
      <c r="P1144" s="1934"/>
      <c r="Q1144" s="1934"/>
      <c r="R1144" s="1935"/>
    </row>
    <row r="1145" customFormat="false" ht="14.25" hidden="false" customHeight="false" outlineLevel="0" collapsed="false">
      <c r="A1145" s="829"/>
      <c r="B1145" s="830"/>
      <c r="C1145" s="1965"/>
      <c r="D1145" s="860" t="s">
        <v>15</v>
      </c>
      <c r="E1145" s="1480" t="s">
        <v>2130</v>
      </c>
      <c r="F1145" s="832"/>
      <c r="G1145" s="2010"/>
      <c r="H1145" s="837"/>
      <c r="I1145" s="837"/>
      <c r="J1145" s="1932"/>
      <c r="K1145" s="943"/>
      <c r="L1145" s="866" t="n">
        <v>-4375.1</v>
      </c>
      <c r="M1145" s="866" t="n">
        <v>-100</v>
      </c>
      <c r="N1145" s="866" t="n">
        <f aca="false">M1145/H1141</f>
        <v>-4</v>
      </c>
      <c r="O1145" s="543" t="s">
        <v>1634</v>
      </c>
      <c r="P1145" s="1934"/>
      <c r="Q1145" s="1934"/>
      <c r="R1145" s="1935"/>
    </row>
    <row r="1146" customFormat="false" ht="14.25" hidden="false" customHeight="false" outlineLevel="0" collapsed="false">
      <c r="A1146" s="829"/>
      <c r="B1146" s="830"/>
      <c r="C1146" s="1965"/>
      <c r="D1146" s="860" t="s">
        <v>15</v>
      </c>
      <c r="E1146" s="1480" t="s">
        <v>2130</v>
      </c>
      <c r="F1146" s="832"/>
      <c r="G1146" s="2010"/>
      <c r="H1146" s="837"/>
      <c r="I1146" s="837"/>
      <c r="J1146" s="1932"/>
      <c r="K1146" s="943"/>
      <c r="L1146" s="866" t="n">
        <v>2187.55</v>
      </c>
      <c r="M1146" s="866" t="n">
        <v>50</v>
      </c>
      <c r="N1146" s="866" t="n">
        <f aca="false">M1146/H1141</f>
        <v>2</v>
      </c>
      <c r="O1146" s="543" t="s">
        <v>1235</v>
      </c>
      <c r="P1146" s="1934"/>
      <c r="Q1146" s="1934"/>
      <c r="R1146" s="1935"/>
    </row>
    <row r="1147" customFormat="false" ht="14.25" hidden="false" customHeight="false" outlineLevel="0" collapsed="false">
      <c r="A1147" s="829"/>
      <c r="B1147" s="830"/>
      <c r="C1147" s="1965"/>
      <c r="D1147" s="860" t="s">
        <v>15</v>
      </c>
      <c r="E1147" s="1480" t="s">
        <v>2130</v>
      </c>
      <c r="F1147" s="832"/>
      <c r="G1147" s="2010"/>
      <c r="H1147" s="837"/>
      <c r="I1147" s="837"/>
      <c r="J1147" s="1932"/>
      <c r="K1147" s="943"/>
      <c r="L1147" s="866" t="n">
        <v>43751</v>
      </c>
      <c r="M1147" s="866" t="n">
        <v>1000</v>
      </c>
      <c r="N1147" s="866" t="n">
        <f aca="false">M1147/H1141</f>
        <v>40</v>
      </c>
      <c r="O1147" s="543" t="s">
        <v>417</v>
      </c>
      <c r="P1147" s="1934"/>
      <c r="Q1147" s="1934"/>
      <c r="R1147" s="1935"/>
    </row>
    <row r="1148" customFormat="false" ht="14.25" hidden="false" customHeight="false" outlineLevel="0" collapsed="false">
      <c r="A1148" s="829"/>
      <c r="B1148" s="830"/>
      <c r="C1148" s="1965"/>
      <c r="D1148" s="843" t="s">
        <v>15</v>
      </c>
      <c r="E1148" s="1357" t="s">
        <v>2130</v>
      </c>
      <c r="F1148" s="832"/>
      <c r="G1148" s="2010"/>
      <c r="H1148" s="837"/>
      <c r="I1148" s="837"/>
      <c r="J1148" s="1932"/>
      <c r="K1148" s="943"/>
      <c r="L1148" s="890" t="n">
        <v>44844.775</v>
      </c>
      <c r="M1148" s="890" t="n">
        <v>1025</v>
      </c>
      <c r="N1148" s="890" t="n">
        <f aca="false">M1148/H1141</f>
        <v>41</v>
      </c>
      <c r="O1148" s="1067" t="s">
        <v>409</v>
      </c>
      <c r="P1148" s="1934"/>
      <c r="Q1148" s="1934"/>
      <c r="R1148" s="1935"/>
    </row>
    <row r="1149" customFormat="false" ht="14.25" hidden="false" customHeight="false" outlineLevel="0" collapsed="false">
      <c r="A1149" s="903" t="n">
        <v>349</v>
      </c>
      <c r="B1149" s="903" t="n">
        <v>2024</v>
      </c>
      <c r="C1149" s="1974" t="n">
        <v>45901</v>
      </c>
      <c r="D1149" s="904" t="s">
        <v>15</v>
      </c>
      <c r="E1149" s="1351" t="s">
        <v>2130</v>
      </c>
      <c r="F1149" s="904" t="s">
        <v>3364</v>
      </c>
      <c r="G1149" s="2012" t="n">
        <v>31</v>
      </c>
      <c r="H1149" s="942" t="n">
        <v>25</v>
      </c>
      <c r="I1149" s="1355" t="n">
        <f aca="false">G1149*H1149</f>
        <v>775</v>
      </c>
      <c r="J1149" s="1941" t="n">
        <v>45.927</v>
      </c>
      <c r="K1149" s="1942" t="n">
        <f aca="false">I1149*J1149</f>
        <v>35593.425</v>
      </c>
      <c r="L1149" s="891" t="n">
        <v>35593.425</v>
      </c>
      <c r="M1149" s="891" t="n">
        <v>775</v>
      </c>
      <c r="N1149" s="891" t="n">
        <f aca="false">M1149/H1149</f>
        <v>31</v>
      </c>
      <c r="O1149" s="942" t="s">
        <v>3378</v>
      </c>
      <c r="P1149" s="1944" t="n">
        <f aca="false">K1149-L1149</f>
        <v>0</v>
      </c>
      <c r="Q1149" s="1945" t="n">
        <f aca="false">I1149-M1149</f>
        <v>0</v>
      </c>
      <c r="R1149" s="2000" t="n">
        <f aca="false">G1149-N1149</f>
        <v>0</v>
      </c>
    </row>
    <row r="1150" customFormat="false" ht="14.25" hidden="false" customHeight="false" outlineLevel="0" collapsed="false">
      <c r="A1150" s="1465" t="n">
        <v>391</v>
      </c>
      <c r="B1150" s="1546" t="n">
        <v>2024</v>
      </c>
      <c r="C1150" s="1975" t="n">
        <v>45901</v>
      </c>
      <c r="D1150" s="1328" t="s">
        <v>15</v>
      </c>
      <c r="E1150" s="1607" t="s">
        <v>2130</v>
      </c>
      <c r="F1150" s="1328" t="s">
        <v>3364</v>
      </c>
      <c r="G1150" s="2011" t="n">
        <v>57</v>
      </c>
      <c r="H1150" s="1036" t="n">
        <v>25</v>
      </c>
      <c r="I1150" s="1036" t="n">
        <f aca="false">G1150*H1150</f>
        <v>1425</v>
      </c>
      <c r="J1150" s="1999" t="n">
        <v>42.2511</v>
      </c>
      <c r="K1150" s="1547" t="n">
        <f aca="false">I1150*J1150</f>
        <v>60207.8175</v>
      </c>
      <c r="L1150" s="886" t="n">
        <v>52813.875</v>
      </c>
      <c r="M1150" s="886" t="n">
        <v>1250</v>
      </c>
      <c r="N1150" s="886" t="n">
        <f aca="false">M1150/H1150</f>
        <v>50</v>
      </c>
      <c r="O1150" s="1036" t="s">
        <v>495</v>
      </c>
      <c r="P1150" s="1978" t="n">
        <f aca="false">K1150-L1150-L1153-L1152-L1151</f>
        <v>-0.000499999995327016</v>
      </c>
      <c r="Q1150" s="1978" t="n">
        <f aca="false">I1150-M1150-M1153-M1152-M1151</f>
        <v>0</v>
      </c>
      <c r="R1150" s="1979" t="n">
        <f aca="false">G1150-N1150-N1153-N1152-N1151</f>
        <v>0</v>
      </c>
    </row>
    <row r="1151" customFormat="false" ht="14.25" hidden="false" customHeight="false" outlineLevel="0" collapsed="false">
      <c r="A1151" s="1465"/>
      <c r="B1151" s="1546"/>
      <c r="C1151" s="1975"/>
      <c r="D1151" s="860" t="s">
        <v>15</v>
      </c>
      <c r="E1151" s="1480" t="s">
        <v>2130</v>
      </c>
      <c r="F1151" s="1328"/>
      <c r="G1151" s="2011"/>
      <c r="H1151" s="1036"/>
      <c r="I1151" s="1036"/>
      <c r="J1151" s="1999"/>
      <c r="K1151" s="1547"/>
      <c r="L1151" s="866" t="n">
        <v>1056.278</v>
      </c>
      <c r="M1151" s="866" t="n">
        <v>25</v>
      </c>
      <c r="N1151" s="866" t="n">
        <f aca="false">M1151/H1150</f>
        <v>1</v>
      </c>
      <c r="O1151" s="543" t="s">
        <v>1634</v>
      </c>
      <c r="P1151" s="1978"/>
      <c r="Q1151" s="1978"/>
      <c r="R1151" s="1979"/>
    </row>
    <row r="1152" customFormat="false" ht="14.25" hidden="false" customHeight="false" outlineLevel="0" collapsed="false">
      <c r="A1152" s="1465"/>
      <c r="B1152" s="1546"/>
      <c r="C1152" s="1975"/>
      <c r="D1152" s="860" t="s">
        <v>15</v>
      </c>
      <c r="E1152" s="1480" t="s">
        <v>2130</v>
      </c>
      <c r="F1152" s="1328"/>
      <c r="G1152" s="2011"/>
      <c r="H1152" s="1036"/>
      <c r="I1152" s="1036"/>
      <c r="J1152" s="1999"/>
      <c r="K1152" s="1547"/>
      <c r="L1152" s="866" t="n">
        <v>5281.3875</v>
      </c>
      <c r="M1152" s="866" t="n">
        <v>125</v>
      </c>
      <c r="N1152" s="866" t="n">
        <f aca="false">M1152/H1150</f>
        <v>5</v>
      </c>
      <c r="O1152" s="543" t="s">
        <v>1298</v>
      </c>
      <c r="P1152" s="1978"/>
      <c r="Q1152" s="1978"/>
      <c r="R1152" s="1979"/>
    </row>
    <row r="1153" customFormat="false" ht="14.25" hidden="false" customHeight="false" outlineLevel="0" collapsed="false">
      <c r="A1153" s="1465"/>
      <c r="B1153" s="1546"/>
      <c r="C1153" s="1975"/>
      <c r="D1153" s="871" t="s">
        <v>15</v>
      </c>
      <c r="E1153" s="1478" t="s">
        <v>2130</v>
      </c>
      <c r="F1153" s="1328"/>
      <c r="G1153" s="2011"/>
      <c r="H1153" s="1036"/>
      <c r="I1153" s="1036"/>
      <c r="J1153" s="1999"/>
      <c r="K1153" s="1547"/>
      <c r="L1153" s="891" t="n">
        <v>1056.2775</v>
      </c>
      <c r="M1153" s="891" t="n">
        <v>25</v>
      </c>
      <c r="N1153" s="891" t="n">
        <f aca="false">M1153/H1150</f>
        <v>1</v>
      </c>
      <c r="O1153" s="942" t="s">
        <v>1235</v>
      </c>
      <c r="P1153" s="1978"/>
      <c r="Q1153" s="1978"/>
      <c r="R1153" s="1979"/>
    </row>
    <row r="1154" customFormat="false" ht="14.25" hidden="false" customHeight="false" outlineLevel="0" collapsed="false">
      <c r="A1154" s="882" t="n">
        <v>392</v>
      </c>
      <c r="B1154" s="830" t="n">
        <v>2024</v>
      </c>
      <c r="C1154" s="1965" t="n">
        <v>45901</v>
      </c>
      <c r="D1154" s="831" t="s">
        <v>15</v>
      </c>
      <c r="E1154" s="1365" t="s">
        <v>2130</v>
      </c>
      <c r="F1154" s="832" t="s">
        <v>3367</v>
      </c>
      <c r="G1154" s="2010" t="n">
        <v>42</v>
      </c>
      <c r="H1154" s="837" t="n">
        <v>25</v>
      </c>
      <c r="I1154" s="837" t="n">
        <f aca="false">G1154*H1154</f>
        <v>1050</v>
      </c>
      <c r="J1154" s="1932" t="n">
        <v>42.2511</v>
      </c>
      <c r="K1154" s="943" t="n">
        <f aca="false">I1154*J1154</f>
        <v>44363.655</v>
      </c>
      <c r="L1154" s="840" t="n">
        <v>44363.655</v>
      </c>
      <c r="M1154" s="840" t="n">
        <v>1050</v>
      </c>
      <c r="N1154" s="840" t="n">
        <f aca="false">M1154/H1154</f>
        <v>42</v>
      </c>
      <c r="O1154" s="1114" t="s">
        <v>510</v>
      </c>
      <c r="P1154" s="1937" t="n">
        <f aca="false">K1154-L1154-L1156-L1155</f>
        <v>0</v>
      </c>
      <c r="Q1154" s="1934" t="n">
        <f aca="false">I1154-M1154-M1156-M1155</f>
        <v>0</v>
      </c>
      <c r="R1154" s="1935" t="n">
        <f aca="false">G1154-N1154-N1156-N1155</f>
        <v>0</v>
      </c>
    </row>
    <row r="1155" customFormat="false" ht="14.25" hidden="false" customHeight="false" outlineLevel="0" collapsed="false">
      <c r="A1155" s="882"/>
      <c r="B1155" s="830"/>
      <c r="C1155" s="1965"/>
      <c r="D1155" s="860" t="s">
        <v>15</v>
      </c>
      <c r="E1155" s="1480" t="s">
        <v>2130</v>
      </c>
      <c r="F1155" s="832"/>
      <c r="G1155" s="2010"/>
      <c r="H1155" s="837"/>
      <c r="I1155" s="837"/>
      <c r="J1155" s="1932"/>
      <c r="K1155" s="943"/>
      <c r="L1155" s="866" t="n">
        <v>-44363.655</v>
      </c>
      <c r="M1155" s="866" t="n">
        <v>-1050</v>
      </c>
      <c r="N1155" s="866" t="n">
        <f aca="false">M1155/H1154</f>
        <v>-42</v>
      </c>
      <c r="O1155" s="543" t="s">
        <v>1634</v>
      </c>
      <c r="P1155" s="1937"/>
      <c r="Q1155" s="1934"/>
      <c r="R1155" s="1935"/>
    </row>
    <row r="1156" customFormat="false" ht="14.25" hidden="false" customHeight="false" outlineLevel="0" collapsed="false">
      <c r="A1156" s="882"/>
      <c r="B1156" s="830"/>
      <c r="C1156" s="1965"/>
      <c r="D1156" s="843" t="s">
        <v>15</v>
      </c>
      <c r="E1156" s="1357" t="s">
        <v>2130</v>
      </c>
      <c r="F1156" s="832"/>
      <c r="G1156" s="2010"/>
      <c r="H1156" s="837"/>
      <c r="I1156" s="837"/>
      <c r="J1156" s="1932"/>
      <c r="K1156" s="943"/>
      <c r="L1156" s="846" t="n">
        <v>44363.655</v>
      </c>
      <c r="M1156" s="846" t="n">
        <v>1050</v>
      </c>
      <c r="N1156" s="846" t="n">
        <f aca="false">M1156/H1154</f>
        <v>42</v>
      </c>
      <c r="O1156" s="589" t="s">
        <v>1293</v>
      </c>
      <c r="P1156" s="1937"/>
      <c r="Q1156" s="1934"/>
      <c r="R1156" s="1935"/>
    </row>
    <row r="1157" customFormat="false" ht="14.25" hidden="false" customHeight="false" outlineLevel="0" collapsed="false">
      <c r="A1157" s="1087" t="n">
        <v>393</v>
      </c>
      <c r="B1157" s="1072" t="n">
        <v>2024</v>
      </c>
      <c r="C1157" s="1980" t="n">
        <v>45901</v>
      </c>
      <c r="D1157" s="848" t="s">
        <v>15</v>
      </c>
      <c r="E1157" s="1479" t="s">
        <v>2131</v>
      </c>
      <c r="F1157" s="887" t="s">
        <v>3364</v>
      </c>
      <c r="G1157" s="2017" t="n">
        <v>63</v>
      </c>
      <c r="H1157" s="1067" t="n">
        <v>25</v>
      </c>
      <c r="I1157" s="1067" t="n">
        <f aca="false">G1157*H1157</f>
        <v>1575</v>
      </c>
      <c r="J1157" s="1951" t="n">
        <v>63.6914</v>
      </c>
      <c r="K1157" s="1452" t="n">
        <f aca="false">I1157*J1157</f>
        <v>100313.955</v>
      </c>
      <c r="L1157" s="854" t="n">
        <v>31845.7</v>
      </c>
      <c r="M1157" s="854" t="n">
        <v>500</v>
      </c>
      <c r="N1157" s="854" t="n">
        <f aca="false">M1157/H1157</f>
        <v>20</v>
      </c>
      <c r="O1157" s="537" t="s">
        <v>404</v>
      </c>
      <c r="P1157" s="1981" t="n">
        <f aca="false">K1157-L1157-L1159-L1158</f>
        <v>0</v>
      </c>
      <c r="Q1157" s="1953" t="n">
        <f aca="false">I1157-M1157-M1159-M1158</f>
        <v>0</v>
      </c>
      <c r="R1157" s="1954" t="n">
        <f aca="false">G1157-N1157-N1159-N1158</f>
        <v>0</v>
      </c>
    </row>
    <row r="1158" customFormat="false" ht="14.25" hidden="false" customHeight="false" outlineLevel="0" collapsed="false">
      <c r="A1158" s="1087"/>
      <c r="B1158" s="1072"/>
      <c r="C1158" s="1980"/>
      <c r="D1158" s="904" t="s">
        <v>15</v>
      </c>
      <c r="E1158" s="1351" t="s">
        <v>2131</v>
      </c>
      <c r="F1158" s="887"/>
      <c r="G1158" s="2017"/>
      <c r="H1158" s="1067"/>
      <c r="I1158" s="1067"/>
      <c r="J1158" s="1951"/>
      <c r="K1158" s="1452"/>
      <c r="L1158" s="891" t="n">
        <v>4776.855</v>
      </c>
      <c r="M1158" s="891" t="n">
        <v>75</v>
      </c>
      <c r="N1158" s="854" t="n">
        <f aca="false">M1158/H1157</f>
        <v>3</v>
      </c>
      <c r="O1158" s="942" t="s">
        <v>1298</v>
      </c>
      <c r="P1158" s="1981"/>
      <c r="Q1158" s="1953"/>
      <c r="R1158" s="1954"/>
    </row>
    <row r="1159" customFormat="false" ht="14.25" hidden="false" customHeight="false" outlineLevel="0" collapsed="false">
      <c r="A1159" s="1087"/>
      <c r="B1159" s="1072"/>
      <c r="C1159" s="1980"/>
      <c r="D1159" s="843" t="s">
        <v>15</v>
      </c>
      <c r="E1159" s="1357" t="s">
        <v>2131</v>
      </c>
      <c r="F1159" s="887"/>
      <c r="G1159" s="2017"/>
      <c r="H1159" s="1067"/>
      <c r="I1159" s="1067"/>
      <c r="J1159" s="1951"/>
      <c r="K1159" s="1452"/>
      <c r="L1159" s="846" t="n">
        <v>63691.4</v>
      </c>
      <c r="M1159" s="846" t="n">
        <v>1000</v>
      </c>
      <c r="N1159" s="846" t="n">
        <f aca="false">M1159/H1157</f>
        <v>40</v>
      </c>
      <c r="O1159" s="589" t="s">
        <v>404</v>
      </c>
      <c r="P1159" s="1981"/>
      <c r="Q1159" s="1953"/>
      <c r="R1159" s="1954"/>
    </row>
    <row r="1160" customFormat="false" ht="14.25" hidden="false" customHeight="false" outlineLevel="0" collapsed="false">
      <c r="A1160" s="1344" t="n">
        <v>397</v>
      </c>
      <c r="B1160" s="903" t="n">
        <v>2024</v>
      </c>
      <c r="C1160" s="1974" t="n">
        <v>45901</v>
      </c>
      <c r="D1160" s="904" t="s">
        <v>15</v>
      </c>
      <c r="E1160" s="1351" t="s">
        <v>1652</v>
      </c>
      <c r="F1160" s="904" t="s">
        <v>3364</v>
      </c>
      <c r="G1160" s="2016" t="n">
        <v>534</v>
      </c>
      <c r="H1160" s="942" t="n">
        <v>15</v>
      </c>
      <c r="I1160" s="942" t="n">
        <f aca="false">G1160*H1160</f>
        <v>8010</v>
      </c>
      <c r="J1160" s="1941" t="n">
        <v>41.6443</v>
      </c>
      <c r="K1160" s="948" t="n">
        <f aca="false">I1160*J1160</f>
        <v>333570.843</v>
      </c>
      <c r="L1160" s="891" t="n">
        <v>237997.1745</v>
      </c>
      <c r="M1160" s="891" t="n">
        <v>5715</v>
      </c>
      <c r="N1160" s="891" t="n">
        <f aca="false">M1160/H1160</f>
        <v>381</v>
      </c>
      <c r="O1160" s="942" t="s">
        <v>468</v>
      </c>
      <c r="P1160" s="2000" t="n">
        <f aca="false">K1160-L1160-L1171-L1170-L1161-L1162-L1163-L1164-L1165-L1167-L1168-L1169-L1166</f>
        <v>-0.000499999987368938</v>
      </c>
      <c r="Q1160" s="2000" t="n">
        <f aca="false">I1160-M1160-M1171-M1170-M1161-M1162-M1163-M1164-M1165-M1167-M1168-M1169-M1166</f>
        <v>0</v>
      </c>
      <c r="R1160" s="2005" t="n">
        <f aca="false">G1160-N1160-N1171-N1170-N1161-N1162-N1163-N1164-N1165-N1167-N1168-N1169-N1166</f>
        <v>0</v>
      </c>
    </row>
    <row r="1161" customFormat="false" ht="14.25" hidden="false" customHeight="false" outlineLevel="0" collapsed="false">
      <c r="A1161" s="1344"/>
      <c r="B1161" s="903"/>
      <c r="C1161" s="1974"/>
      <c r="D1161" s="860" t="s">
        <v>15</v>
      </c>
      <c r="E1161" s="1480" t="s">
        <v>1652</v>
      </c>
      <c r="F1161" s="904"/>
      <c r="G1161" s="2016"/>
      <c r="H1161" s="942"/>
      <c r="I1161" s="942"/>
      <c r="J1161" s="1941"/>
      <c r="K1161" s="948"/>
      <c r="L1161" s="866" t="n">
        <v>1249.329</v>
      </c>
      <c r="M1161" s="866" t="n">
        <v>30</v>
      </c>
      <c r="N1161" s="866" t="n">
        <f aca="false">M1161/H1160</f>
        <v>2</v>
      </c>
      <c r="O1161" s="543" t="s">
        <v>3469</v>
      </c>
      <c r="P1161" s="2000"/>
      <c r="Q1161" s="2000"/>
      <c r="R1161" s="2005"/>
    </row>
    <row r="1162" customFormat="false" ht="14.25" hidden="false" customHeight="false" outlineLevel="0" collapsed="false">
      <c r="A1162" s="1344"/>
      <c r="B1162" s="903"/>
      <c r="C1162" s="1974"/>
      <c r="D1162" s="860" t="s">
        <v>15</v>
      </c>
      <c r="E1162" s="1480" t="s">
        <v>1652</v>
      </c>
      <c r="F1162" s="904"/>
      <c r="G1162" s="2016"/>
      <c r="H1162" s="942"/>
      <c r="I1162" s="942"/>
      <c r="J1162" s="1941"/>
      <c r="K1162" s="948"/>
      <c r="L1162" s="866" t="n">
        <v>1249.329</v>
      </c>
      <c r="M1162" s="866" t="n">
        <v>30</v>
      </c>
      <c r="N1162" s="866" t="n">
        <f aca="false">M1162/H1160</f>
        <v>2</v>
      </c>
      <c r="O1162" s="543" t="s">
        <v>3470</v>
      </c>
      <c r="P1162" s="2000"/>
      <c r="Q1162" s="2000"/>
      <c r="R1162" s="2005"/>
    </row>
    <row r="1163" customFormat="false" ht="14.25" hidden="false" customHeight="false" outlineLevel="0" collapsed="false">
      <c r="A1163" s="1344"/>
      <c r="B1163" s="903"/>
      <c r="C1163" s="1974"/>
      <c r="D1163" s="860" t="s">
        <v>15</v>
      </c>
      <c r="E1163" s="1480" t="s">
        <v>1652</v>
      </c>
      <c r="F1163" s="904"/>
      <c r="G1163" s="2016"/>
      <c r="H1163" s="942"/>
      <c r="I1163" s="942"/>
      <c r="J1163" s="1941"/>
      <c r="K1163" s="948"/>
      <c r="L1163" s="866" t="n">
        <v>1249.329</v>
      </c>
      <c r="M1163" s="866" t="n">
        <v>30</v>
      </c>
      <c r="N1163" s="866" t="n">
        <f aca="false">M1163/H1160</f>
        <v>2</v>
      </c>
      <c r="O1163" s="543" t="s">
        <v>3471</v>
      </c>
      <c r="P1163" s="2000"/>
      <c r="Q1163" s="2000"/>
      <c r="R1163" s="2005"/>
    </row>
    <row r="1164" customFormat="false" ht="14.25" hidden="false" customHeight="false" outlineLevel="0" collapsed="false">
      <c r="A1164" s="1344"/>
      <c r="B1164" s="903"/>
      <c r="C1164" s="1974"/>
      <c r="D1164" s="860" t="s">
        <v>15</v>
      </c>
      <c r="E1164" s="1480" t="s">
        <v>1652</v>
      </c>
      <c r="F1164" s="904"/>
      <c r="G1164" s="2016"/>
      <c r="H1164" s="942"/>
      <c r="I1164" s="942"/>
      <c r="J1164" s="1941"/>
      <c r="K1164" s="948"/>
      <c r="L1164" s="866" t="n">
        <v>1249.329</v>
      </c>
      <c r="M1164" s="866" t="n">
        <v>30</v>
      </c>
      <c r="N1164" s="866" t="n">
        <f aca="false">M1164/H1160</f>
        <v>2</v>
      </c>
      <c r="O1164" s="543" t="s">
        <v>3472</v>
      </c>
      <c r="P1164" s="2000"/>
      <c r="Q1164" s="2000"/>
      <c r="R1164" s="2005"/>
    </row>
    <row r="1165" customFormat="false" ht="14.25" hidden="false" customHeight="false" outlineLevel="0" collapsed="false">
      <c r="A1165" s="1344"/>
      <c r="B1165" s="903"/>
      <c r="C1165" s="1974"/>
      <c r="D1165" s="860" t="s">
        <v>15</v>
      </c>
      <c r="E1165" s="1480" t="s">
        <v>1652</v>
      </c>
      <c r="F1165" s="904"/>
      <c r="G1165" s="2016"/>
      <c r="H1165" s="942"/>
      <c r="I1165" s="942"/>
      <c r="J1165" s="1941"/>
      <c r="K1165" s="948"/>
      <c r="L1165" s="866" t="n">
        <v>2498.658</v>
      </c>
      <c r="M1165" s="866" t="n">
        <v>60</v>
      </c>
      <c r="N1165" s="866" t="n">
        <f aca="false">M1165/H1160</f>
        <v>4</v>
      </c>
      <c r="O1165" s="543" t="s">
        <v>3473</v>
      </c>
      <c r="P1165" s="2000"/>
      <c r="Q1165" s="2000"/>
      <c r="R1165" s="2005"/>
    </row>
    <row r="1166" customFormat="false" ht="14.25" hidden="false" customHeight="false" outlineLevel="0" collapsed="false">
      <c r="A1166" s="1344"/>
      <c r="B1166" s="903"/>
      <c r="C1166" s="1974"/>
      <c r="D1166" s="860" t="s">
        <v>15</v>
      </c>
      <c r="E1166" s="1480" t="s">
        <v>1652</v>
      </c>
      <c r="F1166" s="904"/>
      <c r="G1166" s="2016"/>
      <c r="H1166" s="942"/>
      <c r="I1166" s="942"/>
      <c r="J1166" s="1941"/>
      <c r="K1166" s="948"/>
      <c r="L1166" s="866" t="n">
        <v>50597.825</v>
      </c>
      <c r="M1166" s="866" t="n">
        <v>1215</v>
      </c>
      <c r="N1166" s="866" t="n">
        <f aca="false">M1166/H1160</f>
        <v>81</v>
      </c>
      <c r="O1166" s="543" t="s">
        <v>3474</v>
      </c>
      <c r="P1166" s="2000"/>
      <c r="Q1166" s="2000"/>
      <c r="R1166" s="2005"/>
    </row>
    <row r="1167" customFormat="false" ht="14.25" hidden="false" customHeight="false" outlineLevel="0" collapsed="false">
      <c r="A1167" s="1344"/>
      <c r="B1167" s="903"/>
      <c r="C1167" s="1974"/>
      <c r="D1167" s="860" t="s">
        <v>15</v>
      </c>
      <c r="E1167" s="1480" t="s">
        <v>1652</v>
      </c>
      <c r="F1167" s="904"/>
      <c r="G1167" s="2016"/>
      <c r="H1167" s="942"/>
      <c r="I1167" s="942"/>
      <c r="J1167" s="1941"/>
      <c r="K1167" s="948"/>
      <c r="L1167" s="866" t="n">
        <v>1249.329</v>
      </c>
      <c r="M1167" s="866" t="n">
        <v>30</v>
      </c>
      <c r="N1167" s="866" t="n">
        <f aca="false">M1167/H1160</f>
        <v>2</v>
      </c>
      <c r="O1167" s="543" t="s">
        <v>3475</v>
      </c>
      <c r="P1167" s="2000"/>
      <c r="Q1167" s="2000"/>
      <c r="R1167" s="2005"/>
    </row>
    <row r="1168" customFormat="false" ht="14.25" hidden="false" customHeight="false" outlineLevel="0" collapsed="false">
      <c r="A1168" s="1344"/>
      <c r="B1168" s="903"/>
      <c r="C1168" s="1974"/>
      <c r="D1168" s="860" t="s">
        <v>15</v>
      </c>
      <c r="E1168" s="1480" t="s">
        <v>1652</v>
      </c>
      <c r="F1168" s="904"/>
      <c r="G1168" s="2016"/>
      <c r="H1168" s="942"/>
      <c r="I1168" s="942"/>
      <c r="J1168" s="1941"/>
      <c r="K1168" s="948"/>
      <c r="L1168" s="866" t="n">
        <v>624.6645</v>
      </c>
      <c r="M1168" s="866" t="n">
        <v>15</v>
      </c>
      <c r="N1168" s="866" t="n">
        <f aca="false">M1168/H1160</f>
        <v>1</v>
      </c>
      <c r="O1168" s="543" t="s">
        <v>3476</v>
      </c>
      <c r="P1168" s="2000"/>
      <c r="Q1168" s="2000"/>
      <c r="R1168" s="2005"/>
    </row>
    <row r="1169" customFormat="false" ht="14.25" hidden="false" customHeight="false" outlineLevel="0" collapsed="false">
      <c r="A1169" s="1344"/>
      <c r="B1169" s="903"/>
      <c r="C1169" s="1974"/>
      <c r="D1169" s="860" t="s">
        <v>15</v>
      </c>
      <c r="E1169" s="1480" t="s">
        <v>1652</v>
      </c>
      <c r="F1169" s="904"/>
      <c r="G1169" s="2016"/>
      <c r="H1169" s="942"/>
      <c r="I1169" s="942"/>
      <c r="J1169" s="1941"/>
      <c r="K1169" s="948"/>
      <c r="L1169" s="866" t="n">
        <v>1249.329</v>
      </c>
      <c r="M1169" s="866" t="n">
        <v>30</v>
      </c>
      <c r="N1169" s="866" t="n">
        <f aca="false">M1169/H1160</f>
        <v>2</v>
      </c>
      <c r="O1169" s="543" t="s">
        <v>3477</v>
      </c>
      <c r="P1169" s="2000"/>
      <c r="Q1169" s="2000"/>
      <c r="R1169" s="2005"/>
    </row>
    <row r="1170" customFormat="false" ht="14.25" hidden="false" customHeight="false" outlineLevel="0" collapsed="false">
      <c r="A1170" s="1344"/>
      <c r="B1170" s="903"/>
      <c r="C1170" s="1974"/>
      <c r="D1170" s="860" t="s">
        <v>15</v>
      </c>
      <c r="E1170" s="1480" t="s">
        <v>1652</v>
      </c>
      <c r="F1170" s="904"/>
      <c r="G1170" s="2016"/>
      <c r="H1170" s="942"/>
      <c r="I1170" s="942"/>
      <c r="J1170" s="1941"/>
      <c r="K1170" s="948"/>
      <c r="L1170" s="866" t="n">
        <v>624.6645</v>
      </c>
      <c r="M1170" s="866" t="n">
        <v>15</v>
      </c>
      <c r="N1170" s="866" t="n">
        <f aca="false">M1170/H1160</f>
        <v>1</v>
      </c>
      <c r="O1170" s="543" t="s">
        <v>523</v>
      </c>
      <c r="P1170" s="2000"/>
      <c r="Q1170" s="2000"/>
      <c r="R1170" s="2005"/>
    </row>
    <row r="1171" customFormat="false" ht="14.25" hidden="false" customHeight="false" outlineLevel="0" collapsed="false">
      <c r="A1171" s="1344"/>
      <c r="B1171" s="903"/>
      <c r="C1171" s="1974"/>
      <c r="D1171" s="871" t="s">
        <v>15</v>
      </c>
      <c r="E1171" s="1478" t="s">
        <v>1652</v>
      </c>
      <c r="F1171" s="904"/>
      <c r="G1171" s="2016"/>
      <c r="H1171" s="942"/>
      <c r="I1171" s="942"/>
      <c r="J1171" s="1941"/>
      <c r="K1171" s="948"/>
      <c r="L1171" s="877" t="n">
        <v>33731.883</v>
      </c>
      <c r="M1171" s="877" t="n">
        <v>810</v>
      </c>
      <c r="N1171" s="877" t="n">
        <f aca="false">M1171/H1160</f>
        <v>54</v>
      </c>
      <c r="O1171" s="553" t="s">
        <v>3378</v>
      </c>
      <c r="P1171" s="2000"/>
      <c r="Q1171" s="2000"/>
      <c r="R1171" s="2005"/>
    </row>
    <row r="1172" customFormat="false" ht="14.25" hidden="false" customHeight="false" outlineLevel="0" collapsed="false">
      <c r="A1172" s="829" t="n">
        <v>398</v>
      </c>
      <c r="B1172" s="830" t="n">
        <v>2024</v>
      </c>
      <c r="C1172" s="1965" t="n">
        <v>45901</v>
      </c>
      <c r="D1172" s="831" t="s">
        <v>15</v>
      </c>
      <c r="E1172" s="1365" t="s">
        <v>1651</v>
      </c>
      <c r="F1172" s="830" t="s">
        <v>3367</v>
      </c>
      <c r="G1172" s="2010" t="n">
        <v>10</v>
      </c>
      <c r="H1172" s="837" t="n">
        <v>10</v>
      </c>
      <c r="I1172" s="837" t="n">
        <f aca="false">G1172*H1172</f>
        <v>100</v>
      </c>
      <c r="J1172" s="1932" t="n">
        <v>27.0554</v>
      </c>
      <c r="K1172" s="943" t="n">
        <f aca="false">I1172*J1172</f>
        <v>2705.54</v>
      </c>
      <c r="L1172" s="840" t="n">
        <v>541.108</v>
      </c>
      <c r="M1172" s="840" t="n">
        <v>20</v>
      </c>
      <c r="N1172" s="840" t="n">
        <f aca="false">M1172/H1172</f>
        <v>2</v>
      </c>
      <c r="O1172" s="1114" t="s">
        <v>510</v>
      </c>
      <c r="P1172" s="1937" t="n">
        <f aca="false">K1172-L1172-L1173</f>
        <v>0</v>
      </c>
      <c r="Q1172" s="1934" t="n">
        <f aca="false">I1172-M1172-M1173</f>
        <v>0</v>
      </c>
      <c r="R1172" s="1935" t="n">
        <f aca="false">G1172-N1172-N1173</f>
        <v>0</v>
      </c>
    </row>
    <row r="1173" customFormat="false" ht="14.25" hidden="false" customHeight="false" outlineLevel="0" collapsed="false">
      <c r="A1173" s="829"/>
      <c r="B1173" s="830"/>
      <c r="C1173" s="1965"/>
      <c r="D1173" s="843" t="s">
        <v>15</v>
      </c>
      <c r="E1173" s="1357" t="s">
        <v>1651</v>
      </c>
      <c r="F1173" s="830"/>
      <c r="G1173" s="2010"/>
      <c r="H1173" s="837"/>
      <c r="I1173" s="837"/>
      <c r="J1173" s="1932"/>
      <c r="K1173" s="943"/>
      <c r="L1173" s="846" t="n">
        <v>2164.432</v>
      </c>
      <c r="M1173" s="846" t="n">
        <v>80</v>
      </c>
      <c r="N1173" s="846" t="n">
        <f aca="false">M1173/H1172</f>
        <v>8</v>
      </c>
      <c r="O1173" s="589" t="s">
        <v>561</v>
      </c>
      <c r="P1173" s="1937"/>
      <c r="Q1173" s="1934"/>
      <c r="R1173" s="1935"/>
    </row>
    <row r="1174" customFormat="false" ht="14.25" hidden="false" customHeight="false" outlineLevel="0" collapsed="false">
      <c r="A1174" s="1609" t="n">
        <v>399</v>
      </c>
      <c r="B1174" s="903" t="n">
        <v>2024</v>
      </c>
      <c r="C1174" s="1974" t="n">
        <v>45901</v>
      </c>
      <c r="D1174" s="904" t="s">
        <v>15</v>
      </c>
      <c r="E1174" s="1351" t="s">
        <v>1651</v>
      </c>
      <c r="F1174" s="904" t="s">
        <v>3364</v>
      </c>
      <c r="G1174" s="2012" t="n">
        <v>666</v>
      </c>
      <c r="H1174" s="942" t="n">
        <v>15</v>
      </c>
      <c r="I1174" s="942" t="n">
        <f aca="false">G1174*H1174</f>
        <v>9990</v>
      </c>
      <c r="J1174" s="1941" t="n">
        <v>27.0554</v>
      </c>
      <c r="K1174" s="948" t="n">
        <f aca="false">I1174*J1174</f>
        <v>270283.446</v>
      </c>
      <c r="L1174" s="891" t="n">
        <v>13798.254</v>
      </c>
      <c r="M1174" s="891" t="n">
        <v>510</v>
      </c>
      <c r="N1174" s="891" t="n">
        <f aca="false">M1174/H1174</f>
        <v>34</v>
      </c>
      <c r="O1174" s="942" t="s">
        <v>491</v>
      </c>
      <c r="P1174" s="2000" t="n">
        <f aca="false">K1174-L1174-L1178-L1177-L1175-L1176</f>
        <v>-3.27418092638254E-011</v>
      </c>
      <c r="Q1174" s="2000" t="n">
        <f aca="false">I1174-M1174-M1178-M1177-M1175-M1176</f>
        <v>0</v>
      </c>
      <c r="R1174" s="2005" t="n">
        <f aca="false">G1174-N1174-N1178-N1177-N1175-N1176</f>
        <v>0</v>
      </c>
    </row>
    <row r="1175" customFormat="false" ht="14.25" hidden="false" customHeight="false" outlineLevel="0" collapsed="false">
      <c r="A1175" s="1609"/>
      <c r="B1175" s="903"/>
      <c r="C1175" s="1974"/>
      <c r="D1175" s="860" t="s">
        <v>15</v>
      </c>
      <c r="E1175" s="1480" t="s">
        <v>1651</v>
      </c>
      <c r="F1175" s="904"/>
      <c r="G1175" s="2012"/>
      <c r="H1175" s="942"/>
      <c r="I1175" s="942"/>
      <c r="J1175" s="1941"/>
      <c r="K1175" s="948"/>
      <c r="L1175" s="866" t="n">
        <v>11769.099</v>
      </c>
      <c r="M1175" s="866" t="n">
        <v>435</v>
      </c>
      <c r="N1175" s="866" t="n">
        <f aca="false">M1175/H1174</f>
        <v>29</v>
      </c>
      <c r="O1175" s="543" t="s">
        <v>3478</v>
      </c>
      <c r="P1175" s="2000"/>
      <c r="Q1175" s="2000"/>
      <c r="R1175" s="2005"/>
    </row>
    <row r="1176" customFormat="false" ht="14.25" hidden="false" customHeight="false" outlineLevel="0" collapsed="false">
      <c r="A1176" s="1609"/>
      <c r="B1176" s="903"/>
      <c r="C1176" s="1974"/>
      <c r="D1176" s="860" t="s">
        <v>15</v>
      </c>
      <c r="E1176" s="1480" t="s">
        <v>1651</v>
      </c>
      <c r="F1176" s="904"/>
      <c r="G1176" s="2012"/>
      <c r="H1176" s="942"/>
      <c r="I1176" s="942"/>
      <c r="J1176" s="1941"/>
      <c r="K1176" s="948"/>
      <c r="L1176" s="866" t="n">
        <v>27190.677</v>
      </c>
      <c r="M1176" s="866" t="n">
        <v>1005</v>
      </c>
      <c r="N1176" s="866" t="n">
        <f aca="false">M1176/H1174</f>
        <v>67</v>
      </c>
      <c r="O1176" s="543" t="s">
        <v>530</v>
      </c>
      <c r="P1176" s="2000"/>
      <c r="Q1176" s="2000"/>
      <c r="R1176" s="2005"/>
    </row>
    <row r="1177" customFormat="false" ht="14.25" hidden="false" customHeight="false" outlineLevel="0" collapsed="false">
      <c r="A1177" s="1609"/>
      <c r="B1177" s="903"/>
      <c r="C1177" s="1974"/>
      <c r="D1177" s="860" t="s">
        <v>15</v>
      </c>
      <c r="E1177" s="1480" t="s">
        <v>1651</v>
      </c>
      <c r="F1177" s="904"/>
      <c r="G1177" s="2012"/>
      <c r="H1177" s="942"/>
      <c r="I1177" s="942"/>
      <c r="J1177" s="1941"/>
      <c r="K1177" s="948"/>
      <c r="L1177" s="866" t="n">
        <v>38959.776</v>
      </c>
      <c r="M1177" s="866" t="n">
        <v>1440</v>
      </c>
      <c r="N1177" s="866" t="n">
        <f aca="false">M1177/H1174</f>
        <v>96</v>
      </c>
      <c r="O1177" s="543" t="s">
        <v>513</v>
      </c>
      <c r="P1177" s="2000"/>
      <c r="Q1177" s="2000"/>
      <c r="R1177" s="2005"/>
    </row>
    <row r="1178" customFormat="false" ht="14.25" hidden="false" customHeight="false" outlineLevel="0" collapsed="false">
      <c r="A1178" s="1609"/>
      <c r="B1178" s="903"/>
      <c r="C1178" s="1974"/>
      <c r="D1178" s="871" t="s">
        <v>15</v>
      </c>
      <c r="E1178" s="1478" t="s">
        <v>1651</v>
      </c>
      <c r="F1178" s="904"/>
      <c r="G1178" s="2012"/>
      <c r="H1178" s="942"/>
      <c r="I1178" s="942"/>
      <c r="J1178" s="1941"/>
      <c r="K1178" s="948"/>
      <c r="L1178" s="891" t="n">
        <v>178565.64</v>
      </c>
      <c r="M1178" s="891" t="n">
        <v>6600</v>
      </c>
      <c r="N1178" s="891" t="n">
        <f aca="false">M1178/H1174</f>
        <v>440</v>
      </c>
      <c r="O1178" s="942" t="s">
        <v>508</v>
      </c>
      <c r="P1178" s="2000"/>
      <c r="Q1178" s="2000"/>
      <c r="R1178" s="2005"/>
    </row>
    <row r="1179" customFormat="false" ht="14.25" hidden="false" customHeight="false" outlineLevel="0" collapsed="false">
      <c r="A1179" s="882" t="n">
        <v>400</v>
      </c>
      <c r="B1179" s="830" t="n">
        <v>2024</v>
      </c>
      <c r="C1179" s="1965" t="n">
        <v>45901</v>
      </c>
      <c r="D1179" s="831" t="s">
        <v>15</v>
      </c>
      <c r="E1179" s="1365" t="s">
        <v>1651</v>
      </c>
      <c r="F1179" s="832" t="s">
        <v>3364</v>
      </c>
      <c r="G1179" s="2010" t="n">
        <v>666</v>
      </c>
      <c r="H1179" s="837" t="n">
        <v>15</v>
      </c>
      <c r="I1179" s="837" t="n">
        <f aca="false">G1179*H1179</f>
        <v>9990</v>
      </c>
      <c r="J1179" s="1932" t="n">
        <v>27.0554</v>
      </c>
      <c r="K1179" s="943" t="n">
        <f aca="false">I1179*J1179</f>
        <v>270283.446</v>
      </c>
      <c r="L1179" s="886" t="n">
        <v>24349.86</v>
      </c>
      <c r="M1179" s="886" t="n">
        <v>900</v>
      </c>
      <c r="N1179" s="886" t="n">
        <f aca="false">M1179/H1179</f>
        <v>60</v>
      </c>
      <c r="O1179" s="1036" t="s">
        <v>503</v>
      </c>
      <c r="P1179" s="1937" t="n">
        <f aca="false">K1179-L1179-L1185-L1184-L1180-L1181-L1183-L1182</f>
        <v>0</v>
      </c>
      <c r="Q1179" s="1934" t="n">
        <f aca="false">I1179-M1179-M1185-M1184-M1180-M1181-M1183-M1182</f>
        <v>0</v>
      </c>
      <c r="R1179" s="1935" t="n">
        <f aca="false">G1179-N1179-N1185-N1184-N1180-N1181-N1183-N1182</f>
        <v>0</v>
      </c>
    </row>
    <row r="1180" customFormat="false" ht="14.25" hidden="false" customHeight="false" outlineLevel="0" collapsed="false">
      <c r="A1180" s="882"/>
      <c r="B1180" s="830"/>
      <c r="C1180" s="1965"/>
      <c r="D1180" s="860" t="s">
        <v>15</v>
      </c>
      <c r="E1180" s="1480" t="s">
        <v>1651</v>
      </c>
      <c r="F1180" s="832"/>
      <c r="G1180" s="2010"/>
      <c r="H1180" s="837"/>
      <c r="I1180" s="837"/>
      <c r="J1180" s="1932"/>
      <c r="K1180" s="943"/>
      <c r="L1180" s="866" t="n">
        <v>4058.31</v>
      </c>
      <c r="M1180" s="866" t="n">
        <v>150</v>
      </c>
      <c r="N1180" s="866" t="n">
        <f aca="false">M1180/H1179</f>
        <v>10</v>
      </c>
      <c r="O1180" s="543" t="s">
        <v>595</v>
      </c>
      <c r="P1180" s="1937"/>
      <c r="Q1180" s="1934"/>
      <c r="R1180" s="1935"/>
    </row>
    <row r="1181" customFormat="false" ht="14.25" hidden="false" customHeight="false" outlineLevel="0" collapsed="false">
      <c r="A1181" s="882"/>
      <c r="B1181" s="830"/>
      <c r="C1181" s="1965"/>
      <c r="D1181" s="860" t="s">
        <v>15</v>
      </c>
      <c r="E1181" s="1480" t="s">
        <v>1651</v>
      </c>
      <c r="F1181" s="832"/>
      <c r="G1181" s="2010"/>
      <c r="H1181" s="837"/>
      <c r="I1181" s="837"/>
      <c r="J1181" s="1932"/>
      <c r="K1181" s="943"/>
      <c r="L1181" s="866" t="n">
        <v>65338.791</v>
      </c>
      <c r="M1181" s="866" t="n">
        <v>2415</v>
      </c>
      <c r="N1181" s="866" t="n">
        <f aca="false">M1181/H1179</f>
        <v>161</v>
      </c>
      <c r="O1181" s="543" t="s">
        <v>404</v>
      </c>
      <c r="P1181" s="1937"/>
      <c r="Q1181" s="1934"/>
      <c r="R1181" s="1935"/>
    </row>
    <row r="1182" customFormat="false" ht="14.25" hidden="false" customHeight="false" outlineLevel="0" collapsed="false">
      <c r="A1182" s="882"/>
      <c r="B1182" s="830"/>
      <c r="C1182" s="1965"/>
      <c r="D1182" s="860" t="s">
        <v>15</v>
      </c>
      <c r="E1182" s="1480" t="s">
        <v>1651</v>
      </c>
      <c r="F1182" s="832"/>
      <c r="G1182" s="2010"/>
      <c r="H1182" s="837"/>
      <c r="I1182" s="837"/>
      <c r="J1182" s="1932"/>
      <c r="K1182" s="943"/>
      <c r="L1182" s="866" t="n">
        <v>53975.523</v>
      </c>
      <c r="M1182" s="866" t="n">
        <v>1995</v>
      </c>
      <c r="N1182" s="866" t="n">
        <f aca="false">M1182/H1179</f>
        <v>133</v>
      </c>
      <c r="O1182" s="543" t="s">
        <v>1634</v>
      </c>
      <c r="P1182" s="1937"/>
      <c r="Q1182" s="1934"/>
      <c r="R1182" s="1935"/>
    </row>
    <row r="1183" customFormat="false" ht="14.25" hidden="false" customHeight="false" outlineLevel="0" collapsed="false">
      <c r="A1183" s="882"/>
      <c r="B1183" s="830"/>
      <c r="C1183" s="1965"/>
      <c r="D1183" s="860" t="s">
        <v>15</v>
      </c>
      <c r="E1183" s="1480" t="s">
        <v>1651</v>
      </c>
      <c r="F1183" s="832"/>
      <c r="G1183" s="2010"/>
      <c r="H1183" s="837"/>
      <c r="I1183" s="837"/>
      <c r="J1183" s="1932"/>
      <c r="K1183" s="943"/>
      <c r="L1183" s="866" t="n">
        <v>405.831</v>
      </c>
      <c r="M1183" s="866" t="n">
        <v>15</v>
      </c>
      <c r="N1183" s="866" t="n">
        <f aca="false">M1183/H1179</f>
        <v>1</v>
      </c>
      <c r="O1183" s="543" t="s">
        <v>1235</v>
      </c>
      <c r="P1183" s="1937"/>
      <c r="Q1183" s="1934"/>
      <c r="R1183" s="1935"/>
    </row>
    <row r="1184" customFormat="false" ht="14.25" hidden="false" customHeight="false" outlineLevel="0" collapsed="false">
      <c r="A1184" s="882"/>
      <c r="B1184" s="830"/>
      <c r="C1184" s="1965"/>
      <c r="D1184" s="860" t="s">
        <v>15</v>
      </c>
      <c r="E1184" s="1480" t="s">
        <v>1651</v>
      </c>
      <c r="F1184" s="832"/>
      <c r="G1184" s="2010"/>
      <c r="H1184" s="837"/>
      <c r="I1184" s="837"/>
      <c r="J1184" s="1932"/>
      <c r="K1184" s="943"/>
      <c r="L1184" s="866" t="n">
        <v>13798.254</v>
      </c>
      <c r="M1184" s="866" t="n">
        <v>510</v>
      </c>
      <c r="N1184" s="866" t="n">
        <f aca="false">M1184/H1179</f>
        <v>34</v>
      </c>
      <c r="O1184" s="543" t="s">
        <v>413</v>
      </c>
      <c r="P1184" s="1937"/>
      <c r="Q1184" s="1934"/>
      <c r="R1184" s="1935"/>
    </row>
    <row r="1185" customFormat="false" ht="14.25" hidden="false" customHeight="false" outlineLevel="0" collapsed="false">
      <c r="A1185" s="882"/>
      <c r="B1185" s="830"/>
      <c r="C1185" s="1965"/>
      <c r="D1185" s="843" t="s">
        <v>15</v>
      </c>
      <c r="E1185" s="1357" t="s">
        <v>1651</v>
      </c>
      <c r="F1185" s="832"/>
      <c r="G1185" s="2010"/>
      <c r="H1185" s="837"/>
      <c r="I1185" s="837"/>
      <c r="J1185" s="1932"/>
      <c r="K1185" s="943"/>
      <c r="L1185" s="846" t="n">
        <v>108356.877</v>
      </c>
      <c r="M1185" s="846" t="n">
        <v>4005</v>
      </c>
      <c r="N1185" s="846" t="n">
        <f aca="false">M1185/H1179</f>
        <v>267</v>
      </c>
      <c r="O1185" s="589" t="s">
        <v>396</v>
      </c>
      <c r="P1185" s="1937"/>
      <c r="Q1185" s="1934"/>
      <c r="R1185" s="1935"/>
    </row>
    <row r="1186" customFormat="false" ht="14.25" hidden="false" customHeight="false" outlineLevel="0" collapsed="false">
      <c r="A1186" s="829" t="n">
        <v>401</v>
      </c>
      <c r="B1186" s="830" t="n">
        <v>2024</v>
      </c>
      <c r="C1186" s="1965" t="n">
        <v>45901</v>
      </c>
      <c r="D1186" s="1328" t="s">
        <v>15</v>
      </c>
      <c r="E1186" s="1607" t="s">
        <v>1651</v>
      </c>
      <c r="F1186" s="832" t="s">
        <v>3364</v>
      </c>
      <c r="G1186" s="2010" t="n">
        <v>173</v>
      </c>
      <c r="H1186" s="837" t="n">
        <v>15</v>
      </c>
      <c r="I1186" s="837" t="n">
        <f aca="false">G1186*H1186</f>
        <v>2595</v>
      </c>
      <c r="J1186" s="1932" t="n">
        <v>28.7131</v>
      </c>
      <c r="K1186" s="943" t="n">
        <f aca="false">I1186*J1186</f>
        <v>74510.4945</v>
      </c>
      <c r="L1186" s="886" t="n">
        <v>33163.6305</v>
      </c>
      <c r="M1186" s="886" t="n">
        <v>1155</v>
      </c>
      <c r="N1186" s="886" t="n">
        <f aca="false">M1186/H1186</f>
        <v>77</v>
      </c>
      <c r="O1186" s="1036" t="s">
        <v>404</v>
      </c>
      <c r="P1186" s="1937" t="n">
        <f aca="false">K1186-L1186-L1193-L1192-L1187-L1189-L1191-L1188-L1190</f>
        <v>0</v>
      </c>
      <c r="Q1186" s="1934" t="n">
        <f aca="false">I1186-M1186-M1193-M1192-M1187-M1189-M1191-M1188-M1190</f>
        <v>0</v>
      </c>
      <c r="R1186" s="1935" t="n">
        <f aca="false">G1186-N1186-N1193-N1192-N1187-N1189-N1191-N1188-N1190</f>
        <v>0</v>
      </c>
    </row>
    <row r="1187" customFormat="false" ht="14.25" hidden="false" customHeight="false" outlineLevel="0" collapsed="false">
      <c r="A1187" s="829"/>
      <c r="B1187" s="830"/>
      <c r="C1187" s="1965"/>
      <c r="D1187" s="860" t="s">
        <v>15</v>
      </c>
      <c r="E1187" s="1480" t="s">
        <v>1651</v>
      </c>
      <c r="F1187" s="832"/>
      <c r="G1187" s="2010"/>
      <c r="H1187" s="837"/>
      <c r="I1187" s="837"/>
      <c r="J1187" s="1932"/>
      <c r="K1187" s="943"/>
      <c r="L1187" s="866" t="n">
        <v>430.6965</v>
      </c>
      <c r="M1187" s="866" t="n">
        <v>15</v>
      </c>
      <c r="N1187" s="866" t="n">
        <f aca="false">M1187/H1186</f>
        <v>1</v>
      </c>
      <c r="O1187" s="543" t="s">
        <v>638</v>
      </c>
      <c r="P1187" s="1937"/>
      <c r="Q1187" s="1934"/>
      <c r="R1187" s="1935"/>
    </row>
    <row r="1188" customFormat="false" ht="14.25" hidden="false" customHeight="false" outlineLevel="0" collapsed="false">
      <c r="A1188" s="829"/>
      <c r="B1188" s="830"/>
      <c r="C1188" s="1965"/>
      <c r="D1188" s="860" t="s">
        <v>15</v>
      </c>
      <c r="E1188" s="1480" t="s">
        <v>1651</v>
      </c>
      <c r="F1188" s="832"/>
      <c r="G1188" s="2010"/>
      <c r="H1188" s="837"/>
      <c r="I1188" s="837"/>
      <c r="J1188" s="1932"/>
      <c r="K1188" s="943"/>
      <c r="L1188" s="866" t="n">
        <v>1722.786</v>
      </c>
      <c r="M1188" s="866" t="n">
        <v>60</v>
      </c>
      <c r="N1188" s="866" t="n">
        <f aca="false">M1188/H1186</f>
        <v>4</v>
      </c>
      <c r="O1188" s="543" t="s">
        <v>656</v>
      </c>
      <c r="P1188" s="1937"/>
      <c r="Q1188" s="1934"/>
      <c r="R1188" s="1935"/>
    </row>
    <row r="1189" customFormat="false" ht="14.25" hidden="false" customHeight="false" outlineLevel="0" collapsed="false">
      <c r="A1189" s="829"/>
      <c r="B1189" s="830"/>
      <c r="C1189" s="1965"/>
      <c r="D1189" s="860" t="s">
        <v>15</v>
      </c>
      <c r="E1189" s="1480" t="s">
        <v>1651</v>
      </c>
      <c r="F1189" s="832"/>
      <c r="G1189" s="2010"/>
      <c r="H1189" s="837"/>
      <c r="I1189" s="837"/>
      <c r="J1189" s="1932"/>
      <c r="K1189" s="943"/>
      <c r="L1189" s="866" t="n">
        <v>430.6965</v>
      </c>
      <c r="M1189" s="866" t="n">
        <v>15</v>
      </c>
      <c r="N1189" s="866" t="n">
        <f aca="false">M1189/H1186</f>
        <v>1</v>
      </c>
      <c r="O1189" s="543" t="s">
        <v>645</v>
      </c>
      <c r="P1189" s="1937"/>
      <c r="Q1189" s="1934"/>
      <c r="R1189" s="1935"/>
    </row>
    <row r="1190" customFormat="false" ht="14.25" hidden="false" customHeight="false" outlineLevel="0" collapsed="false">
      <c r="A1190" s="829"/>
      <c r="B1190" s="830"/>
      <c r="C1190" s="1965"/>
      <c r="D1190" s="860" t="s">
        <v>15</v>
      </c>
      <c r="E1190" s="1480" t="s">
        <v>1651</v>
      </c>
      <c r="F1190" s="832"/>
      <c r="G1190" s="2010"/>
      <c r="H1190" s="837"/>
      <c r="I1190" s="837"/>
      <c r="J1190" s="1932"/>
      <c r="K1190" s="943"/>
      <c r="L1190" s="866" t="n">
        <v>10336.716</v>
      </c>
      <c r="M1190" s="866" t="n">
        <v>360</v>
      </c>
      <c r="N1190" s="866" t="n">
        <f aca="false">M1190/H1186</f>
        <v>24</v>
      </c>
      <c r="O1190" s="543" t="s">
        <v>797</v>
      </c>
      <c r="P1190" s="1937"/>
      <c r="Q1190" s="1934"/>
      <c r="R1190" s="1935"/>
    </row>
    <row r="1191" customFormat="false" ht="14.25" hidden="false" customHeight="false" outlineLevel="0" collapsed="false">
      <c r="A1191" s="829"/>
      <c r="B1191" s="830"/>
      <c r="C1191" s="1965"/>
      <c r="D1191" s="860" t="s">
        <v>15</v>
      </c>
      <c r="E1191" s="1480" t="s">
        <v>1651</v>
      </c>
      <c r="F1191" s="832"/>
      <c r="G1191" s="2010"/>
      <c r="H1191" s="837"/>
      <c r="I1191" s="837"/>
      <c r="J1191" s="1932"/>
      <c r="K1191" s="943"/>
      <c r="L1191" s="866" t="n">
        <v>430.6965</v>
      </c>
      <c r="M1191" s="866" t="n">
        <v>15</v>
      </c>
      <c r="N1191" s="866" t="n">
        <f aca="false">M1191/H1186</f>
        <v>1</v>
      </c>
      <c r="O1191" s="543" t="s">
        <v>646</v>
      </c>
      <c r="P1191" s="1937"/>
      <c r="Q1191" s="1934"/>
      <c r="R1191" s="1935"/>
    </row>
    <row r="1192" customFormat="false" ht="14.25" hidden="false" customHeight="false" outlineLevel="0" collapsed="false">
      <c r="A1192" s="829"/>
      <c r="B1192" s="830"/>
      <c r="C1192" s="1965"/>
      <c r="D1192" s="860" t="s">
        <v>15</v>
      </c>
      <c r="E1192" s="1480" t="s">
        <v>1651</v>
      </c>
      <c r="F1192" s="832"/>
      <c r="G1192" s="2010"/>
      <c r="H1192" s="837"/>
      <c r="I1192" s="837"/>
      <c r="J1192" s="1932"/>
      <c r="K1192" s="943"/>
      <c r="L1192" s="866" t="n">
        <v>430.6965</v>
      </c>
      <c r="M1192" s="866" t="n">
        <v>15</v>
      </c>
      <c r="N1192" s="866" t="n">
        <f aca="false">M1192/H1186</f>
        <v>1</v>
      </c>
      <c r="O1192" s="543" t="s">
        <v>593</v>
      </c>
      <c r="P1192" s="1937"/>
      <c r="Q1192" s="1934"/>
      <c r="R1192" s="1935"/>
    </row>
    <row r="1193" customFormat="false" ht="14.25" hidden="false" customHeight="false" outlineLevel="0" collapsed="false">
      <c r="A1193" s="829"/>
      <c r="B1193" s="830"/>
      <c r="C1193" s="1965"/>
      <c r="D1193" s="887" t="s">
        <v>15</v>
      </c>
      <c r="E1193" s="1501" t="s">
        <v>1651</v>
      </c>
      <c r="F1193" s="832"/>
      <c r="G1193" s="2010"/>
      <c r="H1193" s="837"/>
      <c r="I1193" s="837"/>
      <c r="J1193" s="1932"/>
      <c r="K1193" s="943"/>
      <c r="L1193" s="890" t="n">
        <v>27564.576</v>
      </c>
      <c r="M1193" s="890" t="n">
        <v>960</v>
      </c>
      <c r="N1193" s="890" t="n">
        <f aca="false">M1193/H1186</f>
        <v>64</v>
      </c>
      <c r="O1193" s="1067" t="s">
        <v>442</v>
      </c>
      <c r="P1193" s="1937"/>
      <c r="Q1193" s="1934"/>
      <c r="R1193" s="1935"/>
    </row>
    <row r="1194" customFormat="false" ht="14.25" hidden="false" customHeight="false" outlineLevel="0" collapsed="false">
      <c r="A1194" s="1027" t="n">
        <v>456</v>
      </c>
      <c r="B1194" s="1546" t="n">
        <v>2024</v>
      </c>
      <c r="C1194" s="1975" t="n">
        <v>45931</v>
      </c>
      <c r="D1194" s="831" t="s">
        <v>15</v>
      </c>
      <c r="E1194" s="1365" t="s">
        <v>1652</v>
      </c>
      <c r="F1194" s="1328" t="s">
        <v>3364</v>
      </c>
      <c r="G1194" s="2011" t="n">
        <v>346</v>
      </c>
      <c r="H1194" s="1036" t="n">
        <v>15</v>
      </c>
      <c r="I1194" s="1036" t="n">
        <f aca="false">G1194*H1194</f>
        <v>5190</v>
      </c>
      <c r="J1194" s="1999" t="n">
        <v>42.8258</v>
      </c>
      <c r="K1194" s="1547" t="n">
        <f aca="false">I1194*J1194</f>
        <v>222265.902</v>
      </c>
      <c r="L1194" s="840" t="n">
        <v>16702.062</v>
      </c>
      <c r="M1194" s="840" t="n">
        <v>390</v>
      </c>
      <c r="N1194" s="886" t="n">
        <f aca="false">M1194/H1194</f>
        <v>26</v>
      </c>
      <c r="O1194" s="1114" t="s">
        <v>650</v>
      </c>
      <c r="P1194" s="1977" t="n">
        <f aca="false">K1194-L1194-L1199-L1198-L1195-L1197-L1196</f>
        <v>0</v>
      </c>
      <c r="Q1194" s="1978" t="n">
        <f aca="false">I1194-M1194-M1199-M1198-M1195-M1197-M1196</f>
        <v>0</v>
      </c>
      <c r="R1194" s="1979" t="n">
        <f aca="false">G1194-N1194-N1199-N1198-N1195-N1197-N1196</f>
        <v>0</v>
      </c>
    </row>
    <row r="1195" customFormat="false" ht="14.25" hidden="false" customHeight="false" outlineLevel="0" collapsed="false">
      <c r="A1195" s="1027"/>
      <c r="B1195" s="1546"/>
      <c r="C1195" s="1975"/>
      <c r="D1195" s="848" t="s">
        <v>15</v>
      </c>
      <c r="E1195" s="1479" t="s">
        <v>1652</v>
      </c>
      <c r="F1195" s="1328"/>
      <c r="G1195" s="2011"/>
      <c r="H1195" s="1036"/>
      <c r="I1195" s="1036"/>
      <c r="J1195" s="1999"/>
      <c r="K1195" s="1547"/>
      <c r="L1195" s="854" t="n">
        <v>2569.548</v>
      </c>
      <c r="M1195" s="854" t="n">
        <v>60</v>
      </c>
      <c r="N1195" s="866" t="n">
        <f aca="false">M1195/H1194</f>
        <v>4</v>
      </c>
      <c r="O1195" s="537" t="s">
        <v>694</v>
      </c>
      <c r="P1195" s="1977"/>
      <c r="Q1195" s="1978"/>
      <c r="R1195" s="1979"/>
    </row>
    <row r="1196" customFormat="false" ht="14.25" hidden="false" customHeight="false" outlineLevel="0" collapsed="false">
      <c r="A1196" s="1027"/>
      <c r="B1196" s="1546"/>
      <c r="C1196" s="1975"/>
      <c r="D1196" s="848" t="s">
        <v>15</v>
      </c>
      <c r="E1196" s="1479" t="s">
        <v>1652</v>
      </c>
      <c r="F1196" s="1328"/>
      <c r="G1196" s="2011"/>
      <c r="H1196" s="1036"/>
      <c r="I1196" s="1036"/>
      <c r="J1196" s="1999"/>
      <c r="K1196" s="1547"/>
      <c r="L1196" s="854" t="n">
        <v>68735.409</v>
      </c>
      <c r="M1196" s="854" t="n">
        <v>1605</v>
      </c>
      <c r="N1196" s="866" t="n">
        <f aca="false">M1196/H1194</f>
        <v>107</v>
      </c>
      <c r="O1196" s="537" t="s">
        <v>1211</v>
      </c>
      <c r="P1196" s="1977"/>
      <c r="Q1196" s="1978"/>
      <c r="R1196" s="1979"/>
    </row>
    <row r="1197" customFormat="false" ht="14.25" hidden="false" customHeight="false" outlineLevel="0" collapsed="false">
      <c r="A1197" s="1027"/>
      <c r="B1197" s="1546"/>
      <c r="C1197" s="1975"/>
      <c r="D1197" s="848" t="s">
        <v>15</v>
      </c>
      <c r="E1197" s="1479" t="s">
        <v>1652</v>
      </c>
      <c r="F1197" s="1328"/>
      <c r="G1197" s="2011"/>
      <c r="H1197" s="1036"/>
      <c r="I1197" s="1036"/>
      <c r="J1197" s="1999"/>
      <c r="K1197" s="1547"/>
      <c r="L1197" s="854" t="n">
        <v>642.387</v>
      </c>
      <c r="M1197" s="854" t="n">
        <v>15</v>
      </c>
      <c r="N1197" s="866" t="n">
        <f aca="false">M1197/H1194</f>
        <v>1</v>
      </c>
      <c r="O1197" s="537" t="s">
        <v>1182</v>
      </c>
      <c r="P1197" s="1977"/>
      <c r="Q1197" s="1978"/>
      <c r="R1197" s="1979"/>
    </row>
    <row r="1198" customFormat="false" ht="14.25" hidden="false" customHeight="false" outlineLevel="0" collapsed="false">
      <c r="A1198" s="1027"/>
      <c r="B1198" s="1546"/>
      <c r="C1198" s="1975"/>
      <c r="D1198" s="860" t="s">
        <v>15</v>
      </c>
      <c r="E1198" s="1480" t="s">
        <v>1652</v>
      </c>
      <c r="F1198" s="1328"/>
      <c r="G1198" s="2011"/>
      <c r="H1198" s="1036"/>
      <c r="I1198" s="1036"/>
      <c r="J1198" s="1999"/>
      <c r="K1198" s="1547"/>
      <c r="L1198" s="866" t="n">
        <v>128477.4</v>
      </c>
      <c r="M1198" s="866" t="n">
        <v>3000</v>
      </c>
      <c r="N1198" s="866" t="n">
        <f aca="false">M1198/H1194</f>
        <v>200</v>
      </c>
      <c r="O1198" s="543" t="s">
        <v>670</v>
      </c>
      <c r="P1198" s="1977"/>
      <c r="Q1198" s="1978"/>
      <c r="R1198" s="1979"/>
    </row>
    <row r="1199" customFormat="false" ht="14.25" hidden="false" customHeight="false" outlineLevel="0" collapsed="false">
      <c r="A1199" s="1027"/>
      <c r="B1199" s="1546"/>
      <c r="C1199" s="1975"/>
      <c r="D1199" s="904" t="s">
        <v>15</v>
      </c>
      <c r="E1199" s="1351" t="s">
        <v>1652</v>
      </c>
      <c r="F1199" s="1328"/>
      <c r="G1199" s="2011"/>
      <c r="H1199" s="1036"/>
      <c r="I1199" s="1036"/>
      <c r="J1199" s="1999"/>
      <c r="K1199" s="1547"/>
      <c r="L1199" s="891" t="n">
        <v>5139.096</v>
      </c>
      <c r="M1199" s="891" t="n">
        <v>120</v>
      </c>
      <c r="N1199" s="891" t="n">
        <f aca="false">M1199/H1194</f>
        <v>8</v>
      </c>
      <c r="O1199" s="942" t="s">
        <v>654</v>
      </c>
      <c r="P1199" s="1977"/>
      <c r="Q1199" s="1978"/>
      <c r="R1199" s="1979"/>
    </row>
    <row r="1200" customFormat="false" ht="14.25" hidden="false" customHeight="false" outlineLevel="0" collapsed="false">
      <c r="A1200" s="829" t="n">
        <v>457</v>
      </c>
      <c r="B1200" s="830" t="n">
        <v>2024</v>
      </c>
      <c r="C1200" s="1965" t="n">
        <v>45931</v>
      </c>
      <c r="D1200" s="831" t="s">
        <v>15</v>
      </c>
      <c r="E1200" s="1365" t="s">
        <v>1651</v>
      </c>
      <c r="F1200" s="832" t="s">
        <v>3367</v>
      </c>
      <c r="G1200" s="2010" t="n">
        <v>100</v>
      </c>
      <c r="H1200" s="837" t="n">
        <v>10</v>
      </c>
      <c r="I1200" s="837" t="n">
        <f aca="false">G1200*H1200</f>
        <v>1000</v>
      </c>
      <c r="J1200" s="1932" t="n">
        <v>26.6855</v>
      </c>
      <c r="K1200" s="943" t="n">
        <f aca="false">I1200*J1200</f>
        <v>26685.5</v>
      </c>
      <c r="L1200" s="886" t="n">
        <v>11207.91</v>
      </c>
      <c r="M1200" s="886" t="n">
        <v>420</v>
      </c>
      <c r="N1200" s="886" t="n">
        <f aca="false">M1200/H1200</f>
        <v>42</v>
      </c>
      <c r="O1200" s="1036" t="s">
        <v>561</v>
      </c>
      <c r="P1200" s="1937" t="n">
        <f aca="false">K1200-L1200-L1203-L1202-L1201</f>
        <v>0</v>
      </c>
      <c r="Q1200" s="1934" t="n">
        <f aca="false">I1200-M1200-M1203-M1202-M1201</f>
        <v>0</v>
      </c>
      <c r="R1200" s="1935" t="n">
        <f aca="false">G1200-N1200-N1203-N1202-N1201</f>
        <v>0</v>
      </c>
    </row>
    <row r="1201" customFormat="false" ht="14.25" hidden="false" customHeight="false" outlineLevel="0" collapsed="false">
      <c r="A1201" s="829"/>
      <c r="B1201" s="830"/>
      <c r="C1201" s="1965"/>
      <c r="D1201" s="860" t="s">
        <v>15</v>
      </c>
      <c r="E1201" s="1480" t="s">
        <v>1651</v>
      </c>
      <c r="F1201" s="832"/>
      <c r="G1201" s="2010"/>
      <c r="H1201" s="837"/>
      <c r="I1201" s="837"/>
      <c r="J1201" s="1932"/>
      <c r="K1201" s="943"/>
      <c r="L1201" s="866" t="n">
        <v>533.71</v>
      </c>
      <c r="M1201" s="866" t="n">
        <v>20</v>
      </c>
      <c r="N1201" s="866" t="n">
        <f aca="false">M1201/H1200</f>
        <v>2</v>
      </c>
      <c r="O1201" s="543" t="s">
        <v>1634</v>
      </c>
      <c r="P1201" s="1937"/>
      <c r="Q1201" s="1934"/>
      <c r="R1201" s="1935"/>
    </row>
    <row r="1202" customFormat="false" ht="14.25" hidden="false" customHeight="false" outlineLevel="0" collapsed="false">
      <c r="A1202" s="829"/>
      <c r="B1202" s="830"/>
      <c r="C1202" s="1965"/>
      <c r="D1202" s="860" t="s">
        <v>15</v>
      </c>
      <c r="E1202" s="1480" t="s">
        <v>1651</v>
      </c>
      <c r="F1202" s="832"/>
      <c r="G1202" s="2010"/>
      <c r="H1202" s="837"/>
      <c r="I1202" s="837"/>
      <c r="J1202" s="1932"/>
      <c r="K1202" s="943"/>
      <c r="L1202" s="866" t="n">
        <v>1601.13</v>
      </c>
      <c r="M1202" s="866" t="n">
        <v>60</v>
      </c>
      <c r="N1202" s="866" t="n">
        <f aca="false">M1202/H1200</f>
        <v>6</v>
      </c>
      <c r="O1202" s="543" t="s">
        <v>802</v>
      </c>
      <c r="P1202" s="1937"/>
      <c r="Q1202" s="1934"/>
      <c r="R1202" s="1935"/>
    </row>
    <row r="1203" customFormat="false" ht="14.25" hidden="false" customHeight="false" outlineLevel="0" collapsed="false">
      <c r="A1203" s="829"/>
      <c r="B1203" s="830"/>
      <c r="C1203" s="1965"/>
      <c r="D1203" s="843" t="s">
        <v>15</v>
      </c>
      <c r="E1203" s="1357" t="s">
        <v>1651</v>
      </c>
      <c r="F1203" s="832"/>
      <c r="G1203" s="2010"/>
      <c r="H1203" s="837"/>
      <c r="I1203" s="837"/>
      <c r="J1203" s="1932"/>
      <c r="K1203" s="943"/>
      <c r="L1203" s="846" t="n">
        <v>13342.75</v>
      </c>
      <c r="M1203" s="846" t="n">
        <v>500</v>
      </c>
      <c r="N1203" s="846" t="n">
        <f aca="false">M1203/H1200</f>
        <v>50</v>
      </c>
      <c r="O1203" s="589" t="s">
        <v>850</v>
      </c>
      <c r="P1203" s="1937"/>
      <c r="Q1203" s="1934"/>
      <c r="R1203" s="1935"/>
    </row>
    <row r="1204" customFormat="false" ht="14.25" hidden="false" customHeight="false" outlineLevel="0" collapsed="false">
      <c r="A1204" s="1087" t="n">
        <v>458</v>
      </c>
      <c r="B1204" s="1072" t="n">
        <v>2024</v>
      </c>
      <c r="C1204" s="1980" t="n">
        <v>45931</v>
      </c>
      <c r="D1204" s="848" t="s">
        <v>15</v>
      </c>
      <c r="E1204" s="1479" t="s">
        <v>1651</v>
      </c>
      <c r="F1204" s="1773" t="s">
        <v>3364</v>
      </c>
      <c r="G1204" s="2017" t="n">
        <v>666</v>
      </c>
      <c r="H1204" s="1067" t="n">
        <v>15</v>
      </c>
      <c r="I1204" s="1067" t="n">
        <f aca="false">G1204*H1204</f>
        <v>9990</v>
      </c>
      <c r="J1204" s="1951" t="n">
        <v>26.6855</v>
      </c>
      <c r="K1204" s="1452" t="n">
        <f aca="false">I1204*J1204</f>
        <v>266588.145</v>
      </c>
      <c r="L1204" s="891" t="n">
        <v>4803.39</v>
      </c>
      <c r="M1204" s="891" t="n">
        <v>180</v>
      </c>
      <c r="N1204" s="891" t="n">
        <f aca="false">M1204/H1204</f>
        <v>12</v>
      </c>
      <c r="O1204" s="942" t="s">
        <v>442</v>
      </c>
      <c r="P1204" s="1981" t="n">
        <f aca="false">K1204-L1204-L1217-L1216-L1205-L1207-L1206-L1215-L1209-L1208-L1214-L1213-L1212-L1210-L1211</f>
        <v>0</v>
      </c>
      <c r="Q1204" s="1953" t="n">
        <f aca="false">I1204-M1204-M1217-M1216-M1205-M1207-M1206-M1215-M1209-M1208-M1214-M1213-M1212-M1210-M1211</f>
        <v>0</v>
      </c>
      <c r="R1204" s="1954" t="n">
        <f aca="false">G1204-N1204-N1217-N1216-N1205-N1207-N1206-N1215-N1209-N1208-N1214-N1213-N1212-N1210-N1211</f>
        <v>0</v>
      </c>
    </row>
    <row r="1205" customFormat="false" ht="14.25" hidden="false" customHeight="false" outlineLevel="0" collapsed="false">
      <c r="A1205" s="1087"/>
      <c r="B1205" s="1072"/>
      <c r="C1205" s="1980"/>
      <c r="D1205" s="860" t="s">
        <v>15</v>
      </c>
      <c r="E1205" s="1480" t="s">
        <v>1651</v>
      </c>
      <c r="F1205" s="1773"/>
      <c r="G1205" s="2017"/>
      <c r="H1205" s="1067"/>
      <c r="I1205" s="1067"/>
      <c r="J1205" s="1951"/>
      <c r="K1205" s="1452"/>
      <c r="L1205" s="866" t="n">
        <v>11608.1925</v>
      </c>
      <c r="M1205" s="866" t="n">
        <v>435</v>
      </c>
      <c r="N1205" s="866" t="n">
        <f aca="false">M1205/H1204</f>
        <v>29</v>
      </c>
      <c r="O1205" s="543" t="s">
        <v>572</v>
      </c>
      <c r="P1205" s="1981"/>
      <c r="Q1205" s="1953"/>
      <c r="R1205" s="1954"/>
    </row>
    <row r="1206" customFormat="false" ht="14.25" hidden="false" customHeight="false" outlineLevel="0" collapsed="false">
      <c r="A1206" s="1087"/>
      <c r="B1206" s="1072"/>
      <c r="C1206" s="1980"/>
      <c r="D1206" s="860" t="s">
        <v>15</v>
      </c>
      <c r="E1206" s="1480" t="s">
        <v>1651</v>
      </c>
      <c r="F1206" s="1773"/>
      <c r="G1206" s="2017"/>
      <c r="H1206" s="1067"/>
      <c r="I1206" s="1067"/>
      <c r="J1206" s="1951"/>
      <c r="K1206" s="1452"/>
      <c r="L1206" s="866" t="n">
        <v>14410.17</v>
      </c>
      <c r="M1206" s="866" t="n">
        <v>540</v>
      </c>
      <c r="N1206" s="866" t="n">
        <f aca="false">M1206/H1204</f>
        <v>36</v>
      </c>
      <c r="O1206" s="543" t="s">
        <v>567</v>
      </c>
      <c r="P1206" s="1981"/>
      <c r="Q1206" s="1953"/>
      <c r="R1206" s="1954"/>
    </row>
    <row r="1207" customFormat="false" ht="14.25" hidden="false" customHeight="false" outlineLevel="0" collapsed="false">
      <c r="A1207" s="1087"/>
      <c r="B1207" s="1072"/>
      <c r="C1207" s="1980"/>
      <c r="D1207" s="860" t="s">
        <v>15</v>
      </c>
      <c r="E1207" s="1480" t="s">
        <v>1651</v>
      </c>
      <c r="F1207" s="1773"/>
      <c r="G1207" s="2017"/>
      <c r="H1207" s="1067"/>
      <c r="I1207" s="1067"/>
      <c r="J1207" s="1951"/>
      <c r="K1207" s="1452"/>
      <c r="L1207" s="866" t="n">
        <v>6404.52</v>
      </c>
      <c r="M1207" s="866" t="n">
        <v>240</v>
      </c>
      <c r="N1207" s="866" t="n">
        <f aca="false">M1207/H1204</f>
        <v>16</v>
      </c>
      <c r="O1207" s="543" t="s">
        <v>3385</v>
      </c>
      <c r="P1207" s="1981"/>
      <c r="Q1207" s="1953"/>
      <c r="R1207" s="1954"/>
    </row>
    <row r="1208" customFormat="false" ht="14.25" hidden="false" customHeight="false" outlineLevel="0" collapsed="false">
      <c r="A1208" s="1087"/>
      <c r="B1208" s="1072"/>
      <c r="C1208" s="1980"/>
      <c r="D1208" s="860" t="s">
        <v>15</v>
      </c>
      <c r="E1208" s="1480" t="s">
        <v>1651</v>
      </c>
      <c r="F1208" s="1773"/>
      <c r="G1208" s="2017"/>
      <c r="H1208" s="1067"/>
      <c r="I1208" s="1067"/>
      <c r="J1208" s="1951"/>
      <c r="K1208" s="1452"/>
      <c r="L1208" s="866" t="n">
        <v>400.2825</v>
      </c>
      <c r="M1208" s="866" t="n">
        <v>15</v>
      </c>
      <c r="N1208" s="866" t="n">
        <f aca="false">M1208/H1204</f>
        <v>1</v>
      </c>
      <c r="O1208" s="543" t="s">
        <v>670</v>
      </c>
      <c r="P1208" s="1981"/>
      <c r="Q1208" s="1953"/>
      <c r="R1208" s="1954"/>
    </row>
    <row r="1209" customFormat="false" ht="14.25" hidden="false" customHeight="false" outlineLevel="0" collapsed="false">
      <c r="A1209" s="1087"/>
      <c r="B1209" s="1072"/>
      <c r="C1209" s="1980"/>
      <c r="D1209" s="860" t="s">
        <v>15</v>
      </c>
      <c r="E1209" s="1480" t="s">
        <v>1651</v>
      </c>
      <c r="F1209" s="1773"/>
      <c r="G1209" s="2017"/>
      <c r="H1209" s="1067"/>
      <c r="I1209" s="1067"/>
      <c r="J1209" s="1951"/>
      <c r="K1209" s="1452"/>
      <c r="L1209" s="866" t="n">
        <v>60042.375</v>
      </c>
      <c r="M1209" s="866" t="n">
        <v>2250</v>
      </c>
      <c r="N1209" s="866" t="n">
        <f aca="false">M1209/H1204</f>
        <v>150</v>
      </c>
      <c r="O1209" s="543" t="s">
        <v>3388</v>
      </c>
      <c r="P1209" s="1981"/>
      <c r="Q1209" s="1953"/>
      <c r="R1209" s="1954"/>
    </row>
    <row r="1210" customFormat="false" ht="14.25" hidden="false" customHeight="false" outlineLevel="0" collapsed="false">
      <c r="A1210" s="1087"/>
      <c r="B1210" s="1072"/>
      <c r="C1210" s="1980"/>
      <c r="D1210" s="860" t="s">
        <v>15</v>
      </c>
      <c r="E1210" s="1480" t="s">
        <v>1651</v>
      </c>
      <c r="F1210" s="1773"/>
      <c r="G1210" s="2017"/>
      <c r="H1210" s="1067"/>
      <c r="I1210" s="1067"/>
      <c r="J1210" s="1951"/>
      <c r="K1210" s="1452"/>
      <c r="L1210" s="866" t="n">
        <v>6404.52</v>
      </c>
      <c r="M1210" s="866" t="n">
        <v>240</v>
      </c>
      <c r="N1210" s="866" t="n">
        <f aca="false">M1210/H1204</f>
        <v>16</v>
      </c>
      <c r="O1210" s="543" t="s">
        <v>796</v>
      </c>
      <c r="P1210" s="1981"/>
      <c r="Q1210" s="1953"/>
      <c r="R1210" s="1954"/>
    </row>
    <row r="1211" customFormat="false" ht="14.25" hidden="false" customHeight="false" outlineLevel="0" collapsed="false">
      <c r="A1211" s="1087"/>
      <c r="B1211" s="1072"/>
      <c r="C1211" s="1980"/>
      <c r="D1211" s="860" t="s">
        <v>15</v>
      </c>
      <c r="E1211" s="1480" t="s">
        <v>1651</v>
      </c>
      <c r="F1211" s="1773"/>
      <c r="G1211" s="2017"/>
      <c r="H1211" s="1067"/>
      <c r="I1211" s="1067"/>
      <c r="J1211" s="1951"/>
      <c r="K1211" s="1452"/>
      <c r="L1211" s="866" t="n">
        <v>22415.82</v>
      </c>
      <c r="M1211" s="866" t="n">
        <v>840</v>
      </c>
      <c r="N1211" s="866" t="n">
        <f aca="false">M1211/H1204</f>
        <v>56</v>
      </c>
      <c r="O1211" s="543" t="s">
        <v>1634</v>
      </c>
      <c r="P1211" s="1981"/>
      <c r="Q1211" s="1953"/>
      <c r="R1211" s="1954"/>
    </row>
    <row r="1212" customFormat="false" ht="14.25" hidden="false" customHeight="false" outlineLevel="0" collapsed="false">
      <c r="A1212" s="1087"/>
      <c r="B1212" s="1072"/>
      <c r="C1212" s="1980"/>
      <c r="D1212" s="860" t="s">
        <v>15</v>
      </c>
      <c r="E1212" s="1480" t="s">
        <v>1651</v>
      </c>
      <c r="F1212" s="1773"/>
      <c r="G1212" s="2017"/>
      <c r="H1212" s="1067"/>
      <c r="I1212" s="1067"/>
      <c r="J1212" s="1951"/>
      <c r="K1212" s="1452"/>
      <c r="L1212" s="866" t="n">
        <v>4803.39</v>
      </c>
      <c r="M1212" s="866" t="n">
        <v>180</v>
      </c>
      <c r="N1212" s="866" t="n">
        <f aca="false">M1212/H1204</f>
        <v>12</v>
      </c>
      <c r="O1212" s="543" t="s">
        <v>797</v>
      </c>
      <c r="P1212" s="1981"/>
      <c r="Q1212" s="1953"/>
      <c r="R1212" s="1954"/>
    </row>
    <row r="1213" customFormat="false" ht="14.25" hidden="false" customHeight="false" outlineLevel="0" collapsed="false">
      <c r="A1213" s="1087"/>
      <c r="B1213" s="1072"/>
      <c r="C1213" s="1980"/>
      <c r="D1213" s="860" t="s">
        <v>15</v>
      </c>
      <c r="E1213" s="1480" t="s">
        <v>1651</v>
      </c>
      <c r="F1213" s="1773"/>
      <c r="G1213" s="2017"/>
      <c r="H1213" s="1067"/>
      <c r="I1213" s="1067"/>
      <c r="J1213" s="1951"/>
      <c r="K1213" s="1452"/>
      <c r="L1213" s="866" t="n">
        <v>1601.13</v>
      </c>
      <c r="M1213" s="866" t="n">
        <v>60</v>
      </c>
      <c r="N1213" s="866" t="n">
        <f aca="false">M1213/H1204</f>
        <v>4</v>
      </c>
      <c r="O1213" s="543" t="s">
        <v>673</v>
      </c>
      <c r="P1213" s="1981"/>
      <c r="Q1213" s="1953"/>
      <c r="R1213" s="1954"/>
    </row>
    <row r="1214" customFormat="false" ht="14.25" hidden="false" customHeight="false" outlineLevel="0" collapsed="false">
      <c r="A1214" s="1087"/>
      <c r="B1214" s="1072"/>
      <c r="C1214" s="1980"/>
      <c r="D1214" s="860" t="s">
        <v>15</v>
      </c>
      <c r="E1214" s="1480" t="s">
        <v>1651</v>
      </c>
      <c r="F1214" s="1773"/>
      <c r="G1214" s="2017"/>
      <c r="H1214" s="1067"/>
      <c r="I1214" s="1067"/>
      <c r="J1214" s="1951"/>
      <c r="K1214" s="1452"/>
      <c r="L1214" s="866" t="n">
        <v>80056.5</v>
      </c>
      <c r="M1214" s="866" t="n">
        <v>3000</v>
      </c>
      <c r="N1214" s="866" t="n">
        <f aca="false">M1214/H1204</f>
        <v>200</v>
      </c>
      <c r="O1214" s="543" t="s">
        <v>707</v>
      </c>
      <c r="P1214" s="1981"/>
      <c r="Q1214" s="1953"/>
      <c r="R1214" s="1954"/>
    </row>
    <row r="1215" customFormat="false" ht="14.25" hidden="false" customHeight="false" outlineLevel="0" collapsed="false">
      <c r="A1215" s="1087"/>
      <c r="B1215" s="1072"/>
      <c r="C1215" s="1980"/>
      <c r="D1215" s="860" t="s">
        <v>15</v>
      </c>
      <c r="E1215" s="1480" t="s">
        <v>1651</v>
      </c>
      <c r="F1215" s="1773"/>
      <c r="G1215" s="2017"/>
      <c r="H1215" s="1067"/>
      <c r="I1215" s="1067"/>
      <c r="J1215" s="1951"/>
      <c r="K1215" s="1452"/>
      <c r="L1215" s="866" t="n">
        <v>8005.65</v>
      </c>
      <c r="M1215" s="866" t="n">
        <v>300</v>
      </c>
      <c r="N1215" s="866" t="n">
        <f aca="false">M1215/H1204</f>
        <v>20</v>
      </c>
      <c r="O1215" s="543" t="s">
        <v>594</v>
      </c>
      <c r="P1215" s="1981"/>
      <c r="Q1215" s="1953"/>
      <c r="R1215" s="1954"/>
    </row>
    <row r="1216" customFormat="false" ht="14.25" hidden="false" customHeight="false" outlineLevel="0" collapsed="false">
      <c r="A1216" s="1087"/>
      <c r="B1216" s="1072"/>
      <c r="C1216" s="1980"/>
      <c r="D1216" s="860" t="s">
        <v>15</v>
      </c>
      <c r="E1216" s="1480" t="s">
        <v>1651</v>
      </c>
      <c r="F1216" s="1773"/>
      <c r="G1216" s="2017"/>
      <c r="H1216" s="1067"/>
      <c r="I1216" s="1067"/>
      <c r="J1216" s="1951"/>
      <c r="K1216" s="1452"/>
      <c r="L1216" s="866" t="n">
        <v>20014.125</v>
      </c>
      <c r="M1216" s="866" t="n">
        <v>750</v>
      </c>
      <c r="N1216" s="866" t="n">
        <f aca="false">M1216/H1204</f>
        <v>50</v>
      </c>
      <c r="O1216" s="543" t="s">
        <v>571</v>
      </c>
      <c r="P1216" s="1981"/>
      <c r="Q1216" s="1953"/>
      <c r="R1216" s="1954"/>
    </row>
    <row r="1217" customFormat="false" ht="14.25" hidden="false" customHeight="false" outlineLevel="0" collapsed="false">
      <c r="A1217" s="1087"/>
      <c r="B1217" s="1072"/>
      <c r="C1217" s="1980"/>
      <c r="D1217" s="843" t="s">
        <v>15</v>
      </c>
      <c r="E1217" s="1357" t="s">
        <v>1651</v>
      </c>
      <c r="F1217" s="1773"/>
      <c r="G1217" s="2017"/>
      <c r="H1217" s="1067"/>
      <c r="I1217" s="1067"/>
      <c r="J1217" s="1951"/>
      <c r="K1217" s="1452"/>
      <c r="L1217" s="846" t="n">
        <v>25618.08</v>
      </c>
      <c r="M1217" s="846" t="n">
        <v>960</v>
      </c>
      <c r="N1217" s="846" t="n">
        <f aca="false">M1217/H1204</f>
        <v>64</v>
      </c>
      <c r="O1217" s="589" t="s">
        <v>567</v>
      </c>
      <c r="P1217" s="1981"/>
      <c r="Q1217" s="1953"/>
      <c r="R1217" s="1954"/>
    </row>
    <row r="1218" customFormat="false" ht="14.25" hidden="false" customHeight="false" outlineLevel="0" collapsed="false">
      <c r="A1218" s="1344" t="n">
        <v>459</v>
      </c>
      <c r="B1218" s="903" t="n">
        <v>2024</v>
      </c>
      <c r="C1218" s="1974" t="n">
        <v>45931</v>
      </c>
      <c r="D1218" s="848" t="s">
        <v>15</v>
      </c>
      <c r="E1218" s="1479" t="s">
        <v>1651</v>
      </c>
      <c r="F1218" s="904" t="s">
        <v>3364</v>
      </c>
      <c r="G1218" s="2012" t="n">
        <v>249</v>
      </c>
      <c r="H1218" s="942" t="n">
        <v>15</v>
      </c>
      <c r="I1218" s="942" t="n">
        <f aca="false">G1218*H1218</f>
        <v>3735</v>
      </c>
      <c r="J1218" s="1941" t="n">
        <v>27.2785</v>
      </c>
      <c r="K1218" s="948" t="n">
        <f aca="false">I1218*J1218</f>
        <v>101885.1975</v>
      </c>
      <c r="L1218" s="854" t="n">
        <v>24959.8275</v>
      </c>
      <c r="M1218" s="854" t="n">
        <v>915</v>
      </c>
      <c r="N1218" s="854" t="n">
        <f aca="false">M1218/H1204</f>
        <v>61</v>
      </c>
      <c r="O1218" s="537" t="s">
        <v>442</v>
      </c>
      <c r="P1218" s="2000" t="n">
        <f aca="false">K1218-L1218-L1220-L1219</f>
        <v>-0.000499999991006916</v>
      </c>
      <c r="Q1218" s="2000" t="n">
        <f aca="false">I1218-M1218-M1220-M1219</f>
        <v>0</v>
      </c>
      <c r="R1218" s="2005" t="n">
        <f aca="false">G1218-N1218-N1220-N1219</f>
        <v>0</v>
      </c>
    </row>
    <row r="1219" customFormat="false" ht="14.25" hidden="false" customHeight="false" outlineLevel="0" collapsed="false">
      <c r="A1219" s="1344"/>
      <c r="B1219" s="903"/>
      <c r="C1219" s="1974"/>
      <c r="D1219" s="904" t="s">
        <v>15</v>
      </c>
      <c r="E1219" s="1351" t="s">
        <v>1651</v>
      </c>
      <c r="F1219" s="904"/>
      <c r="G1219" s="2012"/>
      <c r="H1219" s="942"/>
      <c r="I1219" s="942"/>
      <c r="J1219" s="1941"/>
      <c r="K1219" s="948"/>
      <c r="L1219" s="891" t="n">
        <v>8592.728</v>
      </c>
      <c r="M1219" s="891" t="n">
        <v>315</v>
      </c>
      <c r="N1219" s="854" t="n">
        <f aca="false">M1219/H1204</f>
        <v>21</v>
      </c>
      <c r="O1219" s="942" t="s">
        <v>572</v>
      </c>
      <c r="P1219" s="2000"/>
      <c r="Q1219" s="2000"/>
      <c r="R1219" s="2005"/>
    </row>
    <row r="1220" customFormat="false" ht="14.25" hidden="false" customHeight="false" outlineLevel="0" collapsed="false">
      <c r="A1220" s="1344"/>
      <c r="B1220" s="903"/>
      <c r="C1220" s="1974"/>
      <c r="D1220" s="871" t="s">
        <v>15</v>
      </c>
      <c r="E1220" s="1478" t="s">
        <v>1651</v>
      </c>
      <c r="F1220" s="904"/>
      <c r="G1220" s="2012"/>
      <c r="H1220" s="942"/>
      <c r="I1220" s="942"/>
      <c r="J1220" s="1941"/>
      <c r="K1220" s="948"/>
      <c r="L1220" s="877" t="n">
        <v>68332.6425</v>
      </c>
      <c r="M1220" s="877" t="n">
        <v>2505</v>
      </c>
      <c r="N1220" s="877" t="n">
        <f aca="false">M1220/H1204</f>
        <v>167</v>
      </c>
      <c r="O1220" s="553" t="s">
        <v>417</v>
      </c>
      <c r="P1220" s="2000"/>
      <c r="Q1220" s="2000"/>
      <c r="R1220" s="2005"/>
    </row>
    <row r="1221" customFormat="false" ht="14.25" hidden="false" customHeight="false" outlineLevel="0" collapsed="false">
      <c r="A1221" s="882" t="n">
        <v>465</v>
      </c>
      <c r="B1221" s="830" t="n">
        <v>2024</v>
      </c>
      <c r="C1221" s="1965" t="n">
        <v>45931</v>
      </c>
      <c r="D1221" s="831" t="s">
        <v>15</v>
      </c>
      <c r="E1221" s="1365" t="s">
        <v>2130</v>
      </c>
      <c r="F1221" s="832" t="s">
        <v>3364</v>
      </c>
      <c r="G1221" s="2010" t="n">
        <v>146</v>
      </c>
      <c r="H1221" s="837" t="n">
        <v>25</v>
      </c>
      <c r="I1221" s="837" t="n">
        <f aca="false">G1221*H1221</f>
        <v>3650</v>
      </c>
      <c r="J1221" s="1932" t="n">
        <v>48.1318</v>
      </c>
      <c r="K1221" s="943" t="n">
        <f aca="false">I1221*J1221</f>
        <v>175681.07</v>
      </c>
      <c r="L1221" s="840" t="n">
        <v>1203.295</v>
      </c>
      <c r="M1221" s="840" t="n">
        <v>25</v>
      </c>
      <c r="N1221" s="886" t="n">
        <f aca="false">M1221/H1221</f>
        <v>1</v>
      </c>
      <c r="O1221" s="1114" t="s">
        <v>1235</v>
      </c>
      <c r="P1221" s="1937" t="n">
        <f aca="false">K1221-L1221-L1223-L1222</f>
        <v>0</v>
      </c>
      <c r="Q1221" s="1934" t="n">
        <f aca="false">I1221-M1221-M1223-M1222</f>
        <v>0</v>
      </c>
      <c r="R1221" s="1935" t="n">
        <f aca="false">G1221-N1221-N1223-N1222</f>
        <v>0</v>
      </c>
    </row>
    <row r="1222" customFormat="false" ht="14.25" hidden="false" customHeight="false" outlineLevel="0" collapsed="false">
      <c r="A1222" s="882"/>
      <c r="B1222" s="830"/>
      <c r="C1222" s="1965"/>
      <c r="D1222" s="904" t="s">
        <v>15</v>
      </c>
      <c r="E1222" s="1351" t="s">
        <v>2130</v>
      </c>
      <c r="F1222" s="832"/>
      <c r="G1222" s="2010"/>
      <c r="H1222" s="837"/>
      <c r="I1222" s="837"/>
      <c r="J1222" s="1932"/>
      <c r="K1222" s="943"/>
      <c r="L1222" s="891" t="n">
        <v>145598.695</v>
      </c>
      <c r="M1222" s="891" t="n">
        <v>3025</v>
      </c>
      <c r="N1222" s="866" t="n">
        <f aca="false">M1222/H1221</f>
        <v>121</v>
      </c>
      <c r="O1222" s="942" t="s">
        <v>1634</v>
      </c>
      <c r="P1222" s="1937"/>
      <c r="Q1222" s="1934"/>
      <c r="R1222" s="1935"/>
    </row>
    <row r="1223" customFormat="false" ht="14.25" hidden="false" customHeight="false" outlineLevel="0" collapsed="false">
      <c r="A1223" s="882"/>
      <c r="B1223" s="830"/>
      <c r="C1223" s="1965"/>
      <c r="D1223" s="843" t="s">
        <v>15</v>
      </c>
      <c r="E1223" s="1357" t="s">
        <v>2130</v>
      </c>
      <c r="F1223" s="832"/>
      <c r="G1223" s="2010"/>
      <c r="H1223" s="837"/>
      <c r="I1223" s="837"/>
      <c r="J1223" s="1932"/>
      <c r="K1223" s="943"/>
      <c r="L1223" s="846" t="n">
        <v>28879.08</v>
      </c>
      <c r="M1223" s="846" t="n">
        <v>600</v>
      </c>
      <c r="N1223" s="846" t="n">
        <f aca="false">M1223/H1221</f>
        <v>24</v>
      </c>
      <c r="O1223" s="589" t="s">
        <v>1298</v>
      </c>
      <c r="P1223" s="1937"/>
      <c r="Q1223" s="1934"/>
      <c r="R1223" s="1935"/>
    </row>
    <row r="1224" customFormat="false" ht="14.25" hidden="false" customHeight="false" outlineLevel="0" collapsed="false">
      <c r="A1224" s="1087" t="n">
        <v>502</v>
      </c>
      <c r="B1224" s="1072" t="n">
        <v>2024</v>
      </c>
      <c r="C1224" s="1980" t="n">
        <v>45931</v>
      </c>
      <c r="D1224" s="848" t="s">
        <v>15</v>
      </c>
      <c r="E1224" s="1479" t="s">
        <v>2619</v>
      </c>
      <c r="F1224" s="887" t="s">
        <v>3364</v>
      </c>
      <c r="G1224" s="2017" t="n">
        <v>63</v>
      </c>
      <c r="H1224" s="1067" t="n">
        <v>30</v>
      </c>
      <c r="I1224" s="1067" t="n">
        <f aca="false">G1224*H1224</f>
        <v>1890</v>
      </c>
      <c r="J1224" s="1951" t="n">
        <v>88.753</v>
      </c>
      <c r="K1224" s="1452" t="n">
        <f aca="false">I1224*J1224</f>
        <v>167743.17</v>
      </c>
      <c r="L1224" s="854" t="n">
        <v>143779.86</v>
      </c>
      <c r="M1224" s="854" t="n">
        <v>1620</v>
      </c>
      <c r="N1224" s="891" t="n">
        <f aca="false">M1224/H1224</f>
        <v>54</v>
      </c>
      <c r="O1224" s="537" t="s">
        <v>3479</v>
      </c>
      <c r="P1224" s="1953" t="n">
        <f aca="false">K1224-L1224-L1226-L1225</f>
        <v>2.5465851649642E-011</v>
      </c>
      <c r="Q1224" s="1953" t="n">
        <f aca="false">I1224-M1224-M1226-M1225</f>
        <v>0</v>
      </c>
      <c r="R1224" s="1954" t="n">
        <f aca="false">G1224-N1224-N1226-N1225</f>
        <v>0</v>
      </c>
    </row>
    <row r="1225" customFormat="false" ht="14.25" hidden="false" customHeight="false" outlineLevel="0" collapsed="false">
      <c r="A1225" s="1087"/>
      <c r="B1225" s="1072"/>
      <c r="C1225" s="1980"/>
      <c r="D1225" s="904" t="s">
        <v>15</v>
      </c>
      <c r="E1225" s="1351" t="s">
        <v>2619</v>
      </c>
      <c r="F1225" s="887"/>
      <c r="G1225" s="2017"/>
      <c r="H1225" s="1067"/>
      <c r="I1225" s="1067"/>
      <c r="J1225" s="1951"/>
      <c r="K1225" s="1452"/>
      <c r="L1225" s="891" t="n">
        <v>2662.59</v>
      </c>
      <c r="M1225" s="891" t="n">
        <v>30</v>
      </c>
      <c r="N1225" s="866" t="n">
        <f aca="false">M1225/H1224</f>
        <v>1</v>
      </c>
      <c r="O1225" s="942" t="s">
        <v>886</v>
      </c>
      <c r="P1225" s="1953"/>
      <c r="Q1225" s="1953"/>
      <c r="R1225" s="1954"/>
    </row>
    <row r="1226" customFormat="false" ht="14.25" hidden="false" customHeight="false" outlineLevel="0" collapsed="false">
      <c r="A1226" s="1087"/>
      <c r="B1226" s="1072"/>
      <c r="C1226" s="1980"/>
      <c r="D1226" s="843" t="s">
        <v>15</v>
      </c>
      <c r="E1226" s="1357" t="s">
        <v>2619</v>
      </c>
      <c r="F1226" s="887"/>
      <c r="G1226" s="2017"/>
      <c r="H1226" s="1067"/>
      <c r="I1226" s="1067"/>
      <c r="J1226" s="1951"/>
      <c r="K1226" s="1452"/>
      <c r="L1226" s="846" t="n">
        <v>21300.72</v>
      </c>
      <c r="M1226" s="846" t="n">
        <v>240</v>
      </c>
      <c r="N1226" s="846" t="n">
        <f aca="false">M1226/H1224</f>
        <v>8</v>
      </c>
      <c r="O1226" s="589" t="s">
        <v>887</v>
      </c>
      <c r="P1226" s="1953"/>
      <c r="Q1226" s="1953"/>
      <c r="R1226" s="1954"/>
    </row>
    <row r="1227" customFormat="false" ht="14.25" hidden="false" customHeight="false" outlineLevel="0" collapsed="false">
      <c r="A1227" s="1060" t="n">
        <v>520</v>
      </c>
      <c r="B1227" s="1072" t="n">
        <v>2024</v>
      </c>
      <c r="C1227" s="1980" t="n">
        <v>45931</v>
      </c>
      <c r="D1227" s="904" t="s">
        <v>15</v>
      </c>
      <c r="E1227" s="1351" t="s">
        <v>1651</v>
      </c>
      <c r="F1227" s="887" t="s">
        <v>3367</v>
      </c>
      <c r="G1227" s="2017" t="n">
        <v>300</v>
      </c>
      <c r="H1227" s="1067" t="n">
        <v>10</v>
      </c>
      <c r="I1227" s="1067" t="n">
        <f aca="false">G1227*H1227</f>
        <v>3000</v>
      </c>
      <c r="J1227" s="1951" t="n">
        <v>26.5279</v>
      </c>
      <c r="K1227" s="1452" t="n">
        <f aca="false">I1227*J1227</f>
        <v>79583.7</v>
      </c>
      <c r="L1227" s="891" t="n">
        <v>13529.229</v>
      </c>
      <c r="M1227" s="891" t="n">
        <v>510</v>
      </c>
      <c r="N1227" s="891" t="n">
        <f aca="false">M1227/H1227</f>
        <v>51</v>
      </c>
      <c r="O1227" s="942" t="s">
        <v>732</v>
      </c>
      <c r="P1227" s="1953" t="n">
        <f aca="false">K1227-L1227-L1232-L1231-L1228-L1229-L1230</f>
        <v>0.000499999992030098</v>
      </c>
      <c r="Q1227" s="1953" t="n">
        <f aca="false">I1227-M1227-M1232-M1231-M1228-M1229-M1230</f>
        <v>0</v>
      </c>
      <c r="R1227" s="2039" t="n">
        <f aca="false">G1227-N1227-N1232-N1231-N1228-N1229-N1230</f>
        <v>0</v>
      </c>
    </row>
    <row r="1228" customFormat="false" ht="14.25" hidden="false" customHeight="false" outlineLevel="0" collapsed="false">
      <c r="A1228" s="1060"/>
      <c r="B1228" s="1072"/>
      <c r="C1228" s="1980"/>
      <c r="D1228" s="860" t="s">
        <v>15</v>
      </c>
      <c r="E1228" s="1480" t="s">
        <v>1651</v>
      </c>
      <c r="F1228" s="887"/>
      <c r="G1228" s="2017"/>
      <c r="H1228" s="1067"/>
      <c r="I1228" s="1067"/>
      <c r="J1228" s="1951"/>
      <c r="K1228" s="1452"/>
      <c r="L1228" s="866" t="n">
        <v>1989.5925</v>
      </c>
      <c r="M1228" s="866" t="n">
        <v>75</v>
      </c>
      <c r="N1228" s="866" t="n">
        <f aca="false">M1228/H1227</f>
        <v>7.5</v>
      </c>
      <c r="O1228" s="543" t="s">
        <v>764</v>
      </c>
      <c r="P1228" s="1953"/>
      <c r="Q1228" s="1953"/>
      <c r="R1228" s="2039"/>
    </row>
    <row r="1229" customFormat="false" ht="14.25" hidden="false" customHeight="false" outlineLevel="0" collapsed="false">
      <c r="A1229" s="1060"/>
      <c r="B1229" s="1072"/>
      <c r="C1229" s="1980"/>
      <c r="D1229" s="860" t="s">
        <v>15</v>
      </c>
      <c r="E1229" s="1480" t="s">
        <v>1651</v>
      </c>
      <c r="F1229" s="887"/>
      <c r="G1229" s="2017"/>
      <c r="H1229" s="1067"/>
      <c r="I1229" s="1067"/>
      <c r="J1229" s="1951"/>
      <c r="K1229" s="1452"/>
      <c r="L1229" s="866" t="n">
        <v>8223.649</v>
      </c>
      <c r="M1229" s="866" t="n">
        <v>310</v>
      </c>
      <c r="N1229" s="866" t="n">
        <f aca="false">M1229/H1227</f>
        <v>31</v>
      </c>
      <c r="O1229" s="543" t="s">
        <v>850</v>
      </c>
      <c r="P1229" s="1953"/>
      <c r="Q1229" s="1953"/>
      <c r="R1229" s="2039"/>
    </row>
    <row r="1230" customFormat="false" ht="14.25" hidden="false" customHeight="false" outlineLevel="0" collapsed="false">
      <c r="A1230" s="1060"/>
      <c r="B1230" s="1072"/>
      <c r="C1230" s="1980"/>
      <c r="D1230" s="860" t="s">
        <v>15</v>
      </c>
      <c r="E1230" s="1480" t="s">
        <v>1651</v>
      </c>
      <c r="F1230" s="887"/>
      <c r="G1230" s="2017"/>
      <c r="H1230" s="1067"/>
      <c r="I1230" s="1067"/>
      <c r="J1230" s="1951"/>
      <c r="K1230" s="1452"/>
      <c r="L1230" s="866" t="n">
        <v>132.639</v>
      </c>
      <c r="M1230" s="866" t="n">
        <v>5</v>
      </c>
      <c r="N1230" s="866" t="n">
        <f aca="false">M1230/H1227</f>
        <v>0.5</v>
      </c>
      <c r="O1230" s="543" t="s">
        <v>1634</v>
      </c>
      <c r="P1230" s="1953"/>
      <c r="Q1230" s="1953"/>
      <c r="R1230" s="2039"/>
    </row>
    <row r="1231" customFormat="false" ht="14.25" hidden="false" customHeight="false" outlineLevel="0" collapsed="false">
      <c r="A1231" s="1060"/>
      <c r="B1231" s="1072"/>
      <c r="C1231" s="1980"/>
      <c r="D1231" s="860" t="s">
        <v>15</v>
      </c>
      <c r="E1231" s="1480" t="s">
        <v>1651</v>
      </c>
      <c r="F1231" s="887"/>
      <c r="G1231" s="2017"/>
      <c r="H1231" s="1067"/>
      <c r="I1231" s="1067"/>
      <c r="J1231" s="1951"/>
      <c r="K1231" s="1452"/>
      <c r="L1231" s="866" t="n">
        <v>15916.74</v>
      </c>
      <c r="M1231" s="866" t="n">
        <v>600</v>
      </c>
      <c r="N1231" s="866" t="n">
        <f aca="false">M1231/H1227</f>
        <v>60</v>
      </c>
      <c r="O1231" s="543" t="s">
        <v>3480</v>
      </c>
      <c r="P1231" s="1953"/>
      <c r="Q1231" s="1953"/>
      <c r="R1231" s="2039"/>
    </row>
    <row r="1232" customFormat="false" ht="14.25" hidden="false" customHeight="false" outlineLevel="0" collapsed="false">
      <c r="A1232" s="1060"/>
      <c r="B1232" s="1072"/>
      <c r="C1232" s="1980"/>
      <c r="D1232" s="843" t="s">
        <v>15</v>
      </c>
      <c r="E1232" s="1357" t="s">
        <v>1651</v>
      </c>
      <c r="F1232" s="887"/>
      <c r="G1232" s="2017"/>
      <c r="H1232" s="1067"/>
      <c r="I1232" s="1067"/>
      <c r="J1232" s="1951"/>
      <c r="K1232" s="1452"/>
      <c r="L1232" s="846" t="n">
        <v>39791.85</v>
      </c>
      <c r="M1232" s="846" t="n">
        <v>1500</v>
      </c>
      <c r="N1232" s="846" t="n">
        <f aca="false">M1232/H1227</f>
        <v>150</v>
      </c>
      <c r="O1232" s="589" t="s">
        <v>762</v>
      </c>
      <c r="P1232" s="1953"/>
      <c r="Q1232" s="1953"/>
      <c r="R1232" s="2039"/>
    </row>
    <row r="1233" customFormat="false" ht="14.25" hidden="false" customHeight="false" outlineLevel="0" collapsed="false">
      <c r="A1233" s="847" t="s">
        <v>3481</v>
      </c>
      <c r="B1233" s="1396" t="n">
        <v>2024</v>
      </c>
      <c r="C1233" s="1966" t="n">
        <v>45931</v>
      </c>
      <c r="D1233" s="848" t="s">
        <v>15</v>
      </c>
      <c r="E1233" s="1479" t="s">
        <v>1651</v>
      </c>
      <c r="F1233" s="848" t="s">
        <v>3375</v>
      </c>
      <c r="G1233" s="2018" t="n">
        <v>40</v>
      </c>
      <c r="H1233" s="537" t="n">
        <v>15</v>
      </c>
      <c r="I1233" s="1380" t="n">
        <f aca="false">G1233*H1233</f>
        <v>600</v>
      </c>
      <c r="J1233" s="1989" t="n">
        <v>26.5279</v>
      </c>
      <c r="K1233" s="1968" t="n">
        <f aca="false">I1233*J1233</f>
        <v>15916.74</v>
      </c>
      <c r="L1233" s="854" t="n">
        <v>15916.74</v>
      </c>
      <c r="M1233" s="854" t="n">
        <v>600</v>
      </c>
      <c r="N1233" s="877" t="n">
        <f aca="false">M1233/H1233</f>
        <v>40</v>
      </c>
      <c r="O1233" s="537" t="s">
        <v>762</v>
      </c>
      <c r="P1233" s="1969" t="n">
        <f aca="false">K1233-L1233</f>
        <v>0</v>
      </c>
      <c r="Q1233" s="1970" t="n">
        <f aca="false">I1233-M1233</f>
        <v>0</v>
      </c>
      <c r="R1233" s="2027" t="n">
        <f aca="false">G1233-N1233</f>
        <v>0</v>
      </c>
    </row>
    <row r="1234" customFormat="false" ht="14.25" hidden="false" customHeight="false" outlineLevel="0" collapsed="false">
      <c r="A1234" s="870" t="n">
        <v>521</v>
      </c>
      <c r="B1234" s="1495" t="n">
        <v>2024</v>
      </c>
      <c r="C1234" s="1972" t="n">
        <v>45931</v>
      </c>
      <c r="D1234" s="871" t="s">
        <v>15</v>
      </c>
      <c r="E1234" s="1478" t="s">
        <v>1651</v>
      </c>
      <c r="F1234" s="871" t="s">
        <v>3364</v>
      </c>
      <c r="G1234" s="2024" t="n">
        <v>666</v>
      </c>
      <c r="H1234" s="553" t="n">
        <v>15</v>
      </c>
      <c r="I1234" s="1587" t="n">
        <f aca="false">G1234*H1234</f>
        <v>9990</v>
      </c>
      <c r="J1234" s="1957" t="n">
        <v>26.5279</v>
      </c>
      <c r="K1234" s="1958" t="n">
        <f aca="false">I1234*J1234</f>
        <v>265013.721</v>
      </c>
      <c r="L1234" s="877" t="n">
        <v>265013.721</v>
      </c>
      <c r="M1234" s="877" t="n">
        <v>9990</v>
      </c>
      <c r="N1234" s="877" t="n">
        <f aca="false">M1234/H1234</f>
        <v>666</v>
      </c>
      <c r="O1234" s="553" t="s">
        <v>670</v>
      </c>
      <c r="P1234" s="2028" t="n">
        <f aca="false">K1234-L1234</f>
        <v>0</v>
      </c>
      <c r="Q1234" s="1960" t="n">
        <f aca="false">I1234-M1234</f>
        <v>0</v>
      </c>
      <c r="R1234" s="2029" t="n">
        <f aca="false">G1234-N1234</f>
        <v>0</v>
      </c>
    </row>
    <row r="1235" customFormat="false" ht="14.25" hidden="false" customHeight="false" outlineLevel="0" collapsed="false">
      <c r="A1235" s="829" t="n">
        <v>522</v>
      </c>
      <c r="B1235" s="830" t="n">
        <v>2024</v>
      </c>
      <c r="C1235" s="1965" t="n">
        <v>45931</v>
      </c>
      <c r="D1235" s="1328" t="s">
        <v>15</v>
      </c>
      <c r="E1235" s="1607" t="s">
        <v>1651</v>
      </c>
      <c r="F1235" s="832" t="s">
        <v>3364</v>
      </c>
      <c r="G1235" s="2010" t="n">
        <v>402</v>
      </c>
      <c r="H1235" s="837" t="n">
        <v>15</v>
      </c>
      <c r="I1235" s="837" t="n">
        <f aca="false">G1235*H1235</f>
        <v>6030</v>
      </c>
      <c r="J1235" s="1932" t="n">
        <v>27.3197</v>
      </c>
      <c r="K1235" s="943" t="n">
        <f aca="false">I1235*J1235</f>
        <v>164737.791</v>
      </c>
      <c r="L1235" s="886" t="n">
        <v>8195.91</v>
      </c>
      <c r="M1235" s="886" t="n">
        <v>300</v>
      </c>
      <c r="N1235" s="886" t="n">
        <f aca="false">M1235/H1235</f>
        <v>20</v>
      </c>
      <c r="O1235" s="1036" t="s">
        <v>688</v>
      </c>
      <c r="P1235" s="1934" t="n">
        <f aca="false">K1235-L1235-L1251-L1250-L1236-L1237-L1249-L1238-L1248-L1239-L1247-L1240-L1246-L1241-L1245-L1244-L1242-L1243</f>
        <v>-0.000499999988846867</v>
      </c>
      <c r="Q1235" s="1934" t="n">
        <f aca="false">I1235-M1235-M1251-M1250-M1236-M1237-M1249-M1238-M1248-M1239-M1247-M1240-M1246-M1241-M1245-M1244-M1242-M1243</f>
        <v>0</v>
      </c>
      <c r="R1235" s="1935" t="n">
        <f aca="false">G1235-N1235-N1251-N1250-N1236-N1237-N1249-N1238-N1248-N1239-N1247-N1240-N1246-N1241-N1245-N1244-N1242-N1243</f>
        <v>0</v>
      </c>
    </row>
    <row r="1236" customFormat="false" ht="14.25" hidden="false" customHeight="false" outlineLevel="0" collapsed="false">
      <c r="A1236" s="829"/>
      <c r="B1236" s="830"/>
      <c r="C1236" s="1965"/>
      <c r="D1236" s="860" t="s">
        <v>15</v>
      </c>
      <c r="E1236" s="1480" t="s">
        <v>1651</v>
      </c>
      <c r="F1236" s="832"/>
      <c r="G1236" s="2010"/>
      <c r="H1236" s="837"/>
      <c r="I1236" s="837"/>
      <c r="J1236" s="1932"/>
      <c r="K1236" s="943"/>
      <c r="L1236" s="866" t="n">
        <v>39750.1635</v>
      </c>
      <c r="M1236" s="866" t="n">
        <v>1455</v>
      </c>
      <c r="N1236" s="866" t="n">
        <f aca="false">M1236/H1235</f>
        <v>97</v>
      </c>
      <c r="O1236" s="543" t="s">
        <v>710</v>
      </c>
      <c r="P1236" s="1934"/>
      <c r="Q1236" s="1934"/>
      <c r="R1236" s="1935"/>
    </row>
    <row r="1237" customFormat="false" ht="14.25" hidden="false" customHeight="false" outlineLevel="0" collapsed="false">
      <c r="A1237" s="829"/>
      <c r="B1237" s="830"/>
      <c r="C1237" s="1965"/>
      <c r="D1237" s="860" t="s">
        <v>15</v>
      </c>
      <c r="E1237" s="1480" t="s">
        <v>1651</v>
      </c>
      <c r="F1237" s="832"/>
      <c r="G1237" s="2010"/>
      <c r="H1237" s="837"/>
      <c r="I1237" s="837"/>
      <c r="J1237" s="1932"/>
      <c r="K1237" s="943"/>
      <c r="L1237" s="866" t="n">
        <v>819.591</v>
      </c>
      <c r="M1237" s="866" t="n">
        <v>30</v>
      </c>
      <c r="N1237" s="866" t="n">
        <f aca="false">M1237/H1235</f>
        <v>2</v>
      </c>
      <c r="O1237" s="543" t="s">
        <v>713</v>
      </c>
      <c r="P1237" s="1934"/>
      <c r="Q1237" s="1934"/>
      <c r="R1237" s="1935"/>
    </row>
    <row r="1238" customFormat="false" ht="14.25" hidden="false" customHeight="false" outlineLevel="0" collapsed="false">
      <c r="A1238" s="829"/>
      <c r="B1238" s="830"/>
      <c r="C1238" s="1965"/>
      <c r="D1238" s="860" t="s">
        <v>15</v>
      </c>
      <c r="E1238" s="1480" t="s">
        <v>1651</v>
      </c>
      <c r="F1238" s="832"/>
      <c r="G1238" s="2010"/>
      <c r="H1238" s="837"/>
      <c r="I1238" s="837"/>
      <c r="J1238" s="1932"/>
      <c r="K1238" s="943"/>
      <c r="L1238" s="866" t="n">
        <v>4507.7505</v>
      </c>
      <c r="M1238" s="866" t="n">
        <v>165</v>
      </c>
      <c r="N1238" s="866" t="n">
        <f aca="false">M1238/H1235</f>
        <v>11</v>
      </c>
      <c r="O1238" s="543" t="s">
        <v>718</v>
      </c>
      <c r="P1238" s="1934"/>
      <c r="Q1238" s="1934"/>
      <c r="R1238" s="1935"/>
    </row>
    <row r="1239" customFormat="false" ht="14.25" hidden="false" customHeight="false" outlineLevel="0" collapsed="false">
      <c r="A1239" s="829"/>
      <c r="B1239" s="830"/>
      <c r="C1239" s="1965"/>
      <c r="D1239" s="860" t="s">
        <v>15</v>
      </c>
      <c r="E1239" s="1480" t="s">
        <v>1651</v>
      </c>
      <c r="F1239" s="832"/>
      <c r="G1239" s="2010"/>
      <c r="H1239" s="837"/>
      <c r="I1239" s="837"/>
      <c r="J1239" s="1932"/>
      <c r="K1239" s="943"/>
      <c r="L1239" s="866" t="n">
        <v>24997.5255</v>
      </c>
      <c r="M1239" s="866" t="n">
        <v>915</v>
      </c>
      <c r="N1239" s="866" t="n">
        <f aca="false">M1239/H1235</f>
        <v>61</v>
      </c>
      <c r="O1239" s="543" t="s">
        <v>721</v>
      </c>
      <c r="P1239" s="1934"/>
      <c r="Q1239" s="1934"/>
      <c r="R1239" s="1935"/>
    </row>
    <row r="1240" customFormat="false" ht="14.25" hidden="false" customHeight="false" outlineLevel="0" collapsed="false">
      <c r="A1240" s="829"/>
      <c r="B1240" s="830"/>
      <c r="C1240" s="1965"/>
      <c r="D1240" s="860" t="s">
        <v>15</v>
      </c>
      <c r="E1240" s="1480" t="s">
        <v>1651</v>
      </c>
      <c r="F1240" s="832"/>
      <c r="G1240" s="2010"/>
      <c r="H1240" s="837"/>
      <c r="I1240" s="837"/>
      <c r="J1240" s="1932"/>
      <c r="K1240" s="943"/>
      <c r="L1240" s="866" t="n">
        <v>1639.182</v>
      </c>
      <c r="M1240" s="866" t="n">
        <v>60</v>
      </c>
      <c r="N1240" s="866" t="n">
        <f aca="false">M1240/H1235</f>
        <v>4</v>
      </c>
      <c r="O1240" s="543" t="s">
        <v>744</v>
      </c>
      <c r="P1240" s="1934"/>
      <c r="Q1240" s="1934"/>
      <c r="R1240" s="1935"/>
    </row>
    <row r="1241" customFormat="false" ht="14.25" hidden="false" customHeight="false" outlineLevel="0" collapsed="false">
      <c r="A1241" s="829"/>
      <c r="B1241" s="830"/>
      <c r="C1241" s="1965"/>
      <c r="D1241" s="860" t="s">
        <v>15</v>
      </c>
      <c r="E1241" s="1480" t="s">
        <v>1651</v>
      </c>
      <c r="F1241" s="832"/>
      <c r="G1241" s="2010"/>
      <c r="H1241" s="837"/>
      <c r="I1241" s="837"/>
      <c r="J1241" s="1932"/>
      <c r="K1241" s="943"/>
      <c r="L1241" s="866" t="n">
        <v>21719.1615</v>
      </c>
      <c r="M1241" s="866" t="n">
        <v>795</v>
      </c>
      <c r="N1241" s="866" t="n">
        <f aca="false">M1241/H1235</f>
        <v>53</v>
      </c>
      <c r="O1241" s="543" t="s">
        <v>753</v>
      </c>
      <c r="P1241" s="1934"/>
      <c r="Q1241" s="1934"/>
      <c r="R1241" s="1935"/>
    </row>
    <row r="1242" customFormat="false" ht="14.25" hidden="false" customHeight="false" outlineLevel="0" collapsed="false">
      <c r="A1242" s="829"/>
      <c r="B1242" s="830"/>
      <c r="C1242" s="1965"/>
      <c r="D1242" s="860" t="s">
        <v>15</v>
      </c>
      <c r="E1242" s="1480" t="s">
        <v>1651</v>
      </c>
      <c r="F1242" s="832"/>
      <c r="G1242" s="2010"/>
      <c r="H1242" s="837"/>
      <c r="I1242" s="837"/>
      <c r="J1242" s="1932"/>
      <c r="K1242" s="943"/>
      <c r="L1242" s="866" t="n">
        <v>-8605.705</v>
      </c>
      <c r="M1242" s="866" t="n">
        <v>-315</v>
      </c>
      <c r="N1242" s="866" t="n">
        <f aca="false">M1242/H1235</f>
        <v>-21</v>
      </c>
      <c r="O1242" s="543" t="s">
        <v>1634</v>
      </c>
      <c r="P1242" s="1934"/>
      <c r="Q1242" s="1934"/>
      <c r="R1242" s="1935"/>
    </row>
    <row r="1243" customFormat="false" ht="14.25" hidden="false" customHeight="false" outlineLevel="0" collapsed="false">
      <c r="A1243" s="829"/>
      <c r="B1243" s="830"/>
      <c r="C1243" s="1965"/>
      <c r="D1243" s="860" t="s">
        <v>15</v>
      </c>
      <c r="E1243" s="1480" t="s">
        <v>1651</v>
      </c>
      <c r="F1243" s="832"/>
      <c r="G1243" s="2010"/>
      <c r="H1243" s="837"/>
      <c r="I1243" s="837"/>
      <c r="J1243" s="1932"/>
      <c r="K1243" s="943"/>
      <c r="L1243" s="866" t="n">
        <v>819.591</v>
      </c>
      <c r="M1243" s="866" t="n">
        <v>30</v>
      </c>
      <c r="N1243" s="866" t="n">
        <f aca="false">M1243/H1235</f>
        <v>2</v>
      </c>
      <c r="O1243" s="543" t="s">
        <v>847</v>
      </c>
      <c r="P1243" s="1934"/>
      <c r="Q1243" s="1934"/>
      <c r="R1243" s="1935"/>
    </row>
    <row r="1244" customFormat="false" ht="14.25" hidden="false" customHeight="false" outlineLevel="0" collapsed="false">
      <c r="A1244" s="829"/>
      <c r="B1244" s="830"/>
      <c r="C1244" s="1965"/>
      <c r="D1244" s="860" t="s">
        <v>15</v>
      </c>
      <c r="E1244" s="1480" t="s">
        <v>1651</v>
      </c>
      <c r="F1244" s="832"/>
      <c r="G1244" s="2010"/>
      <c r="H1244" s="837"/>
      <c r="I1244" s="837"/>
      <c r="J1244" s="1932"/>
      <c r="K1244" s="943"/>
      <c r="L1244" s="866" t="n">
        <v>4507.7505</v>
      </c>
      <c r="M1244" s="866" t="n">
        <v>165</v>
      </c>
      <c r="N1244" s="866" t="n">
        <f aca="false">M1244/H1235</f>
        <v>11</v>
      </c>
      <c r="O1244" s="543" t="s">
        <v>1179</v>
      </c>
      <c r="P1244" s="1934"/>
      <c r="Q1244" s="1934"/>
      <c r="R1244" s="1935"/>
    </row>
    <row r="1245" customFormat="false" ht="14.25" hidden="false" customHeight="false" outlineLevel="0" collapsed="false">
      <c r="A1245" s="829"/>
      <c r="B1245" s="830"/>
      <c r="C1245" s="1965"/>
      <c r="D1245" s="860" t="s">
        <v>15</v>
      </c>
      <c r="E1245" s="1480" t="s">
        <v>1651</v>
      </c>
      <c r="F1245" s="832"/>
      <c r="G1245" s="2010"/>
      <c r="H1245" s="837"/>
      <c r="I1245" s="837"/>
      <c r="J1245" s="1932"/>
      <c r="K1245" s="943"/>
      <c r="L1245" s="866" t="n">
        <v>4097.955</v>
      </c>
      <c r="M1245" s="866" t="n">
        <v>150</v>
      </c>
      <c r="N1245" s="866" t="n">
        <f aca="false">M1245/H1235</f>
        <v>10</v>
      </c>
      <c r="O1245" s="543" t="s">
        <v>1173</v>
      </c>
      <c r="P1245" s="1934"/>
      <c r="Q1245" s="1934"/>
      <c r="R1245" s="1935"/>
    </row>
    <row r="1246" customFormat="false" ht="14.25" hidden="false" customHeight="false" outlineLevel="0" collapsed="false">
      <c r="A1246" s="829"/>
      <c r="B1246" s="830"/>
      <c r="C1246" s="1965"/>
      <c r="D1246" s="860" t="s">
        <v>15</v>
      </c>
      <c r="E1246" s="1480" t="s">
        <v>1651</v>
      </c>
      <c r="F1246" s="832"/>
      <c r="G1246" s="2010"/>
      <c r="H1246" s="837"/>
      <c r="I1246" s="837"/>
      <c r="J1246" s="1932"/>
      <c r="K1246" s="943"/>
      <c r="L1246" s="866" t="n">
        <v>13933.047</v>
      </c>
      <c r="M1246" s="866" t="n">
        <v>510</v>
      </c>
      <c r="N1246" s="866" t="n">
        <f aca="false">M1246/H1235</f>
        <v>34</v>
      </c>
      <c r="O1246" s="543" t="s">
        <v>752</v>
      </c>
      <c r="P1246" s="1934"/>
      <c r="Q1246" s="1934"/>
      <c r="R1246" s="1935"/>
    </row>
    <row r="1247" customFormat="false" ht="14.25" hidden="false" customHeight="false" outlineLevel="0" collapsed="false">
      <c r="A1247" s="829"/>
      <c r="B1247" s="830"/>
      <c r="C1247" s="1965"/>
      <c r="D1247" s="860" t="s">
        <v>15</v>
      </c>
      <c r="E1247" s="1480" t="s">
        <v>1651</v>
      </c>
      <c r="F1247" s="832"/>
      <c r="G1247" s="2010"/>
      <c r="H1247" s="837"/>
      <c r="I1247" s="837"/>
      <c r="J1247" s="1932"/>
      <c r="K1247" s="943"/>
      <c r="L1247" s="866" t="n">
        <v>1639.182</v>
      </c>
      <c r="M1247" s="866" t="n">
        <v>60</v>
      </c>
      <c r="N1247" s="866" t="n">
        <f aca="false">M1247/H1235</f>
        <v>4</v>
      </c>
      <c r="O1247" s="543" t="s">
        <v>725</v>
      </c>
      <c r="P1247" s="1934"/>
      <c r="Q1247" s="1934"/>
      <c r="R1247" s="1935"/>
    </row>
    <row r="1248" customFormat="false" ht="14.25" hidden="false" customHeight="false" outlineLevel="0" collapsed="false">
      <c r="A1248" s="829"/>
      <c r="B1248" s="830"/>
      <c r="C1248" s="1965"/>
      <c r="D1248" s="860" t="s">
        <v>15</v>
      </c>
      <c r="E1248" s="1480" t="s">
        <v>1651</v>
      </c>
      <c r="F1248" s="832"/>
      <c r="G1248" s="2010"/>
      <c r="H1248" s="837"/>
      <c r="I1248" s="837"/>
      <c r="J1248" s="1932"/>
      <c r="K1248" s="943"/>
      <c r="L1248" s="866" t="n">
        <v>2868.5685</v>
      </c>
      <c r="M1248" s="866" t="n">
        <v>105</v>
      </c>
      <c r="N1248" s="866" t="n">
        <f aca="false">M1248/H1235</f>
        <v>7</v>
      </c>
      <c r="O1248" s="543" t="s">
        <v>720</v>
      </c>
      <c r="P1248" s="1934"/>
      <c r="Q1248" s="1934"/>
      <c r="R1248" s="1935"/>
    </row>
    <row r="1249" customFormat="false" ht="14.25" hidden="false" customHeight="false" outlineLevel="0" collapsed="false">
      <c r="A1249" s="829"/>
      <c r="B1249" s="830"/>
      <c r="C1249" s="1965"/>
      <c r="D1249" s="860" t="s">
        <v>15</v>
      </c>
      <c r="E1249" s="1480" t="s">
        <v>1651</v>
      </c>
      <c r="F1249" s="832"/>
      <c r="G1249" s="2010"/>
      <c r="H1249" s="837"/>
      <c r="I1249" s="837"/>
      <c r="J1249" s="1932"/>
      <c r="K1249" s="943"/>
      <c r="L1249" s="866" t="n">
        <v>2048.9775</v>
      </c>
      <c r="M1249" s="866" t="n">
        <v>75</v>
      </c>
      <c r="N1249" s="866" t="n">
        <f aca="false">M1249/H1235</f>
        <v>5</v>
      </c>
      <c r="O1249" s="543" t="s">
        <v>715</v>
      </c>
      <c r="P1249" s="1934"/>
      <c r="Q1249" s="1934"/>
      <c r="R1249" s="1935"/>
    </row>
    <row r="1250" customFormat="false" ht="14.25" hidden="false" customHeight="false" outlineLevel="0" collapsed="false">
      <c r="A1250" s="829"/>
      <c r="B1250" s="830"/>
      <c r="C1250" s="1965"/>
      <c r="D1250" s="860" t="s">
        <v>15</v>
      </c>
      <c r="E1250" s="1480" t="s">
        <v>1651</v>
      </c>
      <c r="F1250" s="832"/>
      <c r="G1250" s="2010"/>
      <c r="H1250" s="837"/>
      <c r="I1250" s="837"/>
      <c r="J1250" s="1932"/>
      <c r="K1250" s="943"/>
      <c r="L1250" s="866" t="n">
        <v>40979.55</v>
      </c>
      <c r="M1250" s="866" t="n">
        <v>1500</v>
      </c>
      <c r="N1250" s="866" t="n">
        <f aca="false">M1250/H1235</f>
        <v>100</v>
      </c>
      <c r="O1250" s="543" t="s">
        <v>697</v>
      </c>
      <c r="P1250" s="1934"/>
      <c r="Q1250" s="1934"/>
      <c r="R1250" s="1935"/>
    </row>
    <row r="1251" customFormat="false" ht="14.25" hidden="false" customHeight="false" outlineLevel="0" collapsed="false">
      <c r="A1251" s="829"/>
      <c r="B1251" s="830"/>
      <c r="C1251" s="1965"/>
      <c r="D1251" s="843" t="s">
        <v>15</v>
      </c>
      <c r="E1251" s="1357" t="s">
        <v>1651</v>
      </c>
      <c r="F1251" s="832"/>
      <c r="G1251" s="2010"/>
      <c r="H1251" s="837"/>
      <c r="I1251" s="837"/>
      <c r="J1251" s="1932"/>
      <c r="K1251" s="943"/>
      <c r="L1251" s="846" t="n">
        <v>819.591</v>
      </c>
      <c r="M1251" s="846" t="n">
        <v>30</v>
      </c>
      <c r="N1251" s="846" t="n">
        <f aca="false">M1251/H1235</f>
        <v>2</v>
      </c>
      <c r="O1251" s="589" t="s">
        <v>692</v>
      </c>
      <c r="P1251" s="1934"/>
      <c r="Q1251" s="1934"/>
      <c r="R1251" s="1935"/>
    </row>
    <row r="1252" customFormat="false" ht="14.25" hidden="false" customHeight="false" outlineLevel="0" collapsed="false">
      <c r="A1252" s="829" t="n">
        <v>553</v>
      </c>
      <c r="B1252" s="830" t="n">
        <v>2024</v>
      </c>
      <c r="C1252" s="1965" t="n">
        <v>45962</v>
      </c>
      <c r="D1252" s="831" t="s">
        <v>15</v>
      </c>
      <c r="E1252" s="1365" t="s">
        <v>2619</v>
      </c>
      <c r="F1252" s="832" t="s">
        <v>3364</v>
      </c>
      <c r="G1252" s="2010" t="n">
        <v>113</v>
      </c>
      <c r="H1252" s="837" t="n">
        <v>30</v>
      </c>
      <c r="I1252" s="837" t="n">
        <f aca="false">G1252*H1252</f>
        <v>3390</v>
      </c>
      <c r="J1252" s="1932" t="n">
        <v>87.7581</v>
      </c>
      <c r="K1252" s="943" t="n">
        <f aca="false">I1252*J1252</f>
        <v>297499.959</v>
      </c>
      <c r="L1252" s="840" t="n">
        <v>2632.743</v>
      </c>
      <c r="M1252" s="840" t="n">
        <v>30</v>
      </c>
      <c r="N1252" s="840" t="n">
        <f aca="false">M1252/H1252</f>
        <v>1</v>
      </c>
      <c r="O1252" s="1114" t="s">
        <v>3479</v>
      </c>
      <c r="P1252" s="1948" t="n">
        <f aca="false">K1252-L1252-L1253</f>
        <v>0</v>
      </c>
      <c r="Q1252" s="1934" t="n">
        <f aca="false">I1252-M1252-M1253</f>
        <v>0</v>
      </c>
      <c r="R1252" s="1935" t="n">
        <f aca="false">G1252-N1252-N1253</f>
        <v>0</v>
      </c>
    </row>
    <row r="1253" customFormat="false" ht="14.25" hidden="false" customHeight="false" outlineLevel="0" collapsed="false">
      <c r="A1253" s="829"/>
      <c r="B1253" s="830"/>
      <c r="C1253" s="1965"/>
      <c r="D1253" s="843" t="s">
        <v>15</v>
      </c>
      <c r="E1253" s="1357" t="s">
        <v>2619</v>
      </c>
      <c r="F1253" s="832"/>
      <c r="G1253" s="2010"/>
      <c r="H1253" s="837"/>
      <c r="I1253" s="837"/>
      <c r="J1253" s="1932"/>
      <c r="K1253" s="943"/>
      <c r="L1253" s="846" t="n">
        <v>294867.216</v>
      </c>
      <c r="M1253" s="846" t="n">
        <v>3360</v>
      </c>
      <c r="N1253" s="846" t="n">
        <f aca="false">M1253/H1252</f>
        <v>112</v>
      </c>
      <c r="O1253" s="589" t="s">
        <v>3482</v>
      </c>
      <c r="P1253" s="1948"/>
      <c r="Q1253" s="1934"/>
      <c r="R1253" s="1935"/>
    </row>
    <row r="1254" customFormat="false" ht="14.25" hidden="false" customHeight="false" outlineLevel="0" collapsed="false">
      <c r="A1254" s="882" t="n">
        <v>653</v>
      </c>
      <c r="B1254" s="830" t="n">
        <v>2024</v>
      </c>
      <c r="C1254" s="1965" t="n">
        <v>45992</v>
      </c>
      <c r="D1254" s="831" t="s">
        <v>15</v>
      </c>
      <c r="E1254" s="1365" t="s">
        <v>2130</v>
      </c>
      <c r="F1254" s="832" t="s">
        <v>3364</v>
      </c>
      <c r="G1254" s="2010" t="n">
        <v>281</v>
      </c>
      <c r="H1254" s="837" t="n">
        <v>25</v>
      </c>
      <c r="I1254" s="837" t="n">
        <f aca="false">G1254*H1254</f>
        <v>7025</v>
      </c>
      <c r="J1254" s="1932" t="n">
        <v>52.3816</v>
      </c>
      <c r="K1254" s="943" t="n">
        <f aca="false">I1254*J1254</f>
        <v>367980.74</v>
      </c>
      <c r="L1254" s="840" t="n">
        <v>157144.8</v>
      </c>
      <c r="M1254" s="840" t="n">
        <v>3000</v>
      </c>
      <c r="N1254" s="886" t="n">
        <f aca="false">M1254/H1254</f>
        <v>120</v>
      </c>
      <c r="O1254" s="1114" t="s">
        <v>847</v>
      </c>
      <c r="P1254" s="1937" t="n">
        <f aca="false">K1254-L1254-L1256-L1255</f>
        <v>153216.18</v>
      </c>
      <c r="Q1254" s="1934" t="n">
        <f aca="false">I1254-M1254-M1256-M1255</f>
        <v>2925</v>
      </c>
      <c r="R1254" s="1935" t="n">
        <f aca="false">G1254-N1254-N1256-N1255</f>
        <v>117</v>
      </c>
    </row>
    <row r="1255" customFormat="false" ht="14.25" hidden="false" customHeight="false" outlineLevel="0" collapsed="false">
      <c r="A1255" s="882"/>
      <c r="B1255" s="830"/>
      <c r="C1255" s="1965"/>
      <c r="D1255" s="860" t="s">
        <v>15</v>
      </c>
      <c r="E1255" s="1480" t="s">
        <v>2130</v>
      </c>
      <c r="F1255" s="832"/>
      <c r="G1255" s="2010"/>
      <c r="H1255" s="837"/>
      <c r="I1255" s="837"/>
      <c r="J1255" s="1932"/>
      <c r="K1255" s="943"/>
      <c r="L1255" s="866" t="n">
        <v>5238.16</v>
      </c>
      <c r="M1255" s="866" t="n">
        <v>100</v>
      </c>
      <c r="N1255" s="866" t="n">
        <f aca="false">M1255/H1254</f>
        <v>4</v>
      </c>
      <c r="O1255" s="543" t="s">
        <v>1273</v>
      </c>
      <c r="P1255" s="1937"/>
      <c r="Q1255" s="1934"/>
      <c r="R1255" s="1935"/>
    </row>
    <row r="1256" customFormat="false" ht="14.25" hidden="false" customHeight="false" outlineLevel="0" collapsed="false">
      <c r="A1256" s="882"/>
      <c r="B1256" s="830"/>
      <c r="C1256" s="1965"/>
      <c r="D1256" s="887" t="s">
        <v>15</v>
      </c>
      <c r="E1256" s="1501" t="s">
        <v>2130</v>
      </c>
      <c r="F1256" s="832"/>
      <c r="G1256" s="2010"/>
      <c r="H1256" s="837"/>
      <c r="I1256" s="837"/>
      <c r="J1256" s="1932"/>
      <c r="K1256" s="943"/>
      <c r="L1256" s="890" t="n">
        <v>52381.6</v>
      </c>
      <c r="M1256" s="890" t="n">
        <v>1000</v>
      </c>
      <c r="N1256" s="890" t="n">
        <f aca="false">M1256/H1254</f>
        <v>40</v>
      </c>
      <c r="O1256" s="1067" t="s">
        <v>955</v>
      </c>
      <c r="P1256" s="1937"/>
      <c r="Q1256" s="1934"/>
      <c r="R1256" s="1935"/>
    </row>
    <row r="1257" customFormat="false" ht="14.25" hidden="false" customHeight="false" outlineLevel="0" collapsed="false">
      <c r="A1257" s="903" t="n">
        <v>654</v>
      </c>
      <c r="B1257" s="903" t="n">
        <v>2024</v>
      </c>
      <c r="C1257" s="1974" t="n">
        <v>45992</v>
      </c>
      <c r="D1257" s="904" t="s">
        <v>15</v>
      </c>
      <c r="E1257" s="1351" t="s">
        <v>2619</v>
      </c>
      <c r="F1257" s="904" t="s">
        <v>3364</v>
      </c>
      <c r="G1257" s="2012" t="n">
        <v>5</v>
      </c>
      <c r="H1257" s="942" t="n">
        <v>30</v>
      </c>
      <c r="I1257" s="1355" t="n">
        <f aca="false">G1257*H1257</f>
        <v>150</v>
      </c>
      <c r="J1257" s="1941" t="n">
        <v>88.6</v>
      </c>
      <c r="K1257" s="1942" t="n">
        <f aca="false">I1257*J1257</f>
        <v>13290</v>
      </c>
      <c r="L1257" s="891" t="n">
        <v>13290</v>
      </c>
      <c r="M1257" s="891" t="n">
        <v>150</v>
      </c>
      <c r="N1257" s="891" t="n">
        <f aca="false">M1257/H1257</f>
        <v>5</v>
      </c>
      <c r="O1257" s="942" t="s">
        <v>912</v>
      </c>
      <c r="P1257" s="1944" t="n">
        <f aca="false">K1257-L1257</f>
        <v>0</v>
      </c>
      <c r="Q1257" s="1945" t="n">
        <f aca="false">I1257-M1257</f>
        <v>0</v>
      </c>
      <c r="R1257" s="2000" t="n">
        <f aca="false">G1257-N1257</f>
        <v>0</v>
      </c>
    </row>
    <row r="1258" customFormat="false" ht="14.25" hidden="false" customHeight="false" outlineLevel="0" collapsed="false">
      <c r="A1258" s="1027" t="n">
        <v>676</v>
      </c>
      <c r="B1258" s="1546" t="n">
        <v>2024</v>
      </c>
      <c r="C1258" s="1975" t="n">
        <v>45992</v>
      </c>
      <c r="D1258" s="1328" t="s">
        <v>15</v>
      </c>
      <c r="E1258" s="1607" t="s">
        <v>1651</v>
      </c>
      <c r="F1258" s="1328" t="s">
        <v>3375</v>
      </c>
      <c r="G1258" s="2011" t="n">
        <v>320</v>
      </c>
      <c r="H1258" s="1036" t="n">
        <v>15</v>
      </c>
      <c r="I1258" s="1036" t="n">
        <f aca="false">G1258*H1258</f>
        <v>4800</v>
      </c>
      <c r="J1258" s="1999" t="n">
        <v>32.7626</v>
      </c>
      <c r="K1258" s="1547" t="n">
        <f aca="false">I1258*J1258</f>
        <v>157260.48</v>
      </c>
      <c r="L1258" s="886" t="n">
        <v>98287.8</v>
      </c>
      <c r="M1258" s="886" t="n">
        <v>3000</v>
      </c>
      <c r="N1258" s="840" t="n">
        <f aca="false">M1258/H1258</f>
        <v>200</v>
      </c>
      <c r="O1258" s="1036" t="s">
        <v>762</v>
      </c>
      <c r="P1258" s="1977" t="n">
        <f aca="false">K1258-L1258-L1259</f>
        <v>0</v>
      </c>
      <c r="Q1258" s="1978" t="n">
        <f aca="false">I1258-M1258-M1259</f>
        <v>0</v>
      </c>
      <c r="R1258" s="1979" t="n">
        <f aca="false">G1258-N1258-N1259</f>
        <v>0</v>
      </c>
    </row>
    <row r="1259" customFormat="false" ht="14.25" hidden="false" customHeight="false" outlineLevel="0" collapsed="false">
      <c r="A1259" s="1027"/>
      <c r="B1259" s="1546"/>
      <c r="C1259" s="1975"/>
      <c r="D1259" s="871" t="s">
        <v>15</v>
      </c>
      <c r="E1259" s="1478" t="s">
        <v>1651</v>
      </c>
      <c r="F1259" s="1328"/>
      <c r="G1259" s="2011"/>
      <c r="H1259" s="1036"/>
      <c r="I1259" s="1036"/>
      <c r="J1259" s="1999"/>
      <c r="K1259" s="1547"/>
      <c r="L1259" s="877" t="n">
        <v>58972.68</v>
      </c>
      <c r="M1259" s="877" t="n">
        <v>1800</v>
      </c>
      <c r="N1259" s="877" t="n">
        <f aca="false">M1259/H1258</f>
        <v>120</v>
      </c>
      <c r="O1259" s="553" t="s">
        <v>762</v>
      </c>
      <c r="P1259" s="1977"/>
      <c r="Q1259" s="1978"/>
      <c r="R1259" s="1979"/>
    </row>
    <row r="1260" customFormat="false" ht="14.25" hidden="false" customHeight="false" outlineLevel="0" collapsed="false">
      <c r="A1260" s="829" t="n">
        <v>677</v>
      </c>
      <c r="B1260" s="830" t="n">
        <v>2024</v>
      </c>
      <c r="C1260" s="1965" t="n">
        <v>45992</v>
      </c>
      <c r="D1260" s="831" t="s">
        <v>15</v>
      </c>
      <c r="E1260" s="1365" t="s">
        <v>1651</v>
      </c>
      <c r="F1260" s="832" t="s">
        <v>3367</v>
      </c>
      <c r="G1260" s="2010" t="n">
        <v>80</v>
      </c>
      <c r="H1260" s="837" t="n">
        <v>10</v>
      </c>
      <c r="I1260" s="837" t="n">
        <f aca="false">G1260*H1260</f>
        <v>800</v>
      </c>
      <c r="J1260" s="1932" t="n">
        <v>32.7626</v>
      </c>
      <c r="K1260" s="943" t="n">
        <f aca="false">I1260*J1260</f>
        <v>26210.08</v>
      </c>
      <c r="L1260" s="840" t="n">
        <v>9828.78</v>
      </c>
      <c r="M1260" s="840" t="n">
        <v>300</v>
      </c>
      <c r="N1260" s="840" t="n">
        <f aca="false">M1260/H1260</f>
        <v>30</v>
      </c>
      <c r="O1260" s="1114" t="s">
        <v>937</v>
      </c>
      <c r="P1260" s="1937" t="n">
        <f aca="false">K1260-L1261-L1260</f>
        <v>0</v>
      </c>
      <c r="Q1260" s="1934" t="n">
        <f aca="false">I1260-M1260-M1261</f>
        <v>0</v>
      </c>
      <c r="R1260" s="1935" t="n">
        <f aca="false">G1260-N1260-N1261</f>
        <v>0</v>
      </c>
    </row>
    <row r="1261" customFormat="false" ht="14.25" hidden="false" customHeight="false" outlineLevel="0" collapsed="false">
      <c r="A1261" s="829"/>
      <c r="B1261" s="830"/>
      <c r="C1261" s="1965"/>
      <c r="D1261" s="843" t="s">
        <v>15</v>
      </c>
      <c r="E1261" s="1357" t="s">
        <v>1651</v>
      </c>
      <c r="F1261" s="832"/>
      <c r="G1261" s="2010"/>
      <c r="H1261" s="837"/>
      <c r="I1261" s="837"/>
      <c r="J1261" s="1932"/>
      <c r="K1261" s="943"/>
      <c r="L1261" s="846" t="n">
        <v>16381.3</v>
      </c>
      <c r="M1261" s="846" t="n">
        <v>500</v>
      </c>
      <c r="N1261" s="846" t="n">
        <f aca="false">M1261/H1260</f>
        <v>50</v>
      </c>
      <c r="O1261" s="589" t="s">
        <v>895</v>
      </c>
      <c r="P1261" s="1937"/>
      <c r="Q1261" s="1934"/>
      <c r="R1261" s="1935"/>
    </row>
    <row r="1262" customFormat="false" ht="14.25" hidden="false" customHeight="false" outlineLevel="0" collapsed="false">
      <c r="A1262" s="1465" t="n">
        <v>678</v>
      </c>
      <c r="B1262" s="1546" t="n">
        <v>2024</v>
      </c>
      <c r="C1262" s="1975" t="n">
        <v>45992</v>
      </c>
      <c r="D1262" s="1328" t="s">
        <v>15</v>
      </c>
      <c r="E1262" s="1607" t="s">
        <v>1651</v>
      </c>
      <c r="F1262" s="1328" t="s">
        <v>3364</v>
      </c>
      <c r="G1262" s="2011" t="n">
        <v>380</v>
      </c>
      <c r="H1262" s="1036" t="n">
        <v>15</v>
      </c>
      <c r="I1262" s="1036" t="n">
        <f aca="false">G1262*H1262</f>
        <v>5700</v>
      </c>
      <c r="J1262" s="1999" t="n">
        <v>32.7626</v>
      </c>
      <c r="K1262" s="1547" t="n">
        <f aca="false">I1262*J1262</f>
        <v>186746.82</v>
      </c>
      <c r="L1262" s="886" t="n">
        <v>22114.755</v>
      </c>
      <c r="M1262" s="886" t="n">
        <v>675</v>
      </c>
      <c r="N1262" s="886" t="n">
        <f aca="false">M1262/H1262</f>
        <v>45</v>
      </c>
      <c r="O1262" s="1036" t="s">
        <v>932</v>
      </c>
      <c r="P1262" s="1977" t="n">
        <f aca="false">K1262-L1262-L1271-L1270-L1263-L1269-L1264-L1265-L1268-L1266-L1267</f>
        <v>0</v>
      </c>
      <c r="Q1262" s="1978" t="n">
        <f aca="false">I1262-M1262-M1271-M1270-M1263-M1269-M1264-M1265-M1268-M1266-M1267</f>
        <v>0</v>
      </c>
      <c r="R1262" s="1979" t="n">
        <f aca="false">G1262-N1262-N1271-N1270-N1263-N1269-N1264-N1265-N1268-N1266-N1267</f>
        <v>0</v>
      </c>
    </row>
    <row r="1263" customFormat="false" ht="14.25" hidden="false" customHeight="false" outlineLevel="0" collapsed="false">
      <c r="A1263" s="1465"/>
      <c r="B1263" s="1546"/>
      <c r="C1263" s="1975"/>
      <c r="D1263" s="860" t="s">
        <v>15</v>
      </c>
      <c r="E1263" s="1480" t="s">
        <v>1651</v>
      </c>
      <c r="F1263" s="1328"/>
      <c r="G1263" s="2011"/>
      <c r="H1263" s="1036"/>
      <c r="I1263" s="1036"/>
      <c r="J1263" s="1999"/>
      <c r="K1263" s="1547"/>
      <c r="L1263" s="866" t="n">
        <v>29486.34</v>
      </c>
      <c r="M1263" s="866" t="n">
        <v>900</v>
      </c>
      <c r="N1263" s="866" t="n">
        <f aca="false">M1263/H1262</f>
        <v>60</v>
      </c>
      <c r="O1263" s="543" t="s">
        <v>919</v>
      </c>
      <c r="P1263" s="1977"/>
      <c r="Q1263" s="1978"/>
      <c r="R1263" s="1979"/>
    </row>
    <row r="1264" customFormat="false" ht="14.25" hidden="false" customHeight="false" outlineLevel="0" collapsed="false">
      <c r="A1264" s="1465"/>
      <c r="B1264" s="1546"/>
      <c r="C1264" s="1975"/>
      <c r="D1264" s="860" t="s">
        <v>15</v>
      </c>
      <c r="E1264" s="1480" t="s">
        <v>1651</v>
      </c>
      <c r="F1264" s="1328"/>
      <c r="G1264" s="2011"/>
      <c r="H1264" s="1036"/>
      <c r="I1264" s="1036"/>
      <c r="J1264" s="1999"/>
      <c r="K1264" s="1547"/>
      <c r="L1264" s="866" t="n">
        <v>24571.95</v>
      </c>
      <c r="M1264" s="866" t="n">
        <v>750</v>
      </c>
      <c r="N1264" s="866" t="n">
        <f aca="false">M1264/H1262</f>
        <v>50</v>
      </c>
      <c r="O1264" s="543" t="s">
        <v>953</v>
      </c>
      <c r="P1264" s="1977"/>
      <c r="Q1264" s="1978"/>
      <c r="R1264" s="1979"/>
    </row>
    <row r="1265" customFormat="false" ht="14.25" hidden="false" customHeight="false" outlineLevel="0" collapsed="false">
      <c r="A1265" s="1465"/>
      <c r="B1265" s="1546"/>
      <c r="C1265" s="1975"/>
      <c r="D1265" s="860" t="s">
        <v>15</v>
      </c>
      <c r="E1265" s="1480" t="s">
        <v>1651</v>
      </c>
      <c r="F1265" s="1328"/>
      <c r="G1265" s="2011"/>
      <c r="H1265" s="1036"/>
      <c r="I1265" s="1036"/>
      <c r="J1265" s="1999"/>
      <c r="K1265" s="1547"/>
      <c r="L1265" s="866" t="n">
        <v>19657.56</v>
      </c>
      <c r="M1265" s="866" t="n">
        <v>600</v>
      </c>
      <c r="N1265" s="866" t="n">
        <f aca="false">M1265/H1262</f>
        <v>40</v>
      </c>
      <c r="O1265" s="543" t="s">
        <v>876</v>
      </c>
      <c r="P1265" s="1977"/>
      <c r="Q1265" s="1978"/>
      <c r="R1265" s="1979"/>
    </row>
    <row r="1266" customFormat="false" ht="14.25" hidden="false" customHeight="false" outlineLevel="0" collapsed="false">
      <c r="A1266" s="1465"/>
      <c r="B1266" s="1546"/>
      <c r="C1266" s="1975"/>
      <c r="D1266" s="860" t="s">
        <v>15</v>
      </c>
      <c r="E1266" s="1480" t="s">
        <v>1651</v>
      </c>
      <c r="F1266" s="1328"/>
      <c r="G1266" s="2011"/>
      <c r="H1266" s="1036"/>
      <c r="I1266" s="1036"/>
      <c r="J1266" s="1999"/>
      <c r="K1266" s="1547"/>
      <c r="L1266" s="866" t="n">
        <v>491.439</v>
      </c>
      <c r="M1266" s="866" t="n">
        <v>15</v>
      </c>
      <c r="N1266" s="866" t="n">
        <f aca="false">M1266/H1262</f>
        <v>1</v>
      </c>
      <c r="O1266" s="543" t="s">
        <v>971</v>
      </c>
      <c r="P1266" s="1977"/>
      <c r="Q1266" s="1978"/>
      <c r="R1266" s="1979"/>
    </row>
    <row r="1267" customFormat="false" ht="14.25" hidden="false" customHeight="false" outlineLevel="0" collapsed="false">
      <c r="A1267" s="1465"/>
      <c r="B1267" s="1546"/>
      <c r="C1267" s="1975"/>
      <c r="D1267" s="860" t="s">
        <v>15</v>
      </c>
      <c r="E1267" s="1480" t="s">
        <v>1651</v>
      </c>
      <c r="F1267" s="1328"/>
      <c r="G1267" s="2011"/>
      <c r="H1267" s="1036"/>
      <c r="I1267" s="1036"/>
      <c r="J1267" s="1999"/>
      <c r="K1267" s="1547"/>
      <c r="L1267" s="866" t="n">
        <v>27029.145</v>
      </c>
      <c r="M1267" s="866" t="n">
        <v>825</v>
      </c>
      <c r="N1267" s="866" t="n">
        <f aca="false">M1267/H1262</f>
        <v>55</v>
      </c>
      <c r="O1267" s="543" t="s">
        <v>1634</v>
      </c>
      <c r="P1267" s="1977"/>
      <c r="Q1267" s="1978"/>
      <c r="R1267" s="1979"/>
    </row>
    <row r="1268" customFormat="false" ht="14.25" hidden="false" customHeight="false" outlineLevel="0" collapsed="false">
      <c r="A1268" s="1465"/>
      <c r="B1268" s="1546"/>
      <c r="C1268" s="1975"/>
      <c r="D1268" s="860" t="s">
        <v>15</v>
      </c>
      <c r="E1268" s="1480" t="s">
        <v>1651</v>
      </c>
      <c r="F1268" s="1328"/>
      <c r="G1268" s="2011"/>
      <c r="H1268" s="1036"/>
      <c r="I1268" s="1036"/>
      <c r="J1268" s="1999"/>
      <c r="K1268" s="1547"/>
      <c r="L1268" s="866" t="n">
        <v>2948.634</v>
      </c>
      <c r="M1268" s="866" t="n">
        <v>90</v>
      </c>
      <c r="N1268" s="866" t="n">
        <f aca="false">M1268/H1262</f>
        <v>6</v>
      </c>
      <c r="O1268" s="543" t="s">
        <v>3462</v>
      </c>
      <c r="P1268" s="1977"/>
      <c r="Q1268" s="1978"/>
      <c r="R1268" s="1979"/>
    </row>
    <row r="1269" customFormat="false" ht="14.25" hidden="false" customHeight="false" outlineLevel="0" collapsed="false">
      <c r="A1269" s="1465"/>
      <c r="B1269" s="1546"/>
      <c r="C1269" s="1975"/>
      <c r="D1269" s="860" t="s">
        <v>15</v>
      </c>
      <c r="E1269" s="1480" t="s">
        <v>1651</v>
      </c>
      <c r="F1269" s="1328"/>
      <c r="G1269" s="2011"/>
      <c r="H1269" s="1036"/>
      <c r="I1269" s="1036"/>
      <c r="J1269" s="1999"/>
      <c r="K1269" s="1547"/>
      <c r="L1269" s="866" t="n">
        <v>32926.413</v>
      </c>
      <c r="M1269" s="866" t="n">
        <v>1005</v>
      </c>
      <c r="N1269" s="866" t="n">
        <f aca="false">M1269/H1262</f>
        <v>67</v>
      </c>
      <c r="O1269" s="543" t="s">
        <v>847</v>
      </c>
      <c r="P1269" s="1977"/>
      <c r="Q1269" s="1978"/>
      <c r="R1269" s="1979"/>
    </row>
    <row r="1270" customFormat="false" ht="14.25" hidden="false" customHeight="false" outlineLevel="0" collapsed="false">
      <c r="A1270" s="1465"/>
      <c r="B1270" s="1546"/>
      <c r="C1270" s="1975"/>
      <c r="D1270" s="860" t="s">
        <v>15</v>
      </c>
      <c r="E1270" s="1480" t="s">
        <v>1651</v>
      </c>
      <c r="F1270" s="1328"/>
      <c r="G1270" s="2011"/>
      <c r="H1270" s="1036"/>
      <c r="I1270" s="1036"/>
      <c r="J1270" s="1999"/>
      <c r="K1270" s="1547"/>
      <c r="L1270" s="866" t="n">
        <v>24571.95</v>
      </c>
      <c r="M1270" s="866" t="n">
        <v>750</v>
      </c>
      <c r="N1270" s="866" t="n">
        <f aca="false">M1270/H1262</f>
        <v>50</v>
      </c>
      <c r="O1270" s="543" t="s">
        <v>946</v>
      </c>
      <c r="P1270" s="1977"/>
      <c r="Q1270" s="1978"/>
      <c r="R1270" s="1979"/>
    </row>
    <row r="1271" customFormat="false" ht="14.25" hidden="false" customHeight="false" outlineLevel="0" collapsed="false">
      <c r="A1271" s="1465"/>
      <c r="B1271" s="1546"/>
      <c r="C1271" s="1975"/>
      <c r="D1271" s="871" t="s">
        <v>15</v>
      </c>
      <c r="E1271" s="1478" t="s">
        <v>1651</v>
      </c>
      <c r="F1271" s="1328"/>
      <c r="G1271" s="2011"/>
      <c r="H1271" s="1036"/>
      <c r="I1271" s="1036"/>
      <c r="J1271" s="1999"/>
      <c r="K1271" s="1547"/>
      <c r="L1271" s="877" t="n">
        <v>2948.634</v>
      </c>
      <c r="M1271" s="877" t="n">
        <v>90</v>
      </c>
      <c r="N1271" s="877" t="n">
        <f aca="false">M1271/H1262</f>
        <v>6</v>
      </c>
      <c r="O1271" s="553" t="s">
        <v>938</v>
      </c>
      <c r="P1271" s="1977"/>
      <c r="Q1271" s="1978"/>
      <c r="R1271" s="1979"/>
    </row>
    <row r="1272" customFormat="false" ht="14.25" hidden="false" customHeight="false" outlineLevel="0" collapsed="false">
      <c r="A1272" s="829" t="n">
        <v>705</v>
      </c>
      <c r="B1272" s="830" t="n">
        <v>2024</v>
      </c>
      <c r="C1272" s="1965" t="n">
        <v>45992</v>
      </c>
      <c r="D1272" s="831" t="s">
        <v>15</v>
      </c>
      <c r="E1272" s="1365" t="s">
        <v>1651</v>
      </c>
      <c r="F1272" s="832" t="s">
        <v>3364</v>
      </c>
      <c r="G1272" s="2010" t="n">
        <v>425</v>
      </c>
      <c r="H1272" s="837" t="n">
        <v>15</v>
      </c>
      <c r="I1272" s="837" t="n">
        <f aca="false">G1272*H1272</f>
        <v>6375</v>
      </c>
      <c r="J1272" s="1932" t="n">
        <v>35.5994</v>
      </c>
      <c r="K1272" s="943" t="n">
        <f aca="false">I1272*J1272</f>
        <v>226946.175</v>
      </c>
      <c r="L1272" s="840" t="n">
        <v>26699.55</v>
      </c>
      <c r="M1272" s="840" t="n">
        <v>750</v>
      </c>
      <c r="N1272" s="840" t="n">
        <f aca="false">M1272/H1272</f>
        <v>50</v>
      </c>
      <c r="O1272" s="1114" t="s">
        <v>3483</v>
      </c>
      <c r="P1272" s="1937" t="n">
        <f aca="false">K1272-L1272-L1276-L1273-L1275-L1274</f>
        <v>0</v>
      </c>
      <c r="Q1272" s="1934" t="n">
        <f aca="false">I1272-M1272-M1276-M1273-M1275-M1274</f>
        <v>0</v>
      </c>
      <c r="R1272" s="1935" t="n">
        <f aca="false">G1272-N1272-N1276-N1273-N1275-N1274</f>
        <v>0</v>
      </c>
    </row>
    <row r="1273" customFormat="false" ht="14.25" hidden="false" customHeight="false" outlineLevel="0" collapsed="false">
      <c r="A1273" s="829"/>
      <c r="B1273" s="830"/>
      <c r="C1273" s="1965"/>
      <c r="D1273" s="860" t="s">
        <v>15</v>
      </c>
      <c r="E1273" s="1480" t="s">
        <v>1651</v>
      </c>
      <c r="F1273" s="832"/>
      <c r="G1273" s="2010"/>
      <c r="H1273" s="837"/>
      <c r="I1273" s="837"/>
      <c r="J1273" s="1932"/>
      <c r="K1273" s="943"/>
      <c r="L1273" s="866" t="n">
        <v>189032.814</v>
      </c>
      <c r="M1273" s="866" t="n">
        <v>5310</v>
      </c>
      <c r="N1273" s="866" t="n">
        <f aca="false">M1273/H1272</f>
        <v>354</v>
      </c>
      <c r="O1273" s="543" t="s">
        <v>3484</v>
      </c>
      <c r="P1273" s="1937"/>
      <c r="Q1273" s="1934"/>
      <c r="R1273" s="1935"/>
    </row>
    <row r="1274" customFormat="false" ht="14.25" hidden="false" customHeight="false" outlineLevel="0" collapsed="false">
      <c r="A1274" s="829"/>
      <c r="B1274" s="830"/>
      <c r="C1274" s="1965"/>
      <c r="D1274" s="871" t="s">
        <v>15</v>
      </c>
      <c r="E1274" s="1478" t="s">
        <v>1651</v>
      </c>
      <c r="F1274" s="832"/>
      <c r="G1274" s="2010"/>
      <c r="H1274" s="837"/>
      <c r="I1274" s="837"/>
      <c r="J1274" s="1932"/>
      <c r="K1274" s="943"/>
      <c r="L1274" s="877" t="n">
        <v>-26699.55</v>
      </c>
      <c r="M1274" s="877" t="n">
        <v>-750</v>
      </c>
      <c r="N1274" s="866" t="n">
        <f aca="false">M1274/H1272</f>
        <v>-50</v>
      </c>
      <c r="O1274" s="553" t="s">
        <v>1634</v>
      </c>
      <c r="P1274" s="1937"/>
      <c r="Q1274" s="1934"/>
      <c r="R1274" s="1935"/>
    </row>
    <row r="1275" customFormat="false" ht="14.25" hidden="false" customHeight="false" outlineLevel="0" collapsed="false">
      <c r="A1275" s="829"/>
      <c r="B1275" s="830"/>
      <c r="C1275" s="1965"/>
      <c r="D1275" s="871" t="s">
        <v>15</v>
      </c>
      <c r="E1275" s="1478" t="s">
        <v>1651</v>
      </c>
      <c r="F1275" s="832"/>
      <c r="G1275" s="2010"/>
      <c r="H1275" s="837"/>
      <c r="I1275" s="837"/>
      <c r="J1275" s="1932"/>
      <c r="K1275" s="943"/>
      <c r="L1275" s="877" t="n">
        <v>2669.955</v>
      </c>
      <c r="M1275" s="877" t="n">
        <v>75</v>
      </c>
      <c r="N1275" s="866" t="n">
        <f aca="false">M1275/H1272</f>
        <v>5</v>
      </c>
      <c r="O1275" s="553" t="s">
        <v>983</v>
      </c>
      <c r="P1275" s="1937"/>
      <c r="Q1275" s="1934"/>
      <c r="R1275" s="1935"/>
    </row>
    <row r="1276" customFormat="false" ht="14.25" hidden="false" customHeight="false" outlineLevel="0" collapsed="false">
      <c r="A1276" s="829"/>
      <c r="B1276" s="830"/>
      <c r="C1276" s="1965"/>
      <c r="D1276" s="843" t="s">
        <v>15</v>
      </c>
      <c r="E1276" s="1357" t="s">
        <v>1651</v>
      </c>
      <c r="F1276" s="832"/>
      <c r="G1276" s="2010"/>
      <c r="H1276" s="837"/>
      <c r="I1276" s="837"/>
      <c r="J1276" s="1932"/>
      <c r="K1276" s="943"/>
      <c r="L1276" s="846" t="n">
        <v>35243.406</v>
      </c>
      <c r="M1276" s="846" t="n">
        <v>990</v>
      </c>
      <c r="N1276" s="846" t="n">
        <f aca="false">M1276/H1272</f>
        <v>66</v>
      </c>
      <c r="O1276" s="589" t="s">
        <v>3485</v>
      </c>
      <c r="P1276" s="1937"/>
      <c r="Q1276" s="1934"/>
      <c r="R1276" s="1935"/>
    </row>
    <row r="1277" customFormat="false" ht="14.25" hidden="false" customHeight="false" outlineLevel="0" collapsed="false">
      <c r="A1277" s="1465" t="n">
        <v>24</v>
      </c>
      <c r="B1277" s="1546" t="n">
        <v>2025</v>
      </c>
      <c r="C1277" s="1975" t="n">
        <v>46023</v>
      </c>
      <c r="D1277" s="831" t="s">
        <v>15</v>
      </c>
      <c r="E1277" s="1365" t="s">
        <v>1651</v>
      </c>
      <c r="F1277" s="1328" t="s">
        <v>3375</v>
      </c>
      <c r="G1277" s="2011" t="n">
        <v>506</v>
      </c>
      <c r="H1277" s="1036" t="n">
        <v>15</v>
      </c>
      <c r="I1277" s="1036" t="n">
        <f aca="false">G1277*H1277</f>
        <v>7590</v>
      </c>
      <c r="J1277" s="1999" t="n">
        <v>21.527</v>
      </c>
      <c r="K1277" s="1547" t="n">
        <f aca="false">I1277*J1277</f>
        <v>163389.93</v>
      </c>
      <c r="L1277" s="886" t="n">
        <v>21634.635</v>
      </c>
      <c r="M1277" s="886" t="n">
        <v>1005</v>
      </c>
      <c r="N1277" s="886" t="n">
        <f aca="false">M1277/H1277</f>
        <v>67</v>
      </c>
      <c r="O1277" s="1036" t="s">
        <v>762</v>
      </c>
      <c r="P1277" s="1977" t="n">
        <f aca="false">K1277-L1277-L1284-L1283-L1278-L1279-L1282-L1280-L1281</f>
        <v>0</v>
      </c>
      <c r="Q1277" s="1978" t="n">
        <f aca="false">I1277-M1277-M1284-M1283-M1278-M1279-M1282-M1280-M1281</f>
        <v>0</v>
      </c>
      <c r="R1277" s="1979" t="n">
        <f aca="false">G1277-N1277-N1284-N1283-N1278-N1279-N1282-N1280-N1281</f>
        <v>0</v>
      </c>
    </row>
    <row r="1278" customFormat="false" ht="14.25" hidden="false" customHeight="false" outlineLevel="0" collapsed="false">
      <c r="A1278" s="1465"/>
      <c r="B1278" s="1546"/>
      <c r="C1278" s="1975"/>
      <c r="D1278" s="848" t="s">
        <v>15</v>
      </c>
      <c r="E1278" s="1479" t="s">
        <v>1651</v>
      </c>
      <c r="F1278" s="1328"/>
      <c r="G1278" s="2011"/>
      <c r="H1278" s="1036"/>
      <c r="I1278" s="1036"/>
      <c r="J1278" s="1999"/>
      <c r="K1278" s="1547"/>
      <c r="L1278" s="866" t="n">
        <v>25832.4</v>
      </c>
      <c r="M1278" s="866" t="n">
        <v>1200</v>
      </c>
      <c r="N1278" s="866" t="n">
        <f aca="false">M1278/H1277</f>
        <v>80</v>
      </c>
      <c r="O1278" s="543" t="s">
        <v>762</v>
      </c>
      <c r="P1278" s="1977"/>
      <c r="Q1278" s="1978"/>
      <c r="R1278" s="1979"/>
    </row>
    <row r="1279" customFormat="false" ht="14.25" hidden="false" customHeight="false" outlineLevel="0" collapsed="false">
      <c r="A1279" s="1465"/>
      <c r="B1279" s="1546"/>
      <c r="C1279" s="1975"/>
      <c r="D1279" s="848" t="s">
        <v>15</v>
      </c>
      <c r="E1279" s="1479" t="s">
        <v>1651</v>
      </c>
      <c r="F1279" s="1328"/>
      <c r="G1279" s="2011"/>
      <c r="H1279" s="1036"/>
      <c r="I1279" s="1036"/>
      <c r="J1279" s="1999"/>
      <c r="K1279" s="1547"/>
      <c r="L1279" s="866" t="n">
        <v>25832.4</v>
      </c>
      <c r="M1279" s="866" t="n">
        <v>1200</v>
      </c>
      <c r="N1279" s="866" t="n">
        <f aca="false">M1279/H1277</f>
        <v>80</v>
      </c>
      <c r="O1279" s="543" t="s">
        <v>762</v>
      </c>
      <c r="P1279" s="1977"/>
      <c r="Q1279" s="1978"/>
      <c r="R1279" s="1979"/>
    </row>
    <row r="1280" customFormat="false" ht="14.25" hidden="false" customHeight="false" outlineLevel="0" collapsed="false">
      <c r="A1280" s="1465"/>
      <c r="B1280" s="1546"/>
      <c r="C1280" s="1975"/>
      <c r="D1280" s="848" t="s">
        <v>15</v>
      </c>
      <c r="E1280" s="1479" t="s">
        <v>1651</v>
      </c>
      <c r="F1280" s="1328"/>
      <c r="G1280" s="2011"/>
      <c r="H1280" s="1036"/>
      <c r="I1280" s="1036"/>
      <c r="J1280" s="1999"/>
      <c r="K1280" s="1547"/>
      <c r="L1280" s="866" t="n">
        <v>2906.145</v>
      </c>
      <c r="M1280" s="866" t="n">
        <v>135</v>
      </c>
      <c r="N1280" s="866" t="n">
        <f aca="false">M1280/H1277</f>
        <v>9</v>
      </c>
      <c r="O1280" s="543" t="s">
        <v>762</v>
      </c>
      <c r="P1280" s="1977"/>
      <c r="Q1280" s="1978"/>
      <c r="R1280" s="1979"/>
    </row>
    <row r="1281" customFormat="false" ht="14.25" hidden="false" customHeight="false" outlineLevel="0" collapsed="false">
      <c r="A1281" s="1465"/>
      <c r="B1281" s="1546"/>
      <c r="C1281" s="1975"/>
      <c r="D1281" s="848" t="s">
        <v>15</v>
      </c>
      <c r="E1281" s="1479" t="s">
        <v>1651</v>
      </c>
      <c r="F1281" s="1328"/>
      <c r="G1281" s="2011"/>
      <c r="H1281" s="1036"/>
      <c r="I1281" s="1036"/>
      <c r="J1281" s="1999"/>
      <c r="K1281" s="1547"/>
      <c r="L1281" s="866" t="n">
        <v>37456.98</v>
      </c>
      <c r="M1281" s="866" t="n">
        <v>1740</v>
      </c>
      <c r="N1281" s="866" t="n">
        <f aca="false">M1281/H1277</f>
        <v>116</v>
      </c>
      <c r="O1281" s="543" t="s">
        <v>1196</v>
      </c>
      <c r="P1281" s="1977"/>
      <c r="Q1281" s="1978"/>
      <c r="R1281" s="1979"/>
    </row>
    <row r="1282" customFormat="false" ht="14.25" hidden="false" customHeight="false" outlineLevel="0" collapsed="false">
      <c r="A1282" s="1465"/>
      <c r="B1282" s="1546"/>
      <c r="C1282" s="1975"/>
      <c r="D1282" s="848" t="s">
        <v>15</v>
      </c>
      <c r="E1282" s="1479" t="s">
        <v>1651</v>
      </c>
      <c r="F1282" s="1328"/>
      <c r="G1282" s="2011"/>
      <c r="H1282" s="1036"/>
      <c r="I1282" s="1036"/>
      <c r="J1282" s="1999"/>
      <c r="K1282" s="1547"/>
      <c r="L1282" s="866" t="n">
        <v>32290.5</v>
      </c>
      <c r="M1282" s="866" t="n">
        <v>1500</v>
      </c>
      <c r="N1282" s="866" t="n">
        <f aca="false">M1282/H1277</f>
        <v>100</v>
      </c>
      <c r="O1282" s="543" t="s">
        <v>762</v>
      </c>
      <c r="P1282" s="1977"/>
      <c r="Q1282" s="1978"/>
      <c r="R1282" s="1979"/>
    </row>
    <row r="1283" customFormat="false" ht="14.25" hidden="false" customHeight="false" outlineLevel="0" collapsed="false">
      <c r="A1283" s="1465"/>
      <c r="B1283" s="1546"/>
      <c r="C1283" s="1975"/>
      <c r="D1283" s="860" t="s">
        <v>15</v>
      </c>
      <c r="E1283" s="1480" t="s">
        <v>1651</v>
      </c>
      <c r="F1283" s="1328"/>
      <c r="G1283" s="2011"/>
      <c r="H1283" s="1036"/>
      <c r="I1283" s="1036"/>
      <c r="J1283" s="1999"/>
      <c r="K1283" s="1547"/>
      <c r="L1283" s="866" t="n">
        <v>10978.77</v>
      </c>
      <c r="M1283" s="866" t="n">
        <v>510</v>
      </c>
      <c r="N1283" s="866" t="n">
        <f aca="false">M1283/H1277</f>
        <v>34</v>
      </c>
      <c r="O1283" s="543" t="s">
        <v>762</v>
      </c>
      <c r="P1283" s="1977"/>
      <c r="Q1283" s="1978"/>
      <c r="R1283" s="1979"/>
    </row>
    <row r="1284" customFormat="false" ht="14.25" hidden="false" customHeight="false" outlineLevel="0" collapsed="false">
      <c r="A1284" s="1465"/>
      <c r="B1284" s="1546"/>
      <c r="C1284" s="1975"/>
      <c r="D1284" s="904" t="s">
        <v>15</v>
      </c>
      <c r="E1284" s="1351" t="s">
        <v>1651</v>
      </c>
      <c r="F1284" s="1328"/>
      <c r="G1284" s="2011"/>
      <c r="H1284" s="1036"/>
      <c r="I1284" s="1036"/>
      <c r="J1284" s="1999"/>
      <c r="K1284" s="1547"/>
      <c r="L1284" s="891" t="n">
        <v>6458.1</v>
      </c>
      <c r="M1284" s="891" t="n">
        <v>300</v>
      </c>
      <c r="N1284" s="891" t="n">
        <f aca="false">M1284/H1277</f>
        <v>20</v>
      </c>
      <c r="O1284" s="942" t="s">
        <v>762</v>
      </c>
      <c r="P1284" s="1977"/>
      <c r="Q1284" s="1978"/>
      <c r="R1284" s="1979"/>
    </row>
    <row r="1285" customFormat="false" ht="14.25" hidden="false" customHeight="false" outlineLevel="0" collapsed="false">
      <c r="A1285" s="882" t="n">
        <v>25</v>
      </c>
      <c r="B1285" s="830" t="n">
        <v>2025</v>
      </c>
      <c r="C1285" s="1965" t="n">
        <v>46023</v>
      </c>
      <c r="D1285" s="831" t="s">
        <v>15</v>
      </c>
      <c r="E1285" s="1365" t="s">
        <v>1651</v>
      </c>
      <c r="F1285" s="832" t="s">
        <v>3364</v>
      </c>
      <c r="G1285" s="2010" t="n">
        <v>315</v>
      </c>
      <c r="H1285" s="837" t="n">
        <v>15</v>
      </c>
      <c r="I1285" s="837" t="n">
        <f aca="false">G1285*H1285</f>
        <v>4725</v>
      </c>
      <c r="J1285" s="1932" t="n">
        <v>24.5047</v>
      </c>
      <c r="K1285" s="943" t="n">
        <f aca="false">I1285*J1285</f>
        <v>115784.7075</v>
      </c>
      <c r="L1285" s="886" t="n">
        <v>29773.2105</v>
      </c>
      <c r="M1285" s="886" t="n">
        <v>1215</v>
      </c>
      <c r="N1285" s="886" t="n">
        <f aca="false">M1285/H1285</f>
        <v>81</v>
      </c>
      <c r="O1285" s="1036" t="s">
        <v>955</v>
      </c>
      <c r="P1285" s="1934" t="n">
        <f aca="false">K1285-L1285-L1290-L1289-L1286-L1287-L1288</f>
        <v>-0.000500000002830348</v>
      </c>
      <c r="Q1285" s="1934" t="n">
        <f aca="false">I1285-M1285-M1290-M1289-M1286-M1287-M1288</f>
        <v>0</v>
      </c>
      <c r="R1285" s="1935" t="n">
        <f aca="false">G1285-N1285-N1290-N1289-N1286-N1287-N1288</f>
        <v>0</v>
      </c>
    </row>
    <row r="1286" customFormat="false" ht="14.25" hidden="false" customHeight="false" outlineLevel="0" collapsed="false">
      <c r="A1286" s="882"/>
      <c r="B1286" s="830"/>
      <c r="C1286" s="1965"/>
      <c r="D1286" s="860" t="s">
        <v>15</v>
      </c>
      <c r="E1286" s="1480" t="s">
        <v>1651</v>
      </c>
      <c r="F1286" s="832"/>
      <c r="G1286" s="2010"/>
      <c r="H1286" s="837"/>
      <c r="I1286" s="837"/>
      <c r="J1286" s="1932"/>
      <c r="K1286" s="943"/>
      <c r="L1286" s="866" t="n">
        <v>1837.8525</v>
      </c>
      <c r="M1286" s="866" t="n">
        <v>75</v>
      </c>
      <c r="N1286" s="866" t="n">
        <f aca="false">M1286/H1285</f>
        <v>5</v>
      </c>
      <c r="O1286" s="543" t="s">
        <v>983</v>
      </c>
      <c r="P1286" s="1934"/>
      <c r="Q1286" s="1934"/>
      <c r="R1286" s="1935"/>
    </row>
    <row r="1287" customFormat="false" ht="14.25" hidden="false" customHeight="false" outlineLevel="0" collapsed="false">
      <c r="A1287" s="882"/>
      <c r="B1287" s="830"/>
      <c r="C1287" s="1965"/>
      <c r="D1287" s="860" t="s">
        <v>15</v>
      </c>
      <c r="E1287" s="1480" t="s">
        <v>1651</v>
      </c>
      <c r="F1287" s="832"/>
      <c r="G1287" s="2010"/>
      <c r="H1287" s="837"/>
      <c r="I1287" s="837"/>
      <c r="J1287" s="1932"/>
      <c r="K1287" s="943"/>
      <c r="L1287" s="866" t="n">
        <v>7351.41</v>
      </c>
      <c r="M1287" s="866" t="n">
        <v>300</v>
      </c>
      <c r="N1287" s="866" t="n">
        <f aca="false">M1287/H1285</f>
        <v>20</v>
      </c>
      <c r="O1287" s="543" t="s">
        <v>982</v>
      </c>
      <c r="P1287" s="1934"/>
      <c r="Q1287" s="1934"/>
      <c r="R1287" s="1935"/>
    </row>
    <row r="1288" customFormat="false" ht="14.25" hidden="false" customHeight="false" outlineLevel="0" collapsed="false">
      <c r="A1288" s="882"/>
      <c r="B1288" s="830"/>
      <c r="C1288" s="1965"/>
      <c r="D1288" s="860" t="s">
        <v>15</v>
      </c>
      <c r="E1288" s="1480" t="s">
        <v>1651</v>
      </c>
      <c r="F1288" s="832"/>
      <c r="G1288" s="2010"/>
      <c r="H1288" s="837"/>
      <c r="I1288" s="837"/>
      <c r="J1288" s="1932"/>
      <c r="K1288" s="943"/>
      <c r="L1288" s="866" t="n">
        <v>1837.853</v>
      </c>
      <c r="M1288" s="866" t="n">
        <v>75</v>
      </c>
      <c r="N1288" s="866" t="n">
        <f aca="false">M1288/H1285</f>
        <v>5</v>
      </c>
      <c r="O1288" s="543" t="s">
        <v>1034</v>
      </c>
      <c r="P1288" s="1934"/>
      <c r="Q1288" s="1934"/>
      <c r="R1288" s="1935"/>
    </row>
    <row r="1289" customFormat="false" ht="14.25" hidden="false" customHeight="false" outlineLevel="0" collapsed="false">
      <c r="A1289" s="882"/>
      <c r="B1289" s="830"/>
      <c r="C1289" s="1965"/>
      <c r="D1289" s="860" t="s">
        <v>15</v>
      </c>
      <c r="E1289" s="1480" t="s">
        <v>1651</v>
      </c>
      <c r="F1289" s="832"/>
      <c r="G1289" s="2010"/>
      <c r="H1289" s="837"/>
      <c r="I1289" s="837"/>
      <c r="J1289" s="1932"/>
      <c r="K1289" s="943"/>
      <c r="L1289" s="866" t="n">
        <v>1837.8525</v>
      </c>
      <c r="M1289" s="866" t="n">
        <v>75</v>
      </c>
      <c r="N1289" s="866" t="n">
        <f aca="false">M1289/H1285</f>
        <v>5</v>
      </c>
      <c r="O1289" s="543" t="s">
        <v>1026</v>
      </c>
      <c r="P1289" s="1934"/>
      <c r="Q1289" s="1934"/>
      <c r="R1289" s="1935"/>
    </row>
    <row r="1290" customFormat="false" ht="14.25" hidden="false" customHeight="false" outlineLevel="0" collapsed="false">
      <c r="A1290" s="882"/>
      <c r="B1290" s="830"/>
      <c r="C1290" s="1965"/>
      <c r="D1290" s="843" t="s">
        <v>15</v>
      </c>
      <c r="E1290" s="1357" t="s">
        <v>1651</v>
      </c>
      <c r="F1290" s="832"/>
      <c r="G1290" s="2010"/>
      <c r="H1290" s="837"/>
      <c r="I1290" s="837"/>
      <c r="J1290" s="1932"/>
      <c r="K1290" s="943"/>
      <c r="L1290" s="846" t="n">
        <v>73146.5295</v>
      </c>
      <c r="M1290" s="846" t="n">
        <v>2985</v>
      </c>
      <c r="N1290" s="846" t="n">
        <f aca="false">M1290/H1285</f>
        <v>199</v>
      </c>
      <c r="O1290" s="589" t="s">
        <v>1021</v>
      </c>
      <c r="P1290" s="1934"/>
      <c r="Q1290" s="1934"/>
      <c r="R1290" s="1935"/>
    </row>
    <row r="1291" customFormat="false" ht="14.25" hidden="false" customHeight="false" outlineLevel="0" collapsed="false">
      <c r="A1291" s="1344" t="n">
        <v>26</v>
      </c>
      <c r="B1291" s="903" t="n">
        <v>2025</v>
      </c>
      <c r="C1291" s="1974" t="n">
        <v>46023</v>
      </c>
      <c r="D1291" s="848" t="s">
        <v>15</v>
      </c>
      <c r="E1291" s="1479" t="s">
        <v>1651</v>
      </c>
      <c r="F1291" s="904" t="s">
        <v>3364</v>
      </c>
      <c r="G1291" s="2012" t="n">
        <v>428</v>
      </c>
      <c r="H1291" s="942" t="n">
        <v>15</v>
      </c>
      <c r="I1291" s="942" t="n">
        <f aca="false">G1291*H1291</f>
        <v>6420</v>
      </c>
      <c r="J1291" s="1941" t="n">
        <v>32.8231</v>
      </c>
      <c r="K1291" s="948" t="n">
        <f aca="false">I1291*J1291</f>
        <v>210724.302</v>
      </c>
      <c r="L1291" s="854" t="n">
        <v>9846.93</v>
      </c>
      <c r="M1291" s="854" t="n">
        <v>300</v>
      </c>
      <c r="N1291" s="854" t="n">
        <f aca="false">M1291/H1291</f>
        <v>20</v>
      </c>
      <c r="O1291" s="537" t="s">
        <v>1020</v>
      </c>
      <c r="P1291" s="2004" t="n">
        <f aca="false">K1291-L1291-L1297-L1296-L1292-L1295-L1293-L1294</f>
        <v>0</v>
      </c>
      <c r="Q1291" s="2000" t="n">
        <f aca="false">I1291-M1291-M1297-M1296-M1292-M1295-M1293-M1294</f>
        <v>0</v>
      </c>
      <c r="R1291" s="2005" t="n">
        <f aca="false">G1291-N1291-N1297-N1296-N1292-N1295-N1293-N1294</f>
        <v>0</v>
      </c>
    </row>
    <row r="1292" customFormat="false" ht="14.25" hidden="false" customHeight="false" outlineLevel="0" collapsed="false">
      <c r="A1292" s="1344"/>
      <c r="B1292" s="903"/>
      <c r="C1292" s="1974"/>
      <c r="D1292" s="860" t="s">
        <v>15</v>
      </c>
      <c r="E1292" s="1480" t="s">
        <v>1651</v>
      </c>
      <c r="F1292" s="904"/>
      <c r="G1292" s="2012"/>
      <c r="H1292" s="942"/>
      <c r="I1292" s="942"/>
      <c r="J1292" s="1941"/>
      <c r="K1292" s="948"/>
      <c r="L1292" s="866" t="n">
        <v>7385.1975</v>
      </c>
      <c r="M1292" s="866" t="n">
        <v>225</v>
      </c>
      <c r="N1292" s="854" t="n">
        <f aca="false">M1292/H1291</f>
        <v>15</v>
      </c>
      <c r="O1292" s="543" t="s">
        <v>1026</v>
      </c>
      <c r="P1292" s="2004"/>
      <c r="Q1292" s="2000"/>
      <c r="R1292" s="2005"/>
    </row>
    <row r="1293" customFormat="false" ht="14.25" hidden="false" customHeight="false" outlineLevel="0" collapsed="false">
      <c r="A1293" s="1344"/>
      <c r="B1293" s="903"/>
      <c r="C1293" s="1974"/>
      <c r="D1293" s="860" t="s">
        <v>15</v>
      </c>
      <c r="E1293" s="1480" t="s">
        <v>1651</v>
      </c>
      <c r="F1293" s="904"/>
      <c r="G1293" s="2012"/>
      <c r="H1293" s="942"/>
      <c r="I1293" s="942"/>
      <c r="J1293" s="1941"/>
      <c r="K1293" s="948"/>
      <c r="L1293" s="866" t="n">
        <v>12801.009</v>
      </c>
      <c r="M1293" s="866" t="n">
        <v>390</v>
      </c>
      <c r="N1293" s="854" t="n">
        <f aca="false">M1293/H1291</f>
        <v>26</v>
      </c>
      <c r="O1293" s="543" t="s">
        <v>1034</v>
      </c>
      <c r="P1293" s="2004"/>
      <c r="Q1293" s="2000"/>
      <c r="R1293" s="2005"/>
    </row>
    <row r="1294" customFormat="false" ht="14.25" hidden="false" customHeight="false" outlineLevel="0" collapsed="false">
      <c r="A1294" s="1344"/>
      <c r="B1294" s="903"/>
      <c r="C1294" s="1974"/>
      <c r="D1294" s="860" t="s">
        <v>15</v>
      </c>
      <c r="E1294" s="1480" t="s">
        <v>1651</v>
      </c>
      <c r="F1294" s="904"/>
      <c r="G1294" s="2012"/>
      <c r="H1294" s="942"/>
      <c r="I1294" s="942"/>
      <c r="J1294" s="1941"/>
      <c r="K1294" s="948"/>
      <c r="L1294" s="866" t="n">
        <v>68928.51</v>
      </c>
      <c r="M1294" s="866" t="n">
        <v>2100</v>
      </c>
      <c r="N1294" s="854" t="n">
        <f aca="false">M1294/H1291</f>
        <v>140</v>
      </c>
      <c r="O1294" s="543" t="s">
        <v>1634</v>
      </c>
      <c r="P1294" s="2004"/>
      <c r="Q1294" s="2000"/>
      <c r="R1294" s="2005"/>
    </row>
    <row r="1295" customFormat="false" ht="14.25" hidden="false" customHeight="false" outlineLevel="0" collapsed="false">
      <c r="A1295" s="1344"/>
      <c r="B1295" s="903"/>
      <c r="C1295" s="1974"/>
      <c r="D1295" s="860" t="s">
        <v>15</v>
      </c>
      <c r="E1295" s="1480" t="s">
        <v>1651</v>
      </c>
      <c r="F1295" s="904"/>
      <c r="G1295" s="2012"/>
      <c r="H1295" s="942"/>
      <c r="I1295" s="942"/>
      <c r="J1295" s="1941"/>
      <c r="K1295" s="948"/>
      <c r="L1295" s="866" t="n">
        <v>64005.045</v>
      </c>
      <c r="M1295" s="866" t="n">
        <v>1950</v>
      </c>
      <c r="N1295" s="854" t="n">
        <f aca="false">M1295/H1291</f>
        <v>130</v>
      </c>
      <c r="O1295" s="543" t="s">
        <v>953</v>
      </c>
      <c r="P1295" s="2004"/>
      <c r="Q1295" s="2000"/>
      <c r="R1295" s="2005"/>
    </row>
    <row r="1296" customFormat="false" ht="14.25" hidden="false" customHeight="false" outlineLevel="0" collapsed="false">
      <c r="A1296" s="1344"/>
      <c r="B1296" s="903"/>
      <c r="C1296" s="1974"/>
      <c r="D1296" s="860" t="s">
        <v>15</v>
      </c>
      <c r="E1296" s="1480" t="s">
        <v>1651</v>
      </c>
      <c r="F1296" s="904"/>
      <c r="G1296" s="2012"/>
      <c r="H1296" s="942"/>
      <c r="I1296" s="942"/>
      <c r="J1296" s="1941"/>
      <c r="K1296" s="948"/>
      <c r="L1296" s="866" t="n">
        <v>24617.325</v>
      </c>
      <c r="M1296" s="866" t="n">
        <v>750</v>
      </c>
      <c r="N1296" s="866" t="n">
        <f aca="false">M1296/H1291</f>
        <v>50</v>
      </c>
      <c r="O1296" s="543" t="s">
        <v>985</v>
      </c>
      <c r="P1296" s="2004"/>
      <c r="Q1296" s="2000"/>
      <c r="R1296" s="2005"/>
    </row>
    <row r="1297" customFormat="false" ht="14.25" hidden="false" customHeight="false" outlineLevel="0" collapsed="false">
      <c r="A1297" s="1344"/>
      <c r="B1297" s="903"/>
      <c r="C1297" s="1974"/>
      <c r="D1297" s="871" t="s">
        <v>15</v>
      </c>
      <c r="E1297" s="1478" t="s">
        <v>1651</v>
      </c>
      <c r="F1297" s="904"/>
      <c r="G1297" s="2012"/>
      <c r="H1297" s="942"/>
      <c r="I1297" s="942"/>
      <c r="J1297" s="1941"/>
      <c r="K1297" s="948"/>
      <c r="L1297" s="877" t="n">
        <v>23140.2855</v>
      </c>
      <c r="M1297" s="877" t="n">
        <v>705</v>
      </c>
      <c r="N1297" s="877" t="n">
        <f aca="false">M1297/H1291</f>
        <v>47</v>
      </c>
      <c r="O1297" s="553" t="s">
        <v>955</v>
      </c>
      <c r="P1297" s="2004"/>
      <c r="Q1297" s="2000"/>
      <c r="R1297" s="2005"/>
    </row>
    <row r="1298" customFormat="false" ht="14.25" hidden="false" customHeight="false" outlineLevel="0" collapsed="false">
      <c r="A1298" s="829" t="n">
        <v>70</v>
      </c>
      <c r="B1298" s="830" t="n">
        <v>2025</v>
      </c>
      <c r="C1298" s="1965" t="n">
        <v>46023</v>
      </c>
      <c r="D1298" s="831" t="s">
        <v>15</v>
      </c>
      <c r="E1298" s="1365" t="s">
        <v>1651</v>
      </c>
      <c r="F1298" s="832" t="s">
        <v>3364</v>
      </c>
      <c r="G1298" s="2010" t="n">
        <v>496</v>
      </c>
      <c r="H1298" s="837" t="n">
        <v>15</v>
      </c>
      <c r="I1298" s="837" t="n">
        <f aca="false">G1298*H1298</f>
        <v>7440</v>
      </c>
      <c r="J1298" s="1932" t="n">
        <v>34.767</v>
      </c>
      <c r="K1298" s="943" t="n">
        <f aca="false">I1298*J1298</f>
        <v>258666.48</v>
      </c>
      <c r="L1298" s="886" t="n">
        <v>78225.75</v>
      </c>
      <c r="M1298" s="886" t="n">
        <v>2250</v>
      </c>
      <c r="N1298" s="886" t="n">
        <f aca="false">M1298/H1298</f>
        <v>150</v>
      </c>
      <c r="O1298" s="1036" t="s">
        <v>1087</v>
      </c>
      <c r="P1298" s="1934" t="n">
        <f aca="false">K1298-L1298-L1306-L1305-L1299-L1300-L1304-L1301-L1302-L1303</f>
        <v>2.09183781407774E-011</v>
      </c>
      <c r="Q1298" s="1934" t="n">
        <f aca="false">I1298-M1298-M1306-M1305-M1299-M1300-M1304-M1301-M1302-M1303</f>
        <v>0</v>
      </c>
      <c r="R1298" s="1935" t="n">
        <f aca="false">G1298-N1298-N1306-N1305-N1299-N1300-N1304-N1301-N1302-N1303</f>
        <v>0</v>
      </c>
    </row>
    <row r="1299" customFormat="false" ht="14.25" hidden="false" customHeight="false" outlineLevel="0" collapsed="false">
      <c r="A1299" s="829"/>
      <c r="B1299" s="830"/>
      <c r="C1299" s="1965"/>
      <c r="D1299" s="860" t="s">
        <v>15</v>
      </c>
      <c r="E1299" s="1480" t="s">
        <v>1651</v>
      </c>
      <c r="F1299" s="832"/>
      <c r="G1299" s="2010"/>
      <c r="H1299" s="837"/>
      <c r="I1299" s="837"/>
      <c r="J1299" s="1932"/>
      <c r="K1299" s="943"/>
      <c r="L1299" s="866" t="n">
        <v>15645.15</v>
      </c>
      <c r="M1299" s="866" t="n">
        <v>450</v>
      </c>
      <c r="N1299" s="866" t="n">
        <f aca="false">M1299/H1298</f>
        <v>30</v>
      </c>
      <c r="O1299" s="543" t="s">
        <v>1090</v>
      </c>
      <c r="P1299" s="1934"/>
      <c r="Q1299" s="1934"/>
      <c r="R1299" s="1935"/>
    </row>
    <row r="1300" customFormat="false" ht="14.25" hidden="false" customHeight="false" outlineLevel="0" collapsed="false">
      <c r="A1300" s="829"/>
      <c r="B1300" s="830"/>
      <c r="C1300" s="1965"/>
      <c r="D1300" s="860" t="s">
        <v>15</v>
      </c>
      <c r="E1300" s="1480" t="s">
        <v>1651</v>
      </c>
      <c r="F1300" s="832"/>
      <c r="G1300" s="2010"/>
      <c r="H1300" s="837"/>
      <c r="I1300" s="837"/>
      <c r="J1300" s="1932"/>
      <c r="K1300" s="943"/>
      <c r="L1300" s="866" t="n">
        <v>10430.1</v>
      </c>
      <c r="M1300" s="866" t="n">
        <v>300</v>
      </c>
      <c r="N1300" s="866" t="n">
        <f aca="false">M1300/H1298</f>
        <v>20</v>
      </c>
      <c r="O1300" s="543" t="s">
        <v>1091</v>
      </c>
      <c r="P1300" s="1934"/>
      <c r="Q1300" s="1934"/>
      <c r="R1300" s="1935"/>
    </row>
    <row r="1301" customFormat="false" ht="14.25" hidden="false" customHeight="false" outlineLevel="0" collapsed="false">
      <c r="A1301" s="829"/>
      <c r="B1301" s="830"/>
      <c r="C1301" s="1965"/>
      <c r="D1301" s="860" t="s">
        <v>15</v>
      </c>
      <c r="E1301" s="1480" t="s">
        <v>1651</v>
      </c>
      <c r="F1301" s="832"/>
      <c r="G1301" s="2010"/>
      <c r="H1301" s="837"/>
      <c r="I1301" s="837"/>
      <c r="J1301" s="1932"/>
      <c r="K1301" s="943"/>
      <c r="L1301" s="866" t="n">
        <v>52150.5</v>
      </c>
      <c r="M1301" s="866" t="n">
        <v>1500</v>
      </c>
      <c r="N1301" s="866" t="n">
        <f aca="false">M1301/H1298</f>
        <v>100</v>
      </c>
      <c r="O1301" s="543" t="s">
        <v>1160</v>
      </c>
      <c r="P1301" s="1934"/>
      <c r="Q1301" s="1934"/>
      <c r="R1301" s="1935"/>
    </row>
    <row r="1302" customFormat="false" ht="14.25" hidden="false" customHeight="false" outlineLevel="0" collapsed="false">
      <c r="A1302" s="829"/>
      <c r="B1302" s="830"/>
      <c r="C1302" s="1965"/>
      <c r="D1302" s="860" t="s">
        <v>15</v>
      </c>
      <c r="E1302" s="1480" t="s">
        <v>1651</v>
      </c>
      <c r="F1302" s="832"/>
      <c r="G1302" s="2010"/>
      <c r="H1302" s="837"/>
      <c r="I1302" s="837"/>
      <c r="J1302" s="1932"/>
      <c r="K1302" s="943"/>
      <c r="L1302" s="866" t="n">
        <v>4172.04</v>
      </c>
      <c r="M1302" s="866" t="n">
        <v>120</v>
      </c>
      <c r="N1302" s="866" t="n">
        <f aca="false">M1302/H1298</f>
        <v>8</v>
      </c>
      <c r="O1302" s="543" t="s">
        <v>1151</v>
      </c>
      <c r="P1302" s="1934"/>
      <c r="Q1302" s="1934"/>
      <c r="R1302" s="1935"/>
    </row>
    <row r="1303" customFormat="false" ht="14.25" hidden="false" customHeight="false" outlineLevel="0" collapsed="false">
      <c r="A1303" s="829"/>
      <c r="B1303" s="830"/>
      <c r="C1303" s="1965"/>
      <c r="D1303" s="860" t="s">
        <v>15</v>
      </c>
      <c r="E1303" s="1480" t="s">
        <v>1651</v>
      </c>
      <c r="F1303" s="832"/>
      <c r="G1303" s="2010"/>
      <c r="H1303" s="837"/>
      <c r="I1303" s="837"/>
      <c r="J1303" s="1932"/>
      <c r="K1303" s="943"/>
      <c r="L1303" s="866" t="n">
        <v>4693.545</v>
      </c>
      <c r="M1303" s="866" t="n">
        <v>135</v>
      </c>
      <c r="N1303" s="866" t="n">
        <f aca="false">M1303/H1298</f>
        <v>9</v>
      </c>
      <c r="O1303" s="543" t="s">
        <v>1218</v>
      </c>
      <c r="P1303" s="1934"/>
      <c r="Q1303" s="1934"/>
      <c r="R1303" s="1935"/>
    </row>
    <row r="1304" customFormat="false" ht="14.25" hidden="false" customHeight="false" outlineLevel="0" collapsed="false">
      <c r="A1304" s="829"/>
      <c r="B1304" s="830"/>
      <c r="C1304" s="1965"/>
      <c r="D1304" s="860" t="s">
        <v>15</v>
      </c>
      <c r="E1304" s="1480" t="s">
        <v>1651</v>
      </c>
      <c r="F1304" s="832"/>
      <c r="G1304" s="2010"/>
      <c r="H1304" s="837"/>
      <c r="I1304" s="837"/>
      <c r="J1304" s="1932"/>
      <c r="K1304" s="943"/>
      <c r="L1304" s="866" t="n">
        <v>9908.595</v>
      </c>
      <c r="M1304" s="866" t="n">
        <v>285</v>
      </c>
      <c r="N1304" s="866" t="n">
        <f aca="false">M1304/H1298</f>
        <v>19</v>
      </c>
      <c r="O1304" s="543" t="s">
        <v>1034</v>
      </c>
      <c r="P1304" s="1934"/>
      <c r="Q1304" s="1934"/>
      <c r="R1304" s="1935"/>
    </row>
    <row r="1305" customFormat="false" ht="14.25" hidden="false" customHeight="false" outlineLevel="0" collapsed="false">
      <c r="A1305" s="829"/>
      <c r="B1305" s="830"/>
      <c r="C1305" s="1965"/>
      <c r="D1305" s="860" t="s">
        <v>15</v>
      </c>
      <c r="E1305" s="1480" t="s">
        <v>1651</v>
      </c>
      <c r="F1305" s="832"/>
      <c r="G1305" s="2010"/>
      <c r="H1305" s="837"/>
      <c r="I1305" s="837"/>
      <c r="J1305" s="1932"/>
      <c r="K1305" s="943"/>
      <c r="L1305" s="866" t="n">
        <v>41720.4</v>
      </c>
      <c r="M1305" s="866" t="n">
        <v>1200</v>
      </c>
      <c r="N1305" s="866" t="n">
        <f aca="false">M1305/H1298</f>
        <v>80</v>
      </c>
      <c r="O1305" s="543" t="s">
        <v>1089</v>
      </c>
      <c r="P1305" s="1934"/>
      <c r="Q1305" s="1934"/>
      <c r="R1305" s="1935"/>
    </row>
    <row r="1306" customFormat="false" ht="14.25" hidden="false" customHeight="false" outlineLevel="0" collapsed="false">
      <c r="A1306" s="829"/>
      <c r="B1306" s="830"/>
      <c r="C1306" s="1965"/>
      <c r="D1306" s="843" t="s">
        <v>15</v>
      </c>
      <c r="E1306" s="1357" t="s">
        <v>1651</v>
      </c>
      <c r="F1306" s="832"/>
      <c r="G1306" s="2010"/>
      <c r="H1306" s="837"/>
      <c r="I1306" s="837"/>
      <c r="J1306" s="1932"/>
      <c r="K1306" s="943"/>
      <c r="L1306" s="846" t="n">
        <v>41720.4</v>
      </c>
      <c r="M1306" s="846" t="n">
        <v>1200</v>
      </c>
      <c r="N1306" s="846" t="n">
        <f aca="false">M1306/H1298</f>
        <v>80</v>
      </c>
      <c r="O1306" s="589" t="s">
        <v>1088</v>
      </c>
      <c r="P1306" s="1934"/>
      <c r="Q1306" s="1934"/>
      <c r="R1306" s="1935"/>
    </row>
    <row r="1307" customFormat="false" ht="14.25" hidden="false" customHeight="false" outlineLevel="0" collapsed="false">
      <c r="A1307" s="882" t="n">
        <v>171</v>
      </c>
      <c r="B1307" s="830" t="n">
        <v>2025</v>
      </c>
      <c r="C1307" s="1965" t="n">
        <v>46054</v>
      </c>
      <c r="D1307" s="831" t="s">
        <v>15</v>
      </c>
      <c r="E1307" s="1365" t="s">
        <v>1651</v>
      </c>
      <c r="F1307" s="832" t="s">
        <v>3364</v>
      </c>
      <c r="G1307" s="2010" t="n">
        <v>666</v>
      </c>
      <c r="H1307" s="837" t="n">
        <v>15</v>
      </c>
      <c r="I1307" s="837" t="n">
        <f aca="false">G1307*H1307</f>
        <v>9990</v>
      </c>
      <c r="J1307" s="1932" t="n">
        <v>28.3276</v>
      </c>
      <c r="K1307" s="943" t="n">
        <f aca="false">I1307*J1307</f>
        <v>282992.724</v>
      </c>
      <c r="L1307" s="886" t="n">
        <v>227328.99</v>
      </c>
      <c r="M1307" s="886" t="n">
        <v>8025</v>
      </c>
      <c r="N1307" s="886" t="n">
        <f aca="false">M1307/H1307</f>
        <v>535</v>
      </c>
      <c r="O1307" s="1036" t="s">
        <v>3486</v>
      </c>
      <c r="P1307" s="1937" t="n">
        <f aca="false">K1307-L1307-L1309-L1308</f>
        <v>0</v>
      </c>
      <c r="Q1307" s="1934" t="n">
        <f aca="false">I1307-M1307-M1309-M1308</f>
        <v>0</v>
      </c>
      <c r="R1307" s="1935" t="n">
        <f aca="false">G1307-N1307-N1309-N1308</f>
        <v>0</v>
      </c>
    </row>
    <row r="1308" customFormat="false" ht="14.25" hidden="false" customHeight="false" outlineLevel="0" collapsed="false">
      <c r="A1308" s="882"/>
      <c r="B1308" s="830"/>
      <c r="C1308" s="1965"/>
      <c r="D1308" s="860" t="s">
        <v>15</v>
      </c>
      <c r="E1308" s="1480" t="s">
        <v>1651</v>
      </c>
      <c r="F1308" s="832"/>
      <c r="G1308" s="2010"/>
      <c r="H1308" s="837"/>
      <c r="I1308" s="837"/>
      <c r="J1308" s="1932"/>
      <c r="K1308" s="943"/>
      <c r="L1308" s="866" t="n">
        <v>42491.4</v>
      </c>
      <c r="M1308" s="866" t="n">
        <v>1500</v>
      </c>
      <c r="N1308" s="866" t="n">
        <f aca="false">M1308/H1307</f>
        <v>100</v>
      </c>
      <c r="O1308" s="543" t="s">
        <v>1197</v>
      </c>
      <c r="P1308" s="1937"/>
      <c r="Q1308" s="1934"/>
      <c r="R1308" s="1935"/>
    </row>
    <row r="1309" customFormat="false" ht="14.25" hidden="false" customHeight="false" outlineLevel="0" collapsed="false">
      <c r="A1309" s="882"/>
      <c r="B1309" s="830"/>
      <c r="C1309" s="1965"/>
      <c r="D1309" s="887" t="s">
        <v>15</v>
      </c>
      <c r="E1309" s="1501" t="s">
        <v>1651</v>
      </c>
      <c r="F1309" s="832"/>
      <c r="G1309" s="2010"/>
      <c r="H1309" s="837"/>
      <c r="I1309" s="837"/>
      <c r="J1309" s="1932"/>
      <c r="K1309" s="943"/>
      <c r="L1309" s="890" t="n">
        <v>13172.334</v>
      </c>
      <c r="M1309" s="890" t="n">
        <v>465</v>
      </c>
      <c r="N1309" s="890" t="n">
        <f aca="false">M1309/H1307</f>
        <v>31</v>
      </c>
      <c r="O1309" s="1067" t="s">
        <v>1145</v>
      </c>
      <c r="P1309" s="1937"/>
      <c r="Q1309" s="1934"/>
      <c r="R1309" s="1935"/>
    </row>
    <row r="1310" customFormat="false" ht="14.25" hidden="false" customHeight="false" outlineLevel="0" collapsed="false">
      <c r="A1310" s="1027" t="n">
        <v>172</v>
      </c>
      <c r="B1310" s="1546" t="n">
        <v>2025</v>
      </c>
      <c r="C1310" s="1975" t="n">
        <v>46054</v>
      </c>
      <c r="D1310" s="831" t="s">
        <v>15</v>
      </c>
      <c r="E1310" s="1365" t="s">
        <v>1651</v>
      </c>
      <c r="F1310" s="1328" t="s">
        <v>3364</v>
      </c>
      <c r="G1310" s="2011" t="n">
        <v>136</v>
      </c>
      <c r="H1310" s="1036" t="n">
        <v>15</v>
      </c>
      <c r="I1310" s="1036" t="n">
        <f aca="false">G1310*H1310</f>
        <v>2040</v>
      </c>
      <c r="J1310" s="1999" t="n">
        <v>28.6608</v>
      </c>
      <c r="K1310" s="1547" t="n">
        <f aca="false">I1310*J1310</f>
        <v>58468.032</v>
      </c>
      <c r="L1310" s="840" t="n">
        <v>15476.832</v>
      </c>
      <c r="M1310" s="840" t="n">
        <v>540</v>
      </c>
      <c r="N1310" s="886" t="n">
        <f aca="false">M1310/H1310</f>
        <v>36</v>
      </c>
      <c r="O1310" s="1114" t="s">
        <v>1145</v>
      </c>
      <c r="P1310" s="1977" t="n">
        <f aca="false">K1310-L1310-L1311</f>
        <v>0</v>
      </c>
      <c r="Q1310" s="1978" t="n">
        <f aca="false">I1310-M1310-M1311</f>
        <v>0</v>
      </c>
      <c r="R1310" s="1979" t="n">
        <f aca="false">G1310-N1310-N1311</f>
        <v>0</v>
      </c>
    </row>
    <row r="1311" customFormat="false" ht="14.25" hidden="false" customHeight="false" outlineLevel="0" collapsed="false">
      <c r="A1311" s="1027"/>
      <c r="B1311" s="1546"/>
      <c r="C1311" s="1975"/>
      <c r="D1311" s="904" t="s">
        <v>15</v>
      </c>
      <c r="E1311" s="1351" t="s">
        <v>1651</v>
      </c>
      <c r="F1311" s="1328"/>
      <c r="G1311" s="2011"/>
      <c r="H1311" s="1036"/>
      <c r="I1311" s="1036"/>
      <c r="J1311" s="1999"/>
      <c r="K1311" s="1547"/>
      <c r="L1311" s="891" t="n">
        <v>42991.2</v>
      </c>
      <c r="M1311" s="891" t="n">
        <v>1500</v>
      </c>
      <c r="N1311" s="877" t="n">
        <f aca="false">M1311/H1310</f>
        <v>100</v>
      </c>
      <c r="O1311" s="942" t="s">
        <v>1195</v>
      </c>
      <c r="P1311" s="1977"/>
      <c r="Q1311" s="1978"/>
      <c r="R1311" s="1979"/>
    </row>
    <row r="1312" customFormat="false" ht="14.25" hidden="false" customHeight="false" outlineLevel="0" collapsed="false">
      <c r="A1312" s="882" t="n">
        <v>176</v>
      </c>
      <c r="B1312" s="830" t="n">
        <v>2025</v>
      </c>
      <c r="C1312" s="1965" t="n">
        <v>46054</v>
      </c>
      <c r="D1312" s="831" t="s">
        <v>15</v>
      </c>
      <c r="E1312" s="1365" t="s">
        <v>1651</v>
      </c>
      <c r="F1312" s="832" t="s">
        <v>3364</v>
      </c>
      <c r="G1312" s="2010" t="n">
        <v>189</v>
      </c>
      <c r="H1312" s="837" t="n">
        <v>15</v>
      </c>
      <c r="I1312" s="837" t="n">
        <f aca="false">G1312*H1312</f>
        <v>2835</v>
      </c>
      <c r="J1312" s="1932" t="n">
        <v>23.1872</v>
      </c>
      <c r="K1312" s="943" t="n">
        <f aca="false">I1312*J1312</f>
        <v>65735.712</v>
      </c>
      <c r="L1312" s="840" t="n">
        <v>5912.736</v>
      </c>
      <c r="M1312" s="840" t="n">
        <v>255</v>
      </c>
      <c r="N1312" s="886" t="n">
        <f aca="false">M1312/H1312</f>
        <v>17</v>
      </c>
      <c r="O1312" s="1114" t="s">
        <v>1199</v>
      </c>
      <c r="P1312" s="1937" t="n">
        <f aca="false">K1312-L1312-L1318-L1317-L1313-L1316-L1314-L1315</f>
        <v>0</v>
      </c>
      <c r="Q1312" s="1934" t="n">
        <f aca="false">I1312-M1312-M1318-M1317-M1313-M1316-M1314-M1315</f>
        <v>0</v>
      </c>
      <c r="R1312" s="1935" t="n">
        <f aca="false">G1312-N1312-N1318-N1317-N1313-N1316-N1314-N1315</f>
        <v>0</v>
      </c>
    </row>
    <row r="1313" customFormat="false" ht="14.25" hidden="false" customHeight="false" outlineLevel="0" collapsed="false">
      <c r="A1313" s="882"/>
      <c r="B1313" s="830"/>
      <c r="C1313" s="1965"/>
      <c r="D1313" s="848" t="s">
        <v>15</v>
      </c>
      <c r="E1313" s="1479" t="s">
        <v>1651</v>
      </c>
      <c r="F1313" s="832"/>
      <c r="G1313" s="2010"/>
      <c r="H1313" s="837"/>
      <c r="I1313" s="837"/>
      <c r="J1313" s="1932"/>
      <c r="K1313" s="943"/>
      <c r="L1313" s="854" t="n">
        <v>17390.4</v>
      </c>
      <c r="M1313" s="854" t="n">
        <v>750</v>
      </c>
      <c r="N1313" s="866" t="n">
        <f aca="false">M1313/H1312</f>
        <v>50</v>
      </c>
      <c r="O1313" s="537" t="s">
        <v>3387</v>
      </c>
      <c r="P1313" s="1937"/>
      <c r="Q1313" s="1934"/>
      <c r="R1313" s="1935"/>
    </row>
    <row r="1314" customFormat="false" ht="14.25" hidden="false" customHeight="false" outlineLevel="0" collapsed="false">
      <c r="A1314" s="882"/>
      <c r="B1314" s="830"/>
      <c r="C1314" s="1965"/>
      <c r="D1314" s="848" t="s">
        <v>15</v>
      </c>
      <c r="E1314" s="1479" t="s">
        <v>1651</v>
      </c>
      <c r="F1314" s="832"/>
      <c r="G1314" s="2010"/>
      <c r="H1314" s="837"/>
      <c r="I1314" s="837"/>
      <c r="J1314" s="1932"/>
      <c r="K1314" s="943"/>
      <c r="L1314" s="854" t="n">
        <v>6956.16</v>
      </c>
      <c r="M1314" s="854" t="n">
        <v>300</v>
      </c>
      <c r="N1314" s="866" t="n">
        <f aca="false">M1314/H1312</f>
        <v>20</v>
      </c>
      <c r="O1314" s="537" t="s">
        <v>1344</v>
      </c>
      <c r="P1314" s="1937"/>
      <c r="Q1314" s="1934"/>
      <c r="R1314" s="1935"/>
    </row>
    <row r="1315" customFormat="false" ht="14.25" hidden="false" customHeight="false" outlineLevel="0" collapsed="false">
      <c r="A1315" s="882"/>
      <c r="B1315" s="830"/>
      <c r="C1315" s="1965"/>
      <c r="D1315" s="848" t="s">
        <v>15</v>
      </c>
      <c r="E1315" s="1479" t="s">
        <v>1651</v>
      </c>
      <c r="F1315" s="832"/>
      <c r="G1315" s="2010"/>
      <c r="H1315" s="837"/>
      <c r="I1315" s="837"/>
      <c r="J1315" s="1932"/>
      <c r="K1315" s="943"/>
      <c r="L1315" s="854" t="n">
        <v>3130.272</v>
      </c>
      <c r="M1315" s="854" t="n">
        <v>135</v>
      </c>
      <c r="N1315" s="866" t="n">
        <f aca="false">M1315/H1312</f>
        <v>9</v>
      </c>
      <c r="O1315" s="537" t="s">
        <v>1345</v>
      </c>
      <c r="P1315" s="1937"/>
      <c r="Q1315" s="1934"/>
      <c r="R1315" s="1935"/>
    </row>
    <row r="1316" customFormat="false" ht="14.25" hidden="false" customHeight="false" outlineLevel="0" collapsed="false">
      <c r="A1316" s="882"/>
      <c r="B1316" s="830"/>
      <c r="C1316" s="1965"/>
      <c r="D1316" s="848" t="s">
        <v>15</v>
      </c>
      <c r="E1316" s="1479" t="s">
        <v>1651</v>
      </c>
      <c r="F1316" s="832"/>
      <c r="G1316" s="2010"/>
      <c r="H1316" s="837"/>
      <c r="I1316" s="837"/>
      <c r="J1316" s="1932"/>
      <c r="K1316" s="943"/>
      <c r="L1316" s="854" t="n">
        <v>2782.464</v>
      </c>
      <c r="M1316" s="854" t="n">
        <v>120</v>
      </c>
      <c r="N1316" s="866" t="n">
        <f aca="false">M1316/H1312</f>
        <v>8</v>
      </c>
      <c r="O1316" s="537" t="s">
        <v>1287</v>
      </c>
      <c r="P1316" s="1937"/>
      <c r="Q1316" s="1934"/>
      <c r="R1316" s="1935"/>
    </row>
    <row r="1317" customFormat="false" ht="14.25" hidden="false" customHeight="false" outlineLevel="0" collapsed="false">
      <c r="A1317" s="882"/>
      <c r="B1317" s="830"/>
      <c r="C1317" s="1965"/>
      <c r="D1317" s="860" t="s">
        <v>15</v>
      </c>
      <c r="E1317" s="1480" t="s">
        <v>1651</v>
      </c>
      <c r="F1317" s="832"/>
      <c r="G1317" s="2010"/>
      <c r="H1317" s="837"/>
      <c r="I1317" s="837"/>
      <c r="J1317" s="1932"/>
      <c r="K1317" s="943"/>
      <c r="L1317" s="866" t="n">
        <v>26085.6</v>
      </c>
      <c r="M1317" s="866" t="n">
        <v>1125</v>
      </c>
      <c r="N1317" s="866" t="n">
        <f aca="false">M1317/H1312</f>
        <v>75</v>
      </c>
      <c r="O1317" s="543" t="s">
        <v>3487</v>
      </c>
      <c r="P1317" s="1937"/>
      <c r="Q1317" s="1934"/>
      <c r="R1317" s="1935"/>
    </row>
    <row r="1318" customFormat="false" ht="14.25" hidden="false" customHeight="false" outlineLevel="0" collapsed="false">
      <c r="A1318" s="882"/>
      <c r="B1318" s="830"/>
      <c r="C1318" s="1965"/>
      <c r="D1318" s="843" t="s">
        <v>15</v>
      </c>
      <c r="E1318" s="1357" t="s">
        <v>1651</v>
      </c>
      <c r="F1318" s="832"/>
      <c r="G1318" s="2010"/>
      <c r="H1318" s="837"/>
      <c r="I1318" s="837"/>
      <c r="J1318" s="1932"/>
      <c r="K1318" s="943"/>
      <c r="L1318" s="846" t="n">
        <v>3478.08</v>
      </c>
      <c r="M1318" s="846" t="n">
        <v>150</v>
      </c>
      <c r="N1318" s="846" t="n">
        <f aca="false">M1318/H1312</f>
        <v>10</v>
      </c>
      <c r="O1318" s="589" t="s">
        <v>1216</v>
      </c>
      <c r="P1318" s="1937"/>
      <c r="Q1318" s="1934"/>
      <c r="R1318" s="1935"/>
    </row>
    <row r="1319" customFormat="false" ht="14.25" hidden="false" customHeight="false" outlineLevel="0" collapsed="false">
      <c r="A1319" s="903"/>
      <c r="B1319" s="903"/>
      <c r="C1319" s="1974"/>
      <c r="D1319" s="904"/>
      <c r="E1319" s="904"/>
      <c r="F1319" s="904"/>
      <c r="G1319" s="2012"/>
      <c r="H1319" s="942"/>
      <c r="I1319" s="891"/>
      <c r="J1319" s="2040"/>
      <c r="K1319" s="948"/>
      <c r="L1319" s="891"/>
      <c r="M1319" s="891"/>
      <c r="N1319" s="891"/>
      <c r="O1319" s="942"/>
      <c r="P1319" s="1964"/>
      <c r="Q1319" s="1946"/>
      <c r="R1319" s="1946"/>
    </row>
    <row r="1320" customFormat="false" ht="14.25" hidden="false" customHeight="false" outlineLevel="0" collapsed="false">
      <c r="A1320" s="829" t="n">
        <v>85</v>
      </c>
      <c r="B1320" s="830" t="n">
        <v>2023</v>
      </c>
      <c r="C1320" s="1965"/>
      <c r="D1320" s="831" t="s">
        <v>21</v>
      </c>
      <c r="E1320" s="830"/>
      <c r="F1320" s="830" t="s">
        <v>3364</v>
      </c>
      <c r="G1320" s="2010" t="n">
        <v>6</v>
      </c>
      <c r="H1320" s="837" t="n">
        <v>10</v>
      </c>
      <c r="I1320" s="837" t="n">
        <f aca="false">G1320*H1320</f>
        <v>60</v>
      </c>
      <c r="J1320" s="1932" t="n">
        <v>1</v>
      </c>
      <c r="K1320" s="943" t="n">
        <f aca="false">I1320*J1320</f>
        <v>60</v>
      </c>
      <c r="L1320" s="840"/>
      <c r="M1320" s="840"/>
      <c r="N1320" s="840" t="n">
        <f aca="false">M1320/H1320</f>
        <v>0</v>
      </c>
      <c r="O1320" s="1114" t="s">
        <v>2240</v>
      </c>
      <c r="P1320" s="1934" t="n">
        <f aca="false">K1320-L1320-L1321</f>
        <v>0</v>
      </c>
      <c r="Q1320" s="1934" t="n">
        <f aca="false">I1320-M1320-M1321</f>
        <v>0</v>
      </c>
      <c r="R1320" s="1935" t="n">
        <f aca="false">G1320-N1320-N1321</f>
        <v>0</v>
      </c>
    </row>
    <row r="1321" customFormat="false" ht="14.25" hidden="false" customHeight="false" outlineLevel="0" collapsed="false">
      <c r="A1321" s="829"/>
      <c r="B1321" s="830"/>
      <c r="C1321" s="1965"/>
      <c r="D1321" s="843" t="s">
        <v>21</v>
      </c>
      <c r="E1321" s="830"/>
      <c r="F1321" s="830"/>
      <c r="G1321" s="2010"/>
      <c r="H1321" s="837"/>
      <c r="I1321" s="837"/>
      <c r="J1321" s="1932"/>
      <c r="K1321" s="943"/>
      <c r="L1321" s="846" t="n">
        <v>60</v>
      </c>
      <c r="M1321" s="846" t="n">
        <v>60</v>
      </c>
      <c r="N1321" s="846" t="n">
        <f aca="false">M1321/H1320</f>
        <v>6</v>
      </c>
      <c r="O1321" s="589" t="s">
        <v>3373</v>
      </c>
      <c r="P1321" s="1934"/>
      <c r="Q1321" s="1934"/>
      <c r="R1321" s="1935"/>
    </row>
    <row r="1322" customFormat="false" ht="14.25" hidden="false" customHeight="false" outlineLevel="0" collapsed="false">
      <c r="A1322" s="829" t="n">
        <v>586</v>
      </c>
      <c r="B1322" s="830" t="n">
        <v>2023</v>
      </c>
      <c r="C1322" s="1965" t="n">
        <v>45627</v>
      </c>
      <c r="D1322" s="831" t="s">
        <v>21</v>
      </c>
      <c r="E1322" s="883"/>
      <c r="F1322" s="832" t="s">
        <v>3364</v>
      </c>
      <c r="G1322" s="2010" t="n">
        <v>982</v>
      </c>
      <c r="H1322" s="837" t="n">
        <v>10</v>
      </c>
      <c r="I1322" s="837" t="n">
        <f aca="false">G1322*H1322</f>
        <v>9820</v>
      </c>
      <c r="J1322" s="1932" t="n">
        <v>1</v>
      </c>
      <c r="K1322" s="943" t="n">
        <f aca="false">I1322*J1322</f>
        <v>9820</v>
      </c>
      <c r="L1322" s="886" t="n">
        <v>2000</v>
      </c>
      <c r="M1322" s="886" t="n">
        <v>2000</v>
      </c>
      <c r="N1322" s="886" t="n">
        <f aca="false">M1322/H1322</f>
        <v>200</v>
      </c>
      <c r="O1322" s="1036" t="n">
        <v>86261</v>
      </c>
      <c r="P1322" s="1934" t="n">
        <f aca="false">K1322-L1322-L1331-L1330-L1323-L1324-L1329-L1325-L1328-L1326-L1327</f>
        <v>0</v>
      </c>
      <c r="Q1322" s="1934" t="n">
        <f aca="false">I1322-M1322-M1331-M1330-M1323-M1324-M1329-M1325-M1328-M1326-M1327</f>
        <v>0</v>
      </c>
      <c r="R1322" s="1935" t="n">
        <f aca="false">G1322-N1322-N1331-N1330-N1323-N1324-N1329-N1325-N1328-N1326-N1327</f>
        <v>0</v>
      </c>
    </row>
    <row r="1323" customFormat="false" ht="14.25" hidden="false" customHeight="false" outlineLevel="0" collapsed="false">
      <c r="A1323" s="829"/>
      <c r="B1323" s="830"/>
      <c r="C1323" s="1965"/>
      <c r="D1323" s="848" t="s">
        <v>21</v>
      </c>
      <c r="E1323" s="883"/>
      <c r="F1323" s="832"/>
      <c r="G1323" s="2010"/>
      <c r="H1323" s="837"/>
      <c r="I1323" s="837"/>
      <c r="J1323" s="1932"/>
      <c r="K1323" s="943"/>
      <c r="L1323" s="866" t="n">
        <v>440</v>
      </c>
      <c r="M1323" s="866" t="n">
        <v>440</v>
      </c>
      <c r="N1323" s="866" t="n">
        <f aca="false">M1323/H1322</f>
        <v>44</v>
      </c>
      <c r="O1323" s="543" t="n">
        <v>86273</v>
      </c>
      <c r="P1323" s="1934"/>
      <c r="Q1323" s="1934"/>
      <c r="R1323" s="1935"/>
    </row>
    <row r="1324" customFormat="false" ht="14.25" hidden="false" customHeight="false" outlineLevel="0" collapsed="false">
      <c r="A1324" s="829"/>
      <c r="B1324" s="830"/>
      <c r="C1324" s="1965"/>
      <c r="D1324" s="848" t="s">
        <v>21</v>
      </c>
      <c r="E1324" s="883"/>
      <c r="F1324" s="832"/>
      <c r="G1324" s="2010"/>
      <c r="H1324" s="837"/>
      <c r="I1324" s="837"/>
      <c r="J1324" s="1932"/>
      <c r="K1324" s="943"/>
      <c r="L1324" s="866" t="n">
        <v>1000</v>
      </c>
      <c r="M1324" s="866" t="n">
        <v>1000</v>
      </c>
      <c r="N1324" s="866" t="n">
        <f aca="false">M1324/H1322</f>
        <v>100</v>
      </c>
      <c r="O1324" s="543" t="n">
        <v>86274</v>
      </c>
      <c r="P1324" s="1934"/>
      <c r="Q1324" s="1934"/>
      <c r="R1324" s="1935"/>
    </row>
    <row r="1325" customFormat="false" ht="14.25" hidden="false" customHeight="false" outlineLevel="0" collapsed="false">
      <c r="A1325" s="829"/>
      <c r="B1325" s="830"/>
      <c r="C1325" s="1965"/>
      <c r="D1325" s="848" t="s">
        <v>21</v>
      </c>
      <c r="E1325" s="883"/>
      <c r="F1325" s="832"/>
      <c r="G1325" s="2010"/>
      <c r="H1325" s="837"/>
      <c r="I1325" s="837"/>
      <c r="J1325" s="1932"/>
      <c r="K1325" s="943"/>
      <c r="L1325" s="866" t="n">
        <v>600</v>
      </c>
      <c r="M1325" s="866" t="n">
        <v>600</v>
      </c>
      <c r="N1325" s="866" t="n">
        <f aca="false">M1325/H1322</f>
        <v>60</v>
      </c>
      <c r="O1325" s="543" t="n">
        <v>86295</v>
      </c>
      <c r="P1325" s="1934"/>
      <c r="Q1325" s="1934"/>
      <c r="R1325" s="1935"/>
    </row>
    <row r="1326" customFormat="false" ht="14.25" hidden="false" customHeight="false" outlineLevel="0" collapsed="false">
      <c r="A1326" s="829"/>
      <c r="B1326" s="830"/>
      <c r="C1326" s="1965"/>
      <c r="D1326" s="848" t="s">
        <v>21</v>
      </c>
      <c r="E1326" s="883"/>
      <c r="F1326" s="832"/>
      <c r="G1326" s="2010"/>
      <c r="H1326" s="837"/>
      <c r="I1326" s="837"/>
      <c r="J1326" s="1932"/>
      <c r="K1326" s="943"/>
      <c r="L1326" s="866" t="n">
        <v>10</v>
      </c>
      <c r="M1326" s="866" t="n">
        <v>10</v>
      </c>
      <c r="N1326" s="866" t="n">
        <f aca="false">M1326/H1322</f>
        <v>1</v>
      </c>
      <c r="O1326" s="543" t="n">
        <v>86380</v>
      </c>
      <c r="P1326" s="1934"/>
      <c r="Q1326" s="1934"/>
      <c r="R1326" s="1935"/>
    </row>
    <row r="1327" customFormat="false" ht="14.25" hidden="false" customHeight="false" outlineLevel="0" collapsed="false">
      <c r="A1327" s="829"/>
      <c r="B1327" s="830"/>
      <c r="C1327" s="1965"/>
      <c r="D1327" s="848" t="s">
        <v>21</v>
      </c>
      <c r="E1327" s="883"/>
      <c r="F1327" s="832"/>
      <c r="G1327" s="2010"/>
      <c r="H1327" s="837"/>
      <c r="I1327" s="837"/>
      <c r="J1327" s="1932"/>
      <c r="K1327" s="943"/>
      <c r="L1327" s="866" t="n">
        <v>70</v>
      </c>
      <c r="M1327" s="866" t="n">
        <v>70</v>
      </c>
      <c r="N1327" s="866" t="n">
        <f aca="false">M1327/H1322</f>
        <v>7</v>
      </c>
      <c r="O1327" s="543" t="s">
        <v>2240</v>
      </c>
      <c r="P1327" s="1934"/>
      <c r="Q1327" s="1934"/>
      <c r="R1327" s="1935"/>
    </row>
    <row r="1328" customFormat="false" ht="14.25" hidden="false" customHeight="false" outlineLevel="0" collapsed="false">
      <c r="A1328" s="829"/>
      <c r="B1328" s="830"/>
      <c r="C1328" s="1965"/>
      <c r="D1328" s="848" t="s">
        <v>21</v>
      </c>
      <c r="E1328" s="883"/>
      <c r="F1328" s="832"/>
      <c r="G1328" s="2010"/>
      <c r="H1328" s="837"/>
      <c r="I1328" s="837"/>
      <c r="J1328" s="1932"/>
      <c r="K1328" s="943"/>
      <c r="L1328" s="866" t="n">
        <v>500</v>
      </c>
      <c r="M1328" s="866" t="n">
        <v>500</v>
      </c>
      <c r="N1328" s="866" t="n">
        <f aca="false">M1328/H1322</f>
        <v>50</v>
      </c>
      <c r="O1328" s="543" t="n">
        <v>86298</v>
      </c>
      <c r="P1328" s="1934"/>
      <c r="Q1328" s="1934"/>
      <c r="R1328" s="1935"/>
    </row>
    <row r="1329" customFormat="false" ht="14.25" hidden="false" customHeight="false" outlineLevel="0" collapsed="false">
      <c r="A1329" s="829"/>
      <c r="B1329" s="830"/>
      <c r="C1329" s="1965"/>
      <c r="D1329" s="848" t="s">
        <v>21</v>
      </c>
      <c r="E1329" s="883"/>
      <c r="F1329" s="832"/>
      <c r="G1329" s="2010"/>
      <c r="H1329" s="837"/>
      <c r="I1329" s="837"/>
      <c r="J1329" s="1932"/>
      <c r="K1329" s="943"/>
      <c r="L1329" s="866" t="n">
        <v>1200</v>
      </c>
      <c r="M1329" s="866" t="n">
        <v>1200</v>
      </c>
      <c r="N1329" s="866" t="n">
        <f aca="false">M1329/H1322</f>
        <v>120</v>
      </c>
      <c r="O1329" s="543" t="n">
        <v>86282</v>
      </c>
      <c r="P1329" s="1934"/>
      <c r="Q1329" s="1934"/>
      <c r="R1329" s="1935"/>
    </row>
    <row r="1330" customFormat="false" ht="14.25" hidden="false" customHeight="false" outlineLevel="0" collapsed="false">
      <c r="A1330" s="829"/>
      <c r="B1330" s="830"/>
      <c r="C1330" s="1965"/>
      <c r="D1330" s="860" t="s">
        <v>21</v>
      </c>
      <c r="E1330" s="883"/>
      <c r="F1330" s="832"/>
      <c r="G1330" s="2010"/>
      <c r="H1330" s="837"/>
      <c r="I1330" s="837"/>
      <c r="J1330" s="1932"/>
      <c r="K1330" s="943"/>
      <c r="L1330" s="866" t="n">
        <v>1000</v>
      </c>
      <c r="M1330" s="866" t="n">
        <v>1000</v>
      </c>
      <c r="N1330" s="866" t="n">
        <f aca="false">M1330/H1322</f>
        <v>100</v>
      </c>
      <c r="O1330" s="543" t="n">
        <v>86272</v>
      </c>
      <c r="P1330" s="1934"/>
      <c r="Q1330" s="1934"/>
      <c r="R1330" s="1935"/>
    </row>
    <row r="1331" customFormat="false" ht="14.25" hidden="false" customHeight="false" outlineLevel="0" collapsed="false">
      <c r="A1331" s="829"/>
      <c r="B1331" s="830"/>
      <c r="C1331" s="1965"/>
      <c r="D1331" s="887" t="s">
        <v>21</v>
      </c>
      <c r="E1331" s="883"/>
      <c r="F1331" s="832"/>
      <c r="G1331" s="2010"/>
      <c r="H1331" s="837"/>
      <c r="I1331" s="837"/>
      <c r="J1331" s="1932"/>
      <c r="K1331" s="943"/>
      <c r="L1331" s="890" t="n">
        <v>3000</v>
      </c>
      <c r="M1331" s="890" t="n">
        <v>3000</v>
      </c>
      <c r="N1331" s="890" t="n">
        <f aca="false">M1331/H1322</f>
        <v>300</v>
      </c>
      <c r="O1331" s="1067" t="n">
        <v>86264</v>
      </c>
      <c r="P1331" s="1934"/>
      <c r="Q1331" s="1934"/>
      <c r="R1331" s="1935"/>
    </row>
    <row r="1332" customFormat="false" ht="14.25" hidden="false" customHeight="false" outlineLevel="0" collapsed="false">
      <c r="A1332" s="829" t="n">
        <v>267</v>
      </c>
      <c r="B1332" s="830" t="n">
        <v>2024</v>
      </c>
      <c r="C1332" s="1965" t="n">
        <v>45870</v>
      </c>
      <c r="D1332" s="831" t="s">
        <v>21</v>
      </c>
      <c r="E1332" s="830"/>
      <c r="F1332" s="832" t="s">
        <v>3364</v>
      </c>
      <c r="G1332" s="2010" t="n">
        <v>600</v>
      </c>
      <c r="H1332" s="837" t="n">
        <v>10</v>
      </c>
      <c r="I1332" s="837" t="n">
        <f aca="false">G1332*H1332</f>
        <v>6000</v>
      </c>
      <c r="J1332" s="2041" t="n">
        <v>1</v>
      </c>
      <c r="K1332" s="943" t="n">
        <f aca="false">I1332*J1332</f>
        <v>6000</v>
      </c>
      <c r="L1332" s="840" t="n">
        <v>1200</v>
      </c>
      <c r="M1332" s="840" t="n">
        <v>1200</v>
      </c>
      <c r="N1332" s="886" t="n">
        <f aca="false">M1332/H1332</f>
        <v>120</v>
      </c>
      <c r="O1332" s="1114" t="s">
        <v>406</v>
      </c>
      <c r="P1332" s="1934" t="n">
        <f aca="false">K1332-L1332-L1336-L1333-L1334-L1335</f>
        <v>0</v>
      </c>
      <c r="Q1332" s="1934" t="n">
        <f aca="false">I1332-M1332-M1336-M1333-M1334-M1335</f>
        <v>0</v>
      </c>
      <c r="R1332" s="1935" t="n">
        <f aca="false">G1332-N1332-N1336-N1333-N1334-N1335</f>
        <v>0</v>
      </c>
    </row>
    <row r="1333" customFormat="false" ht="14.25" hidden="false" customHeight="false" outlineLevel="0" collapsed="false">
      <c r="A1333" s="829"/>
      <c r="B1333" s="830"/>
      <c r="C1333" s="1965"/>
      <c r="D1333" s="860" t="s">
        <v>21</v>
      </c>
      <c r="E1333" s="830"/>
      <c r="F1333" s="832"/>
      <c r="G1333" s="2010"/>
      <c r="H1333" s="837"/>
      <c r="I1333" s="837"/>
      <c r="J1333" s="2041"/>
      <c r="K1333" s="943"/>
      <c r="L1333" s="866" t="n">
        <v>1500</v>
      </c>
      <c r="M1333" s="866" t="n">
        <v>1500</v>
      </c>
      <c r="N1333" s="866" t="n">
        <f aca="false">M1333/H1332</f>
        <v>150</v>
      </c>
      <c r="O1333" s="543" t="s">
        <v>3377</v>
      </c>
      <c r="P1333" s="1934"/>
      <c r="Q1333" s="1934"/>
      <c r="R1333" s="1935"/>
    </row>
    <row r="1334" customFormat="false" ht="14.25" hidden="false" customHeight="false" outlineLevel="0" collapsed="false">
      <c r="A1334" s="829"/>
      <c r="B1334" s="830"/>
      <c r="C1334" s="1965"/>
      <c r="D1334" s="860" t="s">
        <v>21</v>
      </c>
      <c r="E1334" s="830"/>
      <c r="F1334" s="832"/>
      <c r="G1334" s="2010"/>
      <c r="H1334" s="837"/>
      <c r="I1334" s="837"/>
      <c r="J1334" s="2041"/>
      <c r="K1334" s="943"/>
      <c r="L1334" s="866" t="n">
        <v>300</v>
      </c>
      <c r="M1334" s="866" t="n">
        <v>300</v>
      </c>
      <c r="N1334" s="866" t="n">
        <f aca="false">M1334/H1332</f>
        <v>30</v>
      </c>
      <c r="O1334" s="543" t="s">
        <v>3488</v>
      </c>
      <c r="P1334" s="1934"/>
      <c r="Q1334" s="1934"/>
      <c r="R1334" s="1935"/>
    </row>
    <row r="1335" customFormat="false" ht="14.25" hidden="false" customHeight="false" outlineLevel="0" collapsed="false">
      <c r="A1335" s="829"/>
      <c r="B1335" s="830"/>
      <c r="C1335" s="1965"/>
      <c r="D1335" s="871" t="s">
        <v>21</v>
      </c>
      <c r="E1335" s="830"/>
      <c r="F1335" s="832"/>
      <c r="G1335" s="2010"/>
      <c r="H1335" s="837"/>
      <c r="I1335" s="837"/>
      <c r="J1335" s="2041"/>
      <c r="K1335" s="943"/>
      <c r="L1335" s="866" t="n">
        <v>500</v>
      </c>
      <c r="M1335" s="866" t="n">
        <v>500</v>
      </c>
      <c r="N1335" s="866" t="n">
        <f aca="false">M1335/H1332</f>
        <v>50</v>
      </c>
      <c r="O1335" s="543" t="s">
        <v>3489</v>
      </c>
      <c r="P1335" s="1934"/>
      <c r="Q1335" s="1934"/>
      <c r="R1335" s="1935"/>
    </row>
    <row r="1336" customFormat="false" ht="14.25" hidden="false" customHeight="false" outlineLevel="0" collapsed="false">
      <c r="A1336" s="829"/>
      <c r="B1336" s="830"/>
      <c r="C1336" s="1965"/>
      <c r="D1336" s="843" t="s">
        <v>21</v>
      </c>
      <c r="E1336" s="830"/>
      <c r="F1336" s="832"/>
      <c r="G1336" s="2010"/>
      <c r="H1336" s="837"/>
      <c r="I1336" s="837"/>
      <c r="J1336" s="2041"/>
      <c r="K1336" s="943"/>
      <c r="L1336" s="890" t="n">
        <v>2500</v>
      </c>
      <c r="M1336" s="890" t="n">
        <v>2500</v>
      </c>
      <c r="N1336" s="890" t="n">
        <f aca="false">M1336/H1332</f>
        <v>250</v>
      </c>
      <c r="O1336" s="1067" t="s">
        <v>3377</v>
      </c>
      <c r="P1336" s="1934"/>
      <c r="Q1336" s="1934"/>
      <c r="R1336" s="1935"/>
    </row>
    <row r="1337" customFormat="false" ht="14.25" hidden="false" customHeight="false" outlineLevel="0" collapsed="false">
      <c r="A1337" s="829" t="n">
        <v>283</v>
      </c>
      <c r="B1337" s="830" t="n">
        <v>2024</v>
      </c>
      <c r="C1337" s="1965" t="n">
        <v>45870</v>
      </c>
      <c r="D1337" s="831" t="s">
        <v>21</v>
      </c>
      <c r="E1337" s="883"/>
      <c r="F1337" s="832" t="s">
        <v>3364</v>
      </c>
      <c r="G1337" s="2010" t="n">
        <v>700</v>
      </c>
      <c r="H1337" s="837" t="n">
        <v>10</v>
      </c>
      <c r="I1337" s="837" t="n">
        <f aca="false">G1337*H1337</f>
        <v>7000</v>
      </c>
      <c r="J1337" s="2041" t="n">
        <v>1</v>
      </c>
      <c r="K1337" s="943" t="n">
        <f aca="false">I1337*J1337</f>
        <v>7000</v>
      </c>
      <c r="L1337" s="840" t="n">
        <v>2000</v>
      </c>
      <c r="M1337" s="840" t="n">
        <v>2000</v>
      </c>
      <c r="N1337" s="840" t="n">
        <f aca="false">M1337/H1337</f>
        <v>200</v>
      </c>
      <c r="O1337" s="1114" t="s">
        <v>403</v>
      </c>
      <c r="P1337" s="1934" t="n">
        <f aca="false">K1337-L1337-L1345-L1344-L1338-L1339-L1343-L1340-L1342-L1341</f>
        <v>1850</v>
      </c>
      <c r="Q1337" s="1934" t="n">
        <f aca="false">I1337-M1337-M1345-M1344-M1338-M1339-M1343-M1340-M1342-M1341</f>
        <v>1850</v>
      </c>
      <c r="R1337" s="1935" t="n">
        <f aca="false">G1337-N1337-N1345-N1344-N1338-N1339-N1343-N1340-N1342-N1341</f>
        <v>185</v>
      </c>
    </row>
    <row r="1338" customFormat="false" ht="14.25" hidden="false" customHeight="false" outlineLevel="0" collapsed="false">
      <c r="A1338" s="829"/>
      <c r="B1338" s="830"/>
      <c r="C1338" s="1965"/>
      <c r="D1338" s="848" t="s">
        <v>21</v>
      </c>
      <c r="E1338" s="883"/>
      <c r="F1338" s="832"/>
      <c r="G1338" s="2010"/>
      <c r="H1338" s="837"/>
      <c r="I1338" s="837"/>
      <c r="J1338" s="2041"/>
      <c r="K1338" s="943"/>
      <c r="L1338" s="854" t="n">
        <v>500</v>
      </c>
      <c r="M1338" s="854" t="n">
        <v>500</v>
      </c>
      <c r="N1338" s="854" t="n">
        <f aca="false">M1338/H1337</f>
        <v>50</v>
      </c>
      <c r="O1338" s="537" t="s">
        <v>406</v>
      </c>
      <c r="P1338" s="1934"/>
      <c r="Q1338" s="1934"/>
      <c r="R1338" s="1935"/>
    </row>
    <row r="1339" customFormat="false" ht="14.25" hidden="false" customHeight="false" outlineLevel="0" collapsed="false">
      <c r="A1339" s="829"/>
      <c r="B1339" s="830"/>
      <c r="C1339" s="1965"/>
      <c r="D1339" s="848" t="s">
        <v>21</v>
      </c>
      <c r="E1339" s="883"/>
      <c r="F1339" s="832"/>
      <c r="G1339" s="2010"/>
      <c r="H1339" s="837"/>
      <c r="I1339" s="837"/>
      <c r="J1339" s="2041"/>
      <c r="K1339" s="943"/>
      <c r="L1339" s="854" t="n">
        <v>1500</v>
      </c>
      <c r="M1339" s="854" t="n">
        <v>1500</v>
      </c>
      <c r="N1339" s="854" t="n">
        <f aca="false">M1339/H1337</f>
        <v>150</v>
      </c>
      <c r="O1339" s="537" t="s">
        <v>442</v>
      </c>
      <c r="P1339" s="1934"/>
      <c r="Q1339" s="1934"/>
      <c r="R1339" s="1935"/>
    </row>
    <row r="1340" customFormat="false" ht="14.25" hidden="false" customHeight="false" outlineLevel="0" collapsed="false">
      <c r="A1340" s="829"/>
      <c r="B1340" s="830"/>
      <c r="C1340" s="1965"/>
      <c r="D1340" s="848" t="s">
        <v>21</v>
      </c>
      <c r="E1340" s="883"/>
      <c r="F1340" s="832"/>
      <c r="G1340" s="2010"/>
      <c r="H1340" s="837"/>
      <c r="I1340" s="837"/>
      <c r="J1340" s="2041"/>
      <c r="K1340" s="943"/>
      <c r="L1340" s="854" t="n">
        <v>50</v>
      </c>
      <c r="M1340" s="854" t="n">
        <v>50</v>
      </c>
      <c r="N1340" s="854" t="n">
        <f aca="false">M1340/H1337</f>
        <v>5</v>
      </c>
      <c r="O1340" s="537" t="s">
        <v>3488</v>
      </c>
      <c r="P1340" s="1934"/>
      <c r="Q1340" s="1934"/>
      <c r="R1340" s="1935"/>
    </row>
    <row r="1341" customFormat="false" ht="14.25" hidden="false" customHeight="false" outlineLevel="0" collapsed="false">
      <c r="A1341" s="829"/>
      <c r="B1341" s="830"/>
      <c r="C1341" s="1965"/>
      <c r="D1341" s="848" t="s">
        <v>21</v>
      </c>
      <c r="E1341" s="883"/>
      <c r="F1341" s="832"/>
      <c r="G1341" s="2010"/>
      <c r="H1341" s="837"/>
      <c r="I1341" s="837"/>
      <c r="J1341" s="2041"/>
      <c r="K1341" s="943"/>
      <c r="L1341" s="854" t="n">
        <v>10</v>
      </c>
      <c r="M1341" s="854" t="n">
        <v>10</v>
      </c>
      <c r="N1341" s="854" t="n">
        <f aca="false">M1341/H1337</f>
        <v>1</v>
      </c>
      <c r="O1341" s="537" t="s">
        <v>1375</v>
      </c>
      <c r="P1341" s="1934"/>
      <c r="Q1341" s="1934"/>
      <c r="R1341" s="1935"/>
    </row>
    <row r="1342" customFormat="false" ht="14.25" hidden="false" customHeight="false" outlineLevel="0" collapsed="false">
      <c r="A1342" s="829"/>
      <c r="B1342" s="830"/>
      <c r="C1342" s="1965"/>
      <c r="D1342" s="848" t="s">
        <v>21</v>
      </c>
      <c r="E1342" s="883"/>
      <c r="F1342" s="832"/>
      <c r="G1342" s="2010"/>
      <c r="H1342" s="837"/>
      <c r="I1342" s="837"/>
      <c r="J1342" s="2041"/>
      <c r="K1342" s="943"/>
      <c r="L1342" s="854" t="n">
        <v>-1860</v>
      </c>
      <c r="M1342" s="854" t="n">
        <v>-1860</v>
      </c>
      <c r="N1342" s="854" t="n">
        <f aca="false">M1342/H1337</f>
        <v>-186</v>
      </c>
      <c r="O1342" s="537" t="s">
        <v>1634</v>
      </c>
      <c r="P1342" s="1934"/>
      <c r="Q1342" s="1934"/>
      <c r="R1342" s="1935"/>
    </row>
    <row r="1343" customFormat="false" ht="14.25" hidden="false" customHeight="false" outlineLevel="0" collapsed="false">
      <c r="A1343" s="829"/>
      <c r="B1343" s="830"/>
      <c r="C1343" s="1965"/>
      <c r="D1343" s="848" t="s">
        <v>21</v>
      </c>
      <c r="E1343" s="883"/>
      <c r="F1343" s="832"/>
      <c r="G1343" s="2010"/>
      <c r="H1343" s="837"/>
      <c r="I1343" s="837"/>
      <c r="J1343" s="2041"/>
      <c r="K1343" s="943"/>
      <c r="L1343" s="854" t="n">
        <v>2000</v>
      </c>
      <c r="M1343" s="854" t="n">
        <v>2000</v>
      </c>
      <c r="N1343" s="854" t="n">
        <f aca="false">M1343/H1337</f>
        <v>200</v>
      </c>
      <c r="O1343" s="537" t="s">
        <v>397</v>
      </c>
      <c r="P1343" s="1934"/>
      <c r="Q1343" s="1934"/>
      <c r="R1343" s="1935"/>
    </row>
    <row r="1344" customFormat="false" ht="14.25" hidden="false" customHeight="false" outlineLevel="0" collapsed="false">
      <c r="A1344" s="829"/>
      <c r="B1344" s="830"/>
      <c r="C1344" s="1965"/>
      <c r="D1344" s="860" t="s">
        <v>21</v>
      </c>
      <c r="E1344" s="883"/>
      <c r="F1344" s="832"/>
      <c r="G1344" s="2010"/>
      <c r="H1344" s="837"/>
      <c r="I1344" s="837"/>
      <c r="J1344" s="2041"/>
      <c r="K1344" s="943"/>
      <c r="L1344" s="866" t="n">
        <v>150</v>
      </c>
      <c r="M1344" s="866" t="n">
        <v>150</v>
      </c>
      <c r="N1344" s="854" t="n">
        <f aca="false">M1344/H1337</f>
        <v>15</v>
      </c>
      <c r="O1344" s="543" t="s">
        <v>3490</v>
      </c>
      <c r="P1344" s="1934"/>
      <c r="Q1344" s="1934"/>
      <c r="R1344" s="1935"/>
    </row>
    <row r="1345" customFormat="false" ht="14.25" hidden="false" customHeight="false" outlineLevel="0" collapsed="false">
      <c r="A1345" s="829"/>
      <c r="B1345" s="830"/>
      <c r="C1345" s="1965"/>
      <c r="D1345" s="887" t="s">
        <v>21</v>
      </c>
      <c r="E1345" s="883"/>
      <c r="F1345" s="832"/>
      <c r="G1345" s="2010"/>
      <c r="H1345" s="837"/>
      <c r="I1345" s="837"/>
      <c r="J1345" s="2041"/>
      <c r="K1345" s="943"/>
      <c r="L1345" s="890" t="n">
        <v>800</v>
      </c>
      <c r="M1345" s="890" t="n">
        <v>800</v>
      </c>
      <c r="N1345" s="890" t="n">
        <f aca="false">M1345/H1337</f>
        <v>80</v>
      </c>
      <c r="O1345" s="1067" t="s">
        <v>406</v>
      </c>
      <c r="P1345" s="1934"/>
      <c r="Q1345" s="1934"/>
      <c r="R1345" s="1935"/>
    </row>
    <row r="1346" customFormat="false" ht="14.25" hidden="false" customHeight="false" outlineLevel="0" collapsed="false">
      <c r="A1346" s="1465" t="n">
        <v>403</v>
      </c>
      <c r="B1346" s="1546" t="n">
        <v>2024</v>
      </c>
      <c r="C1346" s="1975" t="n">
        <v>45901</v>
      </c>
      <c r="D1346" s="831" t="s">
        <v>21</v>
      </c>
      <c r="E1346" s="1546"/>
      <c r="F1346" s="1328" t="s">
        <v>3364</v>
      </c>
      <c r="G1346" s="2011" t="n">
        <v>98</v>
      </c>
      <c r="H1346" s="1036" t="n">
        <v>10</v>
      </c>
      <c r="I1346" s="1036" t="n">
        <f aca="false">G1346*H1346</f>
        <v>980</v>
      </c>
      <c r="J1346" s="1999" t="n">
        <v>1</v>
      </c>
      <c r="K1346" s="1547" t="n">
        <f aca="false">I1346*J1346</f>
        <v>980</v>
      </c>
      <c r="L1346" s="840" t="n">
        <v>650</v>
      </c>
      <c r="M1346" s="840" t="n">
        <v>650</v>
      </c>
      <c r="N1346" s="886" t="n">
        <f aca="false">M1346/H1346</f>
        <v>65</v>
      </c>
      <c r="O1346" s="1114" t="s">
        <v>3488</v>
      </c>
      <c r="P1346" s="1978" t="n">
        <f aca="false">K1346-L1346-L1349-L1348-L1347</f>
        <v>0</v>
      </c>
      <c r="Q1346" s="1978" t="n">
        <f aca="false">I1346-M1346-M1349-M1348-M1347</f>
        <v>0</v>
      </c>
      <c r="R1346" s="1979" t="n">
        <f aca="false">G1346-N1346-N1349-N1348-N1347</f>
        <v>0</v>
      </c>
    </row>
    <row r="1347" customFormat="false" ht="14.25" hidden="false" customHeight="false" outlineLevel="0" collapsed="false">
      <c r="A1347" s="1465"/>
      <c r="B1347" s="1546"/>
      <c r="C1347" s="1975"/>
      <c r="D1347" s="848" t="s">
        <v>21</v>
      </c>
      <c r="E1347" s="1546"/>
      <c r="F1347" s="1328"/>
      <c r="G1347" s="2011"/>
      <c r="H1347" s="1036"/>
      <c r="I1347" s="1036"/>
      <c r="J1347" s="1999"/>
      <c r="K1347" s="1547"/>
      <c r="L1347" s="854" t="n">
        <v>-20</v>
      </c>
      <c r="M1347" s="854" t="n">
        <v>-20</v>
      </c>
      <c r="N1347" s="866" t="n">
        <f aca="false">M1347/H1346</f>
        <v>-2</v>
      </c>
      <c r="O1347" s="537" t="s">
        <v>1634</v>
      </c>
      <c r="P1347" s="1978"/>
      <c r="Q1347" s="1978"/>
      <c r="R1347" s="1979"/>
    </row>
    <row r="1348" customFormat="false" ht="14.25" hidden="false" customHeight="false" outlineLevel="0" collapsed="false">
      <c r="A1348" s="1465"/>
      <c r="B1348" s="1546"/>
      <c r="C1348" s="1975"/>
      <c r="D1348" s="860" t="s">
        <v>21</v>
      </c>
      <c r="E1348" s="1546"/>
      <c r="F1348" s="1328"/>
      <c r="G1348" s="2011"/>
      <c r="H1348" s="1036"/>
      <c r="I1348" s="1036"/>
      <c r="J1348" s="1999"/>
      <c r="K1348" s="1547"/>
      <c r="L1348" s="866" t="n">
        <v>20</v>
      </c>
      <c r="M1348" s="866" t="n">
        <v>20</v>
      </c>
      <c r="N1348" s="866" t="n">
        <f aca="false">M1348/H1346</f>
        <v>2</v>
      </c>
      <c r="O1348" s="543" t="s">
        <v>3491</v>
      </c>
      <c r="P1348" s="1978"/>
      <c r="Q1348" s="1978"/>
      <c r="R1348" s="1979"/>
    </row>
    <row r="1349" customFormat="false" ht="14.25" hidden="false" customHeight="false" outlineLevel="0" collapsed="false">
      <c r="A1349" s="1465"/>
      <c r="B1349" s="1546"/>
      <c r="C1349" s="1975"/>
      <c r="D1349" s="904" t="s">
        <v>21</v>
      </c>
      <c r="E1349" s="1546"/>
      <c r="F1349" s="1328"/>
      <c r="G1349" s="2011"/>
      <c r="H1349" s="1036"/>
      <c r="I1349" s="1036"/>
      <c r="J1349" s="1999"/>
      <c r="K1349" s="1547"/>
      <c r="L1349" s="891" t="n">
        <v>330</v>
      </c>
      <c r="M1349" s="891" t="n">
        <v>330</v>
      </c>
      <c r="N1349" s="891" t="n">
        <f aca="false">M1349/H1346</f>
        <v>33</v>
      </c>
      <c r="O1349" s="942" t="s">
        <v>595</v>
      </c>
      <c r="P1349" s="1978"/>
      <c r="Q1349" s="1978"/>
      <c r="R1349" s="1979"/>
    </row>
    <row r="1350" customFormat="false" ht="14.25" hidden="false" customHeight="false" outlineLevel="0" collapsed="false">
      <c r="A1350" s="829" t="n">
        <v>484</v>
      </c>
      <c r="B1350" s="830" t="n">
        <v>2024</v>
      </c>
      <c r="C1350" s="1965" t="n">
        <v>45931</v>
      </c>
      <c r="D1350" s="831" t="s">
        <v>21</v>
      </c>
      <c r="E1350" s="830"/>
      <c r="F1350" s="832" t="s">
        <v>3364</v>
      </c>
      <c r="G1350" s="1303" t="n">
        <v>1000</v>
      </c>
      <c r="H1350" s="837" t="n">
        <v>10</v>
      </c>
      <c r="I1350" s="837" t="n">
        <f aca="false">G1350*H1350</f>
        <v>10000</v>
      </c>
      <c r="J1350" s="1059" t="n">
        <v>1</v>
      </c>
      <c r="K1350" s="943" t="n">
        <f aca="false">I1350*J1350</f>
        <v>10000</v>
      </c>
      <c r="L1350" s="840" t="n">
        <v>150</v>
      </c>
      <c r="M1350" s="840" t="n">
        <v>150</v>
      </c>
      <c r="N1350" s="886" t="n">
        <f aca="false">M1350/H1350</f>
        <v>15</v>
      </c>
      <c r="O1350" s="1114" t="s">
        <v>3474</v>
      </c>
      <c r="P1350" s="2042" t="n">
        <f aca="false">K1350-L1350-L1354-L1353-L1351-L1352</f>
        <v>0</v>
      </c>
      <c r="Q1350" s="2042" t="n">
        <f aca="false">I1350-M1350-M1354-M1353-M1351-M1352</f>
        <v>0</v>
      </c>
      <c r="R1350" s="2043" t="n">
        <f aca="false">G1350-N1350-N1354-N1353-N1351-N1352</f>
        <v>0</v>
      </c>
    </row>
    <row r="1351" customFormat="false" ht="14.25" hidden="false" customHeight="false" outlineLevel="0" collapsed="false">
      <c r="A1351" s="829"/>
      <c r="B1351" s="830"/>
      <c r="C1351" s="1965"/>
      <c r="D1351" s="848" t="s">
        <v>21</v>
      </c>
      <c r="E1351" s="830"/>
      <c r="F1351" s="832"/>
      <c r="G1351" s="1303"/>
      <c r="H1351" s="837"/>
      <c r="I1351" s="837"/>
      <c r="J1351" s="1059"/>
      <c r="K1351" s="943"/>
      <c r="L1351" s="854" t="n">
        <v>10</v>
      </c>
      <c r="M1351" s="854" t="n">
        <v>10</v>
      </c>
      <c r="N1351" s="866" t="n">
        <f aca="false">M1351/H1350</f>
        <v>1</v>
      </c>
      <c r="O1351" s="537" t="s">
        <v>3492</v>
      </c>
      <c r="P1351" s="2042"/>
      <c r="Q1351" s="2042"/>
      <c r="R1351" s="2043"/>
    </row>
    <row r="1352" customFormat="false" ht="14.25" hidden="false" customHeight="false" outlineLevel="0" collapsed="false">
      <c r="A1352" s="829"/>
      <c r="B1352" s="830"/>
      <c r="C1352" s="1965"/>
      <c r="D1352" s="848" t="s">
        <v>21</v>
      </c>
      <c r="E1352" s="830"/>
      <c r="F1352" s="832"/>
      <c r="G1352" s="1303"/>
      <c r="H1352" s="837"/>
      <c r="I1352" s="837"/>
      <c r="J1352" s="1059"/>
      <c r="K1352" s="943"/>
      <c r="L1352" s="854" t="n">
        <v>200</v>
      </c>
      <c r="M1352" s="854" t="n">
        <v>200</v>
      </c>
      <c r="N1352" s="866" t="n">
        <f aca="false">M1352/H1350</f>
        <v>20</v>
      </c>
      <c r="O1352" s="537" t="s">
        <v>977</v>
      </c>
      <c r="P1352" s="2042"/>
      <c r="Q1352" s="2042"/>
      <c r="R1352" s="2043"/>
    </row>
    <row r="1353" customFormat="false" ht="14.25" hidden="false" customHeight="false" outlineLevel="0" collapsed="false">
      <c r="A1353" s="829"/>
      <c r="B1353" s="830"/>
      <c r="C1353" s="1965"/>
      <c r="D1353" s="860" t="s">
        <v>21</v>
      </c>
      <c r="E1353" s="830"/>
      <c r="F1353" s="832"/>
      <c r="G1353" s="1303"/>
      <c r="H1353" s="837"/>
      <c r="I1353" s="837"/>
      <c r="J1353" s="1059"/>
      <c r="K1353" s="943"/>
      <c r="L1353" s="866" t="n">
        <v>6290</v>
      </c>
      <c r="M1353" s="866" t="n">
        <v>6290</v>
      </c>
      <c r="N1353" s="866" t="n">
        <f aca="false">M1353/H1350</f>
        <v>629</v>
      </c>
      <c r="O1353" s="543" t="s">
        <v>595</v>
      </c>
      <c r="P1353" s="2042"/>
      <c r="Q1353" s="2042"/>
      <c r="R1353" s="2043"/>
    </row>
    <row r="1354" customFormat="false" ht="14.25" hidden="false" customHeight="false" outlineLevel="0" collapsed="false">
      <c r="A1354" s="829"/>
      <c r="B1354" s="830"/>
      <c r="C1354" s="1965"/>
      <c r="D1354" s="887" t="s">
        <v>21</v>
      </c>
      <c r="E1354" s="830"/>
      <c r="F1354" s="832"/>
      <c r="G1354" s="1303"/>
      <c r="H1354" s="837"/>
      <c r="I1354" s="837"/>
      <c r="J1354" s="1059"/>
      <c r="K1354" s="943"/>
      <c r="L1354" s="890" t="n">
        <v>3350</v>
      </c>
      <c r="M1354" s="890" t="n">
        <v>3350</v>
      </c>
      <c r="N1354" s="890" t="n">
        <f aca="false">M1354/H1350</f>
        <v>335</v>
      </c>
      <c r="O1354" s="1067" t="s">
        <v>594</v>
      </c>
      <c r="P1354" s="2042"/>
      <c r="Q1354" s="2042"/>
      <c r="R1354" s="2043"/>
    </row>
    <row r="1355" customFormat="false" ht="14.25" hidden="false" customHeight="false" outlineLevel="0" collapsed="false">
      <c r="A1355" s="903" t="n">
        <v>485</v>
      </c>
      <c r="B1355" s="903" t="n">
        <v>2024</v>
      </c>
      <c r="C1355" s="1974" t="n">
        <v>45931</v>
      </c>
      <c r="D1355" s="904" t="s">
        <v>21</v>
      </c>
      <c r="E1355" s="903"/>
      <c r="F1355" s="904" t="s">
        <v>3364</v>
      </c>
      <c r="G1355" s="2012" t="n">
        <v>338</v>
      </c>
      <c r="H1355" s="942" t="n">
        <v>10</v>
      </c>
      <c r="I1355" s="1355" t="n">
        <f aca="false">G1355*H1355</f>
        <v>3380</v>
      </c>
      <c r="J1355" s="2040" t="n">
        <v>1</v>
      </c>
      <c r="K1355" s="1942" t="n">
        <f aca="false">I1355*J1355</f>
        <v>3380</v>
      </c>
      <c r="L1355" s="891" t="n">
        <v>3380</v>
      </c>
      <c r="M1355" s="891" t="n">
        <v>3380</v>
      </c>
      <c r="N1355" s="877" t="n">
        <f aca="false">M1355/H1355</f>
        <v>338</v>
      </c>
      <c r="O1355" s="942" t="s">
        <v>595</v>
      </c>
      <c r="P1355" s="1964" t="n">
        <f aca="false">K1355-L1355</f>
        <v>0</v>
      </c>
      <c r="Q1355" s="1945" t="n">
        <f aca="false">I1355-M1355</f>
        <v>0</v>
      </c>
      <c r="R1355" s="1945" t="n">
        <f aca="false">G1355-N1355</f>
        <v>0</v>
      </c>
    </row>
    <row r="1356" customFormat="false" ht="14.25" hidden="false" customHeight="false" outlineLevel="0" collapsed="false">
      <c r="A1356" s="1027" t="n">
        <v>585</v>
      </c>
      <c r="B1356" s="1546" t="n">
        <v>2024</v>
      </c>
      <c r="C1356" s="1975" t="n">
        <v>45962</v>
      </c>
      <c r="D1356" s="831" t="s">
        <v>21</v>
      </c>
      <c r="E1356" s="1028"/>
      <c r="F1356" s="1328" t="s">
        <v>3364</v>
      </c>
      <c r="G1356" s="2011" t="n">
        <v>333</v>
      </c>
      <c r="H1356" s="1036" t="n">
        <v>15</v>
      </c>
      <c r="I1356" s="1036" t="n">
        <f aca="false">G1356*H1356</f>
        <v>4995</v>
      </c>
      <c r="J1356" s="2044" t="n">
        <v>1</v>
      </c>
      <c r="K1356" s="1547" t="n">
        <f aca="false">I1356*J1356</f>
        <v>4995</v>
      </c>
      <c r="L1356" s="840" t="n">
        <v>480</v>
      </c>
      <c r="M1356" s="840" t="n">
        <v>480</v>
      </c>
      <c r="N1356" s="886" t="n">
        <f aca="false">M1356/H1356</f>
        <v>32</v>
      </c>
      <c r="O1356" s="1114" t="s">
        <v>512</v>
      </c>
      <c r="P1356" s="1978" t="n">
        <f aca="false">K1356-L1356-L1358-L1357</f>
        <v>105</v>
      </c>
      <c r="Q1356" s="1978" t="n">
        <f aca="false">I1356-M1356-M1358-M1357</f>
        <v>105</v>
      </c>
      <c r="R1356" s="1979" t="n">
        <f aca="false">G1356-N1356-N1358-N1357</f>
        <v>7</v>
      </c>
    </row>
    <row r="1357" customFormat="false" ht="14.25" hidden="false" customHeight="false" outlineLevel="0" collapsed="false">
      <c r="A1357" s="1027"/>
      <c r="B1357" s="1546"/>
      <c r="C1357" s="1975"/>
      <c r="D1357" s="860" t="s">
        <v>21</v>
      </c>
      <c r="E1357" s="1028"/>
      <c r="F1357" s="1328"/>
      <c r="G1357" s="2011"/>
      <c r="H1357" s="1036"/>
      <c r="I1357" s="1036"/>
      <c r="J1357" s="2044"/>
      <c r="K1357" s="1547"/>
      <c r="L1357" s="866" t="n">
        <v>1410</v>
      </c>
      <c r="M1357" s="866" t="n">
        <v>1410</v>
      </c>
      <c r="N1357" s="866" t="n">
        <f aca="false">M1357/H1356</f>
        <v>94</v>
      </c>
      <c r="O1357" s="543" t="s">
        <v>1340</v>
      </c>
      <c r="P1357" s="1978"/>
      <c r="Q1357" s="1978"/>
      <c r="R1357" s="1979"/>
    </row>
    <row r="1358" customFormat="false" ht="14.25" hidden="false" customHeight="false" outlineLevel="0" collapsed="false">
      <c r="A1358" s="1027"/>
      <c r="B1358" s="1546"/>
      <c r="C1358" s="1975"/>
      <c r="D1358" s="904" t="s">
        <v>21</v>
      </c>
      <c r="E1358" s="1028"/>
      <c r="F1358" s="1328"/>
      <c r="G1358" s="2011"/>
      <c r="H1358" s="1036"/>
      <c r="I1358" s="1036"/>
      <c r="J1358" s="2044"/>
      <c r="K1358" s="1547"/>
      <c r="L1358" s="891" t="n">
        <v>3000</v>
      </c>
      <c r="M1358" s="891" t="n">
        <v>3000</v>
      </c>
      <c r="N1358" s="891" t="n">
        <f aca="false">M1358/H1356</f>
        <v>200</v>
      </c>
      <c r="O1358" s="942" t="s">
        <v>847</v>
      </c>
      <c r="P1358" s="1978"/>
      <c r="Q1358" s="1978"/>
      <c r="R1358" s="1979"/>
    </row>
    <row r="1359" customFormat="false" ht="14.25" hidden="false" customHeight="false" outlineLevel="0" collapsed="false">
      <c r="A1359" s="829" t="n">
        <v>684</v>
      </c>
      <c r="B1359" s="830" t="n">
        <v>2024</v>
      </c>
      <c r="C1359" s="1965" t="n">
        <v>45992</v>
      </c>
      <c r="D1359" s="831" t="s">
        <v>21</v>
      </c>
      <c r="E1359" s="830"/>
      <c r="F1359" s="830" t="s">
        <v>3364</v>
      </c>
      <c r="G1359" s="2010" t="n">
        <v>1000</v>
      </c>
      <c r="H1359" s="837" t="n">
        <v>10</v>
      </c>
      <c r="I1359" s="837" t="n">
        <f aca="false">G1359*H1359</f>
        <v>10000</v>
      </c>
      <c r="J1359" s="1932" t="n">
        <v>1</v>
      </c>
      <c r="K1359" s="943" t="n">
        <f aca="false">I1359*J1359</f>
        <v>10000</v>
      </c>
      <c r="L1359" s="840" t="n">
        <v>1200</v>
      </c>
      <c r="M1359" s="840" t="n">
        <v>1200</v>
      </c>
      <c r="N1359" s="840" t="n">
        <f aca="false">M1359/H1359</f>
        <v>120</v>
      </c>
      <c r="O1359" s="1114" t="s">
        <v>1118</v>
      </c>
      <c r="P1359" s="1934" t="n">
        <f aca="false">K1359-L1359-L1360</f>
        <v>7100</v>
      </c>
      <c r="Q1359" s="1934" t="n">
        <f aca="false">I1359-M1359-M1360</f>
        <v>7100</v>
      </c>
      <c r="R1359" s="1935" t="n">
        <f aca="false">G1359-N1359-N1360</f>
        <v>710</v>
      </c>
    </row>
    <row r="1360" customFormat="false" ht="14.25" hidden="false" customHeight="false" outlineLevel="0" collapsed="false">
      <c r="A1360" s="829"/>
      <c r="B1360" s="830"/>
      <c r="C1360" s="1965"/>
      <c r="D1360" s="843" t="s">
        <v>21</v>
      </c>
      <c r="E1360" s="830"/>
      <c r="F1360" s="830"/>
      <c r="G1360" s="2010"/>
      <c r="H1360" s="837"/>
      <c r="I1360" s="837"/>
      <c r="J1360" s="1932"/>
      <c r="K1360" s="943"/>
      <c r="L1360" s="846" t="n">
        <v>1700</v>
      </c>
      <c r="M1360" s="846" t="n">
        <v>1700</v>
      </c>
      <c r="N1360" s="846" t="n">
        <f aca="false">M1360/H1359</f>
        <v>170</v>
      </c>
      <c r="O1360" s="589" t="s">
        <v>1203</v>
      </c>
      <c r="P1360" s="1934"/>
      <c r="Q1360" s="1934"/>
      <c r="R1360" s="1935"/>
    </row>
    <row r="1361" customFormat="false" ht="14.25" hidden="false" customHeight="false" outlineLevel="0" collapsed="false">
      <c r="A1361" s="1087" t="n">
        <v>685</v>
      </c>
      <c r="B1361" s="1072" t="n">
        <v>2024</v>
      </c>
      <c r="C1361" s="1980" t="n">
        <v>45992</v>
      </c>
      <c r="D1361" s="848" t="s">
        <v>21</v>
      </c>
      <c r="E1361" s="1061"/>
      <c r="F1361" s="887" t="s">
        <v>3364</v>
      </c>
      <c r="G1361" s="2017" t="n">
        <v>100</v>
      </c>
      <c r="H1361" s="1067" t="n">
        <v>10</v>
      </c>
      <c r="I1361" s="1067" t="n">
        <f aca="false">G1361*H1361</f>
        <v>1000</v>
      </c>
      <c r="J1361" s="1951" t="n">
        <v>1</v>
      </c>
      <c r="K1361" s="1452" t="n">
        <f aca="false">I1361*J1361</f>
        <v>1000</v>
      </c>
      <c r="L1361" s="854" t="n">
        <v>200</v>
      </c>
      <c r="M1361" s="854" t="n">
        <v>200</v>
      </c>
      <c r="N1361" s="854" t="n">
        <f aca="false">M1361/H1361</f>
        <v>20</v>
      </c>
      <c r="O1361" s="537" t="s">
        <v>3493</v>
      </c>
      <c r="P1361" s="1953" t="n">
        <f aca="false">K1361-L1361-L1362</f>
        <v>0</v>
      </c>
      <c r="Q1361" s="1953" t="n">
        <f aca="false">I1361-M1361-M1362</f>
        <v>0</v>
      </c>
      <c r="R1361" s="1954" t="n">
        <f aca="false">G1361-N1361-N1362</f>
        <v>0</v>
      </c>
    </row>
    <row r="1362" customFormat="false" ht="14.25" hidden="false" customHeight="false" outlineLevel="0" collapsed="false">
      <c r="A1362" s="1087"/>
      <c r="B1362" s="1072"/>
      <c r="C1362" s="1980"/>
      <c r="D1362" s="843" t="s">
        <v>21</v>
      </c>
      <c r="E1362" s="1061"/>
      <c r="F1362" s="887"/>
      <c r="G1362" s="2017"/>
      <c r="H1362" s="1067"/>
      <c r="I1362" s="1067"/>
      <c r="J1362" s="1951"/>
      <c r="K1362" s="1452"/>
      <c r="L1362" s="846" t="n">
        <v>800</v>
      </c>
      <c r="M1362" s="846" t="n">
        <v>800</v>
      </c>
      <c r="N1362" s="846" t="n">
        <f aca="false">M1362/H1361</f>
        <v>80</v>
      </c>
      <c r="O1362" s="589" t="s">
        <v>1118</v>
      </c>
      <c r="P1362" s="1953"/>
      <c r="Q1362" s="1953"/>
      <c r="R1362" s="1954"/>
    </row>
    <row r="1363" customFormat="false" ht="14.25" hidden="false" customHeight="false" outlineLevel="0" collapsed="false">
      <c r="A1363" s="847"/>
      <c r="B1363" s="1396"/>
      <c r="C1363" s="1966"/>
      <c r="D1363" s="848"/>
      <c r="E1363" s="848"/>
      <c r="F1363" s="848"/>
      <c r="G1363" s="2018"/>
      <c r="H1363" s="537"/>
      <c r="I1363" s="537"/>
      <c r="J1363" s="2045"/>
      <c r="K1363" s="953"/>
      <c r="L1363" s="854"/>
      <c r="M1363" s="854"/>
      <c r="N1363" s="1512"/>
      <c r="O1363" s="537"/>
      <c r="P1363" s="1986"/>
      <c r="Q1363" s="2027"/>
      <c r="R1363" s="2027"/>
    </row>
    <row r="1364" customFormat="false" ht="14.25" hidden="false" customHeight="false" outlineLevel="0" collapsed="false">
      <c r="A1364" s="859" t="n">
        <v>359</v>
      </c>
      <c r="B1364" s="2020" t="n">
        <v>2022</v>
      </c>
      <c r="C1364" s="1990"/>
      <c r="D1364" s="860" t="s">
        <v>13</v>
      </c>
      <c r="E1364" s="860" t="s">
        <v>2130</v>
      </c>
      <c r="F1364" s="860" t="s">
        <v>3364</v>
      </c>
      <c r="G1364" s="2021" t="n">
        <v>3</v>
      </c>
      <c r="H1364" s="543" t="n">
        <v>25</v>
      </c>
      <c r="I1364" s="1521" t="n">
        <f aca="false">G1364*H1364</f>
        <v>75</v>
      </c>
      <c r="J1364" s="2046" t="n">
        <v>40</v>
      </c>
      <c r="K1364" s="1992" t="n">
        <f aca="false">I1364*J1364</f>
        <v>3000</v>
      </c>
      <c r="L1364" s="866" t="n">
        <v>3000</v>
      </c>
      <c r="M1364" s="866" t="n">
        <v>75</v>
      </c>
      <c r="N1364" s="866" t="n">
        <f aca="false">M1364/H1364</f>
        <v>3</v>
      </c>
      <c r="O1364" s="543" t="s">
        <v>3373</v>
      </c>
      <c r="P1364" s="1993" t="n">
        <f aca="false">K1364-L1364</f>
        <v>0</v>
      </c>
      <c r="Q1364" s="1994" t="n">
        <f aca="false">I1364-M1364</f>
        <v>0</v>
      </c>
      <c r="R1364" s="1994" t="n">
        <f aca="false">G1364-N1364</f>
        <v>0</v>
      </c>
    </row>
    <row r="1365" customFormat="false" ht="14.25" hidden="false" customHeight="false" outlineLevel="0" collapsed="false">
      <c r="A1365" s="870" t="n">
        <v>417</v>
      </c>
      <c r="B1365" s="1495" t="n">
        <v>2022</v>
      </c>
      <c r="C1365" s="1972"/>
      <c r="D1365" s="871" t="s">
        <v>13</v>
      </c>
      <c r="E1365" s="871" t="s">
        <v>2130</v>
      </c>
      <c r="F1365" s="871" t="s">
        <v>3364</v>
      </c>
      <c r="G1365" s="2024" t="n">
        <v>2</v>
      </c>
      <c r="H1365" s="553" t="n">
        <v>25</v>
      </c>
      <c r="I1365" s="1521" t="n">
        <f aca="false">G1365*H1365</f>
        <v>50</v>
      </c>
      <c r="J1365" s="2036" t="n">
        <v>40</v>
      </c>
      <c r="K1365" s="1992" t="n">
        <f aca="false">I1365*J1365</f>
        <v>2000</v>
      </c>
      <c r="L1365" s="877" t="n">
        <v>2000</v>
      </c>
      <c r="M1365" s="877" t="n">
        <v>50</v>
      </c>
      <c r="N1365" s="866" t="n">
        <f aca="false">M1365/H1365</f>
        <v>2</v>
      </c>
      <c r="O1365" s="553" t="s">
        <v>3373</v>
      </c>
      <c r="P1365" s="1993" t="n">
        <f aca="false">K1365-L1365</f>
        <v>0</v>
      </c>
      <c r="Q1365" s="1994" t="n">
        <f aca="false">I1365-M1365</f>
        <v>0</v>
      </c>
      <c r="R1365" s="1994" t="n">
        <f aca="false">G1365-N1365</f>
        <v>0</v>
      </c>
    </row>
    <row r="1366" customFormat="false" ht="14.25" hidden="false" customHeight="false" outlineLevel="0" collapsed="false">
      <c r="A1366" s="870" t="n">
        <v>524</v>
      </c>
      <c r="B1366" s="1495" t="n">
        <v>2022</v>
      </c>
      <c r="C1366" s="1972"/>
      <c r="D1366" s="871" t="s">
        <v>13</v>
      </c>
      <c r="E1366" s="871" t="s">
        <v>2131</v>
      </c>
      <c r="F1366" s="871" t="s">
        <v>3364</v>
      </c>
      <c r="G1366" s="2024" t="n">
        <v>2</v>
      </c>
      <c r="H1366" s="553" t="n">
        <v>25</v>
      </c>
      <c r="I1366" s="1587" t="n">
        <f aca="false">G1366*H1366</f>
        <v>50</v>
      </c>
      <c r="J1366" s="2036" t="n">
        <v>60</v>
      </c>
      <c r="K1366" s="1958" t="n">
        <f aca="false">I1366*J1366</f>
        <v>3000</v>
      </c>
      <c r="L1366" s="877" t="n">
        <v>3000</v>
      </c>
      <c r="M1366" s="877" t="n">
        <v>50</v>
      </c>
      <c r="N1366" s="866" t="n">
        <f aca="false">M1366/H1366</f>
        <v>2</v>
      </c>
      <c r="O1366" s="553" t="s">
        <v>3373</v>
      </c>
      <c r="P1366" s="1988" t="n">
        <f aca="false">K1366-L1366</f>
        <v>0</v>
      </c>
      <c r="Q1366" s="1960" t="n">
        <f aca="false">I1366-M1366</f>
        <v>0</v>
      </c>
      <c r="R1366" s="1960" t="n">
        <f aca="false">G1366-N1366</f>
        <v>0</v>
      </c>
    </row>
    <row r="1367" customFormat="false" ht="14.25" hidden="false" customHeight="false" outlineLevel="0" collapsed="false">
      <c r="A1367" s="870" t="n">
        <v>563</v>
      </c>
      <c r="B1367" s="1495" t="n">
        <v>2022</v>
      </c>
      <c r="C1367" s="1972"/>
      <c r="D1367" s="871" t="s">
        <v>13</v>
      </c>
      <c r="E1367" s="871" t="s">
        <v>2130</v>
      </c>
      <c r="F1367" s="871" t="s">
        <v>3364</v>
      </c>
      <c r="G1367" s="2024" t="n">
        <v>3</v>
      </c>
      <c r="H1367" s="553" t="n">
        <v>25</v>
      </c>
      <c r="I1367" s="1587" t="n">
        <f aca="false">G1367*H1367</f>
        <v>75</v>
      </c>
      <c r="J1367" s="2036" t="n">
        <v>40</v>
      </c>
      <c r="K1367" s="1958" t="n">
        <f aca="false">I1367*J1367</f>
        <v>3000</v>
      </c>
      <c r="L1367" s="877" t="n">
        <v>3000</v>
      </c>
      <c r="M1367" s="877" t="n">
        <v>75</v>
      </c>
      <c r="N1367" s="854" t="n">
        <f aca="false">M1367/H1367</f>
        <v>3</v>
      </c>
      <c r="O1367" s="553" t="s">
        <v>3373</v>
      </c>
      <c r="P1367" s="1988" t="n">
        <f aca="false">K1367-L1367</f>
        <v>0</v>
      </c>
      <c r="Q1367" s="1960" t="n">
        <f aca="false">I1367-M1367</f>
        <v>0</v>
      </c>
      <c r="R1367" s="1960" t="n">
        <f aca="false">G1367-N1367</f>
        <v>0</v>
      </c>
    </row>
    <row r="1368" customFormat="false" ht="14.25" hidden="false" customHeight="false" outlineLevel="0" collapsed="false">
      <c r="A1368" s="829" t="n">
        <v>355</v>
      </c>
      <c r="B1368" s="830" t="n">
        <v>2023</v>
      </c>
      <c r="C1368" s="1965" t="n">
        <v>45536</v>
      </c>
      <c r="D1368" s="831" t="s">
        <v>13</v>
      </c>
      <c r="E1368" s="1365" t="s">
        <v>2130</v>
      </c>
      <c r="F1368" s="832" t="s">
        <v>3364</v>
      </c>
      <c r="G1368" s="1931" t="n">
        <v>88</v>
      </c>
      <c r="H1368" s="837" t="n">
        <v>25</v>
      </c>
      <c r="I1368" s="837" t="n">
        <f aca="false">G1368*H1368</f>
        <v>2200</v>
      </c>
      <c r="J1368" s="1059" t="n">
        <v>43.6293</v>
      </c>
      <c r="K1368" s="943" t="n">
        <f aca="false">I1368*J1368</f>
        <v>95984.46</v>
      </c>
      <c r="L1368" s="840" t="n">
        <v>87258.6</v>
      </c>
      <c r="M1368" s="840" t="n">
        <v>2000</v>
      </c>
      <c r="N1368" s="886" t="n">
        <f aca="false">M1368/H1368</f>
        <v>80</v>
      </c>
      <c r="O1368" s="1114" t="n">
        <v>85449</v>
      </c>
      <c r="P1368" s="1934" t="n">
        <f aca="false">K1368-L1368-L1371-L1369-L1370</f>
        <v>0</v>
      </c>
      <c r="Q1368" s="1934" t="n">
        <f aca="false">I1368-M1368-M1371-M1369-M1370</f>
        <v>0</v>
      </c>
      <c r="R1368" s="1935" t="n">
        <f aca="false">G1368-N1368-N1371-N1369-N1370</f>
        <v>0</v>
      </c>
    </row>
    <row r="1369" customFormat="false" ht="14.25" hidden="false" customHeight="false" outlineLevel="0" collapsed="false">
      <c r="A1369" s="829"/>
      <c r="B1369" s="830"/>
      <c r="C1369" s="1965"/>
      <c r="D1369" s="860" t="s">
        <v>13</v>
      </c>
      <c r="E1369" s="1480" t="s">
        <v>2130</v>
      </c>
      <c r="F1369" s="832"/>
      <c r="G1369" s="1931"/>
      <c r="H1369" s="837"/>
      <c r="I1369" s="837"/>
      <c r="J1369" s="1059"/>
      <c r="K1369" s="943"/>
      <c r="L1369" s="866" t="n">
        <v>5453.6625</v>
      </c>
      <c r="M1369" s="866" t="n">
        <v>125</v>
      </c>
      <c r="N1369" s="866" t="n">
        <f aca="false">M1369/H1368</f>
        <v>5</v>
      </c>
      <c r="O1369" s="543" t="n">
        <v>86387</v>
      </c>
      <c r="P1369" s="1934"/>
      <c r="Q1369" s="1934"/>
      <c r="R1369" s="1935"/>
    </row>
    <row r="1370" customFormat="false" ht="14.25" hidden="false" customHeight="false" outlineLevel="0" collapsed="false">
      <c r="A1370" s="829"/>
      <c r="B1370" s="830"/>
      <c r="C1370" s="1965"/>
      <c r="D1370" s="860" t="s">
        <v>13</v>
      </c>
      <c r="E1370" s="1480" t="s">
        <v>2130</v>
      </c>
      <c r="F1370" s="832"/>
      <c r="G1370" s="1931"/>
      <c r="H1370" s="837"/>
      <c r="I1370" s="837"/>
      <c r="J1370" s="1059"/>
      <c r="K1370" s="943"/>
      <c r="L1370" s="866" t="n">
        <v>2181.465</v>
      </c>
      <c r="M1370" s="866" t="n">
        <v>50</v>
      </c>
      <c r="N1370" s="866" t="n">
        <f aca="false">M1370/H1368</f>
        <v>2</v>
      </c>
      <c r="O1370" s="543" t="s">
        <v>3373</v>
      </c>
      <c r="P1370" s="1934"/>
      <c r="Q1370" s="1934"/>
      <c r="R1370" s="1935"/>
    </row>
    <row r="1371" customFormat="false" ht="14.25" hidden="false" customHeight="false" outlineLevel="0" collapsed="false">
      <c r="A1371" s="829"/>
      <c r="B1371" s="830"/>
      <c r="C1371" s="1965"/>
      <c r="D1371" s="843" t="s">
        <v>13</v>
      </c>
      <c r="E1371" s="1357" t="s">
        <v>2130</v>
      </c>
      <c r="F1371" s="832"/>
      <c r="G1371" s="1931"/>
      <c r="H1371" s="837"/>
      <c r="I1371" s="837"/>
      <c r="J1371" s="1059"/>
      <c r="K1371" s="943"/>
      <c r="L1371" s="846" t="n">
        <v>1090.7325</v>
      </c>
      <c r="M1371" s="846" t="n">
        <v>25</v>
      </c>
      <c r="N1371" s="846" t="n">
        <f aca="false">M1371/H1368</f>
        <v>1</v>
      </c>
      <c r="O1371" s="589" t="n">
        <v>85767</v>
      </c>
      <c r="P1371" s="1934"/>
      <c r="Q1371" s="1934"/>
      <c r="R1371" s="1935"/>
    </row>
    <row r="1372" customFormat="false" ht="14.25" hidden="false" customHeight="false" outlineLevel="0" collapsed="false">
      <c r="A1372" s="1344" t="n">
        <v>425</v>
      </c>
      <c r="B1372" s="903" t="n">
        <v>2023</v>
      </c>
      <c r="C1372" s="1974" t="n">
        <v>45566</v>
      </c>
      <c r="D1372" s="904" t="s">
        <v>13</v>
      </c>
      <c r="E1372" s="1351" t="s">
        <v>1651</v>
      </c>
      <c r="F1372" s="904" t="s">
        <v>3367</v>
      </c>
      <c r="G1372" s="1940" t="n">
        <v>216</v>
      </c>
      <c r="H1372" s="942" t="n">
        <v>15</v>
      </c>
      <c r="I1372" s="942" t="n">
        <f aca="false">G1372*H1372</f>
        <v>3240</v>
      </c>
      <c r="J1372" s="1406" t="n">
        <v>22.5</v>
      </c>
      <c r="K1372" s="948" t="n">
        <f aca="false">I1372*J1372</f>
        <v>72900</v>
      </c>
      <c r="L1372" s="891" t="n">
        <v>72900</v>
      </c>
      <c r="M1372" s="891" t="n">
        <v>3240</v>
      </c>
      <c r="N1372" s="840" t="n">
        <f aca="false">M1372/H1372</f>
        <v>216</v>
      </c>
      <c r="O1372" s="942" t="s">
        <v>1375</v>
      </c>
      <c r="P1372" s="1993" t="n">
        <f aca="false">K1372-L1372</f>
        <v>0</v>
      </c>
      <c r="Q1372" s="1994" t="n">
        <f aca="false">I1372-M1372</f>
        <v>0</v>
      </c>
      <c r="R1372" s="1994" t="n">
        <f aca="false">G1372-N1372</f>
        <v>0</v>
      </c>
    </row>
    <row r="1373" customFormat="false" ht="14.25" hidden="false" customHeight="false" outlineLevel="0" collapsed="false">
      <c r="A1373" s="1027" t="n">
        <v>438</v>
      </c>
      <c r="B1373" s="1546" t="n">
        <v>2023</v>
      </c>
      <c r="C1373" s="1975" t="n">
        <v>45566</v>
      </c>
      <c r="D1373" s="831" t="s">
        <v>13</v>
      </c>
      <c r="E1373" s="1365" t="s">
        <v>2131</v>
      </c>
      <c r="F1373" s="1328" t="s">
        <v>3364</v>
      </c>
      <c r="G1373" s="1976" t="n">
        <v>17</v>
      </c>
      <c r="H1373" s="1036" t="n">
        <v>25</v>
      </c>
      <c r="I1373" s="1036" t="n">
        <f aca="false">G1373*H1373</f>
        <v>425</v>
      </c>
      <c r="J1373" s="1557" t="n">
        <v>63.9238</v>
      </c>
      <c r="K1373" s="1547" t="n">
        <f aca="false">I1373*J1373</f>
        <v>27167.615</v>
      </c>
      <c r="L1373" s="840" t="n">
        <v>25569.52</v>
      </c>
      <c r="M1373" s="840" t="n">
        <v>400</v>
      </c>
      <c r="N1373" s="840" t="n">
        <f aca="false">M1373/H1373</f>
        <v>16</v>
      </c>
      <c r="O1373" s="1114" t="n">
        <v>85609</v>
      </c>
      <c r="P1373" s="1978" t="n">
        <f aca="false">K1373-L1373-L1374</f>
        <v>0</v>
      </c>
      <c r="Q1373" s="1978" t="n">
        <f aca="false">I1373-M1373-M1374</f>
        <v>0</v>
      </c>
      <c r="R1373" s="1979" t="n">
        <f aca="false">G1373-N1373-N1374</f>
        <v>0</v>
      </c>
    </row>
    <row r="1374" customFormat="false" ht="14.25" hidden="false" customHeight="false" outlineLevel="0" collapsed="false">
      <c r="A1374" s="1027"/>
      <c r="B1374" s="1546"/>
      <c r="C1374" s="1975"/>
      <c r="D1374" s="904" t="s">
        <v>13</v>
      </c>
      <c r="E1374" s="1351" t="s">
        <v>2131</v>
      </c>
      <c r="F1374" s="1328"/>
      <c r="G1374" s="1976"/>
      <c r="H1374" s="1036"/>
      <c r="I1374" s="1036"/>
      <c r="J1374" s="1557"/>
      <c r="K1374" s="1547"/>
      <c r="L1374" s="891" t="n">
        <v>1598.095</v>
      </c>
      <c r="M1374" s="891" t="n">
        <v>25</v>
      </c>
      <c r="N1374" s="891" t="n">
        <f aca="false">M1374/H1373</f>
        <v>1</v>
      </c>
      <c r="O1374" s="942" t="s">
        <v>3373</v>
      </c>
      <c r="P1374" s="1978"/>
      <c r="Q1374" s="1978"/>
      <c r="R1374" s="1979"/>
    </row>
    <row r="1375" customFormat="false" ht="14.25" hidden="false" customHeight="false" outlineLevel="0" collapsed="false">
      <c r="A1375" s="829" t="n">
        <v>576</v>
      </c>
      <c r="B1375" s="830" t="n">
        <v>2023</v>
      </c>
      <c r="C1375" s="1965" t="n">
        <v>45627</v>
      </c>
      <c r="D1375" s="831" t="s">
        <v>13</v>
      </c>
      <c r="E1375" s="1365" t="s">
        <v>2619</v>
      </c>
      <c r="F1375" s="832" t="s">
        <v>3364</v>
      </c>
      <c r="G1375" s="1931" t="n">
        <v>104</v>
      </c>
      <c r="H1375" s="837" t="n">
        <v>30</v>
      </c>
      <c r="I1375" s="837" t="n">
        <f aca="false">G1375*H1375</f>
        <v>3120</v>
      </c>
      <c r="J1375" s="1059" t="n">
        <v>92.8</v>
      </c>
      <c r="K1375" s="943" t="n">
        <f aca="false">I1375*J1375</f>
        <v>289536</v>
      </c>
      <c r="L1375" s="840" t="n">
        <v>150336</v>
      </c>
      <c r="M1375" s="840" t="n">
        <v>1620</v>
      </c>
      <c r="N1375" s="840" t="n">
        <f aca="false">M1375/H1375</f>
        <v>54</v>
      </c>
      <c r="O1375" s="1114" t="n">
        <v>86445</v>
      </c>
      <c r="P1375" s="1948" t="n">
        <f aca="false">K1375-L1375-L1376</f>
        <v>0</v>
      </c>
      <c r="Q1375" s="1934" t="n">
        <f aca="false">I1375-M1375-M1376</f>
        <v>0</v>
      </c>
      <c r="R1375" s="1935" t="n">
        <f aca="false">G1375-N1375-N1376</f>
        <v>0</v>
      </c>
    </row>
    <row r="1376" customFormat="false" ht="14.25" hidden="false" customHeight="false" outlineLevel="0" collapsed="false">
      <c r="A1376" s="829"/>
      <c r="B1376" s="830"/>
      <c r="C1376" s="1965"/>
      <c r="D1376" s="843" t="s">
        <v>13</v>
      </c>
      <c r="E1376" s="1357" t="s">
        <v>2619</v>
      </c>
      <c r="F1376" s="832"/>
      <c r="G1376" s="1931"/>
      <c r="H1376" s="837"/>
      <c r="I1376" s="837"/>
      <c r="J1376" s="1059"/>
      <c r="K1376" s="943"/>
      <c r="L1376" s="846" t="n">
        <v>139200</v>
      </c>
      <c r="M1376" s="846" t="n">
        <v>1500</v>
      </c>
      <c r="N1376" s="846" t="n">
        <f aca="false">M1376/H1375</f>
        <v>50</v>
      </c>
      <c r="O1376" s="589" t="s">
        <v>3494</v>
      </c>
      <c r="P1376" s="1948"/>
      <c r="Q1376" s="1934"/>
      <c r="R1376" s="1935"/>
    </row>
    <row r="1377" customFormat="false" ht="14.25" hidden="false" customHeight="false" outlineLevel="0" collapsed="false">
      <c r="A1377" s="1087" t="n">
        <v>577</v>
      </c>
      <c r="B1377" s="1072" t="n">
        <v>2023</v>
      </c>
      <c r="C1377" s="1980" t="n">
        <v>45627</v>
      </c>
      <c r="D1377" s="848" t="s">
        <v>13</v>
      </c>
      <c r="E1377" s="1479" t="s">
        <v>1652</v>
      </c>
      <c r="F1377" s="887" t="s">
        <v>3364</v>
      </c>
      <c r="G1377" s="1950" t="n">
        <v>666</v>
      </c>
      <c r="H1377" s="1067" t="n">
        <v>15</v>
      </c>
      <c r="I1377" s="1067" t="n">
        <f aca="false">G1377*H1377</f>
        <v>9990</v>
      </c>
      <c r="J1377" s="1063" t="n">
        <v>35.7</v>
      </c>
      <c r="K1377" s="1452" t="n">
        <f aca="false">I1377*J1377</f>
        <v>356643</v>
      </c>
      <c r="L1377" s="854" t="n">
        <v>89428.5</v>
      </c>
      <c r="M1377" s="854" t="n">
        <v>2505</v>
      </c>
      <c r="N1377" s="891" t="n">
        <f aca="false">M1377/H1377</f>
        <v>167</v>
      </c>
      <c r="O1377" s="537" t="n">
        <v>86055</v>
      </c>
      <c r="P1377" s="1953" t="n">
        <f aca="false">K1377-L1377-L1386-L1378-L1385-L1379-L1384-L1380-L1382-L1381-L1383</f>
        <v>0</v>
      </c>
      <c r="Q1377" s="1953" t="n">
        <f aca="false">I1377-M1377-M1386-M1378-M1385-M1379-M1384-M1380-M1382-M1381-M1383</f>
        <v>0</v>
      </c>
      <c r="R1377" s="1954" t="n">
        <f aca="false">G1377-N1377-N1386-N1378-N1385-N1379-N1384-N1380-N1382-N1381-N1383</f>
        <v>0</v>
      </c>
    </row>
    <row r="1378" customFormat="false" ht="14.25" hidden="false" customHeight="false" outlineLevel="0" collapsed="false">
      <c r="A1378" s="1087"/>
      <c r="B1378" s="1072"/>
      <c r="C1378" s="1980"/>
      <c r="D1378" s="860" t="s">
        <v>13</v>
      </c>
      <c r="E1378" s="1480" t="s">
        <v>1652</v>
      </c>
      <c r="F1378" s="887"/>
      <c r="G1378" s="1950"/>
      <c r="H1378" s="1067"/>
      <c r="I1378" s="1067"/>
      <c r="J1378" s="1063"/>
      <c r="K1378" s="1452"/>
      <c r="L1378" s="866" t="n">
        <v>37485</v>
      </c>
      <c r="M1378" s="866" t="n">
        <v>1050</v>
      </c>
      <c r="N1378" s="866" t="n">
        <f aca="false">M1378/H1377</f>
        <v>70</v>
      </c>
      <c r="O1378" s="543" t="n">
        <v>86110</v>
      </c>
      <c r="P1378" s="1953"/>
      <c r="Q1378" s="1953"/>
      <c r="R1378" s="1954"/>
    </row>
    <row r="1379" customFormat="false" ht="14.25" hidden="false" customHeight="false" outlineLevel="0" collapsed="false">
      <c r="A1379" s="1087"/>
      <c r="B1379" s="1072"/>
      <c r="C1379" s="1980"/>
      <c r="D1379" s="860" t="s">
        <v>13</v>
      </c>
      <c r="E1379" s="1480" t="s">
        <v>1652</v>
      </c>
      <c r="F1379" s="887"/>
      <c r="G1379" s="1950"/>
      <c r="H1379" s="1067"/>
      <c r="I1379" s="1067"/>
      <c r="J1379" s="1063"/>
      <c r="K1379" s="1452"/>
      <c r="L1379" s="866" t="n">
        <v>76041</v>
      </c>
      <c r="M1379" s="866" t="n">
        <v>2130</v>
      </c>
      <c r="N1379" s="866" t="n">
        <f aca="false">M1379/H1377</f>
        <v>142</v>
      </c>
      <c r="O1379" s="543" t="n">
        <v>86126</v>
      </c>
      <c r="P1379" s="1953"/>
      <c r="Q1379" s="1953"/>
      <c r="R1379" s="1954"/>
    </row>
    <row r="1380" customFormat="false" ht="14.25" hidden="false" customHeight="false" outlineLevel="0" collapsed="false">
      <c r="A1380" s="1087"/>
      <c r="B1380" s="1072"/>
      <c r="C1380" s="1980"/>
      <c r="D1380" s="860" t="s">
        <v>13</v>
      </c>
      <c r="E1380" s="1480" t="s">
        <v>1652</v>
      </c>
      <c r="F1380" s="887"/>
      <c r="G1380" s="1950"/>
      <c r="H1380" s="1067"/>
      <c r="I1380" s="1067"/>
      <c r="J1380" s="1063"/>
      <c r="K1380" s="1452"/>
      <c r="L1380" s="866" t="n">
        <v>7497</v>
      </c>
      <c r="M1380" s="866" t="n">
        <v>210</v>
      </c>
      <c r="N1380" s="866" t="n">
        <f aca="false">M1380/H1377</f>
        <v>14</v>
      </c>
      <c r="O1380" s="543" t="n">
        <v>86263</v>
      </c>
      <c r="P1380" s="1953"/>
      <c r="Q1380" s="1953"/>
      <c r="R1380" s="1954"/>
    </row>
    <row r="1381" customFormat="false" ht="14.25" hidden="false" customHeight="false" outlineLevel="0" collapsed="false">
      <c r="A1381" s="1087"/>
      <c r="B1381" s="1072"/>
      <c r="C1381" s="1980"/>
      <c r="D1381" s="860" t="s">
        <v>13</v>
      </c>
      <c r="E1381" s="1480" t="s">
        <v>1652</v>
      </c>
      <c r="F1381" s="887"/>
      <c r="G1381" s="1950"/>
      <c r="H1381" s="1067"/>
      <c r="I1381" s="1067"/>
      <c r="J1381" s="1063"/>
      <c r="K1381" s="1452"/>
      <c r="L1381" s="866" t="n">
        <v>-1606.5</v>
      </c>
      <c r="M1381" s="866" t="n">
        <v>-45</v>
      </c>
      <c r="N1381" s="866" t="n">
        <f aca="false">M1381/H1377</f>
        <v>-3</v>
      </c>
      <c r="O1381" s="543" t="s">
        <v>2240</v>
      </c>
      <c r="P1381" s="1953"/>
      <c r="Q1381" s="1953"/>
      <c r="R1381" s="1954"/>
    </row>
    <row r="1382" customFormat="false" ht="14.25" hidden="false" customHeight="false" outlineLevel="0" collapsed="false">
      <c r="A1382" s="1087"/>
      <c r="B1382" s="1072"/>
      <c r="C1382" s="1980"/>
      <c r="D1382" s="860" t="s">
        <v>13</v>
      </c>
      <c r="E1382" s="1480" t="s">
        <v>1652</v>
      </c>
      <c r="F1382" s="887"/>
      <c r="G1382" s="1950"/>
      <c r="H1382" s="1067"/>
      <c r="I1382" s="1067"/>
      <c r="J1382" s="1063"/>
      <c r="K1382" s="1452"/>
      <c r="L1382" s="866" t="n">
        <v>17671.5</v>
      </c>
      <c r="M1382" s="866" t="n">
        <v>495</v>
      </c>
      <c r="N1382" s="866" t="n">
        <f aca="false">M1382/H1377</f>
        <v>33</v>
      </c>
      <c r="O1382" s="543" t="n">
        <v>86271</v>
      </c>
      <c r="P1382" s="1953"/>
      <c r="Q1382" s="1953"/>
      <c r="R1382" s="1954"/>
    </row>
    <row r="1383" customFormat="false" ht="14.25" hidden="false" customHeight="false" outlineLevel="0" collapsed="false">
      <c r="A1383" s="1087"/>
      <c r="B1383" s="1072"/>
      <c r="C1383" s="1980"/>
      <c r="D1383" s="860" t="s">
        <v>13</v>
      </c>
      <c r="E1383" s="1480" t="s">
        <v>1652</v>
      </c>
      <c r="F1383" s="887"/>
      <c r="G1383" s="1950"/>
      <c r="H1383" s="1067"/>
      <c r="I1383" s="1067"/>
      <c r="J1383" s="1063"/>
      <c r="K1383" s="1452"/>
      <c r="L1383" s="866" t="n">
        <v>1606.5</v>
      </c>
      <c r="M1383" s="866" t="n">
        <v>45</v>
      </c>
      <c r="N1383" s="866" t="n">
        <f aca="false">M1383/H1377</f>
        <v>3</v>
      </c>
      <c r="O1383" s="543" t="s">
        <v>3373</v>
      </c>
      <c r="P1383" s="1953"/>
      <c r="Q1383" s="1953"/>
      <c r="R1383" s="1954"/>
    </row>
    <row r="1384" customFormat="false" ht="14.25" hidden="false" customHeight="false" outlineLevel="0" collapsed="false">
      <c r="A1384" s="1087"/>
      <c r="B1384" s="1072"/>
      <c r="C1384" s="1980"/>
      <c r="D1384" s="860" t="s">
        <v>13</v>
      </c>
      <c r="E1384" s="1480" t="s">
        <v>1652</v>
      </c>
      <c r="F1384" s="887"/>
      <c r="G1384" s="1950"/>
      <c r="H1384" s="1067"/>
      <c r="I1384" s="1067"/>
      <c r="J1384" s="1063"/>
      <c r="K1384" s="1452"/>
      <c r="L1384" s="866" t="n">
        <v>535.5</v>
      </c>
      <c r="M1384" s="866" t="n">
        <v>15</v>
      </c>
      <c r="N1384" s="866" t="n">
        <f aca="false">M1384/H1377</f>
        <v>1</v>
      </c>
      <c r="O1384" s="543" t="n">
        <v>86199</v>
      </c>
      <c r="P1384" s="1953"/>
      <c r="Q1384" s="1953"/>
      <c r="R1384" s="1954"/>
    </row>
    <row r="1385" customFormat="false" ht="14.25" hidden="false" customHeight="false" outlineLevel="0" collapsed="false">
      <c r="A1385" s="1087"/>
      <c r="B1385" s="1072"/>
      <c r="C1385" s="1980"/>
      <c r="D1385" s="860" t="s">
        <v>13</v>
      </c>
      <c r="E1385" s="1480" t="s">
        <v>1652</v>
      </c>
      <c r="F1385" s="887"/>
      <c r="G1385" s="1950"/>
      <c r="H1385" s="1067"/>
      <c r="I1385" s="1067"/>
      <c r="J1385" s="1063"/>
      <c r="K1385" s="1452"/>
      <c r="L1385" s="866" t="n">
        <v>56227.5</v>
      </c>
      <c r="M1385" s="866" t="n">
        <v>1575</v>
      </c>
      <c r="N1385" s="866" t="n">
        <f aca="false">M1385/H1377</f>
        <v>105</v>
      </c>
      <c r="O1385" s="543" t="n">
        <v>86120</v>
      </c>
      <c r="P1385" s="1953"/>
      <c r="Q1385" s="1953"/>
      <c r="R1385" s="1954"/>
    </row>
    <row r="1386" customFormat="false" ht="14.25" hidden="false" customHeight="false" outlineLevel="0" collapsed="false">
      <c r="A1386" s="1087"/>
      <c r="B1386" s="1072"/>
      <c r="C1386" s="1980"/>
      <c r="D1386" s="843" t="s">
        <v>13</v>
      </c>
      <c r="E1386" s="1357" t="s">
        <v>1652</v>
      </c>
      <c r="F1386" s="887"/>
      <c r="G1386" s="1950"/>
      <c r="H1386" s="1067"/>
      <c r="I1386" s="1067"/>
      <c r="J1386" s="1063"/>
      <c r="K1386" s="1452"/>
      <c r="L1386" s="890" t="n">
        <v>71757</v>
      </c>
      <c r="M1386" s="890" t="n">
        <v>2010</v>
      </c>
      <c r="N1386" s="890" t="n">
        <f aca="false">M1386/H1377</f>
        <v>134</v>
      </c>
      <c r="O1386" s="1067" t="n">
        <v>86063</v>
      </c>
      <c r="P1386" s="1953"/>
      <c r="Q1386" s="1953"/>
      <c r="R1386" s="1954"/>
    </row>
    <row r="1387" customFormat="false" ht="14.25" hidden="false" customHeight="false" outlineLevel="0" collapsed="false">
      <c r="A1387" s="1060" t="n">
        <v>580</v>
      </c>
      <c r="B1387" s="1072" t="n">
        <v>2023</v>
      </c>
      <c r="C1387" s="1980" t="n">
        <v>45627</v>
      </c>
      <c r="D1387" s="848" t="s">
        <v>13</v>
      </c>
      <c r="E1387" s="1479" t="s">
        <v>2130</v>
      </c>
      <c r="F1387" s="887" t="s">
        <v>3364</v>
      </c>
      <c r="G1387" s="1950" t="n">
        <v>324</v>
      </c>
      <c r="H1387" s="1067" t="n">
        <v>30</v>
      </c>
      <c r="I1387" s="1067" t="n">
        <f aca="false">G1387*H1387</f>
        <v>9720</v>
      </c>
      <c r="J1387" s="1063" t="n">
        <v>43.6292</v>
      </c>
      <c r="K1387" s="1452" t="n">
        <f aca="false">I1387*J1387</f>
        <v>424075.824</v>
      </c>
      <c r="L1387" s="1088" t="n">
        <v>130887.6</v>
      </c>
      <c r="M1387" s="854" t="n">
        <v>3000</v>
      </c>
      <c r="N1387" s="891" t="n">
        <f aca="false">M1387/H1387</f>
        <v>100</v>
      </c>
      <c r="O1387" s="537" t="n">
        <v>86065</v>
      </c>
      <c r="P1387" s="1953" t="n">
        <f aca="false">K1387-L1387-L1392-L1388-L1391-L1390-L1389</f>
        <v>0.0435999999117485</v>
      </c>
      <c r="Q1387" s="1953" t="n">
        <f aca="false">I1387-M1387-M1392-M1388-M1391-M1390-M1389</f>
        <v>0</v>
      </c>
      <c r="R1387" s="2047" t="n">
        <f aca="false">G1387-N1387-N1392-N1388-N1391-N1390-N1389</f>
        <v>0</v>
      </c>
    </row>
    <row r="1388" customFormat="false" ht="14.25" hidden="false" customHeight="false" outlineLevel="0" collapsed="false">
      <c r="A1388" s="1060"/>
      <c r="B1388" s="1072"/>
      <c r="C1388" s="1980"/>
      <c r="D1388" s="860" t="s">
        <v>13</v>
      </c>
      <c r="E1388" s="1480" t="s">
        <v>2130</v>
      </c>
      <c r="F1388" s="887"/>
      <c r="G1388" s="1950"/>
      <c r="H1388" s="1067"/>
      <c r="I1388" s="1067"/>
      <c r="J1388" s="1063"/>
      <c r="K1388" s="1452"/>
      <c r="L1388" s="1018" t="n">
        <v>130887.6</v>
      </c>
      <c r="M1388" s="866" t="n">
        <v>3000</v>
      </c>
      <c r="N1388" s="866" t="n">
        <f aca="false">M1388/H1387</f>
        <v>100</v>
      </c>
      <c r="O1388" s="543" t="n">
        <v>86071</v>
      </c>
      <c r="P1388" s="1953"/>
      <c r="Q1388" s="1953"/>
      <c r="R1388" s="2047"/>
    </row>
    <row r="1389" customFormat="false" ht="14.25" hidden="false" customHeight="false" outlineLevel="0" collapsed="false">
      <c r="A1389" s="1060"/>
      <c r="B1389" s="1072"/>
      <c r="C1389" s="1980"/>
      <c r="D1389" s="860" t="s">
        <v>13</v>
      </c>
      <c r="E1389" s="1480" t="s">
        <v>2130</v>
      </c>
      <c r="F1389" s="887"/>
      <c r="G1389" s="1950"/>
      <c r="H1389" s="1067"/>
      <c r="I1389" s="1067"/>
      <c r="J1389" s="1063"/>
      <c r="K1389" s="1452"/>
      <c r="L1389" s="1018" t="n">
        <v>9598.3804</v>
      </c>
      <c r="M1389" s="866" t="n">
        <v>220</v>
      </c>
      <c r="N1389" s="866" t="n">
        <f aca="false">M1389/H1387</f>
        <v>7.33333333333333</v>
      </c>
      <c r="O1389" s="543" t="s">
        <v>3373</v>
      </c>
      <c r="P1389" s="1953"/>
      <c r="Q1389" s="1953"/>
      <c r="R1389" s="2047"/>
    </row>
    <row r="1390" customFormat="false" ht="14.25" hidden="false" customHeight="false" outlineLevel="0" collapsed="false">
      <c r="A1390" s="1060"/>
      <c r="B1390" s="1072"/>
      <c r="C1390" s="1980"/>
      <c r="D1390" s="860" t="s">
        <v>13</v>
      </c>
      <c r="E1390" s="1480" t="s">
        <v>2130</v>
      </c>
      <c r="F1390" s="887"/>
      <c r="G1390" s="1950"/>
      <c r="H1390" s="1067"/>
      <c r="I1390" s="1067"/>
      <c r="J1390" s="1063"/>
      <c r="K1390" s="1452"/>
      <c r="L1390" s="1018" t="n">
        <v>87258.4</v>
      </c>
      <c r="M1390" s="866" t="n">
        <v>2000</v>
      </c>
      <c r="N1390" s="1383" t="n">
        <f aca="false">M1390/H1387</f>
        <v>66.6666666666667</v>
      </c>
      <c r="O1390" s="543" t="n">
        <v>86080</v>
      </c>
      <c r="P1390" s="1953"/>
      <c r="Q1390" s="1953"/>
      <c r="R1390" s="2047"/>
    </row>
    <row r="1391" customFormat="false" ht="14.25" hidden="false" customHeight="false" outlineLevel="0" collapsed="false">
      <c r="A1391" s="1060"/>
      <c r="B1391" s="1072"/>
      <c r="C1391" s="1980"/>
      <c r="D1391" s="860" t="s">
        <v>13</v>
      </c>
      <c r="E1391" s="1480" t="s">
        <v>2130</v>
      </c>
      <c r="F1391" s="887"/>
      <c r="G1391" s="1950"/>
      <c r="H1391" s="1067"/>
      <c r="I1391" s="1067"/>
      <c r="J1391" s="1063"/>
      <c r="K1391" s="1452"/>
      <c r="L1391" s="1448" t="n">
        <v>45810.66</v>
      </c>
      <c r="M1391" s="866" t="n">
        <v>1050</v>
      </c>
      <c r="N1391" s="866" t="n">
        <f aca="false">M1391/H1387</f>
        <v>35</v>
      </c>
      <c r="O1391" s="543" t="n">
        <v>86075</v>
      </c>
      <c r="P1391" s="1953"/>
      <c r="Q1391" s="1953"/>
      <c r="R1391" s="2047"/>
    </row>
    <row r="1392" customFormat="false" ht="14.25" hidden="false" customHeight="false" outlineLevel="0" collapsed="false">
      <c r="A1392" s="1060"/>
      <c r="B1392" s="1072"/>
      <c r="C1392" s="1980"/>
      <c r="D1392" s="843" t="s">
        <v>13</v>
      </c>
      <c r="E1392" s="1357" t="s">
        <v>2130</v>
      </c>
      <c r="F1392" s="887"/>
      <c r="G1392" s="1950"/>
      <c r="H1392" s="1067"/>
      <c r="I1392" s="1067"/>
      <c r="J1392" s="1063"/>
      <c r="K1392" s="1452"/>
      <c r="L1392" s="945" t="n">
        <v>19633.14</v>
      </c>
      <c r="M1392" s="890" t="n">
        <v>450</v>
      </c>
      <c r="N1392" s="890" t="n">
        <f aca="false">M1392/H1387</f>
        <v>15</v>
      </c>
      <c r="O1392" s="1067" t="n">
        <v>86066</v>
      </c>
      <c r="P1392" s="1953"/>
      <c r="Q1392" s="1953"/>
      <c r="R1392" s="2047"/>
    </row>
    <row r="1393" customFormat="false" ht="14.25" hidden="false" customHeight="false" outlineLevel="0" collapsed="false">
      <c r="A1393" s="1465" t="n">
        <v>114</v>
      </c>
      <c r="B1393" s="1546" t="n">
        <v>2024</v>
      </c>
      <c r="C1393" s="1975" t="n">
        <v>45689</v>
      </c>
      <c r="D1393" s="1328" t="s">
        <v>13</v>
      </c>
      <c r="E1393" s="1607" t="s">
        <v>1651</v>
      </c>
      <c r="F1393" s="1328" t="s">
        <v>3364</v>
      </c>
      <c r="G1393" s="1976" t="n">
        <v>666</v>
      </c>
      <c r="H1393" s="1036" t="n">
        <v>15</v>
      </c>
      <c r="I1393" s="1036" t="n">
        <f aca="false">G1393*H1393</f>
        <v>9990</v>
      </c>
      <c r="J1393" s="1557" t="n">
        <v>28.4828</v>
      </c>
      <c r="K1393" s="1547" t="n">
        <f aca="false">I1393*J1393</f>
        <v>284543.172</v>
      </c>
      <c r="L1393" s="840" t="n">
        <v>53405.25</v>
      </c>
      <c r="M1393" s="840" t="n">
        <v>1875</v>
      </c>
      <c r="N1393" s="886" t="n">
        <f aca="false">M1393/H1393</f>
        <v>125</v>
      </c>
      <c r="O1393" s="1114" t="n">
        <v>86615</v>
      </c>
      <c r="P1393" s="1978" t="n">
        <f aca="false">K1393-L1393-L1416-L1394-L1415-L1395-L1414-L1396-L1397-L1398-L1413-L1399-L1412-L1411-L1402-L1400-L1410-L1401-L1409-L1405-L1403-L1407-L1404-L1408-L1406</f>
        <v>3.77440301235765E-011</v>
      </c>
      <c r="Q1393" s="1978" t="n">
        <f aca="false">I1393-M1393-M1416-M1394-M1415-M1395-M1414-M1396-M1397-M1398-M1413-M1399-M1412-M1411-M1402-M1400-M1410-M1401-M1409-M1405-M1403-M1407-M1404-M1408-M1406</f>
        <v>0</v>
      </c>
      <c r="R1393" s="1979" t="n">
        <f aca="false">G1393-N1393-N1416-N1394-N1415-N1395-N1414-N1396-N1397-N1398-N1399-N1413-N1412-N1411-N1402-N1400-N1410-N1401-N1409-N1405-N1403-N1407-N1404-N1408-N1406</f>
        <v>-9.32587340685132E-015</v>
      </c>
    </row>
    <row r="1394" customFormat="false" ht="14.25" hidden="false" customHeight="false" outlineLevel="0" collapsed="false">
      <c r="A1394" s="1465"/>
      <c r="B1394" s="1546"/>
      <c r="C1394" s="1975"/>
      <c r="D1394" s="860" t="s">
        <v>13</v>
      </c>
      <c r="E1394" s="1480" t="s">
        <v>1651</v>
      </c>
      <c r="F1394" s="1328"/>
      <c r="G1394" s="1976"/>
      <c r="H1394" s="1036"/>
      <c r="I1394" s="1036"/>
      <c r="J1394" s="1557"/>
      <c r="K1394" s="1547"/>
      <c r="L1394" s="866" t="n">
        <v>20080.374</v>
      </c>
      <c r="M1394" s="866" t="n">
        <v>705</v>
      </c>
      <c r="N1394" s="866" t="n">
        <f aca="false">M1394/H1393</f>
        <v>47</v>
      </c>
      <c r="O1394" s="543" t="n">
        <v>86644</v>
      </c>
      <c r="P1394" s="1978"/>
      <c r="Q1394" s="1978"/>
      <c r="R1394" s="1979"/>
    </row>
    <row r="1395" customFormat="false" ht="14.25" hidden="false" customHeight="false" outlineLevel="0" collapsed="false">
      <c r="A1395" s="1465"/>
      <c r="B1395" s="1546"/>
      <c r="C1395" s="1975"/>
      <c r="D1395" s="860" t="s">
        <v>13</v>
      </c>
      <c r="E1395" s="1480" t="s">
        <v>1651</v>
      </c>
      <c r="F1395" s="1328"/>
      <c r="G1395" s="1976"/>
      <c r="H1395" s="1036"/>
      <c r="I1395" s="1036"/>
      <c r="J1395" s="1557"/>
      <c r="K1395" s="1547"/>
      <c r="L1395" s="866" t="n">
        <v>25634.52</v>
      </c>
      <c r="M1395" s="866" t="n">
        <v>900</v>
      </c>
      <c r="N1395" s="866" t="n">
        <f aca="false">M1395/H1393</f>
        <v>60</v>
      </c>
      <c r="O1395" s="543" t="n">
        <v>86710</v>
      </c>
      <c r="P1395" s="1978"/>
      <c r="Q1395" s="1978"/>
      <c r="R1395" s="1979"/>
    </row>
    <row r="1396" customFormat="false" ht="14.25" hidden="false" customHeight="false" outlineLevel="0" collapsed="false">
      <c r="A1396" s="1465"/>
      <c r="B1396" s="1546"/>
      <c r="C1396" s="1975"/>
      <c r="D1396" s="860" t="s">
        <v>13</v>
      </c>
      <c r="E1396" s="1480" t="s">
        <v>1651</v>
      </c>
      <c r="F1396" s="1328"/>
      <c r="G1396" s="1976"/>
      <c r="H1396" s="1036"/>
      <c r="I1396" s="1036"/>
      <c r="J1396" s="1557"/>
      <c r="K1396" s="1547"/>
      <c r="L1396" s="866" t="n">
        <v>5981.388</v>
      </c>
      <c r="M1396" s="866" t="n">
        <v>210</v>
      </c>
      <c r="N1396" s="866" t="n">
        <f aca="false">M1396/H1393</f>
        <v>14</v>
      </c>
      <c r="O1396" s="543" t="n">
        <v>86746</v>
      </c>
      <c r="P1396" s="1978"/>
      <c r="Q1396" s="1978"/>
      <c r="R1396" s="1979"/>
    </row>
    <row r="1397" customFormat="false" ht="14.25" hidden="false" customHeight="false" outlineLevel="0" collapsed="false">
      <c r="A1397" s="1465"/>
      <c r="B1397" s="1546"/>
      <c r="C1397" s="1975"/>
      <c r="D1397" s="860" t="s">
        <v>13</v>
      </c>
      <c r="E1397" s="1480" t="s">
        <v>1651</v>
      </c>
      <c r="F1397" s="1328"/>
      <c r="G1397" s="1976"/>
      <c r="H1397" s="1036"/>
      <c r="I1397" s="1036"/>
      <c r="J1397" s="1557"/>
      <c r="K1397" s="1547"/>
      <c r="L1397" s="866" t="n">
        <v>21362.1</v>
      </c>
      <c r="M1397" s="866" t="n">
        <v>750</v>
      </c>
      <c r="N1397" s="866" t="n">
        <f aca="false">M1397/H1393</f>
        <v>50</v>
      </c>
      <c r="O1397" s="543" t="n">
        <v>86757</v>
      </c>
      <c r="P1397" s="1978"/>
      <c r="Q1397" s="1978"/>
      <c r="R1397" s="1979"/>
    </row>
    <row r="1398" customFormat="false" ht="14.25" hidden="false" customHeight="false" outlineLevel="0" collapsed="false">
      <c r="A1398" s="1465"/>
      <c r="B1398" s="1546"/>
      <c r="C1398" s="1975"/>
      <c r="D1398" s="860" t="s">
        <v>13</v>
      </c>
      <c r="E1398" s="1480" t="s">
        <v>1651</v>
      </c>
      <c r="F1398" s="1328"/>
      <c r="G1398" s="1976"/>
      <c r="H1398" s="1036"/>
      <c r="I1398" s="1036"/>
      <c r="J1398" s="1557"/>
      <c r="K1398" s="1547"/>
      <c r="L1398" s="866" t="n">
        <v>854.484</v>
      </c>
      <c r="M1398" s="866" t="n">
        <v>30</v>
      </c>
      <c r="N1398" s="866" t="n">
        <f aca="false">M1398/H1393</f>
        <v>2</v>
      </c>
      <c r="O1398" s="543" t="n">
        <v>86861</v>
      </c>
      <c r="P1398" s="1978"/>
      <c r="Q1398" s="1978"/>
      <c r="R1398" s="1979"/>
    </row>
    <row r="1399" customFormat="false" ht="14.25" hidden="false" customHeight="false" outlineLevel="0" collapsed="false">
      <c r="A1399" s="1465"/>
      <c r="B1399" s="1546"/>
      <c r="C1399" s="1975"/>
      <c r="D1399" s="860" t="s">
        <v>13</v>
      </c>
      <c r="E1399" s="1480" t="s">
        <v>1651</v>
      </c>
      <c r="F1399" s="1328"/>
      <c r="G1399" s="1976"/>
      <c r="H1399" s="1036"/>
      <c r="I1399" s="1036"/>
      <c r="J1399" s="1557"/>
      <c r="K1399" s="1547"/>
      <c r="L1399" s="866" t="n">
        <v>854.484</v>
      </c>
      <c r="M1399" s="866" t="n">
        <v>30</v>
      </c>
      <c r="N1399" s="866" t="n">
        <f aca="false">M1399/H1393</f>
        <v>2</v>
      </c>
      <c r="O1399" s="543" t="n">
        <v>86877</v>
      </c>
      <c r="P1399" s="1978"/>
      <c r="Q1399" s="1978"/>
      <c r="R1399" s="1979"/>
    </row>
    <row r="1400" customFormat="false" ht="14.25" hidden="false" customHeight="false" outlineLevel="0" collapsed="false">
      <c r="A1400" s="1465"/>
      <c r="B1400" s="1546"/>
      <c r="C1400" s="1975"/>
      <c r="D1400" s="860" t="s">
        <v>13</v>
      </c>
      <c r="E1400" s="1480" t="s">
        <v>1651</v>
      </c>
      <c r="F1400" s="1328"/>
      <c r="G1400" s="1976"/>
      <c r="H1400" s="1036"/>
      <c r="I1400" s="1036"/>
      <c r="J1400" s="1557"/>
      <c r="K1400" s="1547"/>
      <c r="L1400" s="866" t="n">
        <v>427.242</v>
      </c>
      <c r="M1400" s="866" t="n">
        <v>15</v>
      </c>
      <c r="N1400" s="866" t="n">
        <f aca="false">M1400/H1393</f>
        <v>1</v>
      </c>
      <c r="O1400" s="543" t="s">
        <v>3365</v>
      </c>
      <c r="P1400" s="1978"/>
      <c r="Q1400" s="1978"/>
      <c r="R1400" s="1979"/>
    </row>
    <row r="1401" customFormat="false" ht="14.25" hidden="false" customHeight="false" outlineLevel="0" collapsed="false">
      <c r="A1401" s="1465"/>
      <c r="B1401" s="1546"/>
      <c r="C1401" s="1975"/>
      <c r="D1401" s="860" t="s">
        <v>13</v>
      </c>
      <c r="E1401" s="1480" t="s">
        <v>1651</v>
      </c>
      <c r="F1401" s="1328"/>
      <c r="G1401" s="1976"/>
      <c r="H1401" s="1036"/>
      <c r="I1401" s="1036"/>
      <c r="J1401" s="1557"/>
      <c r="K1401" s="1547"/>
      <c r="L1401" s="866" t="n">
        <v>427.242</v>
      </c>
      <c r="M1401" s="866" t="n">
        <v>15</v>
      </c>
      <c r="N1401" s="866" t="n">
        <f aca="false">M1401/H1393</f>
        <v>1</v>
      </c>
      <c r="O1401" s="543" t="n">
        <v>86946</v>
      </c>
      <c r="P1401" s="1978"/>
      <c r="Q1401" s="1978"/>
      <c r="R1401" s="1979"/>
    </row>
    <row r="1402" customFormat="false" ht="14.25" hidden="false" customHeight="false" outlineLevel="0" collapsed="false">
      <c r="A1402" s="1465"/>
      <c r="B1402" s="1546"/>
      <c r="C1402" s="1975"/>
      <c r="D1402" s="860" t="s">
        <v>13</v>
      </c>
      <c r="E1402" s="1480" t="s">
        <v>1651</v>
      </c>
      <c r="F1402" s="1328"/>
      <c r="G1402" s="1976"/>
      <c r="H1402" s="1036"/>
      <c r="I1402" s="1036"/>
      <c r="J1402" s="1557"/>
      <c r="K1402" s="1547"/>
      <c r="L1402" s="866" t="n">
        <v>427.242</v>
      </c>
      <c r="M1402" s="866" t="n">
        <v>15</v>
      </c>
      <c r="N1402" s="866" t="n">
        <f aca="false">M1402/H1393</f>
        <v>1</v>
      </c>
      <c r="O1402" s="543" t="n">
        <v>86926</v>
      </c>
      <c r="P1402" s="1978"/>
      <c r="Q1402" s="1978"/>
      <c r="R1402" s="1979"/>
    </row>
    <row r="1403" customFormat="false" ht="14.25" hidden="false" customHeight="false" outlineLevel="0" collapsed="false">
      <c r="A1403" s="1465"/>
      <c r="B1403" s="1546"/>
      <c r="C1403" s="1975"/>
      <c r="D1403" s="860" t="s">
        <v>13</v>
      </c>
      <c r="E1403" s="1480" t="s">
        <v>1651</v>
      </c>
      <c r="F1403" s="1328"/>
      <c r="G1403" s="1976"/>
      <c r="H1403" s="1036"/>
      <c r="I1403" s="1036"/>
      <c r="J1403" s="1557"/>
      <c r="K1403" s="1547"/>
      <c r="L1403" s="866" t="n">
        <v>56965.6</v>
      </c>
      <c r="M1403" s="866" t="n">
        <v>2000</v>
      </c>
      <c r="N1403" s="866" t="n">
        <f aca="false">M1403/H1393</f>
        <v>133.333333333333</v>
      </c>
      <c r="O1403" s="543" t="n">
        <v>86960</v>
      </c>
      <c r="P1403" s="1978"/>
      <c r="Q1403" s="1978"/>
      <c r="R1403" s="1979"/>
    </row>
    <row r="1404" customFormat="false" ht="14.25" hidden="false" customHeight="false" outlineLevel="0" collapsed="false">
      <c r="A1404" s="1465"/>
      <c r="B1404" s="1546"/>
      <c r="C1404" s="1975"/>
      <c r="D1404" s="860" t="s">
        <v>13</v>
      </c>
      <c r="E1404" s="1480" t="s">
        <v>1651</v>
      </c>
      <c r="F1404" s="1328"/>
      <c r="G1404" s="1976"/>
      <c r="H1404" s="1036"/>
      <c r="I1404" s="1036"/>
      <c r="J1404" s="1557"/>
      <c r="K1404" s="1547"/>
      <c r="L1404" s="866" t="n">
        <v>284.828</v>
      </c>
      <c r="M1404" s="866" t="n">
        <v>10</v>
      </c>
      <c r="N1404" s="866" t="n">
        <f aca="false">M1404/H1393</f>
        <v>0.666666666666667</v>
      </c>
      <c r="O1404" s="543" t="s">
        <v>454</v>
      </c>
      <c r="P1404" s="1978"/>
      <c r="Q1404" s="1978"/>
      <c r="R1404" s="1979"/>
    </row>
    <row r="1405" customFormat="false" ht="14.25" hidden="false" customHeight="false" outlineLevel="0" collapsed="false">
      <c r="A1405" s="1465"/>
      <c r="B1405" s="1546"/>
      <c r="C1405" s="1975"/>
      <c r="D1405" s="860" t="s">
        <v>13</v>
      </c>
      <c r="E1405" s="1480" t="s">
        <v>1651</v>
      </c>
      <c r="F1405" s="1328"/>
      <c r="G1405" s="1976"/>
      <c r="H1405" s="1036"/>
      <c r="I1405" s="1036"/>
      <c r="J1405" s="1557"/>
      <c r="K1405" s="1547"/>
      <c r="L1405" s="866" t="n">
        <v>4272.42</v>
      </c>
      <c r="M1405" s="866" t="n">
        <v>150</v>
      </c>
      <c r="N1405" s="866" t="n">
        <f aca="false">M1405/H1393</f>
        <v>10</v>
      </c>
      <c r="O1405" s="543" t="n">
        <v>86948</v>
      </c>
      <c r="P1405" s="1978"/>
      <c r="Q1405" s="1978"/>
      <c r="R1405" s="1979"/>
    </row>
    <row r="1406" customFormat="false" ht="14.25" hidden="false" customHeight="false" outlineLevel="0" collapsed="false">
      <c r="A1406" s="1465"/>
      <c r="B1406" s="1546"/>
      <c r="C1406" s="1975"/>
      <c r="D1406" s="860" t="s">
        <v>13</v>
      </c>
      <c r="E1406" s="1480" t="s">
        <v>1651</v>
      </c>
      <c r="F1406" s="1328"/>
      <c r="G1406" s="1976"/>
      <c r="H1406" s="1036"/>
      <c r="I1406" s="1036"/>
      <c r="J1406" s="1557"/>
      <c r="K1406" s="1547"/>
      <c r="L1406" s="866" t="n">
        <v>1708.968</v>
      </c>
      <c r="M1406" s="866" t="n">
        <v>60</v>
      </c>
      <c r="N1406" s="866" t="n">
        <f aca="false">M1406/H1393</f>
        <v>4</v>
      </c>
      <c r="O1406" s="543" t="s">
        <v>1375</v>
      </c>
      <c r="P1406" s="1978"/>
      <c r="Q1406" s="1978"/>
      <c r="R1406" s="1979"/>
    </row>
    <row r="1407" customFormat="false" ht="14.25" hidden="false" customHeight="false" outlineLevel="0" collapsed="false">
      <c r="A1407" s="1465"/>
      <c r="B1407" s="1546"/>
      <c r="C1407" s="1975"/>
      <c r="D1407" s="860" t="s">
        <v>13</v>
      </c>
      <c r="E1407" s="1480" t="s">
        <v>1651</v>
      </c>
      <c r="F1407" s="1328"/>
      <c r="G1407" s="1976"/>
      <c r="H1407" s="1036"/>
      <c r="I1407" s="1036"/>
      <c r="J1407" s="1557"/>
      <c r="K1407" s="1547"/>
      <c r="L1407" s="866" t="n">
        <v>62804.574</v>
      </c>
      <c r="M1407" s="866" t="n">
        <v>2205</v>
      </c>
      <c r="N1407" s="866" t="n">
        <f aca="false">M1407/H1393</f>
        <v>147</v>
      </c>
      <c r="O1407" s="543" t="s">
        <v>366</v>
      </c>
      <c r="P1407" s="1978"/>
      <c r="Q1407" s="1978"/>
      <c r="R1407" s="1979"/>
    </row>
    <row r="1408" customFormat="false" ht="14.25" hidden="false" customHeight="false" outlineLevel="0" collapsed="false">
      <c r="A1408" s="1465"/>
      <c r="B1408" s="1546"/>
      <c r="C1408" s="1975"/>
      <c r="D1408" s="860" t="s">
        <v>13</v>
      </c>
      <c r="E1408" s="1480" t="s">
        <v>1651</v>
      </c>
      <c r="F1408" s="1328"/>
      <c r="G1408" s="1976"/>
      <c r="H1408" s="1036"/>
      <c r="I1408" s="1036"/>
      <c r="J1408" s="1557"/>
      <c r="K1408" s="1547"/>
      <c r="L1408" s="866" t="n">
        <v>-1708.968</v>
      </c>
      <c r="M1408" s="866" t="n">
        <v>-60</v>
      </c>
      <c r="N1408" s="866" t="n">
        <f aca="false">M1408/H1393</f>
        <v>-4</v>
      </c>
      <c r="O1408" s="543" t="s">
        <v>1634</v>
      </c>
      <c r="P1408" s="1978"/>
      <c r="Q1408" s="1978"/>
      <c r="R1408" s="1979"/>
    </row>
    <row r="1409" customFormat="false" ht="14.25" hidden="false" customHeight="false" outlineLevel="0" collapsed="false">
      <c r="A1409" s="1465"/>
      <c r="B1409" s="1546"/>
      <c r="C1409" s="1975"/>
      <c r="D1409" s="860" t="s">
        <v>13</v>
      </c>
      <c r="E1409" s="1480" t="s">
        <v>1651</v>
      </c>
      <c r="F1409" s="1328"/>
      <c r="G1409" s="1976"/>
      <c r="H1409" s="1036"/>
      <c r="I1409" s="1036"/>
      <c r="J1409" s="1557"/>
      <c r="K1409" s="1547"/>
      <c r="L1409" s="866" t="n">
        <v>1281.726</v>
      </c>
      <c r="M1409" s="866" t="n">
        <v>45</v>
      </c>
      <c r="N1409" s="866" t="n">
        <f aca="false">M1409/H1393</f>
        <v>3</v>
      </c>
      <c r="O1409" s="543" t="n">
        <v>86947</v>
      </c>
      <c r="P1409" s="1978"/>
      <c r="Q1409" s="1978"/>
      <c r="R1409" s="1979"/>
    </row>
    <row r="1410" customFormat="false" ht="14.25" hidden="false" customHeight="false" outlineLevel="0" collapsed="false">
      <c r="A1410" s="1465"/>
      <c r="B1410" s="1546"/>
      <c r="C1410" s="1975"/>
      <c r="D1410" s="860" t="s">
        <v>13</v>
      </c>
      <c r="E1410" s="1480" t="s">
        <v>1651</v>
      </c>
      <c r="F1410" s="1328"/>
      <c r="G1410" s="1976"/>
      <c r="H1410" s="1036"/>
      <c r="I1410" s="1036"/>
      <c r="J1410" s="1557"/>
      <c r="K1410" s="1547"/>
      <c r="L1410" s="866" t="n">
        <v>854.484</v>
      </c>
      <c r="M1410" s="866" t="n">
        <v>30</v>
      </c>
      <c r="N1410" s="866" t="n">
        <f aca="false">M1410/H1393</f>
        <v>2</v>
      </c>
      <c r="O1410" s="543" t="s">
        <v>3389</v>
      </c>
      <c r="P1410" s="1978"/>
      <c r="Q1410" s="1978"/>
      <c r="R1410" s="1979"/>
    </row>
    <row r="1411" customFormat="false" ht="14.25" hidden="false" customHeight="false" outlineLevel="0" collapsed="false">
      <c r="A1411" s="1465"/>
      <c r="B1411" s="1546"/>
      <c r="C1411" s="1975"/>
      <c r="D1411" s="860" t="s">
        <v>13</v>
      </c>
      <c r="E1411" s="1480" t="s">
        <v>1651</v>
      </c>
      <c r="F1411" s="1328"/>
      <c r="G1411" s="1976"/>
      <c r="H1411" s="1036"/>
      <c r="I1411" s="1036"/>
      <c r="J1411" s="1557"/>
      <c r="K1411" s="1547"/>
      <c r="L1411" s="866" t="n">
        <v>1281.726</v>
      </c>
      <c r="M1411" s="866" t="n">
        <v>45</v>
      </c>
      <c r="N1411" s="866" t="n">
        <f aca="false">M1411/H1393</f>
        <v>3</v>
      </c>
      <c r="O1411" s="543" t="n">
        <v>86918</v>
      </c>
      <c r="P1411" s="1978"/>
      <c r="Q1411" s="1978"/>
      <c r="R1411" s="1979"/>
    </row>
    <row r="1412" customFormat="false" ht="14.25" hidden="false" customHeight="false" outlineLevel="0" collapsed="false">
      <c r="A1412" s="1465"/>
      <c r="B1412" s="1546"/>
      <c r="C1412" s="1975"/>
      <c r="D1412" s="860" t="s">
        <v>13</v>
      </c>
      <c r="E1412" s="1480" t="s">
        <v>1651</v>
      </c>
      <c r="F1412" s="1328"/>
      <c r="G1412" s="1976"/>
      <c r="H1412" s="1036"/>
      <c r="I1412" s="1036"/>
      <c r="J1412" s="1557"/>
      <c r="K1412" s="1547"/>
      <c r="L1412" s="866" t="n">
        <v>2990.694</v>
      </c>
      <c r="M1412" s="866" t="n">
        <v>105</v>
      </c>
      <c r="N1412" s="866" t="n">
        <f aca="false">M1412/H1393</f>
        <v>7</v>
      </c>
      <c r="O1412" s="543" t="n">
        <v>86882</v>
      </c>
      <c r="P1412" s="1978"/>
      <c r="Q1412" s="1978"/>
      <c r="R1412" s="1979"/>
    </row>
    <row r="1413" customFormat="false" ht="14.25" hidden="false" customHeight="false" outlineLevel="0" collapsed="false">
      <c r="A1413" s="1465"/>
      <c r="B1413" s="1546"/>
      <c r="C1413" s="1975"/>
      <c r="D1413" s="860" t="s">
        <v>13</v>
      </c>
      <c r="E1413" s="1480" t="s">
        <v>1651</v>
      </c>
      <c r="F1413" s="1328"/>
      <c r="G1413" s="1976"/>
      <c r="H1413" s="1036"/>
      <c r="I1413" s="1036"/>
      <c r="J1413" s="1557"/>
      <c r="K1413" s="1547"/>
      <c r="L1413" s="866" t="n">
        <v>427.242</v>
      </c>
      <c r="M1413" s="866" t="n">
        <v>15</v>
      </c>
      <c r="N1413" s="866" t="n">
        <f aca="false">M1413/H1393</f>
        <v>1</v>
      </c>
      <c r="O1413" s="543" t="n">
        <v>86876</v>
      </c>
      <c r="P1413" s="1978"/>
      <c r="Q1413" s="1978"/>
      <c r="R1413" s="1979"/>
    </row>
    <row r="1414" customFormat="false" ht="14.25" hidden="false" customHeight="false" outlineLevel="0" collapsed="false">
      <c r="A1414" s="1465"/>
      <c r="B1414" s="1546"/>
      <c r="C1414" s="1975"/>
      <c r="D1414" s="860" t="s">
        <v>13</v>
      </c>
      <c r="E1414" s="1480" t="s">
        <v>1651</v>
      </c>
      <c r="F1414" s="1328"/>
      <c r="G1414" s="1976"/>
      <c r="H1414" s="1036"/>
      <c r="I1414" s="1036"/>
      <c r="J1414" s="1557"/>
      <c r="K1414" s="1547"/>
      <c r="L1414" s="866" t="n">
        <v>1708.968</v>
      </c>
      <c r="M1414" s="866" t="n">
        <v>60</v>
      </c>
      <c r="N1414" s="866" t="n">
        <f aca="false">M1414/H1393</f>
        <v>4</v>
      </c>
      <c r="O1414" s="543" t="n">
        <v>86742</v>
      </c>
      <c r="P1414" s="1978"/>
      <c r="Q1414" s="1978"/>
      <c r="R1414" s="1979"/>
    </row>
    <row r="1415" customFormat="false" ht="14.25" hidden="false" customHeight="false" outlineLevel="0" collapsed="false">
      <c r="A1415" s="1465"/>
      <c r="B1415" s="1546"/>
      <c r="C1415" s="1975"/>
      <c r="D1415" s="860" t="s">
        <v>13</v>
      </c>
      <c r="E1415" s="1480" t="s">
        <v>1651</v>
      </c>
      <c r="F1415" s="1328"/>
      <c r="G1415" s="1976"/>
      <c r="H1415" s="1036"/>
      <c r="I1415" s="1036"/>
      <c r="J1415" s="1557"/>
      <c r="K1415" s="1547"/>
      <c r="L1415" s="866" t="n">
        <v>6835.872</v>
      </c>
      <c r="M1415" s="866" t="n">
        <v>240</v>
      </c>
      <c r="N1415" s="866" t="n">
        <f aca="false">M1415/H1393</f>
        <v>16</v>
      </c>
      <c r="O1415" s="543" t="n">
        <v>86699</v>
      </c>
      <c r="P1415" s="1978"/>
      <c r="Q1415" s="1978"/>
      <c r="R1415" s="1979"/>
    </row>
    <row r="1416" customFormat="false" ht="14.25" hidden="false" customHeight="false" outlineLevel="0" collapsed="false">
      <c r="A1416" s="1465"/>
      <c r="B1416" s="1546"/>
      <c r="C1416" s="1975"/>
      <c r="D1416" s="904" t="s">
        <v>13</v>
      </c>
      <c r="E1416" s="1351" t="s">
        <v>1651</v>
      </c>
      <c r="F1416" s="1328"/>
      <c r="G1416" s="1976"/>
      <c r="H1416" s="1036"/>
      <c r="I1416" s="1036"/>
      <c r="J1416" s="1557"/>
      <c r="K1416" s="1547"/>
      <c r="L1416" s="877" t="n">
        <v>15380.712</v>
      </c>
      <c r="M1416" s="877" t="n">
        <v>540</v>
      </c>
      <c r="N1416" s="877" t="n">
        <f aca="false">M1416/H1393</f>
        <v>36</v>
      </c>
      <c r="O1416" s="553" t="n">
        <v>86617</v>
      </c>
      <c r="P1416" s="1978"/>
      <c r="Q1416" s="1978"/>
      <c r="R1416" s="1979"/>
    </row>
    <row r="1417" customFormat="false" ht="14.25" hidden="false" customHeight="false" outlineLevel="0" collapsed="false">
      <c r="A1417" s="829" t="n">
        <v>114</v>
      </c>
      <c r="B1417" s="830" t="n">
        <v>2024</v>
      </c>
      <c r="C1417" s="1965" t="n">
        <v>45689</v>
      </c>
      <c r="D1417" s="831" t="s">
        <v>13</v>
      </c>
      <c r="E1417" s="1365" t="s">
        <v>1651</v>
      </c>
      <c r="F1417" s="832" t="s">
        <v>3364</v>
      </c>
      <c r="G1417" s="1931" t="n">
        <v>69</v>
      </c>
      <c r="H1417" s="837" t="n">
        <v>15</v>
      </c>
      <c r="I1417" s="837" t="n">
        <f aca="false">G1417*H1417</f>
        <v>1035</v>
      </c>
      <c r="J1417" s="1059" t="n">
        <v>22.5</v>
      </c>
      <c r="K1417" s="943" t="n">
        <f aca="false">I1417*J1417</f>
        <v>23287.5</v>
      </c>
      <c r="L1417" s="840" t="n">
        <v>2700</v>
      </c>
      <c r="M1417" s="840" t="n">
        <v>120</v>
      </c>
      <c r="N1417" s="840" t="n">
        <f aca="false">M1417/H1417</f>
        <v>8</v>
      </c>
      <c r="O1417" s="1114"/>
      <c r="P1417" s="1937" t="n">
        <f aca="false">K1417-L1417-L1418</f>
        <v>0</v>
      </c>
      <c r="Q1417" s="1934" t="n">
        <f aca="false">I1417-M1417-M1418</f>
        <v>0</v>
      </c>
      <c r="R1417" s="1935" t="n">
        <f aca="false">G1417-N1417-N1418</f>
        <v>0</v>
      </c>
    </row>
    <row r="1418" customFormat="false" ht="14.25" hidden="false" customHeight="false" outlineLevel="0" collapsed="false">
      <c r="A1418" s="829"/>
      <c r="B1418" s="830"/>
      <c r="C1418" s="1965"/>
      <c r="D1418" s="843" t="s">
        <v>13</v>
      </c>
      <c r="E1418" s="1357" t="s">
        <v>1651</v>
      </c>
      <c r="F1418" s="832"/>
      <c r="G1418" s="1931"/>
      <c r="H1418" s="837"/>
      <c r="I1418" s="837"/>
      <c r="J1418" s="1059"/>
      <c r="K1418" s="943"/>
      <c r="L1418" s="846" t="n">
        <v>20587.5</v>
      </c>
      <c r="M1418" s="846" t="n">
        <v>915</v>
      </c>
      <c r="N1418" s="846" t="n">
        <f aca="false">M1418/H1417</f>
        <v>61</v>
      </c>
      <c r="O1418" s="589" t="s">
        <v>396</v>
      </c>
      <c r="P1418" s="1937"/>
      <c r="Q1418" s="1934"/>
      <c r="R1418" s="1935"/>
    </row>
    <row r="1419" customFormat="false" ht="14.25" hidden="false" customHeight="false" outlineLevel="0" collapsed="false">
      <c r="A1419" s="1060" t="n">
        <v>116</v>
      </c>
      <c r="B1419" s="1072" t="n">
        <v>2024</v>
      </c>
      <c r="C1419" s="1980" t="n">
        <v>45689</v>
      </c>
      <c r="D1419" s="904" t="s">
        <v>13</v>
      </c>
      <c r="E1419" s="1351" t="s">
        <v>1652</v>
      </c>
      <c r="F1419" s="887" t="s">
        <v>3364</v>
      </c>
      <c r="G1419" s="1950" t="n">
        <v>77</v>
      </c>
      <c r="H1419" s="1067" t="n">
        <v>15</v>
      </c>
      <c r="I1419" s="1067" t="n">
        <f aca="false">G1419*H1419</f>
        <v>1155</v>
      </c>
      <c r="J1419" s="1063" t="n">
        <v>38.5554</v>
      </c>
      <c r="K1419" s="1452" t="n">
        <f aca="false">I1419*J1419</f>
        <v>44531.487</v>
      </c>
      <c r="L1419" s="891" t="n">
        <v>15614.937</v>
      </c>
      <c r="M1419" s="891" t="n">
        <v>405</v>
      </c>
      <c r="N1419" s="891" t="n">
        <f aca="false">M1419/H1419</f>
        <v>27</v>
      </c>
      <c r="O1419" s="942" t="n">
        <v>86665</v>
      </c>
      <c r="P1419" s="1952" t="n">
        <f aca="false">K1419-L1419-L1422-L1421-L1420</f>
        <v>0</v>
      </c>
      <c r="Q1419" s="1953" t="n">
        <f aca="false">I1419-M1419-M1422-M1421-M1420</f>
        <v>0</v>
      </c>
      <c r="R1419" s="1954" t="n">
        <f aca="false">G1419-N1419-N1422-N1421-N1420</f>
        <v>0</v>
      </c>
    </row>
    <row r="1420" customFormat="false" ht="14.25" hidden="false" customHeight="false" outlineLevel="0" collapsed="false">
      <c r="A1420" s="1060"/>
      <c r="B1420" s="1072"/>
      <c r="C1420" s="1980"/>
      <c r="D1420" s="860" t="s">
        <v>13</v>
      </c>
      <c r="E1420" s="1480" t="s">
        <v>1652</v>
      </c>
      <c r="F1420" s="887"/>
      <c r="G1420" s="1950"/>
      <c r="H1420" s="1067"/>
      <c r="I1420" s="1067"/>
      <c r="J1420" s="1063"/>
      <c r="K1420" s="1452"/>
      <c r="L1420" s="866" t="n">
        <v>9831.627</v>
      </c>
      <c r="M1420" s="866" t="n">
        <v>255</v>
      </c>
      <c r="N1420" s="866" t="n">
        <f aca="false">M1420/H1419</f>
        <v>17</v>
      </c>
      <c r="O1420" s="543" t="s">
        <v>404</v>
      </c>
      <c r="P1420" s="1952"/>
      <c r="Q1420" s="1953"/>
      <c r="R1420" s="1954"/>
    </row>
    <row r="1421" customFormat="false" ht="14.25" hidden="false" customHeight="false" outlineLevel="0" collapsed="false">
      <c r="A1421" s="1060"/>
      <c r="B1421" s="1072"/>
      <c r="C1421" s="1980"/>
      <c r="D1421" s="860" t="s">
        <v>13</v>
      </c>
      <c r="E1421" s="1480" t="s">
        <v>1652</v>
      </c>
      <c r="F1421" s="887"/>
      <c r="G1421" s="1950"/>
      <c r="H1421" s="1067"/>
      <c r="I1421" s="1067"/>
      <c r="J1421" s="1063"/>
      <c r="K1421" s="1452"/>
      <c r="L1421" s="866" t="n">
        <v>11566.62</v>
      </c>
      <c r="M1421" s="866" t="n">
        <v>300</v>
      </c>
      <c r="N1421" s="866" t="n">
        <f aca="false">M1421/H1419</f>
        <v>20</v>
      </c>
      <c r="O1421" s="543" t="n">
        <v>86719</v>
      </c>
      <c r="P1421" s="1952"/>
      <c r="Q1421" s="1953"/>
      <c r="R1421" s="1954"/>
    </row>
    <row r="1422" customFormat="false" ht="14.25" hidden="false" customHeight="false" outlineLevel="0" collapsed="false">
      <c r="A1422" s="1060"/>
      <c r="B1422" s="1072"/>
      <c r="C1422" s="1980"/>
      <c r="D1422" s="843" t="s">
        <v>13</v>
      </c>
      <c r="E1422" s="1357" t="s">
        <v>1652</v>
      </c>
      <c r="F1422" s="887"/>
      <c r="G1422" s="1950"/>
      <c r="H1422" s="1067"/>
      <c r="I1422" s="1067"/>
      <c r="J1422" s="1063"/>
      <c r="K1422" s="1452"/>
      <c r="L1422" s="846" t="n">
        <v>7518.303</v>
      </c>
      <c r="M1422" s="846" t="n">
        <v>195</v>
      </c>
      <c r="N1422" s="846" t="n">
        <f aca="false">M1422/H1419</f>
        <v>13</v>
      </c>
      <c r="O1422" s="589" t="n">
        <v>86666</v>
      </c>
      <c r="P1422" s="1952"/>
      <c r="Q1422" s="1953"/>
      <c r="R1422" s="1954"/>
    </row>
    <row r="1423" customFormat="false" ht="14.25" hidden="false" customHeight="false" outlineLevel="0" collapsed="false">
      <c r="A1423" s="829" t="n">
        <v>214</v>
      </c>
      <c r="B1423" s="830" t="n">
        <v>2024</v>
      </c>
      <c r="C1423" s="1965" t="n">
        <v>45839</v>
      </c>
      <c r="D1423" s="831" t="s">
        <v>13</v>
      </c>
      <c r="E1423" s="1365" t="s">
        <v>1651</v>
      </c>
      <c r="F1423" s="832" t="s">
        <v>3364</v>
      </c>
      <c r="G1423" s="1931" t="n">
        <v>130</v>
      </c>
      <c r="H1423" s="837" t="n">
        <v>15</v>
      </c>
      <c r="I1423" s="837" t="n">
        <f aca="false">G1423*H1423</f>
        <v>1950</v>
      </c>
      <c r="J1423" s="1059" t="n">
        <v>26.2667</v>
      </c>
      <c r="K1423" s="943" t="n">
        <f aca="false">I1423*J1423</f>
        <v>51220.065</v>
      </c>
      <c r="L1423" s="1446" t="n">
        <v>23640.03</v>
      </c>
      <c r="M1423" s="886" t="n">
        <v>900</v>
      </c>
      <c r="N1423" s="886" t="n">
        <f aca="false">M1423/H1423</f>
        <v>60</v>
      </c>
      <c r="O1423" s="1036" t="s">
        <v>366</v>
      </c>
      <c r="P1423" s="1934" t="n">
        <f aca="false">K1423-L1423-L1426-L1425-L1424</f>
        <v>-0.000499999995781764</v>
      </c>
      <c r="Q1423" s="1934" t="n">
        <f aca="false">I1423-M1423-M1426-M1425-M1424</f>
        <v>0</v>
      </c>
      <c r="R1423" s="1935" t="n">
        <f aca="false">G1423-N1423-N1426-N1425-N1424</f>
        <v>0</v>
      </c>
    </row>
    <row r="1424" customFormat="false" ht="14.25" hidden="false" customHeight="false" outlineLevel="0" collapsed="false">
      <c r="A1424" s="829"/>
      <c r="B1424" s="830"/>
      <c r="C1424" s="1965"/>
      <c r="D1424" s="848" t="s">
        <v>13</v>
      </c>
      <c r="E1424" s="1479" t="s">
        <v>1651</v>
      </c>
      <c r="F1424" s="832"/>
      <c r="G1424" s="1931"/>
      <c r="H1424" s="837"/>
      <c r="I1424" s="837"/>
      <c r="J1424" s="1059"/>
      <c r="K1424" s="943"/>
      <c r="L1424" s="1448" t="n">
        <v>1970.003</v>
      </c>
      <c r="M1424" s="866" t="n">
        <v>75</v>
      </c>
      <c r="N1424" s="866" t="n">
        <f aca="false">M1424/H1423</f>
        <v>5</v>
      </c>
      <c r="O1424" s="543" t="s">
        <v>396</v>
      </c>
      <c r="P1424" s="1934"/>
      <c r="Q1424" s="1934"/>
      <c r="R1424" s="1935"/>
    </row>
    <row r="1425" customFormat="false" ht="14.25" hidden="false" customHeight="false" outlineLevel="0" collapsed="false">
      <c r="A1425" s="829"/>
      <c r="B1425" s="830"/>
      <c r="C1425" s="1965"/>
      <c r="D1425" s="860" t="s">
        <v>13</v>
      </c>
      <c r="E1425" s="1480" t="s">
        <v>1651</v>
      </c>
      <c r="F1425" s="832"/>
      <c r="G1425" s="1931"/>
      <c r="H1425" s="837"/>
      <c r="I1425" s="837"/>
      <c r="J1425" s="1059"/>
      <c r="K1425" s="943"/>
      <c r="L1425" s="1448" t="n">
        <v>7880.01</v>
      </c>
      <c r="M1425" s="866" t="n">
        <v>300</v>
      </c>
      <c r="N1425" s="866" t="n">
        <f aca="false">M1425/H1423</f>
        <v>20</v>
      </c>
      <c r="O1425" s="543" t="s">
        <v>3436</v>
      </c>
      <c r="P1425" s="1934"/>
      <c r="Q1425" s="1934"/>
      <c r="R1425" s="1935"/>
    </row>
    <row r="1426" customFormat="false" ht="14.25" hidden="false" customHeight="false" outlineLevel="0" collapsed="false">
      <c r="A1426" s="829"/>
      <c r="B1426" s="830"/>
      <c r="C1426" s="1965"/>
      <c r="D1426" s="887" t="s">
        <v>13</v>
      </c>
      <c r="E1426" s="1501" t="s">
        <v>1651</v>
      </c>
      <c r="F1426" s="832"/>
      <c r="G1426" s="1931"/>
      <c r="H1426" s="837"/>
      <c r="I1426" s="837"/>
      <c r="J1426" s="1059"/>
      <c r="K1426" s="943"/>
      <c r="L1426" s="945" t="n">
        <v>17730.0225</v>
      </c>
      <c r="M1426" s="890" t="n">
        <v>675</v>
      </c>
      <c r="N1426" s="890" t="n">
        <f aca="false">M1426/H1423</f>
        <v>45</v>
      </c>
      <c r="O1426" s="1067" t="s">
        <v>385</v>
      </c>
      <c r="P1426" s="1934"/>
      <c r="Q1426" s="1934"/>
      <c r="R1426" s="1935"/>
    </row>
    <row r="1427" customFormat="false" ht="14.25" hidden="false" customHeight="false" outlineLevel="0" collapsed="false">
      <c r="A1427" s="1465" t="n">
        <v>215</v>
      </c>
      <c r="B1427" s="1546" t="n">
        <v>2024</v>
      </c>
      <c r="C1427" s="1975" t="n">
        <v>45839</v>
      </c>
      <c r="D1427" s="831" t="s">
        <v>13</v>
      </c>
      <c r="E1427" s="1365" t="s">
        <v>1651</v>
      </c>
      <c r="F1427" s="1328" t="s">
        <v>3367</v>
      </c>
      <c r="G1427" s="1976" t="n">
        <v>294</v>
      </c>
      <c r="H1427" s="1036" t="n">
        <v>15</v>
      </c>
      <c r="I1427" s="1036" t="n">
        <f aca="false">G1427*H1427</f>
        <v>4410</v>
      </c>
      <c r="J1427" s="1557" t="n">
        <v>26.487</v>
      </c>
      <c r="K1427" s="1547" t="n">
        <f aca="false">I1427*J1427</f>
        <v>116807.67</v>
      </c>
      <c r="L1427" s="886" t="n">
        <v>11919.15</v>
      </c>
      <c r="M1427" s="886" t="n">
        <v>450</v>
      </c>
      <c r="N1427" s="886" t="n">
        <f aca="false">M1427/H1427</f>
        <v>30</v>
      </c>
      <c r="O1427" s="1036" t="s">
        <v>367</v>
      </c>
      <c r="P1427" s="1978" t="n">
        <f aca="false">K1427-L1427-L1433-L1432-L1428-L1431-L1430-L1429</f>
        <v>1.02318153949454E-012</v>
      </c>
      <c r="Q1427" s="1978" t="n">
        <f aca="false">I1427-M1427-M1433-M1432-M1428-M1431-M1429-M1430</f>
        <v>0</v>
      </c>
      <c r="R1427" s="1979" t="n">
        <f aca="false">G1427-N1427-N1433-N1432-N1428-N1431-N1430-N1429</f>
        <v>0</v>
      </c>
    </row>
    <row r="1428" customFormat="false" ht="14.25" hidden="false" customHeight="false" outlineLevel="0" collapsed="false">
      <c r="A1428" s="1465"/>
      <c r="B1428" s="1546"/>
      <c r="C1428" s="1975"/>
      <c r="D1428" s="848" t="s">
        <v>13</v>
      </c>
      <c r="E1428" s="1479" t="s">
        <v>1651</v>
      </c>
      <c r="F1428" s="1328"/>
      <c r="G1428" s="1976"/>
      <c r="H1428" s="1036"/>
      <c r="I1428" s="1036"/>
      <c r="J1428" s="1557"/>
      <c r="K1428" s="1547"/>
      <c r="L1428" s="866" t="n">
        <v>397.305</v>
      </c>
      <c r="M1428" s="866" t="n">
        <v>15</v>
      </c>
      <c r="N1428" s="866" t="n">
        <f aca="false">M1428/H1427</f>
        <v>1</v>
      </c>
      <c r="O1428" s="543" t="s">
        <v>3368</v>
      </c>
      <c r="P1428" s="1978"/>
      <c r="Q1428" s="1978"/>
      <c r="R1428" s="1979"/>
    </row>
    <row r="1429" customFormat="false" ht="14.25" hidden="false" customHeight="false" outlineLevel="0" collapsed="false">
      <c r="A1429" s="1465"/>
      <c r="B1429" s="1546"/>
      <c r="C1429" s="1975"/>
      <c r="D1429" s="848" t="s">
        <v>13</v>
      </c>
      <c r="E1429" s="1479" t="s">
        <v>1651</v>
      </c>
      <c r="F1429" s="1328"/>
      <c r="G1429" s="1976"/>
      <c r="H1429" s="1036"/>
      <c r="I1429" s="1036"/>
      <c r="J1429" s="1557"/>
      <c r="K1429" s="1547"/>
      <c r="L1429" s="866" t="n">
        <v>-794.61</v>
      </c>
      <c r="M1429" s="866" t="n">
        <v>-30</v>
      </c>
      <c r="N1429" s="866" t="n">
        <f aca="false">M1429/H1427</f>
        <v>-2</v>
      </c>
      <c r="O1429" s="543" t="s">
        <v>1634</v>
      </c>
      <c r="P1429" s="1978"/>
      <c r="Q1429" s="1978"/>
      <c r="R1429" s="1979"/>
    </row>
    <row r="1430" customFormat="false" ht="14.25" hidden="false" customHeight="false" outlineLevel="0" collapsed="false">
      <c r="A1430" s="1465"/>
      <c r="B1430" s="1546"/>
      <c r="C1430" s="1975"/>
      <c r="D1430" s="848" t="s">
        <v>13</v>
      </c>
      <c r="E1430" s="1479" t="s">
        <v>1651</v>
      </c>
      <c r="F1430" s="1328"/>
      <c r="G1430" s="1976"/>
      <c r="H1430" s="1036"/>
      <c r="I1430" s="1036"/>
      <c r="J1430" s="1557"/>
      <c r="K1430" s="1547"/>
      <c r="L1430" s="866" t="n">
        <v>397.305</v>
      </c>
      <c r="M1430" s="866" t="n">
        <v>15</v>
      </c>
      <c r="N1430" s="866" t="n">
        <f aca="false">M1430/H1427</f>
        <v>1</v>
      </c>
      <c r="O1430" s="543" t="s">
        <v>734</v>
      </c>
      <c r="P1430" s="1978"/>
      <c r="Q1430" s="1978"/>
      <c r="R1430" s="1979"/>
    </row>
    <row r="1431" customFormat="false" ht="14.25" hidden="false" customHeight="false" outlineLevel="0" collapsed="false">
      <c r="A1431" s="1465"/>
      <c r="B1431" s="1546"/>
      <c r="C1431" s="1975"/>
      <c r="D1431" s="848" t="s">
        <v>13</v>
      </c>
      <c r="E1431" s="1479" t="s">
        <v>1651</v>
      </c>
      <c r="F1431" s="1328"/>
      <c r="G1431" s="1976"/>
      <c r="H1431" s="1036"/>
      <c r="I1431" s="1036"/>
      <c r="J1431" s="1557"/>
      <c r="K1431" s="1547"/>
      <c r="L1431" s="866" t="n">
        <v>1589.22</v>
      </c>
      <c r="M1431" s="866" t="n">
        <v>60</v>
      </c>
      <c r="N1431" s="866" t="n">
        <f aca="false">M1431/H1427</f>
        <v>4</v>
      </c>
      <c r="O1431" s="543" t="s">
        <v>579</v>
      </c>
      <c r="P1431" s="1978"/>
      <c r="Q1431" s="1978"/>
      <c r="R1431" s="1979"/>
    </row>
    <row r="1432" customFormat="false" ht="14.25" hidden="false" customHeight="false" outlineLevel="0" collapsed="false">
      <c r="A1432" s="1465"/>
      <c r="B1432" s="1546"/>
      <c r="C1432" s="1975"/>
      <c r="D1432" s="860" t="s">
        <v>13</v>
      </c>
      <c r="E1432" s="1480" t="s">
        <v>1651</v>
      </c>
      <c r="F1432" s="1328"/>
      <c r="G1432" s="1976"/>
      <c r="H1432" s="1036"/>
      <c r="I1432" s="1036"/>
      <c r="J1432" s="1557"/>
      <c r="K1432" s="1547"/>
      <c r="L1432" s="866" t="n">
        <v>79461</v>
      </c>
      <c r="M1432" s="866" t="n">
        <v>3000</v>
      </c>
      <c r="N1432" s="866" t="n">
        <f aca="false">M1432/H1427</f>
        <v>200</v>
      </c>
      <c r="O1432" s="543" t="s">
        <v>399</v>
      </c>
      <c r="P1432" s="1978"/>
      <c r="Q1432" s="1978"/>
      <c r="R1432" s="1979"/>
    </row>
    <row r="1433" customFormat="false" ht="14.25" hidden="false" customHeight="false" outlineLevel="0" collapsed="false">
      <c r="A1433" s="1465"/>
      <c r="B1433" s="1546"/>
      <c r="C1433" s="1975"/>
      <c r="D1433" s="904" t="s">
        <v>13</v>
      </c>
      <c r="E1433" s="1351" t="s">
        <v>1651</v>
      </c>
      <c r="F1433" s="1328"/>
      <c r="G1433" s="1976"/>
      <c r="H1433" s="1036"/>
      <c r="I1433" s="1036"/>
      <c r="J1433" s="1557"/>
      <c r="K1433" s="1547"/>
      <c r="L1433" s="891" t="n">
        <v>23838.3</v>
      </c>
      <c r="M1433" s="891" t="n">
        <v>900</v>
      </c>
      <c r="N1433" s="891" t="n">
        <f aca="false">M1433/H1427</f>
        <v>60</v>
      </c>
      <c r="O1433" s="942" t="s">
        <v>398</v>
      </c>
      <c r="P1433" s="1978"/>
      <c r="Q1433" s="1978"/>
      <c r="R1433" s="1979"/>
    </row>
    <row r="1434" customFormat="false" ht="14.25" hidden="false" customHeight="false" outlineLevel="0" collapsed="false">
      <c r="A1434" s="829" t="n">
        <v>231</v>
      </c>
      <c r="B1434" s="830" t="n">
        <v>2024</v>
      </c>
      <c r="C1434" s="1965" t="n">
        <v>45839</v>
      </c>
      <c r="D1434" s="831" t="s">
        <v>13</v>
      </c>
      <c r="E1434" s="1365" t="s">
        <v>1651</v>
      </c>
      <c r="F1434" s="832" t="s">
        <v>3367</v>
      </c>
      <c r="G1434" s="1931" t="n">
        <v>200</v>
      </c>
      <c r="H1434" s="837" t="n">
        <v>15</v>
      </c>
      <c r="I1434" s="837" t="n">
        <f aca="false">G1434*H1434</f>
        <v>3000</v>
      </c>
      <c r="J1434" s="1059" t="n">
        <v>25.4299</v>
      </c>
      <c r="K1434" s="943" t="n">
        <f aca="false">I1434*J1434</f>
        <v>76289.7</v>
      </c>
      <c r="L1434" s="886" t="n">
        <v>11443.455</v>
      </c>
      <c r="M1434" s="886" t="n">
        <v>450</v>
      </c>
      <c r="N1434" s="886" t="n">
        <f aca="false">M1434/H1434</f>
        <v>30</v>
      </c>
      <c r="O1434" s="1036"/>
      <c r="P1434" s="1934" t="n">
        <f aca="false">K1434-L1434-L1441-L1440-L1435-L1436-L1439-L1437-L1438</f>
        <v>-0.00150000000212458</v>
      </c>
      <c r="Q1434" s="1934" t="n">
        <f aca="false">I1434-M1434-M1441-M1440-M1435-M1436-M1439-M1437-M1438</f>
        <v>0</v>
      </c>
      <c r="R1434" s="1935" t="n">
        <f aca="false">G1434-N1434-N1441-N1440-N1435-N1436-N1439-N1437-N1438</f>
        <v>0</v>
      </c>
    </row>
    <row r="1435" customFormat="false" ht="14.25" hidden="false" customHeight="false" outlineLevel="0" collapsed="false">
      <c r="A1435" s="829"/>
      <c r="B1435" s="830"/>
      <c r="C1435" s="1965"/>
      <c r="D1435" s="860" t="s">
        <v>13</v>
      </c>
      <c r="E1435" s="1480" t="s">
        <v>1651</v>
      </c>
      <c r="F1435" s="832"/>
      <c r="G1435" s="1931"/>
      <c r="H1435" s="837"/>
      <c r="I1435" s="837"/>
      <c r="J1435" s="1059"/>
      <c r="K1435" s="943"/>
      <c r="L1435" s="866" t="n">
        <v>7247.5215</v>
      </c>
      <c r="M1435" s="866" t="n">
        <v>285</v>
      </c>
      <c r="N1435" s="866" t="n">
        <f aca="false">M1435/H1434</f>
        <v>19</v>
      </c>
      <c r="O1435" s="543" t="s">
        <v>3495</v>
      </c>
      <c r="P1435" s="1934"/>
      <c r="Q1435" s="1934"/>
      <c r="R1435" s="1935"/>
    </row>
    <row r="1436" customFormat="false" ht="14.25" hidden="false" customHeight="false" outlineLevel="0" collapsed="false">
      <c r="A1436" s="829"/>
      <c r="B1436" s="830"/>
      <c r="C1436" s="1965"/>
      <c r="D1436" s="860" t="s">
        <v>13</v>
      </c>
      <c r="E1436" s="1480" t="s">
        <v>1651</v>
      </c>
      <c r="F1436" s="832"/>
      <c r="G1436" s="1931"/>
      <c r="H1436" s="837"/>
      <c r="I1436" s="837"/>
      <c r="J1436" s="1059"/>
      <c r="K1436" s="943"/>
      <c r="L1436" s="866" t="n">
        <v>3051.588</v>
      </c>
      <c r="M1436" s="866" t="n">
        <v>120</v>
      </c>
      <c r="N1436" s="866" t="n">
        <f aca="false">M1436/H1434</f>
        <v>8</v>
      </c>
      <c r="O1436" s="543" t="s">
        <v>519</v>
      </c>
      <c r="P1436" s="1934"/>
      <c r="Q1436" s="1934"/>
      <c r="R1436" s="1935"/>
    </row>
    <row r="1437" customFormat="false" ht="14.25" hidden="false" customHeight="false" outlineLevel="0" collapsed="false">
      <c r="A1437" s="829"/>
      <c r="B1437" s="830"/>
      <c r="C1437" s="1965"/>
      <c r="D1437" s="860" t="s">
        <v>13</v>
      </c>
      <c r="E1437" s="1480" t="s">
        <v>1651</v>
      </c>
      <c r="F1437" s="832"/>
      <c r="G1437" s="1931"/>
      <c r="H1437" s="837"/>
      <c r="I1437" s="837"/>
      <c r="J1437" s="1059"/>
      <c r="K1437" s="943"/>
      <c r="L1437" s="866" t="n">
        <v>-381.4485</v>
      </c>
      <c r="M1437" s="866" t="n">
        <v>-15</v>
      </c>
      <c r="N1437" s="866" t="n">
        <f aca="false">M1437/H1434</f>
        <v>-1</v>
      </c>
      <c r="O1437" s="543" t="s">
        <v>1634</v>
      </c>
      <c r="P1437" s="1934"/>
      <c r="Q1437" s="1934"/>
      <c r="R1437" s="1935"/>
    </row>
    <row r="1438" customFormat="false" ht="14.25" hidden="false" customHeight="false" outlineLevel="0" collapsed="false">
      <c r="A1438" s="829"/>
      <c r="B1438" s="830"/>
      <c r="C1438" s="1965"/>
      <c r="D1438" s="860" t="s">
        <v>13</v>
      </c>
      <c r="E1438" s="1480" t="s">
        <v>1651</v>
      </c>
      <c r="F1438" s="832"/>
      <c r="G1438" s="1931"/>
      <c r="H1438" s="837"/>
      <c r="I1438" s="837"/>
      <c r="J1438" s="1059"/>
      <c r="K1438" s="943"/>
      <c r="L1438" s="866" t="n">
        <v>381.4485</v>
      </c>
      <c r="M1438" s="866" t="n">
        <v>15</v>
      </c>
      <c r="N1438" s="866" t="n">
        <f aca="false">M1438/H1434</f>
        <v>1</v>
      </c>
      <c r="O1438" s="543" t="s">
        <v>1375</v>
      </c>
      <c r="P1438" s="1934"/>
      <c r="Q1438" s="1934"/>
      <c r="R1438" s="1935"/>
    </row>
    <row r="1439" customFormat="false" ht="14.25" hidden="false" customHeight="false" outlineLevel="0" collapsed="false">
      <c r="A1439" s="829"/>
      <c r="B1439" s="830"/>
      <c r="C1439" s="1965"/>
      <c r="D1439" s="860" t="s">
        <v>13</v>
      </c>
      <c r="E1439" s="1480" t="s">
        <v>1651</v>
      </c>
      <c r="F1439" s="832"/>
      <c r="G1439" s="1931"/>
      <c r="H1439" s="837"/>
      <c r="I1439" s="837"/>
      <c r="J1439" s="1059"/>
      <c r="K1439" s="943"/>
      <c r="L1439" s="866" t="n">
        <v>15639.39</v>
      </c>
      <c r="M1439" s="866" t="n">
        <v>615</v>
      </c>
      <c r="N1439" s="866" t="n">
        <f aca="false">M1439/H1434</f>
        <v>41</v>
      </c>
      <c r="O1439" s="543" t="s">
        <v>579</v>
      </c>
      <c r="P1439" s="1934"/>
      <c r="Q1439" s="1934"/>
      <c r="R1439" s="1935"/>
    </row>
    <row r="1440" customFormat="false" ht="14.25" hidden="false" customHeight="false" outlineLevel="0" collapsed="false">
      <c r="A1440" s="829"/>
      <c r="B1440" s="830"/>
      <c r="C1440" s="1965"/>
      <c r="D1440" s="860" t="s">
        <v>13</v>
      </c>
      <c r="E1440" s="1480" t="s">
        <v>1651</v>
      </c>
      <c r="F1440" s="832"/>
      <c r="G1440" s="1931"/>
      <c r="H1440" s="837"/>
      <c r="I1440" s="837"/>
      <c r="J1440" s="1059"/>
      <c r="K1440" s="943"/>
      <c r="L1440" s="866" t="n">
        <v>1144.3455</v>
      </c>
      <c r="M1440" s="866" t="n">
        <v>45</v>
      </c>
      <c r="N1440" s="866" t="n">
        <f aca="false">M1440/H1434</f>
        <v>3</v>
      </c>
      <c r="O1440" s="543" t="s">
        <v>460</v>
      </c>
      <c r="P1440" s="1934"/>
      <c r="Q1440" s="1934"/>
      <c r="R1440" s="1935"/>
    </row>
    <row r="1441" customFormat="false" ht="14.25" hidden="false" customHeight="false" outlineLevel="0" collapsed="false">
      <c r="A1441" s="829"/>
      <c r="B1441" s="830"/>
      <c r="C1441" s="1965"/>
      <c r="D1441" s="843" t="s">
        <v>13</v>
      </c>
      <c r="E1441" s="1357" t="s">
        <v>1651</v>
      </c>
      <c r="F1441" s="832"/>
      <c r="G1441" s="1931"/>
      <c r="H1441" s="837"/>
      <c r="I1441" s="837"/>
      <c r="J1441" s="1059"/>
      <c r="K1441" s="943"/>
      <c r="L1441" s="846" t="n">
        <v>37763.4015</v>
      </c>
      <c r="M1441" s="846" t="n">
        <v>1485</v>
      </c>
      <c r="N1441" s="846" t="n">
        <f aca="false">M1441/H1434</f>
        <v>99</v>
      </c>
      <c r="O1441" s="589" t="s">
        <v>454</v>
      </c>
      <c r="P1441" s="1934"/>
      <c r="Q1441" s="1934"/>
      <c r="R1441" s="1935"/>
    </row>
    <row r="1442" customFormat="false" ht="14.25" hidden="false" customHeight="false" outlineLevel="0" collapsed="false">
      <c r="A1442" s="1609" t="n">
        <v>232</v>
      </c>
      <c r="B1442" s="903" t="n">
        <v>2024</v>
      </c>
      <c r="C1442" s="1974" t="n">
        <v>45839</v>
      </c>
      <c r="D1442" s="848" t="s">
        <v>13</v>
      </c>
      <c r="E1442" s="1479" t="s">
        <v>1651</v>
      </c>
      <c r="F1442" s="904" t="s">
        <v>3364</v>
      </c>
      <c r="G1442" s="1940" t="n">
        <v>666</v>
      </c>
      <c r="H1442" s="942" t="n">
        <v>15</v>
      </c>
      <c r="I1442" s="942" t="n">
        <f aca="false">G1442*H1442</f>
        <v>9990</v>
      </c>
      <c r="J1442" s="1406" t="n">
        <v>25.4299</v>
      </c>
      <c r="K1442" s="948" t="n">
        <f aca="false">I1442*J1442</f>
        <v>254044.701</v>
      </c>
      <c r="L1442" s="854" t="n">
        <v>76671.1485</v>
      </c>
      <c r="M1442" s="854" t="n">
        <v>3015</v>
      </c>
      <c r="N1442" s="891" t="n">
        <f aca="false">M1442/H1442</f>
        <v>201</v>
      </c>
      <c r="O1442" s="537" t="s">
        <v>396</v>
      </c>
      <c r="P1442" s="2004" t="n">
        <f aca="false">K1442-L1442-L1446-L1445-L1443-L1444</f>
        <v>0</v>
      </c>
      <c r="Q1442" s="2000" t="n">
        <f aca="false">I1442-M1442-M1446-M1445-M1443-M1444</f>
        <v>0</v>
      </c>
      <c r="R1442" s="2005" t="n">
        <f aca="false">G1442-N1442-N1446-N1445-N1443-N1444</f>
        <v>0</v>
      </c>
    </row>
    <row r="1443" customFormat="false" ht="14.25" hidden="false" customHeight="false" outlineLevel="0" collapsed="false">
      <c r="A1443" s="1609"/>
      <c r="B1443" s="903"/>
      <c r="C1443" s="1974"/>
      <c r="D1443" s="860" t="s">
        <v>13</v>
      </c>
      <c r="E1443" s="1480" t="s">
        <v>1651</v>
      </c>
      <c r="F1443" s="904"/>
      <c r="G1443" s="1940"/>
      <c r="H1443" s="942"/>
      <c r="I1443" s="942"/>
      <c r="J1443" s="1406"/>
      <c r="K1443" s="948"/>
      <c r="L1443" s="854" t="n">
        <v>8010.4185</v>
      </c>
      <c r="M1443" s="854" t="n">
        <v>315</v>
      </c>
      <c r="N1443" s="866" t="n">
        <f aca="false">M1443/H1442</f>
        <v>21</v>
      </c>
      <c r="O1443" s="537" t="s">
        <v>406</v>
      </c>
      <c r="P1443" s="2004"/>
      <c r="Q1443" s="2000"/>
      <c r="R1443" s="2005"/>
    </row>
    <row r="1444" customFormat="false" ht="14.25" hidden="false" customHeight="false" outlineLevel="0" collapsed="false">
      <c r="A1444" s="1609"/>
      <c r="B1444" s="903"/>
      <c r="C1444" s="1974"/>
      <c r="D1444" s="860" t="s">
        <v>13</v>
      </c>
      <c r="E1444" s="1480" t="s">
        <v>1651</v>
      </c>
      <c r="F1444" s="904"/>
      <c r="G1444" s="1940"/>
      <c r="H1444" s="942"/>
      <c r="I1444" s="942"/>
      <c r="J1444" s="1406"/>
      <c r="K1444" s="948"/>
      <c r="L1444" s="854" t="n">
        <v>160208.37</v>
      </c>
      <c r="M1444" s="854" t="n">
        <v>6300</v>
      </c>
      <c r="N1444" s="866" t="n">
        <f aca="false">M1444/H1442</f>
        <v>420</v>
      </c>
      <c r="O1444" s="537" t="s">
        <v>415</v>
      </c>
      <c r="P1444" s="2004"/>
      <c r="Q1444" s="2000"/>
      <c r="R1444" s="2005"/>
    </row>
    <row r="1445" customFormat="false" ht="14.25" hidden="false" customHeight="false" outlineLevel="0" collapsed="false">
      <c r="A1445" s="1609"/>
      <c r="B1445" s="903"/>
      <c r="C1445" s="1974"/>
      <c r="D1445" s="860" t="s">
        <v>13</v>
      </c>
      <c r="E1445" s="1480" t="s">
        <v>1651</v>
      </c>
      <c r="F1445" s="904"/>
      <c r="G1445" s="1940"/>
      <c r="H1445" s="942"/>
      <c r="I1445" s="942"/>
      <c r="J1445" s="1406"/>
      <c r="K1445" s="948"/>
      <c r="L1445" s="866" t="n">
        <v>6484.6245</v>
      </c>
      <c r="M1445" s="866" t="n">
        <v>255</v>
      </c>
      <c r="N1445" s="866" t="n">
        <f aca="false">M1445/H1442</f>
        <v>17</v>
      </c>
      <c r="O1445" s="543" t="s">
        <v>404</v>
      </c>
      <c r="P1445" s="2004"/>
      <c r="Q1445" s="2000"/>
      <c r="R1445" s="2005"/>
    </row>
    <row r="1446" customFormat="false" ht="14.25" hidden="false" customHeight="false" outlineLevel="0" collapsed="false">
      <c r="A1446" s="1609"/>
      <c r="B1446" s="903"/>
      <c r="C1446" s="1974"/>
      <c r="D1446" s="871" t="s">
        <v>13</v>
      </c>
      <c r="E1446" s="1478" t="s">
        <v>1651</v>
      </c>
      <c r="F1446" s="904"/>
      <c r="G1446" s="1940"/>
      <c r="H1446" s="942"/>
      <c r="I1446" s="942"/>
      <c r="J1446" s="1406"/>
      <c r="K1446" s="948"/>
      <c r="L1446" s="891" t="n">
        <v>2670.1395</v>
      </c>
      <c r="M1446" s="891" t="n">
        <v>105</v>
      </c>
      <c r="N1446" s="891" t="n">
        <f aca="false">M1446/H1442</f>
        <v>7</v>
      </c>
      <c r="O1446" s="942" t="s">
        <v>402</v>
      </c>
      <c r="P1446" s="2004"/>
      <c r="Q1446" s="2000"/>
      <c r="R1446" s="2005"/>
    </row>
    <row r="1447" customFormat="false" ht="14.25" hidden="false" customHeight="false" outlineLevel="0" collapsed="false">
      <c r="A1447" s="882" t="n">
        <v>233</v>
      </c>
      <c r="B1447" s="830" t="n">
        <v>2024</v>
      </c>
      <c r="C1447" s="1965" t="n">
        <v>45839</v>
      </c>
      <c r="D1447" s="831" t="s">
        <v>13</v>
      </c>
      <c r="E1447" s="1365" t="s">
        <v>1651</v>
      </c>
      <c r="F1447" s="832" t="s">
        <v>3364</v>
      </c>
      <c r="G1447" s="1931" t="n">
        <v>666</v>
      </c>
      <c r="H1447" s="837" t="n">
        <v>15</v>
      </c>
      <c r="I1447" s="837" t="n">
        <f aca="false">G1447*H1447</f>
        <v>9990</v>
      </c>
      <c r="J1447" s="1059" t="n">
        <v>25.4299</v>
      </c>
      <c r="K1447" s="943" t="n">
        <f aca="false">I1447*J1447</f>
        <v>254044.701</v>
      </c>
      <c r="L1447" s="840" t="n">
        <v>75908.2515</v>
      </c>
      <c r="M1447" s="840" t="n">
        <v>2985</v>
      </c>
      <c r="N1447" s="886" t="n">
        <f aca="false">M1447/H1447</f>
        <v>199</v>
      </c>
      <c r="O1447" s="1114" t="s">
        <v>3377</v>
      </c>
      <c r="P1447" s="1937" t="n">
        <f aca="false">K1447-L1447-L1449-L1448</f>
        <v>0</v>
      </c>
      <c r="Q1447" s="1934" t="n">
        <f aca="false">I1447-M1447-M1449-M1448</f>
        <v>0</v>
      </c>
      <c r="R1447" s="1935" t="n">
        <f aca="false">G1447-N1447-N1449-N1448</f>
        <v>0</v>
      </c>
    </row>
    <row r="1448" customFormat="false" ht="14.25" hidden="false" customHeight="false" outlineLevel="0" collapsed="false">
      <c r="A1448" s="882"/>
      <c r="B1448" s="830"/>
      <c r="C1448" s="1965"/>
      <c r="D1448" s="904" t="s">
        <v>13</v>
      </c>
      <c r="E1448" s="1351" t="s">
        <v>1651</v>
      </c>
      <c r="F1448" s="832"/>
      <c r="G1448" s="1931"/>
      <c r="H1448" s="837"/>
      <c r="I1448" s="837"/>
      <c r="J1448" s="1059"/>
      <c r="K1448" s="943"/>
      <c r="L1448" s="891" t="n">
        <v>50732.6505</v>
      </c>
      <c r="M1448" s="891" t="n">
        <v>1995</v>
      </c>
      <c r="N1448" s="866" t="n">
        <f aca="false">M1448/H1447</f>
        <v>133</v>
      </c>
      <c r="O1448" s="942" t="s">
        <v>3496</v>
      </c>
      <c r="P1448" s="1937"/>
      <c r="Q1448" s="1934"/>
      <c r="R1448" s="1935"/>
    </row>
    <row r="1449" customFormat="false" ht="14.25" hidden="false" customHeight="false" outlineLevel="0" collapsed="false">
      <c r="A1449" s="882"/>
      <c r="B1449" s="830"/>
      <c r="C1449" s="1965"/>
      <c r="D1449" s="843" t="s">
        <v>13</v>
      </c>
      <c r="E1449" s="1357" t="s">
        <v>1651</v>
      </c>
      <c r="F1449" s="832"/>
      <c r="G1449" s="1931"/>
      <c r="H1449" s="837"/>
      <c r="I1449" s="837"/>
      <c r="J1449" s="1059"/>
      <c r="K1449" s="943"/>
      <c r="L1449" s="846" t="n">
        <v>127403.799</v>
      </c>
      <c r="M1449" s="846" t="n">
        <v>5010</v>
      </c>
      <c r="N1449" s="846" t="n">
        <f aca="false">M1449/H1447</f>
        <v>334</v>
      </c>
      <c r="O1449" s="589" t="s">
        <v>417</v>
      </c>
      <c r="P1449" s="1937"/>
      <c r="Q1449" s="1934"/>
      <c r="R1449" s="1935"/>
    </row>
    <row r="1450" customFormat="false" ht="14.25" hidden="false" customHeight="false" outlineLevel="0" collapsed="false">
      <c r="A1450" s="903" t="n">
        <v>234</v>
      </c>
      <c r="B1450" s="903" t="n">
        <v>2024</v>
      </c>
      <c r="C1450" s="1974" t="n">
        <v>45839</v>
      </c>
      <c r="D1450" s="904" t="s">
        <v>13</v>
      </c>
      <c r="E1450" s="1351" t="s">
        <v>1651</v>
      </c>
      <c r="F1450" s="904" t="s">
        <v>3364</v>
      </c>
      <c r="G1450" s="1940" t="n">
        <v>1</v>
      </c>
      <c r="H1450" s="942" t="n">
        <v>15</v>
      </c>
      <c r="I1450" s="854" t="n">
        <f aca="false">G1450*H1450</f>
        <v>15</v>
      </c>
      <c r="J1450" s="1544" t="n">
        <v>25.4299</v>
      </c>
      <c r="K1450" s="953" t="n">
        <f aca="false">I1450*J1450</f>
        <v>381.4485</v>
      </c>
      <c r="L1450" s="854" t="n">
        <v>381.4485</v>
      </c>
      <c r="M1450" s="854" t="n">
        <v>15</v>
      </c>
      <c r="N1450" s="854" t="n">
        <f aca="false">M1450/H1450</f>
        <v>1</v>
      </c>
      <c r="O1450" s="537" t="s">
        <v>3377</v>
      </c>
      <c r="P1450" s="1969" t="n">
        <f aca="false">K1450-L1450</f>
        <v>0</v>
      </c>
      <c r="Q1450" s="1971" t="n">
        <f aca="false">I1450-M1450</f>
        <v>0</v>
      </c>
      <c r="R1450" s="1971" t="n">
        <f aca="false">G1450-N1450</f>
        <v>0</v>
      </c>
    </row>
    <row r="1451" customFormat="false" ht="14.25" hidden="false" customHeight="false" outlineLevel="0" collapsed="false">
      <c r="A1451" s="870" t="n">
        <v>235</v>
      </c>
      <c r="B1451" s="1495" t="n">
        <v>2024</v>
      </c>
      <c r="C1451" s="1972" t="n">
        <v>45839</v>
      </c>
      <c r="D1451" s="871" t="s">
        <v>13</v>
      </c>
      <c r="E1451" s="1478" t="s">
        <v>1651</v>
      </c>
      <c r="F1451" s="871" t="s">
        <v>3364</v>
      </c>
      <c r="G1451" s="1956" t="n">
        <v>67</v>
      </c>
      <c r="H1451" s="553" t="n">
        <v>15</v>
      </c>
      <c r="I1451" s="877" t="n">
        <f aca="false">G1451*H1451</f>
        <v>1005</v>
      </c>
      <c r="J1451" s="1542" t="n">
        <v>28.7193</v>
      </c>
      <c r="K1451" s="1403" t="n">
        <f aca="false">I1451*J1451</f>
        <v>28862.8965</v>
      </c>
      <c r="L1451" s="877" t="n">
        <v>28862.8965</v>
      </c>
      <c r="M1451" s="877" t="n">
        <v>1005</v>
      </c>
      <c r="N1451" s="854" t="n">
        <f aca="false">M1451/H1451</f>
        <v>67</v>
      </c>
      <c r="O1451" s="553" t="s">
        <v>396</v>
      </c>
      <c r="P1451" s="2028" t="n">
        <f aca="false">K1451-L1451</f>
        <v>0</v>
      </c>
      <c r="Q1451" s="1961" t="n">
        <f aca="false">I1451-M1451</f>
        <v>0</v>
      </c>
      <c r="R1451" s="1961" t="n">
        <f aca="false">G1451-N1451</f>
        <v>0</v>
      </c>
    </row>
    <row r="1452" customFormat="false" ht="14.25" hidden="false" customHeight="false" outlineLevel="0" collapsed="false">
      <c r="A1452" s="870" t="n">
        <v>310</v>
      </c>
      <c r="B1452" s="1495" t="n">
        <v>2024</v>
      </c>
      <c r="C1452" s="1972" t="n">
        <v>45870</v>
      </c>
      <c r="D1452" s="871" t="s">
        <v>13</v>
      </c>
      <c r="E1452" s="1478" t="s">
        <v>1651</v>
      </c>
      <c r="F1452" s="871" t="s">
        <v>3375</v>
      </c>
      <c r="G1452" s="1956" t="n">
        <v>20</v>
      </c>
      <c r="H1452" s="553" t="n">
        <v>15</v>
      </c>
      <c r="I1452" s="877" t="n">
        <f aca="false">G1452*H1452</f>
        <v>300</v>
      </c>
      <c r="J1452" s="1542" t="n">
        <v>26.7679</v>
      </c>
      <c r="K1452" s="1403" t="n">
        <f aca="false">I1452*J1452</f>
        <v>8030.37</v>
      </c>
      <c r="L1452" s="877" t="n">
        <v>8030.37</v>
      </c>
      <c r="M1452" s="877" t="n">
        <v>300</v>
      </c>
      <c r="N1452" s="854" t="n">
        <f aca="false">M1452/H1452</f>
        <v>20</v>
      </c>
      <c r="O1452" s="553" t="s">
        <v>392</v>
      </c>
      <c r="P1452" s="2028" t="n">
        <f aca="false">K1452-L1452</f>
        <v>0</v>
      </c>
      <c r="Q1452" s="1961" t="n">
        <f aca="false">I1452-M1452</f>
        <v>0</v>
      </c>
      <c r="R1452" s="1961" t="n">
        <f aca="false">G1452-N1452</f>
        <v>0</v>
      </c>
    </row>
    <row r="1453" customFormat="false" ht="14.25" hidden="false" customHeight="false" outlineLevel="0" collapsed="false">
      <c r="A1453" s="1465" t="n">
        <v>311</v>
      </c>
      <c r="B1453" s="1546" t="n">
        <v>2024</v>
      </c>
      <c r="C1453" s="1975" t="n">
        <v>45870</v>
      </c>
      <c r="D1453" s="1328" t="s">
        <v>13</v>
      </c>
      <c r="E1453" s="1607" t="s">
        <v>1651</v>
      </c>
      <c r="F1453" s="1328" t="s">
        <v>3364</v>
      </c>
      <c r="G1453" s="1976" t="n">
        <v>666</v>
      </c>
      <c r="H1453" s="1036" t="n">
        <v>15</v>
      </c>
      <c r="I1453" s="1036" t="n">
        <f aca="false">G1453*H1453</f>
        <v>9990</v>
      </c>
      <c r="J1453" s="1557" t="n">
        <v>26.7679</v>
      </c>
      <c r="K1453" s="1547" t="n">
        <f aca="false">I1453*J1453</f>
        <v>267411.321</v>
      </c>
      <c r="L1453" s="886" t="n">
        <v>205978.9905</v>
      </c>
      <c r="M1453" s="886" t="n">
        <v>7695</v>
      </c>
      <c r="N1453" s="886" t="n">
        <f aca="false">M1453/H1453</f>
        <v>513</v>
      </c>
      <c r="O1453" s="1036" t="s">
        <v>406</v>
      </c>
      <c r="P1453" s="1978" t="n">
        <f aca="false">K1453-L1453-L1456-L1454-L1455</f>
        <v>-2.00088834390044E-011</v>
      </c>
      <c r="Q1453" s="1978" t="n">
        <f aca="false">I1453-M1453-M1456-M1454-M1455</f>
        <v>0</v>
      </c>
      <c r="R1453" s="1979" t="n">
        <f aca="false">G1453-N1453-N1456-N1454-N1455</f>
        <v>0</v>
      </c>
    </row>
    <row r="1454" customFormat="false" ht="14.25" hidden="false" customHeight="false" outlineLevel="0" collapsed="false">
      <c r="A1454" s="1465"/>
      <c r="B1454" s="1546"/>
      <c r="C1454" s="1975"/>
      <c r="D1454" s="860" t="s">
        <v>13</v>
      </c>
      <c r="E1454" s="1480" t="s">
        <v>1651</v>
      </c>
      <c r="F1454" s="1328"/>
      <c r="G1454" s="1976"/>
      <c r="H1454" s="1036"/>
      <c r="I1454" s="1036"/>
      <c r="J1454" s="1557"/>
      <c r="K1454" s="1547"/>
      <c r="L1454" s="866" t="n">
        <v>1204.5555</v>
      </c>
      <c r="M1454" s="866" t="n">
        <v>45</v>
      </c>
      <c r="N1454" s="866" t="n">
        <f aca="false">M1454/H1453</f>
        <v>3</v>
      </c>
      <c r="O1454" s="543" t="s">
        <v>439</v>
      </c>
      <c r="P1454" s="1978"/>
      <c r="Q1454" s="1978"/>
      <c r="R1454" s="1979"/>
    </row>
    <row r="1455" customFormat="false" ht="14.25" hidden="false" customHeight="false" outlineLevel="0" collapsed="false">
      <c r="A1455" s="1465"/>
      <c r="B1455" s="1546"/>
      <c r="C1455" s="1975"/>
      <c r="D1455" s="871" t="s">
        <v>13</v>
      </c>
      <c r="E1455" s="1478" t="s">
        <v>1651</v>
      </c>
      <c r="F1455" s="1328"/>
      <c r="G1455" s="1976"/>
      <c r="H1455" s="1036"/>
      <c r="I1455" s="1036"/>
      <c r="J1455" s="1557"/>
      <c r="K1455" s="1547"/>
      <c r="L1455" s="866" t="n">
        <v>13651.629</v>
      </c>
      <c r="M1455" s="866" t="n">
        <v>510</v>
      </c>
      <c r="N1455" s="866" t="n">
        <f aca="false">M1455/H1453</f>
        <v>34</v>
      </c>
      <c r="O1455" s="543" t="s">
        <v>442</v>
      </c>
      <c r="P1455" s="1978"/>
      <c r="Q1455" s="1978"/>
      <c r="R1455" s="1979"/>
    </row>
    <row r="1456" customFormat="false" ht="14.25" hidden="false" customHeight="false" outlineLevel="0" collapsed="false">
      <c r="A1456" s="1465"/>
      <c r="B1456" s="1546"/>
      <c r="C1456" s="1975"/>
      <c r="D1456" s="871" t="s">
        <v>13</v>
      </c>
      <c r="E1456" s="1478" t="s">
        <v>1651</v>
      </c>
      <c r="F1456" s="1328"/>
      <c r="G1456" s="1976"/>
      <c r="H1456" s="1036"/>
      <c r="I1456" s="1036"/>
      <c r="J1456" s="1557"/>
      <c r="K1456" s="1547"/>
      <c r="L1456" s="891" t="n">
        <v>46576.146</v>
      </c>
      <c r="M1456" s="891" t="n">
        <v>1740</v>
      </c>
      <c r="N1456" s="891" t="n">
        <f aca="false">M1456/H1453</f>
        <v>116</v>
      </c>
      <c r="O1456" s="942" t="s">
        <v>419</v>
      </c>
      <c r="P1456" s="1978"/>
      <c r="Q1456" s="1978"/>
      <c r="R1456" s="1979"/>
    </row>
    <row r="1457" customFormat="false" ht="14.25" hidden="false" customHeight="false" outlineLevel="0" collapsed="false">
      <c r="A1457" s="1027" t="n">
        <v>312</v>
      </c>
      <c r="B1457" s="1546" t="n">
        <v>2024</v>
      </c>
      <c r="C1457" s="1975" t="n">
        <v>45870</v>
      </c>
      <c r="D1457" s="831" t="s">
        <v>13</v>
      </c>
      <c r="E1457" s="1365" t="s">
        <v>1651</v>
      </c>
      <c r="F1457" s="1328" t="s">
        <v>3364</v>
      </c>
      <c r="G1457" s="1976" t="n">
        <v>666</v>
      </c>
      <c r="H1457" s="1036" t="n">
        <v>15</v>
      </c>
      <c r="I1457" s="1036" t="n">
        <f aca="false">G1457*H1457</f>
        <v>9990</v>
      </c>
      <c r="J1457" s="1557" t="n">
        <v>26.7679</v>
      </c>
      <c r="K1457" s="1547" t="n">
        <f aca="false">I1457*J1457</f>
        <v>267411.321</v>
      </c>
      <c r="L1457" s="840" t="n">
        <v>33727.554</v>
      </c>
      <c r="M1457" s="840" t="n">
        <v>1260</v>
      </c>
      <c r="N1457" s="886" t="n">
        <f aca="false">M1457/H1457</f>
        <v>84</v>
      </c>
      <c r="O1457" s="1114" t="s">
        <v>419</v>
      </c>
      <c r="P1457" s="1977" t="n">
        <f aca="false">K1457-L1457-L1459-L1458</f>
        <v>0</v>
      </c>
      <c r="Q1457" s="1978" t="n">
        <f aca="false">I1457-M1457-M1459-M1458</f>
        <v>0</v>
      </c>
      <c r="R1457" s="1979" t="n">
        <f aca="false">G1457-N1457-N1459-N1458</f>
        <v>0</v>
      </c>
    </row>
    <row r="1458" customFormat="false" ht="14.25" hidden="false" customHeight="false" outlineLevel="0" collapsed="false">
      <c r="A1458" s="1027"/>
      <c r="B1458" s="1546"/>
      <c r="C1458" s="1975"/>
      <c r="D1458" s="904" t="s">
        <v>13</v>
      </c>
      <c r="E1458" s="1351" t="s">
        <v>1651</v>
      </c>
      <c r="F1458" s="1328"/>
      <c r="G1458" s="1976"/>
      <c r="H1458" s="1036"/>
      <c r="I1458" s="1036"/>
      <c r="J1458" s="1557"/>
      <c r="K1458" s="1547"/>
      <c r="L1458" s="891" t="n">
        <v>230070.1005</v>
      </c>
      <c r="M1458" s="891" t="n">
        <v>8595</v>
      </c>
      <c r="N1458" s="866" t="n">
        <f aca="false">M1458/H1457</f>
        <v>573</v>
      </c>
      <c r="O1458" s="942" t="s">
        <v>404</v>
      </c>
      <c r="P1458" s="1977"/>
      <c r="Q1458" s="1978"/>
      <c r="R1458" s="1979"/>
    </row>
    <row r="1459" customFormat="false" ht="14.25" hidden="false" customHeight="false" outlineLevel="0" collapsed="false">
      <c r="A1459" s="1027"/>
      <c r="B1459" s="1546"/>
      <c r="C1459" s="1975"/>
      <c r="D1459" s="871" t="s">
        <v>13</v>
      </c>
      <c r="E1459" s="1478" t="s">
        <v>1651</v>
      </c>
      <c r="F1459" s="1328"/>
      <c r="G1459" s="1976"/>
      <c r="H1459" s="1036"/>
      <c r="I1459" s="1036"/>
      <c r="J1459" s="1557"/>
      <c r="K1459" s="1547"/>
      <c r="L1459" s="877" t="n">
        <v>3613.6665</v>
      </c>
      <c r="M1459" s="877" t="n">
        <v>135</v>
      </c>
      <c r="N1459" s="877" t="n">
        <f aca="false">M1459/H1457</f>
        <v>9</v>
      </c>
      <c r="O1459" s="553" t="s">
        <v>423</v>
      </c>
      <c r="P1459" s="1977"/>
      <c r="Q1459" s="1978"/>
      <c r="R1459" s="1979"/>
    </row>
    <row r="1460" customFormat="false" ht="14.25" hidden="false" customHeight="false" outlineLevel="0" collapsed="false">
      <c r="A1460" s="882" t="n">
        <v>314</v>
      </c>
      <c r="B1460" s="830" t="n">
        <v>2024</v>
      </c>
      <c r="C1460" s="1965" t="n">
        <v>45870</v>
      </c>
      <c r="D1460" s="831" t="s">
        <v>13</v>
      </c>
      <c r="E1460" s="1365" t="s">
        <v>1651</v>
      </c>
      <c r="F1460" s="832" t="s">
        <v>3375</v>
      </c>
      <c r="G1460" s="1931" t="n">
        <v>666</v>
      </c>
      <c r="H1460" s="837" t="n">
        <v>15</v>
      </c>
      <c r="I1460" s="837" t="n">
        <f aca="false">G1460*H1460</f>
        <v>9990</v>
      </c>
      <c r="J1460" s="1059" t="n">
        <v>26.7213</v>
      </c>
      <c r="K1460" s="943" t="n">
        <f aca="false">I1460*J1460</f>
        <v>266945.787</v>
      </c>
      <c r="L1460" s="886" t="n">
        <v>58920.4665</v>
      </c>
      <c r="M1460" s="886" t="n">
        <v>2205</v>
      </c>
      <c r="N1460" s="886" t="n">
        <f aca="false">M1460/H1460</f>
        <v>147</v>
      </c>
      <c r="O1460" s="1036" t="s">
        <v>392</v>
      </c>
      <c r="P1460" s="1934" t="n">
        <f aca="false">K1460-L1460-L1465-L1464-L1461-L1463-L1462</f>
        <v>-0.000499999987368938</v>
      </c>
      <c r="Q1460" s="1934" t="n">
        <f aca="false">I1460-M1460-M1465-M1464-M1461-M1463-M1462</f>
        <v>0</v>
      </c>
      <c r="R1460" s="1935" t="n">
        <f aca="false">G1460-N1460-N1465-N1464-N1461-N1463-N1462</f>
        <v>0</v>
      </c>
    </row>
    <row r="1461" customFormat="false" ht="14.25" hidden="false" customHeight="false" outlineLevel="0" collapsed="false">
      <c r="A1461" s="882"/>
      <c r="B1461" s="830"/>
      <c r="C1461" s="1965"/>
      <c r="D1461" s="860" t="s">
        <v>13</v>
      </c>
      <c r="E1461" s="1480" t="s">
        <v>1651</v>
      </c>
      <c r="F1461" s="832"/>
      <c r="G1461" s="1931"/>
      <c r="H1461" s="837"/>
      <c r="I1461" s="837"/>
      <c r="J1461" s="1059"/>
      <c r="K1461" s="943"/>
      <c r="L1461" s="866" t="n">
        <v>8016.39</v>
      </c>
      <c r="M1461" s="866" t="n">
        <v>300</v>
      </c>
      <c r="N1461" s="866" t="n">
        <f aca="false">M1461/H1460</f>
        <v>20</v>
      </c>
      <c r="O1461" s="543" t="s">
        <v>392</v>
      </c>
      <c r="P1461" s="1934"/>
      <c r="Q1461" s="1934"/>
      <c r="R1461" s="1935"/>
    </row>
    <row r="1462" customFormat="false" ht="14.25" hidden="false" customHeight="false" outlineLevel="0" collapsed="false">
      <c r="A1462" s="882"/>
      <c r="B1462" s="830"/>
      <c r="C1462" s="1965"/>
      <c r="D1462" s="860" t="s">
        <v>13</v>
      </c>
      <c r="E1462" s="1480" t="s">
        <v>1651</v>
      </c>
      <c r="F1462" s="832"/>
      <c r="G1462" s="1931"/>
      <c r="H1462" s="837"/>
      <c r="I1462" s="837"/>
      <c r="J1462" s="1059"/>
      <c r="K1462" s="943"/>
      <c r="L1462" s="866" t="n">
        <v>34069.658</v>
      </c>
      <c r="M1462" s="866" t="n">
        <v>1275</v>
      </c>
      <c r="N1462" s="866" t="n">
        <f aca="false">M1462/H1460</f>
        <v>85</v>
      </c>
      <c r="O1462" s="543" t="s">
        <v>392</v>
      </c>
      <c r="P1462" s="1934"/>
      <c r="Q1462" s="1934"/>
      <c r="R1462" s="1935"/>
    </row>
    <row r="1463" customFormat="false" ht="14.25" hidden="false" customHeight="false" outlineLevel="0" collapsed="false">
      <c r="A1463" s="882"/>
      <c r="B1463" s="830"/>
      <c r="C1463" s="1965"/>
      <c r="D1463" s="860" t="s">
        <v>13</v>
      </c>
      <c r="E1463" s="1480" t="s">
        <v>1651</v>
      </c>
      <c r="F1463" s="832"/>
      <c r="G1463" s="1931"/>
      <c r="H1463" s="837"/>
      <c r="I1463" s="837"/>
      <c r="J1463" s="1059"/>
      <c r="K1463" s="943"/>
      <c r="L1463" s="866" t="n">
        <v>4008.195</v>
      </c>
      <c r="M1463" s="866" t="n">
        <v>150</v>
      </c>
      <c r="N1463" s="866" t="n">
        <f aca="false">M1463/H1460</f>
        <v>10</v>
      </c>
      <c r="O1463" s="543" t="s">
        <v>392</v>
      </c>
      <c r="P1463" s="1934"/>
      <c r="Q1463" s="1934"/>
      <c r="R1463" s="1935"/>
    </row>
    <row r="1464" customFormat="false" ht="14.25" hidden="false" customHeight="false" outlineLevel="0" collapsed="false">
      <c r="A1464" s="882"/>
      <c r="B1464" s="830"/>
      <c r="C1464" s="1965"/>
      <c r="D1464" s="860" t="s">
        <v>13</v>
      </c>
      <c r="E1464" s="1480" t="s">
        <v>1651</v>
      </c>
      <c r="F1464" s="832"/>
      <c r="G1464" s="1931"/>
      <c r="H1464" s="837"/>
      <c r="I1464" s="837"/>
      <c r="J1464" s="1059"/>
      <c r="K1464" s="943"/>
      <c r="L1464" s="866" t="n">
        <v>1603.278</v>
      </c>
      <c r="M1464" s="866" t="n">
        <v>60</v>
      </c>
      <c r="N1464" s="866" t="n">
        <f aca="false">M1464/H1460</f>
        <v>4</v>
      </c>
      <c r="O1464" s="543" t="s">
        <v>392</v>
      </c>
      <c r="P1464" s="1934"/>
      <c r="Q1464" s="1934"/>
      <c r="R1464" s="1935"/>
    </row>
    <row r="1465" customFormat="false" ht="14.25" hidden="false" customHeight="false" outlineLevel="0" collapsed="false">
      <c r="A1465" s="882"/>
      <c r="B1465" s="830"/>
      <c r="C1465" s="1965"/>
      <c r="D1465" s="843" t="s">
        <v>13</v>
      </c>
      <c r="E1465" s="1357" t="s">
        <v>1651</v>
      </c>
      <c r="F1465" s="832"/>
      <c r="G1465" s="1931"/>
      <c r="H1465" s="837"/>
      <c r="I1465" s="837"/>
      <c r="J1465" s="1059"/>
      <c r="K1465" s="943"/>
      <c r="L1465" s="846" t="n">
        <v>160327.8</v>
      </c>
      <c r="M1465" s="846" t="n">
        <v>6000</v>
      </c>
      <c r="N1465" s="846" t="n">
        <f aca="false">M1465/H1460</f>
        <v>400</v>
      </c>
      <c r="O1465" s="589" t="s">
        <v>392</v>
      </c>
      <c r="P1465" s="1934"/>
      <c r="Q1465" s="1934"/>
      <c r="R1465" s="1935"/>
    </row>
    <row r="1466" customFormat="false" ht="14.25" hidden="false" customHeight="false" outlineLevel="0" collapsed="false">
      <c r="A1466" s="882" t="n">
        <v>315</v>
      </c>
      <c r="B1466" s="830" t="n">
        <v>2024</v>
      </c>
      <c r="C1466" s="1965" t="n">
        <v>45870</v>
      </c>
      <c r="D1466" s="831" t="s">
        <v>13</v>
      </c>
      <c r="E1466" s="1365" t="s">
        <v>1651</v>
      </c>
      <c r="F1466" s="832" t="s">
        <v>3375</v>
      </c>
      <c r="G1466" s="1931" t="n">
        <v>666</v>
      </c>
      <c r="H1466" s="837" t="n">
        <v>15</v>
      </c>
      <c r="I1466" s="837" t="n">
        <f aca="false">G1466*H1466</f>
        <v>9990</v>
      </c>
      <c r="J1466" s="1059" t="n">
        <v>26.7213</v>
      </c>
      <c r="K1466" s="943" t="n">
        <f aca="false">I1466*J1466</f>
        <v>266945.787</v>
      </c>
      <c r="L1466" s="840" t="n">
        <v>46094.2425</v>
      </c>
      <c r="M1466" s="840" t="n">
        <v>1725</v>
      </c>
      <c r="N1466" s="886" t="n">
        <f aca="false">M1466/H1466</f>
        <v>115</v>
      </c>
      <c r="O1466" s="1114" t="s">
        <v>392</v>
      </c>
      <c r="P1466" s="1934" t="n">
        <f aca="false">K1466-L1466-L1471-L1467-L1470-L1469-L1468</f>
        <v>3.09228198602796E-011</v>
      </c>
      <c r="Q1466" s="1934" t="n">
        <f aca="false">I1466-M1466-M1471-M1467-M1470-M1469-M1468</f>
        <v>0</v>
      </c>
      <c r="R1466" s="1935" t="n">
        <f aca="false">G1466-N1466-N1471-N1467-N1470-N1469-N1468</f>
        <v>0</v>
      </c>
    </row>
    <row r="1467" customFormat="false" ht="14.25" hidden="false" customHeight="false" outlineLevel="0" collapsed="false">
      <c r="A1467" s="882"/>
      <c r="B1467" s="830"/>
      <c r="C1467" s="1965"/>
      <c r="D1467" s="860" t="s">
        <v>13</v>
      </c>
      <c r="E1467" s="1480" t="s">
        <v>1651</v>
      </c>
      <c r="F1467" s="832"/>
      <c r="G1467" s="1931"/>
      <c r="H1467" s="837"/>
      <c r="I1467" s="837"/>
      <c r="J1467" s="1059"/>
      <c r="K1467" s="943"/>
      <c r="L1467" s="866" t="n">
        <v>8016.39</v>
      </c>
      <c r="M1467" s="866" t="n">
        <v>300</v>
      </c>
      <c r="N1467" s="866" t="n">
        <f aca="false">M1467/H1466</f>
        <v>20</v>
      </c>
      <c r="O1467" s="543" t="s">
        <v>453</v>
      </c>
      <c r="P1467" s="1934"/>
      <c r="Q1467" s="1934"/>
      <c r="R1467" s="1935"/>
    </row>
    <row r="1468" customFormat="false" ht="14.25" hidden="false" customHeight="false" outlineLevel="0" collapsed="false">
      <c r="A1468" s="882"/>
      <c r="B1468" s="830"/>
      <c r="C1468" s="1965"/>
      <c r="D1468" s="860" t="s">
        <v>13</v>
      </c>
      <c r="E1468" s="1480" t="s">
        <v>1651</v>
      </c>
      <c r="F1468" s="832"/>
      <c r="G1468" s="1931"/>
      <c r="H1468" s="837"/>
      <c r="I1468" s="837"/>
      <c r="J1468" s="1059"/>
      <c r="K1468" s="943"/>
      <c r="L1468" s="866" t="n">
        <v>9619.668</v>
      </c>
      <c r="M1468" s="866" t="n">
        <v>360</v>
      </c>
      <c r="N1468" s="866" t="n">
        <f aca="false">M1468/H1466</f>
        <v>24</v>
      </c>
      <c r="O1468" s="543" t="s">
        <v>3408</v>
      </c>
      <c r="P1468" s="1934"/>
      <c r="Q1468" s="1934"/>
      <c r="R1468" s="1935"/>
    </row>
    <row r="1469" customFormat="false" ht="14.25" hidden="false" customHeight="false" outlineLevel="0" collapsed="false">
      <c r="A1469" s="882"/>
      <c r="B1469" s="830"/>
      <c r="C1469" s="1965"/>
      <c r="D1469" s="860" t="s">
        <v>13</v>
      </c>
      <c r="E1469" s="1480" t="s">
        <v>1651</v>
      </c>
      <c r="F1469" s="832"/>
      <c r="G1469" s="1931"/>
      <c r="H1469" s="837"/>
      <c r="I1469" s="837"/>
      <c r="J1469" s="1059"/>
      <c r="K1469" s="943"/>
      <c r="L1469" s="866" t="n">
        <v>26854.9065</v>
      </c>
      <c r="M1469" s="866" t="n">
        <v>1005</v>
      </c>
      <c r="N1469" s="866" t="n">
        <f aca="false">M1469/H1466</f>
        <v>67</v>
      </c>
      <c r="O1469" s="543" t="s">
        <v>517</v>
      </c>
      <c r="P1469" s="1934"/>
      <c r="Q1469" s="1934"/>
      <c r="R1469" s="1935"/>
    </row>
    <row r="1470" customFormat="false" ht="14.25" hidden="false" customHeight="false" outlineLevel="0" collapsed="false">
      <c r="A1470" s="882"/>
      <c r="B1470" s="830"/>
      <c r="C1470" s="1965"/>
      <c r="D1470" s="860" t="s">
        <v>13</v>
      </c>
      <c r="E1470" s="1480" t="s">
        <v>1651</v>
      </c>
      <c r="F1470" s="832"/>
      <c r="G1470" s="1931"/>
      <c r="H1470" s="837"/>
      <c r="I1470" s="837"/>
      <c r="J1470" s="1059"/>
      <c r="K1470" s="943"/>
      <c r="L1470" s="866" t="n">
        <v>16032.78</v>
      </c>
      <c r="M1470" s="866" t="n">
        <v>600</v>
      </c>
      <c r="N1470" s="866" t="n">
        <f aca="false">M1470/H1466</f>
        <v>40</v>
      </c>
      <c r="O1470" s="543" t="s">
        <v>392</v>
      </c>
      <c r="P1470" s="1934"/>
      <c r="Q1470" s="1934"/>
      <c r="R1470" s="1935"/>
    </row>
    <row r="1471" customFormat="false" ht="14.25" hidden="false" customHeight="false" outlineLevel="0" collapsed="false">
      <c r="A1471" s="882"/>
      <c r="B1471" s="830"/>
      <c r="C1471" s="1965"/>
      <c r="D1471" s="843" t="s">
        <v>13</v>
      </c>
      <c r="E1471" s="1357" t="s">
        <v>1651</v>
      </c>
      <c r="F1471" s="832"/>
      <c r="G1471" s="1931"/>
      <c r="H1471" s="837"/>
      <c r="I1471" s="837"/>
      <c r="J1471" s="1059"/>
      <c r="K1471" s="943"/>
      <c r="L1471" s="890" t="n">
        <v>160327.8</v>
      </c>
      <c r="M1471" s="890" t="n">
        <v>6000</v>
      </c>
      <c r="N1471" s="890" t="n">
        <f aca="false">M1471/H1466</f>
        <v>400</v>
      </c>
      <c r="O1471" s="1067" t="s">
        <v>392</v>
      </c>
      <c r="P1471" s="1934"/>
      <c r="Q1471" s="1934"/>
      <c r="R1471" s="1935"/>
    </row>
    <row r="1472" customFormat="false" ht="14.25" hidden="false" customHeight="false" outlineLevel="0" collapsed="false">
      <c r="A1472" s="903" t="n">
        <v>316</v>
      </c>
      <c r="B1472" s="903" t="n">
        <v>2024</v>
      </c>
      <c r="C1472" s="1974" t="n">
        <v>45870</v>
      </c>
      <c r="D1472" s="904" t="s">
        <v>13</v>
      </c>
      <c r="E1472" s="1351" t="s">
        <v>1651</v>
      </c>
      <c r="F1472" s="904" t="s">
        <v>3375</v>
      </c>
      <c r="G1472" s="1940" t="n">
        <v>415</v>
      </c>
      <c r="H1472" s="942" t="n">
        <v>15</v>
      </c>
      <c r="I1472" s="891" t="n">
        <f aca="false">G1472*H1472</f>
        <v>6225</v>
      </c>
      <c r="J1472" s="1406" t="n">
        <v>27.4252</v>
      </c>
      <c r="K1472" s="948" t="n">
        <f aca="false">I1472*J1472</f>
        <v>170721.87</v>
      </c>
      <c r="L1472" s="891" t="n">
        <v>170721.87</v>
      </c>
      <c r="M1472" s="891" t="n">
        <v>6225</v>
      </c>
      <c r="N1472" s="891" t="n">
        <f aca="false">M1472/H1472</f>
        <v>415</v>
      </c>
      <c r="O1472" s="942" t="s">
        <v>392</v>
      </c>
      <c r="P1472" s="1944" t="n">
        <f aca="false">K1472-L1472</f>
        <v>0</v>
      </c>
      <c r="Q1472" s="1946" t="n">
        <f aca="false">I1472-M1472</f>
        <v>0</v>
      </c>
      <c r="R1472" s="1946" t="n">
        <f aca="false">G1472-N1472</f>
        <v>0</v>
      </c>
    </row>
    <row r="1473" customFormat="false" ht="14.25" hidden="false" customHeight="false" outlineLevel="0" collapsed="false">
      <c r="A1473" s="882" t="n">
        <v>320</v>
      </c>
      <c r="B1473" s="830" t="n">
        <v>2024</v>
      </c>
      <c r="C1473" s="1965" t="n">
        <v>45870</v>
      </c>
      <c r="D1473" s="1328" t="s">
        <v>13</v>
      </c>
      <c r="E1473" s="1607" t="s">
        <v>1651</v>
      </c>
      <c r="F1473" s="832" t="s">
        <v>3375</v>
      </c>
      <c r="G1473" s="1931" t="n">
        <v>666</v>
      </c>
      <c r="H1473" s="837" t="n">
        <v>15</v>
      </c>
      <c r="I1473" s="837" t="n">
        <f aca="false">G1473*H1473</f>
        <v>9990</v>
      </c>
      <c r="J1473" s="1059" t="n">
        <v>23.998</v>
      </c>
      <c r="K1473" s="943" t="n">
        <f aca="false">I1473*J1473</f>
        <v>239740.02</v>
      </c>
      <c r="L1473" s="886" t="n">
        <v>35997</v>
      </c>
      <c r="M1473" s="886" t="n">
        <v>1500</v>
      </c>
      <c r="N1473" s="886" t="n">
        <f aca="false">M1473/H1473</f>
        <v>100</v>
      </c>
      <c r="O1473" s="1036" t="s">
        <v>517</v>
      </c>
      <c r="P1473" s="1937" t="n">
        <f aca="false">K1473-L1473-L1478-L1477-L1474-L1476-L1475</f>
        <v>0</v>
      </c>
      <c r="Q1473" s="1934" t="n">
        <f aca="false">I1473-M1473-M1478-M1477-M1474-M1476-M1475</f>
        <v>0</v>
      </c>
      <c r="R1473" s="1935" t="n">
        <f aca="false">G1473-N1473-N1478-N1477-N1474-N1476-N1475</f>
        <v>0</v>
      </c>
    </row>
    <row r="1474" customFormat="false" ht="14.25" hidden="false" customHeight="false" outlineLevel="0" collapsed="false">
      <c r="A1474" s="882"/>
      <c r="B1474" s="830"/>
      <c r="C1474" s="1965"/>
      <c r="D1474" s="860" t="s">
        <v>13</v>
      </c>
      <c r="E1474" s="1480" t="s">
        <v>1651</v>
      </c>
      <c r="F1474" s="832"/>
      <c r="G1474" s="1931"/>
      <c r="H1474" s="837"/>
      <c r="I1474" s="837"/>
      <c r="J1474" s="1059"/>
      <c r="K1474" s="943"/>
      <c r="L1474" s="866" t="n">
        <v>2519.79</v>
      </c>
      <c r="M1474" s="866" t="n">
        <v>105</v>
      </c>
      <c r="N1474" s="866" t="n">
        <f aca="false">M1474/H1473</f>
        <v>7</v>
      </c>
      <c r="O1474" s="543" t="s">
        <v>3497</v>
      </c>
      <c r="P1474" s="1937"/>
      <c r="Q1474" s="1934"/>
      <c r="R1474" s="1935"/>
    </row>
    <row r="1475" customFormat="false" ht="14.25" hidden="false" customHeight="false" outlineLevel="0" collapsed="false">
      <c r="A1475" s="882"/>
      <c r="B1475" s="830"/>
      <c r="C1475" s="1965"/>
      <c r="D1475" s="860" t="s">
        <v>13</v>
      </c>
      <c r="E1475" s="1480" t="s">
        <v>1651</v>
      </c>
      <c r="F1475" s="832"/>
      <c r="G1475" s="1931"/>
      <c r="H1475" s="837"/>
      <c r="I1475" s="837"/>
      <c r="J1475" s="1059"/>
      <c r="K1475" s="943"/>
      <c r="L1475" s="866" t="n">
        <v>75233.73</v>
      </c>
      <c r="M1475" s="866" t="n">
        <v>3135</v>
      </c>
      <c r="N1475" s="866" t="n">
        <f aca="false">M1475/H1473</f>
        <v>209</v>
      </c>
      <c r="O1475" s="543" t="s">
        <v>697</v>
      </c>
      <c r="P1475" s="1937"/>
      <c r="Q1475" s="1934"/>
      <c r="R1475" s="1935"/>
    </row>
    <row r="1476" customFormat="false" ht="14.25" hidden="false" customHeight="false" outlineLevel="0" collapsed="false">
      <c r="A1476" s="882"/>
      <c r="B1476" s="830"/>
      <c r="C1476" s="1965"/>
      <c r="D1476" s="860" t="s">
        <v>13</v>
      </c>
      <c r="E1476" s="1480" t="s">
        <v>1651</v>
      </c>
      <c r="F1476" s="832"/>
      <c r="G1476" s="1931"/>
      <c r="H1476" s="837"/>
      <c r="I1476" s="837"/>
      <c r="J1476" s="1059"/>
      <c r="K1476" s="943"/>
      <c r="L1476" s="866" t="n">
        <v>28797.6</v>
      </c>
      <c r="M1476" s="866" t="n">
        <v>1200</v>
      </c>
      <c r="N1476" s="866" t="n">
        <f aca="false">M1476/H1473</f>
        <v>80</v>
      </c>
      <c r="O1476" s="543" t="s">
        <v>517</v>
      </c>
      <c r="P1476" s="1937"/>
      <c r="Q1476" s="1934"/>
      <c r="R1476" s="1935"/>
    </row>
    <row r="1477" customFormat="false" ht="14.25" hidden="false" customHeight="false" outlineLevel="0" collapsed="false">
      <c r="A1477" s="882"/>
      <c r="B1477" s="830"/>
      <c r="C1477" s="1965"/>
      <c r="D1477" s="860" t="s">
        <v>13</v>
      </c>
      <c r="E1477" s="1480" t="s">
        <v>1651</v>
      </c>
      <c r="F1477" s="832"/>
      <c r="G1477" s="1931"/>
      <c r="H1477" s="837"/>
      <c r="I1477" s="837"/>
      <c r="J1477" s="1059"/>
      <c r="K1477" s="943"/>
      <c r="L1477" s="866" t="n">
        <v>55435.38</v>
      </c>
      <c r="M1477" s="866" t="n">
        <v>2310</v>
      </c>
      <c r="N1477" s="866" t="n">
        <f aca="false">M1477/H1473</f>
        <v>154</v>
      </c>
      <c r="O1477" s="543" t="s">
        <v>562</v>
      </c>
      <c r="P1477" s="1937"/>
      <c r="Q1477" s="1934"/>
      <c r="R1477" s="1935"/>
    </row>
    <row r="1478" customFormat="false" ht="14.25" hidden="false" customHeight="false" outlineLevel="0" collapsed="false">
      <c r="A1478" s="882"/>
      <c r="B1478" s="830"/>
      <c r="C1478" s="1965"/>
      <c r="D1478" s="843" t="s">
        <v>13</v>
      </c>
      <c r="E1478" s="1357" t="s">
        <v>1651</v>
      </c>
      <c r="F1478" s="832"/>
      <c r="G1478" s="1931"/>
      <c r="H1478" s="837"/>
      <c r="I1478" s="837"/>
      <c r="J1478" s="1059"/>
      <c r="K1478" s="943"/>
      <c r="L1478" s="890" t="n">
        <v>41756.52</v>
      </c>
      <c r="M1478" s="890" t="n">
        <v>1740</v>
      </c>
      <c r="N1478" s="890" t="n">
        <f aca="false">M1478/H1473</f>
        <v>116</v>
      </c>
      <c r="O1478" s="1067" t="s">
        <v>3408</v>
      </c>
      <c r="P1478" s="1937"/>
      <c r="Q1478" s="1934"/>
      <c r="R1478" s="1935"/>
    </row>
    <row r="1479" customFormat="false" ht="14.25" hidden="false" customHeight="false" outlineLevel="0" collapsed="false">
      <c r="A1479" s="903" t="n">
        <v>321</v>
      </c>
      <c r="B1479" s="903" t="n">
        <v>2024</v>
      </c>
      <c r="C1479" s="1974" t="n">
        <v>45870</v>
      </c>
      <c r="D1479" s="904" t="s">
        <v>13</v>
      </c>
      <c r="E1479" s="1351" t="s">
        <v>1651</v>
      </c>
      <c r="F1479" s="904" t="s">
        <v>3375</v>
      </c>
      <c r="G1479" s="1940" t="n">
        <v>12</v>
      </c>
      <c r="H1479" s="942" t="n">
        <v>15</v>
      </c>
      <c r="I1479" s="891" t="n">
        <f aca="false">G1479*H1479</f>
        <v>180</v>
      </c>
      <c r="J1479" s="1406" t="n">
        <v>23.998</v>
      </c>
      <c r="K1479" s="948" t="n">
        <f aca="false">I1479*J1479</f>
        <v>4319.64</v>
      </c>
      <c r="L1479" s="891" t="n">
        <v>4319.64</v>
      </c>
      <c r="M1479" s="891" t="n">
        <v>180</v>
      </c>
      <c r="N1479" s="854" t="n">
        <f aca="false">M1479/H1479</f>
        <v>12</v>
      </c>
      <c r="O1479" s="942" t="s">
        <v>392</v>
      </c>
      <c r="P1479" s="1944" t="n">
        <f aca="false">K1479-L1479</f>
        <v>0</v>
      </c>
      <c r="Q1479" s="1946" t="n">
        <f aca="false">I1479-M1479</f>
        <v>0</v>
      </c>
      <c r="R1479" s="1946" t="n">
        <f aca="false">G1479-N1479</f>
        <v>0</v>
      </c>
    </row>
    <row r="1480" customFormat="false" ht="14.25" hidden="false" customHeight="false" outlineLevel="0" collapsed="false">
      <c r="A1480" s="870" t="n">
        <v>322</v>
      </c>
      <c r="B1480" s="1495" t="n">
        <v>2024</v>
      </c>
      <c r="C1480" s="1972" t="n">
        <v>45870</v>
      </c>
      <c r="D1480" s="871" t="s">
        <v>13</v>
      </c>
      <c r="E1480" s="1478" t="s">
        <v>1651</v>
      </c>
      <c r="F1480" s="871" t="s">
        <v>3364</v>
      </c>
      <c r="G1480" s="1956" t="n">
        <v>125</v>
      </c>
      <c r="H1480" s="553" t="n">
        <v>15</v>
      </c>
      <c r="I1480" s="877" t="n">
        <f aca="false">G1480*H1480</f>
        <v>1875</v>
      </c>
      <c r="J1480" s="1542" t="n">
        <v>24.6251</v>
      </c>
      <c r="K1480" s="1403" t="n">
        <f aca="false">I1480*J1480</f>
        <v>46172.0625</v>
      </c>
      <c r="L1480" s="877" t="n">
        <v>46172.0625</v>
      </c>
      <c r="M1480" s="877" t="n">
        <v>1875</v>
      </c>
      <c r="N1480" s="866" t="n">
        <f aca="false">M1480/H1480</f>
        <v>125</v>
      </c>
      <c r="O1480" s="553" t="s">
        <v>423</v>
      </c>
      <c r="P1480" s="2028" t="n">
        <f aca="false">K1480-L1480</f>
        <v>0</v>
      </c>
      <c r="Q1480" s="1961" t="n">
        <f aca="false">I1480-M1480</f>
        <v>0</v>
      </c>
      <c r="R1480" s="1961" t="n">
        <f aca="false">G1480-N1480</f>
        <v>0</v>
      </c>
    </row>
    <row r="1481" customFormat="false" ht="14.25" hidden="false" customHeight="false" outlineLevel="0" collapsed="false">
      <c r="A1481" s="870" t="n">
        <v>325</v>
      </c>
      <c r="B1481" s="1495" t="n">
        <v>2024</v>
      </c>
      <c r="C1481" s="1972" t="n">
        <v>45870</v>
      </c>
      <c r="D1481" s="871" t="s">
        <v>13</v>
      </c>
      <c r="E1481" s="1478" t="s">
        <v>1651</v>
      </c>
      <c r="F1481" s="871" t="s">
        <v>3364</v>
      </c>
      <c r="G1481" s="1956" t="n">
        <v>666</v>
      </c>
      <c r="H1481" s="553" t="n">
        <v>15</v>
      </c>
      <c r="I1481" s="877" t="n">
        <f aca="false">G1481*H1481</f>
        <v>9990</v>
      </c>
      <c r="J1481" s="1542" t="n">
        <v>27.8235</v>
      </c>
      <c r="K1481" s="1403" t="n">
        <f aca="false">I1481*J1481</f>
        <v>277956.765</v>
      </c>
      <c r="L1481" s="877" t="n">
        <v>277956.765</v>
      </c>
      <c r="M1481" s="877" t="n">
        <v>9990</v>
      </c>
      <c r="N1481" s="866" t="n">
        <f aca="false">M1481/H1481</f>
        <v>666</v>
      </c>
      <c r="O1481" s="553" t="s">
        <v>448</v>
      </c>
      <c r="P1481" s="2028" t="n">
        <f aca="false">K1481-L1481</f>
        <v>0</v>
      </c>
      <c r="Q1481" s="1961" t="n">
        <f aca="false">I1481-M1481</f>
        <v>0</v>
      </c>
      <c r="R1481" s="1961" t="n">
        <f aca="false">G1481-N1481</f>
        <v>0</v>
      </c>
    </row>
    <row r="1482" customFormat="false" ht="14.25" hidden="false" customHeight="false" outlineLevel="0" collapsed="false">
      <c r="A1482" s="870" t="n">
        <v>326</v>
      </c>
      <c r="B1482" s="1495" t="n">
        <v>2024</v>
      </c>
      <c r="C1482" s="1972" t="n">
        <v>45870</v>
      </c>
      <c r="D1482" s="871" t="s">
        <v>13</v>
      </c>
      <c r="E1482" s="1478" t="s">
        <v>1651</v>
      </c>
      <c r="F1482" s="871" t="s">
        <v>3364</v>
      </c>
      <c r="G1482" s="1956" t="n">
        <v>1</v>
      </c>
      <c r="H1482" s="553" t="n">
        <v>15</v>
      </c>
      <c r="I1482" s="877" t="n">
        <f aca="false">G1482*H1482</f>
        <v>15</v>
      </c>
      <c r="J1482" s="1542" t="n">
        <v>27.8235</v>
      </c>
      <c r="K1482" s="1403" t="n">
        <f aca="false">I1482*J1482</f>
        <v>417.3525</v>
      </c>
      <c r="L1482" s="877" t="n">
        <v>417.3525</v>
      </c>
      <c r="M1482" s="877" t="n">
        <v>15</v>
      </c>
      <c r="N1482" s="877" t="n">
        <f aca="false">M1482/H1482</f>
        <v>1</v>
      </c>
      <c r="O1482" s="553" t="s">
        <v>448</v>
      </c>
      <c r="P1482" s="2028" t="n">
        <f aca="false">K1482-L1482</f>
        <v>0</v>
      </c>
      <c r="Q1482" s="1961" t="n">
        <f aca="false">I1482-M1482</f>
        <v>0</v>
      </c>
      <c r="R1482" s="1961" t="n">
        <f aca="false">G1482-N1482</f>
        <v>0</v>
      </c>
    </row>
    <row r="1483" customFormat="false" ht="14.25" hidden="false" customHeight="false" outlineLevel="0" collapsed="false">
      <c r="A1483" s="870" t="n">
        <v>327</v>
      </c>
      <c r="B1483" s="1495" t="n">
        <v>2024</v>
      </c>
      <c r="C1483" s="1972" t="n">
        <v>45870</v>
      </c>
      <c r="D1483" s="871" t="s">
        <v>13</v>
      </c>
      <c r="E1483" s="1478" t="s">
        <v>1651</v>
      </c>
      <c r="F1483" s="871" t="s">
        <v>3364</v>
      </c>
      <c r="G1483" s="1956" t="n">
        <v>10</v>
      </c>
      <c r="H1483" s="553" t="n">
        <v>15</v>
      </c>
      <c r="I1483" s="877" t="n">
        <f aca="false">G1483*H1483</f>
        <v>150</v>
      </c>
      <c r="J1483" s="1542" t="n">
        <v>36.1705</v>
      </c>
      <c r="K1483" s="1403" t="n">
        <f aca="false">I1483*J1483</f>
        <v>5425.575</v>
      </c>
      <c r="L1483" s="877" t="n">
        <v>5425.575</v>
      </c>
      <c r="M1483" s="877" t="n">
        <v>150</v>
      </c>
      <c r="N1483" s="866" t="n">
        <f aca="false">M1483/H1483</f>
        <v>10</v>
      </c>
      <c r="O1483" s="553" t="s">
        <v>419</v>
      </c>
      <c r="P1483" s="2028" t="n">
        <f aca="false">K1483-L1483</f>
        <v>0</v>
      </c>
      <c r="Q1483" s="1961" t="n">
        <f aca="false">I1483-M1483</f>
        <v>0</v>
      </c>
      <c r="R1483" s="1961" t="n">
        <f aca="false">G1483-N1483</f>
        <v>0</v>
      </c>
    </row>
    <row r="1484" customFormat="false" ht="14.25" hidden="false" customHeight="false" outlineLevel="0" collapsed="false">
      <c r="A1484" s="870" t="n">
        <v>341</v>
      </c>
      <c r="B1484" s="1495" t="n">
        <v>2024</v>
      </c>
      <c r="C1484" s="1972" t="n">
        <v>45901</v>
      </c>
      <c r="D1484" s="871" t="s">
        <v>13</v>
      </c>
      <c r="E1484" s="1478" t="s">
        <v>1651</v>
      </c>
      <c r="F1484" s="871" t="s">
        <v>3364</v>
      </c>
      <c r="G1484" s="1956" t="n">
        <v>60</v>
      </c>
      <c r="H1484" s="553" t="n">
        <v>10</v>
      </c>
      <c r="I1484" s="877" t="n">
        <f aca="false">G1484*H1484</f>
        <v>600</v>
      </c>
      <c r="J1484" s="1542" t="n">
        <v>26.7679</v>
      </c>
      <c r="K1484" s="1403" t="n">
        <f aca="false">I1484*J1484</f>
        <v>16060.74</v>
      </c>
      <c r="L1484" s="877" t="n">
        <v>16060.74</v>
      </c>
      <c r="M1484" s="877" t="n">
        <v>600</v>
      </c>
      <c r="N1484" s="877" t="n">
        <f aca="false">M1484/H1484</f>
        <v>60</v>
      </c>
      <c r="O1484" s="553" t="s">
        <v>464</v>
      </c>
      <c r="P1484" s="2028" t="n">
        <f aca="false">K1484-L1484</f>
        <v>0</v>
      </c>
      <c r="Q1484" s="1961" t="n">
        <f aca="false">I1484-M1484</f>
        <v>0</v>
      </c>
      <c r="R1484" s="1961" t="n">
        <f aca="false">G1484-N1484</f>
        <v>0</v>
      </c>
    </row>
    <row r="1485" customFormat="false" ht="14.25" hidden="false" customHeight="false" outlineLevel="0" collapsed="false">
      <c r="A1485" s="829" t="n">
        <v>344</v>
      </c>
      <c r="B1485" s="830" t="n">
        <v>2024</v>
      </c>
      <c r="C1485" s="1965" t="n">
        <v>45901</v>
      </c>
      <c r="D1485" s="1328" t="s">
        <v>13</v>
      </c>
      <c r="E1485" s="1607" t="s">
        <v>1651</v>
      </c>
      <c r="F1485" s="832" t="s">
        <v>3364</v>
      </c>
      <c r="G1485" s="1931" t="n">
        <v>200</v>
      </c>
      <c r="H1485" s="837" t="n">
        <v>15</v>
      </c>
      <c r="I1485" s="837" t="n">
        <f aca="false">G1485*H1485</f>
        <v>3000</v>
      </c>
      <c r="J1485" s="1059" t="n">
        <v>26.7679</v>
      </c>
      <c r="K1485" s="943" t="n">
        <f aca="false">I1485*J1485</f>
        <v>80303.7</v>
      </c>
      <c r="L1485" s="886" t="n">
        <v>53803.479</v>
      </c>
      <c r="M1485" s="886" t="n">
        <v>2010</v>
      </c>
      <c r="N1485" s="886" t="n">
        <f aca="false">M1485/H1485</f>
        <v>134</v>
      </c>
      <c r="O1485" s="1036" t="s">
        <v>413</v>
      </c>
      <c r="P1485" s="1937" t="n">
        <f aca="false">K1485-L1485-L1488-L1486-L1487</f>
        <v>0</v>
      </c>
      <c r="Q1485" s="1934" t="n">
        <f aca="false">I1485-M1485-M1488-M1486-M1487</f>
        <v>0</v>
      </c>
      <c r="R1485" s="1935" t="n">
        <f aca="false">G1485-N1485-N1488-N1486-N1487</f>
        <v>0</v>
      </c>
    </row>
    <row r="1486" customFormat="false" ht="14.25" hidden="false" customHeight="false" outlineLevel="0" collapsed="false">
      <c r="A1486" s="829"/>
      <c r="B1486" s="830"/>
      <c r="C1486" s="1965"/>
      <c r="D1486" s="860" t="s">
        <v>13</v>
      </c>
      <c r="E1486" s="1480" t="s">
        <v>1651</v>
      </c>
      <c r="F1486" s="832"/>
      <c r="G1486" s="1931"/>
      <c r="H1486" s="837"/>
      <c r="I1486" s="837"/>
      <c r="J1486" s="1059"/>
      <c r="K1486" s="943"/>
      <c r="L1486" s="866" t="n">
        <v>-29712.369</v>
      </c>
      <c r="M1486" s="866" t="n">
        <v>-1110</v>
      </c>
      <c r="N1486" s="866" t="n">
        <f aca="false">M1486/H1485</f>
        <v>-74</v>
      </c>
      <c r="O1486" s="543" t="s">
        <v>1634</v>
      </c>
      <c r="P1486" s="1937"/>
      <c r="Q1486" s="1934"/>
      <c r="R1486" s="1935"/>
    </row>
    <row r="1487" customFormat="false" ht="14.25" hidden="false" customHeight="false" outlineLevel="0" collapsed="false">
      <c r="A1487" s="829"/>
      <c r="B1487" s="830"/>
      <c r="C1487" s="1965"/>
      <c r="D1487" s="871" t="s">
        <v>13</v>
      </c>
      <c r="E1487" s="1478" t="s">
        <v>1651</v>
      </c>
      <c r="F1487" s="832"/>
      <c r="G1487" s="1931"/>
      <c r="H1487" s="837"/>
      <c r="I1487" s="837"/>
      <c r="J1487" s="1059"/>
      <c r="K1487" s="943"/>
      <c r="L1487" s="877" t="n">
        <v>29712.369</v>
      </c>
      <c r="M1487" s="877" t="n">
        <v>1110</v>
      </c>
      <c r="N1487" s="866" t="n">
        <f aca="false">M1487/H1485</f>
        <v>74</v>
      </c>
      <c r="O1487" s="553" t="s">
        <v>1341</v>
      </c>
      <c r="P1487" s="1937"/>
      <c r="Q1487" s="1934"/>
      <c r="R1487" s="1935"/>
    </row>
    <row r="1488" customFormat="false" ht="14.25" hidden="false" customHeight="false" outlineLevel="0" collapsed="false">
      <c r="A1488" s="829"/>
      <c r="B1488" s="830"/>
      <c r="C1488" s="1965"/>
      <c r="D1488" s="843" t="s">
        <v>13</v>
      </c>
      <c r="E1488" s="1357" t="s">
        <v>1651</v>
      </c>
      <c r="F1488" s="832"/>
      <c r="G1488" s="1931"/>
      <c r="H1488" s="837"/>
      <c r="I1488" s="837"/>
      <c r="J1488" s="1059"/>
      <c r="K1488" s="943"/>
      <c r="L1488" s="846" t="n">
        <v>26500.221</v>
      </c>
      <c r="M1488" s="846" t="n">
        <v>990</v>
      </c>
      <c r="N1488" s="846" t="n">
        <f aca="false">M1488/H1485</f>
        <v>66</v>
      </c>
      <c r="O1488" s="589" t="s">
        <v>396</v>
      </c>
      <c r="P1488" s="1937"/>
      <c r="Q1488" s="1934"/>
      <c r="R1488" s="1935"/>
    </row>
    <row r="1489" customFormat="false" ht="14.25" hidden="false" customHeight="false" outlineLevel="0" collapsed="false">
      <c r="A1489" s="903" t="n">
        <v>359</v>
      </c>
      <c r="B1489" s="903" t="n">
        <v>2024</v>
      </c>
      <c r="C1489" s="1974" t="n">
        <v>45901</v>
      </c>
      <c r="D1489" s="904" t="s">
        <v>13</v>
      </c>
      <c r="E1489" s="1351" t="s">
        <v>1651</v>
      </c>
      <c r="F1489" s="904" t="s">
        <v>3364</v>
      </c>
      <c r="G1489" s="1940" t="n">
        <v>2</v>
      </c>
      <c r="H1489" s="942" t="n">
        <v>525</v>
      </c>
      <c r="I1489" s="891" t="n">
        <f aca="false">G1489*H1489</f>
        <v>1050</v>
      </c>
      <c r="J1489" s="1406" t="n">
        <v>26.7679</v>
      </c>
      <c r="K1489" s="948" t="n">
        <f aca="false">I1489*J1489</f>
        <v>28106.295</v>
      </c>
      <c r="L1489" s="891" t="n">
        <v>28106.295</v>
      </c>
      <c r="M1489" s="891" t="n">
        <v>1050</v>
      </c>
      <c r="N1489" s="866" t="n">
        <f aca="false">M1489/H1489</f>
        <v>2</v>
      </c>
      <c r="O1489" s="942" t="s">
        <v>472</v>
      </c>
      <c r="P1489" s="1944" t="n">
        <f aca="false">K1489-L1489</f>
        <v>0</v>
      </c>
      <c r="Q1489" s="1946" t="n">
        <f aca="false">I1489-M1489</f>
        <v>0</v>
      </c>
      <c r="R1489" s="1946" t="n">
        <f aca="false">G1489-N1489</f>
        <v>0</v>
      </c>
    </row>
    <row r="1490" customFormat="false" ht="14.25" hidden="false" customHeight="false" outlineLevel="0" collapsed="false">
      <c r="A1490" s="1027" t="n">
        <v>360</v>
      </c>
      <c r="B1490" s="1546" t="n">
        <v>2024</v>
      </c>
      <c r="C1490" s="1975" t="n">
        <v>45901</v>
      </c>
      <c r="D1490" s="1328" t="s">
        <v>13</v>
      </c>
      <c r="E1490" s="1607" t="s">
        <v>1651</v>
      </c>
      <c r="F1490" s="1328" t="s">
        <v>3364</v>
      </c>
      <c r="G1490" s="1976" t="n">
        <v>233</v>
      </c>
      <c r="H1490" s="1036" t="n">
        <v>15</v>
      </c>
      <c r="I1490" s="1036" t="n">
        <f aca="false">G1490*H1490</f>
        <v>3495</v>
      </c>
      <c r="J1490" s="1557" t="n">
        <v>27.8401</v>
      </c>
      <c r="K1490" s="1547" t="n">
        <f aca="false">I1490*J1490</f>
        <v>97301.1495</v>
      </c>
      <c r="L1490" s="886" t="n">
        <v>4593.6165</v>
      </c>
      <c r="M1490" s="886" t="n">
        <v>165</v>
      </c>
      <c r="N1490" s="886" t="n">
        <f aca="false">M1490/H1490</f>
        <v>11</v>
      </c>
      <c r="O1490" s="1036" t="s">
        <v>470</v>
      </c>
      <c r="P1490" s="1977" t="n">
        <f aca="false">K1490-L1490-L1495-L1494-L1491-L1493-L1492</f>
        <v>0</v>
      </c>
      <c r="Q1490" s="1978" t="n">
        <f aca="false">I1490-M1490-M1495-M1494-M1491-M1493-M1492</f>
        <v>0</v>
      </c>
      <c r="R1490" s="1979" t="n">
        <f aca="false">G1490-N1490-N1495-N1494-N1491-N1493-N1492</f>
        <v>0</v>
      </c>
    </row>
    <row r="1491" customFormat="false" ht="14.25" hidden="false" customHeight="false" outlineLevel="0" collapsed="false">
      <c r="A1491" s="1027"/>
      <c r="B1491" s="1546"/>
      <c r="C1491" s="1975"/>
      <c r="D1491" s="860" t="s">
        <v>13</v>
      </c>
      <c r="E1491" s="1480" t="s">
        <v>1651</v>
      </c>
      <c r="F1491" s="1328"/>
      <c r="G1491" s="1976"/>
      <c r="H1491" s="1036"/>
      <c r="I1491" s="1036"/>
      <c r="J1491" s="1557"/>
      <c r="K1491" s="1547"/>
      <c r="L1491" s="866" t="n">
        <v>2505.609</v>
      </c>
      <c r="M1491" s="866" t="n">
        <v>90</v>
      </c>
      <c r="N1491" s="866" t="n">
        <f aca="false">M1491/H1490</f>
        <v>6</v>
      </c>
      <c r="O1491" s="543" t="s">
        <v>475</v>
      </c>
      <c r="P1491" s="1977"/>
      <c r="Q1491" s="1978"/>
      <c r="R1491" s="1979"/>
    </row>
    <row r="1492" customFormat="false" ht="14.25" hidden="false" customHeight="false" outlineLevel="0" collapsed="false">
      <c r="A1492" s="1027"/>
      <c r="B1492" s="1546"/>
      <c r="C1492" s="1975"/>
      <c r="D1492" s="860" t="s">
        <v>13</v>
      </c>
      <c r="E1492" s="1480" t="s">
        <v>1651</v>
      </c>
      <c r="F1492" s="1328"/>
      <c r="G1492" s="1976"/>
      <c r="H1492" s="1036"/>
      <c r="I1492" s="1036"/>
      <c r="J1492" s="1557"/>
      <c r="K1492" s="1547"/>
      <c r="L1492" s="866" t="n">
        <v>10857.639</v>
      </c>
      <c r="M1492" s="866" t="n">
        <v>390</v>
      </c>
      <c r="N1492" s="866" t="n">
        <f aca="false">M1492/H1490</f>
        <v>26</v>
      </c>
      <c r="O1492" s="543" t="s">
        <v>396</v>
      </c>
      <c r="P1492" s="1977"/>
      <c r="Q1492" s="1978"/>
      <c r="R1492" s="1979"/>
    </row>
    <row r="1493" customFormat="false" ht="14.25" hidden="false" customHeight="false" outlineLevel="0" collapsed="false">
      <c r="A1493" s="1027"/>
      <c r="B1493" s="1546"/>
      <c r="C1493" s="1975"/>
      <c r="D1493" s="860" t="s">
        <v>13</v>
      </c>
      <c r="E1493" s="1480" t="s">
        <v>1651</v>
      </c>
      <c r="F1493" s="1328"/>
      <c r="G1493" s="1976"/>
      <c r="H1493" s="1036"/>
      <c r="I1493" s="1036"/>
      <c r="J1493" s="1557"/>
      <c r="K1493" s="1547"/>
      <c r="L1493" s="866" t="n">
        <v>8352.03</v>
      </c>
      <c r="M1493" s="866" t="n">
        <v>300</v>
      </c>
      <c r="N1493" s="866" t="n">
        <f aca="false">M1493/H1490</f>
        <v>20</v>
      </c>
      <c r="O1493" s="543" t="s">
        <v>482</v>
      </c>
      <c r="P1493" s="1977"/>
      <c r="Q1493" s="1978"/>
      <c r="R1493" s="1979"/>
    </row>
    <row r="1494" customFormat="false" ht="14.25" hidden="false" customHeight="false" outlineLevel="0" collapsed="false">
      <c r="A1494" s="1027"/>
      <c r="B1494" s="1546"/>
      <c r="C1494" s="1975"/>
      <c r="D1494" s="860" t="s">
        <v>13</v>
      </c>
      <c r="E1494" s="1480" t="s">
        <v>1651</v>
      </c>
      <c r="F1494" s="1328"/>
      <c r="G1494" s="1976"/>
      <c r="H1494" s="1036"/>
      <c r="I1494" s="1036"/>
      <c r="J1494" s="1557"/>
      <c r="K1494" s="1547"/>
      <c r="L1494" s="866" t="n">
        <v>20880.075</v>
      </c>
      <c r="M1494" s="866" t="n">
        <v>750</v>
      </c>
      <c r="N1494" s="866" t="n">
        <f aca="false">M1494/H1490</f>
        <v>50</v>
      </c>
      <c r="O1494" s="543" t="s">
        <v>472</v>
      </c>
      <c r="P1494" s="1977"/>
      <c r="Q1494" s="1978"/>
      <c r="R1494" s="1979"/>
    </row>
    <row r="1495" customFormat="false" ht="14.25" hidden="false" customHeight="false" outlineLevel="0" collapsed="false">
      <c r="A1495" s="1027"/>
      <c r="B1495" s="1546"/>
      <c r="C1495" s="1975"/>
      <c r="D1495" s="871" t="s">
        <v>13</v>
      </c>
      <c r="E1495" s="1478" t="s">
        <v>1651</v>
      </c>
      <c r="F1495" s="1328"/>
      <c r="G1495" s="1976"/>
      <c r="H1495" s="1036"/>
      <c r="I1495" s="1036"/>
      <c r="J1495" s="1557"/>
      <c r="K1495" s="1547"/>
      <c r="L1495" s="877" t="n">
        <v>50112.18</v>
      </c>
      <c r="M1495" s="877" t="n">
        <v>1800</v>
      </c>
      <c r="N1495" s="877" t="n">
        <f aca="false">M1495/H1490</f>
        <v>120</v>
      </c>
      <c r="O1495" s="553" t="s">
        <v>471</v>
      </c>
      <c r="P1495" s="1977"/>
      <c r="Q1495" s="1978"/>
      <c r="R1495" s="1979"/>
    </row>
    <row r="1496" customFormat="false" ht="14.25" hidden="false" customHeight="false" outlineLevel="0" collapsed="false">
      <c r="A1496" s="882" t="n">
        <v>394</v>
      </c>
      <c r="B1496" s="830" t="n">
        <v>2024</v>
      </c>
      <c r="C1496" s="1965" t="n">
        <v>45901</v>
      </c>
      <c r="D1496" s="831" t="s">
        <v>13</v>
      </c>
      <c r="E1496" s="1365" t="s">
        <v>2130</v>
      </c>
      <c r="F1496" s="832" t="s">
        <v>3364</v>
      </c>
      <c r="G1496" s="1931" t="n">
        <v>400</v>
      </c>
      <c r="H1496" s="837" t="n">
        <v>25</v>
      </c>
      <c r="I1496" s="837" t="n">
        <f aca="false">G1496*H1496</f>
        <v>10000</v>
      </c>
      <c r="J1496" s="1059" t="n">
        <v>46.2387</v>
      </c>
      <c r="K1496" s="943" t="n">
        <f aca="false">I1496*J1496</f>
        <v>462387</v>
      </c>
      <c r="L1496" s="886" t="n">
        <v>225413.6625</v>
      </c>
      <c r="M1496" s="886" t="n">
        <v>4875</v>
      </c>
      <c r="N1496" s="886" t="n">
        <f aca="false">M1496/H1496</f>
        <v>195</v>
      </c>
      <c r="O1496" s="1036" t="s">
        <v>3378</v>
      </c>
      <c r="P1496" s="1934" t="n">
        <f aca="false">K1496-L1496-L1501-L1500-L1497-L1498-L1499</f>
        <v>-1.54614099301398E-011</v>
      </c>
      <c r="Q1496" s="1934" t="n">
        <f aca="false">I1496-M1496-M1501-M1500-M1497-M1498-M1499</f>
        <v>0</v>
      </c>
      <c r="R1496" s="1935" t="n">
        <f aca="false">G1496-N1496-N1501-N1500-N1497-N1498-N1499</f>
        <v>0</v>
      </c>
    </row>
    <row r="1497" customFormat="false" ht="14.25" hidden="false" customHeight="false" outlineLevel="0" collapsed="false">
      <c r="A1497" s="882"/>
      <c r="B1497" s="830"/>
      <c r="C1497" s="1965"/>
      <c r="D1497" s="860" t="s">
        <v>13</v>
      </c>
      <c r="E1497" s="1480" t="s">
        <v>2130</v>
      </c>
      <c r="F1497" s="832"/>
      <c r="G1497" s="1931"/>
      <c r="H1497" s="837"/>
      <c r="I1497" s="837"/>
      <c r="J1497" s="1059"/>
      <c r="K1497" s="943"/>
      <c r="L1497" s="866" t="n">
        <v>92477.4</v>
      </c>
      <c r="M1497" s="866" t="n">
        <v>2000</v>
      </c>
      <c r="N1497" s="866" t="n">
        <f aca="false">M1497/H1496</f>
        <v>80</v>
      </c>
      <c r="O1497" s="543" t="s">
        <v>442</v>
      </c>
      <c r="P1497" s="1934"/>
      <c r="Q1497" s="1934"/>
      <c r="R1497" s="1935"/>
    </row>
    <row r="1498" customFormat="false" ht="14.25" hidden="false" customHeight="false" outlineLevel="0" collapsed="false">
      <c r="A1498" s="882"/>
      <c r="B1498" s="830"/>
      <c r="C1498" s="1965"/>
      <c r="D1498" s="860" t="s">
        <v>13</v>
      </c>
      <c r="E1498" s="1480" t="s">
        <v>2130</v>
      </c>
      <c r="F1498" s="832"/>
      <c r="G1498" s="1931"/>
      <c r="H1498" s="837"/>
      <c r="I1498" s="837"/>
      <c r="J1498" s="1059"/>
      <c r="K1498" s="943"/>
      <c r="L1498" s="866" t="n">
        <v>24275.3175</v>
      </c>
      <c r="M1498" s="866" t="n">
        <v>525</v>
      </c>
      <c r="N1498" s="866" t="n">
        <f aca="false">M1498/H1496</f>
        <v>21</v>
      </c>
      <c r="O1498" s="543" t="s">
        <v>784</v>
      </c>
      <c r="P1498" s="1934"/>
      <c r="Q1498" s="1934"/>
      <c r="R1498" s="1935"/>
    </row>
    <row r="1499" customFormat="false" ht="14.25" hidden="false" customHeight="false" outlineLevel="0" collapsed="false">
      <c r="A1499" s="882"/>
      <c r="B1499" s="830"/>
      <c r="C1499" s="1965"/>
      <c r="D1499" s="860" t="s">
        <v>13</v>
      </c>
      <c r="E1499" s="1480" t="s">
        <v>2130</v>
      </c>
      <c r="F1499" s="832"/>
      <c r="G1499" s="1931"/>
      <c r="H1499" s="837"/>
      <c r="I1499" s="837"/>
      <c r="J1499" s="1059"/>
      <c r="K1499" s="943"/>
      <c r="L1499" s="866" t="n">
        <v>4623.87</v>
      </c>
      <c r="M1499" s="866" t="n">
        <v>100</v>
      </c>
      <c r="N1499" s="866" t="n">
        <f aca="false">M1499/H1496</f>
        <v>4</v>
      </c>
      <c r="O1499" s="543" t="s">
        <v>618</v>
      </c>
      <c r="P1499" s="1934"/>
      <c r="Q1499" s="1934"/>
      <c r="R1499" s="1935"/>
    </row>
    <row r="1500" customFormat="false" ht="14.25" hidden="false" customHeight="false" outlineLevel="0" collapsed="false">
      <c r="A1500" s="882"/>
      <c r="B1500" s="830"/>
      <c r="C1500" s="1965"/>
      <c r="D1500" s="860" t="s">
        <v>13</v>
      </c>
      <c r="E1500" s="1480" t="s">
        <v>2130</v>
      </c>
      <c r="F1500" s="832"/>
      <c r="G1500" s="1931"/>
      <c r="H1500" s="837"/>
      <c r="I1500" s="837"/>
      <c r="J1500" s="1059"/>
      <c r="K1500" s="943"/>
      <c r="L1500" s="866" t="n">
        <v>46238.7</v>
      </c>
      <c r="M1500" s="866" t="n">
        <v>1000</v>
      </c>
      <c r="N1500" s="866" t="n">
        <f aca="false">M1500/H1496</f>
        <v>40</v>
      </c>
      <c r="O1500" s="543" t="s">
        <v>417</v>
      </c>
      <c r="P1500" s="1934"/>
      <c r="Q1500" s="1934"/>
      <c r="R1500" s="1935"/>
    </row>
    <row r="1501" customFormat="false" ht="14.25" hidden="false" customHeight="false" outlineLevel="0" collapsed="false">
      <c r="A1501" s="882"/>
      <c r="B1501" s="830"/>
      <c r="C1501" s="1965"/>
      <c r="D1501" s="843" t="s">
        <v>13</v>
      </c>
      <c r="E1501" s="1357" t="s">
        <v>2130</v>
      </c>
      <c r="F1501" s="832"/>
      <c r="G1501" s="1931"/>
      <c r="H1501" s="837"/>
      <c r="I1501" s="837"/>
      <c r="J1501" s="1059"/>
      <c r="K1501" s="943"/>
      <c r="L1501" s="846" t="n">
        <v>69358.05</v>
      </c>
      <c r="M1501" s="846" t="n">
        <v>1500</v>
      </c>
      <c r="N1501" s="846" t="n">
        <f aca="false">M1501/H1496</f>
        <v>60</v>
      </c>
      <c r="O1501" s="589" t="s">
        <v>460</v>
      </c>
      <c r="P1501" s="1934"/>
      <c r="Q1501" s="1934"/>
      <c r="R1501" s="1935"/>
    </row>
    <row r="1502" customFormat="false" ht="14.25" hidden="false" customHeight="false" outlineLevel="0" collapsed="false">
      <c r="A1502" s="1087" t="n">
        <v>395</v>
      </c>
      <c r="B1502" s="1072" t="n">
        <v>2024</v>
      </c>
      <c r="C1502" s="1980" t="n">
        <v>45901</v>
      </c>
      <c r="D1502" s="904" t="s">
        <v>13</v>
      </c>
      <c r="E1502" s="1351" t="s">
        <v>2130</v>
      </c>
      <c r="F1502" s="887" t="s">
        <v>3364</v>
      </c>
      <c r="G1502" s="1950" t="n">
        <v>325</v>
      </c>
      <c r="H1502" s="1067" t="n">
        <v>25</v>
      </c>
      <c r="I1502" s="1067" t="n">
        <f aca="false">G1502*H1502</f>
        <v>8125</v>
      </c>
      <c r="J1502" s="1063" t="n">
        <v>46.2387</v>
      </c>
      <c r="K1502" s="1452" t="n">
        <f aca="false">I1502*J1502</f>
        <v>375689.4375</v>
      </c>
      <c r="L1502" s="891" t="n">
        <v>346790.25</v>
      </c>
      <c r="M1502" s="891" t="n">
        <v>7500</v>
      </c>
      <c r="N1502" s="854" t="n">
        <f aca="false">M1502/H1502</f>
        <v>300</v>
      </c>
      <c r="O1502" s="942" t="s">
        <v>495</v>
      </c>
      <c r="P1502" s="1953" t="n">
        <f aca="false">K1502-L1502-L1503</f>
        <v>-0.000499999998282874</v>
      </c>
      <c r="Q1502" s="1953" t="n">
        <f aca="false">I1502-M1502-M1503</f>
        <v>0</v>
      </c>
      <c r="R1502" s="1954" t="n">
        <f aca="false">G1502-N1502-N1503</f>
        <v>0</v>
      </c>
    </row>
    <row r="1503" customFormat="false" ht="14.25" hidden="false" customHeight="false" outlineLevel="0" collapsed="false">
      <c r="A1503" s="1087"/>
      <c r="B1503" s="1072"/>
      <c r="C1503" s="1980"/>
      <c r="D1503" s="843" t="s">
        <v>13</v>
      </c>
      <c r="E1503" s="1357" t="s">
        <v>2130</v>
      </c>
      <c r="F1503" s="887"/>
      <c r="G1503" s="1950"/>
      <c r="H1503" s="1067"/>
      <c r="I1503" s="1067"/>
      <c r="J1503" s="1063"/>
      <c r="K1503" s="1452"/>
      <c r="L1503" s="846" t="n">
        <v>28899.188</v>
      </c>
      <c r="M1503" s="846" t="n">
        <v>625</v>
      </c>
      <c r="N1503" s="846" t="n">
        <f aca="false">M1503/H1502</f>
        <v>25</v>
      </c>
      <c r="O1503" s="589" t="s">
        <v>3378</v>
      </c>
      <c r="P1503" s="1953"/>
      <c r="Q1503" s="1953"/>
      <c r="R1503" s="1954"/>
    </row>
    <row r="1504" customFormat="false" ht="14.25" hidden="false" customHeight="false" outlineLevel="0" collapsed="false">
      <c r="A1504" s="903" t="n">
        <v>396</v>
      </c>
      <c r="B1504" s="903" t="n">
        <v>2024</v>
      </c>
      <c r="C1504" s="1974" t="n">
        <v>45901</v>
      </c>
      <c r="D1504" s="904" t="s">
        <v>13</v>
      </c>
      <c r="E1504" s="1351" t="s">
        <v>2131</v>
      </c>
      <c r="F1504" s="904" t="s">
        <v>3364</v>
      </c>
      <c r="G1504" s="1940" t="n">
        <v>72</v>
      </c>
      <c r="H1504" s="942" t="n">
        <v>25</v>
      </c>
      <c r="I1504" s="891" t="n">
        <f aca="false">G1504*H1504</f>
        <v>1800</v>
      </c>
      <c r="J1504" s="1406" t="n">
        <v>94.9561</v>
      </c>
      <c r="K1504" s="948" t="n">
        <f aca="false">I1504*J1504</f>
        <v>170920.98</v>
      </c>
      <c r="L1504" s="891" t="n">
        <v>170920.98</v>
      </c>
      <c r="M1504" s="891" t="n">
        <v>1800</v>
      </c>
      <c r="N1504" s="891" t="n">
        <f aca="false">M1504/H1504</f>
        <v>72</v>
      </c>
      <c r="O1504" s="942" t="s">
        <v>404</v>
      </c>
      <c r="P1504" s="1944" t="n">
        <f aca="false">K1504-L1504</f>
        <v>0</v>
      </c>
      <c r="Q1504" s="1946" t="n">
        <f aca="false">I1504-M1504</f>
        <v>0</v>
      </c>
      <c r="R1504" s="1946" t="n">
        <f aca="false">G1504-N1504</f>
        <v>0</v>
      </c>
    </row>
    <row r="1505" customFormat="false" ht="14.25" hidden="false" customHeight="false" outlineLevel="0" collapsed="false">
      <c r="A1505" s="1027" t="n">
        <v>408</v>
      </c>
      <c r="B1505" s="1546" t="n">
        <v>2024</v>
      </c>
      <c r="C1505" s="1975" t="n">
        <v>45901</v>
      </c>
      <c r="D1505" s="1328" t="s">
        <v>13</v>
      </c>
      <c r="E1505" s="1607" t="s">
        <v>1652</v>
      </c>
      <c r="F1505" s="1328" t="s">
        <v>3364</v>
      </c>
      <c r="G1505" s="1976" t="n">
        <v>666</v>
      </c>
      <c r="H1505" s="1036" t="n">
        <v>15</v>
      </c>
      <c r="I1505" s="1036" t="n">
        <f aca="false">G1505*H1505</f>
        <v>9990</v>
      </c>
      <c r="J1505" s="1557" t="n">
        <v>40.757</v>
      </c>
      <c r="K1505" s="1547" t="n">
        <f aca="false">I1505*J1505</f>
        <v>407162.43</v>
      </c>
      <c r="L1505" s="886" t="n">
        <v>61135.5</v>
      </c>
      <c r="M1505" s="886" t="n">
        <v>1500</v>
      </c>
      <c r="N1505" s="840" t="n">
        <f aca="false">M1505/H1505</f>
        <v>100</v>
      </c>
      <c r="O1505" s="1036" t="s">
        <v>491</v>
      </c>
      <c r="P1505" s="1977" t="n">
        <f aca="false">K1505-L1505-L1506</f>
        <v>0</v>
      </c>
      <c r="Q1505" s="1978" t="n">
        <f aca="false">I1505-M1505-M1506</f>
        <v>0</v>
      </c>
      <c r="R1505" s="1979" t="n">
        <f aca="false">G1505-N1505-N1506</f>
        <v>0</v>
      </c>
    </row>
    <row r="1506" customFormat="false" ht="14.25" hidden="false" customHeight="false" outlineLevel="0" collapsed="false">
      <c r="A1506" s="1027"/>
      <c r="B1506" s="1546"/>
      <c r="C1506" s="1975"/>
      <c r="D1506" s="871" t="s">
        <v>13</v>
      </c>
      <c r="E1506" s="1478" t="s">
        <v>1652</v>
      </c>
      <c r="F1506" s="1328"/>
      <c r="G1506" s="1976"/>
      <c r="H1506" s="1036"/>
      <c r="I1506" s="1036"/>
      <c r="J1506" s="1557"/>
      <c r="K1506" s="1547"/>
      <c r="L1506" s="877" t="n">
        <v>346026.93</v>
      </c>
      <c r="M1506" s="877" t="n">
        <v>8490</v>
      </c>
      <c r="N1506" s="891" t="n">
        <f aca="false">M1506/H1505</f>
        <v>566</v>
      </c>
      <c r="O1506" s="553" t="s">
        <v>404</v>
      </c>
      <c r="P1506" s="1977"/>
      <c r="Q1506" s="1978"/>
      <c r="R1506" s="1979"/>
    </row>
    <row r="1507" customFormat="false" ht="14.25" hidden="false" customHeight="false" outlineLevel="0" collapsed="false">
      <c r="A1507" s="1027" t="n">
        <v>409</v>
      </c>
      <c r="B1507" s="1546" t="n">
        <v>2024</v>
      </c>
      <c r="C1507" s="1975" t="n">
        <v>45901</v>
      </c>
      <c r="D1507" s="831" t="s">
        <v>13</v>
      </c>
      <c r="E1507" s="1365" t="s">
        <v>1652</v>
      </c>
      <c r="F1507" s="1328" t="s">
        <v>3364</v>
      </c>
      <c r="G1507" s="1976" t="n">
        <v>666</v>
      </c>
      <c r="H1507" s="1036" t="n">
        <v>15</v>
      </c>
      <c r="I1507" s="1036" t="n">
        <f aca="false">G1507*H1507</f>
        <v>9990</v>
      </c>
      <c r="J1507" s="1557" t="n">
        <v>40.757</v>
      </c>
      <c r="K1507" s="1547" t="n">
        <f aca="false">I1507*J1507</f>
        <v>407162.43</v>
      </c>
      <c r="L1507" s="840" t="n">
        <v>6113.55</v>
      </c>
      <c r="M1507" s="840" t="n">
        <v>150</v>
      </c>
      <c r="N1507" s="886" t="n">
        <f aca="false">M1507/H1507</f>
        <v>10</v>
      </c>
      <c r="O1507" s="1114" t="s">
        <v>595</v>
      </c>
      <c r="P1507" s="1977" t="n">
        <f aca="false">K1507-L1507-L1509-L1508</f>
        <v>0</v>
      </c>
      <c r="Q1507" s="1978" t="n">
        <f aca="false">I1507-M1507-M1509-M1508</f>
        <v>0</v>
      </c>
      <c r="R1507" s="1979" t="n">
        <f aca="false">G1507-N1507-N1509-N1508</f>
        <v>0</v>
      </c>
    </row>
    <row r="1508" customFormat="false" ht="14.25" hidden="false" customHeight="false" outlineLevel="0" collapsed="false">
      <c r="A1508" s="1027"/>
      <c r="B1508" s="1546"/>
      <c r="C1508" s="1975"/>
      <c r="D1508" s="904" t="s">
        <v>13</v>
      </c>
      <c r="E1508" s="1351" t="s">
        <v>1652</v>
      </c>
      <c r="F1508" s="1328"/>
      <c r="G1508" s="1976"/>
      <c r="H1508" s="1036"/>
      <c r="I1508" s="1036"/>
      <c r="J1508" s="1557"/>
      <c r="K1508" s="1547"/>
      <c r="L1508" s="891" t="n">
        <v>48908.4</v>
      </c>
      <c r="M1508" s="891" t="n">
        <v>1200</v>
      </c>
      <c r="N1508" s="866" t="n">
        <f aca="false">M1508/H1507</f>
        <v>80</v>
      </c>
      <c r="O1508" s="942" t="s">
        <v>527</v>
      </c>
      <c r="P1508" s="1977"/>
      <c r="Q1508" s="1978"/>
      <c r="R1508" s="1979"/>
    </row>
    <row r="1509" customFormat="false" ht="14.25" hidden="false" customHeight="false" outlineLevel="0" collapsed="false">
      <c r="A1509" s="1027"/>
      <c r="B1509" s="1546"/>
      <c r="C1509" s="1975"/>
      <c r="D1509" s="871" t="s">
        <v>13</v>
      </c>
      <c r="E1509" s="1478" t="s">
        <v>1652</v>
      </c>
      <c r="F1509" s="1328"/>
      <c r="G1509" s="1976"/>
      <c r="H1509" s="1036"/>
      <c r="I1509" s="1036"/>
      <c r="J1509" s="1557"/>
      <c r="K1509" s="1547"/>
      <c r="L1509" s="877" t="n">
        <v>352140.48</v>
      </c>
      <c r="M1509" s="877" t="n">
        <v>8640</v>
      </c>
      <c r="N1509" s="877" t="n">
        <f aca="false">M1509/H1507</f>
        <v>576</v>
      </c>
      <c r="O1509" s="553" t="s">
        <v>404</v>
      </c>
      <c r="P1509" s="1977"/>
      <c r="Q1509" s="1978"/>
      <c r="R1509" s="1979"/>
    </row>
    <row r="1510" customFormat="false" ht="14.25" hidden="false" customHeight="false" outlineLevel="0" collapsed="false">
      <c r="A1510" s="1465" t="n">
        <v>410</v>
      </c>
      <c r="B1510" s="1546" t="n">
        <v>2024</v>
      </c>
      <c r="C1510" s="1975" t="n">
        <v>45901</v>
      </c>
      <c r="D1510" s="831" t="s">
        <v>13</v>
      </c>
      <c r="E1510" s="1365" t="s">
        <v>1652</v>
      </c>
      <c r="F1510" s="1328" t="s">
        <v>3375</v>
      </c>
      <c r="G1510" s="1976" t="n">
        <v>117</v>
      </c>
      <c r="H1510" s="1036" t="n">
        <v>15</v>
      </c>
      <c r="I1510" s="1036" t="n">
        <f aca="false">G1510*H1510</f>
        <v>1755</v>
      </c>
      <c r="J1510" s="1557" t="n">
        <v>47.6543</v>
      </c>
      <c r="K1510" s="1547" t="n">
        <f aca="false">I1510*J1510</f>
        <v>83633.2965</v>
      </c>
      <c r="L1510" s="840" t="n">
        <v>714.8145</v>
      </c>
      <c r="M1510" s="840" t="n">
        <v>15</v>
      </c>
      <c r="N1510" s="886" t="n">
        <f aca="false">M1510/H1510</f>
        <v>1</v>
      </c>
      <c r="O1510" s="1114" t="s">
        <v>744</v>
      </c>
      <c r="P1510" s="1978" t="n">
        <f aca="false">K1510-L1510-L1511-L1513-L1512</f>
        <v>-0.000499999992371158</v>
      </c>
      <c r="Q1510" s="1978" t="n">
        <f aca="false">I1510-M1510-M1513-M1511-M1512</f>
        <v>0</v>
      </c>
      <c r="R1510" s="1979" t="n">
        <f aca="false">G1510-N1510-N1513-N1511-N1512</f>
        <v>0</v>
      </c>
    </row>
    <row r="1511" customFormat="false" ht="14.25" hidden="false" customHeight="false" outlineLevel="0" collapsed="false">
      <c r="A1511" s="1465"/>
      <c r="B1511" s="1546"/>
      <c r="C1511" s="1975"/>
      <c r="D1511" s="860" t="s">
        <v>13</v>
      </c>
      <c r="E1511" s="1480" t="s">
        <v>1652</v>
      </c>
      <c r="F1511" s="1328"/>
      <c r="G1511" s="1976"/>
      <c r="H1511" s="1036"/>
      <c r="I1511" s="1036"/>
      <c r="J1511" s="1557"/>
      <c r="K1511" s="1547"/>
      <c r="L1511" s="866" t="n">
        <v>59329.6035</v>
      </c>
      <c r="M1511" s="866" t="n">
        <v>1245</v>
      </c>
      <c r="N1511" s="866" t="n">
        <f aca="false">M1511/H1510</f>
        <v>83</v>
      </c>
      <c r="O1511" s="543" t="s">
        <v>1310</v>
      </c>
      <c r="P1511" s="1978"/>
      <c r="Q1511" s="1978"/>
      <c r="R1511" s="1979"/>
    </row>
    <row r="1512" customFormat="false" ht="14.25" hidden="false" customHeight="false" outlineLevel="0" collapsed="false">
      <c r="A1512" s="1465"/>
      <c r="B1512" s="1546"/>
      <c r="C1512" s="1975"/>
      <c r="D1512" s="860" t="s">
        <v>13</v>
      </c>
      <c r="E1512" s="1480" t="s">
        <v>1652</v>
      </c>
      <c r="F1512" s="1328"/>
      <c r="G1512" s="1976"/>
      <c r="H1512" s="1036"/>
      <c r="I1512" s="1036"/>
      <c r="J1512" s="1557"/>
      <c r="K1512" s="1547"/>
      <c r="L1512" s="866" t="n">
        <v>714.815</v>
      </c>
      <c r="M1512" s="866" t="n">
        <v>15</v>
      </c>
      <c r="N1512" s="866" t="n">
        <f aca="false">M1512/H1510</f>
        <v>1</v>
      </c>
      <c r="O1512" s="543" t="s">
        <v>1312</v>
      </c>
      <c r="P1512" s="1978"/>
      <c r="Q1512" s="1978"/>
      <c r="R1512" s="1979"/>
    </row>
    <row r="1513" customFormat="false" ht="14.25" hidden="false" customHeight="false" outlineLevel="0" collapsed="false">
      <c r="A1513" s="1465"/>
      <c r="B1513" s="1546"/>
      <c r="C1513" s="1975"/>
      <c r="D1513" s="871" t="s">
        <v>13</v>
      </c>
      <c r="E1513" s="1478" t="s">
        <v>1652</v>
      </c>
      <c r="F1513" s="1328"/>
      <c r="G1513" s="1976"/>
      <c r="H1513" s="1036"/>
      <c r="I1513" s="1036"/>
      <c r="J1513" s="1557"/>
      <c r="K1513" s="1547"/>
      <c r="L1513" s="877" t="n">
        <v>22874.064</v>
      </c>
      <c r="M1513" s="877" t="n">
        <v>480</v>
      </c>
      <c r="N1513" s="877" t="n">
        <f aca="false">M1513/H1510</f>
        <v>32</v>
      </c>
      <c r="O1513" s="553" t="s">
        <v>766</v>
      </c>
      <c r="P1513" s="1978"/>
      <c r="Q1513" s="1978"/>
      <c r="R1513" s="1979"/>
    </row>
    <row r="1514" customFormat="false" ht="14.25" hidden="false" customHeight="false" outlineLevel="0" collapsed="false">
      <c r="A1514" s="829" t="n">
        <v>412</v>
      </c>
      <c r="B1514" s="830" t="n">
        <v>2024</v>
      </c>
      <c r="C1514" s="1965" t="n">
        <v>45901</v>
      </c>
      <c r="D1514" s="831" t="s">
        <v>13</v>
      </c>
      <c r="E1514" s="1365" t="s">
        <v>1652</v>
      </c>
      <c r="F1514" s="832" t="s">
        <v>3364</v>
      </c>
      <c r="G1514" s="1931" t="n">
        <v>65</v>
      </c>
      <c r="H1514" s="837" t="n">
        <v>15</v>
      </c>
      <c r="I1514" s="837" t="n">
        <f aca="false">G1514*H1514</f>
        <v>975</v>
      </c>
      <c r="J1514" s="1059" t="n">
        <v>37.7004</v>
      </c>
      <c r="K1514" s="943" t="n">
        <f aca="false">I1514*J1514</f>
        <v>36757.89</v>
      </c>
      <c r="L1514" s="840" t="n">
        <v>2827.53</v>
      </c>
      <c r="M1514" s="840" t="n">
        <v>75</v>
      </c>
      <c r="N1514" s="840" t="n">
        <f aca="false">M1514/H1514</f>
        <v>5</v>
      </c>
      <c r="O1514" s="1114" t="s">
        <v>766</v>
      </c>
      <c r="P1514" s="1937" t="n">
        <f aca="false">K1514-L1514-L1515</f>
        <v>0</v>
      </c>
      <c r="Q1514" s="1934" t="n">
        <f aca="false">I1514-M1514-M1515</f>
        <v>0</v>
      </c>
      <c r="R1514" s="1935" t="n">
        <f aca="false">G1514-N1514-N1515</f>
        <v>0</v>
      </c>
    </row>
    <row r="1515" customFormat="false" ht="14.25" hidden="false" customHeight="false" outlineLevel="0" collapsed="false">
      <c r="A1515" s="829"/>
      <c r="B1515" s="830"/>
      <c r="C1515" s="1965"/>
      <c r="D1515" s="843" t="s">
        <v>13</v>
      </c>
      <c r="E1515" s="1357" t="s">
        <v>1652</v>
      </c>
      <c r="F1515" s="832"/>
      <c r="G1515" s="1931"/>
      <c r="H1515" s="837"/>
      <c r="I1515" s="837"/>
      <c r="J1515" s="1059"/>
      <c r="K1515" s="943"/>
      <c r="L1515" s="846" t="n">
        <v>33930.36</v>
      </c>
      <c r="M1515" s="846" t="n">
        <v>900</v>
      </c>
      <c r="N1515" s="846" t="n">
        <f aca="false">M1515/H1514</f>
        <v>60</v>
      </c>
      <c r="O1515" s="589" t="s">
        <v>3498</v>
      </c>
      <c r="P1515" s="1937"/>
      <c r="Q1515" s="1934"/>
      <c r="R1515" s="1935"/>
    </row>
    <row r="1516" customFormat="false" ht="14.25" hidden="false" customHeight="false" outlineLevel="0" collapsed="false">
      <c r="A1516" s="1060" t="n">
        <v>429</v>
      </c>
      <c r="B1516" s="1072" t="n">
        <v>2024</v>
      </c>
      <c r="C1516" s="1980" t="n">
        <v>45931</v>
      </c>
      <c r="D1516" s="904" t="s">
        <v>13</v>
      </c>
      <c r="E1516" s="1351" t="s">
        <v>2619</v>
      </c>
      <c r="F1516" s="887" t="s">
        <v>3364</v>
      </c>
      <c r="G1516" s="1950" t="n">
        <v>50</v>
      </c>
      <c r="H1516" s="1067" t="n">
        <v>30</v>
      </c>
      <c r="I1516" s="1067" t="n">
        <f aca="false">G1516*H1516</f>
        <v>1500</v>
      </c>
      <c r="J1516" s="1063" t="n">
        <v>92.8</v>
      </c>
      <c r="K1516" s="1452" t="n">
        <f aca="false">I1516*J1516</f>
        <v>139200</v>
      </c>
      <c r="L1516" s="891" t="n">
        <v>55680</v>
      </c>
      <c r="M1516" s="891" t="n">
        <v>600</v>
      </c>
      <c r="N1516" s="891" t="n">
        <f aca="false">M1516/H1516</f>
        <v>20</v>
      </c>
      <c r="O1516" s="942" t="s">
        <v>559</v>
      </c>
      <c r="P1516" s="1981" t="n">
        <f aca="false">K1516-L1516-L1519-L1518-L1517</f>
        <v>0</v>
      </c>
      <c r="Q1516" s="1953" t="n">
        <f aca="false">I1516-M1516-M1519-M1518-M1517</f>
        <v>0</v>
      </c>
      <c r="R1516" s="1954" t="n">
        <f aca="false">G1516-N1516-N1519-N1518-N1517</f>
        <v>0</v>
      </c>
    </row>
    <row r="1517" customFormat="false" ht="14.25" hidden="false" customHeight="false" outlineLevel="0" collapsed="false">
      <c r="A1517" s="1060"/>
      <c r="B1517" s="1072"/>
      <c r="C1517" s="1980"/>
      <c r="D1517" s="860" t="s">
        <v>13</v>
      </c>
      <c r="E1517" s="1480" t="s">
        <v>2619</v>
      </c>
      <c r="F1517" s="887"/>
      <c r="G1517" s="1950"/>
      <c r="H1517" s="1067"/>
      <c r="I1517" s="1067"/>
      <c r="J1517" s="1063"/>
      <c r="K1517" s="1452"/>
      <c r="L1517" s="866" t="n">
        <v>38976</v>
      </c>
      <c r="M1517" s="866" t="n">
        <v>420</v>
      </c>
      <c r="N1517" s="866" t="n">
        <f aca="false">M1517/H1516</f>
        <v>14</v>
      </c>
      <c r="O1517" s="543" t="s">
        <v>3499</v>
      </c>
      <c r="P1517" s="1981"/>
      <c r="Q1517" s="1953"/>
      <c r="R1517" s="1954"/>
    </row>
    <row r="1518" customFormat="false" ht="14.25" hidden="false" customHeight="false" outlineLevel="0" collapsed="false">
      <c r="A1518" s="1060"/>
      <c r="B1518" s="1072"/>
      <c r="C1518" s="1980"/>
      <c r="D1518" s="860" t="s">
        <v>13</v>
      </c>
      <c r="E1518" s="1480" t="s">
        <v>2619</v>
      </c>
      <c r="F1518" s="887"/>
      <c r="G1518" s="1950"/>
      <c r="H1518" s="1067"/>
      <c r="I1518" s="1067"/>
      <c r="J1518" s="1063"/>
      <c r="K1518" s="1452"/>
      <c r="L1518" s="866" t="n">
        <v>25056</v>
      </c>
      <c r="M1518" s="866" t="n">
        <v>270</v>
      </c>
      <c r="N1518" s="866" t="n">
        <f aca="false">M1518/H1516</f>
        <v>9</v>
      </c>
      <c r="O1518" s="543" t="s">
        <v>664</v>
      </c>
      <c r="P1518" s="1981"/>
      <c r="Q1518" s="1953"/>
      <c r="R1518" s="1954"/>
    </row>
    <row r="1519" customFormat="false" ht="14.25" hidden="false" customHeight="false" outlineLevel="0" collapsed="false">
      <c r="A1519" s="1060"/>
      <c r="B1519" s="1072"/>
      <c r="C1519" s="1980"/>
      <c r="D1519" s="843" t="s">
        <v>13</v>
      </c>
      <c r="E1519" s="1357" t="s">
        <v>2619</v>
      </c>
      <c r="F1519" s="887"/>
      <c r="G1519" s="1950"/>
      <c r="H1519" s="1067"/>
      <c r="I1519" s="1067"/>
      <c r="J1519" s="1063"/>
      <c r="K1519" s="1452"/>
      <c r="L1519" s="846" t="n">
        <v>19488</v>
      </c>
      <c r="M1519" s="846" t="n">
        <v>210</v>
      </c>
      <c r="N1519" s="846" t="n">
        <f aca="false">M1519/H1516</f>
        <v>7</v>
      </c>
      <c r="O1519" s="589" t="s">
        <v>663</v>
      </c>
      <c r="P1519" s="1981"/>
      <c r="Q1519" s="1953"/>
      <c r="R1519" s="1954"/>
    </row>
    <row r="1520" customFormat="false" ht="14.25" hidden="false" customHeight="false" outlineLevel="0" collapsed="false">
      <c r="A1520" s="903" t="n">
        <v>430</v>
      </c>
      <c r="B1520" s="903" t="n">
        <v>2024</v>
      </c>
      <c r="C1520" s="1974" t="n">
        <v>45931</v>
      </c>
      <c r="D1520" s="904" t="s">
        <v>13</v>
      </c>
      <c r="E1520" s="1351" t="s">
        <v>2619</v>
      </c>
      <c r="F1520" s="904" t="s">
        <v>3364</v>
      </c>
      <c r="G1520" s="1940" t="n">
        <v>54</v>
      </c>
      <c r="H1520" s="942" t="n">
        <v>30</v>
      </c>
      <c r="I1520" s="891" t="n">
        <f aca="false">G1520*H1520</f>
        <v>1620</v>
      </c>
      <c r="J1520" s="1406" t="n">
        <v>90.8055</v>
      </c>
      <c r="K1520" s="948" t="n">
        <f aca="false">I1520*J1520</f>
        <v>147104.91</v>
      </c>
      <c r="L1520" s="891" t="n">
        <v>147104.91</v>
      </c>
      <c r="M1520" s="891" t="n">
        <v>1620</v>
      </c>
      <c r="N1520" s="886" t="n">
        <f aca="false">M1520/H1520</f>
        <v>54</v>
      </c>
      <c r="O1520" s="942" t="s">
        <v>3499</v>
      </c>
      <c r="P1520" s="1944" t="n">
        <f aca="false">K1520-L1520</f>
        <v>0</v>
      </c>
      <c r="Q1520" s="1946" t="n">
        <f aca="false">I1520-M1520</f>
        <v>0</v>
      </c>
      <c r="R1520" s="1946" t="n">
        <f aca="false">G1520-N1520</f>
        <v>0</v>
      </c>
    </row>
    <row r="1521" customFormat="false" ht="14.25" hidden="false" customHeight="false" outlineLevel="0" collapsed="false">
      <c r="A1521" s="829" t="n">
        <v>440</v>
      </c>
      <c r="B1521" s="830" t="n">
        <v>2024</v>
      </c>
      <c r="C1521" s="1965" t="n">
        <v>45931</v>
      </c>
      <c r="D1521" s="1328" t="s">
        <v>13</v>
      </c>
      <c r="E1521" s="1607" t="s">
        <v>1651</v>
      </c>
      <c r="F1521" s="832" t="s">
        <v>3367</v>
      </c>
      <c r="G1521" s="1931" t="n">
        <v>1000</v>
      </c>
      <c r="H1521" s="837" t="n">
        <v>10</v>
      </c>
      <c r="I1521" s="837" t="n">
        <f aca="false">G1521*H1521</f>
        <v>10000</v>
      </c>
      <c r="J1521" s="1059" t="n">
        <v>28.174</v>
      </c>
      <c r="K1521" s="943" t="n">
        <f aca="false">I1521*J1521</f>
        <v>281740</v>
      </c>
      <c r="L1521" s="886" t="n">
        <v>12960.4</v>
      </c>
      <c r="M1521" s="886" t="n">
        <v>460</v>
      </c>
      <c r="N1521" s="886" t="n">
        <f aca="false">M1521/H1521</f>
        <v>46</v>
      </c>
      <c r="O1521" s="1036" t="s">
        <v>544</v>
      </c>
      <c r="P1521" s="1934" t="n">
        <f aca="false">K1521-L1521-L1536-L1535-L1522-L1523-L1524-L1534-L1533-L1532-L1525-L1526-L1528-L1531-L1529-L1530-L1527</f>
        <v>-2.91038304567337E-011</v>
      </c>
      <c r="Q1521" s="1934" t="n">
        <f aca="false">I1521-M1521-M1536-M1535-M1522-M1523-M1524-M1534-M1533-M1532-M1525-M1526-M1528-M1531-M1529-M1530-M1527</f>
        <v>0</v>
      </c>
      <c r="R1521" s="1935" t="n">
        <f aca="false">G1521-N1521-N1536-N1535-N1522-N1523-N1524-N1534-N1533-N1532-N1525-N1526-N1528-N1531-N1529-N1530-N1527</f>
        <v>0</v>
      </c>
    </row>
    <row r="1522" customFormat="false" ht="14.25" hidden="false" customHeight="false" outlineLevel="0" collapsed="false">
      <c r="A1522" s="829"/>
      <c r="B1522" s="830"/>
      <c r="C1522" s="1965"/>
      <c r="D1522" s="860" t="s">
        <v>13</v>
      </c>
      <c r="E1522" s="1480" t="s">
        <v>1651</v>
      </c>
      <c r="F1522" s="832"/>
      <c r="G1522" s="1931"/>
      <c r="H1522" s="837"/>
      <c r="I1522" s="837"/>
      <c r="J1522" s="1059"/>
      <c r="K1522" s="943"/>
      <c r="L1522" s="866" t="n">
        <v>84522</v>
      </c>
      <c r="M1522" s="2032" t="n">
        <v>3000</v>
      </c>
      <c r="N1522" s="866" t="n">
        <f aca="false">M1522/H1521</f>
        <v>300</v>
      </c>
      <c r="O1522" s="2048" t="s">
        <v>589</v>
      </c>
      <c r="P1522" s="1934"/>
      <c r="Q1522" s="1934"/>
      <c r="R1522" s="1935"/>
    </row>
    <row r="1523" customFormat="false" ht="14.25" hidden="false" customHeight="false" outlineLevel="0" collapsed="false">
      <c r="A1523" s="829"/>
      <c r="B1523" s="830"/>
      <c r="C1523" s="1965"/>
      <c r="D1523" s="848" t="s">
        <v>13</v>
      </c>
      <c r="E1523" s="1479" t="s">
        <v>1651</v>
      </c>
      <c r="F1523" s="832"/>
      <c r="G1523" s="1931"/>
      <c r="H1523" s="837"/>
      <c r="I1523" s="837"/>
      <c r="J1523" s="1059"/>
      <c r="K1523" s="943"/>
      <c r="L1523" s="854" t="n">
        <v>42261</v>
      </c>
      <c r="M1523" s="2049" t="n">
        <v>1500</v>
      </c>
      <c r="N1523" s="866" t="n">
        <f aca="false">M1523/H1521</f>
        <v>150</v>
      </c>
      <c r="O1523" s="2050" t="s">
        <v>603</v>
      </c>
      <c r="P1523" s="1934"/>
      <c r="Q1523" s="1934"/>
      <c r="R1523" s="1935"/>
    </row>
    <row r="1524" customFormat="false" ht="14.25" hidden="false" customHeight="false" outlineLevel="0" collapsed="false">
      <c r="A1524" s="829"/>
      <c r="B1524" s="830"/>
      <c r="C1524" s="1965"/>
      <c r="D1524" s="848" t="s">
        <v>13</v>
      </c>
      <c r="E1524" s="1479" t="s">
        <v>1651</v>
      </c>
      <c r="F1524" s="832"/>
      <c r="G1524" s="1931"/>
      <c r="H1524" s="837"/>
      <c r="I1524" s="837"/>
      <c r="J1524" s="1059"/>
      <c r="K1524" s="943"/>
      <c r="L1524" s="854" t="n">
        <v>15213.96</v>
      </c>
      <c r="M1524" s="2049" t="n">
        <v>540</v>
      </c>
      <c r="N1524" s="866" t="n">
        <f aca="false">M1524/H1521</f>
        <v>54</v>
      </c>
      <c r="O1524" s="2050" t="s">
        <v>544</v>
      </c>
      <c r="P1524" s="1934"/>
      <c r="Q1524" s="1934"/>
      <c r="R1524" s="1935"/>
    </row>
    <row r="1525" customFormat="false" ht="14.25" hidden="false" customHeight="false" outlineLevel="0" collapsed="false">
      <c r="A1525" s="829"/>
      <c r="B1525" s="830"/>
      <c r="C1525" s="1965"/>
      <c r="D1525" s="848" t="s">
        <v>13</v>
      </c>
      <c r="E1525" s="1479" t="s">
        <v>1651</v>
      </c>
      <c r="F1525" s="832"/>
      <c r="G1525" s="1931"/>
      <c r="H1525" s="837"/>
      <c r="I1525" s="837"/>
      <c r="J1525" s="1059"/>
      <c r="K1525" s="943"/>
      <c r="L1525" s="854" t="n">
        <v>845.22</v>
      </c>
      <c r="M1525" s="2049" t="n">
        <v>30</v>
      </c>
      <c r="N1525" s="866" t="n">
        <f aca="false">M1525/H1521</f>
        <v>3</v>
      </c>
      <c r="O1525" s="2050" t="s">
        <v>717</v>
      </c>
      <c r="P1525" s="1934"/>
      <c r="Q1525" s="1934"/>
      <c r="R1525" s="1935"/>
    </row>
    <row r="1526" customFormat="false" ht="14.25" hidden="false" customHeight="false" outlineLevel="0" collapsed="false">
      <c r="A1526" s="829"/>
      <c r="B1526" s="830"/>
      <c r="C1526" s="1965"/>
      <c r="D1526" s="848" t="s">
        <v>13</v>
      </c>
      <c r="E1526" s="1479" t="s">
        <v>1651</v>
      </c>
      <c r="F1526" s="832"/>
      <c r="G1526" s="1931"/>
      <c r="H1526" s="837"/>
      <c r="I1526" s="837"/>
      <c r="J1526" s="1059"/>
      <c r="K1526" s="943"/>
      <c r="L1526" s="854" t="n">
        <v>4226.1</v>
      </c>
      <c r="M1526" s="2049" t="n">
        <v>150</v>
      </c>
      <c r="N1526" s="866" t="n">
        <f aca="false">M1526/H1521</f>
        <v>15</v>
      </c>
      <c r="O1526" s="2050" t="s">
        <v>750</v>
      </c>
      <c r="P1526" s="1934"/>
      <c r="Q1526" s="1934"/>
      <c r="R1526" s="1935"/>
    </row>
    <row r="1527" customFormat="false" ht="14.25" hidden="false" customHeight="false" outlineLevel="0" collapsed="false">
      <c r="A1527" s="829"/>
      <c r="B1527" s="830"/>
      <c r="C1527" s="1965"/>
      <c r="D1527" s="848" t="s">
        <v>13</v>
      </c>
      <c r="E1527" s="1479" t="s">
        <v>1651</v>
      </c>
      <c r="F1527" s="832"/>
      <c r="G1527" s="1931"/>
      <c r="H1527" s="837"/>
      <c r="I1527" s="837"/>
      <c r="J1527" s="1059"/>
      <c r="K1527" s="943"/>
      <c r="L1527" s="854" t="n">
        <v>9578.7</v>
      </c>
      <c r="M1527" s="2049" t="n">
        <v>340</v>
      </c>
      <c r="N1527" s="866" t="n">
        <f aca="false">M1527/H1521</f>
        <v>34</v>
      </c>
      <c r="O1527" s="2050" t="s">
        <v>1634</v>
      </c>
      <c r="P1527" s="1934"/>
      <c r="Q1527" s="1934"/>
      <c r="R1527" s="1935"/>
    </row>
    <row r="1528" customFormat="false" ht="14.25" hidden="false" customHeight="false" outlineLevel="0" collapsed="false">
      <c r="A1528" s="829"/>
      <c r="B1528" s="830"/>
      <c r="C1528" s="1965"/>
      <c r="D1528" s="848" t="s">
        <v>13</v>
      </c>
      <c r="E1528" s="1479" t="s">
        <v>1651</v>
      </c>
      <c r="F1528" s="832"/>
      <c r="G1528" s="1931"/>
      <c r="H1528" s="837"/>
      <c r="I1528" s="837"/>
      <c r="J1528" s="1059"/>
      <c r="K1528" s="943"/>
      <c r="L1528" s="854" t="n">
        <v>2817.4</v>
      </c>
      <c r="M1528" s="2049" t="n">
        <v>100</v>
      </c>
      <c r="N1528" s="866" t="n">
        <f aca="false">M1528/H1521</f>
        <v>10</v>
      </c>
      <c r="O1528" s="2050" t="s">
        <v>759</v>
      </c>
      <c r="P1528" s="1934"/>
      <c r="Q1528" s="1934"/>
      <c r="R1528" s="1935"/>
    </row>
    <row r="1529" customFormat="false" ht="14.25" hidden="false" customHeight="false" outlineLevel="0" collapsed="false">
      <c r="A1529" s="829"/>
      <c r="B1529" s="830"/>
      <c r="C1529" s="1965"/>
      <c r="D1529" s="848" t="s">
        <v>13</v>
      </c>
      <c r="E1529" s="1479" t="s">
        <v>1651</v>
      </c>
      <c r="F1529" s="832"/>
      <c r="G1529" s="1931"/>
      <c r="H1529" s="837"/>
      <c r="I1529" s="837"/>
      <c r="J1529" s="1059"/>
      <c r="K1529" s="943"/>
      <c r="L1529" s="854" t="n">
        <v>281.74</v>
      </c>
      <c r="M1529" s="2049" t="n">
        <v>10</v>
      </c>
      <c r="N1529" s="866" t="n">
        <f aca="false">M1529/H1521</f>
        <v>1</v>
      </c>
      <c r="O1529" s="2050" t="s">
        <v>895</v>
      </c>
      <c r="P1529" s="1934"/>
      <c r="Q1529" s="1934"/>
      <c r="R1529" s="1935"/>
    </row>
    <row r="1530" customFormat="false" ht="14.25" hidden="false" customHeight="false" outlineLevel="0" collapsed="false">
      <c r="A1530" s="829"/>
      <c r="B1530" s="830"/>
      <c r="C1530" s="1965"/>
      <c r="D1530" s="848" t="s">
        <v>13</v>
      </c>
      <c r="E1530" s="1479" t="s">
        <v>1651</v>
      </c>
      <c r="F1530" s="832"/>
      <c r="G1530" s="1931"/>
      <c r="H1530" s="837"/>
      <c r="I1530" s="837"/>
      <c r="J1530" s="1059"/>
      <c r="K1530" s="943"/>
      <c r="L1530" s="854" t="n">
        <v>1408.7</v>
      </c>
      <c r="M1530" s="2049" t="n">
        <v>50</v>
      </c>
      <c r="N1530" s="866" t="n">
        <f aca="false">M1530/H1521</f>
        <v>5</v>
      </c>
      <c r="O1530" s="2050" t="s">
        <v>889</v>
      </c>
      <c r="P1530" s="1934"/>
      <c r="Q1530" s="1934"/>
      <c r="R1530" s="1935"/>
    </row>
    <row r="1531" customFormat="false" ht="14.25" hidden="false" customHeight="false" outlineLevel="0" collapsed="false">
      <c r="A1531" s="829"/>
      <c r="B1531" s="830"/>
      <c r="C1531" s="1965"/>
      <c r="D1531" s="848" t="s">
        <v>13</v>
      </c>
      <c r="E1531" s="1479" t="s">
        <v>1651</v>
      </c>
      <c r="F1531" s="832"/>
      <c r="G1531" s="1931"/>
      <c r="H1531" s="837"/>
      <c r="I1531" s="837"/>
      <c r="J1531" s="1059"/>
      <c r="K1531" s="943"/>
      <c r="L1531" s="854" t="n">
        <v>1690.44</v>
      </c>
      <c r="M1531" s="2049" t="n">
        <v>60</v>
      </c>
      <c r="N1531" s="866" t="n">
        <f aca="false">M1531/H1521</f>
        <v>6</v>
      </c>
      <c r="O1531" s="2050" t="s">
        <v>904</v>
      </c>
      <c r="P1531" s="1934"/>
      <c r="Q1531" s="1934"/>
      <c r="R1531" s="1935"/>
    </row>
    <row r="1532" customFormat="false" ht="14.25" hidden="false" customHeight="false" outlineLevel="0" collapsed="false">
      <c r="A1532" s="829"/>
      <c r="B1532" s="830"/>
      <c r="C1532" s="1965"/>
      <c r="D1532" s="848" t="s">
        <v>13</v>
      </c>
      <c r="E1532" s="1479" t="s">
        <v>1651</v>
      </c>
      <c r="F1532" s="832"/>
      <c r="G1532" s="1931"/>
      <c r="H1532" s="837"/>
      <c r="I1532" s="837"/>
      <c r="J1532" s="1059"/>
      <c r="K1532" s="943"/>
      <c r="L1532" s="854" t="n">
        <v>16904.4</v>
      </c>
      <c r="M1532" s="2049" t="n">
        <v>600</v>
      </c>
      <c r="N1532" s="866" t="n">
        <f aca="false">M1532/H1521</f>
        <v>60</v>
      </c>
      <c r="O1532" s="2050" t="s">
        <v>3500</v>
      </c>
      <c r="P1532" s="1934"/>
      <c r="Q1532" s="1934"/>
      <c r="R1532" s="1935"/>
    </row>
    <row r="1533" customFormat="false" ht="14.25" hidden="false" customHeight="false" outlineLevel="0" collapsed="false">
      <c r="A1533" s="829"/>
      <c r="B1533" s="830"/>
      <c r="C1533" s="1965"/>
      <c r="D1533" s="848" t="s">
        <v>13</v>
      </c>
      <c r="E1533" s="1479" t="s">
        <v>1651</v>
      </c>
      <c r="F1533" s="832"/>
      <c r="G1533" s="1931"/>
      <c r="H1533" s="837"/>
      <c r="I1533" s="837"/>
      <c r="J1533" s="1059"/>
      <c r="K1533" s="943"/>
      <c r="L1533" s="854" t="n">
        <v>563.48</v>
      </c>
      <c r="M1533" s="2049" t="n">
        <v>20</v>
      </c>
      <c r="N1533" s="866" t="n">
        <f aca="false">M1533/H1521</f>
        <v>2</v>
      </c>
      <c r="O1533" s="2050" t="s">
        <v>3501</v>
      </c>
      <c r="P1533" s="1934"/>
      <c r="Q1533" s="1934"/>
      <c r="R1533" s="1935"/>
    </row>
    <row r="1534" customFormat="false" ht="14.25" hidden="false" customHeight="false" outlineLevel="0" collapsed="false">
      <c r="A1534" s="829"/>
      <c r="B1534" s="830"/>
      <c r="C1534" s="1965"/>
      <c r="D1534" s="848" t="s">
        <v>13</v>
      </c>
      <c r="E1534" s="1479" t="s">
        <v>1651</v>
      </c>
      <c r="F1534" s="832"/>
      <c r="G1534" s="1931"/>
      <c r="H1534" s="837"/>
      <c r="I1534" s="837"/>
      <c r="J1534" s="1059"/>
      <c r="K1534" s="943"/>
      <c r="L1534" s="854" t="n">
        <v>16904.4</v>
      </c>
      <c r="M1534" s="2049" t="n">
        <v>600</v>
      </c>
      <c r="N1534" s="866" t="n">
        <f aca="false">M1534/H1521</f>
        <v>60</v>
      </c>
      <c r="O1534" s="2050" t="s">
        <v>625</v>
      </c>
      <c r="P1534" s="1934"/>
      <c r="Q1534" s="1934"/>
      <c r="R1534" s="1935"/>
    </row>
    <row r="1535" customFormat="false" ht="14.25" hidden="false" customHeight="false" outlineLevel="0" collapsed="false">
      <c r="A1535" s="829"/>
      <c r="B1535" s="830"/>
      <c r="C1535" s="1965"/>
      <c r="D1535" s="848" t="s">
        <v>13</v>
      </c>
      <c r="E1535" s="1479" t="s">
        <v>1651</v>
      </c>
      <c r="F1535" s="832"/>
      <c r="G1535" s="1931"/>
      <c r="H1535" s="837"/>
      <c r="I1535" s="837"/>
      <c r="J1535" s="1059"/>
      <c r="K1535" s="943"/>
      <c r="L1535" s="854" t="n">
        <v>50431.56</v>
      </c>
      <c r="M1535" s="854" t="n">
        <v>1790</v>
      </c>
      <c r="N1535" s="854" t="n">
        <f aca="false">M1535/H1521</f>
        <v>179</v>
      </c>
      <c r="O1535" s="537" t="s">
        <v>561</v>
      </c>
      <c r="P1535" s="1934"/>
      <c r="Q1535" s="1934"/>
      <c r="R1535" s="1935"/>
    </row>
    <row r="1536" customFormat="false" ht="14.25" hidden="false" customHeight="false" outlineLevel="0" collapsed="false">
      <c r="A1536" s="829"/>
      <c r="B1536" s="830"/>
      <c r="C1536" s="1965"/>
      <c r="D1536" s="843" t="s">
        <v>13</v>
      </c>
      <c r="E1536" s="1357" t="s">
        <v>1651</v>
      </c>
      <c r="F1536" s="832"/>
      <c r="G1536" s="1931"/>
      <c r="H1536" s="837"/>
      <c r="I1536" s="837"/>
      <c r="J1536" s="1059"/>
      <c r="K1536" s="943"/>
      <c r="L1536" s="846" t="n">
        <v>21130.5</v>
      </c>
      <c r="M1536" s="846" t="n">
        <v>750</v>
      </c>
      <c r="N1536" s="846" t="n">
        <f aca="false">M1536/H1521</f>
        <v>75</v>
      </c>
      <c r="O1536" s="589" t="s">
        <v>558</v>
      </c>
      <c r="P1536" s="1934"/>
      <c r="Q1536" s="1934"/>
      <c r="R1536" s="1935"/>
    </row>
    <row r="1537" customFormat="false" ht="14.25" hidden="false" customHeight="false" outlineLevel="0" collapsed="false">
      <c r="A1537" s="829" t="s">
        <v>3502</v>
      </c>
      <c r="B1537" s="830" t="n">
        <v>2024</v>
      </c>
      <c r="C1537" s="1965" t="n">
        <v>45931</v>
      </c>
      <c r="D1537" s="831" t="s">
        <v>13</v>
      </c>
      <c r="E1537" s="1365" t="s">
        <v>1651</v>
      </c>
      <c r="F1537" s="832" t="s">
        <v>3375</v>
      </c>
      <c r="G1537" s="1931" t="n">
        <v>40</v>
      </c>
      <c r="H1537" s="837" t="n">
        <v>15</v>
      </c>
      <c r="I1537" s="837" t="n">
        <f aca="false">G1537*H1537</f>
        <v>600</v>
      </c>
      <c r="J1537" s="1059" t="n">
        <v>28.174</v>
      </c>
      <c r="K1537" s="943" t="n">
        <f aca="false">I1537*J1537</f>
        <v>16904.4</v>
      </c>
      <c r="L1537" s="840" t="n">
        <v>13523.52</v>
      </c>
      <c r="M1537" s="840" t="n">
        <v>480</v>
      </c>
      <c r="N1537" s="886" t="n">
        <f aca="false">M1537/H1537</f>
        <v>32</v>
      </c>
      <c r="O1537" s="1114" t="s">
        <v>749</v>
      </c>
      <c r="P1537" s="1937" t="n">
        <f aca="false">K1537-L1537-L1538</f>
        <v>0</v>
      </c>
      <c r="Q1537" s="1934" t="n">
        <f aca="false">I1537-M1537-M1538</f>
        <v>0</v>
      </c>
      <c r="R1537" s="1935" t="n">
        <f aca="false">G1537-N1537-N1538</f>
        <v>0</v>
      </c>
    </row>
    <row r="1538" customFormat="false" ht="14.25" hidden="false" customHeight="false" outlineLevel="0" collapsed="false">
      <c r="A1538" s="829"/>
      <c r="B1538" s="830"/>
      <c r="C1538" s="1965"/>
      <c r="D1538" s="887" t="s">
        <v>13</v>
      </c>
      <c r="E1538" s="1501" t="s">
        <v>1651</v>
      </c>
      <c r="F1538" s="832"/>
      <c r="G1538" s="1931"/>
      <c r="H1538" s="837"/>
      <c r="I1538" s="837"/>
      <c r="J1538" s="1059"/>
      <c r="K1538" s="943"/>
      <c r="L1538" s="890" t="n">
        <v>3380.88</v>
      </c>
      <c r="M1538" s="890" t="n">
        <v>120</v>
      </c>
      <c r="N1538" s="846" t="n">
        <f aca="false">M1538/H1537</f>
        <v>8</v>
      </c>
      <c r="O1538" s="1067" t="s">
        <v>1634</v>
      </c>
      <c r="P1538" s="1937"/>
      <c r="Q1538" s="1934"/>
      <c r="R1538" s="1935"/>
    </row>
    <row r="1539" customFormat="false" ht="14.25" hidden="false" customHeight="false" outlineLevel="0" collapsed="false">
      <c r="A1539" s="903" t="n">
        <v>441</v>
      </c>
      <c r="B1539" s="903" t="n">
        <v>2024</v>
      </c>
      <c r="C1539" s="1974" t="n">
        <v>45931</v>
      </c>
      <c r="D1539" s="904" t="s">
        <v>13</v>
      </c>
      <c r="E1539" s="1351" t="s">
        <v>1651</v>
      </c>
      <c r="F1539" s="904" t="s">
        <v>3367</v>
      </c>
      <c r="G1539" s="1940" t="n">
        <v>121</v>
      </c>
      <c r="H1539" s="942" t="n">
        <v>10</v>
      </c>
      <c r="I1539" s="891" t="n">
        <f aca="false">G1539*H1539</f>
        <v>1210</v>
      </c>
      <c r="J1539" s="1406" t="n">
        <v>28.174</v>
      </c>
      <c r="K1539" s="948" t="n">
        <f aca="false">I1539*J1539</f>
        <v>34090.54</v>
      </c>
      <c r="L1539" s="891" t="n">
        <v>34090.54</v>
      </c>
      <c r="M1539" s="891" t="n">
        <v>1210</v>
      </c>
      <c r="N1539" s="891" t="n">
        <f aca="false">M1539/H1539</f>
        <v>121</v>
      </c>
      <c r="O1539" s="942" t="s">
        <v>561</v>
      </c>
      <c r="P1539" s="1944" t="n">
        <f aca="false">K1539-L1539</f>
        <v>0</v>
      </c>
      <c r="Q1539" s="1946" t="n">
        <f aca="false">I1539-M1539</f>
        <v>0</v>
      </c>
      <c r="R1539" s="1946" t="n">
        <f aca="false">G1539-N1539</f>
        <v>0</v>
      </c>
    </row>
    <row r="1540" customFormat="false" ht="14.25" hidden="false" customHeight="false" outlineLevel="0" collapsed="false">
      <c r="A1540" s="829" t="n">
        <v>442</v>
      </c>
      <c r="B1540" s="830" t="n">
        <v>2024</v>
      </c>
      <c r="C1540" s="1965" t="n">
        <v>45931</v>
      </c>
      <c r="D1540" s="1328" t="s">
        <v>13</v>
      </c>
      <c r="E1540" s="1607" t="s">
        <v>1651</v>
      </c>
      <c r="F1540" s="832" t="s">
        <v>3364</v>
      </c>
      <c r="G1540" s="1931" t="n">
        <v>666</v>
      </c>
      <c r="H1540" s="837" t="n">
        <v>15</v>
      </c>
      <c r="I1540" s="837" t="n">
        <f aca="false">G1540*H1540</f>
        <v>9990</v>
      </c>
      <c r="J1540" s="1059" t="n">
        <v>28.174</v>
      </c>
      <c r="K1540" s="943" t="n">
        <f aca="false">I1540*J1540</f>
        <v>281458.26</v>
      </c>
      <c r="L1540" s="886" t="n">
        <v>86212.44</v>
      </c>
      <c r="M1540" s="886" t="n">
        <v>3060</v>
      </c>
      <c r="N1540" s="886" t="n">
        <f aca="false">M1540/H1540</f>
        <v>204</v>
      </c>
      <c r="O1540" s="1036" t="s">
        <v>404</v>
      </c>
      <c r="P1540" s="1937" t="n">
        <f aca="false">K1540-L1540-L1555-L1554-L1541-L1542-L1553-L1543-L1552-L1544-L1551-L1545-L1550-L1547-L1546-L1548-L1549</f>
        <v>0</v>
      </c>
      <c r="Q1540" s="1934" t="n">
        <f aca="false">I1540-M1540-M1555-M1554-M1541-M1542-M1553-M1543-M1552-M1544-M1551-M1545-M1550-M1547-M1546-M1548-M1549</f>
        <v>0</v>
      </c>
      <c r="R1540" s="1935" t="n">
        <f aca="false">G1540-N1540-N1555-N1554-N1541-N1542-N1553-N1543-N1552-N1544-N1551-N1545-N1550-N1547-N1546-N1548-N1549</f>
        <v>0</v>
      </c>
    </row>
    <row r="1541" customFormat="false" ht="14.25" hidden="false" customHeight="false" outlineLevel="0" collapsed="false">
      <c r="A1541" s="829"/>
      <c r="B1541" s="830"/>
      <c r="C1541" s="1965"/>
      <c r="D1541" s="860" t="s">
        <v>13</v>
      </c>
      <c r="E1541" s="1480" t="s">
        <v>1651</v>
      </c>
      <c r="F1541" s="832"/>
      <c r="G1541" s="1931"/>
      <c r="H1541" s="837"/>
      <c r="I1541" s="837"/>
      <c r="J1541" s="1059"/>
      <c r="K1541" s="943"/>
      <c r="L1541" s="866" t="n">
        <v>42261</v>
      </c>
      <c r="M1541" s="866" t="n">
        <v>1500</v>
      </c>
      <c r="N1541" s="866" t="n">
        <f aca="false">M1541/H1540</f>
        <v>100</v>
      </c>
      <c r="O1541" s="543" t="s">
        <v>547</v>
      </c>
      <c r="P1541" s="1937"/>
      <c r="Q1541" s="1934"/>
      <c r="R1541" s="1935"/>
    </row>
    <row r="1542" customFormat="false" ht="14.25" hidden="false" customHeight="false" outlineLevel="0" collapsed="false">
      <c r="A1542" s="829"/>
      <c r="B1542" s="830"/>
      <c r="C1542" s="1965"/>
      <c r="D1542" s="860" t="s">
        <v>13</v>
      </c>
      <c r="E1542" s="1480" t="s">
        <v>1651</v>
      </c>
      <c r="F1542" s="832"/>
      <c r="G1542" s="1931"/>
      <c r="H1542" s="837"/>
      <c r="I1542" s="837"/>
      <c r="J1542" s="1059"/>
      <c r="K1542" s="943"/>
      <c r="L1542" s="866" t="n">
        <v>422.61</v>
      </c>
      <c r="M1542" s="866" t="n">
        <v>15</v>
      </c>
      <c r="N1542" s="866" t="n">
        <f aca="false">M1542/H1540</f>
        <v>1</v>
      </c>
      <c r="O1542" s="543" t="s">
        <v>552</v>
      </c>
      <c r="P1542" s="1937"/>
      <c r="Q1542" s="1934"/>
      <c r="R1542" s="1935"/>
    </row>
    <row r="1543" customFormat="false" ht="14.25" hidden="false" customHeight="false" outlineLevel="0" collapsed="false">
      <c r="A1543" s="829"/>
      <c r="B1543" s="830"/>
      <c r="C1543" s="1965"/>
      <c r="D1543" s="860" t="s">
        <v>13</v>
      </c>
      <c r="E1543" s="1480" t="s">
        <v>1651</v>
      </c>
      <c r="F1543" s="832"/>
      <c r="G1543" s="1931"/>
      <c r="H1543" s="837"/>
      <c r="I1543" s="837"/>
      <c r="J1543" s="1059"/>
      <c r="K1543" s="943"/>
      <c r="L1543" s="866" t="n">
        <v>56629.74</v>
      </c>
      <c r="M1543" s="866" t="n">
        <v>2010</v>
      </c>
      <c r="N1543" s="866" t="n">
        <f aca="false">M1543/H1540</f>
        <v>134</v>
      </c>
      <c r="O1543" s="543" t="s">
        <v>397</v>
      </c>
      <c r="P1543" s="1937"/>
      <c r="Q1543" s="1934"/>
      <c r="R1543" s="1935"/>
    </row>
    <row r="1544" customFormat="false" ht="14.25" hidden="false" customHeight="false" outlineLevel="0" collapsed="false">
      <c r="A1544" s="829"/>
      <c r="B1544" s="830"/>
      <c r="C1544" s="1965"/>
      <c r="D1544" s="860" t="s">
        <v>13</v>
      </c>
      <c r="E1544" s="1480" t="s">
        <v>1651</v>
      </c>
      <c r="F1544" s="832"/>
      <c r="G1544" s="1931"/>
      <c r="H1544" s="837"/>
      <c r="I1544" s="837"/>
      <c r="J1544" s="1059"/>
      <c r="K1544" s="943"/>
      <c r="L1544" s="866" t="n">
        <v>2113.05</v>
      </c>
      <c r="M1544" s="866" t="n">
        <v>75</v>
      </c>
      <c r="N1544" s="866" t="n">
        <f aca="false">M1544/H1540</f>
        <v>5</v>
      </c>
      <c r="O1544" s="543" t="s">
        <v>569</v>
      </c>
      <c r="P1544" s="1937"/>
      <c r="Q1544" s="1934"/>
      <c r="R1544" s="1935"/>
    </row>
    <row r="1545" customFormat="false" ht="14.25" hidden="false" customHeight="false" outlineLevel="0" collapsed="false">
      <c r="A1545" s="829"/>
      <c r="B1545" s="830"/>
      <c r="C1545" s="1965"/>
      <c r="D1545" s="860" t="s">
        <v>13</v>
      </c>
      <c r="E1545" s="1480" t="s">
        <v>1651</v>
      </c>
      <c r="F1545" s="832"/>
      <c r="G1545" s="1931"/>
      <c r="H1545" s="837"/>
      <c r="I1545" s="837"/>
      <c r="J1545" s="1059"/>
      <c r="K1545" s="943"/>
      <c r="L1545" s="866" t="n">
        <v>16904.4</v>
      </c>
      <c r="M1545" s="866" t="n">
        <v>600</v>
      </c>
      <c r="N1545" s="866" t="n">
        <f aca="false">M1545/H1540</f>
        <v>40</v>
      </c>
      <c r="O1545" s="543" t="s">
        <v>572</v>
      </c>
      <c r="P1545" s="1937"/>
      <c r="Q1545" s="1934"/>
      <c r="R1545" s="1935"/>
    </row>
    <row r="1546" customFormat="false" ht="14.25" hidden="false" customHeight="false" outlineLevel="0" collapsed="false">
      <c r="A1546" s="829"/>
      <c r="B1546" s="830"/>
      <c r="C1546" s="1965"/>
      <c r="D1546" s="860" t="s">
        <v>13</v>
      </c>
      <c r="E1546" s="1480" t="s">
        <v>1651</v>
      </c>
      <c r="F1546" s="832"/>
      <c r="G1546" s="1931"/>
      <c r="H1546" s="837"/>
      <c r="I1546" s="837"/>
      <c r="J1546" s="1059"/>
      <c r="K1546" s="943"/>
      <c r="L1546" s="866" t="n">
        <v>7606.98</v>
      </c>
      <c r="M1546" s="866" t="n">
        <v>270</v>
      </c>
      <c r="N1546" s="866" t="n">
        <f aca="false">M1546/H1540</f>
        <v>18</v>
      </c>
      <c r="O1546" s="543" t="s">
        <v>1249</v>
      </c>
      <c r="P1546" s="1937"/>
      <c r="Q1546" s="1934"/>
      <c r="R1546" s="1935"/>
    </row>
    <row r="1547" customFormat="false" ht="14.25" hidden="false" customHeight="false" outlineLevel="0" collapsed="false">
      <c r="A1547" s="829"/>
      <c r="B1547" s="830"/>
      <c r="C1547" s="1965"/>
      <c r="D1547" s="860" t="s">
        <v>13</v>
      </c>
      <c r="E1547" s="1480" t="s">
        <v>1651</v>
      </c>
      <c r="F1547" s="832"/>
      <c r="G1547" s="1931"/>
      <c r="H1547" s="837"/>
      <c r="I1547" s="837"/>
      <c r="J1547" s="1059"/>
      <c r="K1547" s="943"/>
      <c r="L1547" s="866" t="n">
        <v>16481.79</v>
      </c>
      <c r="M1547" s="866" t="n">
        <v>585</v>
      </c>
      <c r="N1547" s="866" t="n">
        <f aca="false">M1547/H1540</f>
        <v>39</v>
      </c>
      <c r="O1547" s="543" t="s">
        <v>604</v>
      </c>
      <c r="P1547" s="1937"/>
      <c r="Q1547" s="1934"/>
      <c r="R1547" s="1935"/>
    </row>
    <row r="1548" customFormat="false" ht="14.25" hidden="false" customHeight="false" outlineLevel="0" collapsed="false">
      <c r="A1548" s="829"/>
      <c r="B1548" s="830"/>
      <c r="C1548" s="1965"/>
      <c r="D1548" s="860" t="s">
        <v>13</v>
      </c>
      <c r="E1548" s="1480" t="s">
        <v>1651</v>
      </c>
      <c r="F1548" s="832"/>
      <c r="G1548" s="1931"/>
      <c r="H1548" s="837"/>
      <c r="I1548" s="837"/>
      <c r="J1548" s="1059"/>
      <c r="K1548" s="943"/>
      <c r="L1548" s="866" t="n">
        <v>-49867.98</v>
      </c>
      <c r="M1548" s="866" t="n">
        <v>-1770</v>
      </c>
      <c r="N1548" s="866" t="n">
        <f aca="false">M1548/H1540</f>
        <v>-118</v>
      </c>
      <c r="O1548" s="543" t="s">
        <v>1634</v>
      </c>
      <c r="P1548" s="1937"/>
      <c r="Q1548" s="1934"/>
      <c r="R1548" s="1935"/>
    </row>
    <row r="1549" customFormat="false" ht="14.25" hidden="false" customHeight="false" outlineLevel="0" collapsed="false">
      <c r="A1549" s="829"/>
      <c r="B1549" s="830"/>
      <c r="C1549" s="1965"/>
      <c r="D1549" s="860" t="s">
        <v>13</v>
      </c>
      <c r="E1549" s="1480" t="s">
        <v>1651</v>
      </c>
      <c r="F1549" s="832"/>
      <c r="G1549" s="1931"/>
      <c r="H1549" s="837"/>
      <c r="I1549" s="837"/>
      <c r="J1549" s="1059"/>
      <c r="K1549" s="943"/>
      <c r="L1549" s="866" t="n">
        <v>42261</v>
      </c>
      <c r="M1549" s="866" t="n">
        <v>1500</v>
      </c>
      <c r="N1549" s="866" t="n">
        <f aca="false">M1549/H1540</f>
        <v>100</v>
      </c>
      <c r="O1549" s="543" t="s">
        <v>1261</v>
      </c>
      <c r="P1549" s="1937"/>
      <c r="Q1549" s="1934"/>
      <c r="R1549" s="1935"/>
    </row>
    <row r="1550" customFormat="false" ht="14.25" hidden="false" customHeight="false" outlineLevel="0" collapsed="false">
      <c r="A1550" s="829"/>
      <c r="B1550" s="830"/>
      <c r="C1550" s="1965"/>
      <c r="D1550" s="860" t="s">
        <v>13</v>
      </c>
      <c r="E1550" s="1480" t="s">
        <v>1651</v>
      </c>
      <c r="F1550" s="832"/>
      <c r="G1550" s="1931"/>
      <c r="H1550" s="837"/>
      <c r="I1550" s="837"/>
      <c r="J1550" s="1059"/>
      <c r="K1550" s="943"/>
      <c r="L1550" s="866" t="n">
        <v>1690.44</v>
      </c>
      <c r="M1550" s="866" t="n">
        <v>60</v>
      </c>
      <c r="N1550" s="866" t="n">
        <f aca="false">M1550/H1540</f>
        <v>4</v>
      </c>
      <c r="O1550" s="543" t="s">
        <v>593</v>
      </c>
      <c r="P1550" s="1937"/>
      <c r="Q1550" s="1934"/>
      <c r="R1550" s="1935"/>
    </row>
    <row r="1551" customFormat="false" ht="14.25" hidden="false" customHeight="false" outlineLevel="0" collapsed="false">
      <c r="A1551" s="829"/>
      <c r="B1551" s="830"/>
      <c r="C1551" s="1965"/>
      <c r="D1551" s="860" t="s">
        <v>13</v>
      </c>
      <c r="E1551" s="1480" t="s">
        <v>1651</v>
      </c>
      <c r="F1551" s="832"/>
      <c r="G1551" s="1931"/>
      <c r="H1551" s="837"/>
      <c r="I1551" s="837"/>
      <c r="J1551" s="1059"/>
      <c r="K1551" s="943"/>
      <c r="L1551" s="866" t="n">
        <v>8452.2</v>
      </c>
      <c r="M1551" s="866" t="n">
        <v>300</v>
      </c>
      <c r="N1551" s="866" t="n">
        <f aca="false">M1551/H1540</f>
        <v>20</v>
      </c>
      <c r="O1551" s="543" t="s">
        <v>486</v>
      </c>
      <c r="P1551" s="1937"/>
      <c r="Q1551" s="1934"/>
      <c r="R1551" s="1935"/>
    </row>
    <row r="1552" customFormat="false" ht="14.25" hidden="false" customHeight="false" outlineLevel="0" collapsed="false">
      <c r="A1552" s="829"/>
      <c r="B1552" s="830"/>
      <c r="C1552" s="1965"/>
      <c r="D1552" s="860" t="s">
        <v>13</v>
      </c>
      <c r="E1552" s="1480" t="s">
        <v>1651</v>
      </c>
      <c r="F1552" s="832"/>
      <c r="G1552" s="1931"/>
      <c r="H1552" s="837"/>
      <c r="I1552" s="837"/>
      <c r="J1552" s="1059"/>
      <c r="K1552" s="943"/>
      <c r="L1552" s="866" t="n">
        <v>14368.74</v>
      </c>
      <c r="M1552" s="866" t="n">
        <v>510</v>
      </c>
      <c r="N1552" s="866" t="n">
        <f aca="false">M1552/H1540</f>
        <v>34</v>
      </c>
      <c r="O1552" s="543" t="s">
        <v>469</v>
      </c>
      <c r="P1552" s="1937"/>
      <c r="Q1552" s="1934"/>
      <c r="R1552" s="1935"/>
    </row>
    <row r="1553" customFormat="false" ht="14.25" hidden="false" customHeight="false" outlineLevel="0" collapsed="false">
      <c r="A1553" s="829"/>
      <c r="B1553" s="830"/>
      <c r="C1553" s="1965"/>
      <c r="D1553" s="860" t="s">
        <v>13</v>
      </c>
      <c r="E1553" s="1480" t="s">
        <v>1651</v>
      </c>
      <c r="F1553" s="832"/>
      <c r="G1553" s="1931"/>
      <c r="H1553" s="837"/>
      <c r="I1553" s="837"/>
      <c r="J1553" s="1059"/>
      <c r="K1553" s="943"/>
      <c r="L1553" s="866" t="n">
        <v>8452.2</v>
      </c>
      <c r="M1553" s="866" t="n">
        <v>300</v>
      </c>
      <c r="N1553" s="866" t="n">
        <f aca="false">M1553/H1540</f>
        <v>20</v>
      </c>
      <c r="O1553" s="543" t="s">
        <v>541</v>
      </c>
      <c r="P1553" s="1937"/>
      <c r="Q1553" s="1934"/>
      <c r="R1553" s="1935"/>
    </row>
    <row r="1554" customFormat="false" ht="14.25" hidden="false" customHeight="false" outlineLevel="0" collapsed="false">
      <c r="A1554" s="829"/>
      <c r="B1554" s="830"/>
      <c r="C1554" s="1965"/>
      <c r="D1554" s="860" t="s">
        <v>13</v>
      </c>
      <c r="E1554" s="1480" t="s">
        <v>1651</v>
      </c>
      <c r="F1554" s="832"/>
      <c r="G1554" s="1931"/>
      <c r="H1554" s="837"/>
      <c r="I1554" s="837"/>
      <c r="J1554" s="1059"/>
      <c r="K1554" s="943"/>
      <c r="L1554" s="866" t="n">
        <v>19017.45</v>
      </c>
      <c r="M1554" s="866" t="n">
        <v>675</v>
      </c>
      <c r="N1554" s="866" t="n">
        <f aca="false">M1554/H1540</f>
        <v>45</v>
      </c>
      <c r="O1554" s="543" t="s">
        <v>530</v>
      </c>
      <c r="P1554" s="1937"/>
      <c r="Q1554" s="1934"/>
      <c r="R1554" s="1935"/>
    </row>
    <row r="1555" customFormat="false" ht="14.25" hidden="false" customHeight="false" outlineLevel="0" collapsed="false">
      <c r="A1555" s="829"/>
      <c r="B1555" s="830"/>
      <c r="C1555" s="1965"/>
      <c r="D1555" s="843" t="s">
        <v>13</v>
      </c>
      <c r="E1555" s="1357" t="s">
        <v>1651</v>
      </c>
      <c r="F1555" s="832"/>
      <c r="G1555" s="1931"/>
      <c r="H1555" s="837"/>
      <c r="I1555" s="837"/>
      <c r="J1555" s="1059"/>
      <c r="K1555" s="943"/>
      <c r="L1555" s="846" t="n">
        <v>8452.2</v>
      </c>
      <c r="M1555" s="846" t="n">
        <v>300</v>
      </c>
      <c r="N1555" s="846" t="n">
        <f aca="false">M1555/H1540</f>
        <v>20</v>
      </c>
      <c r="O1555" s="589" t="s">
        <v>551</v>
      </c>
      <c r="P1555" s="1937"/>
      <c r="Q1555" s="1934"/>
      <c r="R1555" s="1935"/>
    </row>
    <row r="1556" customFormat="false" ht="14.25" hidden="false" customHeight="false" outlineLevel="0" collapsed="false">
      <c r="A1556" s="903" t="n">
        <v>443</v>
      </c>
      <c r="B1556" s="903" t="n">
        <v>2024</v>
      </c>
      <c r="C1556" s="1974" t="n">
        <v>45931</v>
      </c>
      <c r="D1556" s="904" t="s">
        <v>13</v>
      </c>
      <c r="E1556" s="1351" t="s">
        <v>1651</v>
      </c>
      <c r="F1556" s="904" t="s">
        <v>3364</v>
      </c>
      <c r="G1556" s="1940" t="n">
        <v>22</v>
      </c>
      <c r="H1556" s="942" t="n">
        <v>15</v>
      </c>
      <c r="I1556" s="891" t="n">
        <f aca="false">G1556*H1556</f>
        <v>330</v>
      </c>
      <c r="J1556" s="1406" t="n">
        <v>46.9566</v>
      </c>
      <c r="K1556" s="948" t="n">
        <f aca="false">I1556*J1556</f>
        <v>15495.678</v>
      </c>
      <c r="L1556" s="891" t="n">
        <v>15495.678</v>
      </c>
      <c r="M1556" s="891" t="n">
        <v>330</v>
      </c>
      <c r="N1556" s="891" t="n">
        <f aca="false">M1556/H1556</f>
        <v>22</v>
      </c>
      <c r="O1556" s="942" t="s">
        <v>530</v>
      </c>
      <c r="P1556" s="1944" t="n">
        <f aca="false">K1556-L1556</f>
        <v>0</v>
      </c>
      <c r="Q1556" s="1946" t="n">
        <f aca="false">I1556-M1556</f>
        <v>0</v>
      </c>
      <c r="R1556" s="1946" t="n">
        <f aca="false">G1556-N1556</f>
        <v>0</v>
      </c>
    </row>
    <row r="1557" customFormat="false" ht="14.25" hidden="false" customHeight="false" outlineLevel="0" collapsed="false">
      <c r="A1557" s="882" t="n">
        <v>463</v>
      </c>
      <c r="B1557" s="830" t="n">
        <v>2024</v>
      </c>
      <c r="C1557" s="1965" t="n">
        <v>45931</v>
      </c>
      <c r="D1557" s="831" t="s">
        <v>13</v>
      </c>
      <c r="E1557" s="1365" t="s">
        <v>2130</v>
      </c>
      <c r="F1557" s="832" t="s">
        <v>3364</v>
      </c>
      <c r="G1557" s="1931" t="n">
        <v>333</v>
      </c>
      <c r="H1557" s="837" t="n">
        <v>25</v>
      </c>
      <c r="I1557" s="837" t="n">
        <f aca="false">G1557*H1557</f>
        <v>8325</v>
      </c>
      <c r="J1557" s="1059" t="n">
        <v>79.5652</v>
      </c>
      <c r="K1557" s="943" t="n">
        <f aca="false">I1557*J1557</f>
        <v>662380.29</v>
      </c>
      <c r="L1557" s="840" t="n">
        <v>47739.12</v>
      </c>
      <c r="M1557" s="840" t="n">
        <v>600</v>
      </c>
      <c r="N1557" s="886" t="n">
        <f aca="false">M1557/H1557</f>
        <v>24</v>
      </c>
      <c r="O1557" s="1114" t="s">
        <v>695</v>
      </c>
      <c r="P1557" s="1934" t="n">
        <f aca="false">K1557-L1557-L1559-L1558</f>
        <v>4.36557456851006E-011</v>
      </c>
      <c r="Q1557" s="1934" t="n">
        <f aca="false">I1557-M1557-M1559-M1558</f>
        <v>0</v>
      </c>
      <c r="R1557" s="1935" t="n">
        <f aca="false">G1557-N1557-N1559-N1558</f>
        <v>0</v>
      </c>
    </row>
    <row r="1558" customFormat="false" ht="14.25" hidden="false" customHeight="false" outlineLevel="0" collapsed="false">
      <c r="A1558" s="882"/>
      <c r="B1558" s="830"/>
      <c r="C1558" s="1965"/>
      <c r="D1558" s="860" t="s">
        <v>13</v>
      </c>
      <c r="E1558" s="1480" t="s">
        <v>2130</v>
      </c>
      <c r="F1558" s="832"/>
      <c r="G1558" s="1931"/>
      <c r="H1558" s="837"/>
      <c r="I1558" s="837"/>
      <c r="J1558" s="1059"/>
      <c r="K1558" s="943"/>
      <c r="L1558" s="866" t="n">
        <v>17902.17</v>
      </c>
      <c r="M1558" s="866" t="n">
        <v>225</v>
      </c>
      <c r="N1558" s="866" t="n">
        <f aca="false">M1558/H1557</f>
        <v>9</v>
      </c>
      <c r="O1558" s="543" t="s">
        <v>699</v>
      </c>
      <c r="P1558" s="1934"/>
      <c r="Q1558" s="1934"/>
      <c r="R1558" s="1935"/>
    </row>
    <row r="1559" customFormat="false" ht="14.25" hidden="false" customHeight="false" outlineLevel="0" collapsed="false">
      <c r="A1559" s="882"/>
      <c r="B1559" s="830"/>
      <c r="C1559" s="1965"/>
      <c r="D1559" s="887" t="s">
        <v>13</v>
      </c>
      <c r="E1559" s="1501" t="s">
        <v>2130</v>
      </c>
      <c r="F1559" s="832"/>
      <c r="G1559" s="1931"/>
      <c r="H1559" s="837"/>
      <c r="I1559" s="837"/>
      <c r="J1559" s="1059"/>
      <c r="K1559" s="943"/>
      <c r="L1559" s="890" t="n">
        <v>596739</v>
      </c>
      <c r="M1559" s="890" t="n">
        <v>7500</v>
      </c>
      <c r="N1559" s="890" t="n">
        <f aca="false">M1559/H1557</f>
        <v>300</v>
      </c>
      <c r="O1559" s="1067" t="s">
        <v>697</v>
      </c>
      <c r="P1559" s="1934"/>
      <c r="Q1559" s="1934"/>
      <c r="R1559" s="1935"/>
    </row>
    <row r="1560" customFormat="false" ht="14.25" hidden="false" customHeight="false" outlineLevel="0" collapsed="false">
      <c r="A1560" s="903" t="n">
        <v>466</v>
      </c>
      <c r="B1560" s="903" t="n">
        <v>2024</v>
      </c>
      <c r="C1560" s="1974" t="n">
        <v>45931</v>
      </c>
      <c r="D1560" s="904" t="s">
        <v>13</v>
      </c>
      <c r="E1560" s="1351" t="s">
        <v>2130</v>
      </c>
      <c r="F1560" s="904" t="s">
        <v>3364</v>
      </c>
      <c r="G1560" s="1940" t="n">
        <v>36</v>
      </c>
      <c r="H1560" s="942" t="n">
        <v>25</v>
      </c>
      <c r="I1560" s="891" t="n">
        <f aca="false">G1560*H1560</f>
        <v>900</v>
      </c>
      <c r="J1560" s="1406" t="n">
        <v>20.5141</v>
      </c>
      <c r="K1560" s="948" t="n">
        <f aca="false">I1560*J1560</f>
        <v>18462.69</v>
      </c>
      <c r="L1560" s="891" t="n">
        <v>18462.69</v>
      </c>
      <c r="M1560" s="891" t="n">
        <v>900</v>
      </c>
      <c r="N1560" s="891" t="n">
        <f aca="false">M1560/H1560</f>
        <v>36</v>
      </c>
      <c r="O1560" s="942" t="s">
        <v>618</v>
      </c>
      <c r="P1560" s="1944" t="n">
        <f aca="false">K1560-L1560</f>
        <v>0</v>
      </c>
      <c r="Q1560" s="1946" t="n">
        <f aca="false">I1560-M1560</f>
        <v>0</v>
      </c>
      <c r="R1560" s="1946" t="n">
        <f aca="false">G1560-N1560</f>
        <v>0</v>
      </c>
    </row>
    <row r="1561" customFormat="false" ht="14.25" hidden="false" customHeight="false" outlineLevel="0" collapsed="false">
      <c r="A1561" s="829" t="n">
        <v>467</v>
      </c>
      <c r="B1561" s="830" t="n">
        <v>2024</v>
      </c>
      <c r="C1561" s="1965" t="n">
        <v>45931</v>
      </c>
      <c r="D1561" s="831" t="s">
        <v>13</v>
      </c>
      <c r="E1561" s="1365" t="s">
        <v>2131</v>
      </c>
      <c r="F1561" s="832" t="s">
        <v>3364</v>
      </c>
      <c r="G1561" s="1931" t="n">
        <v>73</v>
      </c>
      <c r="H1561" s="837" t="n">
        <v>25</v>
      </c>
      <c r="I1561" s="837" t="n">
        <f aca="false">G1561*H1561</f>
        <v>1825</v>
      </c>
      <c r="J1561" s="1059" t="n">
        <v>61.8253</v>
      </c>
      <c r="K1561" s="943" t="n">
        <f aca="false">I1561*J1561</f>
        <v>112831.1725</v>
      </c>
      <c r="L1561" s="840" t="n">
        <v>43277.71</v>
      </c>
      <c r="M1561" s="840" t="n">
        <v>700</v>
      </c>
      <c r="N1561" s="840" t="n">
        <f aca="false">M1561/H1561</f>
        <v>28</v>
      </c>
      <c r="O1561" s="1114" t="s">
        <v>404</v>
      </c>
      <c r="P1561" s="1934" t="n">
        <f aca="false">K1561-L1561-L1562</f>
        <v>-0.00050000000919681</v>
      </c>
      <c r="Q1561" s="1934" t="n">
        <f aca="false">I1561-M1561-M1562</f>
        <v>0</v>
      </c>
      <c r="R1561" s="1935" t="n">
        <f aca="false">G1561-N1561-N1562</f>
        <v>0</v>
      </c>
    </row>
    <row r="1562" customFormat="false" ht="14.25" hidden="false" customHeight="false" outlineLevel="0" collapsed="false">
      <c r="A1562" s="829"/>
      <c r="B1562" s="830"/>
      <c r="C1562" s="1965"/>
      <c r="D1562" s="843" t="s">
        <v>13</v>
      </c>
      <c r="E1562" s="1357" t="s">
        <v>2131</v>
      </c>
      <c r="F1562" s="832"/>
      <c r="G1562" s="1931"/>
      <c r="H1562" s="837"/>
      <c r="I1562" s="837"/>
      <c r="J1562" s="1059"/>
      <c r="K1562" s="943"/>
      <c r="L1562" s="846" t="n">
        <v>69553.463</v>
      </c>
      <c r="M1562" s="846" t="n">
        <v>1125</v>
      </c>
      <c r="N1562" s="846" t="n">
        <f aca="false">M1562/H1561</f>
        <v>45</v>
      </c>
      <c r="O1562" s="589" t="s">
        <v>3499</v>
      </c>
      <c r="P1562" s="1934"/>
      <c r="Q1562" s="1934"/>
      <c r="R1562" s="1935"/>
    </row>
    <row r="1563" customFormat="false" ht="14.25" hidden="false" customHeight="false" outlineLevel="0" collapsed="false">
      <c r="A1563" s="1087" t="n">
        <v>469</v>
      </c>
      <c r="B1563" s="1072" t="n">
        <v>2024</v>
      </c>
      <c r="C1563" s="1980" t="n">
        <v>45931</v>
      </c>
      <c r="D1563" s="848" t="s">
        <v>13</v>
      </c>
      <c r="E1563" s="1479" t="s">
        <v>1651</v>
      </c>
      <c r="F1563" s="887" t="s">
        <v>3375</v>
      </c>
      <c r="G1563" s="1950" t="n">
        <v>100</v>
      </c>
      <c r="H1563" s="1067" t="n">
        <v>15</v>
      </c>
      <c r="I1563" s="1067" t="n">
        <f aca="false">G1563*H1563</f>
        <v>1500</v>
      </c>
      <c r="J1563" s="1063" t="n">
        <v>27.7501</v>
      </c>
      <c r="K1563" s="1452" t="n">
        <f aca="false">I1563*J1563</f>
        <v>41625.15</v>
      </c>
      <c r="L1563" s="854" t="n">
        <v>416.2515</v>
      </c>
      <c r="M1563" s="854" t="n">
        <v>15</v>
      </c>
      <c r="N1563" s="891" t="n">
        <f aca="false">M1563/H1563</f>
        <v>1</v>
      </c>
      <c r="O1563" s="537" t="s">
        <v>3497</v>
      </c>
      <c r="P1563" s="1981" t="n">
        <f aca="false">K1563-L1563-L1565-L1564</f>
        <v>0</v>
      </c>
      <c r="Q1563" s="1953" t="n">
        <f aca="false">I1563-M1563-M1565-M1564</f>
        <v>0</v>
      </c>
      <c r="R1563" s="1954" t="n">
        <f aca="false">G1563-N1563-N1565-N1564</f>
        <v>0</v>
      </c>
    </row>
    <row r="1564" customFormat="false" ht="14.25" hidden="false" customHeight="false" outlineLevel="0" collapsed="false">
      <c r="A1564" s="1087"/>
      <c r="B1564" s="1072"/>
      <c r="C1564" s="1980"/>
      <c r="D1564" s="904" t="s">
        <v>13</v>
      </c>
      <c r="E1564" s="1351" t="s">
        <v>1651</v>
      </c>
      <c r="F1564" s="887"/>
      <c r="G1564" s="1950"/>
      <c r="H1564" s="1067"/>
      <c r="I1564" s="1067"/>
      <c r="J1564" s="1063"/>
      <c r="K1564" s="1452"/>
      <c r="L1564" s="891" t="n">
        <v>3330.012</v>
      </c>
      <c r="M1564" s="891" t="n">
        <v>120</v>
      </c>
      <c r="N1564" s="866" t="n">
        <f aca="false">M1564/H1563</f>
        <v>8</v>
      </c>
      <c r="O1564" s="942" t="s">
        <v>749</v>
      </c>
      <c r="P1564" s="1981"/>
      <c r="Q1564" s="1953"/>
      <c r="R1564" s="1954"/>
    </row>
    <row r="1565" customFormat="false" ht="14.25" hidden="false" customHeight="false" outlineLevel="0" collapsed="false">
      <c r="A1565" s="1087"/>
      <c r="B1565" s="1072"/>
      <c r="C1565" s="1980"/>
      <c r="D1565" s="843" t="s">
        <v>13</v>
      </c>
      <c r="E1565" s="1357" t="s">
        <v>1651</v>
      </c>
      <c r="F1565" s="887"/>
      <c r="G1565" s="1950"/>
      <c r="H1565" s="1067"/>
      <c r="I1565" s="1067"/>
      <c r="J1565" s="1063"/>
      <c r="K1565" s="1452"/>
      <c r="L1565" s="846" t="n">
        <v>37878.8865</v>
      </c>
      <c r="M1565" s="846" t="n">
        <v>1365</v>
      </c>
      <c r="N1565" s="846" t="n">
        <f aca="false">M1565/H1563</f>
        <v>91</v>
      </c>
      <c r="O1565" s="589" t="s">
        <v>697</v>
      </c>
      <c r="P1565" s="1981"/>
      <c r="Q1565" s="1953"/>
      <c r="R1565" s="1954"/>
    </row>
    <row r="1566" customFormat="false" ht="14.25" hidden="false" customHeight="false" outlineLevel="0" collapsed="false">
      <c r="A1566" s="1344" t="n">
        <v>470</v>
      </c>
      <c r="B1566" s="903" t="n">
        <v>2024</v>
      </c>
      <c r="C1566" s="1974" t="n">
        <v>45931</v>
      </c>
      <c r="D1566" s="904" t="s">
        <v>13</v>
      </c>
      <c r="E1566" s="1351" t="s">
        <v>1651</v>
      </c>
      <c r="F1566" s="904" t="s">
        <v>3364</v>
      </c>
      <c r="G1566" s="1940" t="n">
        <v>666</v>
      </c>
      <c r="H1566" s="942" t="n">
        <v>15</v>
      </c>
      <c r="I1566" s="942" t="n">
        <f aca="false">G1566*H1566</f>
        <v>9990</v>
      </c>
      <c r="J1566" s="1406" t="n">
        <v>27.7501</v>
      </c>
      <c r="K1566" s="948" t="n">
        <f aca="false">I1566*J1566</f>
        <v>277223.499</v>
      </c>
      <c r="L1566" s="891" t="n">
        <v>149018.037</v>
      </c>
      <c r="M1566" s="891" t="n">
        <v>5370</v>
      </c>
      <c r="N1566" s="891" t="n">
        <f aca="false">M1566/H1566</f>
        <v>358</v>
      </c>
      <c r="O1566" s="942" t="s">
        <v>404</v>
      </c>
      <c r="P1566" s="2004" t="n">
        <f aca="false">K1566-L1566-L1568-L1567</f>
        <v>0</v>
      </c>
      <c r="Q1566" s="2000" t="n">
        <f aca="false">I1566-M1566-M1568-M1567</f>
        <v>0</v>
      </c>
      <c r="R1566" s="2005" t="n">
        <f aca="false">G1566-N1566-N1568-N1567</f>
        <v>0</v>
      </c>
    </row>
    <row r="1567" customFormat="false" ht="14.25" hidden="false" customHeight="false" outlineLevel="0" collapsed="false">
      <c r="A1567" s="1344"/>
      <c r="B1567" s="903"/>
      <c r="C1567" s="1974"/>
      <c r="D1567" s="860" t="s">
        <v>13</v>
      </c>
      <c r="E1567" s="1480" t="s">
        <v>1651</v>
      </c>
      <c r="F1567" s="904"/>
      <c r="G1567" s="1940"/>
      <c r="H1567" s="942"/>
      <c r="I1567" s="942"/>
      <c r="J1567" s="1406"/>
      <c r="K1567" s="948"/>
      <c r="L1567" s="866" t="n">
        <v>44955.162</v>
      </c>
      <c r="M1567" s="866" t="n">
        <v>1620</v>
      </c>
      <c r="N1567" s="866" t="n">
        <f aca="false">M1567/H1566</f>
        <v>108</v>
      </c>
      <c r="O1567" s="543" t="s">
        <v>582</v>
      </c>
      <c r="P1567" s="2004"/>
      <c r="Q1567" s="2000"/>
      <c r="R1567" s="2005"/>
    </row>
    <row r="1568" customFormat="false" ht="14.25" hidden="false" customHeight="false" outlineLevel="0" collapsed="false">
      <c r="A1568" s="1344"/>
      <c r="B1568" s="903"/>
      <c r="C1568" s="1974"/>
      <c r="D1568" s="871" t="s">
        <v>13</v>
      </c>
      <c r="E1568" s="1478" t="s">
        <v>1651</v>
      </c>
      <c r="F1568" s="904"/>
      <c r="G1568" s="1940"/>
      <c r="H1568" s="942"/>
      <c r="I1568" s="942"/>
      <c r="J1568" s="1406"/>
      <c r="K1568" s="948"/>
      <c r="L1568" s="877" t="n">
        <v>83250.3</v>
      </c>
      <c r="M1568" s="877" t="n">
        <v>3000</v>
      </c>
      <c r="N1568" s="877" t="n">
        <f aca="false">M1568/H1566</f>
        <v>200</v>
      </c>
      <c r="O1568" s="553" t="s">
        <v>3503</v>
      </c>
      <c r="P1568" s="2004"/>
      <c r="Q1568" s="2000"/>
      <c r="R1568" s="2005"/>
    </row>
    <row r="1569" customFormat="false" ht="14.25" hidden="false" customHeight="false" outlineLevel="0" collapsed="false">
      <c r="A1569" s="1027" t="n">
        <v>471</v>
      </c>
      <c r="B1569" s="1546" t="n">
        <v>2024</v>
      </c>
      <c r="C1569" s="1975" t="n">
        <v>45931</v>
      </c>
      <c r="D1569" s="831" t="s">
        <v>13</v>
      </c>
      <c r="E1569" s="1365" t="s">
        <v>1651</v>
      </c>
      <c r="F1569" s="1328" t="s">
        <v>3364</v>
      </c>
      <c r="G1569" s="1976" t="n">
        <v>666</v>
      </c>
      <c r="H1569" s="1036" t="n">
        <v>15</v>
      </c>
      <c r="I1569" s="1036" t="n">
        <f aca="false">G1569*H1569</f>
        <v>9990</v>
      </c>
      <c r="J1569" s="1557" t="n">
        <v>27.7501</v>
      </c>
      <c r="K1569" s="1547" t="n">
        <f aca="false">I1569*J1569</f>
        <v>277223.499</v>
      </c>
      <c r="L1569" s="840" t="n">
        <v>64102.731</v>
      </c>
      <c r="M1569" s="840" t="n">
        <v>2310</v>
      </c>
      <c r="N1569" s="840" t="n">
        <f aca="false">M1569/H1569</f>
        <v>154</v>
      </c>
      <c r="O1569" s="1114" t="s">
        <v>404</v>
      </c>
      <c r="P1569" s="1977" t="n">
        <f aca="false">K1569-L1569-L1570</f>
        <v>0</v>
      </c>
      <c r="Q1569" s="1978" t="n">
        <f aca="false">I1569-M1569-M1570</f>
        <v>0</v>
      </c>
      <c r="R1569" s="1979" t="n">
        <f aca="false">G1569-N1569-N1570</f>
        <v>0</v>
      </c>
    </row>
    <row r="1570" customFormat="false" ht="14.25" hidden="false" customHeight="false" outlineLevel="0" collapsed="false">
      <c r="A1570" s="1027"/>
      <c r="B1570" s="1546"/>
      <c r="C1570" s="1975"/>
      <c r="D1570" s="871" t="s">
        <v>13</v>
      </c>
      <c r="E1570" s="1478" t="s">
        <v>1651</v>
      </c>
      <c r="F1570" s="1328"/>
      <c r="G1570" s="1976"/>
      <c r="H1570" s="1036"/>
      <c r="I1570" s="1036"/>
      <c r="J1570" s="1557"/>
      <c r="K1570" s="1547"/>
      <c r="L1570" s="877" t="n">
        <v>213120.768</v>
      </c>
      <c r="M1570" s="877" t="n">
        <v>7680</v>
      </c>
      <c r="N1570" s="877" t="n">
        <f aca="false">M1570/H1569</f>
        <v>512</v>
      </c>
      <c r="O1570" s="553" t="s">
        <v>567</v>
      </c>
      <c r="P1570" s="1977"/>
      <c r="Q1570" s="1978"/>
      <c r="R1570" s="1979"/>
    </row>
    <row r="1571" customFormat="false" ht="14.25" hidden="false" customHeight="false" outlineLevel="0" collapsed="false">
      <c r="A1571" s="1465" t="n">
        <v>472</v>
      </c>
      <c r="B1571" s="1028" t="n">
        <v>2024</v>
      </c>
      <c r="C1571" s="1975" t="n">
        <v>45931</v>
      </c>
      <c r="D1571" s="831" t="s">
        <v>13</v>
      </c>
      <c r="E1571" s="1365" t="s">
        <v>1651</v>
      </c>
      <c r="F1571" s="1328" t="s">
        <v>3364</v>
      </c>
      <c r="G1571" s="1035" t="n">
        <v>511</v>
      </c>
      <c r="H1571" s="1036" t="n">
        <v>15</v>
      </c>
      <c r="I1571" s="1036" t="n">
        <f aca="false">G1571*H1571</f>
        <v>7665</v>
      </c>
      <c r="J1571" s="1557" t="n">
        <v>28.0216</v>
      </c>
      <c r="K1571" s="1547" t="n">
        <f aca="false">I1571*J1571</f>
        <v>214785.564</v>
      </c>
      <c r="L1571" s="886" t="n">
        <v>42032.4</v>
      </c>
      <c r="M1571" s="886" t="n">
        <v>1500</v>
      </c>
      <c r="N1571" s="886" t="n">
        <f aca="false">M1571/H1571</f>
        <v>100</v>
      </c>
      <c r="O1571" s="1036" t="s">
        <v>576</v>
      </c>
      <c r="P1571" s="2051" t="n">
        <f aca="false">K1571-L1571-L1577-L1576-L1572-L1575-L1573-L1574</f>
        <v>1.77351466845721E-011</v>
      </c>
      <c r="Q1571" s="2051" t="n">
        <f aca="false">I1571-M1571-M1577-M1576-M1572-M1575-M1573-M1574</f>
        <v>0</v>
      </c>
      <c r="R1571" s="2052" t="n">
        <f aca="false">G1571-N1571-N1577-N1576-N1572-N1575-N1573-N1574</f>
        <v>0</v>
      </c>
    </row>
    <row r="1572" customFormat="false" ht="14.25" hidden="false" customHeight="false" outlineLevel="0" collapsed="false">
      <c r="A1572" s="1465"/>
      <c r="B1572" s="1028"/>
      <c r="C1572" s="1975"/>
      <c r="D1572" s="860" t="s">
        <v>13</v>
      </c>
      <c r="E1572" s="1480" t="s">
        <v>1651</v>
      </c>
      <c r="F1572" s="1328"/>
      <c r="G1572" s="1035"/>
      <c r="H1572" s="1036"/>
      <c r="I1572" s="1036"/>
      <c r="J1572" s="1557"/>
      <c r="K1572" s="1547"/>
      <c r="L1572" s="866" t="n">
        <v>21436.524</v>
      </c>
      <c r="M1572" s="866" t="n">
        <v>765</v>
      </c>
      <c r="N1572" s="866" t="n">
        <f aca="false">M1572/H1571</f>
        <v>51</v>
      </c>
      <c r="O1572" s="543" t="s">
        <v>604</v>
      </c>
      <c r="P1572" s="2051"/>
      <c r="Q1572" s="2051"/>
      <c r="R1572" s="2052"/>
    </row>
    <row r="1573" customFormat="false" ht="14.25" hidden="false" customHeight="false" outlineLevel="0" collapsed="false">
      <c r="A1573" s="1465"/>
      <c r="B1573" s="1028"/>
      <c r="C1573" s="1975"/>
      <c r="D1573" s="860" t="s">
        <v>13</v>
      </c>
      <c r="E1573" s="1480" t="s">
        <v>1651</v>
      </c>
      <c r="F1573" s="1328"/>
      <c r="G1573" s="1035"/>
      <c r="H1573" s="1036"/>
      <c r="I1573" s="1036"/>
      <c r="J1573" s="1557"/>
      <c r="K1573" s="1547"/>
      <c r="L1573" s="866" t="n">
        <v>1260.972</v>
      </c>
      <c r="M1573" s="866" t="n">
        <v>45</v>
      </c>
      <c r="N1573" s="866" t="n">
        <f aca="false">M1573/H1571</f>
        <v>3</v>
      </c>
      <c r="O1573" s="543" t="s">
        <v>621</v>
      </c>
      <c r="P1573" s="2051"/>
      <c r="Q1573" s="2051"/>
      <c r="R1573" s="2052"/>
    </row>
    <row r="1574" customFormat="false" ht="14.25" hidden="false" customHeight="false" outlineLevel="0" collapsed="false">
      <c r="A1574" s="1465"/>
      <c r="B1574" s="1028"/>
      <c r="C1574" s="1975"/>
      <c r="D1574" s="860" t="s">
        <v>13</v>
      </c>
      <c r="E1574" s="1480" t="s">
        <v>1651</v>
      </c>
      <c r="F1574" s="1328"/>
      <c r="G1574" s="1035"/>
      <c r="H1574" s="1036"/>
      <c r="I1574" s="1036"/>
      <c r="J1574" s="1557"/>
      <c r="K1574" s="1547"/>
      <c r="L1574" s="866" t="n">
        <v>1260.972</v>
      </c>
      <c r="M1574" s="866" t="n">
        <v>45</v>
      </c>
      <c r="N1574" s="866" t="n">
        <f aca="false">M1574/H1571</f>
        <v>3</v>
      </c>
      <c r="O1574" s="543" t="s">
        <v>3411</v>
      </c>
      <c r="P1574" s="2051"/>
      <c r="Q1574" s="2051"/>
      <c r="R1574" s="2052"/>
    </row>
    <row r="1575" customFormat="false" ht="14.25" hidden="false" customHeight="false" outlineLevel="0" collapsed="false">
      <c r="A1575" s="1465"/>
      <c r="B1575" s="1028"/>
      <c r="C1575" s="1975"/>
      <c r="D1575" s="860" t="s">
        <v>13</v>
      </c>
      <c r="E1575" s="1480" t="s">
        <v>1651</v>
      </c>
      <c r="F1575" s="1328"/>
      <c r="G1575" s="1035"/>
      <c r="H1575" s="1036"/>
      <c r="I1575" s="1036"/>
      <c r="J1575" s="1557"/>
      <c r="K1575" s="1547"/>
      <c r="L1575" s="866" t="n">
        <v>140388.216</v>
      </c>
      <c r="M1575" s="866" t="n">
        <v>5010</v>
      </c>
      <c r="N1575" s="866" t="n">
        <f aca="false">M1575/H1571</f>
        <v>334</v>
      </c>
      <c r="O1575" s="543" t="s">
        <v>618</v>
      </c>
      <c r="P1575" s="2051"/>
      <c r="Q1575" s="2051"/>
      <c r="R1575" s="2052"/>
    </row>
    <row r="1576" customFormat="false" ht="14.25" hidden="false" customHeight="false" outlineLevel="0" collapsed="false">
      <c r="A1576" s="1465"/>
      <c r="B1576" s="1028"/>
      <c r="C1576" s="1975"/>
      <c r="D1576" s="860" t="s">
        <v>13</v>
      </c>
      <c r="E1576" s="1480" t="s">
        <v>1651</v>
      </c>
      <c r="F1576" s="1328"/>
      <c r="G1576" s="1035"/>
      <c r="H1576" s="1036"/>
      <c r="I1576" s="1036"/>
      <c r="J1576" s="1557"/>
      <c r="K1576" s="1547"/>
      <c r="L1576" s="866" t="n">
        <v>4203.24</v>
      </c>
      <c r="M1576" s="866" t="n">
        <v>150</v>
      </c>
      <c r="N1576" s="866" t="n">
        <f aca="false">M1576/H1571</f>
        <v>10</v>
      </c>
      <c r="O1576" s="543" t="s">
        <v>594</v>
      </c>
      <c r="P1576" s="2051"/>
      <c r="Q1576" s="2051"/>
      <c r="R1576" s="2052"/>
    </row>
    <row r="1577" customFormat="false" ht="14.25" hidden="false" customHeight="false" outlineLevel="0" collapsed="false">
      <c r="A1577" s="1465"/>
      <c r="B1577" s="1028"/>
      <c r="C1577" s="1975"/>
      <c r="D1577" s="871" t="s">
        <v>13</v>
      </c>
      <c r="E1577" s="1478" t="s">
        <v>1651</v>
      </c>
      <c r="F1577" s="1328"/>
      <c r="G1577" s="1035"/>
      <c r="H1577" s="1036"/>
      <c r="I1577" s="1036"/>
      <c r="J1577" s="1557"/>
      <c r="K1577" s="1547"/>
      <c r="L1577" s="877" t="n">
        <v>4203.24</v>
      </c>
      <c r="M1577" s="877" t="n">
        <v>150</v>
      </c>
      <c r="N1577" s="877" t="n">
        <f aca="false">M1577/H1571</f>
        <v>10</v>
      </c>
      <c r="O1577" s="553" t="s">
        <v>594</v>
      </c>
      <c r="P1577" s="2051"/>
      <c r="Q1577" s="2051"/>
      <c r="R1577" s="2052"/>
    </row>
    <row r="1578" customFormat="false" ht="14.25" hidden="false" customHeight="false" outlineLevel="0" collapsed="false">
      <c r="A1578" s="1465" t="n">
        <v>494</v>
      </c>
      <c r="B1578" s="1546" t="n">
        <v>2024</v>
      </c>
      <c r="C1578" s="1975" t="n">
        <v>45931</v>
      </c>
      <c r="D1578" s="831" t="s">
        <v>13</v>
      </c>
      <c r="E1578" s="1365" t="s">
        <v>1652</v>
      </c>
      <c r="F1578" s="1328" t="s">
        <v>3364</v>
      </c>
      <c r="G1578" s="1976" t="n">
        <v>666</v>
      </c>
      <c r="H1578" s="1036" t="n">
        <v>15</v>
      </c>
      <c r="I1578" s="1036" t="n">
        <f aca="false">G1578*H1578</f>
        <v>9990</v>
      </c>
      <c r="J1578" s="1557" t="n">
        <v>35.0961</v>
      </c>
      <c r="K1578" s="1547" t="n">
        <f aca="false">I1578*J1578</f>
        <v>350610.039</v>
      </c>
      <c r="L1578" s="886" t="n">
        <v>14213.9205</v>
      </c>
      <c r="M1578" s="886" t="n">
        <v>405</v>
      </c>
      <c r="N1578" s="886" t="n">
        <f aca="false">M1578/H1578</f>
        <v>27</v>
      </c>
      <c r="O1578" s="1036" t="s">
        <v>631</v>
      </c>
      <c r="P1578" s="1978" t="n">
        <f aca="false">K1578-L1578-L1588-L1587-L1579-L1580-L1586-L1581-L1582-L1585-L1584-L1583</f>
        <v>5.00222085975111E-012</v>
      </c>
      <c r="Q1578" s="1978" t="n">
        <f aca="false">I1578-M1578-M1588-M1587-M1579-M1580-M1586-M1581-M1582-M1585-M1584-M1583</f>
        <v>0</v>
      </c>
      <c r="R1578" s="1979" t="n">
        <f aca="false">G1578-N1578-N1588-N1587-N1579-N1580-N1586-N1581-N1582-N1585-N1584-N1583</f>
        <v>0</v>
      </c>
    </row>
    <row r="1579" customFormat="false" ht="14.25" hidden="false" customHeight="false" outlineLevel="0" collapsed="false">
      <c r="A1579" s="1465"/>
      <c r="B1579" s="1546"/>
      <c r="C1579" s="1975"/>
      <c r="D1579" s="860" t="s">
        <v>13</v>
      </c>
      <c r="E1579" s="1480" t="s">
        <v>1652</v>
      </c>
      <c r="F1579" s="1328"/>
      <c r="G1579" s="1976"/>
      <c r="H1579" s="1036"/>
      <c r="I1579" s="1036"/>
      <c r="J1579" s="1557"/>
      <c r="K1579" s="1547"/>
      <c r="L1579" s="866" t="n">
        <v>526.4415</v>
      </c>
      <c r="M1579" s="866" t="n">
        <v>15</v>
      </c>
      <c r="N1579" s="866" t="n">
        <f aca="false">M1579/H1578</f>
        <v>1</v>
      </c>
      <c r="O1579" s="543" t="s">
        <v>704</v>
      </c>
      <c r="P1579" s="1978"/>
      <c r="Q1579" s="1978"/>
      <c r="R1579" s="1979"/>
    </row>
    <row r="1580" customFormat="false" ht="14.25" hidden="false" customHeight="false" outlineLevel="0" collapsed="false">
      <c r="A1580" s="1465"/>
      <c r="B1580" s="1546"/>
      <c r="C1580" s="1975"/>
      <c r="D1580" s="860" t="s">
        <v>13</v>
      </c>
      <c r="E1580" s="1480" t="s">
        <v>1652</v>
      </c>
      <c r="F1580" s="1328"/>
      <c r="G1580" s="1976"/>
      <c r="H1580" s="1036"/>
      <c r="I1580" s="1036"/>
      <c r="J1580" s="1557"/>
      <c r="K1580" s="1547"/>
      <c r="L1580" s="866" t="n">
        <v>3685.0905</v>
      </c>
      <c r="M1580" s="866" t="n">
        <v>105</v>
      </c>
      <c r="N1580" s="866" t="n">
        <f aca="false">M1580/H1578</f>
        <v>7</v>
      </c>
      <c r="O1580" s="543" t="s">
        <v>744</v>
      </c>
      <c r="P1580" s="1978"/>
      <c r="Q1580" s="1978"/>
      <c r="R1580" s="1979"/>
    </row>
    <row r="1581" customFormat="false" ht="14.25" hidden="false" customHeight="false" outlineLevel="0" collapsed="false">
      <c r="A1581" s="1465"/>
      <c r="B1581" s="1546"/>
      <c r="C1581" s="1975"/>
      <c r="D1581" s="860" t="s">
        <v>13</v>
      </c>
      <c r="E1581" s="1480" t="s">
        <v>1652</v>
      </c>
      <c r="F1581" s="1328"/>
      <c r="G1581" s="1976"/>
      <c r="H1581" s="1036"/>
      <c r="I1581" s="1036"/>
      <c r="J1581" s="1557"/>
      <c r="K1581" s="1547"/>
      <c r="L1581" s="866" t="n">
        <v>10528.83</v>
      </c>
      <c r="M1581" s="866" t="n">
        <v>300</v>
      </c>
      <c r="N1581" s="866" t="n">
        <f aca="false">M1581/H1578</f>
        <v>20</v>
      </c>
      <c r="O1581" s="543" t="s">
        <v>1175</v>
      </c>
      <c r="P1581" s="1978"/>
      <c r="Q1581" s="1978"/>
      <c r="R1581" s="1979"/>
    </row>
    <row r="1582" customFormat="false" ht="14.25" hidden="false" customHeight="false" outlineLevel="0" collapsed="false">
      <c r="A1582" s="1465"/>
      <c r="B1582" s="1546"/>
      <c r="C1582" s="1975"/>
      <c r="D1582" s="860" t="s">
        <v>13</v>
      </c>
      <c r="E1582" s="1480" t="s">
        <v>1652</v>
      </c>
      <c r="F1582" s="1328"/>
      <c r="G1582" s="1976"/>
      <c r="H1582" s="1036"/>
      <c r="I1582" s="1036"/>
      <c r="J1582" s="1557"/>
      <c r="K1582" s="1547"/>
      <c r="L1582" s="866" t="n">
        <v>5790.8565</v>
      </c>
      <c r="M1582" s="866" t="n">
        <v>165</v>
      </c>
      <c r="N1582" s="866" t="n">
        <f aca="false">M1582/H1578</f>
        <v>11</v>
      </c>
      <c r="O1582" s="543" t="s">
        <v>1208</v>
      </c>
      <c r="P1582" s="1978"/>
      <c r="Q1582" s="1978"/>
      <c r="R1582" s="1979"/>
    </row>
    <row r="1583" customFormat="false" ht="14.25" hidden="false" customHeight="false" outlineLevel="0" collapsed="false">
      <c r="A1583" s="1465"/>
      <c r="B1583" s="1546"/>
      <c r="C1583" s="1975"/>
      <c r="D1583" s="860" t="s">
        <v>13</v>
      </c>
      <c r="E1583" s="1480" t="s">
        <v>1652</v>
      </c>
      <c r="F1583" s="1328"/>
      <c r="G1583" s="1976"/>
      <c r="H1583" s="1036"/>
      <c r="I1583" s="1036"/>
      <c r="J1583" s="1557"/>
      <c r="K1583" s="1547"/>
      <c r="L1583" s="866" t="n">
        <v>3158.649</v>
      </c>
      <c r="M1583" s="866" t="n">
        <v>90</v>
      </c>
      <c r="N1583" s="866" t="n">
        <f aca="false">M1583/H1578</f>
        <v>6</v>
      </c>
      <c r="O1583" s="543" t="s">
        <v>1234</v>
      </c>
      <c r="P1583" s="1978"/>
      <c r="Q1583" s="1978"/>
      <c r="R1583" s="1979"/>
    </row>
    <row r="1584" customFormat="false" ht="14.25" hidden="false" customHeight="false" outlineLevel="0" collapsed="false">
      <c r="A1584" s="1465"/>
      <c r="B1584" s="1546"/>
      <c r="C1584" s="1975"/>
      <c r="D1584" s="860" t="s">
        <v>13</v>
      </c>
      <c r="E1584" s="1480" t="s">
        <v>1652</v>
      </c>
      <c r="F1584" s="1328"/>
      <c r="G1584" s="1976"/>
      <c r="H1584" s="1036"/>
      <c r="I1584" s="1036"/>
      <c r="J1584" s="1557"/>
      <c r="K1584" s="1547"/>
      <c r="L1584" s="866" t="n">
        <v>46853.2935</v>
      </c>
      <c r="M1584" s="866" t="n">
        <v>1335</v>
      </c>
      <c r="N1584" s="866" t="n">
        <f aca="false">M1584/H1578</f>
        <v>89</v>
      </c>
      <c r="O1584" s="543" t="s">
        <v>1210</v>
      </c>
      <c r="P1584" s="1978"/>
      <c r="Q1584" s="1978"/>
      <c r="R1584" s="1979"/>
    </row>
    <row r="1585" customFormat="false" ht="14.25" hidden="false" customHeight="false" outlineLevel="0" collapsed="false">
      <c r="A1585" s="1465"/>
      <c r="B1585" s="1546"/>
      <c r="C1585" s="1975"/>
      <c r="D1585" s="860" t="s">
        <v>13</v>
      </c>
      <c r="E1585" s="1480" t="s">
        <v>1652</v>
      </c>
      <c r="F1585" s="1328"/>
      <c r="G1585" s="1976"/>
      <c r="H1585" s="1036"/>
      <c r="I1585" s="1036"/>
      <c r="J1585" s="1557"/>
      <c r="K1585" s="1547"/>
      <c r="L1585" s="866" t="n">
        <v>21057.66</v>
      </c>
      <c r="M1585" s="866" t="n">
        <v>600</v>
      </c>
      <c r="N1585" s="866" t="n">
        <f aca="false">M1585/H1578</f>
        <v>40</v>
      </c>
      <c r="O1585" s="543" t="s">
        <v>3504</v>
      </c>
      <c r="P1585" s="1978"/>
      <c r="Q1585" s="1978"/>
      <c r="R1585" s="1979"/>
    </row>
    <row r="1586" customFormat="false" ht="14.25" hidden="false" customHeight="false" outlineLevel="0" collapsed="false">
      <c r="A1586" s="1465"/>
      <c r="B1586" s="1546"/>
      <c r="C1586" s="1975"/>
      <c r="D1586" s="860" t="s">
        <v>13</v>
      </c>
      <c r="E1586" s="1480" t="s">
        <v>1652</v>
      </c>
      <c r="F1586" s="1328"/>
      <c r="G1586" s="1976"/>
      <c r="H1586" s="1036"/>
      <c r="I1586" s="1036"/>
      <c r="J1586" s="1557"/>
      <c r="K1586" s="1547"/>
      <c r="L1586" s="866" t="n">
        <v>47379.735</v>
      </c>
      <c r="M1586" s="866" t="n">
        <v>1350</v>
      </c>
      <c r="N1586" s="866" t="n">
        <f aca="false">M1586/H1578</f>
        <v>90</v>
      </c>
      <c r="O1586" s="543" t="s">
        <v>797</v>
      </c>
      <c r="P1586" s="1978"/>
      <c r="Q1586" s="1978"/>
      <c r="R1586" s="1979"/>
    </row>
    <row r="1587" customFormat="false" ht="14.25" hidden="false" customHeight="false" outlineLevel="0" collapsed="false">
      <c r="A1587" s="1465"/>
      <c r="B1587" s="1546"/>
      <c r="C1587" s="1975"/>
      <c r="D1587" s="860" t="s">
        <v>13</v>
      </c>
      <c r="E1587" s="1480" t="s">
        <v>1652</v>
      </c>
      <c r="F1587" s="1328"/>
      <c r="G1587" s="1976"/>
      <c r="H1587" s="1036"/>
      <c r="I1587" s="1036"/>
      <c r="J1587" s="1557"/>
      <c r="K1587" s="1547"/>
      <c r="L1587" s="866" t="n">
        <v>105288.3</v>
      </c>
      <c r="M1587" s="866" t="n">
        <v>3000</v>
      </c>
      <c r="N1587" s="866" t="n">
        <f aca="false">M1587/H1578</f>
        <v>200</v>
      </c>
      <c r="O1587" s="543" t="s">
        <v>670</v>
      </c>
      <c r="P1587" s="1978"/>
      <c r="Q1587" s="1978"/>
      <c r="R1587" s="1979"/>
    </row>
    <row r="1588" customFormat="false" ht="14.25" hidden="false" customHeight="false" outlineLevel="0" collapsed="false">
      <c r="A1588" s="1465"/>
      <c r="B1588" s="1546"/>
      <c r="C1588" s="1975"/>
      <c r="D1588" s="871" t="s">
        <v>13</v>
      </c>
      <c r="E1588" s="1478" t="s">
        <v>1652</v>
      </c>
      <c r="F1588" s="1328"/>
      <c r="G1588" s="1976"/>
      <c r="H1588" s="1036"/>
      <c r="I1588" s="1036"/>
      <c r="J1588" s="1557"/>
      <c r="K1588" s="1547"/>
      <c r="L1588" s="877" t="n">
        <v>92127.2625</v>
      </c>
      <c r="M1588" s="877" t="n">
        <v>2625</v>
      </c>
      <c r="N1588" s="877" t="n">
        <f aca="false">M1588/H1578</f>
        <v>175</v>
      </c>
      <c r="O1588" s="553" t="s">
        <v>404</v>
      </c>
      <c r="P1588" s="1978"/>
      <c r="Q1588" s="1978"/>
      <c r="R1588" s="1979"/>
    </row>
    <row r="1589" customFormat="false" ht="14.25" hidden="false" customHeight="false" outlineLevel="0" collapsed="false">
      <c r="A1589" s="1027" t="n">
        <v>495</v>
      </c>
      <c r="B1589" s="1546" t="n">
        <v>2024</v>
      </c>
      <c r="C1589" s="1975" t="n">
        <v>45931</v>
      </c>
      <c r="D1589" s="831" t="s">
        <v>13</v>
      </c>
      <c r="E1589" s="1365" t="s">
        <v>1651</v>
      </c>
      <c r="F1589" s="1328" t="s">
        <v>3367</v>
      </c>
      <c r="G1589" s="1976" t="n">
        <v>550</v>
      </c>
      <c r="H1589" s="1036" t="n">
        <v>10</v>
      </c>
      <c r="I1589" s="1036" t="n">
        <f aca="false">G1589*H1589</f>
        <v>5500</v>
      </c>
      <c r="J1589" s="1557" t="n">
        <v>27.1611</v>
      </c>
      <c r="K1589" s="1547" t="n">
        <f aca="false">I1589*J1589</f>
        <v>149386.05</v>
      </c>
      <c r="L1589" s="886" t="n">
        <v>271.611</v>
      </c>
      <c r="M1589" s="886" t="n">
        <v>10</v>
      </c>
      <c r="N1589" s="886" t="n">
        <f aca="false">M1589/H1589</f>
        <v>1</v>
      </c>
      <c r="O1589" s="1036" t="s">
        <v>734</v>
      </c>
      <c r="P1589" s="1978" t="n">
        <f aca="false">K1589-L1589-L1594-L1593-L1590-L1591-L1592</f>
        <v>1.67119651450776E-011</v>
      </c>
      <c r="Q1589" s="1978" t="n">
        <f aca="false">I1589-M1589-M1594-M1593-M1590-M1591-M1592</f>
        <v>0</v>
      </c>
      <c r="R1589" s="1979" t="n">
        <f aca="false">G1589-N1589-N1594-N1593-N1590-N1591-N1592</f>
        <v>0</v>
      </c>
    </row>
    <row r="1590" customFormat="false" ht="14.25" hidden="false" customHeight="false" outlineLevel="0" collapsed="false">
      <c r="A1590" s="1027"/>
      <c r="B1590" s="1546"/>
      <c r="C1590" s="1975"/>
      <c r="D1590" s="860" t="s">
        <v>13</v>
      </c>
      <c r="E1590" s="1480" t="s">
        <v>1651</v>
      </c>
      <c r="F1590" s="1328"/>
      <c r="G1590" s="1976"/>
      <c r="H1590" s="1036"/>
      <c r="I1590" s="1036"/>
      <c r="J1590" s="1557"/>
      <c r="K1590" s="1547"/>
      <c r="L1590" s="866" t="n">
        <v>29877.21</v>
      </c>
      <c r="M1590" s="866" t="n">
        <v>1100</v>
      </c>
      <c r="N1590" s="866" t="n">
        <f aca="false">M1590/H1589</f>
        <v>110</v>
      </c>
      <c r="O1590" s="543" t="s">
        <v>803</v>
      </c>
      <c r="P1590" s="1978"/>
      <c r="Q1590" s="1978"/>
      <c r="R1590" s="1979"/>
    </row>
    <row r="1591" customFormat="false" ht="14.25" hidden="false" customHeight="false" outlineLevel="0" collapsed="false">
      <c r="A1591" s="1027"/>
      <c r="B1591" s="1546"/>
      <c r="C1591" s="1975"/>
      <c r="D1591" s="860" t="s">
        <v>13</v>
      </c>
      <c r="E1591" s="1480" t="s">
        <v>1651</v>
      </c>
      <c r="F1591" s="1328"/>
      <c r="G1591" s="1976"/>
      <c r="H1591" s="1036"/>
      <c r="I1591" s="1036"/>
      <c r="J1591" s="1557"/>
      <c r="K1591" s="1547"/>
      <c r="L1591" s="866" t="n">
        <v>2308.6935</v>
      </c>
      <c r="M1591" s="866" t="n">
        <v>85</v>
      </c>
      <c r="N1591" s="1018" t="n">
        <f aca="false">M1591/H1589</f>
        <v>8.5</v>
      </c>
      <c r="O1591" s="543" t="s">
        <v>1634</v>
      </c>
      <c r="P1591" s="1978"/>
      <c r="Q1591" s="1978"/>
      <c r="R1591" s="1979"/>
    </row>
    <row r="1592" customFormat="false" ht="14.25" hidden="false" customHeight="false" outlineLevel="0" collapsed="false">
      <c r="A1592" s="1027"/>
      <c r="B1592" s="1546"/>
      <c r="C1592" s="1975"/>
      <c r="D1592" s="860" t="s">
        <v>13</v>
      </c>
      <c r="E1592" s="1480" t="s">
        <v>1651</v>
      </c>
      <c r="F1592" s="1328"/>
      <c r="G1592" s="1976"/>
      <c r="H1592" s="1036"/>
      <c r="I1592" s="1036"/>
      <c r="J1592" s="1557"/>
      <c r="K1592" s="1547"/>
      <c r="L1592" s="866" t="n">
        <v>271.611</v>
      </c>
      <c r="M1592" s="866" t="n">
        <v>10</v>
      </c>
      <c r="N1592" s="866" t="n">
        <f aca="false">M1592/H1589</f>
        <v>1</v>
      </c>
      <c r="O1592" s="543" t="s">
        <v>1375</v>
      </c>
      <c r="P1592" s="1978"/>
      <c r="Q1592" s="1978"/>
      <c r="R1592" s="1979"/>
    </row>
    <row r="1593" customFormat="false" ht="14.25" hidden="false" customHeight="false" outlineLevel="0" collapsed="false">
      <c r="A1593" s="1027"/>
      <c r="B1593" s="1546"/>
      <c r="C1593" s="1975"/>
      <c r="D1593" s="860" t="s">
        <v>13</v>
      </c>
      <c r="E1593" s="1480" t="s">
        <v>1651</v>
      </c>
      <c r="F1593" s="1328"/>
      <c r="G1593" s="1976"/>
      <c r="H1593" s="1036"/>
      <c r="I1593" s="1036"/>
      <c r="J1593" s="1557"/>
      <c r="K1593" s="1547"/>
      <c r="L1593" s="866" t="n">
        <v>25667.2395</v>
      </c>
      <c r="M1593" s="866" t="n">
        <v>945</v>
      </c>
      <c r="N1593" s="866" t="n">
        <f aca="false">M1593/H1589</f>
        <v>94.5</v>
      </c>
      <c r="O1593" s="543" t="s">
        <v>904</v>
      </c>
      <c r="P1593" s="1978"/>
      <c r="Q1593" s="1978"/>
      <c r="R1593" s="1979"/>
    </row>
    <row r="1594" customFormat="false" ht="14.25" hidden="false" customHeight="false" outlineLevel="0" collapsed="false">
      <c r="A1594" s="1027"/>
      <c r="B1594" s="1546"/>
      <c r="C1594" s="1975"/>
      <c r="D1594" s="871" t="s">
        <v>13</v>
      </c>
      <c r="E1594" s="1478" t="s">
        <v>1651</v>
      </c>
      <c r="F1594" s="1328"/>
      <c r="G1594" s="1976"/>
      <c r="H1594" s="1036"/>
      <c r="I1594" s="1036"/>
      <c r="J1594" s="1557"/>
      <c r="K1594" s="1547"/>
      <c r="L1594" s="877" t="n">
        <v>90989.685</v>
      </c>
      <c r="M1594" s="877" t="n">
        <v>3350</v>
      </c>
      <c r="N1594" s="877" t="n">
        <f aca="false">M1594/H1589</f>
        <v>335</v>
      </c>
      <c r="O1594" s="553" t="s">
        <v>3505</v>
      </c>
      <c r="P1594" s="1978"/>
      <c r="Q1594" s="1978"/>
      <c r="R1594" s="1979"/>
    </row>
    <row r="1595" customFormat="false" ht="14.25" hidden="false" customHeight="false" outlineLevel="0" collapsed="false">
      <c r="A1595" s="882" t="s">
        <v>3506</v>
      </c>
      <c r="B1595" s="830" t="n">
        <v>2024</v>
      </c>
      <c r="C1595" s="1965" t="n">
        <v>45931</v>
      </c>
      <c r="D1595" s="831" t="s">
        <v>13</v>
      </c>
      <c r="E1595" s="1365" t="s">
        <v>1651</v>
      </c>
      <c r="F1595" s="832" t="s">
        <v>3375</v>
      </c>
      <c r="G1595" s="1931" t="n">
        <v>223</v>
      </c>
      <c r="H1595" s="837" t="n">
        <v>15</v>
      </c>
      <c r="I1595" s="837" t="n">
        <f aca="false">G1595*H1595</f>
        <v>3345</v>
      </c>
      <c r="J1595" s="1059" t="n">
        <v>27.2016</v>
      </c>
      <c r="K1595" s="943" t="n">
        <f aca="false">I1595*J1595</f>
        <v>90989.352</v>
      </c>
      <c r="L1595" s="886" t="n">
        <v>24481.44</v>
      </c>
      <c r="M1595" s="886" t="n">
        <v>900</v>
      </c>
      <c r="N1595" s="886" t="n">
        <f aca="false">M1595/H1595</f>
        <v>60</v>
      </c>
      <c r="O1595" s="1036" t="s">
        <v>392</v>
      </c>
      <c r="P1595" s="1937" t="n">
        <f aca="false">K1595-L1595-L1600-L1599-L1596-L1597-L1598</f>
        <v>0</v>
      </c>
      <c r="Q1595" s="1934" t="n">
        <f aca="false">I1595-M1595-M1600-M1599-M1596-M1597-M1598</f>
        <v>0</v>
      </c>
      <c r="R1595" s="2053" t="n">
        <f aca="false">G1595-N1595-N1600-N1599-N1596-N1597-N1598</f>
        <v>0</v>
      </c>
    </row>
    <row r="1596" customFormat="false" ht="14.25" hidden="false" customHeight="false" outlineLevel="0" collapsed="false">
      <c r="A1596" s="882"/>
      <c r="B1596" s="830"/>
      <c r="C1596" s="1965"/>
      <c r="D1596" s="860" t="s">
        <v>13</v>
      </c>
      <c r="E1596" s="1480" t="s">
        <v>1651</v>
      </c>
      <c r="F1596" s="832"/>
      <c r="G1596" s="1931"/>
      <c r="H1596" s="837"/>
      <c r="I1596" s="837"/>
      <c r="J1596" s="1059"/>
      <c r="K1596" s="943"/>
      <c r="L1596" s="866" t="n">
        <v>38082.24</v>
      </c>
      <c r="M1596" s="866" t="n">
        <v>1400</v>
      </c>
      <c r="N1596" s="866" t="n">
        <f aca="false">M1596/H1595</f>
        <v>93.3333333333333</v>
      </c>
      <c r="O1596" s="543" t="s">
        <v>803</v>
      </c>
      <c r="P1596" s="1937"/>
      <c r="Q1596" s="1934"/>
      <c r="R1596" s="2053"/>
    </row>
    <row r="1597" customFormat="false" ht="14.25" hidden="false" customHeight="false" outlineLevel="0" collapsed="false">
      <c r="A1597" s="882"/>
      <c r="B1597" s="830"/>
      <c r="C1597" s="1965"/>
      <c r="D1597" s="860" t="s">
        <v>13</v>
      </c>
      <c r="E1597" s="1480" t="s">
        <v>1651</v>
      </c>
      <c r="F1597" s="832"/>
      <c r="G1597" s="1931"/>
      <c r="H1597" s="837"/>
      <c r="I1597" s="837"/>
      <c r="J1597" s="1059"/>
      <c r="K1597" s="943"/>
      <c r="L1597" s="866" t="n">
        <v>16320.96</v>
      </c>
      <c r="M1597" s="866" t="n">
        <v>600</v>
      </c>
      <c r="N1597" s="866" t="n">
        <f aca="false">M1597/H1595</f>
        <v>40</v>
      </c>
      <c r="O1597" s="543" t="s">
        <v>392</v>
      </c>
      <c r="P1597" s="1937"/>
      <c r="Q1597" s="1934"/>
      <c r="R1597" s="2053"/>
    </row>
    <row r="1598" customFormat="false" ht="14.25" hidden="false" customHeight="false" outlineLevel="0" collapsed="false">
      <c r="A1598" s="882"/>
      <c r="B1598" s="830"/>
      <c r="C1598" s="1965"/>
      <c r="D1598" s="860" t="s">
        <v>13</v>
      </c>
      <c r="E1598" s="1480" t="s">
        <v>1651</v>
      </c>
      <c r="F1598" s="832"/>
      <c r="G1598" s="1931"/>
      <c r="H1598" s="837"/>
      <c r="I1598" s="837"/>
      <c r="J1598" s="1059"/>
      <c r="K1598" s="943"/>
      <c r="L1598" s="866" t="n">
        <v>-12376.728</v>
      </c>
      <c r="M1598" s="866" t="n">
        <v>-455</v>
      </c>
      <c r="N1598" s="866" t="n">
        <f aca="false">M1598/H1595</f>
        <v>-30.3333333333333</v>
      </c>
      <c r="O1598" s="543" t="s">
        <v>1634</v>
      </c>
      <c r="P1598" s="1937"/>
      <c r="Q1598" s="1934"/>
      <c r="R1598" s="2053"/>
    </row>
    <row r="1599" customFormat="false" ht="14.25" hidden="false" customHeight="false" outlineLevel="0" collapsed="false">
      <c r="A1599" s="882"/>
      <c r="B1599" s="830"/>
      <c r="C1599" s="1965"/>
      <c r="D1599" s="860" t="s">
        <v>13</v>
      </c>
      <c r="E1599" s="1480" t="s">
        <v>1651</v>
      </c>
      <c r="F1599" s="832"/>
      <c r="G1599" s="1931"/>
      <c r="H1599" s="837"/>
      <c r="I1599" s="837"/>
      <c r="J1599" s="1059"/>
      <c r="K1599" s="943"/>
      <c r="L1599" s="866" t="n">
        <v>16320.96</v>
      </c>
      <c r="M1599" s="866" t="n">
        <v>600</v>
      </c>
      <c r="N1599" s="866" t="n">
        <f aca="false">M1599/H1595</f>
        <v>40</v>
      </c>
      <c r="O1599" s="543" t="s">
        <v>805</v>
      </c>
      <c r="P1599" s="1937"/>
      <c r="Q1599" s="1934"/>
      <c r="R1599" s="2053"/>
    </row>
    <row r="1600" customFormat="false" ht="14.25" hidden="false" customHeight="false" outlineLevel="0" collapsed="false">
      <c r="A1600" s="882"/>
      <c r="B1600" s="830"/>
      <c r="C1600" s="1965"/>
      <c r="D1600" s="843" t="s">
        <v>13</v>
      </c>
      <c r="E1600" s="1357" t="s">
        <v>1651</v>
      </c>
      <c r="F1600" s="832"/>
      <c r="G1600" s="1931"/>
      <c r="H1600" s="837"/>
      <c r="I1600" s="837"/>
      <c r="J1600" s="1059"/>
      <c r="K1600" s="943"/>
      <c r="L1600" s="846" t="n">
        <v>8160.48</v>
      </c>
      <c r="M1600" s="846" t="n">
        <v>300</v>
      </c>
      <c r="N1600" s="846" t="n">
        <f aca="false">M1600/H1595</f>
        <v>20</v>
      </c>
      <c r="O1600" s="589" t="s">
        <v>392</v>
      </c>
      <c r="P1600" s="1937"/>
      <c r="Q1600" s="1934"/>
      <c r="R1600" s="2053"/>
    </row>
    <row r="1601" customFormat="false" ht="14.25" hidden="false" customHeight="false" outlineLevel="0" collapsed="false">
      <c r="A1601" s="1087" t="n">
        <v>496</v>
      </c>
      <c r="B1601" s="1072" t="n">
        <v>2024</v>
      </c>
      <c r="C1601" s="1980" t="n">
        <v>45931</v>
      </c>
      <c r="D1601" s="848" t="s">
        <v>13</v>
      </c>
      <c r="E1601" s="1479" t="s">
        <v>1651</v>
      </c>
      <c r="F1601" s="887" t="s">
        <v>3364</v>
      </c>
      <c r="G1601" s="1950" t="n">
        <v>602</v>
      </c>
      <c r="H1601" s="1067" t="n">
        <v>15</v>
      </c>
      <c r="I1601" s="1067" t="n">
        <f aca="false">G1601*H1601</f>
        <v>9030</v>
      </c>
      <c r="J1601" s="1063" t="n">
        <v>27.5009</v>
      </c>
      <c r="K1601" s="1452" t="n">
        <f aca="false">I1601*J1601</f>
        <v>248333.127</v>
      </c>
      <c r="L1601" s="854" t="n">
        <v>54039.2685</v>
      </c>
      <c r="M1601" s="854" t="n">
        <v>1965</v>
      </c>
      <c r="N1601" s="854" t="n">
        <f aca="false">M1601/H1601</f>
        <v>131</v>
      </c>
      <c r="O1601" s="537" t="s">
        <v>621</v>
      </c>
      <c r="P1601" s="1981" t="n">
        <f aca="false">K1601-L1601-L1602</f>
        <v>0</v>
      </c>
      <c r="Q1601" s="1953" t="n">
        <f aca="false">I1601-M1601-M1602</f>
        <v>0</v>
      </c>
      <c r="R1601" s="1954" t="n">
        <f aca="false">G1601-N1601-N1602</f>
        <v>0</v>
      </c>
    </row>
    <row r="1602" customFormat="false" ht="14.25" hidden="false" customHeight="false" outlineLevel="0" collapsed="false">
      <c r="A1602" s="1087"/>
      <c r="B1602" s="1072"/>
      <c r="C1602" s="1980"/>
      <c r="D1602" s="843" t="s">
        <v>13</v>
      </c>
      <c r="E1602" s="1357" t="s">
        <v>1651</v>
      </c>
      <c r="F1602" s="887"/>
      <c r="G1602" s="1950"/>
      <c r="H1602" s="1067"/>
      <c r="I1602" s="1067"/>
      <c r="J1602" s="1063"/>
      <c r="K1602" s="1452"/>
      <c r="L1602" s="846" t="n">
        <v>194293.8585</v>
      </c>
      <c r="M1602" s="846" t="n">
        <v>7065</v>
      </c>
      <c r="N1602" s="846" t="n">
        <f aca="false">M1602/H1601</f>
        <v>471</v>
      </c>
      <c r="O1602" s="589" t="s">
        <v>404</v>
      </c>
      <c r="P1602" s="1981"/>
      <c r="Q1602" s="1953"/>
      <c r="R1602" s="1954"/>
    </row>
    <row r="1603" customFormat="false" ht="14.25" hidden="false" customHeight="false" outlineLevel="0" collapsed="false">
      <c r="A1603" s="882" t="n">
        <v>501</v>
      </c>
      <c r="B1603" s="830" t="n">
        <v>2024</v>
      </c>
      <c r="C1603" s="1965" t="n">
        <v>45931</v>
      </c>
      <c r="D1603" s="1328" t="s">
        <v>13</v>
      </c>
      <c r="E1603" s="1607" t="s">
        <v>1652</v>
      </c>
      <c r="F1603" s="832" t="s">
        <v>3364</v>
      </c>
      <c r="G1603" s="1931" t="n">
        <v>51</v>
      </c>
      <c r="H1603" s="837" t="n">
        <v>15</v>
      </c>
      <c r="I1603" s="837" t="n">
        <f aca="false">G1603*H1603</f>
        <v>765</v>
      </c>
      <c r="J1603" s="1059" t="n">
        <v>38.5368</v>
      </c>
      <c r="K1603" s="943" t="n">
        <f aca="false">I1603*J1603</f>
        <v>29480.652</v>
      </c>
      <c r="L1603" s="886" t="n">
        <v>1734.156</v>
      </c>
      <c r="M1603" s="886" t="n">
        <v>45</v>
      </c>
      <c r="N1603" s="886" t="n">
        <f aca="false">M1603/H1603</f>
        <v>3</v>
      </c>
      <c r="O1603" s="1036" t="s">
        <v>610</v>
      </c>
      <c r="P1603" s="1937" t="n">
        <f aca="false">K1603-L1603-L1605-L1604</f>
        <v>0</v>
      </c>
      <c r="Q1603" s="1934" t="n">
        <f aca="false">I1603-M1603-M1605-M1604</f>
        <v>0</v>
      </c>
      <c r="R1603" s="1935" t="n">
        <f aca="false">G1603-N1603-N1605-N1604</f>
        <v>0</v>
      </c>
    </row>
    <row r="1604" customFormat="false" ht="14.25" hidden="false" customHeight="false" outlineLevel="0" collapsed="false">
      <c r="A1604" s="882"/>
      <c r="B1604" s="830"/>
      <c r="C1604" s="1965"/>
      <c r="D1604" s="860" t="s">
        <v>13</v>
      </c>
      <c r="E1604" s="1480" t="s">
        <v>1652</v>
      </c>
      <c r="F1604" s="832"/>
      <c r="G1604" s="1931"/>
      <c r="H1604" s="837"/>
      <c r="I1604" s="837"/>
      <c r="J1604" s="1059"/>
      <c r="K1604" s="943"/>
      <c r="L1604" s="866" t="n">
        <v>23122.08</v>
      </c>
      <c r="M1604" s="866" t="n">
        <v>600</v>
      </c>
      <c r="N1604" s="866" t="n">
        <f aca="false">M1604/H1603</f>
        <v>40</v>
      </c>
      <c r="O1604" s="543" t="s">
        <v>632</v>
      </c>
      <c r="P1604" s="1937"/>
      <c r="Q1604" s="1934"/>
      <c r="R1604" s="1935"/>
    </row>
    <row r="1605" customFormat="false" ht="14.25" hidden="false" customHeight="false" outlineLevel="0" collapsed="false">
      <c r="A1605" s="882"/>
      <c r="B1605" s="830"/>
      <c r="C1605" s="1965"/>
      <c r="D1605" s="843" t="s">
        <v>13</v>
      </c>
      <c r="E1605" s="1357" t="s">
        <v>1652</v>
      </c>
      <c r="F1605" s="832"/>
      <c r="G1605" s="1931"/>
      <c r="H1605" s="837"/>
      <c r="I1605" s="837"/>
      <c r="J1605" s="1059"/>
      <c r="K1605" s="943"/>
      <c r="L1605" s="846" t="n">
        <v>4624.416</v>
      </c>
      <c r="M1605" s="846" t="n">
        <v>120</v>
      </c>
      <c r="N1605" s="846" t="n">
        <f aca="false">M1605/H1603</f>
        <v>8</v>
      </c>
      <c r="O1605" s="589" t="s">
        <v>619</v>
      </c>
      <c r="P1605" s="1937"/>
      <c r="Q1605" s="1934"/>
      <c r="R1605" s="1935"/>
    </row>
    <row r="1606" customFormat="false" ht="14.25" hidden="false" customHeight="false" outlineLevel="0" collapsed="false">
      <c r="A1606" s="847" t="n">
        <v>577</v>
      </c>
      <c r="B1606" s="1396" t="n">
        <v>2024</v>
      </c>
      <c r="C1606" s="1966" t="n">
        <v>45962</v>
      </c>
      <c r="D1606" s="848" t="s">
        <v>13</v>
      </c>
      <c r="E1606" s="1479" t="s">
        <v>2619</v>
      </c>
      <c r="F1606" s="848" t="s">
        <v>3364</v>
      </c>
      <c r="G1606" s="1967" t="n">
        <v>201</v>
      </c>
      <c r="H1606" s="537" t="n">
        <v>25</v>
      </c>
      <c r="I1606" s="891" t="n">
        <f aca="false">G1606*H1606</f>
        <v>5025</v>
      </c>
      <c r="J1606" s="1406" t="n">
        <v>90</v>
      </c>
      <c r="K1606" s="948" t="n">
        <f aca="false">I1606*J1606</f>
        <v>452250</v>
      </c>
      <c r="L1606" s="891" t="n">
        <v>452250</v>
      </c>
      <c r="M1606" s="891" t="n">
        <v>5025</v>
      </c>
      <c r="N1606" s="854" t="n">
        <f aca="false">M1606/H1606</f>
        <v>201</v>
      </c>
      <c r="O1606" s="942" t="s">
        <v>745</v>
      </c>
      <c r="P1606" s="1969" t="n">
        <f aca="false">K1606-L1606</f>
        <v>0</v>
      </c>
      <c r="Q1606" s="1971" t="n">
        <f aca="false">I1606-M1606</f>
        <v>0</v>
      </c>
      <c r="R1606" s="1971" t="n">
        <f aca="false">G1606-N1606</f>
        <v>0</v>
      </c>
    </row>
    <row r="1607" customFormat="false" ht="14.25" hidden="false" customHeight="false" outlineLevel="0" collapsed="false">
      <c r="A1607" s="903" t="n">
        <v>578</v>
      </c>
      <c r="B1607" s="903" t="n">
        <v>2024</v>
      </c>
      <c r="C1607" s="1974" t="n">
        <v>45962</v>
      </c>
      <c r="D1607" s="904" t="s">
        <v>13</v>
      </c>
      <c r="E1607" s="1351" t="s">
        <v>2619</v>
      </c>
      <c r="F1607" s="904" t="s">
        <v>3364</v>
      </c>
      <c r="G1607" s="1940" t="n">
        <v>202</v>
      </c>
      <c r="H1607" s="942" t="n">
        <v>25</v>
      </c>
      <c r="I1607" s="877" t="n">
        <f aca="false">G1607*H1607</f>
        <v>5050</v>
      </c>
      <c r="J1607" s="1542" t="n">
        <v>89.7</v>
      </c>
      <c r="K1607" s="1403" t="n">
        <f aca="false">I1607*J1607</f>
        <v>452985</v>
      </c>
      <c r="L1607" s="877" t="n">
        <v>452985</v>
      </c>
      <c r="M1607" s="877" t="n">
        <v>5050</v>
      </c>
      <c r="N1607" s="891" t="n">
        <f aca="false">M1607/H1607</f>
        <v>202</v>
      </c>
      <c r="O1607" s="553" t="s">
        <v>745</v>
      </c>
      <c r="P1607" s="2028" t="n">
        <f aca="false">K1607-L1607</f>
        <v>0</v>
      </c>
      <c r="Q1607" s="1961" t="n">
        <f aca="false">I1607-M1607</f>
        <v>0</v>
      </c>
      <c r="R1607" s="1961" t="n">
        <f aca="false">G1607-N1607</f>
        <v>0</v>
      </c>
    </row>
    <row r="1608" customFormat="false" ht="14.25" hidden="false" customHeight="false" outlineLevel="0" collapsed="false">
      <c r="A1608" s="829" t="n">
        <v>579</v>
      </c>
      <c r="B1608" s="830" t="n">
        <v>2024</v>
      </c>
      <c r="C1608" s="1965" t="n">
        <v>45962</v>
      </c>
      <c r="D1608" s="831" t="s">
        <v>13</v>
      </c>
      <c r="E1608" s="1365" t="s">
        <v>2619</v>
      </c>
      <c r="F1608" s="832" t="s">
        <v>3364</v>
      </c>
      <c r="G1608" s="1931" t="n">
        <v>65</v>
      </c>
      <c r="H1608" s="837" t="n">
        <v>25</v>
      </c>
      <c r="I1608" s="837" t="n">
        <f aca="false">G1608*H1608</f>
        <v>1625</v>
      </c>
      <c r="J1608" s="1059" t="n">
        <v>89.3</v>
      </c>
      <c r="K1608" s="943" t="n">
        <f aca="false">I1608*J1608</f>
        <v>145112.5</v>
      </c>
      <c r="L1608" s="840" t="n">
        <v>131717.5</v>
      </c>
      <c r="M1608" s="840" t="n">
        <v>1475</v>
      </c>
      <c r="N1608" s="840" t="n">
        <f aca="false">M1608/H1608</f>
        <v>59</v>
      </c>
      <c r="O1608" s="1114" t="s">
        <v>745</v>
      </c>
      <c r="P1608" s="1937" t="n">
        <f aca="false">K1608-L1608-L1609</f>
        <v>0</v>
      </c>
      <c r="Q1608" s="1934" t="n">
        <f aca="false">I1608-M1608-M1609</f>
        <v>0</v>
      </c>
      <c r="R1608" s="1935" t="n">
        <f aca="false">G1608-N1608-N1609</f>
        <v>0</v>
      </c>
    </row>
    <row r="1609" customFormat="false" ht="14.25" hidden="false" customHeight="false" outlineLevel="0" collapsed="false">
      <c r="A1609" s="829"/>
      <c r="B1609" s="830"/>
      <c r="C1609" s="1965"/>
      <c r="D1609" s="887" t="s">
        <v>13</v>
      </c>
      <c r="E1609" s="1501" t="s">
        <v>2619</v>
      </c>
      <c r="F1609" s="832"/>
      <c r="G1609" s="1931"/>
      <c r="H1609" s="837"/>
      <c r="I1609" s="837"/>
      <c r="J1609" s="1059"/>
      <c r="K1609" s="943"/>
      <c r="L1609" s="846" t="n">
        <v>13395</v>
      </c>
      <c r="M1609" s="846" t="n">
        <v>150</v>
      </c>
      <c r="N1609" s="890" t="n">
        <f aca="false">M1609/H1608</f>
        <v>6</v>
      </c>
      <c r="O1609" s="589" t="s">
        <v>3507</v>
      </c>
      <c r="P1609" s="1937"/>
      <c r="Q1609" s="1934"/>
      <c r="R1609" s="1935"/>
    </row>
    <row r="1610" customFormat="false" ht="14.25" hidden="false" customHeight="false" outlineLevel="0" collapsed="false">
      <c r="A1610" s="847" t="n">
        <v>586</v>
      </c>
      <c r="B1610" s="1396" t="n">
        <v>2024</v>
      </c>
      <c r="C1610" s="1966" t="n">
        <v>45962</v>
      </c>
      <c r="D1610" s="848" t="s">
        <v>13</v>
      </c>
      <c r="E1610" s="1479" t="s">
        <v>1651</v>
      </c>
      <c r="F1610" s="848" t="s">
        <v>3364</v>
      </c>
      <c r="G1610" s="1967" t="n">
        <v>666</v>
      </c>
      <c r="H1610" s="537" t="n">
        <v>15</v>
      </c>
      <c r="I1610" s="854" t="n">
        <f aca="false">G1610*H1610</f>
        <v>9990</v>
      </c>
      <c r="J1610" s="1544" t="n">
        <v>29.0475</v>
      </c>
      <c r="K1610" s="953" t="n">
        <f aca="false">I1610*J1610</f>
        <v>290184.525</v>
      </c>
      <c r="L1610" s="854" t="n">
        <v>290184.525</v>
      </c>
      <c r="M1610" s="854" t="n">
        <v>9990</v>
      </c>
      <c r="N1610" s="866" t="n">
        <f aca="false">M1610/H1610</f>
        <v>666</v>
      </c>
      <c r="O1610" s="537" t="s">
        <v>866</v>
      </c>
      <c r="P1610" s="1969" t="n">
        <f aca="false">K1610-L1610</f>
        <v>0</v>
      </c>
      <c r="Q1610" s="1971" t="n">
        <f aca="false">I1610-M1610</f>
        <v>0</v>
      </c>
      <c r="R1610" s="1971" t="n">
        <f aca="false">G1610-N1610</f>
        <v>0</v>
      </c>
    </row>
    <row r="1611" customFormat="false" ht="14.25" hidden="false" customHeight="false" outlineLevel="0" collapsed="false">
      <c r="A1611" s="859" t="n">
        <v>587</v>
      </c>
      <c r="B1611" s="2020" t="n">
        <v>2024</v>
      </c>
      <c r="C1611" s="1990" t="n">
        <v>45962</v>
      </c>
      <c r="D1611" s="860" t="s">
        <v>13</v>
      </c>
      <c r="E1611" s="860" t="s">
        <v>1651</v>
      </c>
      <c r="F1611" s="860" t="s">
        <v>3364</v>
      </c>
      <c r="G1611" s="2054" t="n">
        <v>173</v>
      </c>
      <c r="H1611" s="543" t="n">
        <v>15</v>
      </c>
      <c r="I1611" s="866" t="n">
        <f aca="false">G1611*H1611</f>
        <v>2595</v>
      </c>
      <c r="J1611" s="980" t="n">
        <v>33.301</v>
      </c>
      <c r="K1611" s="1449" t="n">
        <f aca="false">I1611*J1611</f>
        <v>86416.095</v>
      </c>
      <c r="L1611" s="866" t="n">
        <v>86416.095</v>
      </c>
      <c r="M1611" s="866" t="n">
        <v>2595</v>
      </c>
      <c r="N1611" s="866" t="n">
        <f aca="false">M1611/H1611</f>
        <v>173</v>
      </c>
      <c r="O1611" s="543" t="s">
        <v>866</v>
      </c>
      <c r="P1611" s="2055" t="n">
        <f aca="false">K1611-L1611</f>
        <v>0</v>
      </c>
      <c r="Q1611" s="1995" t="n">
        <f aca="false">I1611-M1611</f>
        <v>0</v>
      </c>
      <c r="R1611" s="1995" t="n">
        <f aca="false">G1611-N1611</f>
        <v>0</v>
      </c>
    </row>
    <row r="1612" customFormat="false" ht="14.25" hidden="false" customHeight="false" outlineLevel="0" collapsed="false">
      <c r="A1612" s="870" t="n">
        <v>595</v>
      </c>
      <c r="B1612" s="1495" t="n">
        <v>2024</v>
      </c>
      <c r="C1612" s="1972" t="n">
        <v>45962</v>
      </c>
      <c r="D1612" s="871" t="s">
        <v>13</v>
      </c>
      <c r="E1612" s="871" t="s">
        <v>1651</v>
      </c>
      <c r="F1612" s="871" t="s">
        <v>3364</v>
      </c>
      <c r="G1612" s="1956" t="n">
        <v>228</v>
      </c>
      <c r="H1612" s="553" t="n">
        <v>15</v>
      </c>
      <c r="I1612" s="877" t="n">
        <f aca="false">G1612*H1612</f>
        <v>3420</v>
      </c>
      <c r="J1612" s="1116" t="n">
        <v>27.6905</v>
      </c>
      <c r="K1612" s="1403" t="n">
        <f aca="false">I1612*J1612</f>
        <v>94701.51</v>
      </c>
      <c r="L1612" s="877" t="n">
        <v>94701.51</v>
      </c>
      <c r="M1612" s="877" t="n">
        <v>3420</v>
      </c>
      <c r="N1612" s="877" t="n">
        <f aca="false">M1612/H1612</f>
        <v>228</v>
      </c>
      <c r="O1612" s="553" t="s">
        <v>866</v>
      </c>
      <c r="P1612" s="2028" t="n">
        <f aca="false">K1612-L1612</f>
        <v>0</v>
      </c>
      <c r="Q1612" s="1961" t="n">
        <f aca="false">I1612-M1612</f>
        <v>0</v>
      </c>
      <c r="R1612" s="1961" t="n">
        <f aca="false">G1612-N1612</f>
        <v>0</v>
      </c>
    </row>
    <row r="1613" customFormat="false" ht="14.25" hidden="false" customHeight="false" outlineLevel="0" collapsed="false">
      <c r="A1613" s="829" t="n">
        <v>597</v>
      </c>
      <c r="B1613" s="830" t="n">
        <v>2024</v>
      </c>
      <c r="C1613" s="1965" t="n">
        <v>45962</v>
      </c>
      <c r="D1613" s="831" t="s">
        <v>13</v>
      </c>
      <c r="E1613" s="831" t="s">
        <v>1651</v>
      </c>
      <c r="F1613" s="832" t="s">
        <v>3375</v>
      </c>
      <c r="G1613" s="1931" t="n">
        <v>134</v>
      </c>
      <c r="H1613" s="837" t="n">
        <v>15</v>
      </c>
      <c r="I1613" s="837" t="n">
        <f aca="false">G1613*H1613</f>
        <v>2010</v>
      </c>
      <c r="J1613" s="1059" t="n">
        <v>27.6905</v>
      </c>
      <c r="K1613" s="943" t="n">
        <f aca="false">I1613*J1613</f>
        <v>55657.905</v>
      </c>
      <c r="L1613" s="840" t="n">
        <v>415.3575</v>
      </c>
      <c r="M1613" s="840" t="n">
        <v>15</v>
      </c>
      <c r="N1613" s="840" t="n">
        <f aca="false">M1613/H1613</f>
        <v>1</v>
      </c>
      <c r="O1613" s="1114" t="s">
        <v>3508</v>
      </c>
      <c r="P1613" s="1948" t="n">
        <f aca="false">K1613-L1613-L1614</f>
        <v>0</v>
      </c>
      <c r="Q1613" s="1934" t="n">
        <f aca="false">I1613-M1613-M1614</f>
        <v>0</v>
      </c>
      <c r="R1613" s="1935" t="n">
        <f aca="false">G1613-N1613-N1614</f>
        <v>0</v>
      </c>
    </row>
    <row r="1614" customFormat="false" ht="14.25" hidden="false" customHeight="false" outlineLevel="0" collapsed="false">
      <c r="A1614" s="829"/>
      <c r="B1614" s="830"/>
      <c r="C1614" s="1965"/>
      <c r="D1614" s="843" t="s">
        <v>13</v>
      </c>
      <c r="E1614" s="843" t="s">
        <v>1651</v>
      </c>
      <c r="F1614" s="832"/>
      <c r="G1614" s="1931"/>
      <c r="H1614" s="837"/>
      <c r="I1614" s="837"/>
      <c r="J1614" s="1059"/>
      <c r="K1614" s="943"/>
      <c r="L1614" s="846" t="n">
        <v>55242.5475</v>
      </c>
      <c r="M1614" s="846" t="n">
        <v>1995</v>
      </c>
      <c r="N1614" s="846" t="n">
        <f aca="false">M1614/H1613</f>
        <v>133</v>
      </c>
      <c r="O1614" s="589" t="s">
        <v>1634</v>
      </c>
      <c r="P1614" s="1948"/>
      <c r="Q1614" s="1934"/>
      <c r="R1614" s="1935"/>
    </row>
    <row r="1615" customFormat="false" ht="14.25" hidden="false" customHeight="false" outlineLevel="0" collapsed="false">
      <c r="A1615" s="1087" t="n">
        <v>598</v>
      </c>
      <c r="B1615" s="1072" t="n">
        <v>2024</v>
      </c>
      <c r="C1615" s="1980" t="n">
        <v>45962</v>
      </c>
      <c r="D1615" s="848" t="s">
        <v>13</v>
      </c>
      <c r="E1615" s="848" t="s">
        <v>1651</v>
      </c>
      <c r="F1615" s="887" t="s">
        <v>3364</v>
      </c>
      <c r="G1615" s="1950" t="n">
        <v>299</v>
      </c>
      <c r="H1615" s="1067" t="n">
        <v>15</v>
      </c>
      <c r="I1615" s="1067" t="n">
        <f aca="false">G1615*H1615</f>
        <v>4485</v>
      </c>
      <c r="J1615" s="1063" t="n">
        <v>28.2029</v>
      </c>
      <c r="K1615" s="1452" t="n">
        <f aca="false">I1615*J1615</f>
        <v>126490.0065</v>
      </c>
      <c r="L1615" s="891" t="n">
        <v>1692.174</v>
      </c>
      <c r="M1615" s="891" t="n">
        <v>60</v>
      </c>
      <c r="N1615" s="891" t="n">
        <f aca="false">M1615/H1615</f>
        <v>4</v>
      </c>
      <c r="O1615" s="942" t="s">
        <v>719</v>
      </c>
      <c r="P1615" s="1981" t="n">
        <f aca="false">K1615-L1615-L1621-L1620-L1616-L1617-L1619-L1618</f>
        <v>0</v>
      </c>
      <c r="Q1615" s="1953" t="n">
        <f aca="false">I1615-M1615-M1621-M1620-M1616-M1617-M1619-M1618</f>
        <v>0</v>
      </c>
      <c r="R1615" s="1954" t="n">
        <f aca="false">G1615-N1615-N1621-N1620-N1616-N1617-N1619-N1618</f>
        <v>0</v>
      </c>
    </row>
    <row r="1616" customFormat="false" ht="14.25" hidden="false" customHeight="false" outlineLevel="0" collapsed="false">
      <c r="A1616" s="1087"/>
      <c r="B1616" s="1072"/>
      <c r="C1616" s="1980"/>
      <c r="D1616" s="860" t="s">
        <v>13</v>
      </c>
      <c r="E1616" s="860" t="s">
        <v>1651</v>
      </c>
      <c r="F1616" s="887"/>
      <c r="G1616" s="1950"/>
      <c r="H1616" s="1067"/>
      <c r="I1616" s="1067"/>
      <c r="J1616" s="1063"/>
      <c r="K1616" s="1452"/>
      <c r="L1616" s="866" t="n">
        <v>4230.435</v>
      </c>
      <c r="M1616" s="866" t="n">
        <v>150</v>
      </c>
      <c r="N1616" s="866" t="n">
        <f aca="false">M1616/H1615</f>
        <v>10</v>
      </c>
      <c r="O1616" s="543" t="s">
        <v>839</v>
      </c>
      <c r="P1616" s="1981"/>
      <c r="Q1616" s="1953"/>
      <c r="R1616" s="1954"/>
    </row>
    <row r="1617" customFormat="false" ht="14.25" hidden="false" customHeight="false" outlineLevel="0" collapsed="false">
      <c r="A1617" s="1087"/>
      <c r="B1617" s="1072"/>
      <c r="C1617" s="1980"/>
      <c r="D1617" s="860" t="s">
        <v>13</v>
      </c>
      <c r="E1617" s="860" t="s">
        <v>1651</v>
      </c>
      <c r="F1617" s="887"/>
      <c r="G1617" s="1950"/>
      <c r="H1617" s="1067"/>
      <c r="I1617" s="1067"/>
      <c r="J1617" s="1063"/>
      <c r="K1617" s="1452"/>
      <c r="L1617" s="866" t="n">
        <v>12691.305</v>
      </c>
      <c r="M1617" s="866" t="n">
        <v>450</v>
      </c>
      <c r="N1617" s="866" t="n">
        <f aca="false">M1617/H1615</f>
        <v>30</v>
      </c>
      <c r="O1617" s="543" t="s">
        <v>822</v>
      </c>
      <c r="P1617" s="1981"/>
      <c r="Q1617" s="1953"/>
      <c r="R1617" s="1954"/>
    </row>
    <row r="1618" customFormat="false" ht="14.25" hidden="false" customHeight="false" outlineLevel="0" collapsed="false">
      <c r="A1618" s="1087"/>
      <c r="B1618" s="1072"/>
      <c r="C1618" s="1980"/>
      <c r="D1618" s="860" t="s">
        <v>13</v>
      </c>
      <c r="E1618" s="860" t="s">
        <v>1651</v>
      </c>
      <c r="F1618" s="887"/>
      <c r="G1618" s="1950"/>
      <c r="H1618" s="1067"/>
      <c r="I1618" s="1067"/>
      <c r="J1618" s="1063"/>
      <c r="K1618" s="1452"/>
      <c r="L1618" s="866" t="n">
        <v>56687.829</v>
      </c>
      <c r="M1618" s="866" t="n">
        <v>2010</v>
      </c>
      <c r="N1618" s="866" t="n">
        <f aca="false">M1618/H1615</f>
        <v>134</v>
      </c>
      <c r="O1618" s="543" t="s">
        <v>1634</v>
      </c>
      <c r="P1618" s="1981"/>
      <c r="Q1618" s="1953"/>
      <c r="R1618" s="1954"/>
    </row>
    <row r="1619" customFormat="false" ht="14.25" hidden="false" customHeight="false" outlineLevel="0" collapsed="false">
      <c r="A1619" s="1087"/>
      <c r="B1619" s="1072"/>
      <c r="C1619" s="1980"/>
      <c r="D1619" s="860" t="s">
        <v>13</v>
      </c>
      <c r="E1619" s="860" t="s">
        <v>1651</v>
      </c>
      <c r="F1619" s="887"/>
      <c r="G1619" s="1950"/>
      <c r="H1619" s="1067"/>
      <c r="I1619" s="1067"/>
      <c r="J1619" s="1063"/>
      <c r="K1619" s="1452"/>
      <c r="L1619" s="866" t="n">
        <v>13537.392</v>
      </c>
      <c r="M1619" s="866" t="n">
        <v>480</v>
      </c>
      <c r="N1619" s="866" t="n">
        <f aca="false">M1619/H1615</f>
        <v>32</v>
      </c>
      <c r="O1619" s="543" t="s">
        <v>3509</v>
      </c>
      <c r="P1619" s="1981"/>
      <c r="Q1619" s="1953"/>
      <c r="R1619" s="1954"/>
    </row>
    <row r="1620" customFormat="false" ht="14.25" hidden="false" customHeight="false" outlineLevel="0" collapsed="false">
      <c r="A1620" s="1087"/>
      <c r="B1620" s="1072"/>
      <c r="C1620" s="1980"/>
      <c r="D1620" s="860" t="s">
        <v>13</v>
      </c>
      <c r="E1620" s="860" t="s">
        <v>1651</v>
      </c>
      <c r="F1620" s="887"/>
      <c r="G1620" s="1950"/>
      <c r="H1620" s="1067"/>
      <c r="I1620" s="1067"/>
      <c r="J1620" s="1063"/>
      <c r="K1620" s="1452"/>
      <c r="L1620" s="866" t="n">
        <v>21152.175</v>
      </c>
      <c r="M1620" s="866" t="n">
        <v>750</v>
      </c>
      <c r="N1620" s="866" t="n">
        <f aca="false">M1620/H1615</f>
        <v>50</v>
      </c>
      <c r="O1620" s="543" t="s">
        <v>699</v>
      </c>
      <c r="P1620" s="1981"/>
      <c r="Q1620" s="1953"/>
      <c r="R1620" s="1954"/>
    </row>
    <row r="1621" customFormat="false" ht="14.25" hidden="false" customHeight="false" outlineLevel="0" collapsed="false">
      <c r="A1621" s="1087"/>
      <c r="B1621" s="1072"/>
      <c r="C1621" s="1980"/>
      <c r="D1621" s="843" t="s">
        <v>13</v>
      </c>
      <c r="E1621" s="843" t="s">
        <v>1651</v>
      </c>
      <c r="F1621" s="887"/>
      <c r="G1621" s="1950"/>
      <c r="H1621" s="1067"/>
      <c r="I1621" s="1067"/>
      <c r="J1621" s="1063"/>
      <c r="K1621" s="1452"/>
      <c r="L1621" s="846" t="n">
        <v>16498.6965</v>
      </c>
      <c r="M1621" s="846" t="n">
        <v>585</v>
      </c>
      <c r="N1621" s="846" t="n">
        <f aca="false">M1621/H1615</f>
        <v>39</v>
      </c>
      <c r="O1621" s="589" t="s">
        <v>743</v>
      </c>
      <c r="P1621" s="1981"/>
      <c r="Q1621" s="1953"/>
      <c r="R1621" s="1954"/>
    </row>
    <row r="1622" customFormat="false" ht="14.25" hidden="false" customHeight="false" outlineLevel="0" collapsed="false">
      <c r="A1622" s="1609" t="n">
        <v>599</v>
      </c>
      <c r="B1622" s="903" t="n">
        <v>2024</v>
      </c>
      <c r="C1622" s="1974" t="n">
        <v>45962</v>
      </c>
      <c r="D1622" s="904" t="s">
        <v>13</v>
      </c>
      <c r="E1622" s="904" t="s">
        <v>1652</v>
      </c>
      <c r="F1622" s="904" t="s">
        <v>3364</v>
      </c>
      <c r="G1622" s="1940" t="n">
        <v>152</v>
      </c>
      <c r="H1622" s="942" t="n">
        <v>15</v>
      </c>
      <c r="I1622" s="942" t="n">
        <f aca="false">G1622*H1622</f>
        <v>2280</v>
      </c>
      <c r="J1622" s="1406" t="n">
        <v>45.1699</v>
      </c>
      <c r="K1622" s="948" t="n">
        <f aca="false">I1622*J1622</f>
        <v>102987.372</v>
      </c>
      <c r="L1622" s="891" t="n">
        <v>677.5485</v>
      </c>
      <c r="M1622" s="891" t="n">
        <v>15</v>
      </c>
      <c r="N1622" s="891" t="n">
        <f aca="false">M1622/H1622</f>
        <v>1</v>
      </c>
      <c r="O1622" s="942" t="s">
        <v>3510</v>
      </c>
      <c r="P1622" s="2000" t="n">
        <f aca="false">K1622-L1622-L1626-L1625-L1623-L1624</f>
        <v>4.43378667114303E-012</v>
      </c>
      <c r="Q1622" s="2000" t="n">
        <f aca="false">I1622-M1622-M1626-M1625-M1623-M1624</f>
        <v>0</v>
      </c>
      <c r="R1622" s="2005" t="n">
        <f aca="false">G1622-N1622-N1626-N1625-N1623-N1624</f>
        <v>0</v>
      </c>
    </row>
    <row r="1623" customFormat="false" ht="14.25" hidden="false" customHeight="false" outlineLevel="0" collapsed="false">
      <c r="A1623" s="1609"/>
      <c r="B1623" s="903"/>
      <c r="C1623" s="1974"/>
      <c r="D1623" s="860" t="s">
        <v>13</v>
      </c>
      <c r="E1623" s="860" t="s">
        <v>1652</v>
      </c>
      <c r="F1623" s="904"/>
      <c r="G1623" s="1940"/>
      <c r="H1623" s="942"/>
      <c r="I1623" s="942"/>
      <c r="J1623" s="1406"/>
      <c r="K1623" s="948"/>
      <c r="L1623" s="866" t="n">
        <v>677.5485</v>
      </c>
      <c r="M1623" s="866" t="n">
        <v>15</v>
      </c>
      <c r="N1623" s="866" t="n">
        <f aca="false">M1623/H1622</f>
        <v>1</v>
      </c>
      <c r="O1623" s="543" t="s">
        <v>1276</v>
      </c>
      <c r="P1623" s="2000"/>
      <c r="Q1623" s="2000"/>
      <c r="R1623" s="2005"/>
    </row>
    <row r="1624" customFormat="false" ht="14.25" hidden="false" customHeight="false" outlineLevel="0" collapsed="false">
      <c r="A1624" s="1609"/>
      <c r="B1624" s="903"/>
      <c r="C1624" s="1974"/>
      <c r="D1624" s="860" t="s">
        <v>13</v>
      </c>
      <c r="E1624" s="860" t="s">
        <v>1652</v>
      </c>
      <c r="F1624" s="904"/>
      <c r="G1624" s="1940"/>
      <c r="H1624" s="942"/>
      <c r="I1624" s="942"/>
      <c r="J1624" s="1406"/>
      <c r="K1624" s="948"/>
      <c r="L1624" s="866" t="n">
        <v>-677.5485</v>
      </c>
      <c r="M1624" s="866" t="n">
        <v>-15</v>
      </c>
      <c r="N1624" s="866" t="n">
        <f aca="false">M1624/H1622</f>
        <v>-1</v>
      </c>
      <c r="O1624" s="543" t="s">
        <v>1276</v>
      </c>
      <c r="P1624" s="2000"/>
      <c r="Q1624" s="2000"/>
      <c r="R1624" s="2005"/>
    </row>
    <row r="1625" customFormat="false" ht="14.25" hidden="false" customHeight="false" outlineLevel="0" collapsed="false">
      <c r="A1625" s="1609"/>
      <c r="B1625" s="903"/>
      <c r="C1625" s="1974"/>
      <c r="D1625" s="860" t="s">
        <v>13</v>
      </c>
      <c r="E1625" s="860" t="s">
        <v>1652</v>
      </c>
      <c r="F1625" s="904"/>
      <c r="G1625" s="1940"/>
      <c r="H1625" s="942"/>
      <c r="I1625" s="942"/>
      <c r="J1625" s="1406"/>
      <c r="K1625" s="948"/>
      <c r="L1625" s="866" t="n">
        <v>677.5485</v>
      </c>
      <c r="M1625" s="866" t="n">
        <v>15</v>
      </c>
      <c r="N1625" s="866" t="n">
        <f aca="false">M1625/H1622</f>
        <v>1</v>
      </c>
      <c r="O1625" s="543" t="s">
        <v>855</v>
      </c>
      <c r="P1625" s="2000"/>
      <c r="Q1625" s="2000"/>
      <c r="R1625" s="2005"/>
    </row>
    <row r="1626" customFormat="false" ht="14.25" hidden="false" customHeight="false" outlineLevel="0" collapsed="false">
      <c r="A1626" s="1609"/>
      <c r="B1626" s="903"/>
      <c r="C1626" s="1974"/>
      <c r="D1626" s="871" t="s">
        <v>13</v>
      </c>
      <c r="E1626" s="871" t="s">
        <v>1652</v>
      </c>
      <c r="F1626" s="904"/>
      <c r="G1626" s="1940"/>
      <c r="H1626" s="942"/>
      <c r="I1626" s="942"/>
      <c r="J1626" s="1406"/>
      <c r="K1626" s="948"/>
      <c r="L1626" s="877" t="n">
        <v>101632.275</v>
      </c>
      <c r="M1626" s="877" t="n">
        <v>2250</v>
      </c>
      <c r="N1626" s="877" t="n">
        <f aca="false">M1626/H1622</f>
        <v>150</v>
      </c>
      <c r="O1626" s="553" t="s">
        <v>3511</v>
      </c>
      <c r="P1626" s="2000"/>
      <c r="Q1626" s="2000"/>
      <c r="R1626" s="2005"/>
    </row>
    <row r="1627" customFormat="false" ht="14.25" hidden="false" customHeight="false" outlineLevel="0" collapsed="false">
      <c r="A1627" s="882" t="n">
        <v>607</v>
      </c>
      <c r="B1627" s="830" t="n">
        <v>2024</v>
      </c>
      <c r="C1627" s="1965" t="n">
        <v>45962</v>
      </c>
      <c r="D1627" s="831" t="s">
        <v>13</v>
      </c>
      <c r="E1627" s="831" t="s">
        <v>1651</v>
      </c>
      <c r="F1627" s="832" t="s">
        <v>3375</v>
      </c>
      <c r="G1627" s="1931" t="n">
        <v>136</v>
      </c>
      <c r="H1627" s="837" t="n">
        <v>15</v>
      </c>
      <c r="I1627" s="837" t="n">
        <f aca="false">G1627*H1627</f>
        <v>2040</v>
      </c>
      <c r="J1627" s="1059" t="n">
        <v>27.9149</v>
      </c>
      <c r="K1627" s="943" t="n">
        <f aca="false">I1627*J1627</f>
        <v>56946.396</v>
      </c>
      <c r="L1627" s="840" t="n">
        <v>41872.35</v>
      </c>
      <c r="M1627" s="840" t="n">
        <v>1500</v>
      </c>
      <c r="N1627" s="886" t="n">
        <f aca="false">M1627/H1627</f>
        <v>100</v>
      </c>
      <c r="O1627" s="1114" t="s">
        <v>3512</v>
      </c>
      <c r="P1627" s="1934" t="n">
        <f aca="false">K1627-L1627-L1629-L1628</f>
        <v>-0.000499999997828127</v>
      </c>
      <c r="Q1627" s="1934" t="n">
        <f aca="false">I1627-M1627-M1629-M1628</f>
        <v>0</v>
      </c>
      <c r="R1627" s="1935" t="n">
        <f aca="false">G1627-N1627-N1628-N1629</f>
        <v>0</v>
      </c>
    </row>
    <row r="1628" customFormat="false" ht="14.25" hidden="false" customHeight="false" outlineLevel="0" collapsed="false">
      <c r="A1628" s="882"/>
      <c r="B1628" s="830"/>
      <c r="C1628" s="1965"/>
      <c r="D1628" s="904" t="s">
        <v>13</v>
      </c>
      <c r="E1628" s="904" t="s">
        <v>1651</v>
      </c>
      <c r="F1628" s="832"/>
      <c r="G1628" s="1931"/>
      <c r="H1628" s="837"/>
      <c r="I1628" s="837"/>
      <c r="J1628" s="1059"/>
      <c r="K1628" s="943"/>
      <c r="L1628" s="891" t="n">
        <v>2931.065</v>
      </c>
      <c r="M1628" s="891" t="n">
        <v>105</v>
      </c>
      <c r="N1628" s="866" t="n">
        <f aca="false">M1628/H1627</f>
        <v>7</v>
      </c>
      <c r="O1628" s="942" t="s">
        <v>984</v>
      </c>
      <c r="P1628" s="1934"/>
      <c r="Q1628" s="1934"/>
      <c r="R1628" s="1935"/>
    </row>
    <row r="1629" customFormat="false" ht="14.25" hidden="false" customHeight="false" outlineLevel="0" collapsed="false">
      <c r="A1629" s="882"/>
      <c r="B1629" s="830"/>
      <c r="C1629" s="1965"/>
      <c r="D1629" s="843" t="s">
        <v>13</v>
      </c>
      <c r="E1629" s="843" t="s">
        <v>1651</v>
      </c>
      <c r="F1629" s="832"/>
      <c r="G1629" s="1931"/>
      <c r="H1629" s="837"/>
      <c r="I1629" s="837"/>
      <c r="J1629" s="1059"/>
      <c r="K1629" s="943"/>
      <c r="L1629" s="846" t="n">
        <v>12142.9815</v>
      </c>
      <c r="M1629" s="846" t="n">
        <v>435</v>
      </c>
      <c r="N1629" s="846" t="n">
        <f aca="false">M1629/H1627</f>
        <v>29</v>
      </c>
      <c r="O1629" s="589" t="s">
        <v>3513</v>
      </c>
      <c r="P1629" s="1934"/>
      <c r="Q1629" s="1934"/>
      <c r="R1629" s="1935"/>
    </row>
    <row r="1630" customFormat="false" ht="14.25" hidden="false" customHeight="false" outlineLevel="0" collapsed="false">
      <c r="A1630" s="1087" t="n">
        <v>608</v>
      </c>
      <c r="B1630" s="1072" t="n">
        <v>2024</v>
      </c>
      <c r="C1630" s="1980" t="n">
        <v>45962</v>
      </c>
      <c r="D1630" s="904" t="s">
        <v>13</v>
      </c>
      <c r="E1630" s="904" t="s">
        <v>1651</v>
      </c>
      <c r="F1630" s="887" t="s">
        <v>3364</v>
      </c>
      <c r="G1630" s="1950" t="n">
        <v>138</v>
      </c>
      <c r="H1630" s="1067" t="n">
        <v>15</v>
      </c>
      <c r="I1630" s="1067" t="n">
        <f aca="false">G1630*H1630</f>
        <v>2070</v>
      </c>
      <c r="J1630" s="1063" t="n">
        <v>28.4138</v>
      </c>
      <c r="K1630" s="1452" t="n">
        <f aca="false">I1630*J1630</f>
        <v>58816.566</v>
      </c>
      <c r="L1630" s="891" t="n">
        <v>7245.519</v>
      </c>
      <c r="M1630" s="891" t="n">
        <v>255</v>
      </c>
      <c r="N1630" s="891" t="n">
        <f aca="false">M1630/H1630</f>
        <v>17</v>
      </c>
      <c r="O1630" s="942" t="s">
        <v>743</v>
      </c>
      <c r="P1630" s="1981" t="n">
        <f aca="false">K1630-L1630-L1631</f>
        <v>0</v>
      </c>
      <c r="Q1630" s="1953" t="n">
        <f aca="false">I1630-M1630-M1631</f>
        <v>0</v>
      </c>
      <c r="R1630" s="1954" t="n">
        <f aca="false">G1630-N1630-N1631</f>
        <v>0</v>
      </c>
    </row>
    <row r="1631" customFormat="false" ht="14.25" hidden="false" customHeight="false" outlineLevel="0" collapsed="false">
      <c r="A1631" s="1087"/>
      <c r="B1631" s="1072"/>
      <c r="C1631" s="1980"/>
      <c r="D1631" s="843" t="s">
        <v>13</v>
      </c>
      <c r="E1631" s="843" t="s">
        <v>1651</v>
      </c>
      <c r="F1631" s="887"/>
      <c r="G1631" s="1950"/>
      <c r="H1631" s="1067"/>
      <c r="I1631" s="1067"/>
      <c r="J1631" s="1063"/>
      <c r="K1631" s="1452"/>
      <c r="L1631" s="846" t="n">
        <v>51571.047</v>
      </c>
      <c r="M1631" s="846" t="n">
        <v>1815</v>
      </c>
      <c r="N1631" s="846" t="n">
        <f aca="false">M1631/H1630</f>
        <v>121</v>
      </c>
      <c r="O1631" s="589" t="s">
        <v>3411</v>
      </c>
      <c r="P1631" s="1981"/>
      <c r="Q1631" s="1953"/>
      <c r="R1631" s="1954"/>
    </row>
    <row r="1632" customFormat="false" ht="14.25" hidden="false" customHeight="false" outlineLevel="0" collapsed="false">
      <c r="A1632" s="903" t="n">
        <v>633</v>
      </c>
      <c r="B1632" s="903" t="n">
        <v>2024</v>
      </c>
      <c r="C1632" s="1974" t="n">
        <v>45992</v>
      </c>
      <c r="D1632" s="904" t="s">
        <v>13</v>
      </c>
      <c r="E1632" s="904" t="s">
        <v>2130</v>
      </c>
      <c r="F1632" s="904" t="s">
        <v>3364</v>
      </c>
      <c r="G1632" s="1940" t="n">
        <v>375</v>
      </c>
      <c r="H1632" s="942" t="n">
        <v>25</v>
      </c>
      <c r="I1632" s="891" t="n">
        <f aca="false">G1632*H1632</f>
        <v>9375</v>
      </c>
      <c r="J1632" s="946" t="n">
        <v>87.4229</v>
      </c>
      <c r="K1632" s="948" t="n">
        <f aca="false">I1632*J1632</f>
        <v>819589.6875</v>
      </c>
      <c r="L1632" s="891" t="n">
        <v>819589.6875</v>
      </c>
      <c r="M1632" s="891" t="n">
        <v>9375</v>
      </c>
      <c r="N1632" s="854" t="n">
        <f aca="false">M1632/H1632</f>
        <v>375</v>
      </c>
      <c r="O1632" s="942" t="s">
        <v>3514</v>
      </c>
      <c r="P1632" s="1947" t="n">
        <f aca="false">K1632-L1632</f>
        <v>0</v>
      </c>
      <c r="Q1632" s="1946" t="n">
        <f aca="false">I1632-M1632</f>
        <v>0</v>
      </c>
      <c r="R1632" s="1946" t="n">
        <f aca="false">G1632-N1632</f>
        <v>0</v>
      </c>
    </row>
    <row r="1633" customFormat="false" ht="14.25" hidden="false" customHeight="false" outlineLevel="0" collapsed="false">
      <c r="A1633" s="829" t="n">
        <v>634</v>
      </c>
      <c r="B1633" s="830" t="n">
        <v>2024</v>
      </c>
      <c r="C1633" s="1965" t="n">
        <v>45992</v>
      </c>
      <c r="D1633" s="1328" t="s">
        <v>13</v>
      </c>
      <c r="E1633" s="1328" t="s">
        <v>1652</v>
      </c>
      <c r="F1633" s="832" t="s">
        <v>3364</v>
      </c>
      <c r="G1633" s="1931" t="n">
        <v>233</v>
      </c>
      <c r="H1633" s="837" t="n">
        <v>15</v>
      </c>
      <c r="I1633" s="837" t="n">
        <f aca="false">G1633*H1633</f>
        <v>3495</v>
      </c>
      <c r="J1633" s="1059" t="n">
        <v>38.9676</v>
      </c>
      <c r="K1633" s="943" t="n">
        <f aca="false">I1633*J1633</f>
        <v>136191.762</v>
      </c>
      <c r="L1633" s="886" t="n">
        <v>2338.056</v>
      </c>
      <c r="M1633" s="886" t="n">
        <v>60</v>
      </c>
      <c r="N1633" s="886" t="n">
        <f aca="false">M1633/H1633</f>
        <v>4</v>
      </c>
      <c r="O1633" s="1036" t="s">
        <v>3510</v>
      </c>
      <c r="P1633" s="1937" t="n">
        <f aca="false">K1633-L1633-L1637-L1634-L1636-L1635</f>
        <v>0</v>
      </c>
      <c r="Q1633" s="1934" t="n">
        <f aca="false">I1633-M1633-M1637-M1634-M1636-M1635</f>
        <v>0</v>
      </c>
      <c r="R1633" s="1935" t="n">
        <f aca="false">G1633-N1633-N1637-N1634-N1636-N1635</f>
        <v>0</v>
      </c>
    </row>
    <row r="1634" customFormat="false" ht="14.25" hidden="false" customHeight="false" outlineLevel="0" collapsed="false">
      <c r="A1634" s="829"/>
      <c r="B1634" s="830"/>
      <c r="C1634" s="1965"/>
      <c r="D1634" s="860" t="s">
        <v>13</v>
      </c>
      <c r="E1634" s="860" t="s">
        <v>1652</v>
      </c>
      <c r="F1634" s="832"/>
      <c r="G1634" s="1931"/>
      <c r="H1634" s="837"/>
      <c r="I1634" s="837"/>
      <c r="J1634" s="1059"/>
      <c r="K1634" s="943"/>
      <c r="L1634" s="866" t="n">
        <v>9936.738</v>
      </c>
      <c r="M1634" s="866" t="n">
        <v>255</v>
      </c>
      <c r="N1634" s="866" t="n">
        <f aca="false">M1634/H1633</f>
        <v>17</v>
      </c>
      <c r="O1634" s="543" t="s">
        <v>3511</v>
      </c>
      <c r="P1634" s="1937"/>
      <c r="Q1634" s="1934"/>
      <c r="R1634" s="1935"/>
    </row>
    <row r="1635" customFormat="false" ht="14.25" hidden="false" customHeight="false" outlineLevel="0" collapsed="false">
      <c r="A1635" s="829"/>
      <c r="B1635" s="830"/>
      <c r="C1635" s="1965"/>
      <c r="D1635" s="871" t="s">
        <v>13</v>
      </c>
      <c r="E1635" s="871" t="s">
        <v>1652</v>
      </c>
      <c r="F1635" s="832"/>
      <c r="G1635" s="1931"/>
      <c r="H1635" s="837"/>
      <c r="I1635" s="837"/>
      <c r="J1635" s="1059"/>
      <c r="K1635" s="943"/>
      <c r="L1635" s="877" t="n">
        <v>116318.286</v>
      </c>
      <c r="M1635" s="877" t="n">
        <v>2985</v>
      </c>
      <c r="N1635" s="866" t="n">
        <f aca="false">M1635/H1633</f>
        <v>199</v>
      </c>
      <c r="O1635" s="553" t="s">
        <v>1312</v>
      </c>
      <c r="P1635" s="1937"/>
      <c r="Q1635" s="1934"/>
      <c r="R1635" s="1935"/>
    </row>
    <row r="1636" customFormat="false" ht="14.25" hidden="false" customHeight="false" outlineLevel="0" collapsed="false">
      <c r="A1636" s="829"/>
      <c r="B1636" s="830"/>
      <c r="C1636" s="1965"/>
      <c r="D1636" s="871" t="s">
        <v>13</v>
      </c>
      <c r="E1636" s="871" t="s">
        <v>1652</v>
      </c>
      <c r="F1636" s="832"/>
      <c r="G1636" s="1931"/>
      <c r="H1636" s="837"/>
      <c r="I1636" s="837"/>
      <c r="J1636" s="1059"/>
      <c r="K1636" s="943"/>
      <c r="L1636" s="877" t="n">
        <v>1753.542</v>
      </c>
      <c r="M1636" s="877" t="n">
        <v>45</v>
      </c>
      <c r="N1636" s="866" t="n">
        <f aca="false">M1636/H1633</f>
        <v>3</v>
      </c>
      <c r="O1636" s="553" t="s">
        <v>961</v>
      </c>
      <c r="P1636" s="1937"/>
      <c r="Q1636" s="1934"/>
      <c r="R1636" s="1935"/>
    </row>
    <row r="1637" customFormat="false" ht="14.25" hidden="false" customHeight="false" outlineLevel="0" collapsed="false">
      <c r="A1637" s="829"/>
      <c r="B1637" s="830"/>
      <c r="C1637" s="1965"/>
      <c r="D1637" s="843" t="s">
        <v>13</v>
      </c>
      <c r="E1637" s="843" t="s">
        <v>1652</v>
      </c>
      <c r="F1637" s="832"/>
      <c r="G1637" s="1931"/>
      <c r="H1637" s="837"/>
      <c r="I1637" s="837"/>
      <c r="J1637" s="1059"/>
      <c r="K1637" s="943"/>
      <c r="L1637" s="846" t="n">
        <v>5845.14</v>
      </c>
      <c r="M1637" s="846" t="n">
        <v>150</v>
      </c>
      <c r="N1637" s="846" t="n">
        <f aca="false">M1637/H1633</f>
        <v>10</v>
      </c>
      <c r="O1637" s="589" t="s">
        <v>912</v>
      </c>
      <c r="P1637" s="1937"/>
      <c r="Q1637" s="1934"/>
      <c r="R1637" s="1935"/>
    </row>
    <row r="1638" customFormat="false" ht="14.25" hidden="false" customHeight="false" outlineLevel="0" collapsed="false">
      <c r="A1638" s="829" t="n">
        <v>694</v>
      </c>
      <c r="B1638" s="830" t="n">
        <v>2024</v>
      </c>
      <c r="C1638" s="1965" t="n">
        <v>45992</v>
      </c>
      <c r="D1638" s="831" t="s">
        <v>13</v>
      </c>
      <c r="E1638" s="831" t="s">
        <v>1651</v>
      </c>
      <c r="F1638" s="832" t="s">
        <v>3364</v>
      </c>
      <c r="G1638" s="1931" t="n">
        <v>259</v>
      </c>
      <c r="H1638" s="837" t="n">
        <v>15</v>
      </c>
      <c r="I1638" s="837" t="n">
        <f aca="false">G1638*H1638</f>
        <v>3885</v>
      </c>
      <c r="J1638" s="1059" t="n">
        <v>36.3379</v>
      </c>
      <c r="K1638" s="943" t="n">
        <f aca="false">I1638*J1638</f>
        <v>141172.7415</v>
      </c>
      <c r="L1638" s="840" t="n">
        <v>124820.6865</v>
      </c>
      <c r="M1638" s="840" t="n">
        <v>3435</v>
      </c>
      <c r="N1638" s="886" t="n">
        <f aca="false">M1638/H1638</f>
        <v>229</v>
      </c>
      <c r="O1638" s="1114" t="s">
        <v>936</v>
      </c>
      <c r="P1638" s="1948" t="n">
        <f aca="false">K1638-L1638-L1639</f>
        <v>0</v>
      </c>
      <c r="Q1638" s="1934" t="n">
        <f aca="false">I1638-M1638-M1639</f>
        <v>0</v>
      </c>
      <c r="R1638" s="1935" t="n">
        <f aca="false">G1638-N1638-N1639</f>
        <v>0</v>
      </c>
    </row>
    <row r="1639" customFormat="false" ht="14.25" hidden="false" customHeight="false" outlineLevel="0" collapsed="false">
      <c r="A1639" s="829"/>
      <c r="B1639" s="830"/>
      <c r="C1639" s="1965"/>
      <c r="D1639" s="887" t="s">
        <v>13</v>
      </c>
      <c r="E1639" s="887" t="s">
        <v>1651</v>
      </c>
      <c r="F1639" s="832"/>
      <c r="G1639" s="1931"/>
      <c r="H1639" s="837"/>
      <c r="I1639" s="837"/>
      <c r="J1639" s="1059"/>
      <c r="K1639" s="943"/>
      <c r="L1639" s="890" t="n">
        <v>16352.055</v>
      </c>
      <c r="M1639" s="890" t="n">
        <v>450</v>
      </c>
      <c r="N1639" s="846" t="n">
        <f aca="false">M1639/H1638</f>
        <v>30</v>
      </c>
      <c r="O1639" s="1067" t="s">
        <v>1278</v>
      </c>
      <c r="P1639" s="1948"/>
      <c r="Q1639" s="1934"/>
      <c r="R1639" s="1935"/>
    </row>
    <row r="1640" customFormat="false" ht="14.25" hidden="false" customHeight="false" outlineLevel="0" collapsed="false">
      <c r="A1640" s="903" t="n">
        <v>695</v>
      </c>
      <c r="B1640" s="903" t="n">
        <v>2024</v>
      </c>
      <c r="C1640" s="1974" t="n">
        <v>45992</v>
      </c>
      <c r="D1640" s="904" t="s">
        <v>13</v>
      </c>
      <c r="E1640" s="904" t="s">
        <v>1651</v>
      </c>
      <c r="F1640" s="904" t="s">
        <v>3364</v>
      </c>
      <c r="G1640" s="1940" t="n">
        <v>30</v>
      </c>
      <c r="H1640" s="942" t="n">
        <v>15</v>
      </c>
      <c r="I1640" s="891" t="n">
        <f aca="false">G1640*H1640</f>
        <v>450</v>
      </c>
      <c r="J1640" s="1406" t="n">
        <v>36.3379</v>
      </c>
      <c r="K1640" s="948" t="n">
        <f aca="false">I1640*J1640</f>
        <v>16352.055</v>
      </c>
      <c r="L1640" s="891" t="n">
        <v>16352.055</v>
      </c>
      <c r="M1640" s="891" t="n">
        <v>450</v>
      </c>
      <c r="N1640" s="891" t="n">
        <f aca="false">M1640/H1640</f>
        <v>30</v>
      </c>
      <c r="O1640" s="942" t="s">
        <v>936</v>
      </c>
      <c r="P1640" s="1947" t="n">
        <f aca="false">K1640-L1640</f>
        <v>0</v>
      </c>
      <c r="Q1640" s="1946" t="n">
        <f aca="false">I1640-M1640</f>
        <v>0</v>
      </c>
      <c r="R1640" s="1946" t="n">
        <f aca="false">G1640-N1640</f>
        <v>0</v>
      </c>
    </row>
    <row r="1641" customFormat="false" ht="14.25" hidden="false" customHeight="false" outlineLevel="0" collapsed="false">
      <c r="A1641" s="882" t="n">
        <v>706</v>
      </c>
      <c r="B1641" s="830" t="n">
        <v>2024</v>
      </c>
      <c r="C1641" s="1965" t="n">
        <v>45992</v>
      </c>
      <c r="D1641" s="831" t="s">
        <v>13</v>
      </c>
      <c r="E1641" s="831" t="s">
        <v>1651</v>
      </c>
      <c r="F1641" s="832" t="s">
        <v>3364</v>
      </c>
      <c r="G1641" s="1931" t="n">
        <v>640</v>
      </c>
      <c r="H1641" s="837" t="n">
        <v>15</v>
      </c>
      <c r="I1641" s="837" t="n">
        <f aca="false">G1641*H1641</f>
        <v>9600</v>
      </c>
      <c r="J1641" s="1059" t="n">
        <v>36.3379</v>
      </c>
      <c r="K1641" s="943" t="n">
        <f aca="false">I1641*J1641</f>
        <v>348843.84</v>
      </c>
      <c r="L1641" s="886" t="n">
        <v>54506.85</v>
      </c>
      <c r="M1641" s="886" t="n">
        <v>1500</v>
      </c>
      <c r="N1641" s="886" t="n">
        <f aca="false">M1641/H1641</f>
        <v>100</v>
      </c>
      <c r="O1641" s="1036" t="s">
        <v>671</v>
      </c>
      <c r="P1641" s="1948" t="n">
        <f aca="false">K1641-L1641-L1646-L1645-L1642-L1644-L1643</f>
        <v>0</v>
      </c>
      <c r="Q1641" s="1934" t="n">
        <f aca="false">I1641-M1641-M1646-M1645-M1642-M1644-M1643</f>
        <v>0</v>
      </c>
      <c r="R1641" s="1935" t="n">
        <f aca="false">G1641-N1641-N1646-N1645-N1642-N1644-N1643</f>
        <v>0</v>
      </c>
    </row>
    <row r="1642" customFormat="false" ht="14.25" hidden="false" customHeight="false" outlineLevel="0" collapsed="false">
      <c r="A1642" s="882"/>
      <c r="B1642" s="830"/>
      <c r="C1642" s="1965"/>
      <c r="D1642" s="860" t="s">
        <v>13</v>
      </c>
      <c r="E1642" s="860" t="s">
        <v>1651</v>
      </c>
      <c r="F1642" s="832"/>
      <c r="G1642" s="1931"/>
      <c r="H1642" s="837"/>
      <c r="I1642" s="837"/>
      <c r="J1642" s="1059"/>
      <c r="K1642" s="943"/>
      <c r="L1642" s="866" t="n">
        <v>109013.7</v>
      </c>
      <c r="M1642" s="866" t="n">
        <v>3000</v>
      </c>
      <c r="N1642" s="866" t="n">
        <f aca="false">M1642/H1641</f>
        <v>200</v>
      </c>
      <c r="O1642" s="543" t="s">
        <v>682</v>
      </c>
      <c r="P1642" s="1948"/>
      <c r="Q1642" s="1934"/>
      <c r="R1642" s="1935"/>
    </row>
    <row r="1643" customFormat="false" ht="14.25" hidden="false" customHeight="false" outlineLevel="0" collapsed="false">
      <c r="A1643" s="882"/>
      <c r="B1643" s="830"/>
      <c r="C1643" s="1965"/>
      <c r="D1643" s="860" t="s">
        <v>13</v>
      </c>
      <c r="E1643" s="860" t="s">
        <v>1651</v>
      </c>
      <c r="F1643" s="832"/>
      <c r="G1643" s="1931"/>
      <c r="H1643" s="837"/>
      <c r="I1643" s="837"/>
      <c r="J1643" s="1059"/>
      <c r="K1643" s="943"/>
      <c r="L1643" s="866" t="n">
        <v>26708.3565</v>
      </c>
      <c r="M1643" s="866" t="n">
        <v>735</v>
      </c>
      <c r="N1643" s="866" t="n">
        <f aca="false">M1643/H1641</f>
        <v>49</v>
      </c>
      <c r="O1643" s="543" t="s">
        <v>3462</v>
      </c>
      <c r="P1643" s="1948"/>
      <c r="Q1643" s="1934"/>
      <c r="R1643" s="1935"/>
    </row>
    <row r="1644" customFormat="false" ht="14.25" hidden="false" customHeight="false" outlineLevel="0" collapsed="false">
      <c r="A1644" s="882"/>
      <c r="B1644" s="830"/>
      <c r="C1644" s="1965"/>
      <c r="D1644" s="860" t="s">
        <v>13</v>
      </c>
      <c r="E1644" s="860" t="s">
        <v>1651</v>
      </c>
      <c r="F1644" s="832"/>
      <c r="G1644" s="1931"/>
      <c r="H1644" s="837"/>
      <c r="I1644" s="837"/>
      <c r="J1644" s="1059"/>
      <c r="K1644" s="943"/>
      <c r="L1644" s="866" t="n">
        <v>31068.9045</v>
      </c>
      <c r="M1644" s="866" t="n">
        <v>855</v>
      </c>
      <c r="N1644" s="866" t="n">
        <f aca="false">M1644/H1641</f>
        <v>57</v>
      </c>
      <c r="O1644" s="543" t="s">
        <v>955</v>
      </c>
      <c r="P1644" s="1948"/>
      <c r="Q1644" s="1934"/>
      <c r="R1644" s="1935"/>
    </row>
    <row r="1645" customFormat="false" ht="14.25" hidden="false" customHeight="false" outlineLevel="0" collapsed="false">
      <c r="A1645" s="882"/>
      <c r="B1645" s="830"/>
      <c r="C1645" s="1965"/>
      <c r="D1645" s="860" t="s">
        <v>13</v>
      </c>
      <c r="E1645" s="860" t="s">
        <v>1651</v>
      </c>
      <c r="F1645" s="832"/>
      <c r="G1645" s="1931"/>
      <c r="H1645" s="837"/>
      <c r="I1645" s="837"/>
      <c r="J1645" s="1059"/>
      <c r="K1645" s="943"/>
      <c r="L1645" s="866" t="n">
        <v>73039.179</v>
      </c>
      <c r="M1645" s="866" t="n">
        <v>2010</v>
      </c>
      <c r="N1645" s="866" t="n">
        <f aca="false">M1645/H1641</f>
        <v>134</v>
      </c>
      <c r="O1645" s="543" t="s">
        <v>3515</v>
      </c>
      <c r="P1645" s="1948"/>
      <c r="Q1645" s="1934"/>
      <c r="R1645" s="1935"/>
    </row>
    <row r="1646" customFormat="false" ht="14.25" hidden="false" customHeight="false" outlineLevel="0" collapsed="false">
      <c r="A1646" s="882"/>
      <c r="B1646" s="830"/>
      <c r="C1646" s="1965"/>
      <c r="D1646" s="843" t="s">
        <v>13</v>
      </c>
      <c r="E1646" s="843" t="s">
        <v>1651</v>
      </c>
      <c r="F1646" s="832"/>
      <c r="G1646" s="1931"/>
      <c r="H1646" s="837"/>
      <c r="I1646" s="837"/>
      <c r="J1646" s="1059"/>
      <c r="K1646" s="943"/>
      <c r="L1646" s="846" t="n">
        <v>54506.85</v>
      </c>
      <c r="M1646" s="846" t="n">
        <v>1500</v>
      </c>
      <c r="N1646" s="846" t="n">
        <f aca="false">M1646/H1641</f>
        <v>100</v>
      </c>
      <c r="O1646" s="589" t="s">
        <v>670</v>
      </c>
      <c r="P1646" s="1948"/>
      <c r="Q1646" s="1934"/>
      <c r="R1646" s="1935"/>
    </row>
    <row r="1647" customFormat="false" ht="14.25" hidden="false" customHeight="false" outlineLevel="0" collapsed="false">
      <c r="A1647" s="882" t="n">
        <v>709</v>
      </c>
      <c r="B1647" s="830" t="n">
        <v>2024</v>
      </c>
      <c r="C1647" s="1965" t="n">
        <v>45992</v>
      </c>
      <c r="D1647" s="831" t="s">
        <v>13</v>
      </c>
      <c r="E1647" s="831" t="s">
        <v>1651</v>
      </c>
      <c r="F1647" s="832" t="s">
        <v>3364</v>
      </c>
      <c r="G1647" s="1931" t="n">
        <v>666</v>
      </c>
      <c r="H1647" s="837" t="n">
        <v>15</v>
      </c>
      <c r="I1647" s="837" t="n">
        <f aca="false">G1647*H1647</f>
        <v>9990</v>
      </c>
      <c r="J1647" s="1059" t="n">
        <v>36.3379</v>
      </c>
      <c r="K1647" s="943" t="n">
        <f aca="false">I1647*J1647</f>
        <v>363015.621</v>
      </c>
      <c r="L1647" s="886" t="n">
        <v>54506.85</v>
      </c>
      <c r="M1647" s="886" t="n">
        <v>1500</v>
      </c>
      <c r="N1647" s="886" t="n">
        <f aca="false">M1647/H1647</f>
        <v>100</v>
      </c>
      <c r="O1647" s="1036" t="s">
        <v>3516</v>
      </c>
      <c r="P1647" s="1948" t="n">
        <f aca="false">K1647-L1647-L1657-L1656-L1648-L1649-L1655-L1651-L1654-L1650-L1653-L1652</f>
        <v>0</v>
      </c>
      <c r="Q1647" s="1934" t="n">
        <f aca="false">I1647-M1647-M1657-M1656-M1648-M1649-M1655-M1651-M1654-M1650-M1653-M1652</f>
        <v>0</v>
      </c>
      <c r="R1647" s="1935" t="n">
        <f aca="false">G1647-N1647-N1657-N1656-N1648-N1649-N1655-N1651-N1654-N1650-N1653-N1652</f>
        <v>0</v>
      </c>
    </row>
    <row r="1648" customFormat="false" ht="14.25" hidden="false" customHeight="false" outlineLevel="0" collapsed="false">
      <c r="A1648" s="882"/>
      <c r="B1648" s="830"/>
      <c r="C1648" s="1965"/>
      <c r="D1648" s="860" t="s">
        <v>13</v>
      </c>
      <c r="E1648" s="860" t="s">
        <v>1651</v>
      </c>
      <c r="F1648" s="832"/>
      <c r="G1648" s="1931"/>
      <c r="H1648" s="837"/>
      <c r="I1648" s="837"/>
      <c r="J1648" s="1059"/>
      <c r="K1648" s="943"/>
      <c r="L1648" s="866" t="n">
        <v>21802.74</v>
      </c>
      <c r="M1648" s="866" t="n">
        <v>600</v>
      </c>
      <c r="N1648" s="866" t="n">
        <f aca="false">M1648/H1647</f>
        <v>40</v>
      </c>
      <c r="O1648" s="543" t="s">
        <v>945</v>
      </c>
      <c r="P1648" s="1948"/>
      <c r="Q1648" s="1934"/>
      <c r="R1648" s="1935"/>
    </row>
    <row r="1649" customFormat="false" ht="14.25" hidden="false" customHeight="false" outlineLevel="0" collapsed="false">
      <c r="A1649" s="882"/>
      <c r="B1649" s="830"/>
      <c r="C1649" s="1965"/>
      <c r="D1649" s="860" t="s">
        <v>13</v>
      </c>
      <c r="E1649" s="860" t="s">
        <v>1651</v>
      </c>
      <c r="F1649" s="832"/>
      <c r="G1649" s="1931"/>
      <c r="H1649" s="837"/>
      <c r="I1649" s="837"/>
      <c r="J1649" s="1059"/>
      <c r="K1649" s="943"/>
      <c r="L1649" s="866" t="n">
        <v>43605.48</v>
      </c>
      <c r="M1649" s="866" t="n">
        <v>1200</v>
      </c>
      <c r="N1649" s="866" t="n">
        <f aca="false">M1649/H1647</f>
        <v>80</v>
      </c>
      <c r="O1649" s="543" t="s">
        <v>946</v>
      </c>
      <c r="P1649" s="1948"/>
      <c r="Q1649" s="1934"/>
      <c r="R1649" s="1935"/>
    </row>
    <row r="1650" customFormat="false" ht="14.25" hidden="false" customHeight="false" outlineLevel="0" collapsed="false">
      <c r="A1650" s="882"/>
      <c r="B1650" s="830"/>
      <c r="C1650" s="1965"/>
      <c r="D1650" s="860" t="s">
        <v>13</v>
      </c>
      <c r="E1650" s="860" t="s">
        <v>1651</v>
      </c>
      <c r="F1650" s="832"/>
      <c r="G1650" s="1931"/>
      <c r="H1650" s="837"/>
      <c r="I1650" s="837"/>
      <c r="J1650" s="1059"/>
      <c r="K1650" s="943"/>
      <c r="L1650" s="866" t="n">
        <v>2180.274</v>
      </c>
      <c r="M1650" s="866" t="n">
        <v>60</v>
      </c>
      <c r="N1650" s="866" t="n">
        <f aca="false">M1650/H1647</f>
        <v>4</v>
      </c>
      <c r="O1650" s="543" t="s">
        <v>960</v>
      </c>
      <c r="P1650" s="1948"/>
      <c r="Q1650" s="1934"/>
      <c r="R1650" s="1935"/>
    </row>
    <row r="1651" customFormat="false" ht="14.25" hidden="false" customHeight="false" outlineLevel="0" collapsed="false">
      <c r="A1651" s="882"/>
      <c r="B1651" s="830"/>
      <c r="C1651" s="1965"/>
      <c r="D1651" s="860" t="s">
        <v>13</v>
      </c>
      <c r="E1651" s="860" t="s">
        <v>1651</v>
      </c>
      <c r="F1651" s="832"/>
      <c r="G1651" s="1931"/>
      <c r="H1651" s="837"/>
      <c r="I1651" s="837"/>
      <c r="J1651" s="1059"/>
      <c r="K1651" s="943"/>
      <c r="L1651" s="866" t="n">
        <v>121550.2755</v>
      </c>
      <c r="M1651" s="866" t="n">
        <v>3345</v>
      </c>
      <c r="N1651" s="866" t="n">
        <f aca="false">M1651/H1647</f>
        <v>223</v>
      </c>
      <c r="O1651" s="543" t="s">
        <v>404</v>
      </c>
      <c r="P1651" s="1948"/>
      <c r="Q1651" s="1934"/>
      <c r="R1651" s="1935"/>
    </row>
    <row r="1652" customFormat="false" ht="14.25" hidden="false" customHeight="false" outlineLevel="0" collapsed="false">
      <c r="A1652" s="882"/>
      <c r="B1652" s="830"/>
      <c r="C1652" s="1965"/>
      <c r="D1652" s="860" t="s">
        <v>13</v>
      </c>
      <c r="E1652" s="860" t="s">
        <v>1651</v>
      </c>
      <c r="F1652" s="832"/>
      <c r="G1652" s="1931"/>
      <c r="H1652" s="837"/>
      <c r="I1652" s="837"/>
      <c r="J1652" s="1059"/>
      <c r="K1652" s="943"/>
      <c r="L1652" s="866" t="n">
        <v>-13626.7125</v>
      </c>
      <c r="M1652" s="866" t="n">
        <v>-375</v>
      </c>
      <c r="N1652" s="866" t="n">
        <f aca="false">M1652/H1647</f>
        <v>-25</v>
      </c>
      <c r="O1652" s="543" t="s">
        <v>1634</v>
      </c>
      <c r="P1652" s="1948"/>
      <c r="Q1652" s="1934"/>
      <c r="R1652" s="1935"/>
    </row>
    <row r="1653" customFormat="false" ht="14.25" hidden="false" customHeight="false" outlineLevel="0" collapsed="false">
      <c r="A1653" s="882"/>
      <c r="B1653" s="830"/>
      <c r="C1653" s="1965"/>
      <c r="D1653" s="860" t="s">
        <v>13</v>
      </c>
      <c r="E1653" s="860" t="s">
        <v>1651</v>
      </c>
      <c r="F1653" s="832"/>
      <c r="G1653" s="1931"/>
      <c r="H1653" s="837"/>
      <c r="I1653" s="837"/>
      <c r="J1653" s="1059"/>
      <c r="K1653" s="943"/>
      <c r="L1653" s="866" t="n">
        <v>13626.7125</v>
      </c>
      <c r="M1653" s="866" t="n">
        <v>375</v>
      </c>
      <c r="N1653" s="866" t="n">
        <f aca="false">M1653/H1647</f>
        <v>25</v>
      </c>
      <c r="O1653" s="543" t="s">
        <v>1252</v>
      </c>
      <c r="P1653" s="1948"/>
      <c r="Q1653" s="1934"/>
      <c r="R1653" s="1935"/>
    </row>
    <row r="1654" customFormat="false" ht="14.25" hidden="false" customHeight="false" outlineLevel="0" collapsed="false">
      <c r="A1654" s="882"/>
      <c r="B1654" s="830"/>
      <c r="C1654" s="1965"/>
      <c r="D1654" s="860" t="s">
        <v>13</v>
      </c>
      <c r="E1654" s="860" t="s">
        <v>1651</v>
      </c>
      <c r="F1654" s="832"/>
      <c r="G1654" s="1931"/>
      <c r="H1654" s="837"/>
      <c r="I1654" s="837"/>
      <c r="J1654" s="1059"/>
      <c r="K1654" s="943"/>
      <c r="L1654" s="866" t="n">
        <v>5450.685</v>
      </c>
      <c r="M1654" s="866" t="n">
        <v>150</v>
      </c>
      <c r="N1654" s="866" t="n">
        <f aca="false">M1654/H1647</f>
        <v>10</v>
      </c>
      <c r="O1654" s="543" t="s">
        <v>955</v>
      </c>
      <c r="P1654" s="1948"/>
      <c r="Q1654" s="1934"/>
      <c r="R1654" s="1935"/>
    </row>
    <row r="1655" customFormat="false" ht="14.25" hidden="false" customHeight="false" outlineLevel="0" collapsed="false">
      <c r="A1655" s="882"/>
      <c r="B1655" s="830"/>
      <c r="C1655" s="1965"/>
      <c r="D1655" s="860" t="s">
        <v>13</v>
      </c>
      <c r="E1655" s="860" t="s">
        <v>1651</v>
      </c>
      <c r="F1655" s="832"/>
      <c r="G1655" s="1931"/>
      <c r="H1655" s="837"/>
      <c r="I1655" s="837"/>
      <c r="J1655" s="1059"/>
      <c r="K1655" s="943"/>
      <c r="L1655" s="866" t="n">
        <v>48511.0965</v>
      </c>
      <c r="M1655" s="866" t="n">
        <v>1335</v>
      </c>
      <c r="N1655" s="866" t="n">
        <f aca="false">M1655/H1647</f>
        <v>89</v>
      </c>
      <c r="O1655" s="543" t="s">
        <v>385</v>
      </c>
      <c r="P1655" s="1948"/>
      <c r="Q1655" s="1934"/>
      <c r="R1655" s="1935"/>
    </row>
    <row r="1656" customFormat="false" ht="14.25" hidden="false" customHeight="false" outlineLevel="0" collapsed="false">
      <c r="A1656" s="882"/>
      <c r="B1656" s="830"/>
      <c r="C1656" s="1965"/>
      <c r="D1656" s="860" t="s">
        <v>13</v>
      </c>
      <c r="E1656" s="860" t="s">
        <v>1651</v>
      </c>
      <c r="F1656" s="832"/>
      <c r="G1656" s="1931"/>
      <c r="H1656" s="837"/>
      <c r="I1656" s="837"/>
      <c r="J1656" s="1059"/>
      <c r="K1656" s="943"/>
      <c r="L1656" s="866" t="n">
        <v>43605.48</v>
      </c>
      <c r="M1656" s="866" t="n">
        <v>1200</v>
      </c>
      <c r="N1656" s="866" t="n">
        <f aca="false">M1656/H1647</f>
        <v>80</v>
      </c>
      <c r="O1656" s="543" t="s">
        <v>944</v>
      </c>
      <c r="P1656" s="1948"/>
      <c r="Q1656" s="1934"/>
      <c r="R1656" s="1935"/>
    </row>
    <row r="1657" customFormat="false" ht="14.25" hidden="false" customHeight="false" outlineLevel="0" collapsed="false">
      <c r="A1657" s="882"/>
      <c r="B1657" s="830"/>
      <c r="C1657" s="1965"/>
      <c r="D1657" s="843" t="s">
        <v>13</v>
      </c>
      <c r="E1657" s="843" t="s">
        <v>1651</v>
      </c>
      <c r="F1657" s="832"/>
      <c r="G1657" s="1931"/>
      <c r="H1657" s="837"/>
      <c r="I1657" s="837"/>
      <c r="J1657" s="1059"/>
      <c r="K1657" s="943"/>
      <c r="L1657" s="846" t="n">
        <v>21802.74</v>
      </c>
      <c r="M1657" s="846" t="n">
        <v>600</v>
      </c>
      <c r="N1657" s="846" t="n">
        <f aca="false">M1657/H1647</f>
        <v>40</v>
      </c>
      <c r="O1657" s="589" t="s">
        <v>943</v>
      </c>
      <c r="P1657" s="1948"/>
      <c r="Q1657" s="1934"/>
      <c r="R1657" s="1935"/>
    </row>
    <row r="1658" customFormat="false" ht="14.25" hidden="false" customHeight="false" outlineLevel="0" collapsed="false">
      <c r="A1658" s="882" t="n">
        <v>712</v>
      </c>
      <c r="B1658" s="830" t="n">
        <v>2024</v>
      </c>
      <c r="C1658" s="1965" t="n">
        <v>45992</v>
      </c>
      <c r="D1658" s="831" t="s">
        <v>13</v>
      </c>
      <c r="E1658" s="831" t="s">
        <v>1651</v>
      </c>
      <c r="F1658" s="1445" t="s">
        <v>3364</v>
      </c>
      <c r="G1658" s="1119" t="n">
        <v>69</v>
      </c>
      <c r="H1658" s="837" t="n">
        <v>15</v>
      </c>
      <c r="I1658" s="837" t="n">
        <f aca="false">G1658*H1658</f>
        <v>1035</v>
      </c>
      <c r="J1658" s="1059" t="n">
        <v>36.5485</v>
      </c>
      <c r="K1658" s="943" t="n">
        <f aca="false">I1658*J1658</f>
        <v>37827.6975</v>
      </c>
      <c r="L1658" s="886" t="n">
        <v>7126.9575</v>
      </c>
      <c r="M1658" s="886" t="n">
        <v>195</v>
      </c>
      <c r="N1658" s="886" t="n">
        <f aca="false">M1658/H1658</f>
        <v>13</v>
      </c>
      <c r="O1658" s="1036" t="s">
        <v>3462</v>
      </c>
      <c r="P1658" s="1948" t="n">
        <f aca="false">K1658-L1658-L1660-L1659</f>
        <v>0</v>
      </c>
      <c r="Q1658" s="1934" t="n">
        <f aca="false">I1658-M1658-M1660-M1659</f>
        <v>0</v>
      </c>
      <c r="R1658" s="1935" t="n">
        <f aca="false">G1658-N1658-N1660-N1659</f>
        <v>0</v>
      </c>
    </row>
    <row r="1659" customFormat="false" ht="14.25" hidden="false" customHeight="false" outlineLevel="0" collapsed="false">
      <c r="A1659" s="882"/>
      <c r="B1659" s="830"/>
      <c r="C1659" s="1965"/>
      <c r="D1659" s="860" t="s">
        <v>13</v>
      </c>
      <c r="E1659" s="860" t="s">
        <v>1651</v>
      </c>
      <c r="F1659" s="1445"/>
      <c r="G1659" s="1119"/>
      <c r="H1659" s="837"/>
      <c r="I1659" s="837"/>
      <c r="J1659" s="1059"/>
      <c r="K1659" s="943"/>
      <c r="L1659" s="866" t="n">
        <v>24670.2375</v>
      </c>
      <c r="M1659" s="866" t="n">
        <v>675</v>
      </c>
      <c r="N1659" s="866" t="n">
        <f aca="false">M1659/H1658</f>
        <v>45</v>
      </c>
      <c r="O1659" s="543" t="s">
        <v>985</v>
      </c>
      <c r="P1659" s="1948"/>
      <c r="Q1659" s="1934"/>
      <c r="R1659" s="1935"/>
    </row>
    <row r="1660" customFormat="false" ht="14.25" hidden="false" customHeight="false" outlineLevel="0" collapsed="false">
      <c r="A1660" s="882"/>
      <c r="B1660" s="830"/>
      <c r="C1660" s="1965"/>
      <c r="D1660" s="887" t="s">
        <v>13</v>
      </c>
      <c r="E1660" s="887" t="s">
        <v>1651</v>
      </c>
      <c r="F1660" s="1445"/>
      <c r="G1660" s="1119"/>
      <c r="H1660" s="837"/>
      <c r="I1660" s="837"/>
      <c r="J1660" s="1059"/>
      <c r="K1660" s="943"/>
      <c r="L1660" s="890" t="n">
        <v>6030.5025</v>
      </c>
      <c r="M1660" s="890" t="n">
        <v>165</v>
      </c>
      <c r="N1660" s="890" t="n">
        <f aca="false">M1660/H1658</f>
        <v>11</v>
      </c>
      <c r="O1660" s="1067" t="s">
        <v>3513</v>
      </c>
      <c r="P1660" s="1948"/>
      <c r="Q1660" s="1934"/>
      <c r="R1660" s="1935"/>
    </row>
    <row r="1661" customFormat="false" ht="14.25" hidden="false" customHeight="false" outlineLevel="0" collapsed="false">
      <c r="A1661" s="1465" t="n">
        <v>3</v>
      </c>
      <c r="B1661" s="1546" t="n">
        <v>2025</v>
      </c>
      <c r="C1661" s="1975" t="n">
        <v>46023</v>
      </c>
      <c r="D1661" s="831" t="s">
        <v>13</v>
      </c>
      <c r="E1661" s="831" t="s">
        <v>2130</v>
      </c>
      <c r="F1661" s="1328" t="s">
        <v>3364</v>
      </c>
      <c r="G1661" s="1976" t="n">
        <v>400</v>
      </c>
      <c r="H1661" s="1036" t="n">
        <v>25</v>
      </c>
      <c r="I1661" s="1036" t="n">
        <f aca="false">G1661*H1661</f>
        <v>10000</v>
      </c>
      <c r="J1661" s="1557" t="n">
        <v>59.2937</v>
      </c>
      <c r="K1661" s="1547" t="n">
        <f aca="false">I1661*J1661</f>
        <v>592937</v>
      </c>
      <c r="L1661" s="886" t="n">
        <v>37058.5625</v>
      </c>
      <c r="M1661" s="886" t="n">
        <v>625</v>
      </c>
      <c r="N1661" s="886" t="n">
        <f aca="false">M1661/H1661</f>
        <v>25</v>
      </c>
      <c r="O1661" s="1036" t="s">
        <v>845</v>
      </c>
      <c r="P1661" s="1984" t="n">
        <f aca="false">K1661-L1661-L1665-L1664-L1662-L1663</f>
        <v>0</v>
      </c>
      <c r="Q1661" s="1978" t="n">
        <f aca="false">I1661-M1661-M1665-M1664-M1662-M1663</f>
        <v>0</v>
      </c>
      <c r="R1661" s="1979" t="n">
        <f aca="false">G1661-N1661-N1665-N1664-N1662-N1663</f>
        <v>0</v>
      </c>
    </row>
    <row r="1662" customFormat="false" ht="14.25" hidden="false" customHeight="false" outlineLevel="0" collapsed="false">
      <c r="A1662" s="1465"/>
      <c r="B1662" s="1546"/>
      <c r="C1662" s="1975"/>
      <c r="D1662" s="848" t="s">
        <v>13</v>
      </c>
      <c r="E1662" s="848" t="s">
        <v>2130</v>
      </c>
      <c r="F1662" s="1328"/>
      <c r="G1662" s="1976"/>
      <c r="H1662" s="1036"/>
      <c r="I1662" s="1036"/>
      <c r="J1662" s="1557"/>
      <c r="K1662" s="1547"/>
      <c r="L1662" s="866" t="n">
        <v>148234.25</v>
      </c>
      <c r="M1662" s="866" t="n">
        <v>2500</v>
      </c>
      <c r="N1662" s="866" t="n">
        <f aca="false">M1662/H1661</f>
        <v>100</v>
      </c>
      <c r="O1662" s="543" t="s">
        <v>1023</v>
      </c>
      <c r="P1662" s="1984"/>
      <c r="Q1662" s="1978"/>
      <c r="R1662" s="1979"/>
    </row>
    <row r="1663" customFormat="false" ht="14.25" hidden="false" customHeight="false" outlineLevel="0" collapsed="false">
      <c r="A1663" s="1465"/>
      <c r="B1663" s="1546"/>
      <c r="C1663" s="1975"/>
      <c r="D1663" s="848" t="s">
        <v>13</v>
      </c>
      <c r="E1663" s="848" t="s">
        <v>2130</v>
      </c>
      <c r="F1663" s="1328"/>
      <c r="G1663" s="1976"/>
      <c r="H1663" s="1036"/>
      <c r="I1663" s="1036"/>
      <c r="J1663" s="1557"/>
      <c r="K1663" s="1547"/>
      <c r="L1663" s="866" t="n">
        <v>51881.9875</v>
      </c>
      <c r="M1663" s="866" t="n">
        <v>875</v>
      </c>
      <c r="N1663" s="866" t="n">
        <f aca="false">M1663/H1661</f>
        <v>35</v>
      </c>
      <c r="O1663" s="543" t="s">
        <v>943</v>
      </c>
      <c r="P1663" s="1984"/>
      <c r="Q1663" s="1978"/>
      <c r="R1663" s="1979"/>
    </row>
    <row r="1664" customFormat="false" ht="14.25" hidden="false" customHeight="false" outlineLevel="0" collapsed="false">
      <c r="A1664" s="1465"/>
      <c r="B1664" s="1546"/>
      <c r="C1664" s="1975"/>
      <c r="D1664" s="860" t="s">
        <v>13</v>
      </c>
      <c r="E1664" s="860" t="s">
        <v>2130</v>
      </c>
      <c r="F1664" s="1328"/>
      <c r="G1664" s="1976"/>
      <c r="H1664" s="1036"/>
      <c r="I1664" s="1036"/>
      <c r="J1664" s="1557"/>
      <c r="K1664" s="1547"/>
      <c r="L1664" s="866" t="n">
        <v>177881.1</v>
      </c>
      <c r="M1664" s="866" t="n">
        <v>3000</v>
      </c>
      <c r="N1664" s="866" t="n">
        <f aca="false">M1664/H1661</f>
        <v>120</v>
      </c>
      <c r="O1664" s="543" t="s">
        <v>955</v>
      </c>
      <c r="P1664" s="1984"/>
      <c r="Q1664" s="1978"/>
      <c r="R1664" s="1979"/>
    </row>
    <row r="1665" customFormat="false" ht="14.25" hidden="false" customHeight="false" outlineLevel="0" collapsed="false">
      <c r="A1665" s="1465"/>
      <c r="B1665" s="1546"/>
      <c r="C1665" s="1975"/>
      <c r="D1665" s="904" t="s">
        <v>13</v>
      </c>
      <c r="E1665" s="904" t="s">
        <v>2130</v>
      </c>
      <c r="F1665" s="1328"/>
      <c r="G1665" s="1976"/>
      <c r="H1665" s="1036"/>
      <c r="I1665" s="1036"/>
      <c r="J1665" s="1557"/>
      <c r="K1665" s="1547"/>
      <c r="L1665" s="877" t="n">
        <v>177881.1</v>
      </c>
      <c r="M1665" s="877" t="n">
        <v>3000</v>
      </c>
      <c r="N1665" s="877" t="n">
        <f aca="false">M1665/H1661</f>
        <v>120</v>
      </c>
      <c r="O1665" s="553" t="s">
        <v>707</v>
      </c>
      <c r="P1665" s="1984"/>
      <c r="Q1665" s="1978"/>
      <c r="R1665" s="1979"/>
    </row>
    <row r="1666" customFormat="false" ht="14.25" hidden="false" customHeight="false" outlineLevel="0" collapsed="false">
      <c r="A1666" s="829" t="n">
        <v>4</v>
      </c>
      <c r="B1666" s="830" t="n">
        <v>2025</v>
      </c>
      <c r="C1666" s="1965" t="n">
        <v>46023</v>
      </c>
      <c r="D1666" s="831" t="s">
        <v>13</v>
      </c>
      <c r="E1666" s="831" t="s">
        <v>2130</v>
      </c>
      <c r="F1666" s="832" t="s">
        <v>3364</v>
      </c>
      <c r="G1666" s="1931" t="n">
        <v>80</v>
      </c>
      <c r="H1666" s="837" t="n">
        <v>25</v>
      </c>
      <c r="I1666" s="837" t="n">
        <f aca="false">G1666*H1666</f>
        <v>2000</v>
      </c>
      <c r="J1666" s="1059" t="n">
        <v>62.2287</v>
      </c>
      <c r="K1666" s="943" t="n">
        <f aca="false">I1666*J1666</f>
        <v>124457.4</v>
      </c>
      <c r="L1666" s="840" t="n">
        <v>108900.225</v>
      </c>
      <c r="M1666" s="840" t="n">
        <v>1750</v>
      </c>
      <c r="N1666" s="840" t="n">
        <f aca="false">M1666/H1666</f>
        <v>70</v>
      </c>
      <c r="O1666" s="1114" t="s">
        <v>944</v>
      </c>
      <c r="P1666" s="1948" t="n">
        <f aca="false">K1666-L1666-L1667</f>
        <v>0</v>
      </c>
      <c r="Q1666" s="1934" t="n">
        <f aca="false">I1666-M1666-M1667</f>
        <v>0</v>
      </c>
      <c r="R1666" s="1935" t="n">
        <f aca="false">G1666-N1666-N1667</f>
        <v>0</v>
      </c>
    </row>
    <row r="1667" customFormat="false" ht="14.25" hidden="false" customHeight="false" outlineLevel="0" collapsed="false">
      <c r="A1667" s="829"/>
      <c r="B1667" s="830"/>
      <c r="C1667" s="1965"/>
      <c r="D1667" s="843" t="s">
        <v>13</v>
      </c>
      <c r="E1667" s="843" t="s">
        <v>2130</v>
      </c>
      <c r="F1667" s="832"/>
      <c r="G1667" s="1931"/>
      <c r="H1667" s="837"/>
      <c r="I1667" s="837"/>
      <c r="J1667" s="1059"/>
      <c r="K1667" s="943"/>
      <c r="L1667" s="846" t="n">
        <v>15557.175</v>
      </c>
      <c r="M1667" s="846" t="n">
        <v>250</v>
      </c>
      <c r="N1667" s="846" t="n">
        <f aca="false">M1667/H1666</f>
        <v>10</v>
      </c>
      <c r="O1667" s="589" t="s">
        <v>943</v>
      </c>
      <c r="P1667" s="1948"/>
      <c r="Q1667" s="1934"/>
      <c r="R1667" s="1935"/>
    </row>
    <row r="1668" customFormat="false" ht="14.25" hidden="false" customHeight="false" outlineLevel="0" collapsed="false">
      <c r="A1668" s="1087" t="n">
        <v>18</v>
      </c>
      <c r="B1668" s="1072" t="n">
        <v>2025</v>
      </c>
      <c r="C1668" s="1980" t="n">
        <v>46023</v>
      </c>
      <c r="D1668" s="904" t="s">
        <v>13</v>
      </c>
      <c r="E1668" s="904" t="s">
        <v>1651</v>
      </c>
      <c r="F1668" s="887" t="s">
        <v>3364</v>
      </c>
      <c r="G1668" s="1950" t="n">
        <v>666</v>
      </c>
      <c r="H1668" s="1067" t="n">
        <v>15</v>
      </c>
      <c r="I1668" s="1067" t="n">
        <f aca="false">G1668*H1668</f>
        <v>9990</v>
      </c>
      <c r="J1668" s="1063" t="n">
        <v>27.9034</v>
      </c>
      <c r="K1668" s="1452" t="n">
        <f aca="false">I1668*J1668</f>
        <v>278754.966</v>
      </c>
      <c r="L1668" s="854" t="n">
        <v>41855.1</v>
      </c>
      <c r="M1668" s="854" t="n">
        <v>1500</v>
      </c>
      <c r="N1668" s="891" t="n">
        <f aca="false">M1668/H1668</f>
        <v>100</v>
      </c>
      <c r="O1668" s="537" t="s">
        <v>670</v>
      </c>
      <c r="P1668" s="1952" t="n">
        <f aca="false">K1668-L1668-L1672-L1669-L1671-L1670</f>
        <v>0</v>
      </c>
      <c r="Q1668" s="1953" t="n">
        <f aca="false">I1668-M1668-M1672-M1669-M1671-M1670</f>
        <v>0</v>
      </c>
      <c r="R1668" s="1954" t="n">
        <f aca="false">G1668-N1668-N1672-N1669-N1671-N1670</f>
        <v>0</v>
      </c>
    </row>
    <row r="1669" customFormat="false" ht="14.25" hidden="false" customHeight="false" outlineLevel="0" collapsed="false">
      <c r="A1669" s="1087"/>
      <c r="B1669" s="1072"/>
      <c r="C1669" s="1980"/>
      <c r="D1669" s="860" t="s">
        <v>13</v>
      </c>
      <c r="E1669" s="860" t="s">
        <v>1651</v>
      </c>
      <c r="F1669" s="887"/>
      <c r="G1669" s="1950"/>
      <c r="H1669" s="1067"/>
      <c r="I1669" s="1067"/>
      <c r="J1669" s="1063"/>
      <c r="K1669" s="1452"/>
      <c r="L1669" s="866" t="n">
        <v>41855.1</v>
      </c>
      <c r="M1669" s="866" t="n">
        <v>1500</v>
      </c>
      <c r="N1669" s="866" t="n">
        <f aca="false">M1669/H1668</f>
        <v>100</v>
      </c>
      <c r="O1669" s="543" t="s">
        <v>889</v>
      </c>
      <c r="P1669" s="1952"/>
      <c r="Q1669" s="1953"/>
      <c r="R1669" s="1954"/>
    </row>
    <row r="1670" customFormat="false" ht="14.25" hidden="false" customHeight="false" outlineLevel="0" collapsed="false">
      <c r="A1670" s="1087"/>
      <c r="B1670" s="1072"/>
      <c r="C1670" s="1980"/>
      <c r="D1670" s="871" t="s">
        <v>13</v>
      </c>
      <c r="E1670" s="871" t="s">
        <v>1651</v>
      </c>
      <c r="F1670" s="887"/>
      <c r="G1670" s="1950"/>
      <c r="H1670" s="1067"/>
      <c r="I1670" s="1067"/>
      <c r="J1670" s="1063"/>
      <c r="K1670" s="1452"/>
      <c r="L1670" s="866" t="n">
        <v>111753.117</v>
      </c>
      <c r="M1670" s="866" t="n">
        <v>4005</v>
      </c>
      <c r="N1670" s="866" t="n">
        <f aca="false">M1670/H1668</f>
        <v>267</v>
      </c>
      <c r="O1670" s="543" t="s">
        <v>955</v>
      </c>
      <c r="P1670" s="1952"/>
      <c r="Q1670" s="1953"/>
      <c r="R1670" s="1954"/>
    </row>
    <row r="1671" customFormat="false" ht="14.25" hidden="false" customHeight="false" outlineLevel="0" collapsed="false">
      <c r="A1671" s="1087"/>
      <c r="B1671" s="1072"/>
      <c r="C1671" s="1980"/>
      <c r="D1671" s="871" t="s">
        <v>13</v>
      </c>
      <c r="E1671" s="871" t="s">
        <v>1651</v>
      </c>
      <c r="F1671" s="887"/>
      <c r="G1671" s="1950"/>
      <c r="H1671" s="1067"/>
      <c r="I1671" s="1067"/>
      <c r="J1671" s="1063"/>
      <c r="K1671" s="1452"/>
      <c r="L1671" s="866" t="n">
        <v>41436.549</v>
      </c>
      <c r="M1671" s="866" t="n">
        <v>1485</v>
      </c>
      <c r="N1671" s="866" t="n">
        <f aca="false">M1671/H1668</f>
        <v>99</v>
      </c>
      <c r="O1671" s="543" t="s">
        <v>707</v>
      </c>
      <c r="P1671" s="1952"/>
      <c r="Q1671" s="1953"/>
      <c r="R1671" s="1954"/>
    </row>
    <row r="1672" customFormat="false" ht="14.25" hidden="false" customHeight="false" outlineLevel="0" collapsed="false">
      <c r="A1672" s="1087"/>
      <c r="B1672" s="1072"/>
      <c r="C1672" s="1980"/>
      <c r="D1672" s="843" t="s">
        <v>13</v>
      </c>
      <c r="E1672" s="843" t="s">
        <v>1651</v>
      </c>
      <c r="F1672" s="887"/>
      <c r="G1672" s="1950"/>
      <c r="H1672" s="1067"/>
      <c r="I1672" s="1067"/>
      <c r="J1672" s="1063"/>
      <c r="K1672" s="1452"/>
      <c r="L1672" s="846" t="n">
        <v>41855.1</v>
      </c>
      <c r="M1672" s="846" t="n">
        <v>1500</v>
      </c>
      <c r="N1672" s="846" t="n">
        <f aca="false">M1672/H1668</f>
        <v>100</v>
      </c>
      <c r="O1672" s="589" t="s">
        <v>3517</v>
      </c>
      <c r="P1672" s="1952"/>
      <c r="Q1672" s="1953"/>
      <c r="R1672" s="1954"/>
    </row>
    <row r="1673" customFormat="false" ht="14.25" hidden="false" customHeight="false" outlineLevel="0" collapsed="false">
      <c r="A1673" s="903" t="n">
        <v>19</v>
      </c>
      <c r="B1673" s="903" t="n">
        <v>2025</v>
      </c>
      <c r="C1673" s="1974" t="n">
        <v>46023</v>
      </c>
      <c r="D1673" s="904" t="s">
        <v>13</v>
      </c>
      <c r="E1673" s="904" t="s">
        <v>1651</v>
      </c>
      <c r="F1673" s="904" t="s">
        <v>3364</v>
      </c>
      <c r="G1673" s="1940" t="n">
        <v>7</v>
      </c>
      <c r="H1673" s="942" t="n">
        <v>15</v>
      </c>
      <c r="I1673" s="891" t="n">
        <f aca="false">G1673*H1673</f>
        <v>105</v>
      </c>
      <c r="J1673" s="1406" t="n">
        <v>77.0665</v>
      </c>
      <c r="K1673" s="948" t="n">
        <f aca="false">I1673*J1673</f>
        <v>8091.9825</v>
      </c>
      <c r="L1673" s="891" t="n">
        <v>8091.9825</v>
      </c>
      <c r="M1673" s="891" t="n">
        <v>105</v>
      </c>
      <c r="N1673" s="891" t="n">
        <f aca="false">M1673/H1673</f>
        <v>7</v>
      </c>
      <c r="O1673" s="942" t="s">
        <v>847</v>
      </c>
      <c r="P1673" s="1947" t="n">
        <f aca="false">K1673-L1673</f>
        <v>0</v>
      </c>
      <c r="Q1673" s="1946" t="n">
        <f aca="false">I1673-M1673</f>
        <v>0</v>
      </c>
      <c r="R1673" s="1946" t="n">
        <f aca="false">G1673-N1673</f>
        <v>0</v>
      </c>
    </row>
    <row r="1674" customFormat="false" ht="14.25" hidden="false" customHeight="false" outlineLevel="0" collapsed="false">
      <c r="A1674" s="829" t="n">
        <v>30</v>
      </c>
      <c r="B1674" s="830" t="n">
        <v>2025</v>
      </c>
      <c r="C1674" s="1965" t="n">
        <v>46023</v>
      </c>
      <c r="D1674" s="831" t="s">
        <v>13</v>
      </c>
      <c r="E1674" s="832" t="s">
        <v>1651</v>
      </c>
      <c r="F1674" s="832" t="s">
        <v>3364</v>
      </c>
      <c r="G1674" s="1931" t="n">
        <v>596</v>
      </c>
      <c r="H1674" s="837" t="n">
        <v>15</v>
      </c>
      <c r="I1674" s="837" t="n">
        <f aca="false">G1674*H1674</f>
        <v>8940</v>
      </c>
      <c r="J1674" s="1059" t="n">
        <v>27.321</v>
      </c>
      <c r="K1674" s="943" t="n">
        <f aca="false">I1674*J1674</f>
        <v>244249.74</v>
      </c>
      <c r="L1674" s="840" t="n">
        <v>134009.505</v>
      </c>
      <c r="M1674" s="840" t="n">
        <v>4905</v>
      </c>
      <c r="N1674" s="840" t="n">
        <f aca="false">M1674/H1674</f>
        <v>327</v>
      </c>
      <c r="O1674" s="1114" t="s">
        <v>847</v>
      </c>
      <c r="P1674" s="1948" t="n">
        <f aca="false">K1674-L1674-L1675</f>
        <v>0</v>
      </c>
      <c r="Q1674" s="1934" t="n">
        <f aca="false">I1674-M1674-M1675</f>
        <v>0</v>
      </c>
      <c r="R1674" s="1935" t="n">
        <f aca="false">G1674-N1674-N1675</f>
        <v>0</v>
      </c>
    </row>
    <row r="1675" customFormat="false" ht="14.25" hidden="false" customHeight="false" outlineLevel="0" collapsed="false">
      <c r="A1675" s="829"/>
      <c r="B1675" s="830"/>
      <c r="C1675" s="1965"/>
      <c r="D1675" s="843" t="s">
        <v>13</v>
      </c>
      <c r="E1675" s="832"/>
      <c r="F1675" s="832"/>
      <c r="G1675" s="1931"/>
      <c r="H1675" s="837"/>
      <c r="I1675" s="837"/>
      <c r="J1675" s="1059"/>
      <c r="K1675" s="943"/>
      <c r="L1675" s="846" t="n">
        <v>110240.235</v>
      </c>
      <c r="M1675" s="846" t="n">
        <v>4035</v>
      </c>
      <c r="N1675" s="846" t="n">
        <f aca="false">M1675/H1674</f>
        <v>269</v>
      </c>
      <c r="O1675" s="589" t="s">
        <v>1634</v>
      </c>
      <c r="P1675" s="1948"/>
      <c r="Q1675" s="1934"/>
      <c r="R1675" s="1935"/>
    </row>
    <row r="1676" customFormat="false" ht="14.25" hidden="false" customHeight="false" outlineLevel="0" collapsed="false">
      <c r="A1676" s="1344" t="n">
        <v>31</v>
      </c>
      <c r="B1676" s="903" t="n">
        <v>2025</v>
      </c>
      <c r="C1676" s="1974" t="n">
        <v>46023</v>
      </c>
      <c r="D1676" s="904" t="s">
        <v>13</v>
      </c>
      <c r="E1676" s="904" t="s">
        <v>1651</v>
      </c>
      <c r="F1676" s="904" t="s">
        <v>3364</v>
      </c>
      <c r="G1676" s="1940" t="n">
        <v>376</v>
      </c>
      <c r="H1676" s="942" t="n">
        <v>15</v>
      </c>
      <c r="I1676" s="942" t="n">
        <f aca="false">G1676*H1676</f>
        <v>5640</v>
      </c>
      <c r="J1676" s="1406" t="n">
        <v>38.976</v>
      </c>
      <c r="K1676" s="948" t="n">
        <f aca="false">I1676*J1676</f>
        <v>219824.64</v>
      </c>
      <c r="L1676" s="891" t="n">
        <v>19293.12</v>
      </c>
      <c r="M1676" s="891" t="n">
        <v>795</v>
      </c>
      <c r="N1676" s="891" t="n">
        <f aca="false">M1676/H1676</f>
        <v>53</v>
      </c>
      <c r="O1676" s="942" t="s">
        <v>984</v>
      </c>
      <c r="P1676" s="2009" t="n">
        <f aca="false">K1676-L1676-L1681-L1680-L1677-L1678-L1679</f>
        <v>0</v>
      </c>
      <c r="Q1676" s="2000" t="n">
        <f aca="false">I1676-M1676-M1681-M1680-M1677-M1678-M1679</f>
        <v>0</v>
      </c>
      <c r="R1676" s="2005" t="n">
        <f aca="false">G1676-N1676-N1681-N1680-N1677-N1678-N1679</f>
        <v>0</v>
      </c>
    </row>
    <row r="1677" customFormat="false" ht="14.25" hidden="false" customHeight="false" outlineLevel="0" collapsed="false">
      <c r="A1677" s="1344"/>
      <c r="B1677" s="903"/>
      <c r="C1677" s="1974"/>
      <c r="D1677" s="860" t="s">
        <v>13</v>
      </c>
      <c r="E1677" s="860" t="s">
        <v>1651</v>
      </c>
      <c r="F1677" s="904"/>
      <c r="G1677" s="1940"/>
      <c r="H1677" s="942"/>
      <c r="I1677" s="942"/>
      <c r="J1677" s="1406"/>
      <c r="K1677" s="948"/>
      <c r="L1677" s="866" t="n">
        <v>17539.2</v>
      </c>
      <c r="M1677" s="866" t="n">
        <v>450</v>
      </c>
      <c r="N1677" s="866" t="n">
        <f aca="false">M1677/H1676</f>
        <v>30</v>
      </c>
      <c r="O1677" s="543" t="s">
        <v>1034</v>
      </c>
      <c r="P1677" s="2009"/>
      <c r="Q1677" s="2000"/>
      <c r="R1677" s="2005"/>
    </row>
    <row r="1678" customFormat="false" ht="14.25" hidden="false" customHeight="false" outlineLevel="0" collapsed="false">
      <c r="A1678" s="1344"/>
      <c r="B1678" s="903"/>
      <c r="C1678" s="1974"/>
      <c r="D1678" s="860" t="s">
        <v>13</v>
      </c>
      <c r="E1678" s="860" t="s">
        <v>1651</v>
      </c>
      <c r="F1678" s="904"/>
      <c r="G1678" s="1940"/>
      <c r="H1678" s="942"/>
      <c r="I1678" s="942"/>
      <c r="J1678" s="1406"/>
      <c r="K1678" s="948"/>
      <c r="L1678" s="866" t="n">
        <v>1169.28</v>
      </c>
      <c r="M1678" s="866" t="n">
        <v>30</v>
      </c>
      <c r="N1678" s="866" t="n">
        <f aca="false">M1678/H1676</f>
        <v>2</v>
      </c>
      <c r="O1678" s="543" t="s">
        <v>1059</v>
      </c>
      <c r="P1678" s="2009"/>
      <c r="Q1678" s="2000"/>
      <c r="R1678" s="2005"/>
    </row>
    <row r="1679" customFormat="false" ht="14.25" hidden="false" customHeight="false" outlineLevel="0" collapsed="false">
      <c r="A1679" s="1344"/>
      <c r="B1679" s="903"/>
      <c r="C1679" s="1974"/>
      <c r="D1679" s="860" t="s">
        <v>13</v>
      </c>
      <c r="E1679" s="860" t="s">
        <v>1651</v>
      </c>
      <c r="F1679" s="904"/>
      <c r="G1679" s="1940"/>
      <c r="H1679" s="942"/>
      <c r="I1679" s="942"/>
      <c r="J1679" s="1406"/>
      <c r="K1679" s="948"/>
      <c r="L1679" s="866" t="n">
        <v>160776</v>
      </c>
      <c r="M1679" s="866" t="n">
        <v>3825</v>
      </c>
      <c r="N1679" s="866" t="n">
        <f aca="false">M1679/H1676</f>
        <v>255</v>
      </c>
      <c r="O1679" s="543" t="s">
        <v>1634</v>
      </c>
      <c r="P1679" s="2009"/>
      <c r="Q1679" s="2000"/>
      <c r="R1679" s="2005"/>
    </row>
    <row r="1680" customFormat="false" ht="14.25" hidden="false" customHeight="false" outlineLevel="0" collapsed="false">
      <c r="A1680" s="1344"/>
      <c r="B1680" s="903"/>
      <c r="C1680" s="1974"/>
      <c r="D1680" s="860" t="s">
        <v>13</v>
      </c>
      <c r="E1680" s="860" t="s">
        <v>1651</v>
      </c>
      <c r="F1680" s="904"/>
      <c r="G1680" s="1940"/>
      <c r="H1680" s="942"/>
      <c r="I1680" s="942"/>
      <c r="J1680" s="1406"/>
      <c r="K1680" s="948"/>
      <c r="L1680" s="866" t="n">
        <v>584.64</v>
      </c>
      <c r="M1680" s="866" t="n">
        <v>15</v>
      </c>
      <c r="N1680" s="866" t="n">
        <f aca="false">M1680/H1676</f>
        <v>1</v>
      </c>
      <c r="O1680" s="543" t="s">
        <v>960</v>
      </c>
      <c r="P1680" s="2009"/>
      <c r="Q1680" s="2000"/>
      <c r="R1680" s="2005"/>
    </row>
    <row r="1681" customFormat="false" ht="14.25" hidden="false" customHeight="false" outlineLevel="0" collapsed="false">
      <c r="A1681" s="1344"/>
      <c r="B1681" s="903"/>
      <c r="C1681" s="1974"/>
      <c r="D1681" s="871" t="s">
        <v>13</v>
      </c>
      <c r="E1681" s="871" t="s">
        <v>1651</v>
      </c>
      <c r="F1681" s="904"/>
      <c r="G1681" s="1940"/>
      <c r="H1681" s="942"/>
      <c r="I1681" s="942"/>
      <c r="J1681" s="1406"/>
      <c r="K1681" s="948"/>
      <c r="L1681" s="877" t="n">
        <v>20462.4</v>
      </c>
      <c r="M1681" s="877" t="n">
        <v>525</v>
      </c>
      <c r="N1681" s="891" t="n">
        <f aca="false">M1681/H1676</f>
        <v>35</v>
      </c>
      <c r="O1681" s="553" t="s">
        <v>985</v>
      </c>
      <c r="P1681" s="2009"/>
      <c r="Q1681" s="2000"/>
      <c r="R1681" s="2005"/>
    </row>
    <row r="1682" customFormat="false" ht="14.25" hidden="false" customHeight="false" outlineLevel="0" collapsed="false">
      <c r="A1682" s="882" t="n">
        <v>98</v>
      </c>
      <c r="B1682" s="830" t="n">
        <v>2025</v>
      </c>
      <c r="C1682" s="1965" t="n">
        <v>46023</v>
      </c>
      <c r="D1682" s="831" t="s">
        <v>13</v>
      </c>
      <c r="E1682" s="831" t="s">
        <v>1651</v>
      </c>
      <c r="F1682" s="832" t="s">
        <v>3364</v>
      </c>
      <c r="G1682" s="1931" t="n">
        <v>666</v>
      </c>
      <c r="H1682" s="837" t="n">
        <v>15</v>
      </c>
      <c r="I1682" s="837" t="n">
        <f aca="false">G1682*H1682</f>
        <v>9990</v>
      </c>
      <c r="J1682" s="1059" t="n">
        <v>21.7134</v>
      </c>
      <c r="K1682" s="943" t="n">
        <f aca="false">I1682*J1682</f>
        <v>216916.866</v>
      </c>
      <c r="L1682" s="886" t="n">
        <v>58626.18</v>
      </c>
      <c r="M1682" s="886" t="n">
        <v>2700</v>
      </c>
      <c r="N1682" s="886" t="n">
        <f aca="false">M1682/H1682</f>
        <v>180</v>
      </c>
      <c r="O1682" s="1036" t="s">
        <v>1089</v>
      </c>
      <c r="P1682" s="1948" t="n">
        <f aca="false">K1682-L1682-L1687-L1686-L1683-L1684-L1685</f>
        <v>0</v>
      </c>
      <c r="Q1682" s="1934" t="n">
        <f aca="false">I1682-M1682-M1687-M1686-M1683-M1684-M1685</f>
        <v>0</v>
      </c>
      <c r="R1682" s="1935" t="n">
        <f aca="false">G1682-N1682-N1687-N1686-N1683-N1684-N1685</f>
        <v>0</v>
      </c>
    </row>
    <row r="1683" customFormat="false" ht="14.25" hidden="false" customHeight="false" outlineLevel="0" collapsed="false">
      <c r="A1683" s="882"/>
      <c r="B1683" s="830"/>
      <c r="C1683" s="1965"/>
      <c r="D1683" s="860" t="s">
        <v>13</v>
      </c>
      <c r="E1683" s="860" t="s">
        <v>1651</v>
      </c>
      <c r="F1683" s="832"/>
      <c r="G1683" s="1931"/>
      <c r="H1683" s="837"/>
      <c r="I1683" s="837"/>
      <c r="J1683" s="1059"/>
      <c r="K1683" s="943"/>
      <c r="L1683" s="866" t="n">
        <v>23776.173</v>
      </c>
      <c r="M1683" s="866" t="n">
        <v>1095</v>
      </c>
      <c r="N1683" s="866" t="n">
        <f aca="false">M1683/H1682</f>
        <v>73</v>
      </c>
      <c r="O1683" s="543" t="s">
        <v>1087</v>
      </c>
      <c r="P1683" s="1948"/>
      <c r="Q1683" s="1934"/>
      <c r="R1683" s="1935"/>
    </row>
    <row r="1684" customFormat="false" ht="14.25" hidden="false" customHeight="false" outlineLevel="0" collapsed="false">
      <c r="A1684" s="882"/>
      <c r="B1684" s="830"/>
      <c r="C1684" s="1965"/>
      <c r="D1684" s="860" t="s">
        <v>13</v>
      </c>
      <c r="E1684" s="860" t="s">
        <v>1651</v>
      </c>
      <c r="F1684" s="832"/>
      <c r="G1684" s="1931"/>
      <c r="H1684" s="837"/>
      <c r="I1684" s="837"/>
      <c r="J1684" s="1059"/>
      <c r="K1684" s="943"/>
      <c r="L1684" s="866" t="n">
        <v>4234.113</v>
      </c>
      <c r="M1684" s="866" t="n">
        <v>195</v>
      </c>
      <c r="N1684" s="866" t="n">
        <f aca="false">M1684/H1682</f>
        <v>13</v>
      </c>
      <c r="O1684" s="543" t="s">
        <v>1111</v>
      </c>
      <c r="P1684" s="1948"/>
      <c r="Q1684" s="1934"/>
      <c r="R1684" s="1935"/>
    </row>
    <row r="1685" customFormat="false" ht="14.25" hidden="false" customHeight="false" outlineLevel="0" collapsed="false">
      <c r="A1685" s="882"/>
      <c r="B1685" s="830"/>
      <c r="C1685" s="1965"/>
      <c r="D1685" s="860" t="s">
        <v>13</v>
      </c>
      <c r="E1685" s="860" t="s">
        <v>1651</v>
      </c>
      <c r="F1685" s="832"/>
      <c r="G1685" s="1931"/>
      <c r="H1685" s="837"/>
      <c r="I1685" s="837"/>
      <c r="J1685" s="1059"/>
      <c r="K1685" s="943"/>
      <c r="L1685" s="866" t="n">
        <v>32570.1</v>
      </c>
      <c r="M1685" s="866" t="n">
        <v>1500</v>
      </c>
      <c r="N1685" s="866" t="n">
        <f aca="false">M1685/H1682</f>
        <v>100</v>
      </c>
      <c r="O1685" s="543" t="s">
        <v>1091</v>
      </c>
      <c r="P1685" s="1948"/>
      <c r="Q1685" s="1934"/>
      <c r="R1685" s="1935"/>
    </row>
    <row r="1686" customFormat="false" ht="14.25" hidden="false" customHeight="false" outlineLevel="0" collapsed="false">
      <c r="A1686" s="882"/>
      <c r="B1686" s="830"/>
      <c r="C1686" s="1965"/>
      <c r="D1686" s="860" t="s">
        <v>13</v>
      </c>
      <c r="E1686" s="860" t="s">
        <v>1651</v>
      </c>
      <c r="F1686" s="832"/>
      <c r="G1686" s="1931"/>
      <c r="H1686" s="837"/>
      <c r="I1686" s="837"/>
      <c r="J1686" s="1059"/>
      <c r="K1686" s="943"/>
      <c r="L1686" s="866" t="n">
        <v>32570.1</v>
      </c>
      <c r="M1686" s="866" t="n">
        <v>1500</v>
      </c>
      <c r="N1686" s="866" t="n">
        <f aca="false">M1686/H1682</f>
        <v>100</v>
      </c>
      <c r="O1686" s="543" t="s">
        <v>1088</v>
      </c>
      <c r="P1686" s="1948"/>
      <c r="Q1686" s="1934"/>
      <c r="R1686" s="1935"/>
    </row>
    <row r="1687" customFormat="false" ht="14.25" hidden="false" customHeight="false" outlineLevel="0" collapsed="false">
      <c r="A1687" s="882"/>
      <c r="B1687" s="830"/>
      <c r="C1687" s="1965"/>
      <c r="D1687" s="843" t="s">
        <v>13</v>
      </c>
      <c r="E1687" s="843" t="s">
        <v>1651</v>
      </c>
      <c r="F1687" s="832"/>
      <c r="G1687" s="1931"/>
      <c r="H1687" s="837"/>
      <c r="I1687" s="837"/>
      <c r="J1687" s="1059"/>
      <c r="K1687" s="943"/>
      <c r="L1687" s="846" t="n">
        <v>65140.2</v>
      </c>
      <c r="M1687" s="846" t="n">
        <v>3000</v>
      </c>
      <c r="N1687" s="846" t="n">
        <f aca="false">M1687/H1682</f>
        <v>200</v>
      </c>
      <c r="O1687" s="589" t="s">
        <v>1090</v>
      </c>
      <c r="P1687" s="1948"/>
      <c r="Q1687" s="1934"/>
      <c r="R1687" s="1935"/>
    </row>
    <row r="1688" customFormat="false" ht="14.25" hidden="false" customHeight="false" outlineLevel="0" collapsed="false">
      <c r="A1688" s="1060" t="n">
        <v>99</v>
      </c>
      <c r="B1688" s="1072" t="n">
        <v>2025</v>
      </c>
      <c r="C1688" s="1980" t="n">
        <v>46023</v>
      </c>
      <c r="D1688" s="904" t="s">
        <v>13</v>
      </c>
      <c r="E1688" s="904" t="s">
        <v>1651</v>
      </c>
      <c r="F1688" s="887" t="s">
        <v>3364</v>
      </c>
      <c r="G1688" s="1950" t="n">
        <v>468</v>
      </c>
      <c r="H1688" s="1067" t="n">
        <v>15</v>
      </c>
      <c r="I1688" s="1067" t="n">
        <f aca="false">G1688*H1688</f>
        <v>7020</v>
      </c>
      <c r="J1688" s="1063" t="n">
        <v>21.9917</v>
      </c>
      <c r="K1688" s="1452" t="n">
        <f aca="false">I1688*J1688</f>
        <v>154381.734</v>
      </c>
      <c r="L1688" s="891" t="n">
        <v>1319.502</v>
      </c>
      <c r="M1688" s="891" t="n">
        <v>60</v>
      </c>
      <c r="N1688" s="891" t="n">
        <f aca="false">M1688/H1688</f>
        <v>4</v>
      </c>
      <c r="O1688" s="942" t="s">
        <v>1036</v>
      </c>
      <c r="P1688" s="1952" t="n">
        <f aca="false">K1688-L1688-L1693-L1689-L1692-L1690-L1691</f>
        <v>0</v>
      </c>
      <c r="Q1688" s="1953" t="n">
        <f aca="false">I1688-M1688-M1693-M1689-M1692-M1690-M1691</f>
        <v>0</v>
      </c>
      <c r="R1688" s="1954" t="n">
        <f aca="false">G1688-N1688-N1693-N1689-N1692-N1690-N1691</f>
        <v>0</v>
      </c>
    </row>
    <row r="1689" customFormat="false" ht="14.25" hidden="false" customHeight="false" outlineLevel="0" collapsed="false">
      <c r="A1689" s="1060"/>
      <c r="B1689" s="1072"/>
      <c r="C1689" s="1980"/>
      <c r="D1689" s="860" t="s">
        <v>13</v>
      </c>
      <c r="E1689" s="860" t="s">
        <v>1651</v>
      </c>
      <c r="F1689" s="887"/>
      <c r="G1689" s="1950"/>
      <c r="H1689" s="1067"/>
      <c r="I1689" s="1067"/>
      <c r="J1689" s="1063"/>
      <c r="K1689" s="1452"/>
      <c r="L1689" s="866" t="n">
        <v>22101.6585</v>
      </c>
      <c r="M1689" s="866" t="n">
        <v>1005</v>
      </c>
      <c r="N1689" s="866" t="n">
        <f aca="false">M1689/H1688</f>
        <v>67</v>
      </c>
      <c r="O1689" s="543" t="s">
        <v>1087</v>
      </c>
      <c r="P1689" s="1952"/>
      <c r="Q1689" s="1953"/>
      <c r="R1689" s="1954"/>
    </row>
    <row r="1690" customFormat="false" ht="14.25" hidden="false" customHeight="false" outlineLevel="0" collapsed="false">
      <c r="A1690" s="1060"/>
      <c r="B1690" s="1072"/>
      <c r="C1690" s="1980"/>
      <c r="D1690" s="871" t="s">
        <v>13</v>
      </c>
      <c r="E1690" s="871" t="s">
        <v>1651</v>
      </c>
      <c r="F1690" s="887"/>
      <c r="G1690" s="1950"/>
      <c r="H1690" s="1067"/>
      <c r="I1690" s="1067"/>
      <c r="J1690" s="1063"/>
      <c r="K1690" s="1452"/>
      <c r="L1690" s="877" t="n">
        <v>11215.767</v>
      </c>
      <c r="M1690" s="877" t="n">
        <v>510</v>
      </c>
      <c r="N1690" s="866" t="n">
        <f aca="false">M1690/H1688</f>
        <v>34</v>
      </c>
      <c r="O1690" s="553" t="s">
        <v>1121</v>
      </c>
      <c r="P1690" s="1952"/>
      <c r="Q1690" s="1953"/>
      <c r="R1690" s="1954"/>
    </row>
    <row r="1691" customFormat="false" ht="14.25" hidden="false" customHeight="false" outlineLevel="0" collapsed="false">
      <c r="A1691" s="1060"/>
      <c r="B1691" s="1072"/>
      <c r="C1691" s="1980"/>
      <c r="D1691" s="871" t="s">
        <v>13</v>
      </c>
      <c r="E1691" s="871" t="s">
        <v>1651</v>
      </c>
      <c r="F1691" s="887"/>
      <c r="G1691" s="1950"/>
      <c r="H1691" s="1067"/>
      <c r="I1691" s="1067"/>
      <c r="J1691" s="1063"/>
      <c r="K1691" s="1452"/>
      <c r="L1691" s="877" t="n">
        <v>101601.654</v>
      </c>
      <c r="M1691" s="877" t="n">
        <v>4620</v>
      </c>
      <c r="N1691" s="866" t="n">
        <f aca="false">M1691/H1688</f>
        <v>308</v>
      </c>
      <c r="O1691" s="553" t="s">
        <v>567</v>
      </c>
      <c r="P1691" s="1952"/>
      <c r="Q1691" s="1953"/>
      <c r="R1691" s="1954"/>
    </row>
    <row r="1692" customFormat="false" ht="14.25" hidden="false" customHeight="false" outlineLevel="0" collapsed="false">
      <c r="A1692" s="1060"/>
      <c r="B1692" s="1072"/>
      <c r="C1692" s="1980"/>
      <c r="D1692" s="871" t="s">
        <v>13</v>
      </c>
      <c r="E1692" s="871" t="s">
        <v>1651</v>
      </c>
      <c r="F1692" s="887"/>
      <c r="G1692" s="1950"/>
      <c r="H1692" s="1067"/>
      <c r="I1692" s="1067"/>
      <c r="J1692" s="1063"/>
      <c r="K1692" s="1452"/>
      <c r="L1692" s="877" t="n">
        <v>13195.02</v>
      </c>
      <c r="M1692" s="877" t="n">
        <v>600</v>
      </c>
      <c r="N1692" s="866" t="n">
        <f aca="false">M1692/H1688</f>
        <v>40</v>
      </c>
      <c r="O1692" s="553" t="s">
        <v>1119</v>
      </c>
      <c r="P1692" s="1952"/>
      <c r="Q1692" s="1953"/>
      <c r="R1692" s="1954"/>
    </row>
    <row r="1693" customFormat="false" ht="14.25" hidden="false" customHeight="false" outlineLevel="0" collapsed="false">
      <c r="A1693" s="1060"/>
      <c r="B1693" s="1072"/>
      <c r="C1693" s="1980"/>
      <c r="D1693" s="843" t="s">
        <v>13</v>
      </c>
      <c r="E1693" s="843" t="s">
        <v>1651</v>
      </c>
      <c r="F1693" s="887"/>
      <c r="G1693" s="1950"/>
      <c r="H1693" s="1067"/>
      <c r="I1693" s="1067"/>
      <c r="J1693" s="1063"/>
      <c r="K1693" s="1452"/>
      <c r="L1693" s="846" t="n">
        <v>4948.1325</v>
      </c>
      <c r="M1693" s="846" t="n">
        <v>225</v>
      </c>
      <c r="N1693" s="846" t="n">
        <f aca="false">M1693/H1688</f>
        <v>15</v>
      </c>
      <c r="O1693" s="589" t="s">
        <v>960</v>
      </c>
      <c r="P1693" s="1952"/>
      <c r="Q1693" s="1953"/>
      <c r="R1693" s="1954"/>
    </row>
    <row r="1694" customFormat="false" ht="14.25" hidden="false" customHeight="false" outlineLevel="0" collapsed="false">
      <c r="A1694" s="903" t="n">
        <v>103</v>
      </c>
      <c r="B1694" s="903" t="n">
        <v>2025</v>
      </c>
      <c r="C1694" s="1974" t="n">
        <v>46023</v>
      </c>
      <c r="D1694" s="904" t="s">
        <v>13</v>
      </c>
      <c r="E1694" s="904" t="s">
        <v>1651</v>
      </c>
      <c r="F1694" s="904" t="s">
        <v>3367</v>
      </c>
      <c r="G1694" s="1940" t="n">
        <v>334</v>
      </c>
      <c r="H1694" s="942" t="n">
        <v>15</v>
      </c>
      <c r="I1694" s="891" t="n">
        <f aca="false">G1694*H1694</f>
        <v>5010</v>
      </c>
      <c r="J1694" s="1406" t="n">
        <v>20.7928</v>
      </c>
      <c r="K1694" s="948" t="n">
        <f aca="false">I1694*J1694</f>
        <v>104171.928</v>
      </c>
      <c r="L1694" s="891" t="n">
        <v>103860.036</v>
      </c>
      <c r="M1694" s="891" t="n">
        <v>4995</v>
      </c>
      <c r="N1694" s="840" t="n">
        <f aca="false">M1694/H1694</f>
        <v>333</v>
      </c>
      <c r="O1694" s="942" t="s">
        <v>1155</v>
      </c>
      <c r="P1694" s="1947" t="n">
        <f aca="false">K1694-L1694</f>
        <v>311.892000000007</v>
      </c>
      <c r="Q1694" s="1946" t="n">
        <f aca="false">I1694-M1694</f>
        <v>15</v>
      </c>
      <c r="R1694" s="1946" t="n">
        <f aca="false">G1694-N1694</f>
        <v>1</v>
      </c>
    </row>
    <row r="1695" customFormat="false" ht="14.25" hidden="false" customHeight="false" outlineLevel="0" collapsed="false">
      <c r="A1695" s="882" t="n">
        <v>104</v>
      </c>
      <c r="B1695" s="830" t="n">
        <v>2025</v>
      </c>
      <c r="C1695" s="1965" t="n">
        <v>46023</v>
      </c>
      <c r="D1695" s="831" t="s">
        <v>13</v>
      </c>
      <c r="E1695" s="831" t="s">
        <v>1651</v>
      </c>
      <c r="F1695" s="832" t="s">
        <v>3375</v>
      </c>
      <c r="G1695" s="1931" t="n">
        <v>334</v>
      </c>
      <c r="H1695" s="837" t="n">
        <v>15</v>
      </c>
      <c r="I1695" s="837" t="n">
        <f aca="false">G1695*H1695</f>
        <v>5010</v>
      </c>
      <c r="J1695" s="1059" t="n">
        <v>20.7928</v>
      </c>
      <c r="K1695" s="943" t="n">
        <f aca="false">I1695*J1695</f>
        <v>104171.928</v>
      </c>
      <c r="L1695" s="886" t="n">
        <v>46783.8</v>
      </c>
      <c r="M1695" s="886" t="n">
        <v>2250</v>
      </c>
      <c r="N1695" s="886" t="n">
        <f aca="false">M1695/H1695</f>
        <v>150</v>
      </c>
      <c r="O1695" s="1036" t="s">
        <v>762</v>
      </c>
      <c r="P1695" s="1948" t="n">
        <f aca="false">K1695-L1695-L1700-L1699-L1696-L1697-L1698</f>
        <v>0</v>
      </c>
      <c r="Q1695" s="1934" t="n">
        <f aca="false">I1695-M1695-M1700-M1699-M1696-M1697-M1698</f>
        <v>0</v>
      </c>
      <c r="R1695" s="1935" t="n">
        <f aca="false">G1695-N1695-N1700-N1699-N1696-N1697-N1698</f>
        <v>0</v>
      </c>
    </row>
    <row r="1696" customFormat="false" ht="14.25" hidden="false" customHeight="false" outlineLevel="0" collapsed="false">
      <c r="A1696" s="882"/>
      <c r="B1696" s="830"/>
      <c r="C1696" s="1965"/>
      <c r="D1696" s="860" t="s">
        <v>13</v>
      </c>
      <c r="E1696" s="860" t="s">
        <v>1651</v>
      </c>
      <c r="F1696" s="832"/>
      <c r="G1696" s="1931"/>
      <c r="H1696" s="837"/>
      <c r="I1696" s="837"/>
      <c r="J1696" s="1059"/>
      <c r="K1696" s="943"/>
      <c r="L1696" s="866" t="n">
        <v>3742.704</v>
      </c>
      <c r="M1696" s="866" t="n">
        <v>180</v>
      </c>
      <c r="N1696" s="866" t="n">
        <f aca="false">M1696/H1695</f>
        <v>12</v>
      </c>
      <c r="O1696" s="543" t="s">
        <v>1237</v>
      </c>
      <c r="P1696" s="1948"/>
      <c r="Q1696" s="1934"/>
      <c r="R1696" s="1935"/>
    </row>
    <row r="1697" customFormat="false" ht="14.25" hidden="false" customHeight="false" outlineLevel="0" collapsed="false">
      <c r="A1697" s="882"/>
      <c r="B1697" s="830"/>
      <c r="C1697" s="1965"/>
      <c r="D1697" s="860" t="s">
        <v>13</v>
      </c>
      <c r="E1697" s="860" t="s">
        <v>1651</v>
      </c>
      <c r="F1697" s="832"/>
      <c r="G1697" s="1931"/>
      <c r="H1697" s="837"/>
      <c r="I1697" s="837"/>
      <c r="J1697" s="1059"/>
      <c r="K1697" s="943"/>
      <c r="L1697" s="866" t="n">
        <v>36491.364</v>
      </c>
      <c r="M1697" s="866" t="n">
        <v>1755</v>
      </c>
      <c r="N1697" s="866" t="n">
        <f aca="false">M1697/H1695</f>
        <v>117</v>
      </c>
      <c r="O1697" s="543" t="s">
        <v>1059</v>
      </c>
      <c r="P1697" s="1948"/>
      <c r="Q1697" s="1934"/>
      <c r="R1697" s="1935"/>
    </row>
    <row r="1698" customFormat="false" ht="14.25" hidden="false" customHeight="false" outlineLevel="0" collapsed="false">
      <c r="A1698" s="882"/>
      <c r="B1698" s="830"/>
      <c r="C1698" s="1965"/>
      <c r="D1698" s="860" t="s">
        <v>13</v>
      </c>
      <c r="E1698" s="860" t="s">
        <v>1651</v>
      </c>
      <c r="F1698" s="832"/>
      <c r="G1698" s="1931"/>
      <c r="H1698" s="837"/>
      <c r="I1698" s="837"/>
      <c r="J1698" s="1059"/>
      <c r="K1698" s="943"/>
      <c r="L1698" s="866" t="n">
        <v>-935.676</v>
      </c>
      <c r="M1698" s="866" t="n">
        <v>-45</v>
      </c>
      <c r="N1698" s="866" t="n">
        <f aca="false">M1698/H1695</f>
        <v>-3</v>
      </c>
      <c r="O1698" s="543" t="s">
        <v>1634</v>
      </c>
      <c r="P1698" s="1948"/>
      <c r="Q1698" s="1934"/>
      <c r="R1698" s="1935"/>
    </row>
    <row r="1699" customFormat="false" ht="14.25" hidden="false" customHeight="false" outlineLevel="0" collapsed="false">
      <c r="A1699" s="882"/>
      <c r="B1699" s="830"/>
      <c r="C1699" s="1965"/>
      <c r="D1699" s="860" t="s">
        <v>13</v>
      </c>
      <c r="E1699" s="860" t="s">
        <v>1651</v>
      </c>
      <c r="F1699" s="832"/>
      <c r="G1699" s="1931"/>
      <c r="H1699" s="837"/>
      <c r="I1699" s="837"/>
      <c r="J1699" s="1059"/>
      <c r="K1699" s="943"/>
      <c r="L1699" s="866" t="n">
        <v>15594.6</v>
      </c>
      <c r="M1699" s="866" t="n">
        <v>750</v>
      </c>
      <c r="N1699" s="866" t="n">
        <f aca="false">M1699/H1695</f>
        <v>50</v>
      </c>
      <c r="O1699" s="543" t="s">
        <v>1195</v>
      </c>
      <c r="P1699" s="1948"/>
      <c r="Q1699" s="1934"/>
      <c r="R1699" s="1935"/>
    </row>
    <row r="1700" customFormat="false" ht="14.25" hidden="false" customHeight="false" outlineLevel="0" collapsed="false">
      <c r="A1700" s="882"/>
      <c r="B1700" s="830"/>
      <c r="C1700" s="1965"/>
      <c r="D1700" s="843" t="s">
        <v>13</v>
      </c>
      <c r="E1700" s="843" t="s">
        <v>1651</v>
      </c>
      <c r="F1700" s="832"/>
      <c r="G1700" s="1931"/>
      <c r="H1700" s="837"/>
      <c r="I1700" s="837"/>
      <c r="J1700" s="1059"/>
      <c r="K1700" s="943"/>
      <c r="L1700" s="846" t="n">
        <v>2495.136</v>
      </c>
      <c r="M1700" s="846" t="n">
        <v>120</v>
      </c>
      <c r="N1700" s="846" t="n">
        <f aca="false">M1700/H1695</f>
        <v>8</v>
      </c>
      <c r="O1700" s="589" t="s">
        <v>1151</v>
      </c>
      <c r="P1700" s="1948"/>
      <c r="Q1700" s="1934"/>
      <c r="R1700" s="1935"/>
    </row>
    <row r="1701" customFormat="false" ht="14.25" hidden="false" customHeight="false" outlineLevel="0" collapsed="false">
      <c r="A1701" s="1344" t="n">
        <v>105</v>
      </c>
      <c r="B1701" s="903" t="n">
        <v>2025</v>
      </c>
      <c r="C1701" s="1974" t="n">
        <v>46023</v>
      </c>
      <c r="D1701" s="904" t="s">
        <v>13</v>
      </c>
      <c r="E1701" s="904" t="s">
        <v>2130</v>
      </c>
      <c r="F1701" s="904" t="s">
        <v>3364</v>
      </c>
      <c r="G1701" s="1940" t="n">
        <v>201</v>
      </c>
      <c r="H1701" s="942" t="n">
        <v>25</v>
      </c>
      <c r="I1701" s="942" t="n">
        <f aca="false">G1701*H1701</f>
        <v>5025</v>
      </c>
      <c r="J1701" s="1406" t="n">
        <v>49.0776</v>
      </c>
      <c r="K1701" s="948" t="n">
        <f aca="false">I1701*J1701</f>
        <v>246614.94</v>
      </c>
      <c r="L1701" s="891" t="n">
        <v>36808.2</v>
      </c>
      <c r="M1701" s="891" t="n">
        <v>750</v>
      </c>
      <c r="N1701" s="891" t="n">
        <f aca="false">M1701/H1701</f>
        <v>30</v>
      </c>
      <c r="O1701" s="942" t="s">
        <v>1089</v>
      </c>
      <c r="P1701" s="2009" t="n">
        <f aca="false">K1701-L1701-L1704-L1703-L1702</f>
        <v>0</v>
      </c>
      <c r="Q1701" s="2000" t="n">
        <f aca="false">I1701-M1701-M1704-M1703-M1702</f>
        <v>0</v>
      </c>
      <c r="R1701" s="2005" t="n">
        <f aca="false">G1701-N1701-N1704-N1703-N1702</f>
        <v>0</v>
      </c>
    </row>
    <row r="1702" customFormat="false" ht="14.25" hidden="false" customHeight="false" outlineLevel="0" collapsed="false">
      <c r="A1702" s="1344"/>
      <c r="B1702" s="903"/>
      <c r="C1702" s="1974"/>
      <c r="D1702" s="860" t="s">
        <v>13</v>
      </c>
      <c r="E1702" s="860" t="s">
        <v>2130</v>
      </c>
      <c r="F1702" s="904"/>
      <c r="G1702" s="1940"/>
      <c r="H1702" s="942"/>
      <c r="I1702" s="942"/>
      <c r="J1702" s="1406"/>
      <c r="K1702" s="948"/>
      <c r="L1702" s="866" t="n">
        <v>42942.9</v>
      </c>
      <c r="M1702" s="866" t="n">
        <v>875</v>
      </c>
      <c r="N1702" s="866" t="n">
        <f aca="false">M1702/H1701</f>
        <v>35</v>
      </c>
      <c r="O1702" s="543" t="s">
        <v>943</v>
      </c>
      <c r="P1702" s="2009"/>
      <c r="Q1702" s="2000"/>
      <c r="R1702" s="2005"/>
    </row>
    <row r="1703" customFormat="false" ht="14.25" hidden="false" customHeight="false" outlineLevel="0" collapsed="false">
      <c r="A1703" s="1344"/>
      <c r="B1703" s="903"/>
      <c r="C1703" s="1974"/>
      <c r="D1703" s="860" t="s">
        <v>13</v>
      </c>
      <c r="E1703" s="860" t="s">
        <v>2130</v>
      </c>
      <c r="F1703" s="904"/>
      <c r="G1703" s="1940"/>
      <c r="H1703" s="942"/>
      <c r="I1703" s="942"/>
      <c r="J1703" s="1406"/>
      <c r="K1703" s="948"/>
      <c r="L1703" s="866" t="n">
        <v>68708.64</v>
      </c>
      <c r="M1703" s="866" t="n">
        <v>1400</v>
      </c>
      <c r="N1703" s="866" t="n">
        <f aca="false">M1703/H1701</f>
        <v>56</v>
      </c>
      <c r="O1703" s="543" t="s">
        <v>1087</v>
      </c>
      <c r="P1703" s="2009"/>
      <c r="Q1703" s="2000"/>
      <c r="R1703" s="2005"/>
    </row>
    <row r="1704" customFormat="false" ht="14.25" hidden="false" customHeight="false" outlineLevel="0" collapsed="false">
      <c r="A1704" s="1344"/>
      <c r="B1704" s="903"/>
      <c r="C1704" s="1974"/>
      <c r="D1704" s="871" t="s">
        <v>13</v>
      </c>
      <c r="E1704" s="871" t="s">
        <v>2130</v>
      </c>
      <c r="F1704" s="904"/>
      <c r="G1704" s="1940"/>
      <c r="H1704" s="942"/>
      <c r="I1704" s="942"/>
      <c r="J1704" s="1406"/>
      <c r="K1704" s="948"/>
      <c r="L1704" s="877" t="n">
        <v>98155.2</v>
      </c>
      <c r="M1704" s="877" t="n">
        <v>2000</v>
      </c>
      <c r="N1704" s="877" t="n">
        <f aca="false">M1704/H1701</f>
        <v>80</v>
      </c>
      <c r="O1704" s="553" t="s">
        <v>1088</v>
      </c>
      <c r="P1704" s="2009"/>
      <c r="Q1704" s="2000"/>
      <c r="R1704" s="2005"/>
    </row>
    <row r="1705" customFormat="false" ht="14.25" hidden="false" customHeight="false" outlineLevel="0" collapsed="false">
      <c r="A1705" s="882" t="n">
        <v>106</v>
      </c>
      <c r="B1705" s="830" t="n">
        <v>2025</v>
      </c>
      <c r="C1705" s="1965" t="n">
        <v>46023</v>
      </c>
      <c r="D1705" s="831" t="s">
        <v>13</v>
      </c>
      <c r="E1705" s="831" t="s">
        <v>2130</v>
      </c>
      <c r="F1705" s="832" t="s">
        <v>3364</v>
      </c>
      <c r="G1705" s="1931" t="n">
        <v>194</v>
      </c>
      <c r="H1705" s="837" t="n">
        <v>25</v>
      </c>
      <c r="I1705" s="837" t="n">
        <f aca="false">G1705*H1705</f>
        <v>4850</v>
      </c>
      <c r="J1705" s="1059" t="n">
        <v>49.0776</v>
      </c>
      <c r="K1705" s="943" t="n">
        <f aca="false">I1705*J1705</f>
        <v>238026.36</v>
      </c>
      <c r="L1705" s="840" t="n">
        <v>78524.16</v>
      </c>
      <c r="M1705" s="840" t="n">
        <v>1600</v>
      </c>
      <c r="N1705" s="886" t="n">
        <f aca="false">M1705/H1705</f>
        <v>64</v>
      </c>
      <c r="O1705" s="1114" t="s">
        <v>1087</v>
      </c>
      <c r="P1705" s="1948" t="n">
        <f aca="false">K1705-L1705-L1707-L1706</f>
        <v>0</v>
      </c>
      <c r="Q1705" s="1934" t="n">
        <f aca="false">I1705-M1705-M1707-M1706</f>
        <v>0</v>
      </c>
      <c r="R1705" s="1935" t="n">
        <f aca="false">G1705-N1705-N1707-N1706</f>
        <v>0</v>
      </c>
    </row>
    <row r="1706" customFormat="false" ht="14.25" hidden="false" customHeight="false" outlineLevel="0" collapsed="false">
      <c r="A1706" s="882"/>
      <c r="B1706" s="830"/>
      <c r="C1706" s="1965"/>
      <c r="D1706" s="904" t="s">
        <v>13</v>
      </c>
      <c r="E1706" s="904" t="s">
        <v>2130</v>
      </c>
      <c r="F1706" s="832"/>
      <c r="G1706" s="1931"/>
      <c r="H1706" s="837"/>
      <c r="I1706" s="837"/>
      <c r="J1706" s="1059"/>
      <c r="K1706" s="943"/>
      <c r="L1706" s="891" t="n">
        <v>41715.96</v>
      </c>
      <c r="M1706" s="891" t="n">
        <v>850</v>
      </c>
      <c r="N1706" s="866" t="n">
        <f aca="false">M1706/H1705</f>
        <v>34</v>
      </c>
      <c r="O1706" s="942" t="s">
        <v>699</v>
      </c>
      <c r="P1706" s="1948"/>
      <c r="Q1706" s="1934"/>
      <c r="R1706" s="1935"/>
    </row>
    <row r="1707" customFormat="false" ht="14.25" hidden="false" customHeight="false" outlineLevel="0" collapsed="false">
      <c r="A1707" s="882"/>
      <c r="B1707" s="830"/>
      <c r="C1707" s="1965"/>
      <c r="D1707" s="843" t="s">
        <v>13</v>
      </c>
      <c r="E1707" s="843" t="s">
        <v>2130</v>
      </c>
      <c r="F1707" s="832"/>
      <c r="G1707" s="1931"/>
      <c r="H1707" s="837"/>
      <c r="I1707" s="837"/>
      <c r="J1707" s="1059"/>
      <c r="K1707" s="943"/>
      <c r="L1707" s="846" t="n">
        <v>117786.24</v>
      </c>
      <c r="M1707" s="846" t="n">
        <v>2400</v>
      </c>
      <c r="N1707" s="846" t="n">
        <f aca="false">M1707/H1705</f>
        <v>96</v>
      </c>
      <c r="O1707" s="589" t="s">
        <v>1127</v>
      </c>
      <c r="P1707" s="1948"/>
      <c r="Q1707" s="1934"/>
      <c r="R1707" s="1935"/>
    </row>
    <row r="1708" customFormat="false" ht="14.25" hidden="false" customHeight="false" outlineLevel="0" collapsed="false">
      <c r="A1708" s="903" t="n">
        <v>110</v>
      </c>
      <c r="B1708" s="903" t="n">
        <v>2025</v>
      </c>
      <c r="C1708" s="1974" t="n">
        <v>46023</v>
      </c>
      <c r="D1708" s="904" t="s">
        <v>13</v>
      </c>
      <c r="E1708" s="904" t="s">
        <v>1651</v>
      </c>
      <c r="F1708" s="904" t="s">
        <v>3367</v>
      </c>
      <c r="G1708" s="1940" t="n">
        <v>348</v>
      </c>
      <c r="H1708" s="942" t="n">
        <v>15</v>
      </c>
      <c r="I1708" s="891" t="n">
        <f aca="false">G1708*H1708</f>
        <v>5220</v>
      </c>
      <c r="J1708" s="1406" t="n">
        <v>21.1512</v>
      </c>
      <c r="K1708" s="948" t="n">
        <f aca="false">I1708*J1708</f>
        <v>110409.264</v>
      </c>
      <c r="L1708" s="891" t="n">
        <v>110409.264</v>
      </c>
      <c r="M1708" s="891" t="n">
        <v>5220</v>
      </c>
      <c r="N1708" s="877" t="n">
        <f aca="false">M1708/H1708</f>
        <v>348</v>
      </c>
      <c r="O1708" s="942" t="s">
        <v>1122</v>
      </c>
      <c r="P1708" s="1947" t="n">
        <f aca="false">K1708-L1708</f>
        <v>0</v>
      </c>
      <c r="Q1708" s="1946" t="n">
        <f aca="false">I1708-M1708</f>
        <v>0</v>
      </c>
      <c r="R1708" s="1946" t="n">
        <f aca="false">G1708-N1708</f>
        <v>0</v>
      </c>
    </row>
    <row r="1709" customFormat="false" ht="14.25" hidden="false" customHeight="false" outlineLevel="0" collapsed="false">
      <c r="A1709" s="829" t="n">
        <v>194</v>
      </c>
      <c r="B1709" s="830" t="n">
        <v>2025</v>
      </c>
      <c r="C1709" s="1965" t="n">
        <v>46054</v>
      </c>
      <c r="D1709" s="831" t="s">
        <v>13</v>
      </c>
      <c r="E1709" s="831" t="s">
        <v>1651</v>
      </c>
      <c r="F1709" s="832" t="s">
        <v>3364</v>
      </c>
      <c r="G1709" s="1931" t="n">
        <v>666</v>
      </c>
      <c r="H1709" s="837" t="n">
        <v>15</v>
      </c>
      <c r="I1709" s="837" t="n">
        <f aca="false">G1709*H1709</f>
        <v>9990</v>
      </c>
      <c r="J1709" s="1059" t="n">
        <v>27.0113</v>
      </c>
      <c r="K1709" s="943" t="n">
        <f aca="false">I1709*J1709</f>
        <v>269842.887</v>
      </c>
      <c r="L1709" s="840" t="n">
        <v>108180.2565</v>
      </c>
      <c r="M1709" s="840" t="n">
        <v>4005</v>
      </c>
      <c r="N1709" s="886" t="n">
        <f aca="false">M1709/H1709</f>
        <v>267</v>
      </c>
      <c r="O1709" s="1114" t="s">
        <v>1122</v>
      </c>
      <c r="P1709" s="1948" t="n">
        <f aca="false">K1709-L1709-L1710</f>
        <v>0</v>
      </c>
      <c r="Q1709" s="1934" t="n">
        <f aca="false">I1709-M1709-M1710</f>
        <v>0</v>
      </c>
      <c r="R1709" s="1935" t="n">
        <f aca="false">G1709-N1709-N1710</f>
        <v>0</v>
      </c>
    </row>
    <row r="1710" customFormat="false" ht="14.25" hidden="false" customHeight="false" outlineLevel="0" collapsed="false">
      <c r="A1710" s="829"/>
      <c r="B1710" s="830"/>
      <c r="C1710" s="1965"/>
      <c r="D1710" s="843" t="s">
        <v>13</v>
      </c>
      <c r="E1710" s="843" t="s">
        <v>1651</v>
      </c>
      <c r="F1710" s="832"/>
      <c r="G1710" s="1931"/>
      <c r="H1710" s="837"/>
      <c r="I1710" s="837"/>
      <c r="J1710" s="1059"/>
      <c r="K1710" s="943"/>
      <c r="L1710" s="846" t="n">
        <v>161662.6305</v>
      </c>
      <c r="M1710" s="846" t="n">
        <v>5985</v>
      </c>
      <c r="N1710" s="846" t="n">
        <f aca="false">M1710/H1709</f>
        <v>399</v>
      </c>
      <c r="O1710" s="589" t="s">
        <v>1271</v>
      </c>
      <c r="P1710" s="1948"/>
      <c r="Q1710" s="1934"/>
      <c r="R1710" s="1935"/>
    </row>
    <row r="1711" customFormat="false" ht="14.25" hidden="false" customHeight="false" outlineLevel="0" collapsed="false">
      <c r="A1711" s="882" t="n">
        <v>195</v>
      </c>
      <c r="B1711" s="830" t="n">
        <v>2025</v>
      </c>
      <c r="C1711" s="1965" t="n">
        <v>46054</v>
      </c>
      <c r="D1711" s="831" t="s">
        <v>13</v>
      </c>
      <c r="E1711" s="831" t="s">
        <v>1651</v>
      </c>
      <c r="F1711" s="883" t="s">
        <v>3364</v>
      </c>
      <c r="G1711" s="1931" t="n">
        <v>666</v>
      </c>
      <c r="H1711" s="837" t="n">
        <v>15</v>
      </c>
      <c r="I1711" s="837" t="n">
        <f aca="false">G1711*H1711</f>
        <v>9990</v>
      </c>
      <c r="J1711" s="1059" t="n">
        <v>27.0113</v>
      </c>
      <c r="K1711" s="943" t="n">
        <f aca="false">I1711*J1711</f>
        <v>269842.887</v>
      </c>
      <c r="L1711" s="886" t="n">
        <v>405.1695</v>
      </c>
      <c r="M1711" s="886" t="n">
        <v>15</v>
      </c>
      <c r="N1711" s="886" t="n">
        <f aca="false">M1711/H1711</f>
        <v>1</v>
      </c>
      <c r="O1711" s="1036" t="s">
        <v>567</v>
      </c>
      <c r="P1711" s="1948" t="n">
        <f aca="false">K1711-L1711-L1713-L1712</f>
        <v>0</v>
      </c>
      <c r="Q1711" s="1934" t="n">
        <f aca="false">I1711-M1711-M1713-M1712</f>
        <v>0</v>
      </c>
      <c r="R1711" s="1935" t="n">
        <f aca="false">G1711-N1711-N1713-N1712</f>
        <v>0</v>
      </c>
    </row>
    <row r="1712" customFormat="false" ht="14.25" hidden="false" customHeight="false" outlineLevel="0" collapsed="false">
      <c r="A1712" s="882"/>
      <c r="B1712" s="830"/>
      <c r="C1712" s="1965"/>
      <c r="D1712" s="860" t="s">
        <v>13</v>
      </c>
      <c r="E1712" s="860" t="s">
        <v>1651</v>
      </c>
      <c r="F1712" s="883"/>
      <c r="G1712" s="1931"/>
      <c r="H1712" s="837"/>
      <c r="I1712" s="837"/>
      <c r="J1712" s="1059"/>
      <c r="K1712" s="943"/>
      <c r="L1712" s="866" t="n">
        <v>154774.749</v>
      </c>
      <c r="M1712" s="866" t="n">
        <v>5730</v>
      </c>
      <c r="N1712" s="866" t="n">
        <f aca="false">M1712/H1711</f>
        <v>382</v>
      </c>
      <c r="O1712" s="543" t="s">
        <v>1122</v>
      </c>
      <c r="P1712" s="1948"/>
      <c r="Q1712" s="1934"/>
      <c r="R1712" s="1935"/>
    </row>
    <row r="1713" customFormat="false" ht="14.25" hidden="false" customHeight="false" outlineLevel="0" collapsed="false">
      <c r="A1713" s="882"/>
      <c r="B1713" s="830"/>
      <c r="C1713" s="1965"/>
      <c r="D1713" s="887" t="s">
        <v>13</v>
      </c>
      <c r="E1713" s="887" t="s">
        <v>1651</v>
      </c>
      <c r="F1713" s="883"/>
      <c r="G1713" s="1931"/>
      <c r="H1713" s="837"/>
      <c r="I1713" s="837"/>
      <c r="J1713" s="1059"/>
      <c r="K1713" s="943"/>
      <c r="L1713" s="890" t="n">
        <v>114662.9685</v>
      </c>
      <c r="M1713" s="890" t="n">
        <v>4245</v>
      </c>
      <c r="N1713" s="890" t="n">
        <f aca="false">M1713/H1711</f>
        <v>283</v>
      </c>
      <c r="O1713" s="1067" t="s">
        <v>1059</v>
      </c>
      <c r="P1713" s="1948"/>
      <c r="Q1713" s="1934"/>
      <c r="R1713" s="1935"/>
    </row>
    <row r="1714" customFormat="false" ht="14.25" hidden="false" customHeight="false" outlineLevel="0" collapsed="false">
      <c r="A1714" s="847" t="n">
        <v>196</v>
      </c>
      <c r="B1714" s="1396" t="n">
        <v>2025</v>
      </c>
      <c r="C1714" s="1966" t="n">
        <v>46054</v>
      </c>
      <c r="D1714" s="848" t="s">
        <v>13</v>
      </c>
      <c r="E1714" s="848" t="s">
        <v>2619</v>
      </c>
      <c r="F1714" s="848" t="s">
        <v>3364</v>
      </c>
      <c r="G1714" s="1967" t="n">
        <v>44</v>
      </c>
      <c r="H1714" s="537" t="n">
        <v>25</v>
      </c>
      <c r="I1714" s="854" t="n">
        <f aca="false">G1714*H1714</f>
        <v>1100</v>
      </c>
      <c r="J1714" s="1544" t="n">
        <v>92.3545</v>
      </c>
      <c r="K1714" s="953" t="n">
        <f aca="false">I1714*J1714</f>
        <v>101589.95</v>
      </c>
      <c r="L1714" s="854" t="n">
        <v>94663.3625</v>
      </c>
      <c r="M1714" s="854" t="n">
        <v>1025</v>
      </c>
      <c r="N1714" s="891" t="n">
        <f aca="false">M1714/H1714</f>
        <v>41</v>
      </c>
      <c r="O1714" s="537" t="s">
        <v>3518</v>
      </c>
      <c r="P1714" s="1983" t="n">
        <f aca="false">K1714-L1714</f>
        <v>6926.58749999999</v>
      </c>
      <c r="Q1714" s="1971" t="n">
        <f aca="false">I1714-M1714</f>
        <v>75</v>
      </c>
      <c r="R1714" s="1971" t="n">
        <f aca="false">G1714-N1714</f>
        <v>3</v>
      </c>
    </row>
    <row r="1715" customFormat="false" ht="14.25" hidden="false" customHeight="false" outlineLevel="0" collapsed="false">
      <c r="A1715" s="859" t="n">
        <v>197</v>
      </c>
      <c r="B1715" s="2020" t="n">
        <v>2025</v>
      </c>
      <c r="C1715" s="1990" t="n">
        <v>46054</v>
      </c>
      <c r="D1715" s="860" t="s">
        <v>13</v>
      </c>
      <c r="E1715" s="860" t="s">
        <v>1651</v>
      </c>
      <c r="F1715" s="860" t="s">
        <v>3364</v>
      </c>
      <c r="G1715" s="2054" t="n">
        <v>150</v>
      </c>
      <c r="H1715" s="543" t="n">
        <v>15</v>
      </c>
      <c r="I1715" s="866" t="n">
        <f aca="false">G1715*H1715</f>
        <v>2250</v>
      </c>
      <c r="J1715" s="1585" t="n">
        <v>29.0521</v>
      </c>
      <c r="K1715" s="1449" t="n">
        <f aca="false">I1715*J1715</f>
        <v>65367.225</v>
      </c>
      <c r="L1715" s="866" t="n">
        <v>65367.225</v>
      </c>
      <c r="M1715" s="866" t="n">
        <v>2250</v>
      </c>
      <c r="N1715" s="866" t="n">
        <f aca="false">M1715/H1715</f>
        <v>150</v>
      </c>
      <c r="O1715" s="543" t="s">
        <v>1299</v>
      </c>
      <c r="P1715" s="2030" t="n">
        <f aca="false">K1715-L1715</f>
        <v>0</v>
      </c>
      <c r="Q1715" s="1995" t="n">
        <f aca="false">I1715-M1715</f>
        <v>0</v>
      </c>
      <c r="R1715" s="1995" t="n">
        <f aca="false">G1715-N1715</f>
        <v>0</v>
      </c>
    </row>
    <row r="1716" customFormat="false" ht="14.25" hidden="false" customHeight="false" outlineLevel="0" collapsed="false">
      <c r="A1716" s="870" t="n">
        <v>198</v>
      </c>
      <c r="B1716" s="1495" t="n">
        <v>2025</v>
      </c>
      <c r="C1716" s="1972" t="n">
        <v>46054</v>
      </c>
      <c r="D1716" s="871" t="s">
        <v>13</v>
      </c>
      <c r="E1716" s="871" t="s">
        <v>1651</v>
      </c>
      <c r="F1716" s="871" t="s">
        <v>3367</v>
      </c>
      <c r="G1716" s="1956" t="n">
        <v>150</v>
      </c>
      <c r="H1716" s="553" t="n">
        <v>15</v>
      </c>
      <c r="I1716" s="877" t="n">
        <f aca="false">G1716*H1716</f>
        <v>2250</v>
      </c>
      <c r="J1716" s="1542" t="n">
        <v>25.9191</v>
      </c>
      <c r="K1716" s="1403" t="n">
        <f aca="false">I1716*J1716</f>
        <v>58317.975</v>
      </c>
      <c r="L1716" s="877" t="n">
        <v>58317.975</v>
      </c>
      <c r="M1716" s="877" t="n">
        <v>2250</v>
      </c>
      <c r="N1716" s="877" t="n">
        <f aca="false">M1716/H1716</f>
        <v>150</v>
      </c>
      <c r="O1716" s="553" t="s">
        <v>1219</v>
      </c>
      <c r="P1716" s="1959" t="n">
        <f aca="false">K1716-L1716</f>
        <v>0</v>
      </c>
      <c r="Q1716" s="1961" t="n">
        <f aca="false">I1716-M1716</f>
        <v>0</v>
      </c>
      <c r="R1716" s="1961" t="n">
        <f aca="false">G1716-N1716</f>
        <v>0</v>
      </c>
    </row>
    <row r="1717" customFormat="false" ht="14.25" hidden="false" customHeight="false" outlineLevel="0" collapsed="false">
      <c r="A1717" s="882" t="n">
        <v>199</v>
      </c>
      <c r="B1717" s="830" t="n">
        <v>2025</v>
      </c>
      <c r="C1717" s="1965" t="n">
        <v>46054</v>
      </c>
      <c r="D1717" s="831" t="s">
        <v>13</v>
      </c>
      <c r="E1717" s="831" t="s">
        <v>1651</v>
      </c>
      <c r="F1717" s="832" t="s">
        <v>3364</v>
      </c>
      <c r="G1717" s="1931" t="n">
        <v>181</v>
      </c>
      <c r="H1717" s="837" t="n">
        <v>15</v>
      </c>
      <c r="I1717" s="837" t="n">
        <f aca="false">G1717*H1717</f>
        <v>2715</v>
      </c>
      <c r="J1717" s="1059" t="n">
        <v>26.0241</v>
      </c>
      <c r="K1717" s="943" t="n">
        <f aca="false">I1717*J1717</f>
        <v>70655.4315</v>
      </c>
      <c r="L1717" s="840" t="n">
        <v>52698.8025</v>
      </c>
      <c r="M1717" s="840" t="n">
        <v>2025</v>
      </c>
      <c r="N1717" s="886" t="n">
        <f aca="false">M1717/H1717</f>
        <v>135</v>
      </c>
      <c r="O1717" s="1114" t="s">
        <v>3519</v>
      </c>
      <c r="P1717" s="1948" t="n">
        <f aca="false">K1717-L1719-L1717-L1718</f>
        <v>0</v>
      </c>
      <c r="Q1717" s="1934" t="n">
        <f aca="false">I1717-M1717-M1719-M1718</f>
        <v>0</v>
      </c>
      <c r="R1717" s="1935" t="n">
        <f aca="false">G1717-N1717-N1719-N1718</f>
        <v>0</v>
      </c>
    </row>
    <row r="1718" customFormat="false" ht="14.25" hidden="false" customHeight="false" outlineLevel="0" collapsed="false">
      <c r="A1718" s="882"/>
      <c r="B1718" s="830"/>
      <c r="C1718" s="1965"/>
      <c r="D1718" s="904" t="s">
        <v>13</v>
      </c>
      <c r="E1718" s="904" t="s">
        <v>1651</v>
      </c>
      <c r="F1718" s="832"/>
      <c r="G1718" s="1931"/>
      <c r="H1718" s="837"/>
      <c r="I1718" s="837"/>
      <c r="J1718" s="1059"/>
      <c r="K1718" s="943"/>
      <c r="L1718" s="891" t="n">
        <v>11320.4835</v>
      </c>
      <c r="M1718" s="891" t="n">
        <v>435</v>
      </c>
      <c r="N1718" s="866" t="n">
        <f aca="false">M1718/H1717</f>
        <v>29</v>
      </c>
      <c r="O1718" s="942" t="s">
        <v>1318</v>
      </c>
      <c r="P1718" s="1948"/>
      <c r="Q1718" s="1934"/>
      <c r="R1718" s="1935"/>
    </row>
    <row r="1719" customFormat="false" ht="14.25" hidden="false" customHeight="false" outlineLevel="0" collapsed="false">
      <c r="A1719" s="882"/>
      <c r="B1719" s="830"/>
      <c r="C1719" s="1965"/>
      <c r="D1719" s="843" t="s">
        <v>13</v>
      </c>
      <c r="E1719" s="843" t="s">
        <v>1651</v>
      </c>
      <c r="F1719" s="832"/>
      <c r="G1719" s="1931"/>
      <c r="H1719" s="837"/>
      <c r="I1719" s="837"/>
      <c r="J1719" s="1059"/>
      <c r="K1719" s="943"/>
      <c r="L1719" s="846" t="n">
        <v>6636.1455</v>
      </c>
      <c r="M1719" s="846" t="n">
        <v>255</v>
      </c>
      <c r="N1719" s="846" t="n">
        <f aca="false">M1719/H1717</f>
        <v>17</v>
      </c>
      <c r="O1719" s="589" t="s">
        <v>1310</v>
      </c>
      <c r="P1719" s="1948"/>
      <c r="Q1719" s="1934"/>
      <c r="R1719" s="1935"/>
    </row>
    <row r="1720" customFormat="false" ht="14.25" hidden="false" customHeight="false" outlineLevel="0" collapsed="false">
      <c r="A1720" s="903"/>
      <c r="B1720" s="903"/>
      <c r="C1720" s="1974"/>
      <c r="D1720" s="904"/>
      <c r="E1720" s="904"/>
      <c r="F1720" s="904"/>
      <c r="G1720" s="1940"/>
      <c r="H1720" s="942"/>
      <c r="I1720" s="891"/>
      <c r="J1720" s="946"/>
      <c r="K1720" s="948"/>
      <c r="L1720" s="891"/>
      <c r="M1720" s="891"/>
      <c r="N1720" s="891"/>
      <c r="O1720" s="942"/>
      <c r="P1720" s="1944"/>
      <c r="Q1720" s="1946"/>
      <c r="R1720" s="1946"/>
    </row>
    <row r="1721" customFormat="false" ht="14.25" hidden="false" customHeight="false" outlineLevel="0" collapsed="false">
      <c r="A1721" s="882" t="n">
        <v>524</v>
      </c>
      <c r="B1721" s="830" t="n">
        <v>2023</v>
      </c>
      <c r="C1721" s="1930" t="n">
        <v>45597</v>
      </c>
      <c r="D1721" s="831" t="s">
        <v>2123</v>
      </c>
      <c r="E1721" s="1365" t="s">
        <v>1652</v>
      </c>
      <c r="F1721" s="832" t="s">
        <v>3364</v>
      </c>
      <c r="G1721" s="1931" t="n">
        <v>214</v>
      </c>
      <c r="H1721" s="1931" t="n">
        <v>15</v>
      </c>
      <c r="I1721" s="837" t="n">
        <f aca="false">G1721*H1721</f>
        <v>3210</v>
      </c>
      <c r="J1721" s="1932" t="n">
        <v>35.8</v>
      </c>
      <c r="K1721" s="943" t="n">
        <f aca="false">I1721*J1721</f>
        <v>114918</v>
      </c>
      <c r="L1721" s="840" t="n">
        <v>23091</v>
      </c>
      <c r="M1721" s="840" t="n">
        <v>645</v>
      </c>
      <c r="N1721" s="840" t="n">
        <f aca="false">M1721/H1721</f>
        <v>43</v>
      </c>
      <c r="O1721" s="1114" t="n">
        <v>86029</v>
      </c>
      <c r="P1721" s="1934" t="n">
        <f aca="false">K1721-L1721-L1726-L1722-L1725-L1723-L1724</f>
        <v>0</v>
      </c>
      <c r="Q1721" s="1934" t="n">
        <f aca="false">I1721-M1721-M1726-M1722-M1725-M1723-M1724</f>
        <v>0</v>
      </c>
      <c r="R1721" s="1935" t="n">
        <f aca="false">G1721-N1721-N1726-N1722-N1725-N1723-N1724</f>
        <v>0</v>
      </c>
    </row>
    <row r="1722" customFormat="false" ht="14.25" hidden="false" customHeight="false" outlineLevel="0" collapsed="false">
      <c r="A1722" s="882"/>
      <c r="B1722" s="830"/>
      <c r="C1722" s="1930"/>
      <c r="D1722" s="860" t="s">
        <v>2123</v>
      </c>
      <c r="E1722" s="1480" t="s">
        <v>1652</v>
      </c>
      <c r="F1722" s="832"/>
      <c r="G1722" s="1931"/>
      <c r="H1722" s="1931"/>
      <c r="I1722" s="837"/>
      <c r="J1722" s="1932"/>
      <c r="K1722" s="943"/>
      <c r="L1722" s="866" t="n">
        <v>24165</v>
      </c>
      <c r="M1722" s="866" t="n">
        <v>675</v>
      </c>
      <c r="N1722" s="866" t="n">
        <f aca="false">M1722/H1721</f>
        <v>45</v>
      </c>
      <c r="O1722" s="543" t="n">
        <v>86498</v>
      </c>
      <c r="P1722" s="1934"/>
      <c r="Q1722" s="1934"/>
      <c r="R1722" s="1935"/>
    </row>
    <row r="1723" customFormat="false" ht="14.25" hidden="false" customHeight="false" outlineLevel="0" collapsed="false">
      <c r="A1723" s="882"/>
      <c r="B1723" s="830"/>
      <c r="C1723" s="1930"/>
      <c r="D1723" s="860" t="s">
        <v>2123</v>
      </c>
      <c r="E1723" s="1480" t="s">
        <v>1652</v>
      </c>
      <c r="F1723" s="832"/>
      <c r="G1723" s="1931"/>
      <c r="H1723" s="1931"/>
      <c r="I1723" s="837"/>
      <c r="J1723" s="1932"/>
      <c r="K1723" s="943"/>
      <c r="L1723" s="866" t="n">
        <v>21480</v>
      </c>
      <c r="M1723" s="866" t="n">
        <v>600</v>
      </c>
      <c r="N1723" s="866" t="n">
        <f aca="false">M1723/H1721</f>
        <v>40</v>
      </c>
      <c r="O1723" s="543" t="n">
        <v>86719</v>
      </c>
      <c r="P1723" s="1934"/>
      <c r="Q1723" s="1934"/>
      <c r="R1723" s="1935"/>
    </row>
    <row r="1724" customFormat="false" ht="14.25" hidden="false" customHeight="false" outlineLevel="0" collapsed="false">
      <c r="A1724" s="882"/>
      <c r="B1724" s="830"/>
      <c r="C1724" s="1930"/>
      <c r="D1724" s="860" t="s">
        <v>2123</v>
      </c>
      <c r="E1724" s="1480" t="s">
        <v>1652</v>
      </c>
      <c r="F1724" s="832"/>
      <c r="G1724" s="1931"/>
      <c r="H1724" s="1931"/>
      <c r="I1724" s="837"/>
      <c r="J1724" s="1932"/>
      <c r="K1724" s="943"/>
      <c r="L1724" s="866" t="n">
        <v>42960</v>
      </c>
      <c r="M1724" s="866" t="n">
        <v>1200</v>
      </c>
      <c r="N1724" s="866" t="n">
        <f aca="false">M1724/H1721</f>
        <v>80</v>
      </c>
      <c r="O1724" s="543" t="s">
        <v>1634</v>
      </c>
      <c r="P1724" s="1934"/>
      <c r="Q1724" s="1934"/>
      <c r="R1724" s="1935"/>
    </row>
    <row r="1725" customFormat="false" ht="14.25" hidden="false" customHeight="false" outlineLevel="0" collapsed="false">
      <c r="A1725" s="882"/>
      <c r="B1725" s="830"/>
      <c r="C1725" s="1930"/>
      <c r="D1725" s="860" t="s">
        <v>2123</v>
      </c>
      <c r="E1725" s="1480" t="s">
        <v>1652</v>
      </c>
      <c r="F1725" s="832"/>
      <c r="G1725" s="1931"/>
      <c r="H1725" s="1931"/>
      <c r="I1725" s="837"/>
      <c r="J1725" s="1932"/>
      <c r="K1725" s="943"/>
      <c r="L1725" s="866" t="n">
        <v>537</v>
      </c>
      <c r="M1725" s="866" t="n">
        <v>15</v>
      </c>
      <c r="N1725" s="866" t="n">
        <f aca="false">M1725/H1721</f>
        <v>1</v>
      </c>
      <c r="O1725" s="543" t="n">
        <v>86662</v>
      </c>
      <c r="P1725" s="1934"/>
      <c r="Q1725" s="1934"/>
      <c r="R1725" s="1935"/>
    </row>
    <row r="1726" customFormat="false" ht="14.25" hidden="false" customHeight="false" outlineLevel="0" collapsed="false">
      <c r="A1726" s="882"/>
      <c r="B1726" s="830"/>
      <c r="C1726" s="1930"/>
      <c r="D1726" s="843" t="s">
        <v>2123</v>
      </c>
      <c r="E1726" s="1357" t="s">
        <v>1652</v>
      </c>
      <c r="F1726" s="832"/>
      <c r="G1726" s="1931"/>
      <c r="H1726" s="1931"/>
      <c r="I1726" s="837"/>
      <c r="J1726" s="1932"/>
      <c r="K1726" s="943"/>
      <c r="L1726" s="846" t="n">
        <v>2685</v>
      </c>
      <c r="M1726" s="846" t="n">
        <v>75</v>
      </c>
      <c r="N1726" s="846" t="n">
        <f aca="false">M1726/H1721</f>
        <v>5</v>
      </c>
      <c r="O1726" s="589" t="n">
        <v>86054</v>
      </c>
      <c r="P1726" s="1934"/>
      <c r="Q1726" s="1934"/>
      <c r="R1726" s="1935"/>
    </row>
    <row r="1727" customFormat="false" ht="14.25" hidden="false" customHeight="false" outlineLevel="0" collapsed="false">
      <c r="A1727" s="1060" t="n">
        <v>148</v>
      </c>
      <c r="B1727" s="1072" t="n">
        <v>2024</v>
      </c>
      <c r="C1727" s="1949" t="n">
        <v>45717</v>
      </c>
      <c r="D1727" s="848" t="s">
        <v>2123</v>
      </c>
      <c r="E1727" s="1479" t="s">
        <v>1651</v>
      </c>
      <c r="F1727" s="887" t="s">
        <v>3364</v>
      </c>
      <c r="G1727" s="1950" t="n">
        <v>262</v>
      </c>
      <c r="H1727" s="1950" t="n">
        <v>15</v>
      </c>
      <c r="I1727" s="1067" t="n">
        <f aca="false">G1727*H1727</f>
        <v>3930</v>
      </c>
      <c r="J1727" s="1951" t="n">
        <v>28.2013</v>
      </c>
      <c r="K1727" s="1452" t="n">
        <f aca="false">I1727*J1727</f>
        <v>110831.109</v>
      </c>
      <c r="L1727" s="891" t="n">
        <v>99409.5825</v>
      </c>
      <c r="M1727" s="891" t="n">
        <v>3525</v>
      </c>
      <c r="N1727" s="891" t="n">
        <f aca="false">M1727/H1727</f>
        <v>235</v>
      </c>
      <c r="O1727" s="942" t="n">
        <v>86755</v>
      </c>
      <c r="P1727" s="2056" t="n">
        <f aca="false">K1727-L1727-L1729-L1728</f>
        <v>0</v>
      </c>
      <c r="Q1727" s="1953" t="n">
        <f aca="false">I1727-M1727-M1729-M1728</f>
        <v>0</v>
      </c>
      <c r="R1727" s="1954" t="n">
        <f aca="false">G1727-N1727-N1729-N1728</f>
        <v>0</v>
      </c>
    </row>
    <row r="1728" customFormat="false" ht="14.25" hidden="false" customHeight="false" outlineLevel="0" collapsed="false">
      <c r="A1728" s="1060"/>
      <c r="B1728" s="1072"/>
      <c r="C1728" s="1949"/>
      <c r="D1728" s="860" t="s">
        <v>2123</v>
      </c>
      <c r="E1728" s="1480" t="s">
        <v>1651</v>
      </c>
      <c r="F1728" s="887"/>
      <c r="G1728" s="1950"/>
      <c r="H1728" s="1950"/>
      <c r="I1728" s="1067"/>
      <c r="J1728" s="1951"/>
      <c r="K1728" s="1452"/>
      <c r="L1728" s="866" t="n">
        <v>10998.507</v>
      </c>
      <c r="M1728" s="866" t="n">
        <v>390</v>
      </c>
      <c r="N1728" s="866" t="n">
        <f aca="false">M1728/H1727</f>
        <v>26</v>
      </c>
      <c r="O1728" s="543" t="s">
        <v>395</v>
      </c>
      <c r="P1728" s="2056"/>
      <c r="Q1728" s="1953"/>
      <c r="R1728" s="1954"/>
    </row>
    <row r="1729" customFormat="false" ht="14.25" hidden="false" customHeight="false" outlineLevel="0" collapsed="false">
      <c r="A1729" s="1060"/>
      <c r="B1729" s="1072"/>
      <c r="C1729" s="1949"/>
      <c r="D1729" s="887" t="s">
        <v>2123</v>
      </c>
      <c r="E1729" s="1501" t="s">
        <v>1651</v>
      </c>
      <c r="F1729" s="887"/>
      <c r="G1729" s="1950"/>
      <c r="H1729" s="1950"/>
      <c r="I1729" s="1067"/>
      <c r="J1729" s="1951"/>
      <c r="K1729" s="1452"/>
      <c r="L1729" s="890" t="n">
        <v>423.0195</v>
      </c>
      <c r="M1729" s="890" t="n">
        <v>15</v>
      </c>
      <c r="N1729" s="890" t="n">
        <f aca="false">M1729/H1727</f>
        <v>1</v>
      </c>
      <c r="O1729" s="1067" t="s">
        <v>3365</v>
      </c>
      <c r="P1729" s="2056"/>
      <c r="Q1729" s="1953"/>
      <c r="R1729" s="1954"/>
    </row>
    <row r="1730" customFormat="false" ht="14.25" hidden="false" customHeight="false" outlineLevel="0" collapsed="false">
      <c r="A1730" s="1027" t="n">
        <v>224</v>
      </c>
      <c r="B1730" s="1546" t="n">
        <v>2024</v>
      </c>
      <c r="C1730" s="2006" t="n">
        <v>45839</v>
      </c>
      <c r="D1730" s="831" t="s">
        <v>2123</v>
      </c>
      <c r="E1730" s="1365" t="s">
        <v>1651</v>
      </c>
      <c r="F1730" s="1328" t="s">
        <v>3364</v>
      </c>
      <c r="G1730" s="1976" t="n">
        <v>63</v>
      </c>
      <c r="H1730" s="1976" t="n">
        <v>15</v>
      </c>
      <c r="I1730" s="1036" t="n">
        <f aca="false">G1730*H1730</f>
        <v>945</v>
      </c>
      <c r="J1730" s="1999" t="n">
        <v>30.3082</v>
      </c>
      <c r="K1730" s="1547" t="n">
        <f aca="false">I1730*J1730</f>
        <v>28641.249</v>
      </c>
      <c r="L1730" s="840" t="n">
        <v>18184.92</v>
      </c>
      <c r="M1730" s="840" t="n">
        <v>600</v>
      </c>
      <c r="N1730" s="840" t="n">
        <f aca="false">M1730/H1730</f>
        <v>40</v>
      </c>
      <c r="O1730" s="1114" t="s">
        <v>368</v>
      </c>
      <c r="P1730" s="1977" t="n">
        <f aca="false">K1730-L1730-L1731</f>
        <v>0</v>
      </c>
      <c r="Q1730" s="1978" t="n">
        <f aca="false">I1730-M1730-M1731</f>
        <v>0</v>
      </c>
      <c r="R1730" s="1979" t="n">
        <f aca="false">G1730-N1730-N1731</f>
        <v>0</v>
      </c>
    </row>
    <row r="1731" customFormat="false" ht="14.25" hidden="false" customHeight="false" outlineLevel="0" collapsed="false">
      <c r="A1731" s="1027"/>
      <c r="B1731" s="1546"/>
      <c r="C1731" s="2006"/>
      <c r="D1731" s="904" t="s">
        <v>2123</v>
      </c>
      <c r="E1731" s="1351" t="s">
        <v>1651</v>
      </c>
      <c r="F1731" s="1328"/>
      <c r="G1731" s="1976"/>
      <c r="H1731" s="1976"/>
      <c r="I1731" s="1036"/>
      <c r="J1731" s="1999"/>
      <c r="K1731" s="1547"/>
      <c r="L1731" s="891" t="n">
        <v>10456.329</v>
      </c>
      <c r="M1731" s="891" t="n">
        <v>345</v>
      </c>
      <c r="N1731" s="877" t="n">
        <f aca="false">M1731/H1730</f>
        <v>23</v>
      </c>
      <c r="O1731" s="942" t="s">
        <v>396</v>
      </c>
      <c r="P1731" s="1977"/>
      <c r="Q1731" s="1978"/>
      <c r="R1731" s="1979"/>
    </row>
    <row r="1732" customFormat="false" ht="14.25" hidden="false" customHeight="false" outlineLevel="0" collapsed="false">
      <c r="A1732" s="882" t="n">
        <v>286</v>
      </c>
      <c r="B1732" s="830" t="n">
        <v>2024</v>
      </c>
      <c r="C1732" s="1930" t="n">
        <v>45870</v>
      </c>
      <c r="D1732" s="831" t="s">
        <v>2123</v>
      </c>
      <c r="E1732" s="1365" t="s">
        <v>1652</v>
      </c>
      <c r="F1732" s="832" t="s">
        <v>3364</v>
      </c>
      <c r="G1732" s="1931" t="n">
        <v>64</v>
      </c>
      <c r="H1732" s="1931" t="n">
        <v>15</v>
      </c>
      <c r="I1732" s="837" t="n">
        <f aca="false">G1732*H1732</f>
        <v>960</v>
      </c>
      <c r="J1732" s="1932" t="n">
        <v>32.1278</v>
      </c>
      <c r="K1732" s="943" t="n">
        <f aca="false">I1732*J1732</f>
        <v>30842.688</v>
      </c>
      <c r="L1732" s="886" t="n">
        <v>15903.261</v>
      </c>
      <c r="M1732" s="886" t="n">
        <v>495</v>
      </c>
      <c r="N1732" s="886" t="n">
        <f aca="false">M1732/H1732</f>
        <v>33</v>
      </c>
      <c r="O1732" s="1036" t="s">
        <v>634</v>
      </c>
      <c r="P1732" s="1937" t="n">
        <f aca="false">K1732-L1732-L1736-L1735-L1733-L1734</f>
        <v>0</v>
      </c>
      <c r="Q1732" s="1934" t="n">
        <f aca="false">I1732-M1732-M1736-M1735-M1733-M1734</f>
        <v>0</v>
      </c>
      <c r="R1732" s="1935" t="n">
        <f aca="false">G1732-N1732-N1736-N1735-N1733-N1734</f>
        <v>0</v>
      </c>
    </row>
    <row r="1733" customFormat="false" ht="14.25" hidden="false" customHeight="false" outlineLevel="0" collapsed="false">
      <c r="A1733" s="882"/>
      <c r="B1733" s="830"/>
      <c r="C1733" s="1930"/>
      <c r="D1733" s="860" t="s">
        <v>2123</v>
      </c>
      <c r="E1733" s="1480" t="s">
        <v>1652</v>
      </c>
      <c r="F1733" s="832"/>
      <c r="G1733" s="1931"/>
      <c r="H1733" s="1931"/>
      <c r="I1733" s="837"/>
      <c r="J1733" s="1932"/>
      <c r="K1733" s="943"/>
      <c r="L1733" s="866" t="n">
        <v>1445.751</v>
      </c>
      <c r="M1733" s="866" t="n">
        <v>45</v>
      </c>
      <c r="N1733" s="866" t="n">
        <f aca="false">M1733/H1732</f>
        <v>3</v>
      </c>
      <c r="O1733" s="543" t="s">
        <v>1025</v>
      </c>
      <c r="P1733" s="1937"/>
      <c r="Q1733" s="1934"/>
      <c r="R1733" s="1935"/>
    </row>
    <row r="1734" customFormat="false" ht="14.25" hidden="false" customHeight="false" outlineLevel="0" collapsed="false">
      <c r="A1734" s="882"/>
      <c r="B1734" s="830"/>
      <c r="C1734" s="1930"/>
      <c r="D1734" s="860" t="s">
        <v>2123</v>
      </c>
      <c r="E1734" s="1480" t="s">
        <v>1652</v>
      </c>
      <c r="F1734" s="832"/>
      <c r="G1734" s="1931"/>
      <c r="H1734" s="1931"/>
      <c r="I1734" s="837"/>
      <c r="J1734" s="1932"/>
      <c r="K1734" s="943"/>
      <c r="L1734" s="866" t="n">
        <v>8674.506</v>
      </c>
      <c r="M1734" s="866" t="n">
        <v>270</v>
      </c>
      <c r="N1734" s="866" t="n">
        <f aca="false">M1734/H1732</f>
        <v>18</v>
      </c>
      <c r="O1734" s="543" t="s">
        <v>1315</v>
      </c>
      <c r="P1734" s="1937"/>
      <c r="Q1734" s="1934"/>
      <c r="R1734" s="1935"/>
    </row>
    <row r="1735" customFormat="false" ht="14.25" hidden="false" customHeight="false" outlineLevel="0" collapsed="false">
      <c r="A1735" s="882"/>
      <c r="B1735" s="830"/>
      <c r="C1735" s="1930"/>
      <c r="D1735" s="860" t="s">
        <v>2123</v>
      </c>
      <c r="E1735" s="1480" t="s">
        <v>1652</v>
      </c>
      <c r="F1735" s="832"/>
      <c r="G1735" s="1931"/>
      <c r="H1735" s="1931"/>
      <c r="I1735" s="837"/>
      <c r="J1735" s="1932"/>
      <c r="K1735" s="943"/>
      <c r="L1735" s="866" t="n">
        <v>4337.253</v>
      </c>
      <c r="M1735" s="866" t="n">
        <v>135</v>
      </c>
      <c r="N1735" s="866" t="n">
        <f aca="false">M1735/H1732</f>
        <v>9</v>
      </c>
      <c r="O1735" s="543" t="s">
        <v>883</v>
      </c>
      <c r="P1735" s="1937"/>
      <c r="Q1735" s="1934"/>
      <c r="R1735" s="1935"/>
    </row>
    <row r="1736" customFormat="false" ht="14.25" hidden="false" customHeight="false" outlineLevel="0" collapsed="false">
      <c r="A1736" s="882"/>
      <c r="B1736" s="830"/>
      <c r="C1736" s="1930"/>
      <c r="D1736" s="843" t="s">
        <v>2123</v>
      </c>
      <c r="E1736" s="1357" t="s">
        <v>1652</v>
      </c>
      <c r="F1736" s="832"/>
      <c r="G1736" s="1931"/>
      <c r="H1736" s="1931"/>
      <c r="I1736" s="837"/>
      <c r="J1736" s="1932"/>
      <c r="K1736" s="943"/>
      <c r="L1736" s="846" t="n">
        <v>481.917</v>
      </c>
      <c r="M1736" s="846" t="n">
        <v>15</v>
      </c>
      <c r="N1736" s="846" t="n">
        <f aca="false">M1736/H1732</f>
        <v>1</v>
      </c>
      <c r="O1736" s="589" t="s">
        <v>746</v>
      </c>
      <c r="P1736" s="1937"/>
      <c r="Q1736" s="1934"/>
      <c r="R1736" s="1935"/>
    </row>
    <row r="1737" customFormat="false" ht="14.25" hidden="false" customHeight="false" outlineLevel="0" collapsed="false">
      <c r="A1737" s="1609" t="n">
        <v>287</v>
      </c>
      <c r="B1737" s="903" t="n">
        <v>2024</v>
      </c>
      <c r="C1737" s="1939" t="n">
        <v>45870</v>
      </c>
      <c r="D1737" s="848" t="s">
        <v>2123</v>
      </c>
      <c r="E1737" s="1479" t="s">
        <v>1651</v>
      </c>
      <c r="F1737" s="904" t="s">
        <v>3364</v>
      </c>
      <c r="G1737" s="1940" t="n">
        <v>666</v>
      </c>
      <c r="H1737" s="1940" t="n">
        <v>15</v>
      </c>
      <c r="I1737" s="942" t="n">
        <f aca="false">G1737*H1737</f>
        <v>9990</v>
      </c>
      <c r="J1737" s="1941" t="n">
        <v>25.2136</v>
      </c>
      <c r="K1737" s="948" t="n">
        <f aca="false">I1737*J1737</f>
        <v>251883.864</v>
      </c>
      <c r="L1737" s="854" t="n">
        <v>233730.072</v>
      </c>
      <c r="M1737" s="854" t="n">
        <v>9270</v>
      </c>
      <c r="N1737" s="854" t="n">
        <f aca="false">M1737/H1737</f>
        <v>618</v>
      </c>
      <c r="O1737" s="537" t="s">
        <v>403</v>
      </c>
      <c r="P1737" s="2004" t="n">
        <f aca="false">K1737-L1737-L1738</f>
        <v>0</v>
      </c>
      <c r="Q1737" s="2000" t="n">
        <f aca="false">I1737-M1737-M1738</f>
        <v>0</v>
      </c>
      <c r="R1737" s="2005" t="n">
        <f aca="false">G1737-N1737-N1738</f>
        <v>0</v>
      </c>
    </row>
    <row r="1738" customFormat="false" ht="14.25" hidden="false" customHeight="false" outlineLevel="0" collapsed="false">
      <c r="A1738" s="1609"/>
      <c r="B1738" s="903"/>
      <c r="C1738" s="1939"/>
      <c r="D1738" s="904" t="s">
        <v>2123</v>
      </c>
      <c r="E1738" s="1351" t="s">
        <v>1651</v>
      </c>
      <c r="F1738" s="904"/>
      <c r="G1738" s="1940"/>
      <c r="H1738" s="1940"/>
      <c r="I1738" s="942"/>
      <c r="J1738" s="1941"/>
      <c r="K1738" s="948"/>
      <c r="L1738" s="891" t="n">
        <v>18153.792</v>
      </c>
      <c r="M1738" s="891" t="n">
        <v>720</v>
      </c>
      <c r="N1738" s="877" t="n">
        <f aca="false">M1738/H1737</f>
        <v>48</v>
      </c>
      <c r="O1738" s="942" t="s">
        <v>396</v>
      </c>
      <c r="P1738" s="2004"/>
      <c r="Q1738" s="2000"/>
      <c r="R1738" s="2005"/>
    </row>
    <row r="1739" customFormat="false" ht="14.25" hidden="false" customHeight="false" outlineLevel="0" collapsed="false">
      <c r="A1739" s="882" t="n">
        <v>288</v>
      </c>
      <c r="B1739" s="830" t="n">
        <v>2024</v>
      </c>
      <c r="C1739" s="1930" t="n">
        <v>45870</v>
      </c>
      <c r="D1739" s="831" t="s">
        <v>2123</v>
      </c>
      <c r="E1739" s="1365" t="s">
        <v>1651</v>
      </c>
      <c r="F1739" s="832" t="s">
        <v>3364</v>
      </c>
      <c r="G1739" s="1931" t="n">
        <v>666</v>
      </c>
      <c r="H1739" s="1931" t="n">
        <v>15</v>
      </c>
      <c r="I1739" s="837" t="n">
        <f aca="false">G1739*H1739</f>
        <v>9990</v>
      </c>
      <c r="J1739" s="1932" t="n">
        <v>25.2136</v>
      </c>
      <c r="K1739" s="943" t="n">
        <f aca="false">I1739*J1739</f>
        <v>251883.864</v>
      </c>
      <c r="L1739" s="886" t="n">
        <v>9076.896</v>
      </c>
      <c r="M1739" s="886" t="n">
        <v>360</v>
      </c>
      <c r="N1739" s="886" t="n">
        <f aca="false">M1739/H1739</f>
        <v>24</v>
      </c>
      <c r="O1739" s="1036" t="s">
        <v>396</v>
      </c>
      <c r="P1739" s="1934" t="n">
        <f aca="false">K1739-L1739-L1746-L1745-L1740-L1741-L1744-L1742-L1743</f>
        <v>-2.27373675443232E-011</v>
      </c>
      <c r="Q1739" s="1934" t="n">
        <f aca="false">I1739-M1739-M1746-M1745-M1740-M1741-M1744-M1742-M1743</f>
        <v>0</v>
      </c>
      <c r="R1739" s="1935" t="n">
        <f aca="false">G1739-N1739-N1746-N1745-N1740-N1741-N1744-N1742-N1743</f>
        <v>0</v>
      </c>
    </row>
    <row r="1740" customFormat="false" ht="14.25" hidden="false" customHeight="false" outlineLevel="0" collapsed="false">
      <c r="A1740" s="882"/>
      <c r="B1740" s="830"/>
      <c r="C1740" s="1930"/>
      <c r="D1740" s="860" t="s">
        <v>2123</v>
      </c>
      <c r="E1740" s="1480" t="s">
        <v>1651</v>
      </c>
      <c r="F1740" s="832"/>
      <c r="G1740" s="1931"/>
      <c r="H1740" s="1931"/>
      <c r="I1740" s="837"/>
      <c r="J1740" s="1932"/>
      <c r="K1740" s="943"/>
      <c r="L1740" s="866" t="n">
        <v>9076.896</v>
      </c>
      <c r="M1740" s="866" t="n">
        <v>360</v>
      </c>
      <c r="N1740" s="866" t="n">
        <f aca="false">M1740/H1739</f>
        <v>24</v>
      </c>
      <c r="O1740" s="543" t="s">
        <v>534</v>
      </c>
      <c r="P1740" s="1934"/>
      <c r="Q1740" s="1934"/>
      <c r="R1740" s="1935"/>
    </row>
    <row r="1741" customFormat="false" ht="14.25" hidden="false" customHeight="false" outlineLevel="0" collapsed="false">
      <c r="A1741" s="882"/>
      <c r="B1741" s="830"/>
      <c r="C1741" s="1930"/>
      <c r="D1741" s="860" t="s">
        <v>2123</v>
      </c>
      <c r="E1741" s="1480" t="s">
        <v>1651</v>
      </c>
      <c r="F1741" s="832"/>
      <c r="G1741" s="1931"/>
      <c r="H1741" s="1931"/>
      <c r="I1741" s="837"/>
      <c r="J1741" s="1932"/>
      <c r="K1741" s="943"/>
      <c r="L1741" s="866" t="n">
        <v>3782.04</v>
      </c>
      <c r="M1741" s="866" t="n">
        <v>150</v>
      </c>
      <c r="N1741" s="866" t="n">
        <f aca="false">M1741/H1739</f>
        <v>10</v>
      </c>
      <c r="O1741" s="543" t="s">
        <v>622</v>
      </c>
      <c r="P1741" s="1934"/>
      <c r="Q1741" s="1934"/>
      <c r="R1741" s="1935"/>
    </row>
    <row r="1742" customFormat="false" ht="14.25" hidden="false" customHeight="false" outlineLevel="0" collapsed="false">
      <c r="A1742" s="882"/>
      <c r="B1742" s="830"/>
      <c r="C1742" s="1930"/>
      <c r="D1742" s="860" t="s">
        <v>2123</v>
      </c>
      <c r="E1742" s="1480" t="s">
        <v>1651</v>
      </c>
      <c r="F1742" s="832"/>
      <c r="G1742" s="1931"/>
      <c r="H1742" s="1931"/>
      <c r="I1742" s="837"/>
      <c r="J1742" s="1932"/>
      <c r="K1742" s="943"/>
      <c r="L1742" s="866" t="n">
        <v>36685.788</v>
      </c>
      <c r="M1742" s="866" t="n">
        <v>1455</v>
      </c>
      <c r="N1742" s="866" t="n">
        <f aca="false">M1742/H1739</f>
        <v>97</v>
      </c>
      <c r="O1742" s="543" t="s">
        <v>3520</v>
      </c>
      <c r="P1742" s="1934"/>
      <c r="Q1742" s="1934"/>
      <c r="R1742" s="1935"/>
    </row>
    <row r="1743" customFormat="false" ht="14.25" hidden="false" customHeight="false" outlineLevel="0" collapsed="false">
      <c r="A1743" s="882"/>
      <c r="B1743" s="830"/>
      <c r="C1743" s="1930"/>
      <c r="D1743" s="860" t="s">
        <v>2123</v>
      </c>
      <c r="E1743" s="1480" t="s">
        <v>1651</v>
      </c>
      <c r="F1743" s="832"/>
      <c r="G1743" s="1931"/>
      <c r="H1743" s="1931"/>
      <c r="I1743" s="837"/>
      <c r="J1743" s="1932"/>
      <c r="K1743" s="943"/>
      <c r="L1743" s="866" t="n">
        <v>4160.244</v>
      </c>
      <c r="M1743" s="866" t="n">
        <v>165</v>
      </c>
      <c r="N1743" s="866" t="n">
        <f aca="false">M1743/H1739</f>
        <v>11</v>
      </c>
      <c r="O1743" s="543" t="s">
        <v>1634</v>
      </c>
      <c r="P1743" s="1934"/>
      <c r="Q1743" s="1934"/>
      <c r="R1743" s="1935"/>
    </row>
    <row r="1744" customFormat="false" ht="14.25" hidden="false" customHeight="false" outlineLevel="0" collapsed="false">
      <c r="A1744" s="882"/>
      <c r="B1744" s="830"/>
      <c r="C1744" s="1930"/>
      <c r="D1744" s="860" t="s">
        <v>2123</v>
      </c>
      <c r="E1744" s="1480" t="s">
        <v>1651</v>
      </c>
      <c r="F1744" s="832"/>
      <c r="G1744" s="1931"/>
      <c r="H1744" s="1931"/>
      <c r="I1744" s="837"/>
      <c r="J1744" s="1932"/>
      <c r="K1744" s="943"/>
      <c r="L1744" s="866" t="n">
        <v>105897.12</v>
      </c>
      <c r="M1744" s="866" t="n">
        <v>4200</v>
      </c>
      <c r="N1744" s="866" t="n">
        <f aca="false">M1744/H1739</f>
        <v>280</v>
      </c>
      <c r="O1744" s="543" t="s">
        <v>651</v>
      </c>
      <c r="P1744" s="1934"/>
      <c r="Q1744" s="1934"/>
      <c r="R1744" s="1935"/>
    </row>
    <row r="1745" customFormat="false" ht="14.25" hidden="false" customHeight="false" outlineLevel="0" collapsed="false">
      <c r="A1745" s="882"/>
      <c r="B1745" s="830"/>
      <c r="C1745" s="1930"/>
      <c r="D1745" s="860" t="s">
        <v>2123</v>
      </c>
      <c r="E1745" s="1480" t="s">
        <v>1651</v>
      </c>
      <c r="F1745" s="832"/>
      <c r="G1745" s="1931"/>
      <c r="H1745" s="1931"/>
      <c r="I1745" s="837"/>
      <c r="J1745" s="1932"/>
      <c r="K1745" s="943"/>
      <c r="L1745" s="866" t="n">
        <v>75640.8</v>
      </c>
      <c r="M1745" s="866" t="n">
        <v>3000</v>
      </c>
      <c r="N1745" s="866" t="n">
        <f aca="false">M1745/H1739</f>
        <v>200</v>
      </c>
      <c r="O1745" s="543" t="s">
        <v>520</v>
      </c>
      <c r="P1745" s="1934"/>
      <c r="Q1745" s="1934"/>
      <c r="R1745" s="1935"/>
    </row>
    <row r="1746" customFormat="false" ht="14.25" hidden="false" customHeight="false" outlineLevel="0" collapsed="false">
      <c r="A1746" s="882"/>
      <c r="B1746" s="830"/>
      <c r="C1746" s="1930"/>
      <c r="D1746" s="843" t="s">
        <v>2123</v>
      </c>
      <c r="E1746" s="1357" t="s">
        <v>1651</v>
      </c>
      <c r="F1746" s="832"/>
      <c r="G1746" s="1931"/>
      <c r="H1746" s="1931"/>
      <c r="I1746" s="837"/>
      <c r="J1746" s="1932"/>
      <c r="K1746" s="943"/>
      <c r="L1746" s="846" t="n">
        <v>7564.08</v>
      </c>
      <c r="M1746" s="846" t="n">
        <v>300</v>
      </c>
      <c r="N1746" s="846" t="n">
        <f aca="false">M1746/H1739</f>
        <v>20</v>
      </c>
      <c r="O1746" s="589" t="s">
        <v>488</v>
      </c>
      <c r="P1746" s="1934"/>
      <c r="Q1746" s="1934"/>
      <c r="R1746" s="1935"/>
    </row>
    <row r="1747" customFormat="false" ht="14.25" hidden="false" customHeight="false" outlineLevel="0" collapsed="false">
      <c r="A1747" s="882" t="n">
        <v>289</v>
      </c>
      <c r="B1747" s="830" t="n">
        <v>2024</v>
      </c>
      <c r="C1747" s="1930" t="n">
        <v>45870</v>
      </c>
      <c r="D1747" s="831" t="s">
        <v>2123</v>
      </c>
      <c r="E1747" s="1365" t="s">
        <v>1651</v>
      </c>
      <c r="F1747" s="832" t="s">
        <v>3364</v>
      </c>
      <c r="G1747" s="1931" t="n">
        <v>560</v>
      </c>
      <c r="H1747" s="1931" t="n">
        <v>15</v>
      </c>
      <c r="I1747" s="837" t="n">
        <f aca="false">G1747*H1747</f>
        <v>8400</v>
      </c>
      <c r="J1747" s="1932" t="n">
        <v>25.5918</v>
      </c>
      <c r="K1747" s="943" t="n">
        <f aca="false">I1747*J1747</f>
        <v>214971.12</v>
      </c>
      <c r="L1747" s="840" t="n">
        <v>114011.469</v>
      </c>
      <c r="M1747" s="840" t="n">
        <v>4455</v>
      </c>
      <c r="N1747" s="886" t="n">
        <f aca="false">M1747/H1747</f>
        <v>297</v>
      </c>
      <c r="O1747" s="1114" t="s">
        <v>397</v>
      </c>
      <c r="P1747" s="1937" t="n">
        <f aca="false">K1747-L1747-L1749-L1748</f>
        <v>13435.695</v>
      </c>
      <c r="Q1747" s="1934" t="n">
        <f aca="false">I1747-M1747-M1749-M1748</f>
        <v>525</v>
      </c>
      <c r="R1747" s="1935" t="n">
        <f aca="false">G1747-N1747-N1749-N1748</f>
        <v>35</v>
      </c>
    </row>
    <row r="1748" customFormat="false" ht="14.25" hidden="false" customHeight="false" outlineLevel="0" collapsed="false">
      <c r="A1748" s="882"/>
      <c r="B1748" s="830"/>
      <c r="C1748" s="1930"/>
      <c r="D1748" s="860" t="s">
        <v>2123</v>
      </c>
      <c r="E1748" s="1480" t="s">
        <v>1651</v>
      </c>
      <c r="F1748" s="832"/>
      <c r="G1748" s="1931"/>
      <c r="H1748" s="1931"/>
      <c r="I1748" s="837"/>
      <c r="J1748" s="1932"/>
      <c r="K1748" s="943"/>
      <c r="L1748" s="866" t="n">
        <v>-13435.695</v>
      </c>
      <c r="M1748" s="866" t="n">
        <v>-525</v>
      </c>
      <c r="N1748" s="866" t="n">
        <f aca="false">M1748/H1747</f>
        <v>-35</v>
      </c>
      <c r="O1748" s="543" t="s">
        <v>1634</v>
      </c>
      <c r="P1748" s="1937"/>
      <c r="Q1748" s="1934"/>
      <c r="R1748" s="1935"/>
    </row>
    <row r="1749" customFormat="false" ht="14.25" hidden="false" customHeight="false" outlineLevel="0" collapsed="false">
      <c r="A1749" s="882"/>
      <c r="B1749" s="830"/>
      <c r="C1749" s="1930"/>
      <c r="D1749" s="887" t="s">
        <v>2123</v>
      </c>
      <c r="E1749" s="1501" t="s">
        <v>1651</v>
      </c>
      <c r="F1749" s="832"/>
      <c r="G1749" s="1931"/>
      <c r="H1749" s="1931"/>
      <c r="I1749" s="837"/>
      <c r="J1749" s="1932"/>
      <c r="K1749" s="943"/>
      <c r="L1749" s="890" t="n">
        <v>100959.651</v>
      </c>
      <c r="M1749" s="890" t="n">
        <v>3945</v>
      </c>
      <c r="N1749" s="890" t="n">
        <f aca="false">M1749/H1747</f>
        <v>263</v>
      </c>
      <c r="O1749" s="1067" t="s">
        <v>396</v>
      </c>
      <c r="P1749" s="1937"/>
      <c r="Q1749" s="1934"/>
      <c r="R1749" s="1935"/>
    </row>
    <row r="1750" customFormat="false" ht="14.25" hidden="false" customHeight="false" outlineLevel="0" collapsed="false">
      <c r="A1750" s="903" t="n">
        <v>635</v>
      </c>
      <c r="B1750" s="903" t="n">
        <v>2024</v>
      </c>
      <c r="C1750" s="1939" t="n">
        <v>45992</v>
      </c>
      <c r="D1750" s="904" t="s">
        <v>2123</v>
      </c>
      <c r="E1750" s="1351" t="s">
        <v>2133</v>
      </c>
      <c r="F1750" s="904" t="s">
        <v>3364</v>
      </c>
      <c r="G1750" s="1940" t="n">
        <v>10</v>
      </c>
      <c r="H1750" s="1940" t="n">
        <v>30</v>
      </c>
      <c r="I1750" s="891" t="n">
        <f aca="false">G1750*H1750</f>
        <v>300</v>
      </c>
      <c r="J1750" s="1941" t="n">
        <v>96.4</v>
      </c>
      <c r="K1750" s="948" t="n">
        <f aca="false">I1750*J1750</f>
        <v>28920</v>
      </c>
      <c r="L1750" s="891" t="n">
        <v>28920</v>
      </c>
      <c r="M1750" s="891" t="n">
        <v>300</v>
      </c>
      <c r="N1750" s="877" t="n">
        <f aca="false">M1750/H1750</f>
        <v>10</v>
      </c>
      <c r="O1750" s="942" t="s">
        <v>884</v>
      </c>
      <c r="P1750" s="1964" t="n">
        <f aca="false">K1750-L1750</f>
        <v>0</v>
      </c>
      <c r="Q1750" s="1946" t="n">
        <f aca="false">I1750-M1750</f>
        <v>0</v>
      </c>
      <c r="R1750" s="1946" t="n">
        <f aca="false">G1750-N1750</f>
        <v>0</v>
      </c>
    </row>
    <row r="1751" customFormat="false" ht="14.25" hidden="false" customHeight="false" outlineLevel="0" collapsed="false">
      <c r="A1751" s="882" t="n">
        <v>34</v>
      </c>
      <c r="B1751" s="830" t="n">
        <v>2025</v>
      </c>
      <c r="C1751" s="1930" t="n">
        <v>46023</v>
      </c>
      <c r="D1751" s="831" t="s">
        <v>2123</v>
      </c>
      <c r="E1751" s="1365" t="s">
        <v>1651</v>
      </c>
      <c r="F1751" s="832" t="s">
        <v>3364</v>
      </c>
      <c r="G1751" s="1931" t="n">
        <v>132</v>
      </c>
      <c r="H1751" s="1931" t="n">
        <v>15</v>
      </c>
      <c r="I1751" s="837" t="n">
        <f aca="false">G1751*H1751</f>
        <v>1980</v>
      </c>
      <c r="J1751" s="1932" t="n">
        <v>29.212</v>
      </c>
      <c r="K1751" s="943" t="n">
        <f aca="false">I1751*J1751</f>
        <v>57839.76</v>
      </c>
      <c r="L1751" s="840" t="n">
        <v>13583.58</v>
      </c>
      <c r="M1751" s="840" t="n">
        <v>465</v>
      </c>
      <c r="N1751" s="886" t="n">
        <f aca="false">M1751/H1751</f>
        <v>31</v>
      </c>
      <c r="O1751" s="1114" t="s">
        <v>3520</v>
      </c>
      <c r="P1751" s="1982" t="n">
        <f aca="false">K1751-L1751-L1757-L1756-L1752-L1754-L1755-L1753</f>
        <v>876.36</v>
      </c>
      <c r="Q1751" s="1934" t="n">
        <f aca="false">I1751-M1751-M1757-M1756-M1752-M1754-M1755-M1753</f>
        <v>30</v>
      </c>
      <c r="R1751" s="1935" t="n">
        <f aca="false">G1751-N1751-N1757-N1756-N1752-N1754-N1755-N1753</f>
        <v>2</v>
      </c>
    </row>
    <row r="1752" customFormat="false" ht="14.25" hidden="false" customHeight="false" outlineLevel="0" collapsed="false">
      <c r="A1752" s="882"/>
      <c r="B1752" s="830"/>
      <c r="C1752" s="1930"/>
      <c r="D1752" s="848" t="s">
        <v>2123</v>
      </c>
      <c r="E1752" s="1479" t="s">
        <v>1651</v>
      </c>
      <c r="F1752" s="832"/>
      <c r="G1752" s="1931"/>
      <c r="H1752" s="1931"/>
      <c r="I1752" s="837"/>
      <c r="J1752" s="1932"/>
      <c r="K1752" s="943"/>
      <c r="L1752" s="854" t="n">
        <v>438.18</v>
      </c>
      <c r="M1752" s="854" t="n">
        <v>15</v>
      </c>
      <c r="N1752" s="866" t="n">
        <f aca="false">M1752/H1751</f>
        <v>1</v>
      </c>
      <c r="O1752" s="537" t="s">
        <v>1262</v>
      </c>
      <c r="P1752" s="1982"/>
      <c r="Q1752" s="1934"/>
      <c r="R1752" s="1935"/>
    </row>
    <row r="1753" customFormat="false" ht="14.25" hidden="false" customHeight="false" outlineLevel="0" collapsed="false">
      <c r="A1753" s="882"/>
      <c r="B1753" s="830"/>
      <c r="C1753" s="1930"/>
      <c r="D1753" s="848" t="s">
        <v>2123</v>
      </c>
      <c r="E1753" s="1479" t="s">
        <v>1651</v>
      </c>
      <c r="F1753" s="832"/>
      <c r="G1753" s="1931"/>
      <c r="H1753" s="1931"/>
      <c r="I1753" s="837"/>
      <c r="J1753" s="1932"/>
      <c r="K1753" s="943"/>
      <c r="L1753" s="854" t="n">
        <v>-876.36</v>
      </c>
      <c r="M1753" s="854" t="n">
        <v>-30</v>
      </c>
      <c r="N1753" s="866" t="n">
        <f aca="false">M1753/H1751</f>
        <v>-2</v>
      </c>
      <c r="O1753" s="537" t="s">
        <v>1375</v>
      </c>
      <c r="P1753" s="1982"/>
      <c r="Q1753" s="1934"/>
      <c r="R1753" s="1935"/>
    </row>
    <row r="1754" customFormat="false" ht="14.25" hidden="false" customHeight="false" outlineLevel="0" collapsed="false">
      <c r="A1754" s="882"/>
      <c r="B1754" s="830"/>
      <c r="C1754" s="1930"/>
      <c r="D1754" s="848" t="s">
        <v>2123</v>
      </c>
      <c r="E1754" s="1479" t="s">
        <v>1651</v>
      </c>
      <c r="F1754" s="832"/>
      <c r="G1754" s="1931"/>
      <c r="H1754" s="1931"/>
      <c r="I1754" s="837"/>
      <c r="J1754" s="1932"/>
      <c r="K1754" s="943"/>
      <c r="L1754" s="854" t="n">
        <v>1314.54</v>
      </c>
      <c r="M1754" s="854" t="n">
        <v>45</v>
      </c>
      <c r="N1754" s="866" t="n">
        <f aca="false">M1754/H1751</f>
        <v>3</v>
      </c>
      <c r="O1754" s="537" t="s">
        <v>1303</v>
      </c>
      <c r="P1754" s="1982"/>
      <c r="Q1754" s="1934"/>
      <c r="R1754" s="1935"/>
    </row>
    <row r="1755" customFormat="false" ht="14.25" hidden="false" customHeight="false" outlineLevel="0" collapsed="false">
      <c r="A1755" s="882"/>
      <c r="B1755" s="830"/>
      <c r="C1755" s="1930"/>
      <c r="D1755" s="848" t="s">
        <v>2123</v>
      </c>
      <c r="E1755" s="1479" t="s">
        <v>1651</v>
      </c>
      <c r="F1755" s="832"/>
      <c r="G1755" s="1931"/>
      <c r="H1755" s="1931"/>
      <c r="I1755" s="837"/>
      <c r="J1755" s="1932"/>
      <c r="K1755" s="943"/>
      <c r="L1755" s="854" t="n">
        <v>33301.68</v>
      </c>
      <c r="M1755" s="854" t="n">
        <v>1140</v>
      </c>
      <c r="N1755" s="866" t="n">
        <f aca="false">M1755/H1751</f>
        <v>76</v>
      </c>
      <c r="O1755" s="537" t="s">
        <v>1309</v>
      </c>
      <c r="P1755" s="1982"/>
      <c r="Q1755" s="1934"/>
      <c r="R1755" s="1935"/>
    </row>
    <row r="1756" customFormat="false" ht="14.25" hidden="false" customHeight="false" outlineLevel="0" collapsed="false">
      <c r="A1756" s="882"/>
      <c r="B1756" s="830"/>
      <c r="C1756" s="1930"/>
      <c r="D1756" s="860" t="s">
        <v>2123</v>
      </c>
      <c r="E1756" s="1480" t="s">
        <v>1651</v>
      </c>
      <c r="F1756" s="832"/>
      <c r="G1756" s="1931"/>
      <c r="H1756" s="1931"/>
      <c r="I1756" s="837"/>
      <c r="J1756" s="1932"/>
      <c r="K1756" s="943"/>
      <c r="L1756" s="866" t="n">
        <v>1314.54</v>
      </c>
      <c r="M1756" s="866" t="n">
        <v>45</v>
      </c>
      <c r="N1756" s="866" t="n">
        <f aca="false">M1756/H1751</f>
        <v>3</v>
      </c>
      <c r="O1756" s="543" t="s">
        <v>1254</v>
      </c>
      <c r="P1756" s="1982"/>
      <c r="Q1756" s="1934"/>
      <c r="R1756" s="1935"/>
    </row>
    <row r="1757" customFormat="false" ht="14.25" hidden="false" customHeight="false" outlineLevel="0" collapsed="false">
      <c r="A1757" s="882"/>
      <c r="B1757" s="830"/>
      <c r="C1757" s="1930"/>
      <c r="D1757" s="887" t="s">
        <v>2123</v>
      </c>
      <c r="E1757" s="1501" t="s">
        <v>1651</v>
      </c>
      <c r="F1757" s="832"/>
      <c r="G1757" s="1931"/>
      <c r="H1757" s="1931"/>
      <c r="I1757" s="837"/>
      <c r="J1757" s="1932"/>
      <c r="K1757" s="943"/>
      <c r="L1757" s="890" t="n">
        <v>7887.24</v>
      </c>
      <c r="M1757" s="890" t="n">
        <v>270</v>
      </c>
      <c r="N1757" s="890" t="n">
        <f aca="false">M1757/H1751</f>
        <v>18</v>
      </c>
      <c r="O1757" s="1067" t="s">
        <v>1113</v>
      </c>
      <c r="P1757" s="1982"/>
      <c r="Q1757" s="1934"/>
      <c r="R1757" s="1935"/>
    </row>
    <row r="1758" customFormat="false" ht="14.25" hidden="false" customHeight="false" outlineLevel="0" collapsed="false">
      <c r="A1758" s="1396" t="n">
        <v>186</v>
      </c>
      <c r="B1758" s="1396" t="n">
        <v>2025</v>
      </c>
      <c r="C1758" s="2008" t="n">
        <v>46054</v>
      </c>
      <c r="D1758" s="848" t="s">
        <v>2123</v>
      </c>
      <c r="E1758" s="1479" t="s">
        <v>2133</v>
      </c>
      <c r="F1758" s="848" t="s">
        <v>3364</v>
      </c>
      <c r="G1758" s="1967" t="n">
        <v>8</v>
      </c>
      <c r="H1758" s="1967" t="n">
        <v>797.875</v>
      </c>
      <c r="I1758" s="854" t="n">
        <f aca="false">G1758*H1758</f>
        <v>6383</v>
      </c>
      <c r="J1758" s="1989" t="n">
        <v>96.4</v>
      </c>
      <c r="K1758" s="953" t="n">
        <f aca="false">I1758*J1758</f>
        <v>615321.2</v>
      </c>
      <c r="L1758" s="854" t="n">
        <v>615321.2</v>
      </c>
      <c r="M1758" s="854" t="n">
        <v>6383</v>
      </c>
      <c r="N1758" s="886" t="n">
        <f aca="false">M1758/H1758</f>
        <v>8</v>
      </c>
      <c r="O1758" s="537" t="s">
        <v>1280</v>
      </c>
      <c r="P1758" s="2019" t="n">
        <f aca="false">K1758-L1758</f>
        <v>0</v>
      </c>
      <c r="Q1758" s="1971" t="n">
        <f aca="false">I1758-M1758</f>
        <v>0</v>
      </c>
      <c r="R1758" s="1971" t="n">
        <f aca="false">G1758-N1758</f>
        <v>0</v>
      </c>
    </row>
    <row r="1759" customFormat="false" ht="14.25" hidden="false" customHeight="false" outlineLevel="0" collapsed="false">
      <c r="A1759" s="1396" t="n">
        <v>206</v>
      </c>
      <c r="B1759" s="1396" t="n">
        <v>2025</v>
      </c>
      <c r="C1759" s="2008" t="n">
        <v>46082</v>
      </c>
      <c r="D1759" s="848" t="s">
        <v>2123</v>
      </c>
      <c r="E1759" s="1479" t="s">
        <v>3521</v>
      </c>
      <c r="F1759" s="848" t="s">
        <v>3364</v>
      </c>
      <c r="G1759" s="1967" t="n">
        <v>42</v>
      </c>
      <c r="H1759" s="1967" t="n">
        <v>30</v>
      </c>
      <c r="I1759" s="854" t="n">
        <f aca="false">G1759*H1759</f>
        <v>1260</v>
      </c>
      <c r="J1759" s="1989" t="n">
        <v>96.4</v>
      </c>
      <c r="K1759" s="953" t="n">
        <f aca="false">I1759*J1759</f>
        <v>121464</v>
      </c>
      <c r="L1759" s="854" t="n">
        <v>121464</v>
      </c>
      <c r="M1759" s="854" t="n">
        <v>1260</v>
      </c>
      <c r="N1759" s="866" t="n">
        <f aca="false">M1759/H1759</f>
        <v>42</v>
      </c>
      <c r="O1759" s="537" t="s">
        <v>1321</v>
      </c>
      <c r="P1759" s="2019" t="n">
        <f aca="false">K1759-L1759</f>
        <v>0</v>
      </c>
      <c r="Q1759" s="1971" t="n">
        <f aca="false">I1759-M1759</f>
        <v>0</v>
      </c>
      <c r="R1759" s="1971" t="n">
        <f aca="false">G1759-N1759</f>
        <v>0</v>
      </c>
    </row>
    <row r="1760" customFormat="false" ht="14.25" hidden="false" customHeight="false" outlineLevel="0" collapsed="false">
      <c r="A1760" s="2020"/>
      <c r="B1760" s="2020"/>
      <c r="C1760" s="2057"/>
      <c r="D1760" s="860"/>
      <c r="E1760" s="860"/>
      <c r="F1760" s="860"/>
      <c r="G1760" s="2054"/>
      <c r="H1760" s="2054"/>
      <c r="I1760" s="543"/>
      <c r="J1760" s="2046"/>
      <c r="K1760" s="1449"/>
      <c r="L1760" s="866"/>
      <c r="M1760" s="866"/>
      <c r="N1760" s="866"/>
      <c r="O1760" s="543"/>
      <c r="P1760" s="1993"/>
      <c r="Q1760" s="2031"/>
      <c r="R1760" s="2031"/>
    </row>
    <row r="1761" customFormat="false" ht="14.25" hidden="false" customHeight="false" outlineLevel="0" collapsed="false">
      <c r="A1761" s="1396" t="n">
        <v>169</v>
      </c>
      <c r="B1761" s="1396" t="n">
        <v>2023</v>
      </c>
      <c r="C1761" s="2008"/>
      <c r="D1761" s="848" t="s">
        <v>6</v>
      </c>
      <c r="E1761" s="848" t="s">
        <v>2133</v>
      </c>
      <c r="F1761" s="848" t="s">
        <v>3364</v>
      </c>
      <c r="G1761" s="1967" t="n">
        <v>11</v>
      </c>
      <c r="H1761" s="1967" t="n">
        <v>30</v>
      </c>
      <c r="I1761" s="854" t="n">
        <f aca="false">G1761*H1761</f>
        <v>330</v>
      </c>
      <c r="J1761" s="2045" t="n">
        <v>90</v>
      </c>
      <c r="K1761" s="953" t="n">
        <f aca="false">I1761*J1761</f>
        <v>29700</v>
      </c>
      <c r="L1761" s="854" t="n">
        <v>29700</v>
      </c>
      <c r="M1761" s="854" t="n">
        <v>330</v>
      </c>
      <c r="N1761" s="866" t="n">
        <f aca="false">M1761/H1761</f>
        <v>11</v>
      </c>
      <c r="O1761" s="537" t="s">
        <v>3373</v>
      </c>
      <c r="P1761" s="1986" t="n">
        <f aca="false">K1761-L1761</f>
        <v>0</v>
      </c>
      <c r="Q1761" s="1971" t="n">
        <f aca="false">I1761-M1761</f>
        <v>0</v>
      </c>
      <c r="R1761" s="1971" t="n">
        <f aca="false">G1761-N1761</f>
        <v>0</v>
      </c>
    </row>
    <row r="1762" customFormat="false" ht="14.25" hidden="false" customHeight="false" outlineLevel="0" collapsed="false">
      <c r="A1762" s="882" t="n">
        <v>326</v>
      </c>
      <c r="B1762" s="830" t="n">
        <v>2023</v>
      </c>
      <c r="C1762" s="1965" t="n">
        <v>45536</v>
      </c>
      <c r="D1762" s="831" t="s">
        <v>6</v>
      </c>
      <c r="E1762" s="1365" t="s">
        <v>2131</v>
      </c>
      <c r="F1762" s="832" t="s">
        <v>3364</v>
      </c>
      <c r="G1762" s="837" t="n">
        <v>217</v>
      </c>
      <c r="H1762" s="837" t="n">
        <v>25</v>
      </c>
      <c r="I1762" s="837" t="n">
        <f aca="false">G1762*H1762</f>
        <v>5425</v>
      </c>
      <c r="J1762" s="1527" t="n">
        <v>64.78</v>
      </c>
      <c r="K1762" s="943" t="n">
        <f aca="false">I1762*J1762</f>
        <v>351431.5</v>
      </c>
      <c r="L1762" s="840" t="n">
        <v>260739.5</v>
      </c>
      <c r="M1762" s="840" t="n">
        <v>4025</v>
      </c>
      <c r="N1762" s="886" t="n">
        <f aca="false">M1762/H1762</f>
        <v>161</v>
      </c>
      <c r="O1762" s="578" t="n">
        <v>85389</v>
      </c>
      <c r="P1762" s="1934" t="n">
        <f aca="false">K1762-L1762-L1764-L1763</f>
        <v>0</v>
      </c>
      <c r="Q1762" s="1934" t="n">
        <f aca="false">I1762-M1762-M1764-M1763</f>
        <v>0</v>
      </c>
      <c r="R1762" s="1935" t="n">
        <f aca="false">G1762-N1762-N1764-N1763</f>
        <v>0</v>
      </c>
    </row>
    <row r="1763" customFormat="false" ht="14.25" hidden="false" customHeight="false" outlineLevel="0" collapsed="false">
      <c r="A1763" s="882"/>
      <c r="B1763" s="830"/>
      <c r="C1763" s="1965"/>
      <c r="D1763" s="904" t="s">
        <v>6</v>
      </c>
      <c r="E1763" s="1351" t="s">
        <v>2131</v>
      </c>
      <c r="F1763" s="832"/>
      <c r="G1763" s="837"/>
      <c r="H1763" s="837"/>
      <c r="I1763" s="837"/>
      <c r="J1763" s="1527"/>
      <c r="K1763" s="943"/>
      <c r="L1763" s="891" t="n">
        <v>74497</v>
      </c>
      <c r="M1763" s="891" t="n">
        <v>1150</v>
      </c>
      <c r="N1763" s="866" t="n">
        <f aca="false">M1763/H1762</f>
        <v>46</v>
      </c>
      <c r="O1763" s="1943" t="s">
        <v>3373</v>
      </c>
      <c r="P1763" s="1934"/>
      <c r="Q1763" s="1934"/>
      <c r="R1763" s="1935"/>
    </row>
    <row r="1764" customFormat="false" ht="14.25" hidden="false" customHeight="false" outlineLevel="0" collapsed="false">
      <c r="A1764" s="882"/>
      <c r="B1764" s="830"/>
      <c r="C1764" s="1965"/>
      <c r="D1764" s="843" t="s">
        <v>6</v>
      </c>
      <c r="E1764" s="1357" t="s">
        <v>2131</v>
      </c>
      <c r="F1764" s="832"/>
      <c r="G1764" s="837"/>
      <c r="H1764" s="837"/>
      <c r="I1764" s="837"/>
      <c r="J1764" s="1527"/>
      <c r="K1764" s="943"/>
      <c r="L1764" s="846" t="n">
        <v>16195</v>
      </c>
      <c r="M1764" s="846" t="n">
        <v>250</v>
      </c>
      <c r="N1764" s="846" t="n">
        <f aca="false">M1764/H1762</f>
        <v>10</v>
      </c>
      <c r="O1764" s="1936" t="n">
        <v>86556</v>
      </c>
      <c r="P1764" s="1934"/>
      <c r="Q1764" s="1934"/>
      <c r="R1764" s="1935"/>
    </row>
    <row r="1765" customFormat="false" ht="14.25" hidden="false" customHeight="false" outlineLevel="0" collapsed="false">
      <c r="A1765" s="847" t="n">
        <v>589</v>
      </c>
      <c r="B1765" s="1396" t="n">
        <v>2023</v>
      </c>
      <c r="C1765" s="1966" t="n">
        <v>45627</v>
      </c>
      <c r="D1765" s="848" t="s">
        <v>6</v>
      </c>
      <c r="E1765" s="1479" t="s">
        <v>1651</v>
      </c>
      <c r="F1765" s="1479" t="s">
        <v>3367</v>
      </c>
      <c r="G1765" s="1380" t="n">
        <v>10</v>
      </c>
      <c r="H1765" s="1380" t="n">
        <v>15</v>
      </c>
      <c r="I1765" s="1380" t="n">
        <f aca="false">G1765*H1765</f>
        <v>150</v>
      </c>
      <c r="J1765" s="2058" t="n">
        <v>28.7</v>
      </c>
      <c r="K1765" s="1968" t="n">
        <f aca="false">I1765*J1765</f>
        <v>4305</v>
      </c>
      <c r="L1765" s="854" t="n">
        <v>4305</v>
      </c>
      <c r="M1765" s="854" t="n">
        <v>150</v>
      </c>
      <c r="N1765" s="854" t="n">
        <f aca="false">M1765/H1765</f>
        <v>10</v>
      </c>
      <c r="O1765" s="580" t="s">
        <v>3373</v>
      </c>
      <c r="P1765" s="1986" t="n">
        <f aca="false">K1765-L1765</f>
        <v>0</v>
      </c>
      <c r="Q1765" s="1971" t="n">
        <f aca="false">I1765-M1765</f>
        <v>0</v>
      </c>
      <c r="R1765" s="1971" t="n">
        <f aca="false">G1765-N1765</f>
        <v>0</v>
      </c>
    </row>
    <row r="1766" customFormat="false" ht="14.25" hidden="false" customHeight="false" outlineLevel="0" collapsed="false">
      <c r="A1766" s="1465" t="n">
        <v>35</v>
      </c>
      <c r="B1766" s="1546" t="n">
        <v>2024</v>
      </c>
      <c r="C1766" s="1975" t="n">
        <v>45658</v>
      </c>
      <c r="D1766" s="831" t="s">
        <v>6</v>
      </c>
      <c r="E1766" s="1365" t="s">
        <v>2619</v>
      </c>
      <c r="F1766" s="1328" t="s">
        <v>3364</v>
      </c>
      <c r="G1766" s="1036" t="n">
        <v>333</v>
      </c>
      <c r="H1766" s="1036" t="n">
        <v>30</v>
      </c>
      <c r="I1766" s="1036" t="n">
        <f aca="false">G1766*H1766</f>
        <v>9990</v>
      </c>
      <c r="J1766" s="1528" t="n">
        <v>95</v>
      </c>
      <c r="K1766" s="1547" t="n">
        <f aca="false">I1766*J1766</f>
        <v>949050</v>
      </c>
      <c r="L1766" s="840" t="n">
        <v>2850</v>
      </c>
      <c r="M1766" s="840" t="n">
        <v>30</v>
      </c>
      <c r="N1766" s="886" t="n">
        <f aca="false">M1766/H1766</f>
        <v>1</v>
      </c>
      <c r="O1766" s="578" t="n">
        <v>86375</v>
      </c>
      <c r="P1766" s="1978" t="n">
        <f aca="false">K1766-L1766-L1770-L1767-L1769-L1768</f>
        <v>0</v>
      </c>
      <c r="Q1766" s="1978" t="n">
        <f aca="false">I1766-M1766-M1770-M1767-M1769-M1768</f>
        <v>0</v>
      </c>
      <c r="R1766" s="1979" t="n">
        <f aca="false">G1766-N1766-N1770-N1767-N1769-N1768</f>
        <v>0</v>
      </c>
    </row>
    <row r="1767" customFormat="false" ht="14.25" hidden="false" customHeight="false" outlineLevel="0" collapsed="false">
      <c r="A1767" s="1465"/>
      <c r="B1767" s="1546"/>
      <c r="C1767" s="1975"/>
      <c r="D1767" s="860" t="s">
        <v>6</v>
      </c>
      <c r="E1767" s="1480" t="s">
        <v>2619</v>
      </c>
      <c r="F1767" s="1328"/>
      <c r="G1767" s="1036"/>
      <c r="H1767" s="1036"/>
      <c r="I1767" s="1036"/>
      <c r="J1767" s="1528"/>
      <c r="K1767" s="1547"/>
      <c r="L1767" s="866" t="n">
        <v>14250</v>
      </c>
      <c r="M1767" s="866" t="n">
        <v>150</v>
      </c>
      <c r="N1767" s="866" t="n">
        <f aca="false">M1767/H1766</f>
        <v>5</v>
      </c>
      <c r="O1767" s="545" t="n">
        <v>86768</v>
      </c>
      <c r="P1767" s="1978"/>
      <c r="Q1767" s="1978"/>
      <c r="R1767" s="1979"/>
    </row>
    <row r="1768" customFormat="false" ht="14.25" hidden="false" customHeight="false" outlineLevel="0" collapsed="false">
      <c r="A1768" s="1465"/>
      <c r="B1768" s="1546"/>
      <c r="C1768" s="1975"/>
      <c r="D1768" s="860" t="s">
        <v>6</v>
      </c>
      <c r="E1768" s="1480" t="s">
        <v>2619</v>
      </c>
      <c r="F1768" s="1328"/>
      <c r="G1768" s="1036"/>
      <c r="H1768" s="1036"/>
      <c r="I1768" s="1036"/>
      <c r="J1768" s="1528"/>
      <c r="K1768" s="1547"/>
      <c r="L1768" s="866" t="n">
        <v>2850</v>
      </c>
      <c r="M1768" s="866" t="n">
        <v>30</v>
      </c>
      <c r="N1768" s="866" t="n">
        <f aca="false">M1768/H1766</f>
        <v>1</v>
      </c>
      <c r="O1768" s="545" t="s">
        <v>3373</v>
      </c>
      <c r="P1768" s="1978"/>
      <c r="Q1768" s="1978"/>
      <c r="R1768" s="1979"/>
    </row>
    <row r="1769" customFormat="false" ht="14.25" hidden="false" customHeight="false" outlineLevel="0" collapsed="false">
      <c r="A1769" s="1465"/>
      <c r="B1769" s="1546"/>
      <c r="C1769" s="1975"/>
      <c r="D1769" s="860" t="s">
        <v>6</v>
      </c>
      <c r="E1769" s="1480" t="s">
        <v>2619</v>
      </c>
      <c r="F1769" s="1328"/>
      <c r="G1769" s="1036"/>
      <c r="H1769" s="1036"/>
      <c r="I1769" s="1036"/>
      <c r="J1769" s="1528"/>
      <c r="K1769" s="1547"/>
      <c r="L1769" s="866" t="n">
        <v>926250</v>
      </c>
      <c r="M1769" s="866" t="n">
        <v>9750</v>
      </c>
      <c r="N1769" s="866" t="n">
        <f aca="false">M1769/H1766</f>
        <v>325</v>
      </c>
      <c r="O1769" s="545" t="s">
        <v>2240</v>
      </c>
      <c r="P1769" s="1978"/>
      <c r="Q1769" s="1978"/>
      <c r="R1769" s="1979"/>
    </row>
    <row r="1770" customFormat="false" ht="14.25" hidden="false" customHeight="false" outlineLevel="0" collapsed="false">
      <c r="A1770" s="1465"/>
      <c r="B1770" s="1546"/>
      <c r="C1770" s="1975"/>
      <c r="D1770" s="871" t="s">
        <v>6</v>
      </c>
      <c r="E1770" s="1478" t="s">
        <v>2619</v>
      </c>
      <c r="F1770" s="1328"/>
      <c r="G1770" s="1036"/>
      <c r="H1770" s="1036"/>
      <c r="I1770" s="1036"/>
      <c r="J1770" s="1528"/>
      <c r="K1770" s="1547"/>
      <c r="L1770" s="877" t="n">
        <v>2850</v>
      </c>
      <c r="M1770" s="877" t="n">
        <v>30</v>
      </c>
      <c r="N1770" s="877" t="n">
        <f aca="false">M1770/H1766</f>
        <v>1</v>
      </c>
      <c r="O1770" s="584" t="n">
        <v>86607</v>
      </c>
      <c r="P1770" s="1978"/>
      <c r="Q1770" s="1978"/>
      <c r="R1770" s="1979"/>
    </row>
    <row r="1771" customFormat="false" ht="14.25" hidden="false" customHeight="false" outlineLevel="0" collapsed="false">
      <c r="A1771" s="829" t="n">
        <v>160</v>
      </c>
      <c r="B1771" s="830" t="n">
        <v>2024</v>
      </c>
      <c r="C1771" s="1965" t="n">
        <v>45717</v>
      </c>
      <c r="D1771" s="831" t="s">
        <v>6</v>
      </c>
      <c r="E1771" s="1365" t="s">
        <v>1651</v>
      </c>
      <c r="F1771" s="832" t="s">
        <v>3364</v>
      </c>
      <c r="G1771" s="837" t="n">
        <v>101</v>
      </c>
      <c r="H1771" s="837" t="n">
        <v>15</v>
      </c>
      <c r="I1771" s="837" t="n">
        <f aca="false">G1771*H1771</f>
        <v>1515</v>
      </c>
      <c r="J1771" s="1526" t="n">
        <v>30.3515</v>
      </c>
      <c r="K1771" s="943" t="n">
        <f aca="false">I1771*J1771</f>
        <v>45982.5225</v>
      </c>
      <c r="L1771" s="886" t="n">
        <v>44161.4325</v>
      </c>
      <c r="M1771" s="886" t="n">
        <v>1455</v>
      </c>
      <c r="N1771" s="886" t="n">
        <f aca="false">M1771/H1771</f>
        <v>97</v>
      </c>
      <c r="O1771" s="1595" t="n">
        <v>86827</v>
      </c>
      <c r="P1771" s="1934" t="n">
        <f aca="false">K1771-L1771-L1774-L1773-L1772</f>
        <v>-3.5242919693701E-012</v>
      </c>
      <c r="Q1771" s="2059" t="n">
        <f aca="false">I1771-M1771-M1774-M1773-M1772</f>
        <v>0</v>
      </c>
      <c r="R1771" s="2060" t="n">
        <f aca="false">G1771-N1771-N1774-N1773-N1772</f>
        <v>0</v>
      </c>
    </row>
    <row r="1772" customFormat="false" ht="14.25" hidden="false" customHeight="false" outlineLevel="0" collapsed="false">
      <c r="A1772" s="829"/>
      <c r="B1772" s="830"/>
      <c r="C1772" s="1965"/>
      <c r="D1772" s="860" t="s">
        <v>6</v>
      </c>
      <c r="E1772" s="1480" t="s">
        <v>1651</v>
      </c>
      <c r="F1772" s="832"/>
      <c r="G1772" s="837"/>
      <c r="H1772" s="837"/>
      <c r="I1772" s="837"/>
      <c r="J1772" s="1526"/>
      <c r="K1772" s="943"/>
      <c r="L1772" s="866" t="n">
        <v>910.545</v>
      </c>
      <c r="M1772" s="866" t="n">
        <v>30</v>
      </c>
      <c r="N1772" s="866" t="n">
        <f aca="false">M1772/H1771</f>
        <v>2</v>
      </c>
      <c r="O1772" s="545" t="s">
        <v>397</v>
      </c>
      <c r="P1772" s="1934"/>
      <c r="Q1772" s="2059"/>
      <c r="R1772" s="2060"/>
    </row>
    <row r="1773" customFormat="false" ht="14.25" hidden="false" customHeight="false" outlineLevel="0" collapsed="false">
      <c r="A1773" s="829"/>
      <c r="B1773" s="830"/>
      <c r="C1773" s="1965"/>
      <c r="D1773" s="860" t="s">
        <v>6</v>
      </c>
      <c r="E1773" s="1480" t="s">
        <v>1651</v>
      </c>
      <c r="F1773" s="832"/>
      <c r="G1773" s="837"/>
      <c r="H1773" s="837"/>
      <c r="I1773" s="837"/>
      <c r="J1773" s="1526"/>
      <c r="K1773" s="943"/>
      <c r="L1773" s="866" t="n">
        <v>455.2725</v>
      </c>
      <c r="M1773" s="866" t="n">
        <v>15</v>
      </c>
      <c r="N1773" s="866" t="n">
        <f aca="false">M1773/H1771</f>
        <v>1</v>
      </c>
      <c r="O1773" s="545" t="s">
        <v>3365</v>
      </c>
      <c r="P1773" s="1934"/>
      <c r="Q1773" s="2059"/>
      <c r="R1773" s="2060"/>
    </row>
    <row r="1774" customFormat="false" ht="14.25" hidden="false" customHeight="false" outlineLevel="0" collapsed="false">
      <c r="A1774" s="829"/>
      <c r="B1774" s="830"/>
      <c r="C1774" s="1965"/>
      <c r="D1774" s="843" t="s">
        <v>6</v>
      </c>
      <c r="E1774" s="1357" t="s">
        <v>1651</v>
      </c>
      <c r="F1774" s="832"/>
      <c r="G1774" s="837"/>
      <c r="H1774" s="837"/>
      <c r="I1774" s="837"/>
      <c r="J1774" s="1526"/>
      <c r="K1774" s="943"/>
      <c r="L1774" s="846" t="n">
        <v>455.2725</v>
      </c>
      <c r="M1774" s="846" t="n">
        <v>15</v>
      </c>
      <c r="N1774" s="846" t="n">
        <f aca="false">M1774/H1771</f>
        <v>1</v>
      </c>
      <c r="O1774" s="1936" t="s">
        <v>2240</v>
      </c>
      <c r="P1774" s="1934"/>
      <c r="Q1774" s="2059"/>
      <c r="R1774" s="2060"/>
    </row>
    <row r="1775" customFormat="false" ht="14.25" hidden="false" customHeight="false" outlineLevel="0" collapsed="false">
      <c r="A1775" s="829" t="n">
        <v>164</v>
      </c>
      <c r="B1775" s="830" t="n">
        <v>2024</v>
      </c>
      <c r="C1775" s="1965" t="n">
        <v>45748</v>
      </c>
      <c r="D1775" s="831" t="s">
        <v>6</v>
      </c>
      <c r="E1775" s="1365" t="s">
        <v>1652</v>
      </c>
      <c r="F1775" s="832" t="s">
        <v>3364</v>
      </c>
      <c r="G1775" s="837" t="n">
        <v>21</v>
      </c>
      <c r="H1775" s="837" t="n">
        <v>15</v>
      </c>
      <c r="I1775" s="837" t="n">
        <f aca="false">G1775*H1775</f>
        <v>315</v>
      </c>
      <c r="J1775" s="1526" t="n">
        <v>45.8867</v>
      </c>
      <c r="K1775" s="943" t="n">
        <f aca="false">I1775*J1775</f>
        <v>14454.3105</v>
      </c>
      <c r="L1775" s="840" t="n">
        <v>13077.7095</v>
      </c>
      <c r="M1775" s="840" t="n">
        <v>285</v>
      </c>
      <c r="N1775" s="840" t="n">
        <f aca="false">M1775/H1775</f>
        <v>19</v>
      </c>
      <c r="O1775" s="578" t="n">
        <v>86863</v>
      </c>
      <c r="P1775" s="1948" t="n">
        <f aca="false">K1775-L1775-L1776</f>
        <v>0</v>
      </c>
      <c r="Q1775" s="1934" t="n">
        <f aca="false">I1775-M1775-M1776</f>
        <v>0</v>
      </c>
      <c r="R1775" s="1935" t="n">
        <f aca="false">G1775-N1775-N1776</f>
        <v>0</v>
      </c>
    </row>
    <row r="1776" customFormat="false" ht="14.25" hidden="false" customHeight="false" outlineLevel="0" collapsed="false">
      <c r="A1776" s="829"/>
      <c r="B1776" s="830"/>
      <c r="C1776" s="1965"/>
      <c r="D1776" s="887" t="s">
        <v>6</v>
      </c>
      <c r="E1776" s="1501" t="s">
        <v>1652</v>
      </c>
      <c r="F1776" s="832"/>
      <c r="G1776" s="837"/>
      <c r="H1776" s="837"/>
      <c r="I1776" s="837"/>
      <c r="J1776" s="1526"/>
      <c r="K1776" s="943"/>
      <c r="L1776" s="890" t="n">
        <v>1376.601</v>
      </c>
      <c r="M1776" s="890" t="n">
        <v>30</v>
      </c>
      <c r="N1776" s="890" t="n">
        <f aca="false">M1776/H1775</f>
        <v>2</v>
      </c>
      <c r="O1776" s="1938" t="s">
        <v>404</v>
      </c>
      <c r="P1776" s="1948"/>
      <c r="Q1776" s="1934"/>
      <c r="R1776" s="1935"/>
    </row>
    <row r="1777" customFormat="false" ht="14.25" hidden="false" customHeight="false" outlineLevel="0" collapsed="false">
      <c r="A1777" s="903" t="n">
        <v>208</v>
      </c>
      <c r="B1777" s="903" t="n">
        <v>2024</v>
      </c>
      <c r="C1777" s="1974" t="n">
        <v>45839</v>
      </c>
      <c r="D1777" s="904" t="s">
        <v>6</v>
      </c>
      <c r="E1777" s="1351" t="s">
        <v>1651</v>
      </c>
      <c r="F1777" s="1351" t="s">
        <v>3364</v>
      </c>
      <c r="G1777" s="1355" t="n">
        <v>200</v>
      </c>
      <c r="H1777" s="1355" t="n">
        <v>10</v>
      </c>
      <c r="I1777" s="1355" t="n">
        <f aca="false">G1777*H1777</f>
        <v>2000</v>
      </c>
      <c r="J1777" s="2061" t="n">
        <v>31.6612</v>
      </c>
      <c r="K1777" s="1942" t="n">
        <f aca="false">I1777*J1777</f>
        <v>63322.4</v>
      </c>
      <c r="L1777" s="891" t="n">
        <v>63322.4</v>
      </c>
      <c r="M1777" s="891" t="n">
        <v>2000</v>
      </c>
      <c r="N1777" s="891" t="n">
        <f aca="false">M1777/H1777</f>
        <v>200</v>
      </c>
      <c r="O1777" s="1943" t="s">
        <v>364</v>
      </c>
      <c r="P1777" s="1964" t="n">
        <f aca="false">K1777-L1777</f>
        <v>0</v>
      </c>
      <c r="Q1777" s="1946" t="n">
        <f aca="false">I1777-M1777</f>
        <v>0</v>
      </c>
      <c r="R1777" s="1946" t="n">
        <f aca="false">G1777-N1777</f>
        <v>0</v>
      </c>
    </row>
    <row r="1778" customFormat="false" ht="14.25" hidden="false" customHeight="false" outlineLevel="0" collapsed="false">
      <c r="A1778" s="882" t="n">
        <v>209</v>
      </c>
      <c r="B1778" s="830" t="n">
        <v>2024</v>
      </c>
      <c r="C1778" s="1965" t="n">
        <v>45839</v>
      </c>
      <c r="D1778" s="831" t="s">
        <v>6</v>
      </c>
      <c r="E1778" s="1365" t="s">
        <v>1651</v>
      </c>
      <c r="F1778" s="832" t="s">
        <v>3367</v>
      </c>
      <c r="G1778" s="837" t="n">
        <v>106</v>
      </c>
      <c r="H1778" s="837" t="n">
        <v>10</v>
      </c>
      <c r="I1778" s="837" t="n">
        <f aca="false">G1778*H1778</f>
        <v>1060</v>
      </c>
      <c r="J1778" s="1526" t="n">
        <v>31.9588</v>
      </c>
      <c r="K1778" s="943" t="n">
        <f aca="false">I1778*J1778</f>
        <v>33876.328</v>
      </c>
      <c r="L1778" s="840" t="n">
        <v>15979.4</v>
      </c>
      <c r="M1778" s="840" t="n">
        <v>500</v>
      </c>
      <c r="N1778" s="886" t="n">
        <f aca="false">M1778/H1778</f>
        <v>50</v>
      </c>
      <c r="O1778" s="578" t="s">
        <v>369</v>
      </c>
      <c r="P1778" s="1937" t="n">
        <f aca="false">K1778-L1778-L1780-L1779</f>
        <v>0</v>
      </c>
      <c r="Q1778" s="1934" t="n">
        <f aca="false">I1778-M1778-M1780-M1779</f>
        <v>0</v>
      </c>
      <c r="R1778" s="1935" t="n">
        <f aca="false">G1778-N1778-N1780-N1779</f>
        <v>0</v>
      </c>
    </row>
    <row r="1779" customFormat="false" ht="14.25" hidden="false" customHeight="false" outlineLevel="0" collapsed="false">
      <c r="A1779" s="882"/>
      <c r="B1779" s="830"/>
      <c r="C1779" s="1965"/>
      <c r="D1779" s="904" t="s">
        <v>6</v>
      </c>
      <c r="E1779" s="1351" t="s">
        <v>1651</v>
      </c>
      <c r="F1779" s="832"/>
      <c r="G1779" s="837"/>
      <c r="H1779" s="837"/>
      <c r="I1779" s="837"/>
      <c r="J1779" s="1526"/>
      <c r="K1779" s="943"/>
      <c r="L1779" s="891" t="n">
        <v>9587.64</v>
      </c>
      <c r="M1779" s="891" t="n">
        <v>300</v>
      </c>
      <c r="N1779" s="866" t="n">
        <f aca="false">M1779/H1778</f>
        <v>30</v>
      </c>
      <c r="O1779" s="1943" t="s">
        <v>510</v>
      </c>
      <c r="P1779" s="1937"/>
      <c r="Q1779" s="1934"/>
      <c r="R1779" s="1935"/>
    </row>
    <row r="1780" customFormat="false" ht="14.25" hidden="false" customHeight="false" outlineLevel="0" collapsed="false">
      <c r="A1780" s="882"/>
      <c r="B1780" s="830"/>
      <c r="C1780" s="1965"/>
      <c r="D1780" s="843" t="s">
        <v>6</v>
      </c>
      <c r="E1780" s="1357" t="s">
        <v>1651</v>
      </c>
      <c r="F1780" s="832"/>
      <c r="G1780" s="837"/>
      <c r="H1780" s="837"/>
      <c r="I1780" s="837"/>
      <c r="J1780" s="1526"/>
      <c r="K1780" s="943"/>
      <c r="L1780" s="846" t="n">
        <v>8309.288</v>
      </c>
      <c r="M1780" s="846" t="n">
        <v>260</v>
      </c>
      <c r="N1780" s="846" t="n">
        <f aca="false">M1780/H1778</f>
        <v>26</v>
      </c>
      <c r="O1780" s="1936" t="s">
        <v>452</v>
      </c>
      <c r="P1780" s="1937"/>
      <c r="Q1780" s="1934"/>
      <c r="R1780" s="1935"/>
    </row>
    <row r="1781" customFormat="false" ht="14.25" hidden="false" customHeight="false" outlineLevel="0" collapsed="false">
      <c r="A1781" s="882" t="n">
        <v>253</v>
      </c>
      <c r="B1781" s="830" t="n">
        <v>2024</v>
      </c>
      <c r="C1781" s="1965" t="n">
        <v>45839</v>
      </c>
      <c r="D1781" s="831" t="s">
        <v>6</v>
      </c>
      <c r="E1781" s="1365" t="s">
        <v>1651</v>
      </c>
      <c r="F1781" s="832" t="s">
        <v>3367</v>
      </c>
      <c r="G1781" s="837" t="n">
        <v>170</v>
      </c>
      <c r="H1781" s="837" t="n">
        <v>15</v>
      </c>
      <c r="I1781" s="1075" t="n">
        <f aca="false">G1781*H1781</f>
        <v>2550</v>
      </c>
      <c r="J1781" s="1526" t="n">
        <v>31.8138</v>
      </c>
      <c r="K1781" s="943" t="n">
        <f aca="false">I1781*J1781</f>
        <v>81125.19</v>
      </c>
      <c r="L1781" s="840" t="n">
        <v>47720.7</v>
      </c>
      <c r="M1781" s="840" t="n">
        <v>1500</v>
      </c>
      <c r="N1781" s="886" t="n">
        <f aca="false">M1781/H1781</f>
        <v>100</v>
      </c>
      <c r="O1781" s="578" t="s">
        <v>393</v>
      </c>
      <c r="P1781" s="1982" t="n">
        <f aca="false">K1781-L1781-L1783-L1782</f>
        <v>0</v>
      </c>
      <c r="Q1781" s="1934" t="n">
        <f aca="false">I1781-M1781-M1783-M1782</f>
        <v>0</v>
      </c>
      <c r="R1781" s="1935" t="n">
        <f aca="false">G1781-N1781-N1783-N1782</f>
        <v>0</v>
      </c>
    </row>
    <row r="1782" customFormat="false" ht="14.25" hidden="false" customHeight="false" outlineLevel="0" collapsed="false">
      <c r="A1782" s="882"/>
      <c r="B1782" s="830"/>
      <c r="C1782" s="1965"/>
      <c r="D1782" s="860" t="s">
        <v>6</v>
      </c>
      <c r="E1782" s="1480" t="s">
        <v>1651</v>
      </c>
      <c r="F1782" s="832"/>
      <c r="G1782" s="837"/>
      <c r="H1782" s="837"/>
      <c r="I1782" s="1075"/>
      <c r="J1782" s="1526"/>
      <c r="K1782" s="943"/>
      <c r="L1782" s="866" t="n">
        <v>14316.21</v>
      </c>
      <c r="M1782" s="866" t="n">
        <v>450</v>
      </c>
      <c r="N1782" s="866" t="n">
        <f aca="false">M1782/H1781</f>
        <v>30</v>
      </c>
      <c r="O1782" s="545" t="s">
        <v>400</v>
      </c>
      <c r="P1782" s="1982"/>
      <c r="Q1782" s="1934"/>
      <c r="R1782" s="1935"/>
    </row>
    <row r="1783" customFormat="false" ht="14.25" hidden="false" customHeight="false" outlineLevel="0" collapsed="false">
      <c r="A1783" s="882"/>
      <c r="B1783" s="830"/>
      <c r="C1783" s="1965"/>
      <c r="D1783" s="887" t="s">
        <v>6</v>
      </c>
      <c r="E1783" s="1501" t="s">
        <v>1651</v>
      </c>
      <c r="F1783" s="832"/>
      <c r="G1783" s="837"/>
      <c r="H1783" s="837"/>
      <c r="I1783" s="1075"/>
      <c r="J1783" s="1526"/>
      <c r="K1783" s="943"/>
      <c r="L1783" s="890" t="n">
        <v>19088.28</v>
      </c>
      <c r="M1783" s="890" t="n">
        <v>600</v>
      </c>
      <c r="N1783" s="890" t="n">
        <f aca="false">M1783/H1781</f>
        <v>40</v>
      </c>
      <c r="O1783" s="1938" t="s">
        <v>399</v>
      </c>
      <c r="P1783" s="1982"/>
      <c r="Q1783" s="1934"/>
      <c r="R1783" s="1935"/>
    </row>
    <row r="1784" customFormat="false" ht="14.25" hidden="false" customHeight="false" outlineLevel="0" collapsed="false">
      <c r="A1784" s="903" t="n">
        <v>254</v>
      </c>
      <c r="B1784" s="903" t="n">
        <v>2024</v>
      </c>
      <c r="C1784" s="1974" t="n">
        <v>45839</v>
      </c>
      <c r="D1784" s="904" t="s">
        <v>6</v>
      </c>
      <c r="E1784" s="1351" t="s">
        <v>1651</v>
      </c>
      <c r="F1784" s="1351" t="s">
        <v>3364</v>
      </c>
      <c r="G1784" s="1355" t="n">
        <v>334</v>
      </c>
      <c r="H1784" s="1355" t="n">
        <v>15</v>
      </c>
      <c r="I1784" s="1355" t="n">
        <f aca="false">G1784*H1784</f>
        <v>5010</v>
      </c>
      <c r="J1784" s="2061" t="n">
        <v>31.5663</v>
      </c>
      <c r="K1784" s="1942" t="n">
        <f aca="false">I1784*J1784</f>
        <v>158147.163</v>
      </c>
      <c r="L1784" s="891" t="n">
        <v>158147.163</v>
      </c>
      <c r="M1784" s="891" t="n">
        <v>5010</v>
      </c>
      <c r="N1784" s="891" t="n">
        <f aca="false">M1784/H1784</f>
        <v>334</v>
      </c>
      <c r="O1784" s="1943"/>
      <c r="P1784" s="1944" t="n">
        <f aca="false">K1784-L1784</f>
        <v>0</v>
      </c>
      <c r="Q1784" s="1946" t="n">
        <f aca="false">I1784-M1784</f>
        <v>0</v>
      </c>
      <c r="R1784" s="1946" t="n">
        <f aca="false">G1784-N1784</f>
        <v>0</v>
      </c>
    </row>
    <row r="1785" customFormat="false" ht="14.25" hidden="false" customHeight="false" outlineLevel="0" collapsed="false">
      <c r="A1785" s="829" t="n">
        <v>255</v>
      </c>
      <c r="B1785" s="830" t="n">
        <v>2024</v>
      </c>
      <c r="C1785" s="1965" t="n">
        <v>45839</v>
      </c>
      <c r="D1785" s="831" t="s">
        <v>6</v>
      </c>
      <c r="E1785" s="1365" t="s">
        <v>1651</v>
      </c>
      <c r="F1785" s="832" t="s">
        <v>3364</v>
      </c>
      <c r="G1785" s="837" t="n">
        <v>168</v>
      </c>
      <c r="H1785" s="837" t="n">
        <v>15</v>
      </c>
      <c r="I1785" s="837" t="n">
        <f aca="false">G1785*H1785</f>
        <v>2520</v>
      </c>
      <c r="J1785" s="1526" t="n">
        <v>31.5663</v>
      </c>
      <c r="K1785" s="943" t="n">
        <f aca="false">I1785*J1785</f>
        <v>79547.076</v>
      </c>
      <c r="L1785" s="886" t="n">
        <v>79547.076</v>
      </c>
      <c r="M1785" s="886" t="n">
        <v>2520</v>
      </c>
      <c r="N1785" s="886" t="n">
        <f aca="false">M1785/H1785</f>
        <v>168</v>
      </c>
      <c r="O1785" s="1595" t="s">
        <v>385</v>
      </c>
      <c r="P1785" s="1934" t="n">
        <f aca="false">K1785-L1785-L1788-L1787-L1786</f>
        <v>0.000500000002602974</v>
      </c>
      <c r="Q1785" s="1934" t="n">
        <f aca="false">I1785-M1785-M1788-M1787-M1786</f>
        <v>0</v>
      </c>
      <c r="R1785" s="1935" t="n">
        <f aca="false">G1785-N1785-N1788-N1787-N1786</f>
        <v>0</v>
      </c>
    </row>
    <row r="1786" customFormat="false" ht="14.25" hidden="false" customHeight="false" outlineLevel="0" collapsed="false">
      <c r="A1786" s="829"/>
      <c r="B1786" s="830"/>
      <c r="C1786" s="1965"/>
      <c r="D1786" s="860" t="s">
        <v>6</v>
      </c>
      <c r="E1786" s="1480" t="s">
        <v>1651</v>
      </c>
      <c r="F1786" s="832"/>
      <c r="G1786" s="837"/>
      <c r="H1786" s="837"/>
      <c r="I1786" s="837"/>
      <c r="J1786" s="1526"/>
      <c r="K1786" s="943"/>
      <c r="L1786" s="866" t="n">
        <v>473.4945</v>
      </c>
      <c r="M1786" s="866" t="n">
        <v>15</v>
      </c>
      <c r="N1786" s="866" t="n">
        <f aca="false">M1786/H1785</f>
        <v>1</v>
      </c>
      <c r="O1786" s="545" t="s">
        <v>1375</v>
      </c>
      <c r="P1786" s="1934"/>
      <c r="Q1786" s="1934"/>
      <c r="R1786" s="1935"/>
    </row>
    <row r="1787" customFormat="false" ht="14.25" hidden="false" customHeight="false" outlineLevel="0" collapsed="false">
      <c r="A1787" s="829"/>
      <c r="B1787" s="830"/>
      <c r="C1787" s="1965"/>
      <c r="D1787" s="860" t="s">
        <v>6</v>
      </c>
      <c r="E1787" s="1480" t="s">
        <v>1651</v>
      </c>
      <c r="F1787" s="832"/>
      <c r="G1787" s="837"/>
      <c r="H1787" s="837"/>
      <c r="I1787" s="837"/>
      <c r="J1787" s="1526"/>
      <c r="K1787" s="943"/>
      <c r="L1787" s="866" t="n">
        <v>-63448.2635</v>
      </c>
      <c r="M1787" s="866" t="n">
        <v>-2010</v>
      </c>
      <c r="N1787" s="866" t="n">
        <f aca="false">M1787/H1785</f>
        <v>-134</v>
      </c>
      <c r="O1787" s="545" t="s">
        <v>1634</v>
      </c>
      <c r="P1787" s="1934"/>
      <c r="Q1787" s="1934"/>
      <c r="R1787" s="1935"/>
    </row>
    <row r="1788" customFormat="false" ht="14.25" hidden="false" customHeight="false" outlineLevel="0" collapsed="false">
      <c r="A1788" s="829"/>
      <c r="B1788" s="830"/>
      <c r="C1788" s="1965"/>
      <c r="D1788" s="843" t="s">
        <v>6</v>
      </c>
      <c r="E1788" s="1357" t="s">
        <v>1651</v>
      </c>
      <c r="F1788" s="832"/>
      <c r="G1788" s="837"/>
      <c r="H1788" s="837"/>
      <c r="I1788" s="837"/>
      <c r="J1788" s="1526"/>
      <c r="K1788" s="943"/>
      <c r="L1788" s="846" t="n">
        <v>62974.7685</v>
      </c>
      <c r="M1788" s="846" t="n">
        <v>1995</v>
      </c>
      <c r="N1788" s="846" t="n">
        <f aca="false">M1788/H1785</f>
        <v>133</v>
      </c>
      <c r="O1788" s="1936" t="s">
        <v>1251</v>
      </c>
      <c r="P1788" s="1934"/>
      <c r="Q1788" s="1934"/>
      <c r="R1788" s="1935"/>
    </row>
    <row r="1789" customFormat="false" ht="14.25" hidden="false" customHeight="false" outlineLevel="0" collapsed="false">
      <c r="A1789" s="1087" t="n">
        <v>256</v>
      </c>
      <c r="B1789" s="1072" t="n">
        <v>2024</v>
      </c>
      <c r="C1789" s="1980" t="n">
        <v>45839</v>
      </c>
      <c r="D1789" s="848" t="s">
        <v>6</v>
      </c>
      <c r="E1789" s="1479" t="s">
        <v>1651</v>
      </c>
      <c r="F1789" s="887" t="s">
        <v>3364</v>
      </c>
      <c r="G1789" s="1067" t="n">
        <v>28</v>
      </c>
      <c r="H1789" s="1067" t="n">
        <v>15</v>
      </c>
      <c r="I1789" s="1067" t="n">
        <f aca="false">G1789*H1789</f>
        <v>420</v>
      </c>
      <c r="J1789" s="1522" t="n">
        <v>32.5302</v>
      </c>
      <c r="K1789" s="1452" t="n">
        <f aca="false">I1789*J1789</f>
        <v>13662.684</v>
      </c>
      <c r="L1789" s="854" t="n">
        <v>8295.201</v>
      </c>
      <c r="M1789" s="854" t="n">
        <v>255</v>
      </c>
      <c r="N1789" s="854" t="n">
        <f aca="false">M1789/H1789</f>
        <v>17</v>
      </c>
      <c r="O1789" s="580" t="s">
        <v>385</v>
      </c>
      <c r="P1789" s="1981" t="n">
        <f aca="false">K1789-L1789-L1790</f>
        <v>0</v>
      </c>
      <c r="Q1789" s="1953" t="n">
        <f aca="false">I1789-M1789-M1790</f>
        <v>0</v>
      </c>
      <c r="R1789" s="1954" t="n">
        <f aca="false">G1789-N1789-N1790</f>
        <v>0</v>
      </c>
    </row>
    <row r="1790" customFormat="false" ht="14.25" hidden="false" customHeight="false" outlineLevel="0" collapsed="false">
      <c r="A1790" s="1087"/>
      <c r="B1790" s="1072"/>
      <c r="C1790" s="1980"/>
      <c r="D1790" s="887" t="s">
        <v>6</v>
      </c>
      <c r="E1790" s="1501" t="s">
        <v>1651</v>
      </c>
      <c r="F1790" s="887"/>
      <c r="G1790" s="1067"/>
      <c r="H1790" s="1067"/>
      <c r="I1790" s="1067"/>
      <c r="J1790" s="1522"/>
      <c r="K1790" s="1452"/>
      <c r="L1790" s="890" t="n">
        <v>5367.483</v>
      </c>
      <c r="M1790" s="890" t="n">
        <v>165</v>
      </c>
      <c r="N1790" s="890" t="n">
        <f aca="false">M1790/H1789</f>
        <v>11</v>
      </c>
      <c r="O1790" s="1938" t="s">
        <v>397</v>
      </c>
      <c r="P1790" s="1981"/>
      <c r="Q1790" s="1953"/>
      <c r="R1790" s="1954"/>
    </row>
    <row r="1791" customFormat="false" ht="14.25" hidden="false" customHeight="false" outlineLevel="0" collapsed="false">
      <c r="A1791" s="829" t="n">
        <v>257</v>
      </c>
      <c r="B1791" s="830" t="n">
        <v>2024</v>
      </c>
      <c r="C1791" s="1965" t="n">
        <v>45839</v>
      </c>
      <c r="D1791" s="831" t="s">
        <v>6</v>
      </c>
      <c r="E1791" s="1365" t="s">
        <v>1651</v>
      </c>
      <c r="F1791" s="832" t="s">
        <v>3364</v>
      </c>
      <c r="G1791" s="837" t="n">
        <v>164</v>
      </c>
      <c r="H1791" s="837" t="n">
        <v>15</v>
      </c>
      <c r="I1791" s="837" t="n">
        <f aca="false">G1791*H1791</f>
        <v>2460</v>
      </c>
      <c r="J1791" s="1526" t="n">
        <v>32.8343</v>
      </c>
      <c r="K1791" s="943" t="n">
        <f aca="false">I1791*J1791</f>
        <v>80772.378</v>
      </c>
      <c r="L1791" s="840" t="n">
        <v>59594.2545</v>
      </c>
      <c r="M1791" s="840" t="n">
        <v>1815</v>
      </c>
      <c r="N1791" s="840" t="n">
        <f aca="false">M1791/H1791</f>
        <v>121</v>
      </c>
      <c r="O1791" s="578" t="s">
        <v>397</v>
      </c>
      <c r="P1791" s="1934" t="n">
        <f aca="false">K1791-L1791-L1792</f>
        <v>0.000499999994644895</v>
      </c>
      <c r="Q1791" s="1934" t="n">
        <f aca="false">I1791-M1791-M1792</f>
        <v>0</v>
      </c>
      <c r="R1791" s="1935" t="n">
        <f aca="false">G1791-N1791-N1792</f>
        <v>0</v>
      </c>
    </row>
    <row r="1792" customFormat="false" ht="14.25" hidden="false" customHeight="false" outlineLevel="0" collapsed="false">
      <c r="A1792" s="829"/>
      <c r="B1792" s="830"/>
      <c r="C1792" s="1965"/>
      <c r="D1792" s="887" t="s">
        <v>6</v>
      </c>
      <c r="E1792" s="1501" t="s">
        <v>1651</v>
      </c>
      <c r="F1792" s="832"/>
      <c r="G1792" s="837"/>
      <c r="H1792" s="837"/>
      <c r="I1792" s="837"/>
      <c r="J1792" s="1526"/>
      <c r="K1792" s="943"/>
      <c r="L1792" s="890" t="n">
        <v>21178.123</v>
      </c>
      <c r="M1792" s="890" t="n">
        <v>645</v>
      </c>
      <c r="N1792" s="890" t="n">
        <f aca="false">M1792/H1791</f>
        <v>43</v>
      </c>
      <c r="O1792" s="1938" t="s">
        <v>404</v>
      </c>
      <c r="P1792" s="1934"/>
      <c r="Q1792" s="1934"/>
      <c r="R1792" s="1935"/>
    </row>
    <row r="1793" customFormat="false" ht="14.25" hidden="false" customHeight="false" outlineLevel="0" collapsed="false">
      <c r="A1793" s="903" t="n">
        <v>296</v>
      </c>
      <c r="B1793" s="903" t="n">
        <v>2024</v>
      </c>
      <c r="C1793" s="1974" t="n">
        <v>45870</v>
      </c>
      <c r="D1793" s="904" t="s">
        <v>6</v>
      </c>
      <c r="E1793" s="1351" t="s">
        <v>1652</v>
      </c>
      <c r="F1793" s="904" t="s">
        <v>3375</v>
      </c>
      <c r="G1793" s="942" t="n">
        <v>7</v>
      </c>
      <c r="H1793" s="942" t="n">
        <v>15</v>
      </c>
      <c r="I1793" s="1355" t="n">
        <f aca="false">G1793*H1793</f>
        <v>105</v>
      </c>
      <c r="J1793" s="1524" t="n">
        <v>44.8416</v>
      </c>
      <c r="K1793" s="1138" t="n">
        <f aca="false">I1793*J1793</f>
        <v>4708.368</v>
      </c>
      <c r="L1793" s="891" t="n">
        <v>4708.368</v>
      </c>
      <c r="M1793" s="891" t="n">
        <v>105</v>
      </c>
      <c r="N1793" s="854" t="n">
        <f aca="false">M1793/H1793</f>
        <v>7</v>
      </c>
      <c r="O1793" s="1943"/>
      <c r="P1793" s="1944" t="n">
        <f aca="false">K1793-L1793</f>
        <v>0</v>
      </c>
      <c r="Q1793" s="1945" t="n">
        <f aca="false">I1793-M1793</f>
        <v>0</v>
      </c>
      <c r="R1793" s="1945" t="n">
        <f aca="false">G1793-N1793</f>
        <v>0</v>
      </c>
    </row>
    <row r="1794" customFormat="false" ht="14.25" hidden="false" customHeight="false" outlineLevel="0" collapsed="false">
      <c r="A1794" s="1465" t="n">
        <v>297</v>
      </c>
      <c r="B1794" s="1546" t="n">
        <v>2024</v>
      </c>
      <c r="C1794" s="1975" t="n">
        <v>45870</v>
      </c>
      <c r="D1794" s="831" t="s">
        <v>6</v>
      </c>
      <c r="E1794" s="1365" t="s">
        <v>1652</v>
      </c>
      <c r="F1794" s="1328" t="s">
        <v>3364</v>
      </c>
      <c r="G1794" s="1036" t="n">
        <v>378</v>
      </c>
      <c r="H1794" s="1036" t="n">
        <v>15</v>
      </c>
      <c r="I1794" s="1036" t="n">
        <f aca="false">G1794*H1794</f>
        <v>5670</v>
      </c>
      <c r="J1794" s="1528" t="n">
        <v>44.7188</v>
      </c>
      <c r="K1794" s="1547" t="n">
        <f aca="false">I1794*J1794</f>
        <v>253555.596</v>
      </c>
      <c r="L1794" s="886" t="n">
        <v>10732.512</v>
      </c>
      <c r="M1794" s="886" t="n">
        <v>240</v>
      </c>
      <c r="N1794" s="886" t="n">
        <f aca="false">M1794/H1794</f>
        <v>16</v>
      </c>
      <c r="O1794" s="1595" t="s">
        <v>439</v>
      </c>
      <c r="P1794" s="1978" t="n">
        <f aca="false">K1794-L1794-L1801-L1800-L1795-L1797-L1799-L1796-L1798</f>
        <v>0</v>
      </c>
      <c r="Q1794" s="1978" t="n">
        <f aca="false">I1794-M1794-M1801-M1800-M1795-M1797-M1799-M1796-M1798</f>
        <v>0</v>
      </c>
      <c r="R1794" s="1979" t="n">
        <f aca="false">G1794-N1794-N1801-N1800-N1795-N1797-N1799-N1796-N1798</f>
        <v>0</v>
      </c>
    </row>
    <row r="1795" customFormat="false" ht="14.25" hidden="false" customHeight="false" outlineLevel="0" collapsed="false">
      <c r="A1795" s="1465"/>
      <c r="B1795" s="1546"/>
      <c r="C1795" s="1975"/>
      <c r="D1795" s="860" t="s">
        <v>6</v>
      </c>
      <c r="E1795" s="1480" t="s">
        <v>1652</v>
      </c>
      <c r="F1795" s="1328"/>
      <c r="G1795" s="1036"/>
      <c r="H1795" s="1036"/>
      <c r="I1795" s="1036"/>
      <c r="J1795" s="1528"/>
      <c r="K1795" s="1547"/>
      <c r="L1795" s="866" t="n">
        <v>89884.788</v>
      </c>
      <c r="M1795" s="866" t="n">
        <v>2010</v>
      </c>
      <c r="N1795" s="866" t="n">
        <f aca="false">M1795/H1794</f>
        <v>134</v>
      </c>
      <c r="O1795" s="545" t="s">
        <v>491</v>
      </c>
      <c r="P1795" s="1978"/>
      <c r="Q1795" s="1978"/>
      <c r="R1795" s="1979"/>
    </row>
    <row r="1796" customFormat="false" ht="14.25" hidden="false" customHeight="false" outlineLevel="0" collapsed="false">
      <c r="A1796" s="1465"/>
      <c r="B1796" s="1546"/>
      <c r="C1796" s="1975"/>
      <c r="D1796" s="860" t="s">
        <v>6</v>
      </c>
      <c r="E1796" s="1480" t="s">
        <v>1652</v>
      </c>
      <c r="F1796" s="1328"/>
      <c r="G1796" s="1036"/>
      <c r="H1796" s="1036"/>
      <c r="I1796" s="1036"/>
      <c r="J1796" s="1528"/>
      <c r="K1796" s="1547"/>
      <c r="L1796" s="866" t="n">
        <v>104641.992</v>
      </c>
      <c r="M1796" s="866" t="n">
        <v>2340</v>
      </c>
      <c r="N1796" s="866" t="n">
        <f aca="false">M1796/H1794</f>
        <v>156</v>
      </c>
      <c r="O1796" s="545" t="s">
        <v>1187</v>
      </c>
      <c r="P1796" s="1978"/>
      <c r="Q1796" s="1978"/>
      <c r="R1796" s="1979"/>
    </row>
    <row r="1797" customFormat="false" ht="14.25" hidden="false" customHeight="false" outlineLevel="0" collapsed="false">
      <c r="A1797" s="1465"/>
      <c r="B1797" s="1546"/>
      <c r="C1797" s="1975"/>
      <c r="D1797" s="860" t="s">
        <v>6</v>
      </c>
      <c r="E1797" s="1480" t="s">
        <v>1652</v>
      </c>
      <c r="F1797" s="1328"/>
      <c r="G1797" s="1036"/>
      <c r="H1797" s="1036"/>
      <c r="I1797" s="1036"/>
      <c r="J1797" s="1528"/>
      <c r="K1797" s="1547"/>
      <c r="L1797" s="866" t="n">
        <v>107325.12</v>
      </c>
      <c r="M1797" s="866" t="n">
        <v>2400</v>
      </c>
      <c r="N1797" s="866" t="n">
        <f aca="false">M1797/H1794</f>
        <v>160</v>
      </c>
      <c r="O1797" s="545" t="s">
        <v>404</v>
      </c>
      <c r="P1797" s="1978"/>
      <c r="Q1797" s="1978"/>
      <c r="R1797" s="1979"/>
    </row>
    <row r="1798" customFormat="false" ht="14.25" hidden="false" customHeight="false" outlineLevel="0" collapsed="false">
      <c r="A1798" s="1465"/>
      <c r="B1798" s="1546"/>
      <c r="C1798" s="1975"/>
      <c r="D1798" s="860" t="s">
        <v>6</v>
      </c>
      <c r="E1798" s="1480" t="s">
        <v>1652</v>
      </c>
      <c r="F1798" s="1328"/>
      <c r="G1798" s="1036"/>
      <c r="H1798" s="1036"/>
      <c r="I1798" s="1036"/>
      <c r="J1798" s="1528"/>
      <c r="K1798" s="1547"/>
      <c r="L1798" s="866" t="n">
        <v>-104641.992</v>
      </c>
      <c r="M1798" s="866" t="n">
        <v>-2340</v>
      </c>
      <c r="N1798" s="866" t="n">
        <f aca="false">M1798/H1794</f>
        <v>-156</v>
      </c>
      <c r="O1798" s="545" t="s">
        <v>1634</v>
      </c>
      <c r="P1798" s="1978"/>
      <c r="Q1798" s="1978"/>
      <c r="R1798" s="1979"/>
    </row>
    <row r="1799" customFormat="false" ht="14.25" hidden="false" customHeight="false" outlineLevel="0" collapsed="false">
      <c r="A1799" s="1465"/>
      <c r="B1799" s="1546"/>
      <c r="C1799" s="1975"/>
      <c r="D1799" s="860" t="s">
        <v>6</v>
      </c>
      <c r="E1799" s="1480" t="s">
        <v>1652</v>
      </c>
      <c r="F1799" s="1328"/>
      <c r="G1799" s="1036"/>
      <c r="H1799" s="1036"/>
      <c r="I1799" s="1036"/>
      <c r="J1799" s="1528"/>
      <c r="K1799" s="1547"/>
      <c r="L1799" s="866" t="n">
        <v>2012.346</v>
      </c>
      <c r="M1799" s="866" t="n">
        <v>45</v>
      </c>
      <c r="N1799" s="866" t="n">
        <f aca="false">M1799/H1794</f>
        <v>3</v>
      </c>
      <c r="O1799" s="545" t="s">
        <v>499</v>
      </c>
      <c r="P1799" s="1978"/>
      <c r="Q1799" s="1978"/>
      <c r="R1799" s="1979"/>
    </row>
    <row r="1800" customFormat="false" ht="14.25" hidden="false" customHeight="false" outlineLevel="0" collapsed="false">
      <c r="A1800" s="1465"/>
      <c r="B1800" s="1546"/>
      <c r="C1800" s="1975"/>
      <c r="D1800" s="860" t="s">
        <v>6</v>
      </c>
      <c r="E1800" s="1480" t="s">
        <v>1652</v>
      </c>
      <c r="F1800" s="1328"/>
      <c r="G1800" s="1036"/>
      <c r="H1800" s="1036"/>
      <c r="I1800" s="1036"/>
      <c r="J1800" s="1528"/>
      <c r="K1800" s="1547"/>
      <c r="L1800" s="866" t="n">
        <v>36222.228</v>
      </c>
      <c r="M1800" s="866" t="n">
        <v>810</v>
      </c>
      <c r="N1800" s="866" t="n">
        <f aca="false">M1800/H1794</f>
        <v>54</v>
      </c>
      <c r="O1800" s="545" t="s">
        <v>490</v>
      </c>
      <c r="P1800" s="1978"/>
      <c r="Q1800" s="1978"/>
      <c r="R1800" s="1979"/>
    </row>
    <row r="1801" customFormat="false" ht="14.25" hidden="false" customHeight="false" outlineLevel="0" collapsed="false">
      <c r="A1801" s="1465"/>
      <c r="B1801" s="1546"/>
      <c r="C1801" s="1975"/>
      <c r="D1801" s="871" t="s">
        <v>6</v>
      </c>
      <c r="E1801" s="1478" t="s">
        <v>1652</v>
      </c>
      <c r="F1801" s="1328"/>
      <c r="G1801" s="1036"/>
      <c r="H1801" s="1036"/>
      <c r="I1801" s="1036"/>
      <c r="J1801" s="1528"/>
      <c r="K1801" s="1547"/>
      <c r="L1801" s="877" t="n">
        <v>7378.602</v>
      </c>
      <c r="M1801" s="877" t="n">
        <v>165</v>
      </c>
      <c r="N1801" s="877" t="n">
        <f aca="false">M1801/H1794</f>
        <v>11</v>
      </c>
      <c r="O1801" s="584" t="s">
        <v>444</v>
      </c>
      <c r="P1801" s="1978"/>
      <c r="Q1801" s="1978"/>
      <c r="R1801" s="1979"/>
    </row>
    <row r="1802" customFormat="false" ht="14.25" hidden="false" customHeight="false" outlineLevel="0" collapsed="false">
      <c r="A1802" s="829" t="n">
        <v>298</v>
      </c>
      <c r="B1802" s="830" t="n">
        <v>2024</v>
      </c>
      <c r="C1802" s="1965" t="n">
        <v>45870</v>
      </c>
      <c r="D1802" s="831" t="s">
        <v>6</v>
      </c>
      <c r="E1802" s="1365" t="s">
        <v>1651</v>
      </c>
      <c r="F1802" s="832" t="s">
        <v>3375</v>
      </c>
      <c r="G1802" s="837" t="n">
        <v>133</v>
      </c>
      <c r="H1802" s="837" t="n">
        <v>15</v>
      </c>
      <c r="I1802" s="837" t="n">
        <f aca="false">G1802*H1802</f>
        <v>1995</v>
      </c>
      <c r="J1802" s="1526" t="n">
        <v>30.1975</v>
      </c>
      <c r="K1802" s="943" t="n">
        <f aca="false">I1802*J1802</f>
        <v>60244.0125</v>
      </c>
      <c r="L1802" s="840" t="n">
        <v>13588.875</v>
      </c>
      <c r="M1802" s="840" t="n">
        <v>450</v>
      </c>
      <c r="N1802" s="840" t="n">
        <f aca="false">M1802/H1802</f>
        <v>30</v>
      </c>
      <c r="O1802" s="578" t="s">
        <v>392</v>
      </c>
      <c r="P1802" s="1934" t="n">
        <f aca="false">K1802-L1802-L1803</f>
        <v>-0.000499999994644895</v>
      </c>
      <c r="Q1802" s="1934" t="n">
        <f aca="false">I1802-M1802-M1803</f>
        <v>0</v>
      </c>
      <c r="R1802" s="1935" t="n">
        <f aca="false">G1802-N1802-N1803</f>
        <v>0</v>
      </c>
    </row>
    <row r="1803" customFormat="false" ht="14.25" hidden="false" customHeight="false" outlineLevel="0" collapsed="false">
      <c r="A1803" s="829"/>
      <c r="B1803" s="830"/>
      <c r="C1803" s="1965"/>
      <c r="D1803" s="843" t="s">
        <v>6</v>
      </c>
      <c r="E1803" s="1357" t="s">
        <v>1651</v>
      </c>
      <c r="F1803" s="832"/>
      <c r="G1803" s="837"/>
      <c r="H1803" s="837"/>
      <c r="I1803" s="837"/>
      <c r="J1803" s="1526"/>
      <c r="K1803" s="943"/>
      <c r="L1803" s="846" t="n">
        <v>46655.138</v>
      </c>
      <c r="M1803" s="846" t="n">
        <v>1545</v>
      </c>
      <c r="N1803" s="846" t="n">
        <f aca="false">M1803/H1802</f>
        <v>103</v>
      </c>
      <c r="O1803" s="1936" t="s">
        <v>485</v>
      </c>
      <c r="P1803" s="1934"/>
      <c r="Q1803" s="1934"/>
      <c r="R1803" s="1935"/>
    </row>
    <row r="1804" customFormat="false" ht="14.25" hidden="false" customHeight="false" outlineLevel="0" collapsed="false">
      <c r="A1804" s="1060" t="n">
        <v>299</v>
      </c>
      <c r="B1804" s="1072" t="n">
        <v>2024</v>
      </c>
      <c r="C1804" s="1980" t="n">
        <v>45870</v>
      </c>
      <c r="D1804" s="848" t="s">
        <v>6</v>
      </c>
      <c r="E1804" s="1479" t="s">
        <v>1651</v>
      </c>
      <c r="F1804" s="887" t="s">
        <v>3364</v>
      </c>
      <c r="G1804" s="1067" t="n">
        <v>605</v>
      </c>
      <c r="H1804" s="1067" t="n">
        <v>15</v>
      </c>
      <c r="I1804" s="1067" t="n">
        <f aca="false">G1804*H1804</f>
        <v>9075</v>
      </c>
      <c r="J1804" s="1522" t="n">
        <v>30.4049</v>
      </c>
      <c r="K1804" s="1452" t="n">
        <f aca="false">I1804*J1804</f>
        <v>275924.4675</v>
      </c>
      <c r="L1804" s="854" t="n">
        <v>31925.145</v>
      </c>
      <c r="M1804" s="854" t="n">
        <v>1050</v>
      </c>
      <c r="N1804" s="891" t="n">
        <f aca="false">M1804/H1804</f>
        <v>70</v>
      </c>
      <c r="O1804" s="580" t="s">
        <v>418</v>
      </c>
      <c r="P1804" s="1953" t="n">
        <f aca="false">K1804-L1804-L1809-L1808-L1805-L1806-L1807</f>
        <v>-0.000499999943713192</v>
      </c>
      <c r="Q1804" s="1953" t="n">
        <f aca="false">I1804-M1804-M1809-M1808-M1805-M1806-M1807</f>
        <v>0</v>
      </c>
      <c r="R1804" s="1954" t="n">
        <f aca="false">G1804-N1804-N1809-N1808-N1805-N1806-N1807</f>
        <v>0</v>
      </c>
    </row>
    <row r="1805" customFormat="false" ht="14.25" hidden="false" customHeight="false" outlineLevel="0" collapsed="false">
      <c r="A1805" s="1060"/>
      <c r="B1805" s="1072"/>
      <c r="C1805" s="1980"/>
      <c r="D1805" s="848" t="s">
        <v>6</v>
      </c>
      <c r="E1805" s="1479" t="s">
        <v>1651</v>
      </c>
      <c r="F1805" s="887"/>
      <c r="G1805" s="1067"/>
      <c r="H1805" s="1067"/>
      <c r="I1805" s="1067"/>
      <c r="J1805" s="1522"/>
      <c r="K1805" s="1452"/>
      <c r="L1805" s="854" t="n">
        <v>456.074</v>
      </c>
      <c r="M1805" s="854" t="n">
        <v>15</v>
      </c>
      <c r="N1805" s="866" t="n">
        <f aca="false">M1805/H1804</f>
        <v>1</v>
      </c>
      <c r="O1805" s="580" t="s">
        <v>471</v>
      </c>
      <c r="P1805" s="1953"/>
      <c r="Q1805" s="1953"/>
      <c r="R1805" s="1954"/>
    </row>
    <row r="1806" customFormat="false" ht="14.25" hidden="false" customHeight="false" outlineLevel="0" collapsed="false">
      <c r="A1806" s="1060"/>
      <c r="B1806" s="1072"/>
      <c r="C1806" s="1980"/>
      <c r="D1806" s="848" t="s">
        <v>6</v>
      </c>
      <c r="E1806" s="1479" t="s">
        <v>1651</v>
      </c>
      <c r="F1806" s="887"/>
      <c r="G1806" s="1067"/>
      <c r="H1806" s="1067"/>
      <c r="I1806" s="1067"/>
      <c r="J1806" s="1522"/>
      <c r="K1806" s="1452"/>
      <c r="L1806" s="854" t="n">
        <v>-41502.6885</v>
      </c>
      <c r="M1806" s="854" t="n">
        <v>-1365</v>
      </c>
      <c r="N1806" s="866" t="n">
        <f aca="false">M1806/H1804</f>
        <v>-91</v>
      </c>
      <c r="O1806" s="580" t="s">
        <v>1634</v>
      </c>
      <c r="P1806" s="1953"/>
      <c r="Q1806" s="1953"/>
      <c r="R1806" s="1954"/>
    </row>
    <row r="1807" customFormat="false" ht="14.25" hidden="false" customHeight="false" outlineLevel="0" collapsed="false">
      <c r="A1807" s="1060"/>
      <c r="B1807" s="1072"/>
      <c r="C1807" s="1980"/>
      <c r="D1807" s="848" t="s">
        <v>6</v>
      </c>
      <c r="E1807" s="1479" t="s">
        <v>1651</v>
      </c>
      <c r="F1807" s="887"/>
      <c r="G1807" s="1067"/>
      <c r="H1807" s="1067"/>
      <c r="I1807" s="1067"/>
      <c r="J1807" s="1522"/>
      <c r="K1807" s="1452"/>
      <c r="L1807" s="854" t="n">
        <v>41502.6885</v>
      </c>
      <c r="M1807" s="854" t="n">
        <v>1365</v>
      </c>
      <c r="N1807" s="866" t="n">
        <f aca="false">M1807/H1804</f>
        <v>91</v>
      </c>
      <c r="O1807" s="580" t="s">
        <v>1346</v>
      </c>
      <c r="P1807" s="1953"/>
      <c r="Q1807" s="1953"/>
      <c r="R1807" s="1954"/>
    </row>
    <row r="1808" customFormat="false" ht="14.25" hidden="false" customHeight="false" outlineLevel="0" collapsed="false">
      <c r="A1808" s="1060"/>
      <c r="B1808" s="1072"/>
      <c r="C1808" s="1980"/>
      <c r="D1808" s="860" t="s">
        <v>6</v>
      </c>
      <c r="E1808" s="1480" t="s">
        <v>1651</v>
      </c>
      <c r="F1808" s="887"/>
      <c r="G1808" s="1067"/>
      <c r="H1808" s="1067"/>
      <c r="I1808" s="1067"/>
      <c r="J1808" s="1522"/>
      <c r="K1808" s="1452"/>
      <c r="L1808" s="866" t="n">
        <v>152328.549</v>
      </c>
      <c r="M1808" s="866" t="n">
        <v>5010</v>
      </c>
      <c r="N1808" s="866" t="n">
        <f aca="false">M1808/H1804</f>
        <v>334</v>
      </c>
      <c r="O1808" s="545" t="s">
        <v>404</v>
      </c>
      <c r="P1808" s="1953"/>
      <c r="Q1808" s="1953"/>
      <c r="R1808" s="1954"/>
    </row>
    <row r="1809" customFormat="false" ht="14.25" hidden="false" customHeight="false" outlineLevel="0" collapsed="false">
      <c r="A1809" s="1060"/>
      <c r="B1809" s="1072"/>
      <c r="C1809" s="1980"/>
      <c r="D1809" s="887" t="s">
        <v>6</v>
      </c>
      <c r="E1809" s="1501" t="s">
        <v>1651</v>
      </c>
      <c r="F1809" s="887"/>
      <c r="G1809" s="1067"/>
      <c r="H1809" s="1067"/>
      <c r="I1809" s="1067"/>
      <c r="J1809" s="1522"/>
      <c r="K1809" s="1452"/>
      <c r="L1809" s="890" t="n">
        <v>91214.7</v>
      </c>
      <c r="M1809" s="890" t="n">
        <v>3000</v>
      </c>
      <c r="N1809" s="890" t="n">
        <f aca="false">M1809/H1804</f>
        <v>200</v>
      </c>
      <c r="O1809" s="1938" t="s">
        <v>413</v>
      </c>
      <c r="P1809" s="1953"/>
      <c r="Q1809" s="1953"/>
      <c r="R1809" s="1954"/>
    </row>
    <row r="1810" customFormat="false" ht="14.25" hidden="false" customHeight="false" outlineLevel="0" collapsed="false">
      <c r="A1810" s="1465" t="n">
        <v>331</v>
      </c>
      <c r="B1810" s="1546" t="n">
        <v>2024</v>
      </c>
      <c r="C1810" s="1975" t="n">
        <v>45901</v>
      </c>
      <c r="D1810" s="831" t="s">
        <v>6</v>
      </c>
      <c r="E1810" s="1365" t="s">
        <v>1651</v>
      </c>
      <c r="F1810" s="1328" t="s">
        <v>3375</v>
      </c>
      <c r="G1810" s="1036" t="n">
        <v>362</v>
      </c>
      <c r="H1810" s="1036" t="n">
        <v>15</v>
      </c>
      <c r="I1810" s="1036" t="n">
        <f aca="false">G1810*H1810</f>
        <v>5430</v>
      </c>
      <c r="J1810" s="1528" t="n">
        <v>32.5235</v>
      </c>
      <c r="K1810" s="1547" t="n">
        <f aca="false">I1810*J1810</f>
        <v>176602.605</v>
      </c>
      <c r="L1810" s="840" t="n">
        <v>80007.81</v>
      </c>
      <c r="M1810" s="840" t="n">
        <v>2460</v>
      </c>
      <c r="N1810" s="886" t="n">
        <f aca="false">M1810/H1810</f>
        <v>164</v>
      </c>
      <c r="O1810" s="578" t="s">
        <v>485</v>
      </c>
      <c r="P1810" s="1978" t="n">
        <f aca="false">K1810-L1810-L1816-L1815-L1811-L1814-L1812-L1813</f>
        <v>0.000499999976000254</v>
      </c>
      <c r="Q1810" s="1978" t="n">
        <f aca="false">I1810-M1810-M1816-M1815-M1811-M1814-M1812-M1813</f>
        <v>0</v>
      </c>
      <c r="R1810" s="1979" t="n">
        <f aca="false">G1810-N1810-N1816-N1815-N1811-N1814-N1812-N1813</f>
        <v>0</v>
      </c>
    </row>
    <row r="1811" customFormat="false" ht="14.25" hidden="false" customHeight="false" outlineLevel="0" collapsed="false">
      <c r="A1811" s="1465"/>
      <c r="B1811" s="1546"/>
      <c r="C1811" s="1975"/>
      <c r="D1811" s="848" t="s">
        <v>6</v>
      </c>
      <c r="E1811" s="1479" t="s">
        <v>1651</v>
      </c>
      <c r="F1811" s="1328"/>
      <c r="G1811" s="1036"/>
      <c r="H1811" s="1036"/>
      <c r="I1811" s="1036"/>
      <c r="J1811" s="1528"/>
      <c r="K1811" s="1547"/>
      <c r="L1811" s="854" t="n">
        <v>42443.1675</v>
      </c>
      <c r="M1811" s="854" t="n">
        <v>1305</v>
      </c>
      <c r="N1811" s="866" t="n">
        <f aca="false">M1811/H1810</f>
        <v>87</v>
      </c>
      <c r="O1811" s="580" t="s">
        <v>453</v>
      </c>
      <c r="P1811" s="1978"/>
      <c r="Q1811" s="1978"/>
      <c r="R1811" s="1979"/>
    </row>
    <row r="1812" customFormat="false" ht="14.25" hidden="false" customHeight="false" outlineLevel="0" collapsed="false">
      <c r="A1812" s="1465"/>
      <c r="B1812" s="1546"/>
      <c r="C1812" s="1975"/>
      <c r="D1812" s="848" t="s">
        <v>6</v>
      </c>
      <c r="E1812" s="1479" t="s">
        <v>1651</v>
      </c>
      <c r="F1812" s="1328"/>
      <c r="G1812" s="1036"/>
      <c r="H1812" s="1036"/>
      <c r="I1812" s="1036"/>
      <c r="J1812" s="1528"/>
      <c r="K1812" s="1547"/>
      <c r="L1812" s="854" t="n">
        <v>7805.64</v>
      </c>
      <c r="M1812" s="854" t="n">
        <v>240</v>
      </c>
      <c r="N1812" s="866" t="n">
        <f aca="false">M1812/H1810</f>
        <v>16</v>
      </c>
      <c r="O1812" s="580" t="s">
        <v>3408</v>
      </c>
      <c r="P1812" s="1978"/>
      <c r="Q1812" s="1978"/>
      <c r="R1812" s="1979"/>
    </row>
    <row r="1813" customFormat="false" ht="14.25" hidden="false" customHeight="false" outlineLevel="0" collapsed="false">
      <c r="A1813" s="1465"/>
      <c r="B1813" s="1546"/>
      <c r="C1813" s="1975"/>
      <c r="D1813" s="848" t="s">
        <v>6</v>
      </c>
      <c r="E1813" s="1479" t="s">
        <v>1651</v>
      </c>
      <c r="F1813" s="1328"/>
      <c r="G1813" s="1036"/>
      <c r="H1813" s="1036"/>
      <c r="I1813" s="1036"/>
      <c r="J1813" s="1528"/>
      <c r="K1813" s="1547"/>
      <c r="L1813" s="854" t="n">
        <v>3414.967</v>
      </c>
      <c r="M1813" s="854" t="n">
        <v>105</v>
      </c>
      <c r="N1813" s="866" t="n">
        <f aca="false">M1813/H1810</f>
        <v>7</v>
      </c>
      <c r="O1813" s="580" t="s">
        <v>876</v>
      </c>
      <c r="P1813" s="1978"/>
      <c r="Q1813" s="1978"/>
      <c r="R1813" s="1979"/>
    </row>
    <row r="1814" customFormat="false" ht="14.25" hidden="false" customHeight="false" outlineLevel="0" collapsed="false">
      <c r="A1814" s="1465"/>
      <c r="B1814" s="1546"/>
      <c r="C1814" s="1975"/>
      <c r="D1814" s="848" t="s">
        <v>6</v>
      </c>
      <c r="E1814" s="1479" t="s">
        <v>1651</v>
      </c>
      <c r="F1814" s="1328"/>
      <c r="G1814" s="1036"/>
      <c r="H1814" s="1036"/>
      <c r="I1814" s="1036"/>
      <c r="J1814" s="1528"/>
      <c r="K1814" s="1547"/>
      <c r="L1814" s="854" t="n">
        <v>3902.82</v>
      </c>
      <c r="M1814" s="854" t="n">
        <v>120</v>
      </c>
      <c r="N1814" s="866" t="n">
        <f aca="false">M1814/H1810</f>
        <v>8</v>
      </c>
      <c r="O1814" s="580" t="s">
        <v>3408</v>
      </c>
      <c r="P1814" s="1978"/>
      <c r="Q1814" s="1978"/>
      <c r="R1814" s="1979"/>
    </row>
    <row r="1815" customFormat="false" ht="14.25" hidden="false" customHeight="false" outlineLevel="0" collapsed="false">
      <c r="A1815" s="1465"/>
      <c r="B1815" s="1546"/>
      <c r="C1815" s="1975"/>
      <c r="D1815" s="860" t="s">
        <v>6</v>
      </c>
      <c r="E1815" s="1480" t="s">
        <v>1651</v>
      </c>
      <c r="F1815" s="1328"/>
      <c r="G1815" s="1036"/>
      <c r="H1815" s="1036"/>
      <c r="I1815" s="1036"/>
      <c r="J1815" s="1528"/>
      <c r="K1815" s="1547"/>
      <c r="L1815" s="866" t="n">
        <v>19514.1</v>
      </c>
      <c r="M1815" s="866" t="n">
        <v>600</v>
      </c>
      <c r="N1815" s="866" t="n">
        <f aca="false">M1815/H1810</f>
        <v>40</v>
      </c>
      <c r="O1815" s="545" t="s">
        <v>392</v>
      </c>
      <c r="P1815" s="1978"/>
      <c r="Q1815" s="1978"/>
      <c r="R1815" s="1979"/>
    </row>
    <row r="1816" customFormat="false" ht="14.25" hidden="false" customHeight="false" outlineLevel="0" collapsed="false">
      <c r="A1816" s="1465"/>
      <c r="B1816" s="1546"/>
      <c r="C1816" s="1975"/>
      <c r="D1816" s="904" t="s">
        <v>6</v>
      </c>
      <c r="E1816" s="1351" t="s">
        <v>1651</v>
      </c>
      <c r="F1816" s="1328"/>
      <c r="G1816" s="1036"/>
      <c r="H1816" s="1036"/>
      <c r="I1816" s="1036"/>
      <c r="J1816" s="1528"/>
      <c r="K1816" s="1547"/>
      <c r="L1816" s="891" t="n">
        <v>19514.1</v>
      </c>
      <c r="M1816" s="891" t="n">
        <v>600</v>
      </c>
      <c r="N1816" s="891" t="n">
        <f aca="false">M1816/H1810</f>
        <v>40</v>
      </c>
      <c r="O1816" s="1943" t="s">
        <v>485</v>
      </c>
      <c r="P1816" s="1978"/>
      <c r="Q1816" s="1978"/>
      <c r="R1816" s="1979"/>
    </row>
    <row r="1817" customFormat="false" ht="14.25" hidden="false" customHeight="false" outlineLevel="0" collapsed="false">
      <c r="A1817" s="829" t="n">
        <v>345</v>
      </c>
      <c r="B1817" s="830" t="n">
        <v>2024</v>
      </c>
      <c r="C1817" s="1965" t="n">
        <v>45901</v>
      </c>
      <c r="D1817" s="831" t="s">
        <v>6</v>
      </c>
      <c r="E1817" s="1365" t="s">
        <v>2131</v>
      </c>
      <c r="F1817" s="832" t="s">
        <v>3364</v>
      </c>
      <c r="G1817" s="837" t="n">
        <v>137</v>
      </c>
      <c r="H1817" s="837" t="n">
        <v>25</v>
      </c>
      <c r="I1817" s="837" t="n">
        <f aca="false">G1817*H1817</f>
        <v>3425</v>
      </c>
      <c r="J1817" s="1526" t="n">
        <v>62.3026</v>
      </c>
      <c r="K1817" s="943" t="n">
        <f aca="false">I1817*J1817</f>
        <v>213386.405</v>
      </c>
      <c r="L1817" s="886" t="n">
        <v>213386.405</v>
      </c>
      <c r="M1817" s="886" t="n">
        <v>3425</v>
      </c>
      <c r="N1817" s="886" t="n">
        <f aca="false">M1817/H1817</f>
        <v>137</v>
      </c>
      <c r="O1817" s="1595" t="s">
        <v>404</v>
      </c>
      <c r="P1817" s="1937" t="n">
        <f aca="false">K1817-L1817-L1820-L1819-L1818</f>
        <v>87223.64</v>
      </c>
      <c r="Q1817" s="1934" t="n">
        <f aca="false">I1817-M1817-M1820-M1819-M1818</f>
        <v>1400</v>
      </c>
      <c r="R1817" s="1935" t="n">
        <f aca="false">G1817-N1817-N1820-N1819-N1818</f>
        <v>56</v>
      </c>
    </row>
    <row r="1818" customFormat="false" ht="14.25" hidden="false" customHeight="false" outlineLevel="0" collapsed="false">
      <c r="A1818" s="829"/>
      <c r="B1818" s="830"/>
      <c r="C1818" s="1965"/>
      <c r="D1818" s="860" t="s">
        <v>6</v>
      </c>
      <c r="E1818" s="1480" t="s">
        <v>2131</v>
      </c>
      <c r="F1818" s="832"/>
      <c r="G1818" s="837"/>
      <c r="H1818" s="837"/>
      <c r="I1818" s="837"/>
      <c r="J1818" s="1526"/>
      <c r="K1818" s="943"/>
      <c r="L1818" s="866" t="n">
        <v>31151.3</v>
      </c>
      <c r="M1818" s="866" t="n">
        <v>500</v>
      </c>
      <c r="N1818" s="866" t="n">
        <f aca="false">M1818/H1817</f>
        <v>20</v>
      </c>
      <c r="O1818" s="545" t="s">
        <v>1350</v>
      </c>
      <c r="P1818" s="1937"/>
      <c r="Q1818" s="1934"/>
      <c r="R1818" s="1935"/>
    </row>
    <row r="1819" customFormat="false" ht="14.25" hidden="false" customHeight="false" outlineLevel="0" collapsed="false">
      <c r="A1819" s="829"/>
      <c r="B1819" s="830"/>
      <c r="C1819" s="1965"/>
      <c r="D1819" s="860" t="s">
        <v>6</v>
      </c>
      <c r="E1819" s="1480" t="s">
        <v>2131</v>
      </c>
      <c r="F1819" s="832"/>
      <c r="G1819" s="837"/>
      <c r="H1819" s="837"/>
      <c r="I1819" s="837"/>
      <c r="J1819" s="1526"/>
      <c r="K1819" s="943"/>
      <c r="L1819" s="866" t="n">
        <v>15575.65</v>
      </c>
      <c r="M1819" s="866" t="n">
        <v>250</v>
      </c>
      <c r="N1819" s="866" t="n">
        <f aca="false">M1819/H1817</f>
        <v>10</v>
      </c>
      <c r="O1819" s="545" t="s">
        <v>1349</v>
      </c>
      <c r="P1819" s="1937"/>
      <c r="Q1819" s="1934"/>
      <c r="R1819" s="1935"/>
    </row>
    <row r="1820" customFormat="false" ht="14.25" hidden="false" customHeight="false" outlineLevel="0" collapsed="false">
      <c r="A1820" s="829"/>
      <c r="B1820" s="830"/>
      <c r="C1820" s="1965"/>
      <c r="D1820" s="843" t="s">
        <v>6</v>
      </c>
      <c r="E1820" s="1357" t="s">
        <v>2131</v>
      </c>
      <c r="F1820" s="832"/>
      <c r="G1820" s="837"/>
      <c r="H1820" s="837"/>
      <c r="I1820" s="837"/>
      <c r="J1820" s="1526"/>
      <c r="K1820" s="943"/>
      <c r="L1820" s="846" t="n">
        <v>-133950.59</v>
      </c>
      <c r="M1820" s="846" t="n">
        <v>-2150</v>
      </c>
      <c r="N1820" s="846" t="n">
        <f aca="false">M1820/H1817</f>
        <v>-86</v>
      </c>
      <c r="O1820" s="1936" t="s">
        <v>1634</v>
      </c>
      <c r="P1820" s="1937"/>
      <c r="Q1820" s="1934"/>
      <c r="R1820" s="1935"/>
    </row>
    <row r="1821" customFormat="false" ht="14.25" hidden="false" customHeight="false" outlineLevel="0" collapsed="false">
      <c r="A1821" s="1344" t="n">
        <v>366</v>
      </c>
      <c r="B1821" s="903" t="n">
        <v>2024</v>
      </c>
      <c r="C1821" s="1974" t="n">
        <v>45901</v>
      </c>
      <c r="D1821" s="848" t="s">
        <v>6</v>
      </c>
      <c r="E1821" s="1479" t="s">
        <v>1651</v>
      </c>
      <c r="F1821" s="904" t="s">
        <v>3364</v>
      </c>
      <c r="G1821" s="942" t="n">
        <v>666</v>
      </c>
      <c r="H1821" s="942" t="n">
        <v>15</v>
      </c>
      <c r="I1821" s="942" t="n">
        <f aca="false">G1821*H1821</f>
        <v>9990</v>
      </c>
      <c r="J1821" s="1524" t="n">
        <v>32.5235</v>
      </c>
      <c r="K1821" s="948" t="n">
        <f aca="false">I1821*J1821</f>
        <v>324909.765</v>
      </c>
      <c r="L1821" s="891" t="n">
        <v>14635.575</v>
      </c>
      <c r="M1821" s="891" t="n">
        <v>450</v>
      </c>
      <c r="N1821" s="891" t="n">
        <f aca="false">M1821/H1821</f>
        <v>30</v>
      </c>
      <c r="O1821" s="1943" t="s">
        <v>486</v>
      </c>
      <c r="P1821" s="2000" t="n">
        <f aca="false">K1821-L1821-L1826-L1825-L1822-L1824-L1823</f>
        <v>5.27506927028298E-011</v>
      </c>
      <c r="Q1821" s="2000" t="n">
        <f aca="false">I1821-M1821-M1826-M1825-M1822-M1824-M1823</f>
        <v>0</v>
      </c>
      <c r="R1821" s="2005" t="n">
        <f aca="false">G1821-N1821-N1826-N1825-N1822-N1824-N1823</f>
        <v>0</v>
      </c>
    </row>
    <row r="1822" customFormat="false" ht="14.25" hidden="false" customHeight="false" outlineLevel="0" collapsed="false">
      <c r="A1822" s="1344"/>
      <c r="B1822" s="903"/>
      <c r="C1822" s="1974"/>
      <c r="D1822" s="860" t="s">
        <v>6</v>
      </c>
      <c r="E1822" s="1480" t="s">
        <v>1651</v>
      </c>
      <c r="F1822" s="904"/>
      <c r="G1822" s="942"/>
      <c r="H1822" s="942"/>
      <c r="I1822" s="942"/>
      <c r="J1822" s="1524"/>
      <c r="K1822" s="948"/>
      <c r="L1822" s="866" t="n">
        <v>162942.735</v>
      </c>
      <c r="M1822" s="866" t="n">
        <v>5010</v>
      </c>
      <c r="N1822" s="866" t="n">
        <f aca="false">M1822/H1821</f>
        <v>334</v>
      </c>
      <c r="O1822" s="545" t="s">
        <v>490</v>
      </c>
      <c r="P1822" s="2000"/>
      <c r="Q1822" s="2000"/>
      <c r="R1822" s="2005"/>
    </row>
    <row r="1823" customFormat="false" ht="14.25" hidden="false" customHeight="false" outlineLevel="0" collapsed="false">
      <c r="A1823" s="1344"/>
      <c r="B1823" s="903"/>
      <c r="C1823" s="1974"/>
      <c r="D1823" s="860" t="s">
        <v>6</v>
      </c>
      <c r="E1823" s="1480" t="s">
        <v>1651</v>
      </c>
      <c r="F1823" s="904"/>
      <c r="G1823" s="942"/>
      <c r="H1823" s="942"/>
      <c r="I1823" s="942"/>
      <c r="J1823" s="1524"/>
      <c r="K1823" s="948"/>
      <c r="L1823" s="866" t="n">
        <v>4878.525</v>
      </c>
      <c r="M1823" s="866" t="n">
        <v>150</v>
      </c>
      <c r="N1823" s="866" t="n">
        <f aca="false">M1823/H1821</f>
        <v>10</v>
      </c>
      <c r="O1823" s="545" t="s">
        <v>604</v>
      </c>
      <c r="P1823" s="2000"/>
      <c r="Q1823" s="2000"/>
      <c r="R1823" s="2005"/>
    </row>
    <row r="1824" customFormat="false" ht="14.25" hidden="false" customHeight="false" outlineLevel="0" collapsed="false">
      <c r="A1824" s="1344"/>
      <c r="B1824" s="903"/>
      <c r="C1824" s="1974"/>
      <c r="D1824" s="860" t="s">
        <v>6</v>
      </c>
      <c r="E1824" s="1480" t="s">
        <v>1651</v>
      </c>
      <c r="F1824" s="904"/>
      <c r="G1824" s="942"/>
      <c r="H1824" s="942"/>
      <c r="I1824" s="942"/>
      <c r="J1824" s="1524"/>
      <c r="K1824" s="948"/>
      <c r="L1824" s="866" t="n">
        <v>123914.535</v>
      </c>
      <c r="M1824" s="866" t="n">
        <v>3810</v>
      </c>
      <c r="N1824" s="866" t="n">
        <f aca="false">M1824/H1821</f>
        <v>254</v>
      </c>
      <c r="O1824" s="545" t="s">
        <v>404</v>
      </c>
      <c r="P1824" s="2000"/>
      <c r="Q1824" s="2000"/>
      <c r="R1824" s="2005"/>
    </row>
    <row r="1825" customFormat="false" ht="14.25" hidden="false" customHeight="false" outlineLevel="0" collapsed="false">
      <c r="A1825" s="1344"/>
      <c r="B1825" s="903"/>
      <c r="C1825" s="1974"/>
      <c r="D1825" s="860" t="s">
        <v>6</v>
      </c>
      <c r="E1825" s="1480" t="s">
        <v>1651</v>
      </c>
      <c r="F1825" s="904"/>
      <c r="G1825" s="942"/>
      <c r="H1825" s="942"/>
      <c r="I1825" s="942"/>
      <c r="J1825" s="1524"/>
      <c r="K1825" s="948"/>
      <c r="L1825" s="866" t="n">
        <v>1951.41</v>
      </c>
      <c r="M1825" s="866" t="n">
        <v>60</v>
      </c>
      <c r="N1825" s="866" t="n">
        <f aca="false">M1825/H1821</f>
        <v>4</v>
      </c>
      <c r="O1825" s="545" t="s">
        <v>487</v>
      </c>
      <c r="P1825" s="2000"/>
      <c r="Q1825" s="2000"/>
      <c r="R1825" s="2005"/>
    </row>
    <row r="1826" customFormat="false" ht="14.25" hidden="false" customHeight="false" outlineLevel="0" collapsed="false">
      <c r="A1826" s="1344"/>
      <c r="B1826" s="903"/>
      <c r="C1826" s="1974"/>
      <c r="D1826" s="871" t="s">
        <v>6</v>
      </c>
      <c r="E1826" s="1478" t="s">
        <v>1651</v>
      </c>
      <c r="F1826" s="904"/>
      <c r="G1826" s="942"/>
      <c r="H1826" s="942"/>
      <c r="I1826" s="942"/>
      <c r="J1826" s="1524"/>
      <c r="K1826" s="948"/>
      <c r="L1826" s="877" t="n">
        <v>16586.985</v>
      </c>
      <c r="M1826" s="877" t="n">
        <v>510</v>
      </c>
      <c r="N1826" s="891" t="n">
        <f aca="false">M1826/H1821</f>
        <v>34</v>
      </c>
      <c r="O1826" s="584" t="s">
        <v>471</v>
      </c>
      <c r="P1826" s="2000"/>
      <c r="Q1826" s="2000"/>
      <c r="R1826" s="2005"/>
    </row>
    <row r="1827" customFormat="false" ht="14.25" hidden="false" customHeight="false" outlineLevel="0" collapsed="false">
      <c r="A1827" s="829" t="n">
        <v>367</v>
      </c>
      <c r="B1827" s="830" t="n">
        <v>2024</v>
      </c>
      <c r="C1827" s="1965" t="n">
        <v>45901</v>
      </c>
      <c r="D1827" s="831" t="s">
        <v>6</v>
      </c>
      <c r="E1827" s="1365" t="s">
        <v>1651</v>
      </c>
      <c r="F1827" s="832" t="s">
        <v>3364</v>
      </c>
      <c r="G1827" s="837" t="n">
        <v>666</v>
      </c>
      <c r="H1827" s="837" t="n">
        <v>15</v>
      </c>
      <c r="I1827" s="837" t="n">
        <f aca="false">G1827*H1827</f>
        <v>9990</v>
      </c>
      <c r="J1827" s="1526" t="n">
        <v>32.5235</v>
      </c>
      <c r="K1827" s="943" t="n">
        <f aca="false">I1827*J1827</f>
        <v>324909.765</v>
      </c>
      <c r="L1827" s="886" t="n">
        <v>18050.5425</v>
      </c>
      <c r="M1827" s="886" t="n">
        <v>555</v>
      </c>
      <c r="N1827" s="886" t="n">
        <f aca="false">M1827/H1827</f>
        <v>37</v>
      </c>
      <c r="O1827" s="1595" t="s">
        <v>528</v>
      </c>
      <c r="P1827" s="1934" t="n">
        <f aca="false">K1827-L1827-L1835-L1834-L1828-L1829-L1833-L1830-L1832-L1831</f>
        <v>-0.000499999966450559</v>
      </c>
      <c r="Q1827" s="1934" t="n">
        <f aca="false">I1827-M1827-M1835-M1834-M1828-M1829-M1833-M1830-M1832-M1831</f>
        <v>0</v>
      </c>
      <c r="R1827" s="1935" t="n">
        <f aca="false">G1827-N1827-N1835-N1834-N1828-N1829-N1833-N1830-N1832-N1831</f>
        <v>0</v>
      </c>
    </row>
    <row r="1828" customFormat="false" ht="14.25" hidden="false" customHeight="false" outlineLevel="0" collapsed="false">
      <c r="A1828" s="829"/>
      <c r="B1828" s="830"/>
      <c r="C1828" s="1965"/>
      <c r="D1828" s="860" t="s">
        <v>6</v>
      </c>
      <c r="E1828" s="1480" t="s">
        <v>1651</v>
      </c>
      <c r="F1828" s="832"/>
      <c r="G1828" s="837"/>
      <c r="H1828" s="837"/>
      <c r="I1828" s="837"/>
      <c r="J1828" s="1526"/>
      <c r="K1828" s="943"/>
      <c r="L1828" s="866" t="n">
        <v>18050.5425</v>
      </c>
      <c r="M1828" s="866" t="n">
        <v>555</v>
      </c>
      <c r="N1828" s="866" t="n">
        <f aca="false">M1828/H1827</f>
        <v>37</v>
      </c>
      <c r="O1828" s="545" t="s">
        <v>535</v>
      </c>
      <c r="P1828" s="1934"/>
      <c r="Q1828" s="1934"/>
      <c r="R1828" s="1935"/>
    </row>
    <row r="1829" customFormat="false" ht="14.25" hidden="false" customHeight="false" outlineLevel="0" collapsed="false">
      <c r="A1829" s="829"/>
      <c r="B1829" s="830"/>
      <c r="C1829" s="1965"/>
      <c r="D1829" s="860" t="s">
        <v>6</v>
      </c>
      <c r="E1829" s="1480" t="s">
        <v>1651</v>
      </c>
      <c r="F1829" s="832"/>
      <c r="G1829" s="837"/>
      <c r="H1829" s="837"/>
      <c r="I1829" s="837"/>
      <c r="J1829" s="1526"/>
      <c r="K1829" s="943"/>
      <c r="L1829" s="866" t="n">
        <v>72690.0225</v>
      </c>
      <c r="M1829" s="866" t="n">
        <v>2235</v>
      </c>
      <c r="N1829" s="866" t="n">
        <f aca="false">M1829/H1827</f>
        <v>149</v>
      </c>
      <c r="O1829" s="545" t="s">
        <v>572</v>
      </c>
      <c r="P1829" s="1934"/>
      <c r="Q1829" s="1934"/>
      <c r="R1829" s="1935"/>
    </row>
    <row r="1830" customFormat="false" ht="14.25" hidden="false" customHeight="false" outlineLevel="0" collapsed="false">
      <c r="A1830" s="829"/>
      <c r="B1830" s="830"/>
      <c r="C1830" s="1965"/>
      <c r="D1830" s="860" t="s">
        <v>6</v>
      </c>
      <c r="E1830" s="1480" t="s">
        <v>1651</v>
      </c>
      <c r="F1830" s="832"/>
      <c r="G1830" s="837"/>
      <c r="H1830" s="837"/>
      <c r="I1830" s="837"/>
      <c r="J1830" s="1526"/>
      <c r="K1830" s="943"/>
      <c r="L1830" s="866" t="n">
        <v>21953.3625</v>
      </c>
      <c r="M1830" s="866" t="n">
        <v>675</v>
      </c>
      <c r="N1830" s="866" t="n">
        <f aca="false">M1830/H1827</f>
        <v>45</v>
      </c>
      <c r="O1830" s="545" t="s">
        <v>1251</v>
      </c>
      <c r="P1830" s="1934"/>
      <c r="Q1830" s="1934"/>
      <c r="R1830" s="1935"/>
    </row>
    <row r="1831" customFormat="false" ht="14.25" hidden="false" customHeight="false" outlineLevel="0" collapsed="false">
      <c r="A1831" s="829"/>
      <c r="B1831" s="830"/>
      <c r="C1831" s="1965"/>
      <c r="D1831" s="860" t="s">
        <v>6</v>
      </c>
      <c r="E1831" s="1480" t="s">
        <v>1651</v>
      </c>
      <c r="F1831" s="832"/>
      <c r="G1831" s="837"/>
      <c r="H1831" s="837"/>
      <c r="I1831" s="837"/>
      <c r="J1831" s="1526"/>
      <c r="K1831" s="943"/>
      <c r="L1831" s="866" t="n">
        <v>4390.673</v>
      </c>
      <c r="M1831" s="866" t="n">
        <v>135</v>
      </c>
      <c r="N1831" s="866" t="n">
        <f aca="false">M1831/H1827</f>
        <v>9</v>
      </c>
      <c r="O1831" s="545" t="s">
        <v>1375</v>
      </c>
      <c r="P1831" s="1934"/>
      <c r="Q1831" s="1934"/>
      <c r="R1831" s="1935"/>
    </row>
    <row r="1832" customFormat="false" ht="14.25" hidden="false" customHeight="false" outlineLevel="0" collapsed="false">
      <c r="A1832" s="829"/>
      <c r="B1832" s="830"/>
      <c r="C1832" s="1965"/>
      <c r="D1832" s="860" t="s">
        <v>6</v>
      </c>
      <c r="E1832" s="1480" t="s">
        <v>1651</v>
      </c>
      <c r="F1832" s="832"/>
      <c r="G1832" s="837"/>
      <c r="H1832" s="837"/>
      <c r="I1832" s="837"/>
      <c r="J1832" s="1526"/>
      <c r="K1832" s="943"/>
      <c r="L1832" s="866" t="n">
        <v>-3902.82</v>
      </c>
      <c r="M1832" s="866" t="n">
        <v>-120</v>
      </c>
      <c r="N1832" s="866" t="n">
        <f aca="false">M1832/H1827</f>
        <v>-8</v>
      </c>
      <c r="O1832" s="545" t="s">
        <v>1634</v>
      </c>
      <c r="P1832" s="1934"/>
      <c r="Q1832" s="1934"/>
      <c r="R1832" s="1935"/>
    </row>
    <row r="1833" customFormat="false" ht="14.25" hidden="false" customHeight="false" outlineLevel="0" collapsed="false">
      <c r="A1833" s="829"/>
      <c r="B1833" s="830"/>
      <c r="C1833" s="1965"/>
      <c r="D1833" s="860" t="s">
        <v>6</v>
      </c>
      <c r="E1833" s="1480" t="s">
        <v>1651</v>
      </c>
      <c r="F1833" s="832"/>
      <c r="G1833" s="837"/>
      <c r="H1833" s="837"/>
      <c r="I1833" s="837"/>
      <c r="J1833" s="1526"/>
      <c r="K1833" s="943"/>
      <c r="L1833" s="866" t="n">
        <v>487.8525</v>
      </c>
      <c r="M1833" s="866" t="n">
        <v>15</v>
      </c>
      <c r="N1833" s="866" t="n">
        <f aca="false">M1833/H1827</f>
        <v>1</v>
      </c>
      <c r="O1833" s="545" t="s">
        <v>604</v>
      </c>
      <c r="P1833" s="1934"/>
      <c r="Q1833" s="1934"/>
      <c r="R1833" s="1935"/>
    </row>
    <row r="1834" customFormat="false" ht="14.25" hidden="false" customHeight="false" outlineLevel="0" collapsed="false">
      <c r="A1834" s="829"/>
      <c r="B1834" s="830"/>
      <c r="C1834" s="1965"/>
      <c r="D1834" s="860" t="s">
        <v>6</v>
      </c>
      <c r="E1834" s="1480" t="s">
        <v>1651</v>
      </c>
      <c r="F1834" s="832"/>
      <c r="G1834" s="837"/>
      <c r="H1834" s="837"/>
      <c r="I1834" s="837"/>
      <c r="J1834" s="1526"/>
      <c r="K1834" s="943"/>
      <c r="L1834" s="866" t="n">
        <v>180993.2775</v>
      </c>
      <c r="M1834" s="866" t="n">
        <v>5565</v>
      </c>
      <c r="N1834" s="866" t="n">
        <f aca="false">M1834/H1827</f>
        <v>371</v>
      </c>
      <c r="O1834" s="545" t="s">
        <v>385</v>
      </c>
      <c r="P1834" s="1934"/>
      <c r="Q1834" s="1934"/>
      <c r="R1834" s="1935"/>
    </row>
    <row r="1835" customFormat="false" ht="14.25" hidden="false" customHeight="false" outlineLevel="0" collapsed="false">
      <c r="A1835" s="829"/>
      <c r="B1835" s="830"/>
      <c r="C1835" s="1965"/>
      <c r="D1835" s="843" t="s">
        <v>6</v>
      </c>
      <c r="E1835" s="1357" t="s">
        <v>1651</v>
      </c>
      <c r="F1835" s="832"/>
      <c r="G1835" s="837"/>
      <c r="H1835" s="837"/>
      <c r="I1835" s="837"/>
      <c r="J1835" s="1526"/>
      <c r="K1835" s="943"/>
      <c r="L1835" s="846" t="n">
        <v>12196.3125</v>
      </c>
      <c r="M1835" s="846" t="n">
        <v>375</v>
      </c>
      <c r="N1835" s="846" t="n">
        <f aca="false">M1835/H1827</f>
        <v>25</v>
      </c>
      <c r="O1835" s="1936" t="s">
        <v>585</v>
      </c>
      <c r="P1835" s="1934"/>
      <c r="Q1835" s="1934"/>
      <c r="R1835" s="1935"/>
    </row>
    <row r="1836" customFormat="false" ht="14.25" hidden="false" customHeight="false" outlineLevel="0" collapsed="false">
      <c r="A1836" s="1060" t="n">
        <v>368</v>
      </c>
      <c r="B1836" s="1072" t="n">
        <v>2024</v>
      </c>
      <c r="C1836" s="1980" t="n">
        <v>45901</v>
      </c>
      <c r="D1836" s="848" t="s">
        <v>6</v>
      </c>
      <c r="E1836" s="1479" t="s">
        <v>1651</v>
      </c>
      <c r="F1836" s="887" t="s">
        <v>3364</v>
      </c>
      <c r="G1836" s="1067" t="n">
        <v>103</v>
      </c>
      <c r="H1836" s="1067" t="n">
        <v>15</v>
      </c>
      <c r="I1836" s="1067" t="n">
        <f aca="false">G1836*H1836</f>
        <v>1545</v>
      </c>
      <c r="J1836" s="1522" t="n">
        <v>39.2387</v>
      </c>
      <c r="K1836" s="1452" t="n">
        <f aca="false">I1836*J1836</f>
        <v>60623.7915</v>
      </c>
      <c r="L1836" s="891" t="n">
        <v>2942.9025</v>
      </c>
      <c r="M1836" s="891" t="n">
        <v>75</v>
      </c>
      <c r="N1836" s="891" t="n">
        <f aca="false">M1836/H1836</f>
        <v>5</v>
      </c>
      <c r="O1836" s="1943" t="s">
        <v>478</v>
      </c>
      <c r="P1836" s="1953" t="n">
        <f aca="false">K1836-L1836-L1841-L1840-L1837-L1839-L1838</f>
        <v>-7.27595761418343E-012</v>
      </c>
      <c r="Q1836" s="1953" t="n">
        <f aca="false">I1836-M1836-M1841-M1840-M1837-M1839-M1838</f>
        <v>0</v>
      </c>
      <c r="R1836" s="1954" t="n">
        <f aca="false">G1836-N1836-N1841-N1840-N1837-N1839-N1838</f>
        <v>0</v>
      </c>
    </row>
    <row r="1837" customFormat="false" ht="14.25" hidden="false" customHeight="false" outlineLevel="0" collapsed="false">
      <c r="A1837" s="1060"/>
      <c r="B1837" s="1072"/>
      <c r="C1837" s="1980"/>
      <c r="D1837" s="848" t="s">
        <v>6</v>
      </c>
      <c r="E1837" s="1479" t="s">
        <v>1651</v>
      </c>
      <c r="F1837" s="887"/>
      <c r="G1837" s="1067"/>
      <c r="H1837" s="1067"/>
      <c r="I1837" s="1067"/>
      <c r="J1837" s="1522"/>
      <c r="K1837" s="1452"/>
      <c r="L1837" s="866" t="n">
        <v>34137.669</v>
      </c>
      <c r="M1837" s="866" t="n">
        <v>870</v>
      </c>
      <c r="N1837" s="866" t="n">
        <f aca="false">M1837/H1836</f>
        <v>58</v>
      </c>
      <c r="O1837" s="545" t="s">
        <v>484</v>
      </c>
      <c r="P1837" s="1953"/>
      <c r="Q1837" s="1953"/>
      <c r="R1837" s="1954"/>
    </row>
    <row r="1838" customFormat="false" ht="14.25" hidden="false" customHeight="false" outlineLevel="0" collapsed="false">
      <c r="A1838" s="1060"/>
      <c r="B1838" s="1072"/>
      <c r="C1838" s="1980"/>
      <c r="D1838" s="848" t="s">
        <v>6</v>
      </c>
      <c r="E1838" s="1479" t="s">
        <v>1651</v>
      </c>
      <c r="F1838" s="887"/>
      <c r="G1838" s="1067"/>
      <c r="H1838" s="1067"/>
      <c r="I1838" s="1067"/>
      <c r="J1838" s="1522"/>
      <c r="K1838" s="1452"/>
      <c r="L1838" s="866" t="n">
        <v>-5885.805</v>
      </c>
      <c r="M1838" s="866" t="n">
        <v>-150</v>
      </c>
      <c r="N1838" s="866" t="n">
        <f aca="false">M1838/H1836</f>
        <v>-10</v>
      </c>
      <c r="O1838" s="545" t="s">
        <v>1634</v>
      </c>
      <c r="P1838" s="1953"/>
      <c r="Q1838" s="1953"/>
      <c r="R1838" s="1954"/>
    </row>
    <row r="1839" customFormat="false" ht="14.25" hidden="false" customHeight="false" outlineLevel="0" collapsed="false">
      <c r="A1839" s="1060"/>
      <c r="B1839" s="1072"/>
      <c r="C1839" s="1980"/>
      <c r="D1839" s="848" t="s">
        <v>6</v>
      </c>
      <c r="E1839" s="1479" t="s">
        <v>1651</v>
      </c>
      <c r="F1839" s="887"/>
      <c r="G1839" s="1067"/>
      <c r="H1839" s="1067"/>
      <c r="I1839" s="1067"/>
      <c r="J1839" s="1522"/>
      <c r="K1839" s="1452"/>
      <c r="L1839" s="866" t="n">
        <v>5885.805</v>
      </c>
      <c r="M1839" s="866" t="n">
        <v>150</v>
      </c>
      <c r="N1839" s="866" t="n">
        <f aca="false">M1839/H1836</f>
        <v>10</v>
      </c>
      <c r="O1839" s="545" t="s">
        <v>486</v>
      </c>
      <c r="P1839" s="1953"/>
      <c r="Q1839" s="1953"/>
      <c r="R1839" s="1954"/>
    </row>
    <row r="1840" customFormat="false" ht="14.25" hidden="false" customHeight="false" outlineLevel="0" collapsed="false">
      <c r="A1840" s="1060"/>
      <c r="B1840" s="1072"/>
      <c r="C1840" s="1980"/>
      <c r="D1840" s="860" t="s">
        <v>6</v>
      </c>
      <c r="E1840" s="1480" t="s">
        <v>1651</v>
      </c>
      <c r="F1840" s="887"/>
      <c r="G1840" s="1067"/>
      <c r="H1840" s="1067"/>
      <c r="I1840" s="1067"/>
      <c r="J1840" s="1522"/>
      <c r="K1840" s="1452"/>
      <c r="L1840" s="866" t="n">
        <v>17657.415</v>
      </c>
      <c r="M1840" s="866" t="n">
        <v>450</v>
      </c>
      <c r="N1840" s="866" t="n">
        <f aca="false">M1840/H1836</f>
        <v>30</v>
      </c>
      <c r="O1840" s="545" t="s">
        <v>483</v>
      </c>
      <c r="P1840" s="1953"/>
      <c r="Q1840" s="1953"/>
      <c r="R1840" s="1954"/>
    </row>
    <row r="1841" customFormat="false" ht="14.25" hidden="false" customHeight="false" outlineLevel="0" collapsed="false">
      <c r="A1841" s="1060"/>
      <c r="B1841" s="1072"/>
      <c r="C1841" s="1980"/>
      <c r="D1841" s="887" t="s">
        <v>6</v>
      </c>
      <c r="E1841" s="1501" t="s">
        <v>1651</v>
      </c>
      <c r="F1841" s="887"/>
      <c r="G1841" s="1067"/>
      <c r="H1841" s="1067"/>
      <c r="I1841" s="1067"/>
      <c r="J1841" s="1522"/>
      <c r="K1841" s="1452"/>
      <c r="L1841" s="890" t="n">
        <v>5885.805</v>
      </c>
      <c r="M1841" s="890" t="n">
        <v>150</v>
      </c>
      <c r="N1841" s="890" t="n">
        <f aca="false">M1841/H1836</f>
        <v>10</v>
      </c>
      <c r="O1841" s="1938" t="s">
        <v>480</v>
      </c>
      <c r="P1841" s="1953"/>
      <c r="Q1841" s="1953"/>
      <c r="R1841" s="1954"/>
    </row>
    <row r="1842" customFormat="false" ht="14.25" hidden="false" customHeight="false" outlineLevel="0" collapsed="false">
      <c r="A1842" s="1027" t="n">
        <v>431</v>
      </c>
      <c r="B1842" s="1546" t="n">
        <v>2024</v>
      </c>
      <c r="C1842" s="1975" t="n">
        <v>45931</v>
      </c>
      <c r="D1842" s="831" t="s">
        <v>6</v>
      </c>
      <c r="E1842" s="1365" t="s">
        <v>1651</v>
      </c>
      <c r="F1842" s="1328" t="s">
        <v>3367</v>
      </c>
      <c r="G1842" s="1036" t="n">
        <v>513</v>
      </c>
      <c r="H1842" s="1036" t="n">
        <v>10</v>
      </c>
      <c r="I1842" s="1036" t="n">
        <f aca="false">G1842*H1842</f>
        <v>5130</v>
      </c>
      <c r="J1842" s="1528" t="n">
        <v>31.5465</v>
      </c>
      <c r="K1842" s="1547" t="n">
        <f aca="false">I1842*J1842</f>
        <v>161833.545</v>
      </c>
      <c r="L1842" s="840" t="n">
        <v>11987.67</v>
      </c>
      <c r="M1842" s="840" t="n">
        <v>380</v>
      </c>
      <c r="N1842" s="886" t="n">
        <f aca="false">M1842/H1842</f>
        <v>38</v>
      </c>
      <c r="O1842" s="578" t="s">
        <v>556</v>
      </c>
      <c r="P1842" s="1984" t="n">
        <f aca="false">K1842-L1842-L1847-L1846-L1843-L1844-L1845</f>
        <v>0</v>
      </c>
      <c r="Q1842" s="1978" t="n">
        <f aca="false">I1842-M1842-M1847-M1846-M1843-M1844-M1845</f>
        <v>0</v>
      </c>
      <c r="R1842" s="1979" t="n">
        <f aca="false">G1842-N1842-N1847-N1846-N1843-N1844-N1845</f>
        <v>0</v>
      </c>
    </row>
    <row r="1843" customFormat="false" ht="14.25" hidden="false" customHeight="false" outlineLevel="0" collapsed="false">
      <c r="A1843" s="1027"/>
      <c r="B1843" s="1546"/>
      <c r="C1843" s="1975"/>
      <c r="D1843" s="848" t="s">
        <v>6</v>
      </c>
      <c r="E1843" s="1479" t="s">
        <v>1651</v>
      </c>
      <c r="F1843" s="1328"/>
      <c r="G1843" s="1036"/>
      <c r="H1843" s="1036"/>
      <c r="I1843" s="1036"/>
      <c r="J1843" s="1528"/>
      <c r="K1843" s="1547"/>
      <c r="L1843" s="854" t="n">
        <v>9463.65</v>
      </c>
      <c r="M1843" s="854" t="n">
        <v>300</v>
      </c>
      <c r="N1843" s="866" t="n">
        <f aca="false">M1843/H1842</f>
        <v>30</v>
      </c>
      <c r="O1843" s="580" t="s">
        <v>561</v>
      </c>
      <c r="P1843" s="1984"/>
      <c r="Q1843" s="1978"/>
      <c r="R1843" s="1979"/>
    </row>
    <row r="1844" customFormat="false" ht="14.25" hidden="false" customHeight="false" outlineLevel="0" collapsed="false">
      <c r="A1844" s="1027"/>
      <c r="B1844" s="1546"/>
      <c r="C1844" s="1975"/>
      <c r="D1844" s="848" t="s">
        <v>6</v>
      </c>
      <c r="E1844" s="1479" t="s">
        <v>1651</v>
      </c>
      <c r="F1844" s="1328"/>
      <c r="G1844" s="1036"/>
      <c r="H1844" s="1036"/>
      <c r="I1844" s="1036"/>
      <c r="J1844" s="1528"/>
      <c r="K1844" s="1547"/>
      <c r="L1844" s="854" t="n">
        <v>31546.5</v>
      </c>
      <c r="M1844" s="854" t="n">
        <v>1000</v>
      </c>
      <c r="N1844" s="866" t="n">
        <f aca="false">M1844/H1842</f>
        <v>100</v>
      </c>
      <c r="O1844" s="580" t="s">
        <v>603</v>
      </c>
      <c r="P1844" s="1984"/>
      <c r="Q1844" s="1978"/>
      <c r="R1844" s="1979"/>
    </row>
    <row r="1845" customFormat="false" ht="14.25" hidden="false" customHeight="false" outlineLevel="0" collapsed="false">
      <c r="A1845" s="1027"/>
      <c r="B1845" s="1546"/>
      <c r="C1845" s="1975"/>
      <c r="D1845" s="848" t="s">
        <v>6</v>
      </c>
      <c r="E1845" s="1479" t="s">
        <v>1651</v>
      </c>
      <c r="F1845" s="1328"/>
      <c r="G1845" s="1036"/>
      <c r="H1845" s="1036"/>
      <c r="I1845" s="1036"/>
      <c r="J1845" s="1528"/>
      <c r="K1845" s="1547"/>
      <c r="L1845" s="854" t="n">
        <v>4732.275</v>
      </c>
      <c r="M1845" s="854" t="n">
        <v>150</v>
      </c>
      <c r="N1845" s="866" t="n">
        <f aca="false">M1845/H1842</f>
        <v>15</v>
      </c>
      <c r="O1845" s="580" t="s">
        <v>611</v>
      </c>
      <c r="P1845" s="1984"/>
      <c r="Q1845" s="1978"/>
      <c r="R1845" s="1979"/>
    </row>
    <row r="1846" customFormat="false" ht="14.25" hidden="false" customHeight="false" outlineLevel="0" collapsed="false">
      <c r="A1846" s="1027"/>
      <c r="B1846" s="1546"/>
      <c r="C1846" s="1975"/>
      <c r="D1846" s="860" t="s">
        <v>6</v>
      </c>
      <c r="E1846" s="1480" t="s">
        <v>1651</v>
      </c>
      <c r="F1846" s="1328"/>
      <c r="G1846" s="1036"/>
      <c r="H1846" s="1036"/>
      <c r="I1846" s="1036"/>
      <c r="J1846" s="1528"/>
      <c r="K1846" s="1547"/>
      <c r="L1846" s="866" t="n">
        <v>9463.95</v>
      </c>
      <c r="M1846" s="866" t="n">
        <v>300</v>
      </c>
      <c r="N1846" s="866" t="n">
        <f aca="false">M1846/H1842</f>
        <v>30</v>
      </c>
      <c r="O1846" s="545" t="s">
        <v>557</v>
      </c>
      <c r="P1846" s="1984"/>
      <c r="Q1846" s="1978"/>
      <c r="R1846" s="1979"/>
    </row>
    <row r="1847" customFormat="false" ht="14.25" hidden="false" customHeight="false" outlineLevel="0" collapsed="false">
      <c r="A1847" s="1027"/>
      <c r="B1847" s="1546"/>
      <c r="C1847" s="1975"/>
      <c r="D1847" s="904" t="s">
        <v>6</v>
      </c>
      <c r="E1847" s="1351" t="s">
        <v>1651</v>
      </c>
      <c r="F1847" s="1328"/>
      <c r="G1847" s="1036"/>
      <c r="H1847" s="1036"/>
      <c r="I1847" s="1036"/>
      <c r="J1847" s="1528"/>
      <c r="K1847" s="1547"/>
      <c r="L1847" s="891" t="n">
        <v>94639.5</v>
      </c>
      <c r="M1847" s="891" t="n">
        <v>3000</v>
      </c>
      <c r="N1847" s="891" t="n">
        <f aca="false">M1847/H1842</f>
        <v>300</v>
      </c>
      <c r="O1847" s="1943" t="s">
        <v>544</v>
      </c>
      <c r="P1847" s="1984"/>
      <c r="Q1847" s="1978"/>
      <c r="R1847" s="1979"/>
    </row>
    <row r="1848" customFormat="false" ht="14.25" hidden="false" customHeight="false" outlineLevel="0" collapsed="false">
      <c r="A1848" s="829" t="n">
        <v>432</v>
      </c>
      <c r="B1848" s="830" t="n">
        <v>2024</v>
      </c>
      <c r="C1848" s="1965" t="n">
        <v>45931</v>
      </c>
      <c r="D1848" s="831" t="s">
        <v>6</v>
      </c>
      <c r="E1848" s="1365" t="s">
        <v>1651</v>
      </c>
      <c r="F1848" s="832" t="s">
        <v>3375</v>
      </c>
      <c r="G1848" s="837" t="n">
        <v>457</v>
      </c>
      <c r="H1848" s="837" t="n">
        <v>15</v>
      </c>
      <c r="I1848" s="837" t="n">
        <f aca="false">G1848*H1848</f>
        <v>6855</v>
      </c>
      <c r="J1848" s="1526" t="n">
        <v>31.5465</v>
      </c>
      <c r="K1848" s="943" t="n">
        <f aca="false">I1848*J1848</f>
        <v>216251.2575</v>
      </c>
      <c r="L1848" s="840" t="n">
        <v>31704.2325</v>
      </c>
      <c r="M1848" s="840" t="n">
        <v>1005</v>
      </c>
      <c r="N1848" s="886" t="n">
        <f aca="false">M1848/H1848</f>
        <v>67</v>
      </c>
      <c r="O1848" s="578" t="s">
        <v>3522</v>
      </c>
      <c r="P1848" s="1948" t="n">
        <f aca="false">K1848-L1848-L1859-L1849-L1858-L1850-L1857-L1856-L1851-L1853-L1855-L1854-L1852</f>
        <v>0</v>
      </c>
      <c r="Q1848" s="1934" t="n">
        <f aca="false">I1848-M1848-M1859-M1849-M1858-M1850-M1857-M1856-M1851-M1853-M1855-M1854-M1852</f>
        <v>0</v>
      </c>
      <c r="R1848" s="1935" t="n">
        <f aca="false">G1848-N1848-N1859-N1849-N1858-N1850-N1857-N1856-N1851-N1853-N1855-N1854-N1852</f>
        <v>0</v>
      </c>
    </row>
    <row r="1849" customFormat="false" ht="14.25" hidden="false" customHeight="false" outlineLevel="0" collapsed="false">
      <c r="A1849" s="829"/>
      <c r="B1849" s="830"/>
      <c r="C1849" s="1965"/>
      <c r="D1849" s="860" t="s">
        <v>6</v>
      </c>
      <c r="E1849" s="1480" t="s">
        <v>1651</v>
      </c>
      <c r="F1849" s="832"/>
      <c r="G1849" s="837"/>
      <c r="H1849" s="837"/>
      <c r="I1849" s="837"/>
      <c r="J1849" s="1526"/>
      <c r="K1849" s="943"/>
      <c r="L1849" s="866" t="n">
        <v>25079.4675</v>
      </c>
      <c r="M1849" s="866" t="n">
        <v>795</v>
      </c>
      <c r="N1849" s="866" t="n">
        <f aca="false">M1849/H1848</f>
        <v>53</v>
      </c>
      <c r="O1849" s="545" t="s">
        <v>901</v>
      </c>
      <c r="P1849" s="1948"/>
      <c r="Q1849" s="1934"/>
      <c r="R1849" s="1935"/>
    </row>
    <row r="1850" customFormat="false" ht="14.25" hidden="false" customHeight="false" outlineLevel="0" collapsed="false">
      <c r="A1850" s="829"/>
      <c r="B1850" s="830"/>
      <c r="C1850" s="1965"/>
      <c r="D1850" s="860" t="s">
        <v>6</v>
      </c>
      <c r="E1850" s="1480" t="s">
        <v>1651</v>
      </c>
      <c r="F1850" s="832"/>
      <c r="G1850" s="837"/>
      <c r="H1850" s="837"/>
      <c r="I1850" s="837"/>
      <c r="J1850" s="1526"/>
      <c r="K1850" s="943"/>
      <c r="L1850" s="866" t="n">
        <v>9463.95</v>
      </c>
      <c r="M1850" s="866" t="n">
        <v>300</v>
      </c>
      <c r="N1850" s="866" t="n">
        <f aca="false">M1850/H1848</f>
        <v>20</v>
      </c>
      <c r="O1850" s="545" t="s">
        <v>892</v>
      </c>
      <c r="P1850" s="1948"/>
      <c r="Q1850" s="1934"/>
      <c r="R1850" s="1935"/>
    </row>
    <row r="1851" customFormat="false" ht="14.25" hidden="false" customHeight="false" outlineLevel="0" collapsed="false">
      <c r="A1851" s="829"/>
      <c r="B1851" s="830"/>
      <c r="C1851" s="1965"/>
      <c r="D1851" s="860" t="s">
        <v>6</v>
      </c>
      <c r="E1851" s="1480" t="s">
        <v>1651</v>
      </c>
      <c r="F1851" s="832"/>
      <c r="G1851" s="837"/>
      <c r="H1851" s="837"/>
      <c r="I1851" s="837"/>
      <c r="J1851" s="1526"/>
      <c r="K1851" s="943"/>
      <c r="L1851" s="866" t="n">
        <v>37855.8</v>
      </c>
      <c r="M1851" s="866" t="n">
        <v>1200</v>
      </c>
      <c r="N1851" s="866" t="n">
        <f aca="false">M1851/H1848</f>
        <v>80</v>
      </c>
      <c r="O1851" s="545" t="s">
        <v>877</v>
      </c>
      <c r="P1851" s="1948"/>
      <c r="Q1851" s="1934"/>
      <c r="R1851" s="1935"/>
    </row>
    <row r="1852" customFormat="false" ht="14.25" hidden="false" customHeight="false" outlineLevel="0" collapsed="false">
      <c r="A1852" s="829"/>
      <c r="B1852" s="830"/>
      <c r="C1852" s="1965"/>
      <c r="D1852" s="860" t="s">
        <v>6</v>
      </c>
      <c r="E1852" s="1480" t="s">
        <v>1651</v>
      </c>
      <c r="F1852" s="832"/>
      <c r="G1852" s="837"/>
      <c r="H1852" s="837"/>
      <c r="I1852" s="837"/>
      <c r="J1852" s="1526"/>
      <c r="K1852" s="943"/>
      <c r="L1852" s="866" t="n">
        <v>60569.28</v>
      </c>
      <c r="M1852" s="866" t="n">
        <v>1920</v>
      </c>
      <c r="N1852" s="866" t="n">
        <f aca="false">M1852/H1848</f>
        <v>128</v>
      </c>
      <c r="O1852" s="545" t="s">
        <v>721</v>
      </c>
      <c r="P1852" s="1948"/>
      <c r="Q1852" s="1934"/>
      <c r="R1852" s="1935"/>
    </row>
    <row r="1853" customFormat="false" ht="14.25" hidden="false" customHeight="false" outlineLevel="0" collapsed="false">
      <c r="A1853" s="829"/>
      <c r="B1853" s="830"/>
      <c r="C1853" s="1965"/>
      <c r="D1853" s="860" t="s">
        <v>6</v>
      </c>
      <c r="E1853" s="1480" t="s">
        <v>1651</v>
      </c>
      <c r="F1853" s="832"/>
      <c r="G1853" s="837"/>
      <c r="H1853" s="837"/>
      <c r="I1853" s="837"/>
      <c r="J1853" s="1526"/>
      <c r="K1853" s="943"/>
      <c r="L1853" s="866" t="n">
        <v>15615.5175</v>
      </c>
      <c r="M1853" s="866" t="n">
        <v>495</v>
      </c>
      <c r="N1853" s="866" t="n">
        <f aca="false">M1853/H1848</f>
        <v>33</v>
      </c>
      <c r="O1853" s="545" t="s">
        <v>876</v>
      </c>
      <c r="P1853" s="1948"/>
      <c r="Q1853" s="1934"/>
      <c r="R1853" s="1935"/>
    </row>
    <row r="1854" customFormat="false" ht="14.25" hidden="false" customHeight="false" outlineLevel="0" collapsed="false">
      <c r="A1854" s="829"/>
      <c r="B1854" s="830"/>
      <c r="C1854" s="1965"/>
      <c r="D1854" s="860" t="s">
        <v>6</v>
      </c>
      <c r="E1854" s="1480" t="s">
        <v>1651</v>
      </c>
      <c r="F1854" s="832"/>
      <c r="G1854" s="837"/>
      <c r="H1854" s="837"/>
      <c r="I1854" s="837"/>
      <c r="J1854" s="1526"/>
      <c r="K1854" s="943"/>
      <c r="L1854" s="866" t="n">
        <v>1892.79</v>
      </c>
      <c r="M1854" s="866" t="n">
        <v>60</v>
      </c>
      <c r="N1854" s="866" t="n">
        <f aca="false">M1854/H1848</f>
        <v>4</v>
      </c>
      <c r="O1854" s="545" t="s">
        <v>819</v>
      </c>
      <c r="P1854" s="1948"/>
      <c r="Q1854" s="1934"/>
      <c r="R1854" s="1935"/>
    </row>
    <row r="1855" customFormat="false" ht="14.25" hidden="false" customHeight="false" outlineLevel="0" collapsed="false">
      <c r="A1855" s="829"/>
      <c r="B1855" s="830"/>
      <c r="C1855" s="1965"/>
      <c r="D1855" s="860" t="s">
        <v>6</v>
      </c>
      <c r="E1855" s="1480" t="s">
        <v>1651</v>
      </c>
      <c r="F1855" s="832"/>
      <c r="G1855" s="837"/>
      <c r="H1855" s="837"/>
      <c r="I1855" s="837"/>
      <c r="J1855" s="1526"/>
      <c r="K1855" s="943"/>
      <c r="L1855" s="866" t="n">
        <v>946.395</v>
      </c>
      <c r="M1855" s="866" t="n">
        <v>30</v>
      </c>
      <c r="N1855" s="866" t="n">
        <f aca="false">M1855/H1848</f>
        <v>2</v>
      </c>
      <c r="O1855" s="545" t="s">
        <v>919</v>
      </c>
      <c r="P1855" s="1948"/>
      <c r="Q1855" s="1934"/>
      <c r="R1855" s="1935"/>
    </row>
    <row r="1856" customFormat="false" ht="14.25" hidden="false" customHeight="false" outlineLevel="0" collapsed="false">
      <c r="A1856" s="829"/>
      <c r="B1856" s="830"/>
      <c r="C1856" s="1965"/>
      <c r="D1856" s="860" t="s">
        <v>6</v>
      </c>
      <c r="E1856" s="1480" t="s">
        <v>1651</v>
      </c>
      <c r="F1856" s="832"/>
      <c r="G1856" s="837"/>
      <c r="H1856" s="837"/>
      <c r="I1856" s="837"/>
      <c r="J1856" s="1526"/>
      <c r="K1856" s="943"/>
      <c r="L1856" s="866" t="n">
        <v>21293.8875</v>
      </c>
      <c r="M1856" s="866" t="n">
        <v>675</v>
      </c>
      <c r="N1856" s="866" t="n">
        <f aca="false">M1856/H1848</f>
        <v>45</v>
      </c>
      <c r="O1856" s="545" t="s">
        <v>721</v>
      </c>
      <c r="P1856" s="1948"/>
      <c r="Q1856" s="1934"/>
      <c r="R1856" s="1935"/>
    </row>
    <row r="1857" customFormat="false" ht="14.25" hidden="false" customHeight="false" outlineLevel="0" collapsed="false">
      <c r="A1857" s="829"/>
      <c r="B1857" s="830"/>
      <c r="C1857" s="1965"/>
      <c r="D1857" s="860" t="s">
        <v>6</v>
      </c>
      <c r="E1857" s="1480" t="s">
        <v>1651</v>
      </c>
      <c r="F1857" s="832"/>
      <c r="G1857" s="837"/>
      <c r="H1857" s="837"/>
      <c r="I1857" s="837"/>
      <c r="J1857" s="1526"/>
      <c r="K1857" s="943"/>
      <c r="L1857" s="866" t="n">
        <v>8044.3575</v>
      </c>
      <c r="M1857" s="866" t="n">
        <v>255</v>
      </c>
      <c r="N1857" s="866" t="n">
        <f aca="false">M1857/H1848</f>
        <v>17</v>
      </c>
      <c r="O1857" s="545" t="s">
        <v>890</v>
      </c>
      <c r="P1857" s="1948"/>
      <c r="Q1857" s="1934"/>
      <c r="R1857" s="1935"/>
    </row>
    <row r="1858" customFormat="false" ht="14.25" hidden="false" customHeight="false" outlineLevel="0" collapsed="false">
      <c r="A1858" s="829"/>
      <c r="B1858" s="830"/>
      <c r="C1858" s="1965"/>
      <c r="D1858" s="860" t="s">
        <v>6</v>
      </c>
      <c r="E1858" s="1480" t="s">
        <v>1651</v>
      </c>
      <c r="F1858" s="832"/>
      <c r="G1858" s="837"/>
      <c r="H1858" s="837"/>
      <c r="I1858" s="837"/>
      <c r="J1858" s="1526"/>
      <c r="K1858" s="943"/>
      <c r="L1858" s="866" t="n">
        <v>2839.185</v>
      </c>
      <c r="M1858" s="866" t="n">
        <v>90</v>
      </c>
      <c r="N1858" s="866" t="n">
        <f aca="false">M1858/H1848</f>
        <v>6</v>
      </c>
      <c r="O1858" s="545" t="s">
        <v>3523</v>
      </c>
      <c r="P1858" s="1948"/>
      <c r="Q1858" s="1934"/>
      <c r="R1858" s="1935"/>
    </row>
    <row r="1859" customFormat="false" ht="14.25" hidden="false" customHeight="false" outlineLevel="0" collapsed="false">
      <c r="A1859" s="829"/>
      <c r="B1859" s="830"/>
      <c r="C1859" s="1965"/>
      <c r="D1859" s="843" t="s">
        <v>6</v>
      </c>
      <c r="E1859" s="1357" t="s">
        <v>1651</v>
      </c>
      <c r="F1859" s="832"/>
      <c r="G1859" s="837"/>
      <c r="H1859" s="837"/>
      <c r="I1859" s="837"/>
      <c r="J1859" s="1526"/>
      <c r="K1859" s="943"/>
      <c r="L1859" s="846" t="n">
        <v>946.395</v>
      </c>
      <c r="M1859" s="846" t="n">
        <v>30</v>
      </c>
      <c r="N1859" s="846" t="n">
        <f aca="false">M1859/H1848</f>
        <v>2</v>
      </c>
      <c r="O1859" s="1936" t="s">
        <v>3459</v>
      </c>
      <c r="P1859" s="1948"/>
      <c r="Q1859" s="1934"/>
      <c r="R1859" s="1935"/>
    </row>
    <row r="1860" customFormat="false" ht="14.25" hidden="false" customHeight="false" outlineLevel="0" collapsed="false">
      <c r="A1860" s="1087" t="n">
        <v>433</v>
      </c>
      <c r="B1860" s="1072" t="n">
        <v>2024</v>
      </c>
      <c r="C1860" s="1980" t="n">
        <v>45931</v>
      </c>
      <c r="D1860" s="848" t="s">
        <v>6</v>
      </c>
      <c r="E1860" s="1479" t="s">
        <v>1651</v>
      </c>
      <c r="F1860" s="887" t="s">
        <v>3364</v>
      </c>
      <c r="G1860" s="1067" t="n">
        <v>666</v>
      </c>
      <c r="H1860" s="1067" t="n">
        <v>15</v>
      </c>
      <c r="I1860" s="1067" t="n">
        <f aca="false">G1860*H1860</f>
        <v>9990</v>
      </c>
      <c r="J1860" s="1522" t="n">
        <v>31.5465</v>
      </c>
      <c r="K1860" s="1452" t="n">
        <f aca="false">I1860*J1860</f>
        <v>315149.535</v>
      </c>
      <c r="L1860" s="891" t="n">
        <v>8044.3575</v>
      </c>
      <c r="M1860" s="891" t="n">
        <v>255</v>
      </c>
      <c r="N1860" s="891" t="n">
        <f aca="false">M1860/H1860</f>
        <v>17</v>
      </c>
      <c r="O1860" s="1943" t="s">
        <v>570</v>
      </c>
      <c r="P1860" s="1953" t="n">
        <f aca="false">K1860-L1860-L1875-L1874-L1861-L1873-L1862-L1863-L1872-L1864-L1866-L1871-L1865-L1870-L1867-L1869-L1868</f>
        <v>5.82076609134674E-011</v>
      </c>
      <c r="Q1860" s="1953" t="n">
        <f aca="false">I1860-M1860-M1875-M1874-M1861-M1873-M1862-M1863-M1872-M1864-M1866-M1871-M1865-M1870-M1867-M1869-M1868</f>
        <v>0</v>
      </c>
      <c r="R1860" s="1954" t="n">
        <f aca="false">G1860-N1860-N1875-N1874-N1861-N1873-N1862-N1863-N1872-N1864-N1866-N1871-N1865-N1870-N1867-N1869-N1868</f>
        <v>0</v>
      </c>
    </row>
    <row r="1861" customFormat="false" ht="14.25" hidden="false" customHeight="false" outlineLevel="0" collapsed="false">
      <c r="A1861" s="1087"/>
      <c r="B1861" s="1072"/>
      <c r="C1861" s="1980"/>
      <c r="D1861" s="860" t="s">
        <v>6</v>
      </c>
      <c r="E1861" s="1480" t="s">
        <v>1651</v>
      </c>
      <c r="F1861" s="887"/>
      <c r="G1861" s="1067"/>
      <c r="H1861" s="1067"/>
      <c r="I1861" s="1067"/>
      <c r="J1861" s="1522"/>
      <c r="K1861" s="1452"/>
      <c r="L1861" s="866" t="n">
        <v>473.1975</v>
      </c>
      <c r="M1861" s="866" t="n">
        <v>15</v>
      </c>
      <c r="N1861" s="866" t="n">
        <f aca="false">M1861/H1860</f>
        <v>1</v>
      </c>
      <c r="O1861" s="545" t="s">
        <v>604</v>
      </c>
      <c r="P1861" s="1953"/>
      <c r="Q1861" s="1953"/>
      <c r="R1861" s="1954"/>
    </row>
    <row r="1862" customFormat="false" ht="14.25" hidden="false" customHeight="false" outlineLevel="0" collapsed="false">
      <c r="A1862" s="1087"/>
      <c r="B1862" s="1072"/>
      <c r="C1862" s="1980"/>
      <c r="D1862" s="860" t="s">
        <v>6</v>
      </c>
      <c r="E1862" s="1480" t="s">
        <v>1651</v>
      </c>
      <c r="F1862" s="887"/>
      <c r="G1862" s="1067"/>
      <c r="H1862" s="1067"/>
      <c r="I1862" s="1067"/>
      <c r="J1862" s="1522"/>
      <c r="K1862" s="1452"/>
      <c r="L1862" s="866" t="n">
        <v>946.395</v>
      </c>
      <c r="M1862" s="866" t="n">
        <v>30</v>
      </c>
      <c r="N1862" s="866" t="n">
        <f aca="false">M1862/H1860</f>
        <v>2</v>
      </c>
      <c r="O1862" s="545" t="s">
        <v>638</v>
      </c>
      <c r="P1862" s="1953"/>
      <c r="Q1862" s="1953"/>
      <c r="R1862" s="1954"/>
    </row>
    <row r="1863" customFormat="false" ht="14.25" hidden="false" customHeight="false" outlineLevel="0" collapsed="false">
      <c r="A1863" s="1087"/>
      <c r="B1863" s="1072"/>
      <c r="C1863" s="1980"/>
      <c r="D1863" s="860" t="s">
        <v>6</v>
      </c>
      <c r="E1863" s="1480" t="s">
        <v>1651</v>
      </c>
      <c r="F1863" s="887"/>
      <c r="G1863" s="1067"/>
      <c r="H1863" s="1067"/>
      <c r="I1863" s="1067"/>
      <c r="J1863" s="1522"/>
      <c r="K1863" s="1452"/>
      <c r="L1863" s="866" t="n">
        <v>94639.5</v>
      </c>
      <c r="M1863" s="866" t="n">
        <v>3000</v>
      </c>
      <c r="N1863" s="866" t="n">
        <f aca="false">M1863/H1860</f>
        <v>200</v>
      </c>
      <c r="O1863" s="545" t="s">
        <v>670</v>
      </c>
      <c r="P1863" s="1953"/>
      <c r="Q1863" s="1953"/>
      <c r="R1863" s="1954"/>
    </row>
    <row r="1864" customFormat="false" ht="14.25" hidden="false" customHeight="false" outlineLevel="0" collapsed="false">
      <c r="A1864" s="1087"/>
      <c r="B1864" s="1072"/>
      <c r="C1864" s="1980"/>
      <c r="D1864" s="860" t="s">
        <v>6</v>
      </c>
      <c r="E1864" s="1480" t="s">
        <v>1651</v>
      </c>
      <c r="F1864" s="887"/>
      <c r="G1864" s="1067"/>
      <c r="H1864" s="1067"/>
      <c r="I1864" s="1067"/>
      <c r="J1864" s="1522"/>
      <c r="K1864" s="1452"/>
      <c r="L1864" s="866" t="n">
        <v>2365.9875</v>
      </c>
      <c r="M1864" s="866" t="n">
        <v>75</v>
      </c>
      <c r="N1864" s="866" t="n">
        <f aca="false">M1864/H1860</f>
        <v>5</v>
      </c>
      <c r="O1864" s="545" t="s">
        <v>696</v>
      </c>
      <c r="P1864" s="1953"/>
      <c r="Q1864" s="1953"/>
      <c r="R1864" s="1954"/>
    </row>
    <row r="1865" customFormat="false" ht="14.25" hidden="false" customHeight="false" outlineLevel="0" collapsed="false">
      <c r="A1865" s="1087"/>
      <c r="B1865" s="1072"/>
      <c r="C1865" s="1980"/>
      <c r="D1865" s="860" t="s">
        <v>6</v>
      </c>
      <c r="E1865" s="1480" t="s">
        <v>1651</v>
      </c>
      <c r="F1865" s="887"/>
      <c r="G1865" s="1067"/>
      <c r="H1865" s="1067"/>
      <c r="I1865" s="1067"/>
      <c r="J1865" s="1522"/>
      <c r="K1865" s="1452"/>
      <c r="L1865" s="866" t="n">
        <v>18927.9</v>
      </c>
      <c r="M1865" s="866" t="n">
        <v>600</v>
      </c>
      <c r="N1865" s="866" t="n">
        <f aca="false">M1865/H1860</f>
        <v>40</v>
      </c>
      <c r="O1865" s="545" t="s">
        <v>755</v>
      </c>
      <c r="P1865" s="1953"/>
      <c r="Q1865" s="1953"/>
      <c r="R1865" s="1954"/>
    </row>
    <row r="1866" customFormat="false" ht="14.25" hidden="false" customHeight="false" outlineLevel="0" collapsed="false">
      <c r="A1866" s="1087"/>
      <c r="B1866" s="1072"/>
      <c r="C1866" s="1980"/>
      <c r="D1866" s="860" t="s">
        <v>6</v>
      </c>
      <c r="E1866" s="1480" t="s">
        <v>1651</v>
      </c>
      <c r="F1866" s="887"/>
      <c r="G1866" s="1067"/>
      <c r="H1866" s="1067"/>
      <c r="I1866" s="1067"/>
      <c r="J1866" s="1522"/>
      <c r="K1866" s="1452"/>
      <c r="L1866" s="866" t="n">
        <v>7571.16</v>
      </c>
      <c r="M1866" s="866" t="n">
        <v>240</v>
      </c>
      <c r="N1866" s="866" t="n">
        <f aca="false">M1866/H1860</f>
        <v>16</v>
      </c>
      <c r="O1866" s="545" t="s">
        <v>707</v>
      </c>
      <c r="P1866" s="1953"/>
      <c r="Q1866" s="1953"/>
      <c r="R1866" s="1954"/>
    </row>
    <row r="1867" customFormat="false" ht="14.25" hidden="false" customHeight="false" outlineLevel="0" collapsed="false">
      <c r="A1867" s="1087"/>
      <c r="B1867" s="1072"/>
      <c r="C1867" s="1980"/>
      <c r="D1867" s="860" t="s">
        <v>6</v>
      </c>
      <c r="E1867" s="1480" t="s">
        <v>1651</v>
      </c>
      <c r="F1867" s="887"/>
      <c r="G1867" s="1067"/>
      <c r="H1867" s="1067"/>
      <c r="I1867" s="1067"/>
      <c r="J1867" s="1522"/>
      <c r="K1867" s="1452"/>
      <c r="L1867" s="866" t="n">
        <v>5205.17</v>
      </c>
      <c r="M1867" s="866" t="n">
        <v>165</v>
      </c>
      <c r="N1867" s="866" t="n">
        <f aca="false">M1867/H1860</f>
        <v>11</v>
      </c>
      <c r="O1867" s="545" t="s">
        <v>796</v>
      </c>
      <c r="P1867" s="1953"/>
      <c r="Q1867" s="1953"/>
      <c r="R1867" s="1954"/>
    </row>
    <row r="1868" customFormat="false" ht="14.25" hidden="false" customHeight="false" outlineLevel="0" collapsed="false">
      <c r="A1868" s="1087"/>
      <c r="B1868" s="1072"/>
      <c r="C1868" s="1980"/>
      <c r="D1868" s="860" t="s">
        <v>6</v>
      </c>
      <c r="E1868" s="1480" t="s">
        <v>1651</v>
      </c>
      <c r="F1868" s="887"/>
      <c r="G1868" s="1067"/>
      <c r="H1868" s="1067"/>
      <c r="I1868" s="1067"/>
      <c r="J1868" s="1522"/>
      <c r="K1868" s="1452"/>
      <c r="L1868" s="866" t="n">
        <v>35489.815</v>
      </c>
      <c r="M1868" s="866" t="n">
        <v>1125</v>
      </c>
      <c r="N1868" s="866" t="n">
        <f aca="false">M1868/H1860</f>
        <v>75</v>
      </c>
      <c r="O1868" s="545" t="s">
        <v>1634</v>
      </c>
      <c r="P1868" s="1953"/>
      <c r="Q1868" s="1953"/>
      <c r="R1868" s="1954"/>
    </row>
    <row r="1869" customFormat="false" ht="14.25" hidden="false" customHeight="false" outlineLevel="0" collapsed="false">
      <c r="A1869" s="1087"/>
      <c r="B1869" s="1072"/>
      <c r="C1869" s="1980"/>
      <c r="D1869" s="860" t="s">
        <v>6</v>
      </c>
      <c r="E1869" s="1480" t="s">
        <v>1651</v>
      </c>
      <c r="F1869" s="887"/>
      <c r="G1869" s="1067"/>
      <c r="H1869" s="1067"/>
      <c r="I1869" s="1067"/>
      <c r="J1869" s="1522"/>
      <c r="K1869" s="1452"/>
      <c r="L1869" s="866" t="n">
        <v>15142.32</v>
      </c>
      <c r="M1869" s="866" t="n">
        <v>480</v>
      </c>
      <c r="N1869" s="866" t="n">
        <f aca="false">M1869/H1860</f>
        <v>32</v>
      </c>
      <c r="O1869" s="545" t="s">
        <v>1211</v>
      </c>
      <c r="P1869" s="1953"/>
      <c r="Q1869" s="1953"/>
      <c r="R1869" s="1954"/>
    </row>
    <row r="1870" customFormat="false" ht="14.25" hidden="false" customHeight="false" outlineLevel="0" collapsed="false">
      <c r="A1870" s="1087"/>
      <c r="B1870" s="1072"/>
      <c r="C1870" s="1980"/>
      <c r="D1870" s="860" t="s">
        <v>6</v>
      </c>
      <c r="E1870" s="1480" t="s">
        <v>1651</v>
      </c>
      <c r="F1870" s="887"/>
      <c r="G1870" s="1067"/>
      <c r="H1870" s="1067"/>
      <c r="I1870" s="1067"/>
      <c r="J1870" s="1522"/>
      <c r="K1870" s="1452"/>
      <c r="L1870" s="866" t="n">
        <v>28391.85</v>
      </c>
      <c r="M1870" s="866" t="n">
        <v>900</v>
      </c>
      <c r="N1870" s="866" t="n">
        <f aca="false">M1870/H1860</f>
        <v>60</v>
      </c>
      <c r="O1870" s="545" t="s">
        <v>787</v>
      </c>
      <c r="P1870" s="1953"/>
      <c r="Q1870" s="1953"/>
      <c r="R1870" s="1954"/>
    </row>
    <row r="1871" customFormat="false" ht="14.25" hidden="false" customHeight="false" outlineLevel="0" collapsed="false">
      <c r="A1871" s="1087"/>
      <c r="B1871" s="1072"/>
      <c r="C1871" s="1980"/>
      <c r="D1871" s="860" t="s">
        <v>6</v>
      </c>
      <c r="E1871" s="1480" t="s">
        <v>1651</v>
      </c>
      <c r="F1871" s="887"/>
      <c r="G1871" s="1067"/>
      <c r="H1871" s="1067"/>
      <c r="I1871" s="1067"/>
      <c r="J1871" s="1522"/>
      <c r="K1871" s="1452"/>
      <c r="L1871" s="866" t="n">
        <v>473.1975</v>
      </c>
      <c r="M1871" s="866" t="n">
        <v>15</v>
      </c>
      <c r="N1871" s="866" t="n">
        <f aca="false">M1871/H1860</f>
        <v>1</v>
      </c>
      <c r="O1871" s="545" t="s">
        <v>746</v>
      </c>
      <c r="P1871" s="1953"/>
      <c r="Q1871" s="1953"/>
      <c r="R1871" s="1954"/>
    </row>
    <row r="1872" customFormat="false" ht="14.25" hidden="false" customHeight="false" outlineLevel="0" collapsed="false">
      <c r="A1872" s="1087"/>
      <c r="B1872" s="1072"/>
      <c r="C1872" s="1980"/>
      <c r="D1872" s="860" t="s">
        <v>6</v>
      </c>
      <c r="E1872" s="1480" t="s">
        <v>1651</v>
      </c>
      <c r="F1872" s="887"/>
      <c r="G1872" s="1067"/>
      <c r="H1872" s="1067"/>
      <c r="I1872" s="1067"/>
      <c r="J1872" s="1522"/>
      <c r="K1872" s="1452"/>
      <c r="L1872" s="866" t="n">
        <v>36436.2075</v>
      </c>
      <c r="M1872" s="866" t="n">
        <v>1155</v>
      </c>
      <c r="N1872" s="866" t="n">
        <f aca="false">M1872/H1860</f>
        <v>77</v>
      </c>
      <c r="O1872" s="545" t="s">
        <v>707</v>
      </c>
      <c r="P1872" s="1953"/>
      <c r="Q1872" s="1953"/>
      <c r="R1872" s="1954"/>
    </row>
    <row r="1873" customFormat="false" ht="14.25" hidden="false" customHeight="false" outlineLevel="0" collapsed="false">
      <c r="A1873" s="1087"/>
      <c r="B1873" s="1072"/>
      <c r="C1873" s="1980"/>
      <c r="D1873" s="860" t="s">
        <v>6</v>
      </c>
      <c r="E1873" s="1480" t="s">
        <v>1651</v>
      </c>
      <c r="F1873" s="887"/>
      <c r="G1873" s="1067"/>
      <c r="H1873" s="1067"/>
      <c r="I1873" s="1067"/>
      <c r="J1873" s="1522"/>
      <c r="K1873" s="1452"/>
      <c r="L1873" s="866" t="n">
        <v>16088.715</v>
      </c>
      <c r="M1873" s="866" t="n">
        <v>510</v>
      </c>
      <c r="N1873" s="866" t="n">
        <f aca="false">M1873/H1860</f>
        <v>34</v>
      </c>
      <c r="O1873" s="545" t="s">
        <v>616</v>
      </c>
      <c r="P1873" s="1953"/>
      <c r="Q1873" s="1953"/>
      <c r="R1873" s="1954"/>
    </row>
    <row r="1874" customFormat="false" ht="14.25" hidden="false" customHeight="false" outlineLevel="0" collapsed="false">
      <c r="A1874" s="1087"/>
      <c r="B1874" s="1072"/>
      <c r="C1874" s="1980"/>
      <c r="D1874" s="860" t="s">
        <v>6</v>
      </c>
      <c r="E1874" s="1480" t="s">
        <v>1651</v>
      </c>
      <c r="F1874" s="887"/>
      <c r="G1874" s="1067"/>
      <c r="H1874" s="1067"/>
      <c r="I1874" s="1067"/>
      <c r="J1874" s="1522"/>
      <c r="K1874" s="1452"/>
      <c r="L1874" s="866" t="n">
        <v>16088.715</v>
      </c>
      <c r="M1874" s="866" t="n">
        <v>510</v>
      </c>
      <c r="N1874" s="866" t="n">
        <f aca="false">M1874/H1860</f>
        <v>34</v>
      </c>
      <c r="O1874" s="545" t="s">
        <v>582</v>
      </c>
      <c r="P1874" s="1953"/>
      <c r="Q1874" s="1953"/>
      <c r="R1874" s="1954"/>
    </row>
    <row r="1875" customFormat="false" ht="14.25" hidden="false" customHeight="false" outlineLevel="0" collapsed="false">
      <c r="A1875" s="1087"/>
      <c r="B1875" s="1072"/>
      <c r="C1875" s="1980"/>
      <c r="D1875" s="843" t="s">
        <v>6</v>
      </c>
      <c r="E1875" s="1357" t="s">
        <v>1651</v>
      </c>
      <c r="F1875" s="887"/>
      <c r="G1875" s="1067"/>
      <c r="H1875" s="1067"/>
      <c r="I1875" s="1067"/>
      <c r="J1875" s="1522"/>
      <c r="K1875" s="1452"/>
      <c r="L1875" s="846" t="n">
        <v>28865.0475</v>
      </c>
      <c r="M1875" s="846" t="n">
        <v>915</v>
      </c>
      <c r="N1875" s="890" t="n">
        <f aca="false">M1875/H1860</f>
        <v>61</v>
      </c>
      <c r="O1875" s="1936" t="s">
        <v>572</v>
      </c>
      <c r="P1875" s="1953"/>
      <c r="Q1875" s="1953"/>
      <c r="R1875" s="1954"/>
    </row>
    <row r="1876" customFormat="false" ht="14.25" hidden="false" customHeight="false" outlineLevel="0" collapsed="false">
      <c r="A1876" s="903" t="n">
        <v>434</v>
      </c>
      <c r="B1876" s="903" t="n">
        <v>2024</v>
      </c>
      <c r="C1876" s="1974" t="n">
        <v>45931</v>
      </c>
      <c r="D1876" s="904" t="s">
        <v>6</v>
      </c>
      <c r="E1876" s="1351" t="s">
        <v>1651</v>
      </c>
      <c r="F1876" s="904" t="s">
        <v>3364</v>
      </c>
      <c r="G1876" s="942" t="n">
        <v>90</v>
      </c>
      <c r="H1876" s="942" t="n">
        <v>15</v>
      </c>
      <c r="I1876" s="1355" t="n">
        <f aca="false">G1876*H1876</f>
        <v>1350</v>
      </c>
      <c r="J1876" s="1524" t="n">
        <v>17.6426</v>
      </c>
      <c r="K1876" s="1138" t="n">
        <f aca="false">I1876*J1876</f>
        <v>23817.51</v>
      </c>
      <c r="L1876" s="891" t="n">
        <v>23817.51</v>
      </c>
      <c r="M1876" s="891" t="n">
        <v>1350</v>
      </c>
      <c r="N1876" s="891" t="n">
        <f aca="false">M1876/H1876</f>
        <v>90</v>
      </c>
      <c r="O1876" s="1943" t="s">
        <v>572</v>
      </c>
      <c r="P1876" s="1947" t="n">
        <f aca="false">K1876-L1876</f>
        <v>0</v>
      </c>
      <c r="Q1876" s="1945" t="n">
        <f aca="false">I1876-M1876</f>
        <v>0</v>
      </c>
      <c r="R1876" s="1945" t="n">
        <f aca="false">G1876-N1876</f>
        <v>0</v>
      </c>
    </row>
    <row r="1877" customFormat="false" ht="14.25" hidden="false" customHeight="false" outlineLevel="0" collapsed="false">
      <c r="A1877" s="1027" t="n">
        <v>453</v>
      </c>
      <c r="B1877" s="1546" t="n">
        <v>2024</v>
      </c>
      <c r="C1877" s="1975" t="n">
        <v>45931</v>
      </c>
      <c r="D1877" s="831" t="s">
        <v>6</v>
      </c>
      <c r="E1877" s="1365" t="s">
        <v>2133</v>
      </c>
      <c r="F1877" s="1328" t="s">
        <v>3364</v>
      </c>
      <c r="G1877" s="1036" t="n">
        <v>66</v>
      </c>
      <c r="H1877" s="1036" t="n">
        <v>30</v>
      </c>
      <c r="I1877" s="1036" t="n">
        <f aca="false">G1877*H1877</f>
        <v>1980</v>
      </c>
      <c r="J1877" s="1528" t="n">
        <v>92.3409</v>
      </c>
      <c r="K1877" s="1547" t="n">
        <f aca="false">I1877*J1877</f>
        <v>182834.982</v>
      </c>
      <c r="L1877" s="840" t="n">
        <v>38783.178</v>
      </c>
      <c r="M1877" s="840" t="n">
        <v>420</v>
      </c>
      <c r="N1877" s="840" t="n">
        <f aca="false">M1877/H1877</f>
        <v>14</v>
      </c>
      <c r="O1877" s="578" t="s">
        <v>559</v>
      </c>
      <c r="P1877" s="1984" t="n">
        <f aca="false">K1877-L1877-L1878</f>
        <v>0</v>
      </c>
      <c r="Q1877" s="1978" t="n">
        <f aca="false">I1877-M1877-M1878</f>
        <v>0</v>
      </c>
      <c r="R1877" s="1979" t="n">
        <f aca="false">G1877-N1877-N1878</f>
        <v>0</v>
      </c>
    </row>
    <row r="1878" customFormat="false" ht="14.25" hidden="false" customHeight="false" outlineLevel="0" collapsed="false">
      <c r="A1878" s="1027"/>
      <c r="B1878" s="1546"/>
      <c r="C1878" s="1975"/>
      <c r="D1878" s="871" t="s">
        <v>6</v>
      </c>
      <c r="E1878" s="1478" t="s">
        <v>2133</v>
      </c>
      <c r="F1878" s="1328"/>
      <c r="G1878" s="1036"/>
      <c r="H1878" s="1036"/>
      <c r="I1878" s="1036"/>
      <c r="J1878" s="1528"/>
      <c r="K1878" s="1547"/>
      <c r="L1878" s="877" t="n">
        <v>144051.804</v>
      </c>
      <c r="M1878" s="877" t="n">
        <v>1560</v>
      </c>
      <c r="N1878" s="877" t="n">
        <f aca="false">M1878/H1877</f>
        <v>52</v>
      </c>
      <c r="O1878" s="584" t="s">
        <v>628</v>
      </c>
      <c r="P1878" s="1984"/>
      <c r="Q1878" s="1978"/>
      <c r="R1878" s="1979"/>
    </row>
    <row r="1879" customFormat="false" ht="14.25" hidden="false" customHeight="false" outlineLevel="0" collapsed="false">
      <c r="A1879" s="829" t="n">
        <v>464</v>
      </c>
      <c r="B1879" s="830" t="n">
        <v>2024</v>
      </c>
      <c r="C1879" s="1965" t="n">
        <v>45931</v>
      </c>
      <c r="D1879" s="831" t="s">
        <v>6</v>
      </c>
      <c r="E1879" s="1365" t="s">
        <v>2131</v>
      </c>
      <c r="F1879" s="832" t="s">
        <v>3364</v>
      </c>
      <c r="G1879" s="837" t="n">
        <v>131</v>
      </c>
      <c r="H1879" s="837" t="n">
        <v>25</v>
      </c>
      <c r="I1879" s="837" t="n">
        <f aca="false">G1879*H1879</f>
        <v>3275</v>
      </c>
      <c r="J1879" s="1526" t="n">
        <v>79.636</v>
      </c>
      <c r="K1879" s="943" t="n">
        <f aca="false">I1879*J1879</f>
        <v>260807.9</v>
      </c>
      <c r="L1879" s="886" t="n">
        <v>125426.7</v>
      </c>
      <c r="M1879" s="886" t="n">
        <v>1575</v>
      </c>
      <c r="N1879" s="886" t="n">
        <f aca="false">M1879/H1879</f>
        <v>63</v>
      </c>
      <c r="O1879" s="1595" t="s">
        <v>404</v>
      </c>
      <c r="P1879" s="1934" t="n">
        <f aca="false">K1879-L1879-L1887-L1886-L1880-L1881-L1885-L1882-L1884-L1883</f>
        <v>-2.27373675443232E-012</v>
      </c>
      <c r="Q1879" s="1934" t="n">
        <f aca="false">I1879-M1879-M1887-M1886-M1880-M1881-M1885-M1882-M1884-M1883</f>
        <v>0</v>
      </c>
      <c r="R1879" s="1935" t="n">
        <f aca="false">G1879-N1879-N1887-N1886-N1880-N1881-N1885-N1882-N1884-N1883</f>
        <v>0</v>
      </c>
    </row>
    <row r="1880" customFormat="false" ht="14.25" hidden="false" customHeight="false" outlineLevel="0" collapsed="false">
      <c r="A1880" s="829"/>
      <c r="B1880" s="830"/>
      <c r="C1880" s="1965"/>
      <c r="D1880" s="860" t="s">
        <v>6</v>
      </c>
      <c r="E1880" s="1480" t="s">
        <v>2131</v>
      </c>
      <c r="F1880" s="832"/>
      <c r="G1880" s="837"/>
      <c r="H1880" s="837"/>
      <c r="I1880" s="837"/>
      <c r="J1880" s="1526"/>
      <c r="K1880" s="943"/>
      <c r="L1880" s="866" t="n">
        <v>39818</v>
      </c>
      <c r="M1880" s="866" t="n">
        <v>500</v>
      </c>
      <c r="N1880" s="866" t="n">
        <f aca="false">M1880/H1879</f>
        <v>20</v>
      </c>
      <c r="O1880" s="545" t="s">
        <v>1274</v>
      </c>
      <c r="P1880" s="1934"/>
      <c r="Q1880" s="1934"/>
      <c r="R1880" s="1935"/>
    </row>
    <row r="1881" customFormat="false" ht="14.25" hidden="false" customHeight="false" outlineLevel="0" collapsed="false">
      <c r="A1881" s="829"/>
      <c r="B1881" s="830"/>
      <c r="C1881" s="1965"/>
      <c r="D1881" s="860" t="s">
        <v>6</v>
      </c>
      <c r="E1881" s="1480" t="s">
        <v>2131</v>
      </c>
      <c r="F1881" s="832"/>
      <c r="G1881" s="837"/>
      <c r="H1881" s="837"/>
      <c r="I1881" s="837"/>
      <c r="J1881" s="1526"/>
      <c r="K1881" s="943"/>
      <c r="L1881" s="866" t="n">
        <v>-19909</v>
      </c>
      <c r="M1881" s="866" t="n">
        <v>-250</v>
      </c>
      <c r="N1881" s="866" t="n">
        <f aca="false">M1881/H1879</f>
        <v>-10</v>
      </c>
      <c r="O1881" s="545" t="s">
        <v>1634</v>
      </c>
      <c r="P1881" s="1934"/>
      <c r="Q1881" s="1934"/>
      <c r="R1881" s="1935"/>
    </row>
    <row r="1882" customFormat="false" ht="14.25" hidden="false" customHeight="false" outlineLevel="0" collapsed="false">
      <c r="A1882" s="829"/>
      <c r="B1882" s="830"/>
      <c r="C1882" s="1965"/>
      <c r="D1882" s="860" t="s">
        <v>6</v>
      </c>
      <c r="E1882" s="1480" t="s">
        <v>2131</v>
      </c>
      <c r="F1882" s="832"/>
      <c r="G1882" s="837"/>
      <c r="H1882" s="837"/>
      <c r="I1882" s="837"/>
      <c r="J1882" s="1526"/>
      <c r="K1882" s="943"/>
      <c r="L1882" s="866" t="n">
        <v>15927.2</v>
      </c>
      <c r="M1882" s="866" t="n">
        <v>200</v>
      </c>
      <c r="N1882" s="866" t="n">
        <f aca="false">M1882/H1879</f>
        <v>8</v>
      </c>
      <c r="O1882" s="545" t="s">
        <v>1348</v>
      </c>
      <c r="P1882" s="1934"/>
      <c r="Q1882" s="1934"/>
      <c r="R1882" s="1935"/>
    </row>
    <row r="1883" customFormat="false" ht="14.25" hidden="false" customHeight="false" outlineLevel="0" collapsed="false">
      <c r="A1883" s="829"/>
      <c r="B1883" s="830"/>
      <c r="C1883" s="1965"/>
      <c r="D1883" s="860" t="s">
        <v>6</v>
      </c>
      <c r="E1883" s="1480" t="s">
        <v>2131</v>
      </c>
      <c r="F1883" s="832"/>
      <c r="G1883" s="837"/>
      <c r="H1883" s="837"/>
      <c r="I1883" s="837"/>
      <c r="J1883" s="1526"/>
      <c r="K1883" s="943"/>
      <c r="L1883" s="866" t="n">
        <v>1990.9</v>
      </c>
      <c r="M1883" s="866" t="n">
        <v>25</v>
      </c>
      <c r="N1883" s="866" t="n">
        <f aca="false">M1883/H1879</f>
        <v>1</v>
      </c>
      <c r="O1883" s="545" t="s">
        <v>1239</v>
      </c>
      <c r="P1883" s="1934"/>
      <c r="Q1883" s="1934"/>
      <c r="R1883" s="1935"/>
    </row>
    <row r="1884" customFormat="false" ht="14.25" hidden="false" customHeight="false" outlineLevel="0" collapsed="false">
      <c r="A1884" s="829"/>
      <c r="B1884" s="830"/>
      <c r="C1884" s="1965"/>
      <c r="D1884" s="860" t="s">
        <v>6</v>
      </c>
      <c r="E1884" s="1480" t="s">
        <v>2131</v>
      </c>
      <c r="F1884" s="832"/>
      <c r="G1884" s="837"/>
      <c r="H1884" s="837"/>
      <c r="I1884" s="837"/>
      <c r="J1884" s="1526"/>
      <c r="K1884" s="943"/>
      <c r="L1884" s="866" t="n">
        <v>19909</v>
      </c>
      <c r="M1884" s="866" t="n">
        <v>250</v>
      </c>
      <c r="N1884" s="866" t="n">
        <f aca="false">M1884/H1879</f>
        <v>10</v>
      </c>
      <c r="O1884" s="545" t="s">
        <v>1349</v>
      </c>
      <c r="P1884" s="1934"/>
      <c r="Q1884" s="1934"/>
      <c r="R1884" s="1935"/>
    </row>
    <row r="1885" customFormat="false" ht="14.25" hidden="false" customHeight="false" outlineLevel="0" collapsed="false">
      <c r="A1885" s="829"/>
      <c r="B1885" s="830"/>
      <c r="C1885" s="1965"/>
      <c r="D1885" s="860" t="s">
        <v>6</v>
      </c>
      <c r="E1885" s="1480" t="s">
        <v>2131</v>
      </c>
      <c r="F1885" s="832"/>
      <c r="G1885" s="837"/>
      <c r="H1885" s="837"/>
      <c r="I1885" s="837"/>
      <c r="J1885" s="1526"/>
      <c r="K1885" s="943"/>
      <c r="L1885" s="866" t="n">
        <v>31854.4</v>
      </c>
      <c r="M1885" s="866" t="n">
        <v>400</v>
      </c>
      <c r="N1885" s="866" t="n">
        <f aca="false">M1885/H1879</f>
        <v>16</v>
      </c>
      <c r="O1885" s="545" t="s">
        <v>1347</v>
      </c>
      <c r="P1885" s="1934"/>
      <c r="Q1885" s="1934"/>
      <c r="R1885" s="1935"/>
    </row>
    <row r="1886" customFormat="false" ht="14.25" hidden="false" customHeight="false" outlineLevel="0" collapsed="false">
      <c r="A1886" s="829"/>
      <c r="B1886" s="830"/>
      <c r="C1886" s="1965"/>
      <c r="D1886" s="860" t="s">
        <v>6</v>
      </c>
      <c r="E1886" s="1480" t="s">
        <v>2131</v>
      </c>
      <c r="F1886" s="832"/>
      <c r="G1886" s="837"/>
      <c r="H1886" s="837"/>
      <c r="I1886" s="837"/>
      <c r="J1886" s="1526"/>
      <c r="K1886" s="943"/>
      <c r="L1886" s="866" t="n">
        <v>7963.6</v>
      </c>
      <c r="M1886" s="866" t="n">
        <v>100</v>
      </c>
      <c r="N1886" s="866" t="n">
        <f aca="false">M1886/H1879</f>
        <v>4</v>
      </c>
      <c r="O1886" s="545" t="s">
        <v>1239</v>
      </c>
      <c r="P1886" s="1934"/>
      <c r="Q1886" s="1934"/>
      <c r="R1886" s="1935"/>
    </row>
    <row r="1887" customFormat="false" ht="14.25" hidden="false" customHeight="false" outlineLevel="0" collapsed="false">
      <c r="A1887" s="829"/>
      <c r="B1887" s="830"/>
      <c r="C1887" s="1965"/>
      <c r="D1887" s="843" t="s">
        <v>6</v>
      </c>
      <c r="E1887" s="1357" t="s">
        <v>2131</v>
      </c>
      <c r="F1887" s="832"/>
      <c r="G1887" s="837"/>
      <c r="H1887" s="837"/>
      <c r="I1887" s="837"/>
      <c r="J1887" s="1526"/>
      <c r="K1887" s="943"/>
      <c r="L1887" s="846" t="n">
        <v>37827.1</v>
      </c>
      <c r="M1887" s="846" t="n">
        <v>475</v>
      </c>
      <c r="N1887" s="846" t="n">
        <f aca="false">M1887/H1879</f>
        <v>19</v>
      </c>
      <c r="O1887" s="1936" t="s">
        <v>790</v>
      </c>
      <c r="P1887" s="1934"/>
      <c r="Q1887" s="1934"/>
      <c r="R1887" s="1935"/>
    </row>
    <row r="1888" customFormat="false" ht="14.25" hidden="false" customHeight="false" outlineLevel="0" collapsed="false">
      <c r="A1888" s="1344" t="n">
        <v>477</v>
      </c>
      <c r="B1888" s="903" t="n">
        <v>2024</v>
      </c>
      <c r="C1888" s="1974" t="n">
        <v>45931</v>
      </c>
      <c r="D1888" s="904" t="s">
        <v>6</v>
      </c>
      <c r="E1888" s="1351" t="s">
        <v>1652</v>
      </c>
      <c r="F1888" s="904" t="s">
        <v>3364</v>
      </c>
      <c r="G1888" s="942" t="n">
        <v>666</v>
      </c>
      <c r="H1888" s="942" t="n">
        <v>15</v>
      </c>
      <c r="I1888" s="942" t="n">
        <f aca="false">G1888*H1888</f>
        <v>9990</v>
      </c>
      <c r="J1888" s="1524" t="n">
        <v>49.2588</v>
      </c>
      <c r="K1888" s="948" t="n">
        <f aca="false">I1888*J1888</f>
        <v>492095.412</v>
      </c>
      <c r="L1888" s="891" t="n">
        <v>139648.698</v>
      </c>
      <c r="M1888" s="891" t="n">
        <v>2835</v>
      </c>
      <c r="N1888" s="891" t="n">
        <f aca="false">M1888/H1888</f>
        <v>189</v>
      </c>
      <c r="O1888" s="1943" t="s">
        <v>585</v>
      </c>
      <c r="P1888" s="2000" t="n">
        <f aca="false">K1888-L1888-L1898-L1897-L1889-L1890-L1896-L1895-L1891-L1894-L1892-L1893</f>
        <v>-1.45519152283669E-011</v>
      </c>
      <c r="Q1888" s="2000" t="n">
        <f aca="false">I1888-M1888-M1898-M1897-M1889-M1890-M1896-M1895-M1891-M1894-M1892-M1893</f>
        <v>0</v>
      </c>
      <c r="R1888" s="2005" t="n">
        <f aca="false">G1888-N1888-N1898-N1897-N1889-N1890-N1896-N1895-N1891-N1894-N1892-N1893</f>
        <v>0</v>
      </c>
    </row>
    <row r="1889" customFormat="false" ht="14.25" hidden="false" customHeight="false" outlineLevel="0" collapsed="false">
      <c r="A1889" s="1344"/>
      <c r="B1889" s="903"/>
      <c r="C1889" s="1974"/>
      <c r="D1889" s="860" t="s">
        <v>6</v>
      </c>
      <c r="E1889" s="1480" t="s">
        <v>1652</v>
      </c>
      <c r="F1889" s="904"/>
      <c r="G1889" s="942"/>
      <c r="H1889" s="942"/>
      <c r="I1889" s="942"/>
      <c r="J1889" s="1524"/>
      <c r="K1889" s="948"/>
      <c r="L1889" s="866" t="n">
        <v>7388.82</v>
      </c>
      <c r="M1889" s="866" t="n">
        <v>150</v>
      </c>
      <c r="N1889" s="866" t="n">
        <f aca="false">M1889/H1888</f>
        <v>10</v>
      </c>
      <c r="O1889" s="545" t="s">
        <v>595</v>
      </c>
      <c r="P1889" s="2000"/>
      <c r="Q1889" s="2000"/>
      <c r="R1889" s="2005"/>
    </row>
    <row r="1890" customFormat="false" ht="14.25" hidden="false" customHeight="false" outlineLevel="0" collapsed="false">
      <c r="A1890" s="1344"/>
      <c r="B1890" s="903"/>
      <c r="C1890" s="1974"/>
      <c r="D1890" s="860" t="s">
        <v>6</v>
      </c>
      <c r="E1890" s="1480" t="s">
        <v>1652</v>
      </c>
      <c r="F1890" s="904"/>
      <c r="G1890" s="942"/>
      <c r="H1890" s="942"/>
      <c r="I1890" s="942"/>
      <c r="J1890" s="1524"/>
      <c r="K1890" s="948"/>
      <c r="L1890" s="866" t="n">
        <v>73888.2</v>
      </c>
      <c r="M1890" s="866" t="n">
        <v>1500</v>
      </c>
      <c r="N1890" s="866" t="n">
        <f aca="false">M1890/H1888</f>
        <v>100</v>
      </c>
      <c r="O1890" s="545" t="s">
        <v>600</v>
      </c>
      <c r="P1890" s="2000"/>
      <c r="Q1890" s="2000"/>
      <c r="R1890" s="2005"/>
    </row>
    <row r="1891" customFormat="false" ht="14.25" hidden="false" customHeight="false" outlineLevel="0" collapsed="false">
      <c r="A1891" s="1344"/>
      <c r="B1891" s="903"/>
      <c r="C1891" s="1974"/>
      <c r="D1891" s="860" t="s">
        <v>6</v>
      </c>
      <c r="E1891" s="1480" t="s">
        <v>1652</v>
      </c>
      <c r="F1891" s="904"/>
      <c r="G1891" s="942"/>
      <c r="H1891" s="942"/>
      <c r="I1891" s="942"/>
      <c r="J1891" s="1524"/>
      <c r="K1891" s="948"/>
      <c r="L1891" s="866" t="n">
        <v>90882.486</v>
      </c>
      <c r="M1891" s="866" t="n">
        <v>1845</v>
      </c>
      <c r="N1891" s="866" t="n">
        <f aca="false">M1891/H1888</f>
        <v>123</v>
      </c>
      <c r="O1891" s="545" t="s">
        <v>654</v>
      </c>
      <c r="P1891" s="2000"/>
      <c r="Q1891" s="2000"/>
      <c r="R1891" s="2005"/>
    </row>
    <row r="1892" customFormat="false" ht="14.25" hidden="false" customHeight="false" outlineLevel="0" collapsed="false">
      <c r="A1892" s="1344"/>
      <c r="B1892" s="903"/>
      <c r="C1892" s="1974"/>
      <c r="D1892" s="860" t="s">
        <v>6</v>
      </c>
      <c r="E1892" s="1480" t="s">
        <v>1652</v>
      </c>
      <c r="F1892" s="904"/>
      <c r="G1892" s="942"/>
      <c r="H1892" s="942"/>
      <c r="I1892" s="942"/>
      <c r="J1892" s="1524"/>
      <c r="K1892" s="948"/>
      <c r="L1892" s="866" t="n">
        <v>3694.41</v>
      </c>
      <c r="M1892" s="866" t="n">
        <v>75</v>
      </c>
      <c r="N1892" s="866" t="n">
        <f aca="false">M1892/H1888</f>
        <v>5</v>
      </c>
      <c r="O1892" s="545" t="s">
        <v>1187</v>
      </c>
      <c r="P1892" s="2000"/>
      <c r="Q1892" s="2000"/>
      <c r="R1892" s="2005"/>
    </row>
    <row r="1893" customFormat="false" ht="14.25" hidden="false" customHeight="false" outlineLevel="0" collapsed="false">
      <c r="A1893" s="1344"/>
      <c r="B1893" s="903"/>
      <c r="C1893" s="1974"/>
      <c r="D1893" s="860" t="s">
        <v>6</v>
      </c>
      <c r="E1893" s="1480" t="s">
        <v>1652</v>
      </c>
      <c r="F1893" s="904"/>
      <c r="G1893" s="942"/>
      <c r="H1893" s="942"/>
      <c r="I1893" s="942"/>
      <c r="J1893" s="1524"/>
      <c r="K1893" s="948"/>
      <c r="L1893" s="866" t="n">
        <v>-3694.41</v>
      </c>
      <c r="M1893" s="866" t="n">
        <v>-75</v>
      </c>
      <c r="N1893" s="866" t="n">
        <f aca="false">M1893/H1888</f>
        <v>-5</v>
      </c>
      <c r="O1893" s="545" t="s">
        <v>1634</v>
      </c>
      <c r="P1893" s="2000"/>
      <c r="Q1893" s="2000"/>
      <c r="R1893" s="2005"/>
    </row>
    <row r="1894" customFormat="false" ht="14.25" hidden="false" customHeight="false" outlineLevel="0" collapsed="false">
      <c r="A1894" s="1344"/>
      <c r="B1894" s="903"/>
      <c r="C1894" s="1974"/>
      <c r="D1894" s="860" t="s">
        <v>6</v>
      </c>
      <c r="E1894" s="1480" t="s">
        <v>1652</v>
      </c>
      <c r="F1894" s="904"/>
      <c r="G1894" s="942"/>
      <c r="H1894" s="942"/>
      <c r="I1894" s="942"/>
      <c r="J1894" s="1524"/>
      <c r="K1894" s="948"/>
      <c r="L1894" s="866" t="n">
        <v>98271.306</v>
      </c>
      <c r="M1894" s="866" t="n">
        <v>1995</v>
      </c>
      <c r="N1894" s="866" t="n">
        <f aca="false">M1894/H1888</f>
        <v>133</v>
      </c>
      <c r="O1894" s="545" t="s">
        <v>404</v>
      </c>
      <c r="P1894" s="2000"/>
      <c r="Q1894" s="2000"/>
      <c r="R1894" s="2005"/>
    </row>
    <row r="1895" customFormat="false" ht="14.25" hidden="false" customHeight="false" outlineLevel="0" collapsed="false">
      <c r="A1895" s="1344"/>
      <c r="B1895" s="903"/>
      <c r="C1895" s="1974"/>
      <c r="D1895" s="860" t="s">
        <v>6</v>
      </c>
      <c r="E1895" s="1480" t="s">
        <v>1652</v>
      </c>
      <c r="F1895" s="904"/>
      <c r="G1895" s="942"/>
      <c r="H1895" s="942"/>
      <c r="I1895" s="942"/>
      <c r="J1895" s="1524"/>
      <c r="K1895" s="948"/>
      <c r="L1895" s="866" t="n">
        <v>64282.734</v>
      </c>
      <c r="M1895" s="866" t="n">
        <v>1305</v>
      </c>
      <c r="N1895" s="866" t="n">
        <f aca="false">M1895/H1888</f>
        <v>87</v>
      </c>
      <c r="O1895" s="545" t="s">
        <v>650</v>
      </c>
      <c r="P1895" s="2000"/>
      <c r="Q1895" s="2000"/>
      <c r="R1895" s="2005"/>
    </row>
    <row r="1896" customFormat="false" ht="14.25" hidden="false" customHeight="false" outlineLevel="0" collapsed="false">
      <c r="A1896" s="1344"/>
      <c r="B1896" s="903"/>
      <c r="C1896" s="1974"/>
      <c r="D1896" s="860" t="s">
        <v>6</v>
      </c>
      <c r="E1896" s="1480" t="s">
        <v>1652</v>
      </c>
      <c r="F1896" s="904"/>
      <c r="G1896" s="942"/>
      <c r="H1896" s="942"/>
      <c r="I1896" s="942"/>
      <c r="J1896" s="1524"/>
      <c r="K1896" s="948"/>
      <c r="L1896" s="866" t="n">
        <v>738.882</v>
      </c>
      <c r="M1896" s="866" t="n">
        <v>15</v>
      </c>
      <c r="N1896" s="866" t="n">
        <f aca="false">M1896/H1888</f>
        <v>1</v>
      </c>
      <c r="O1896" s="545" t="s">
        <v>645</v>
      </c>
      <c r="P1896" s="2000"/>
      <c r="Q1896" s="2000"/>
      <c r="R1896" s="2005"/>
    </row>
    <row r="1897" customFormat="false" ht="14.25" hidden="false" customHeight="false" outlineLevel="0" collapsed="false">
      <c r="A1897" s="1344"/>
      <c r="B1897" s="903"/>
      <c r="C1897" s="1974"/>
      <c r="D1897" s="860" t="s">
        <v>6</v>
      </c>
      <c r="E1897" s="1480" t="s">
        <v>1652</v>
      </c>
      <c r="F1897" s="904"/>
      <c r="G1897" s="942"/>
      <c r="H1897" s="942"/>
      <c r="I1897" s="942"/>
      <c r="J1897" s="1524"/>
      <c r="K1897" s="948"/>
      <c r="L1897" s="866" t="n">
        <v>12560.994</v>
      </c>
      <c r="M1897" s="866" t="n">
        <v>255</v>
      </c>
      <c r="N1897" s="866" t="n">
        <f aca="false">M1897/H1888</f>
        <v>17</v>
      </c>
      <c r="O1897" s="545" t="s">
        <v>591</v>
      </c>
      <c r="P1897" s="2000"/>
      <c r="Q1897" s="2000"/>
      <c r="R1897" s="2005"/>
    </row>
    <row r="1898" customFormat="false" ht="14.25" hidden="false" customHeight="false" outlineLevel="0" collapsed="false">
      <c r="A1898" s="1344"/>
      <c r="B1898" s="903"/>
      <c r="C1898" s="1974"/>
      <c r="D1898" s="904" t="s">
        <v>6</v>
      </c>
      <c r="E1898" s="1351" t="s">
        <v>1652</v>
      </c>
      <c r="F1898" s="904"/>
      <c r="G1898" s="942"/>
      <c r="H1898" s="942"/>
      <c r="I1898" s="942"/>
      <c r="J1898" s="1524"/>
      <c r="K1898" s="948"/>
      <c r="L1898" s="891" t="n">
        <v>4433.292</v>
      </c>
      <c r="M1898" s="891" t="n">
        <v>90</v>
      </c>
      <c r="N1898" s="891" t="n">
        <f aca="false">M1898/H1888</f>
        <v>6</v>
      </c>
      <c r="O1898" s="1943" t="s">
        <v>587</v>
      </c>
      <c r="P1898" s="2000"/>
      <c r="Q1898" s="2000"/>
      <c r="R1898" s="2005"/>
    </row>
    <row r="1899" customFormat="false" ht="14.25" hidden="false" customHeight="false" outlineLevel="0" collapsed="false">
      <c r="A1899" s="882" t="n">
        <v>478</v>
      </c>
      <c r="B1899" s="830" t="n">
        <v>2024</v>
      </c>
      <c r="C1899" s="1965" t="n">
        <v>45931</v>
      </c>
      <c r="D1899" s="831" t="s">
        <v>6</v>
      </c>
      <c r="E1899" s="1365" t="s">
        <v>1652</v>
      </c>
      <c r="F1899" s="832" t="s">
        <v>3364</v>
      </c>
      <c r="G1899" s="837" t="n">
        <v>500</v>
      </c>
      <c r="H1899" s="837" t="n">
        <v>15</v>
      </c>
      <c r="I1899" s="837" t="n">
        <f aca="false">G1899*H1899</f>
        <v>7500</v>
      </c>
      <c r="J1899" s="1526" t="n">
        <v>49.5871</v>
      </c>
      <c r="K1899" s="943" t="n">
        <f aca="false">I1899*J1899</f>
        <v>371903.25</v>
      </c>
      <c r="L1899" s="886" t="n">
        <v>29008.4535</v>
      </c>
      <c r="M1899" s="886" t="n">
        <v>585</v>
      </c>
      <c r="N1899" s="886" t="n">
        <f aca="false">M1899/H1899</f>
        <v>39</v>
      </c>
      <c r="O1899" s="1595" t="s">
        <v>404</v>
      </c>
      <c r="P1899" s="1948" t="n">
        <f aca="false">K1899-L1899-L1905-L1904-L1900-L1901-L1903-L1902</f>
        <v>0</v>
      </c>
      <c r="Q1899" s="1934" t="n">
        <f aca="false">I1899-M1899-M1905-M1904-M1900-M1901-M1903-M1902</f>
        <v>0</v>
      </c>
      <c r="R1899" s="1935" t="n">
        <f aca="false">G1899-N1899-N1905-N1904-N1900-N1901-N1903-N1902</f>
        <v>0</v>
      </c>
    </row>
    <row r="1900" customFormat="false" ht="14.25" hidden="false" customHeight="false" outlineLevel="0" collapsed="false">
      <c r="A1900" s="882"/>
      <c r="B1900" s="830"/>
      <c r="C1900" s="1965"/>
      <c r="D1900" s="860" t="s">
        <v>6</v>
      </c>
      <c r="E1900" s="1480" t="s">
        <v>1652</v>
      </c>
      <c r="F1900" s="832"/>
      <c r="G1900" s="837"/>
      <c r="H1900" s="837"/>
      <c r="I1900" s="837"/>
      <c r="J1900" s="1526"/>
      <c r="K1900" s="943"/>
      <c r="L1900" s="866" t="n">
        <v>3719.0325</v>
      </c>
      <c r="M1900" s="866" t="n">
        <v>75</v>
      </c>
      <c r="N1900" s="866" t="n">
        <f aca="false">M1900/H1899</f>
        <v>5</v>
      </c>
      <c r="O1900" s="545" t="s">
        <v>1174</v>
      </c>
      <c r="P1900" s="1948"/>
      <c r="Q1900" s="1934"/>
      <c r="R1900" s="1935"/>
    </row>
    <row r="1901" customFormat="false" ht="14.25" hidden="false" customHeight="false" outlineLevel="0" collapsed="false">
      <c r="A1901" s="882"/>
      <c r="B1901" s="830"/>
      <c r="C1901" s="1965"/>
      <c r="D1901" s="860" t="s">
        <v>6</v>
      </c>
      <c r="E1901" s="1480" t="s">
        <v>1652</v>
      </c>
      <c r="F1901" s="832"/>
      <c r="G1901" s="837"/>
      <c r="H1901" s="837"/>
      <c r="I1901" s="837"/>
      <c r="J1901" s="1526"/>
      <c r="K1901" s="943"/>
      <c r="L1901" s="866" t="n">
        <v>177769.7535</v>
      </c>
      <c r="M1901" s="866" t="n">
        <v>3585</v>
      </c>
      <c r="N1901" s="866" t="n">
        <f aca="false">M1901/H1899</f>
        <v>239</v>
      </c>
      <c r="O1901" s="545" t="s">
        <v>1187</v>
      </c>
      <c r="P1901" s="1948"/>
      <c r="Q1901" s="1934"/>
      <c r="R1901" s="1935"/>
    </row>
    <row r="1902" customFormat="false" ht="14.25" hidden="false" customHeight="false" outlineLevel="0" collapsed="false">
      <c r="A1902" s="882"/>
      <c r="B1902" s="830"/>
      <c r="C1902" s="1965"/>
      <c r="D1902" s="860" t="s">
        <v>6</v>
      </c>
      <c r="E1902" s="1480" t="s">
        <v>1652</v>
      </c>
      <c r="F1902" s="832"/>
      <c r="G1902" s="837"/>
      <c r="H1902" s="837"/>
      <c r="I1902" s="837"/>
      <c r="J1902" s="1526"/>
      <c r="K1902" s="943"/>
      <c r="L1902" s="866" t="n">
        <v>105620.523</v>
      </c>
      <c r="M1902" s="866" t="n">
        <v>2130</v>
      </c>
      <c r="N1902" s="866" t="n">
        <f aca="false">M1902/H1899</f>
        <v>142</v>
      </c>
      <c r="O1902" s="545" t="s">
        <v>1634</v>
      </c>
      <c r="P1902" s="1948"/>
      <c r="Q1902" s="1934"/>
      <c r="R1902" s="1935"/>
    </row>
    <row r="1903" customFormat="false" ht="14.25" hidden="false" customHeight="false" outlineLevel="0" collapsed="false">
      <c r="A1903" s="882"/>
      <c r="B1903" s="830"/>
      <c r="C1903" s="1965"/>
      <c r="D1903" s="860" t="s">
        <v>6</v>
      </c>
      <c r="E1903" s="1480" t="s">
        <v>1652</v>
      </c>
      <c r="F1903" s="832"/>
      <c r="G1903" s="837"/>
      <c r="H1903" s="837"/>
      <c r="I1903" s="837"/>
      <c r="J1903" s="1526"/>
      <c r="K1903" s="943"/>
      <c r="L1903" s="866" t="n">
        <v>743.8065</v>
      </c>
      <c r="M1903" s="866" t="n">
        <v>15</v>
      </c>
      <c r="N1903" s="866" t="n">
        <f aca="false">M1903/H1899</f>
        <v>1</v>
      </c>
      <c r="O1903" s="545" t="s">
        <v>1235</v>
      </c>
      <c r="P1903" s="1948"/>
      <c r="Q1903" s="1934"/>
      <c r="R1903" s="1935"/>
    </row>
    <row r="1904" customFormat="false" ht="14.25" hidden="false" customHeight="false" outlineLevel="0" collapsed="false">
      <c r="A1904" s="882"/>
      <c r="B1904" s="830"/>
      <c r="C1904" s="1965"/>
      <c r="D1904" s="860" t="s">
        <v>6</v>
      </c>
      <c r="E1904" s="1480" t="s">
        <v>1652</v>
      </c>
      <c r="F1904" s="832"/>
      <c r="G1904" s="837"/>
      <c r="H1904" s="837"/>
      <c r="I1904" s="837"/>
      <c r="J1904" s="1526"/>
      <c r="K1904" s="943"/>
      <c r="L1904" s="866" t="n">
        <v>1487.613</v>
      </c>
      <c r="M1904" s="866" t="n">
        <v>30</v>
      </c>
      <c r="N1904" s="866" t="n">
        <f aca="false">M1904/H1899</f>
        <v>2</v>
      </c>
      <c r="O1904" s="545" t="s">
        <v>804</v>
      </c>
      <c r="P1904" s="1948"/>
      <c r="Q1904" s="1934"/>
      <c r="R1904" s="1935"/>
    </row>
    <row r="1905" customFormat="false" ht="14.25" hidden="false" customHeight="false" outlineLevel="0" collapsed="false">
      <c r="A1905" s="882"/>
      <c r="B1905" s="830"/>
      <c r="C1905" s="1965"/>
      <c r="D1905" s="843" t="s">
        <v>6</v>
      </c>
      <c r="E1905" s="1357" t="s">
        <v>1652</v>
      </c>
      <c r="F1905" s="832"/>
      <c r="G1905" s="837"/>
      <c r="H1905" s="837"/>
      <c r="I1905" s="837"/>
      <c r="J1905" s="1526"/>
      <c r="K1905" s="943"/>
      <c r="L1905" s="846" t="n">
        <v>53554.068</v>
      </c>
      <c r="M1905" s="846" t="n">
        <v>1080</v>
      </c>
      <c r="N1905" s="846" t="n">
        <f aca="false">M1905/H1899</f>
        <v>72</v>
      </c>
      <c r="O1905" s="1936" t="s">
        <v>804</v>
      </c>
      <c r="P1905" s="1948"/>
      <c r="Q1905" s="1934"/>
      <c r="R1905" s="1935"/>
    </row>
    <row r="1906" customFormat="false" ht="14.25" hidden="false" customHeight="false" outlineLevel="0" collapsed="false">
      <c r="A1906" s="1087" t="n">
        <v>512</v>
      </c>
      <c r="B1906" s="1072" t="n">
        <v>2024</v>
      </c>
      <c r="C1906" s="1980" t="n">
        <v>45931</v>
      </c>
      <c r="D1906" s="848" t="s">
        <v>6</v>
      </c>
      <c r="E1906" s="1479" t="s">
        <v>1652</v>
      </c>
      <c r="F1906" s="887" t="s">
        <v>3364</v>
      </c>
      <c r="G1906" s="1067" t="n">
        <v>666</v>
      </c>
      <c r="H1906" s="1067" t="n">
        <v>15</v>
      </c>
      <c r="I1906" s="1067" t="n">
        <f aca="false">G1906*H1906</f>
        <v>9990</v>
      </c>
      <c r="J1906" s="1522" t="n">
        <v>43.2443</v>
      </c>
      <c r="K1906" s="1452" t="n">
        <f aca="false">I1906*J1906</f>
        <v>432010.557</v>
      </c>
      <c r="L1906" s="854" t="n">
        <v>20757.264</v>
      </c>
      <c r="M1906" s="854" t="n">
        <v>480</v>
      </c>
      <c r="N1906" s="854" t="n">
        <f aca="false">M1906/H1906</f>
        <v>32</v>
      </c>
      <c r="O1906" s="580"/>
      <c r="P1906" s="1952" t="n">
        <f aca="false">K1906-L1906-L1910-L1909-L1907-L1908</f>
        <v>0</v>
      </c>
      <c r="Q1906" s="1953" t="n">
        <f aca="false">I1906-M1906-M1910-M1909-M1907-M1908</f>
        <v>0</v>
      </c>
      <c r="R1906" s="1954" t="n">
        <f aca="false">G1906-N1906-N1910-N1909-N1907-N1908</f>
        <v>0</v>
      </c>
    </row>
    <row r="1907" customFormat="false" ht="14.25" hidden="false" customHeight="false" outlineLevel="0" collapsed="false">
      <c r="A1907" s="1087"/>
      <c r="B1907" s="1072"/>
      <c r="C1907" s="1980"/>
      <c r="D1907" s="860" t="s">
        <v>6</v>
      </c>
      <c r="E1907" s="1480" t="s">
        <v>1652</v>
      </c>
      <c r="F1907" s="887"/>
      <c r="G1907" s="1067"/>
      <c r="H1907" s="1067"/>
      <c r="I1907" s="1067"/>
      <c r="J1907" s="1522"/>
      <c r="K1907" s="1452"/>
      <c r="L1907" s="866" t="n">
        <v>20757.264</v>
      </c>
      <c r="M1907" s="866" t="n">
        <v>480</v>
      </c>
      <c r="N1907" s="854" t="n">
        <f aca="false">M1907/H1906</f>
        <v>32</v>
      </c>
      <c r="O1907" s="545" t="s">
        <v>1298</v>
      </c>
      <c r="P1907" s="1952"/>
      <c r="Q1907" s="1953"/>
      <c r="R1907" s="1954"/>
    </row>
    <row r="1908" customFormat="false" ht="14.25" hidden="false" customHeight="false" outlineLevel="0" collapsed="false">
      <c r="A1908" s="1087"/>
      <c r="B1908" s="1072"/>
      <c r="C1908" s="1980"/>
      <c r="D1908" s="860" t="s">
        <v>6</v>
      </c>
      <c r="E1908" s="1480" t="s">
        <v>1652</v>
      </c>
      <c r="F1908" s="887"/>
      <c r="G1908" s="1067"/>
      <c r="H1908" s="1067"/>
      <c r="I1908" s="1067"/>
      <c r="J1908" s="1522"/>
      <c r="K1908" s="1452"/>
      <c r="L1908" s="866" t="n">
        <v>25946.58</v>
      </c>
      <c r="M1908" s="866" t="n">
        <v>600</v>
      </c>
      <c r="N1908" s="854" t="n">
        <f aca="false">M1908/H1906</f>
        <v>40</v>
      </c>
      <c r="O1908" s="545" t="s">
        <v>1634</v>
      </c>
      <c r="P1908" s="1952"/>
      <c r="Q1908" s="1953"/>
      <c r="R1908" s="1954"/>
    </row>
    <row r="1909" customFormat="false" ht="14.25" hidden="false" customHeight="false" outlineLevel="0" collapsed="false">
      <c r="A1909" s="1087"/>
      <c r="B1909" s="1072"/>
      <c r="C1909" s="1980"/>
      <c r="D1909" s="860" t="s">
        <v>6</v>
      </c>
      <c r="E1909" s="1480" t="s">
        <v>1652</v>
      </c>
      <c r="F1909" s="887"/>
      <c r="G1909" s="1067"/>
      <c r="H1909" s="1067"/>
      <c r="I1909" s="1067"/>
      <c r="J1909" s="1522"/>
      <c r="K1909" s="1452"/>
      <c r="L1909" s="866" t="n">
        <v>1297.329</v>
      </c>
      <c r="M1909" s="866" t="n">
        <v>30</v>
      </c>
      <c r="N1909" s="866" t="n">
        <f aca="false">M1909/H1906</f>
        <v>2</v>
      </c>
      <c r="O1909" s="545" t="s">
        <v>804</v>
      </c>
      <c r="P1909" s="1952"/>
      <c r="Q1909" s="1953"/>
      <c r="R1909" s="1954"/>
    </row>
    <row r="1910" customFormat="false" ht="14.25" hidden="false" customHeight="false" outlineLevel="0" collapsed="false">
      <c r="A1910" s="1087"/>
      <c r="B1910" s="1072"/>
      <c r="C1910" s="1980"/>
      <c r="D1910" s="843" t="s">
        <v>6</v>
      </c>
      <c r="E1910" s="1357" t="s">
        <v>1652</v>
      </c>
      <c r="F1910" s="887"/>
      <c r="G1910" s="1067"/>
      <c r="H1910" s="1067"/>
      <c r="I1910" s="1067"/>
      <c r="J1910" s="1522"/>
      <c r="K1910" s="1452"/>
      <c r="L1910" s="846" t="n">
        <v>363252.12</v>
      </c>
      <c r="M1910" s="846" t="n">
        <v>8400</v>
      </c>
      <c r="N1910" s="846" t="n">
        <f aca="false">M1910/H1906</f>
        <v>560</v>
      </c>
      <c r="O1910" s="1936" t="s">
        <v>804</v>
      </c>
      <c r="P1910" s="1952"/>
      <c r="Q1910" s="1953"/>
      <c r="R1910" s="1954"/>
    </row>
    <row r="1911" customFormat="false" ht="14.25" hidden="false" customHeight="false" outlineLevel="0" collapsed="false">
      <c r="A1911" s="1060" t="n">
        <v>513</v>
      </c>
      <c r="B1911" s="1072" t="n">
        <v>2024</v>
      </c>
      <c r="C1911" s="1980" t="n">
        <v>45931</v>
      </c>
      <c r="D1911" s="848" t="s">
        <v>6</v>
      </c>
      <c r="E1911" s="1479" t="s">
        <v>1652</v>
      </c>
      <c r="F1911" s="887" t="s">
        <v>3364</v>
      </c>
      <c r="G1911" s="1067" t="n">
        <v>556</v>
      </c>
      <c r="H1911" s="1067" t="n">
        <v>15</v>
      </c>
      <c r="I1911" s="1067" t="n">
        <f aca="false">G1911*H1911</f>
        <v>8340</v>
      </c>
      <c r="J1911" s="1522" t="n">
        <v>43.4931</v>
      </c>
      <c r="K1911" s="1452" t="n">
        <f aca="false">I1911*J1911</f>
        <v>362732.454</v>
      </c>
      <c r="L1911" s="854" t="n">
        <v>5219.172</v>
      </c>
      <c r="M1911" s="854" t="n">
        <v>120</v>
      </c>
      <c r="N1911" s="854" t="n">
        <f aca="false">M1911/H1911</f>
        <v>8</v>
      </c>
      <c r="O1911" s="580" t="s">
        <v>690</v>
      </c>
      <c r="P1911" s="1953" t="n">
        <f aca="false">K1911-L1911-L1914-L1913-L1912</f>
        <v>-5.29780663782731E-011</v>
      </c>
      <c r="Q1911" s="1953" t="n">
        <f aca="false">I1911-M1911-M1914-M1913-M1912</f>
        <v>0</v>
      </c>
      <c r="R1911" s="1954" t="n">
        <f aca="false">G1911-N1911-N1914-N1913-N1912</f>
        <v>0</v>
      </c>
    </row>
    <row r="1912" customFormat="false" ht="14.25" hidden="false" customHeight="false" outlineLevel="0" collapsed="false">
      <c r="A1912" s="1060"/>
      <c r="B1912" s="1072"/>
      <c r="C1912" s="1980"/>
      <c r="D1912" s="848" t="s">
        <v>6</v>
      </c>
      <c r="E1912" s="1479" t="s">
        <v>1652</v>
      </c>
      <c r="F1912" s="887"/>
      <c r="G1912" s="1067"/>
      <c r="H1912" s="1067"/>
      <c r="I1912" s="1067"/>
      <c r="J1912" s="1522"/>
      <c r="K1912" s="1452"/>
      <c r="L1912" s="854" t="n">
        <v>1304.793</v>
      </c>
      <c r="M1912" s="854" t="n">
        <v>30</v>
      </c>
      <c r="N1912" s="854" t="n">
        <f aca="false">M1912/H1911</f>
        <v>2</v>
      </c>
      <c r="O1912" s="580" t="s">
        <v>804</v>
      </c>
      <c r="P1912" s="1953"/>
      <c r="Q1912" s="1953"/>
      <c r="R1912" s="1954"/>
    </row>
    <row r="1913" customFormat="false" ht="14.25" hidden="false" customHeight="false" outlineLevel="0" collapsed="false">
      <c r="A1913" s="1060"/>
      <c r="B1913" s="1072"/>
      <c r="C1913" s="1980"/>
      <c r="D1913" s="860" t="s">
        <v>6</v>
      </c>
      <c r="E1913" s="1480" t="s">
        <v>1652</v>
      </c>
      <c r="F1913" s="887"/>
      <c r="G1913" s="1067"/>
      <c r="H1913" s="1067"/>
      <c r="I1913" s="1067"/>
      <c r="J1913" s="1522"/>
      <c r="K1913" s="1452"/>
      <c r="L1913" s="866" t="n">
        <v>277920.909</v>
      </c>
      <c r="M1913" s="866" t="n">
        <v>6390</v>
      </c>
      <c r="N1913" s="854" t="n">
        <f aca="false">M1913/H1911</f>
        <v>426</v>
      </c>
      <c r="O1913" s="545" t="s">
        <v>804</v>
      </c>
      <c r="P1913" s="1953"/>
      <c r="Q1913" s="1953"/>
      <c r="R1913" s="1954"/>
    </row>
    <row r="1914" customFormat="false" ht="14.25" hidden="false" customHeight="false" outlineLevel="0" collapsed="false">
      <c r="A1914" s="1060"/>
      <c r="B1914" s="1072"/>
      <c r="C1914" s="1980"/>
      <c r="D1914" s="887" t="s">
        <v>6</v>
      </c>
      <c r="E1914" s="1501" t="s">
        <v>1652</v>
      </c>
      <c r="F1914" s="887"/>
      <c r="G1914" s="1067"/>
      <c r="H1914" s="1067"/>
      <c r="I1914" s="1067"/>
      <c r="J1914" s="1522"/>
      <c r="K1914" s="1452"/>
      <c r="L1914" s="890" t="n">
        <v>78287.58</v>
      </c>
      <c r="M1914" s="890" t="n">
        <v>1800</v>
      </c>
      <c r="N1914" s="890" t="n">
        <f aca="false">M1914/H1911</f>
        <v>120</v>
      </c>
      <c r="O1914" s="1938" t="s">
        <v>748</v>
      </c>
      <c r="P1914" s="1953"/>
      <c r="Q1914" s="1953"/>
      <c r="R1914" s="1954"/>
    </row>
    <row r="1915" customFormat="false" ht="14.25" hidden="false" customHeight="false" outlineLevel="0" collapsed="false">
      <c r="A1915" s="847" t="n">
        <v>564</v>
      </c>
      <c r="B1915" s="1396" t="n">
        <v>2024</v>
      </c>
      <c r="C1915" s="1966" t="n">
        <v>45931</v>
      </c>
      <c r="D1915" s="848" t="s">
        <v>6</v>
      </c>
      <c r="E1915" s="1479" t="s">
        <v>2619</v>
      </c>
      <c r="F1915" s="848" t="s">
        <v>3364</v>
      </c>
      <c r="G1915" s="537" t="n">
        <v>333</v>
      </c>
      <c r="H1915" s="537" t="n">
        <v>30</v>
      </c>
      <c r="I1915" s="1380" t="n">
        <f aca="false">G1915*H1915</f>
        <v>9990</v>
      </c>
      <c r="J1915" s="1523" t="n">
        <v>98</v>
      </c>
      <c r="K1915" s="1144" t="n">
        <f aca="false">I1915*J1915</f>
        <v>979020</v>
      </c>
      <c r="L1915" s="854" t="n">
        <v>979020</v>
      </c>
      <c r="M1915" s="854" t="n">
        <v>9990</v>
      </c>
      <c r="N1915" s="854" t="n">
        <f aca="false">M1915/H1915</f>
        <v>333</v>
      </c>
      <c r="O1915" s="580" t="s">
        <v>745</v>
      </c>
      <c r="P1915" s="1983" t="n">
        <f aca="false">K1915-L1915</f>
        <v>0</v>
      </c>
      <c r="Q1915" s="1970" t="n">
        <f aca="false">I1915-M1915</f>
        <v>0</v>
      </c>
      <c r="R1915" s="1970" t="n">
        <f aca="false">G1915-N1915</f>
        <v>0</v>
      </c>
    </row>
    <row r="1916" customFormat="false" ht="14.25" hidden="false" customHeight="false" outlineLevel="0" collapsed="false">
      <c r="A1916" s="859" t="n">
        <v>565</v>
      </c>
      <c r="B1916" s="2020" t="n">
        <v>2024</v>
      </c>
      <c r="C1916" s="1990" t="n">
        <v>45931</v>
      </c>
      <c r="D1916" s="860" t="s">
        <v>6</v>
      </c>
      <c r="E1916" s="1480" t="s">
        <v>2619</v>
      </c>
      <c r="F1916" s="860" t="s">
        <v>3364</v>
      </c>
      <c r="G1916" s="543" t="n">
        <v>67</v>
      </c>
      <c r="H1916" s="543" t="n">
        <v>30</v>
      </c>
      <c r="I1916" s="1521" t="n">
        <f aca="false">G1916*H1916</f>
        <v>2010</v>
      </c>
      <c r="J1916" s="1760" t="n">
        <v>98</v>
      </c>
      <c r="K1916" s="1147" t="n">
        <f aca="false">I1916*J1916</f>
        <v>196980</v>
      </c>
      <c r="L1916" s="866" t="n">
        <v>196980</v>
      </c>
      <c r="M1916" s="866" t="n">
        <v>2010</v>
      </c>
      <c r="N1916" s="866" t="n">
        <f aca="false">M1916/H1916</f>
        <v>67</v>
      </c>
      <c r="O1916" s="545" t="s">
        <v>745</v>
      </c>
      <c r="P1916" s="1983" t="n">
        <f aca="false">K1916-L1916</f>
        <v>0</v>
      </c>
      <c r="Q1916" s="1970" t="n">
        <f aca="false">I1916-M1916</f>
        <v>0</v>
      </c>
      <c r="R1916" s="1970" t="n">
        <f aca="false">G1916-N1916</f>
        <v>0</v>
      </c>
    </row>
    <row r="1917" customFormat="false" ht="14.25" hidden="false" customHeight="false" outlineLevel="0" collapsed="false">
      <c r="A1917" s="870" t="n">
        <v>574</v>
      </c>
      <c r="B1917" s="1495" t="n">
        <v>2024</v>
      </c>
      <c r="C1917" s="1972" t="n">
        <v>45962</v>
      </c>
      <c r="D1917" s="871" t="s">
        <v>6</v>
      </c>
      <c r="E1917" s="1478" t="s">
        <v>1651</v>
      </c>
      <c r="F1917" s="871" t="s">
        <v>3364</v>
      </c>
      <c r="G1917" s="553" t="n">
        <v>120</v>
      </c>
      <c r="H1917" s="553" t="n">
        <v>15</v>
      </c>
      <c r="I1917" s="1587" t="n">
        <f aca="false">G1917*H1917</f>
        <v>1800</v>
      </c>
      <c r="J1917" s="1525" t="n">
        <v>37.5291</v>
      </c>
      <c r="K1917" s="1151" t="n">
        <f aca="false">I1917*J1917</f>
        <v>67552.38</v>
      </c>
      <c r="L1917" s="877" t="n">
        <v>67552.38</v>
      </c>
      <c r="M1917" s="877" t="n">
        <v>1800</v>
      </c>
      <c r="N1917" s="877" t="n">
        <f aca="false">M1917/H1917</f>
        <v>120</v>
      </c>
      <c r="O1917" s="584" t="s">
        <v>3524</v>
      </c>
      <c r="P1917" s="1947" t="n">
        <f aca="false">K1917-L1917</f>
        <v>0</v>
      </c>
      <c r="Q1917" s="1945" t="n">
        <f aca="false">I1917-M1917</f>
        <v>0</v>
      </c>
      <c r="R1917" s="1945" t="n">
        <f aca="false">G1917-N1917</f>
        <v>0</v>
      </c>
    </row>
    <row r="1918" customFormat="false" ht="14.25" hidden="false" customHeight="false" outlineLevel="0" collapsed="false">
      <c r="A1918" s="882" t="n">
        <v>575</v>
      </c>
      <c r="B1918" s="830" t="n">
        <v>2024</v>
      </c>
      <c r="C1918" s="1965" t="n">
        <v>45962</v>
      </c>
      <c r="D1918" s="831" t="s">
        <v>6</v>
      </c>
      <c r="E1918" s="1365" t="s">
        <v>1651</v>
      </c>
      <c r="F1918" s="832" t="s">
        <v>3364</v>
      </c>
      <c r="G1918" s="837" t="n">
        <v>79</v>
      </c>
      <c r="H1918" s="837" t="n">
        <v>15</v>
      </c>
      <c r="I1918" s="837" t="n">
        <f aca="false">G1918*H1918</f>
        <v>1185</v>
      </c>
      <c r="J1918" s="1526" t="n">
        <v>38.0991</v>
      </c>
      <c r="K1918" s="943" t="n">
        <f aca="false">I1918*J1918</f>
        <v>45147.4335</v>
      </c>
      <c r="L1918" s="840" t="n">
        <v>15430.1355</v>
      </c>
      <c r="M1918" s="840" t="n">
        <v>405</v>
      </c>
      <c r="N1918" s="886" t="n">
        <f aca="false">M1918/H1918</f>
        <v>27</v>
      </c>
      <c r="O1918" s="578" t="s">
        <v>721</v>
      </c>
      <c r="P1918" s="1948" t="n">
        <f aca="false">K1918-L1918-L1920-L1919</f>
        <v>0</v>
      </c>
      <c r="Q1918" s="1934" t="n">
        <f aca="false">I1918-M1918-M1920-M1919</f>
        <v>0</v>
      </c>
      <c r="R1918" s="1935" t="n">
        <f aca="false">G1918-N1918-N1920-N1919</f>
        <v>0</v>
      </c>
    </row>
    <row r="1919" customFormat="false" ht="14.25" hidden="false" customHeight="false" outlineLevel="0" collapsed="false">
      <c r="A1919" s="882"/>
      <c r="B1919" s="830"/>
      <c r="C1919" s="1965"/>
      <c r="D1919" s="904" t="s">
        <v>6</v>
      </c>
      <c r="E1919" s="1351" t="s">
        <v>1651</v>
      </c>
      <c r="F1919" s="832"/>
      <c r="G1919" s="837"/>
      <c r="H1919" s="837"/>
      <c r="I1919" s="837"/>
      <c r="J1919" s="1526"/>
      <c r="K1919" s="943"/>
      <c r="L1919" s="891" t="n">
        <v>2857.4325</v>
      </c>
      <c r="M1919" s="891" t="n">
        <v>75</v>
      </c>
      <c r="N1919" s="866" t="n">
        <f aca="false">M1919/H1918</f>
        <v>5</v>
      </c>
      <c r="O1919" s="1943" t="s">
        <v>707</v>
      </c>
      <c r="P1919" s="1948"/>
      <c r="Q1919" s="1934"/>
      <c r="R1919" s="1935"/>
    </row>
    <row r="1920" customFormat="false" ht="14.25" hidden="false" customHeight="false" outlineLevel="0" collapsed="false">
      <c r="A1920" s="882"/>
      <c r="B1920" s="830"/>
      <c r="C1920" s="1965"/>
      <c r="D1920" s="843" t="s">
        <v>6</v>
      </c>
      <c r="E1920" s="1357" t="s">
        <v>1651</v>
      </c>
      <c r="F1920" s="832"/>
      <c r="G1920" s="837"/>
      <c r="H1920" s="837"/>
      <c r="I1920" s="837"/>
      <c r="J1920" s="1526"/>
      <c r="K1920" s="943"/>
      <c r="L1920" s="846" t="n">
        <v>26859.8655</v>
      </c>
      <c r="M1920" s="846" t="n">
        <v>705</v>
      </c>
      <c r="N1920" s="846" t="n">
        <f aca="false">M1920/H1918</f>
        <v>47</v>
      </c>
      <c r="O1920" s="1936" t="s">
        <v>757</v>
      </c>
      <c r="P1920" s="1948"/>
      <c r="Q1920" s="1934"/>
      <c r="R1920" s="1935"/>
    </row>
    <row r="1921" customFormat="false" ht="14.25" hidden="false" customHeight="false" outlineLevel="0" collapsed="false">
      <c r="A1921" s="882" t="n">
        <v>582</v>
      </c>
      <c r="B1921" s="830" t="n">
        <v>2024</v>
      </c>
      <c r="C1921" s="1965" t="n">
        <v>45962</v>
      </c>
      <c r="D1921" s="831" t="s">
        <v>6</v>
      </c>
      <c r="E1921" s="1365" t="s">
        <v>1652</v>
      </c>
      <c r="F1921" s="832" t="s">
        <v>3364</v>
      </c>
      <c r="G1921" s="837" t="n">
        <v>666</v>
      </c>
      <c r="H1921" s="837" t="n">
        <v>15</v>
      </c>
      <c r="I1921" s="837" t="n">
        <f aca="false">G1921*H1921</f>
        <v>9990</v>
      </c>
      <c r="J1921" s="1526" t="n">
        <v>49.3692</v>
      </c>
      <c r="K1921" s="943" t="n">
        <f aca="false">I1921*J1921</f>
        <v>493198.308</v>
      </c>
      <c r="L1921" s="840" t="n">
        <v>87383.484</v>
      </c>
      <c r="M1921" s="840" t="n">
        <v>1770</v>
      </c>
      <c r="N1921" s="886" t="n">
        <f aca="false">M1921/H1921</f>
        <v>118</v>
      </c>
      <c r="O1921" s="578" t="s">
        <v>804</v>
      </c>
      <c r="P1921" s="1948" t="n">
        <f aca="false">K1921-L1921-L1927-L1922-L1926-L1925-L1923-L1924</f>
        <v>0</v>
      </c>
      <c r="Q1921" s="1934" t="n">
        <f aca="false">I1921-M1921-M1927-M1922-M1926-M1925-M1923-M1924</f>
        <v>0</v>
      </c>
      <c r="R1921" s="1935" t="n">
        <f aca="false">G1921-N1921-N1927-N1922-N1926-N1925-N1923-N1924</f>
        <v>0</v>
      </c>
    </row>
    <row r="1922" customFormat="false" ht="14.25" hidden="false" customHeight="false" outlineLevel="0" collapsed="false">
      <c r="A1922" s="882"/>
      <c r="B1922" s="830"/>
      <c r="C1922" s="1965"/>
      <c r="D1922" s="860" t="s">
        <v>6</v>
      </c>
      <c r="E1922" s="1480" t="s">
        <v>1652</v>
      </c>
      <c r="F1922" s="832"/>
      <c r="G1922" s="837"/>
      <c r="H1922" s="837"/>
      <c r="I1922" s="837"/>
      <c r="J1922" s="1526"/>
      <c r="K1922" s="943"/>
      <c r="L1922" s="866" t="n">
        <v>49616.046</v>
      </c>
      <c r="M1922" s="866" t="n">
        <v>1005</v>
      </c>
      <c r="N1922" s="866" t="n">
        <f aca="false">M1922/H1921</f>
        <v>67</v>
      </c>
      <c r="O1922" s="545" t="s">
        <v>834</v>
      </c>
      <c r="P1922" s="1948"/>
      <c r="Q1922" s="1934"/>
      <c r="R1922" s="1935"/>
    </row>
    <row r="1923" customFormat="false" ht="14.25" hidden="false" customHeight="false" outlineLevel="0" collapsed="false">
      <c r="A1923" s="882"/>
      <c r="B1923" s="830"/>
      <c r="C1923" s="1965"/>
      <c r="D1923" s="860" t="s">
        <v>6</v>
      </c>
      <c r="E1923" s="1480" t="s">
        <v>1652</v>
      </c>
      <c r="F1923" s="832"/>
      <c r="G1923" s="837"/>
      <c r="H1923" s="837"/>
      <c r="I1923" s="837"/>
      <c r="J1923" s="1526"/>
      <c r="K1923" s="943"/>
      <c r="L1923" s="866" t="n">
        <v>14810.76</v>
      </c>
      <c r="M1923" s="866" t="n">
        <v>300</v>
      </c>
      <c r="N1923" s="866" t="n">
        <f aca="false">M1923/H1921</f>
        <v>20</v>
      </c>
      <c r="O1923" s="545" t="s">
        <v>801</v>
      </c>
      <c r="P1923" s="1948"/>
      <c r="Q1923" s="1934"/>
      <c r="R1923" s="1935"/>
    </row>
    <row r="1924" customFormat="false" ht="14.25" hidden="false" customHeight="false" outlineLevel="0" collapsed="false">
      <c r="A1924" s="882"/>
      <c r="B1924" s="830"/>
      <c r="C1924" s="1965"/>
      <c r="D1924" s="860" t="s">
        <v>6</v>
      </c>
      <c r="E1924" s="1480" t="s">
        <v>1652</v>
      </c>
      <c r="F1924" s="832"/>
      <c r="G1924" s="837"/>
      <c r="H1924" s="837"/>
      <c r="I1924" s="837"/>
      <c r="J1924" s="1526"/>
      <c r="K1924" s="943"/>
      <c r="L1924" s="866" t="n">
        <v>116264.466</v>
      </c>
      <c r="M1924" s="866" t="n">
        <v>2355</v>
      </c>
      <c r="N1924" s="866" t="n">
        <f aca="false">M1924/H1921</f>
        <v>157</v>
      </c>
      <c r="O1924" s="545" t="s">
        <v>1275</v>
      </c>
      <c r="P1924" s="1948"/>
      <c r="Q1924" s="1934"/>
      <c r="R1924" s="1935"/>
    </row>
    <row r="1925" customFormat="false" ht="14.25" hidden="false" customHeight="false" outlineLevel="0" collapsed="false">
      <c r="A1925" s="882"/>
      <c r="B1925" s="830"/>
      <c r="C1925" s="1965"/>
      <c r="D1925" s="860" t="s">
        <v>6</v>
      </c>
      <c r="E1925" s="1480" t="s">
        <v>1652</v>
      </c>
      <c r="F1925" s="832"/>
      <c r="G1925" s="837"/>
      <c r="H1925" s="837"/>
      <c r="I1925" s="837"/>
      <c r="J1925" s="1526"/>
      <c r="K1925" s="943"/>
      <c r="L1925" s="866" t="n">
        <v>154772.442</v>
      </c>
      <c r="M1925" s="866" t="n">
        <v>3135</v>
      </c>
      <c r="N1925" s="866" t="n">
        <f aca="false">M1925/H1921</f>
        <v>209</v>
      </c>
      <c r="O1925" s="545" t="s">
        <v>804</v>
      </c>
      <c r="P1925" s="1948"/>
      <c r="Q1925" s="1934"/>
      <c r="R1925" s="1935"/>
    </row>
    <row r="1926" customFormat="false" ht="14.25" hidden="false" customHeight="false" outlineLevel="0" collapsed="false">
      <c r="A1926" s="882"/>
      <c r="B1926" s="830"/>
      <c r="C1926" s="1965"/>
      <c r="D1926" s="860" t="s">
        <v>6</v>
      </c>
      <c r="E1926" s="1480" t="s">
        <v>1652</v>
      </c>
      <c r="F1926" s="832"/>
      <c r="G1926" s="837"/>
      <c r="H1926" s="837"/>
      <c r="I1926" s="837"/>
      <c r="J1926" s="1526"/>
      <c r="K1926" s="943"/>
      <c r="L1926" s="866" t="n">
        <v>44432.28</v>
      </c>
      <c r="M1926" s="866" t="n">
        <v>900</v>
      </c>
      <c r="N1926" s="866" t="n">
        <f aca="false">M1926/H1921</f>
        <v>60</v>
      </c>
      <c r="O1926" s="545" t="s">
        <v>806</v>
      </c>
      <c r="P1926" s="1948"/>
      <c r="Q1926" s="1934"/>
      <c r="R1926" s="1935"/>
    </row>
    <row r="1927" customFormat="false" ht="14.25" hidden="false" customHeight="false" outlineLevel="0" collapsed="false">
      <c r="A1927" s="882"/>
      <c r="B1927" s="830"/>
      <c r="C1927" s="1965"/>
      <c r="D1927" s="887" t="s">
        <v>6</v>
      </c>
      <c r="E1927" s="1501" t="s">
        <v>1652</v>
      </c>
      <c r="F1927" s="832"/>
      <c r="G1927" s="837"/>
      <c r="H1927" s="837"/>
      <c r="I1927" s="837"/>
      <c r="J1927" s="1526"/>
      <c r="K1927" s="943"/>
      <c r="L1927" s="890" t="n">
        <v>25918.83</v>
      </c>
      <c r="M1927" s="890" t="n">
        <v>525</v>
      </c>
      <c r="N1927" s="890" t="n">
        <f aca="false">M1927/H1921</f>
        <v>35</v>
      </c>
      <c r="O1927" s="1938" t="s">
        <v>763</v>
      </c>
      <c r="P1927" s="1948"/>
      <c r="Q1927" s="1934"/>
      <c r="R1927" s="1935"/>
    </row>
    <row r="1928" customFormat="false" ht="14.25" hidden="false" customHeight="false" outlineLevel="0" collapsed="false">
      <c r="A1928" s="829" t="n">
        <v>583</v>
      </c>
      <c r="B1928" s="830" t="n">
        <v>2024</v>
      </c>
      <c r="C1928" s="1965" t="n">
        <v>45962</v>
      </c>
      <c r="D1928" s="831" t="s">
        <v>6</v>
      </c>
      <c r="E1928" s="1365" t="s">
        <v>1652</v>
      </c>
      <c r="F1928" s="832" t="s">
        <v>3364</v>
      </c>
      <c r="G1928" s="837" t="n">
        <v>666</v>
      </c>
      <c r="H1928" s="837" t="n">
        <v>15</v>
      </c>
      <c r="I1928" s="837" t="n">
        <f aca="false">G1928*H1928</f>
        <v>9990</v>
      </c>
      <c r="J1928" s="1526" t="n">
        <v>49.3692</v>
      </c>
      <c r="K1928" s="943" t="n">
        <f aca="false">I1928*J1928</f>
        <v>493198.308</v>
      </c>
      <c r="L1928" s="840" t="n">
        <v>328058.334</v>
      </c>
      <c r="M1928" s="840" t="n">
        <v>6645</v>
      </c>
      <c r="N1928" s="886" t="n">
        <f aca="false">M1928/H1928</f>
        <v>443</v>
      </c>
      <c r="O1928" s="578" t="s">
        <v>804</v>
      </c>
      <c r="P1928" s="1934" t="n">
        <f aca="false">K1928-L1928-L1931-L1930-L1929</f>
        <v>4.36557456851006E-011</v>
      </c>
      <c r="Q1928" s="1934" t="n">
        <f aca="false">I1928-M1928-M1931-M1930-M1929</f>
        <v>0</v>
      </c>
      <c r="R1928" s="1935" t="n">
        <f aca="false">G1928-N1928-N1930-N1931-N1929</f>
        <v>0</v>
      </c>
    </row>
    <row r="1929" customFormat="false" ht="14.25" hidden="false" customHeight="false" outlineLevel="0" collapsed="false">
      <c r="A1929" s="829"/>
      <c r="B1929" s="830"/>
      <c r="C1929" s="1965"/>
      <c r="D1929" s="848" t="s">
        <v>6</v>
      </c>
      <c r="E1929" s="1479" t="s">
        <v>1652</v>
      </c>
      <c r="F1929" s="832"/>
      <c r="G1929" s="837"/>
      <c r="H1929" s="837"/>
      <c r="I1929" s="837"/>
      <c r="J1929" s="1526"/>
      <c r="K1929" s="943"/>
      <c r="L1929" s="854" t="n">
        <v>31843.134</v>
      </c>
      <c r="M1929" s="854" t="n">
        <v>645</v>
      </c>
      <c r="N1929" s="866" t="n">
        <f aca="false">M1929/H1928</f>
        <v>43</v>
      </c>
      <c r="O1929" s="580" t="s">
        <v>1275</v>
      </c>
      <c r="P1929" s="1934"/>
      <c r="Q1929" s="1934"/>
      <c r="R1929" s="1935"/>
    </row>
    <row r="1930" customFormat="false" ht="14.25" hidden="false" customHeight="false" outlineLevel="0" collapsed="false">
      <c r="A1930" s="829"/>
      <c r="B1930" s="830"/>
      <c r="C1930" s="1965"/>
      <c r="D1930" s="860" t="s">
        <v>6</v>
      </c>
      <c r="E1930" s="1480" t="s">
        <v>1652</v>
      </c>
      <c r="F1930" s="832"/>
      <c r="G1930" s="837"/>
      <c r="H1930" s="837"/>
      <c r="I1930" s="837"/>
      <c r="J1930" s="1526"/>
      <c r="K1930" s="943"/>
      <c r="L1930" s="866" t="n">
        <v>34064.748</v>
      </c>
      <c r="M1930" s="866" t="n">
        <v>690</v>
      </c>
      <c r="N1930" s="866" t="n">
        <f aca="false">M1930/H1928</f>
        <v>46</v>
      </c>
      <c r="O1930" s="545" t="s">
        <v>832</v>
      </c>
      <c r="P1930" s="1934"/>
      <c r="Q1930" s="1934"/>
      <c r="R1930" s="1935"/>
    </row>
    <row r="1931" customFormat="false" ht="14.25" hidden="false" customHeight="false" outlineLevel="0" collapsed="false">
      <c r="A1931" s="829"/>
      <c r="B1931" s="830"/>
      <c r="C1931" s="1965"/>
      <c r="D1931" s="887" t="s">
        <v>6</v>
      </c>
      <c r="E1931" s="1501" t="s">
        <v>1652</v>
      </c>
      <c r="F1931" s="832"/>
      <c r="G1931" s="837"/>
      <c r="H1931" s="837"/>
      <c r="I1931" s="837"/>
      <c r="J1931" s="1526"/>
      <c r="K1931" s="943"/>
      <c r="L1931" s="890" t="n">
        <v>99232.092</v>
      </c>
      <c r="M1931" s="890" t="n">
        <v>2010</v>
      </c>
      <c r="N1931" s="890" t="n">
        <f aca="false">M1931/H1928</f>
        <v>134</v>
      </c>
      <c r="O1931" s="1938" t="s">
        <v>833</v>
      </c>
      <c r="P1931" s="1934"/>
      <c r="Q1931" s="1934"/>
      <c r="R1931" s="1935"/>
    </row>
    <row r="1932" customFormat="false" ht="14.25" hidden="false" customHeight="false" outlineLevel="0" collapsed="false">
      <c r="A1932" s="882" t="n">
        <v>584</v>
      </c>
      <c r="B1932" s="830" t="n">
        <v>2024</v>
      </c>
      <c r="C1932" s="1965" t="n">
        <v>45962</v>
      </c>
      <c r="D1932" s="831" t="s">
        <v>6</v>
      </c>
      <c r="E1932" s="1365" t="s">
        <v>1652</v>
      </c>
      <c r="F1932" s="883" t="s">
        <v>3364</v>
      </c>
      <c r="G1932" s="837" t="n">
        <v>626</v>
      </c>
      <c r="H1932" s="837" t="n">
        <v>15</v>
      </c>
      <c r="I1932" s="837" t="n">
        <f aca="false">G1932*H1932</f>
        <v>9390</v>
      </c>
      <c r="J1932" s="1526" t="n">
        <v>49.8634</v>
      </c>
      <c r="K1932" s="943" t="n">
        <f aca="false">I1932*J1932</f>
        <v>468217.326</v>
      </c>
      <c r="L1932" s="840" t="n">
        <v>302172.204</v>
      </c>
      <c r="M1932" s="840" t="n">
        <v>6060</v>
      </c>
      <c r="N1932" s="886" t="n">
        <f aca="false">M1932/H1932</f>
        <v>404</v>
      </c>
      <c r="O1932" s="578" t="s">
        <v>804</v>
      </c>
      <c r="P1932" s="1948" t="n">
        <f aca="false">K1932-L1932-L1934-L1933</f>
        <v>0</v>
      </c>
      <c r="Q1932" s="1934" t="n">
        <f aca="false">I1932-M1932-M1934-M1933</f>
        <v>0</v>
      </c>
      <c r="R1932" s="1935" t="n">
        <f aca="false">G1932-N1932-N1934-N1933</f>
        <v>0</v>
      </c>
    </row>
    <row r="1933" customFormat="false" ht="14.25" hidden="false" customHeight="false" outlineLevel="0" collapsed="false">
      <c r="A1933" s="882"/>
      <c r="B1933" s="830"/>
      <c r="C1933" s="1965"/>
      <c r="D1933" s="860" t="s">
        <v>6</v>
      </c>
      <c r="E1933" s="1480" t="s">
        <v>1652</v>
      </c>
      <c r="F1933" s="883"/>
      <c r="G1933" s="837"/>
      <c r="H1933" s="837"/>
      <c r="I1933" s="837"/>
      <c r="J1933" s="1526"/>
      <c r="K1933" s="943"/>
      <c r="L1933" s="866" t="n">
        <v>100225.434</v>
      </c>
      <c r="M1933" s="866" t="n">
        <v>2010</v>
      </c>
      <c r="N1933" s="866" t="n">
        <f aca="false">M1933/H1932</f>
        <v>134</v>
      </c>
      <c r="O1933" s="545" t="s">
        <v>831</v>
      </c>
      <c r="P1933" s="1948"/>
      <c r="Q1933" s="1934"/>
      <c r="R1933" s="1935"/>
    </row>
    <row r="1934" customFormat="false" ht="14.25" hidden="false" customHeight="false" outlineLevel="0" collapsed="false">
      <c r="A1934" s="882"/>
      <c r="B1934" s="830"/>
      <c r="C1934" s="1965"/>
      <c r="D1934" s="887" t="s">
        <v>6</v>
      </c>
      <c r="E1934" s="1501" t="s">
        <v>1652</v>
      </c>
      <c r="F1934" s="883"/>
      <c r="G1934" s="837"/>
      <c r="H1934" s="837"/>
      <c r="I1934" s="837"/>
      <c r="J1934" s="1526"/>
      <c r="K1934" s="943"/>
      <c r="L1934" s="890" t="n">
        <v>65819.688</v>
      </c>
      <c r="M1934" s="890" t="n">
        <v>1320</v>
      </c>
      <c r="N1934" s="890" t="n">
        <f aca="false">M1934/H1932</f>
        <v>88</v>
      </c>
      <c r="O1934" s="1938" t="s">
        <v>832</v>
      </c>
      <c r="P1934" s="1948"/>
      <c r="Q1934" s="1934"/>
      <c r="R1934" s="1935"/>
    </row>
    <row r="1935" customFormat="false" ht="14.25" hidden="false" customHeight="false" outlineLevel="0" collapsed="false">
      <c r="A1935" s="903" t="n">
        <v>591</v>
      </c>
      <c r="B1935" s="903" t="n">
        <v>2024</v>
      </c>
      <c r="C1935" s="1974" t="n">
        <v>45962</v>
      </c>
      <c r="D1935" s="904" t="s">
        <v>6</v>
      </c>
      <c r="E1935" s="1351" t="s">
        <v>2619</v>
      </c>
      <c r="F1935" s="904" t="s">
        <v>3364</v>
      </c>
      <c r="G1935" s="942" t="n">
        <v>2</v>
      </c>
      <c r="H1935" s="942" t="n">
        <v>750</v>
      </c>
      <c r="I1935" s="1355" t="n">
        <f aca="false">G1935*H1935</f>
        <v>1500</v>
      </c>
      <c r="J1935" s="1524" t="n">
        <v>97.1</v>
      </c>
      <c r="K1935" s="1138" t="n">
        <f aca="false">I1935*J1935</f>
        <v>145650</v>
      </c>
      <c r="L1935" s="891" t="n">
        <v>145650</v>
      </c>
      <c r="M1935" s="891" t="n">
        <v>1500</v>
      </c>
      <c r="N1935" s="854" t="n">
        <f aca="false">M1935/H1935</f>
        <v>2</v>
      </c>
      <c r="O1935" s="1943" t="s">
        <v>765</v>
      </c>
      <c r="P1935" s="1983" t="n">
        <f aca="false">K1935-L1935</f>
        <v>0</v>
      </c>
      <c r="Q1935" s="1970" t="n">
        <f aca="false">I1935-M1935</f>
        <v>0</v>
      </c>
      <c r="R1935" s="1970" t="n">
        <f aca="false">G1935-N1935</f>
        <v>0</v>
      </c>
    </row>
    <row r="1936" customFormat="false" ht="14.25" hidden="false" customHeight="false" outlineLevel="0" collapsed="false">
      <c r="A1936" s="870" t="n">
        <v>617</v>
      </c>
      <c r="B1936" s="1495" t="n">
        <v>2024</v>
      </c>
      <c r="C1936" s="1972" t="n">
        <v>45962</v>
      </c>
      <c r="D1936" s="871" t="s">
        <v>6</v>
      </c>
      <c r="E1936" s="1478" t="s">
        <v>2619</v>
      </c>
      <c r="F1936" s="871" t="s">
        <v>3364</v>
      </c>
      <c r="G1936" s="553" t="n">
        <v>5</v>
      </c>
      <c r="H1936" s="553" t="n">
        <v>800</v>
      </c>
      <c r="I1936" s="1587" t="n">
        <f aca="false">G1936*H1936</f>
        <v>4000</v>
      </c>
      <c r="J1936" s="1525" t="n">
        <v>97.1</v>
      </c>
      <c r="K1936" s="1151" t="n">
        <f aca="false">I1936*J1936</f>
        <v>388400</v>
      </c>
      <c r="L1936" s="877" t="n">
        <v>388400</v>
      </c>
      <c r="M1936" s="877" t="n">
        <v>4000</v>
      </c>
      <c r="N1936" s="877" t="n">
        <f aca="false">M1936/H1936</f>
        <v>5</v>
      </c>
      <c r="O1936" s="584" t="s">
        <v>864</v>
      </c>
      <c r="P1936" s="2030" t="n">
        <f aca="false">K1936-L1936</f>
        <v>0</v>
      </c>
      <c r="Q1936" s="1994" t="n">
        <f aca="false">I1936-M1936</f>
        <v>0</v>
      </c>
      <c r="R1936" s="1994" t="n">
        <f aca="false">G1936-N1936</f>
        <v>0</v>
      </c>
    </row>
    <row r="1937" customFormat="false" ht="14.25" hidden="false" customHeight="false" outlineLevel="0" collapsed="false">
      <c r="A1937" s="870" t="n">
        <v>1</v>
      </c>
      <c r="B1937" s="1495" t="n">
        <v>2025</v>
      </c>
      <c r="C1937" s="1972" t="n">
        <v>46023</v>
      </c>
      <c r="D1937" s="871" t="s">
        <v>6</v>
      </c>
      <c r="E1937" s="1478" t="s">
        <v>1652</v>
      </c>
      <c r="F1937" s="871" t="s">
        <v>3364</v>
      </c>
      <c r="G1937" s="553" t="n">
        <v>666</v>
      </c>
      <c r="H1937" s="553" t="n">
        <v>15</v>
      </c>
      <c r="I1937" s="1587" t="n">
        <f aca="false">G1937*H1937</f>
        <v>9990</v>
      </c>
      <c r="J1937" s="1525" t="n">
        <v>47.2073</v>
      </c>
      <c r="K1937" s="1151" t="n">
        <f aca="false">I1937*J1937</f>
        <v>471600.927</v>
      </c>
      <c r="L1937" s="877" t="n">
        <v>471600.927</v>
      </c>
      <c r="M1937" s="877" t="n">
        <v>9990</v>
      </c>
      <c r="N1937" s="877" t="n">
        <f aca="false">M1937/H1937</f>
        <v>666</v>
      </c>
      <c r="O1937" s="584" t="s">
        <v>804</v>
      </c>
      <c r="P1937" s="2030" t="n">
        <f aca="false">K1937-L1937</f>
        <v>0</v>
      </c>
      <c r="Q1937" s="1994" t="n">
        <f aca="false">I1937-M1937</f>
        <v>0</v>
      </c>
      <c r="R1937" s="1994" t="n">
        <f aca="false">G1937-N1937</f>
        <v>0</v>
      </c>
    </row>
    <row r="1938" customFormat="false" ht="14.25" hidden="false" customHeight="false" outlineLevel="0" collapsed="false">
      <c r="A1938" s="870" t="n">
        <v>2</v>
      </c>
      <c r="B1938" s="1495" t="n">
        <v>2025</v>
      </c>
      <c r="C1938" s="1972" t="n">
        <v>46023</v>
      </c>
      <c r="D1938" s="871" t="s">
        <v>6</v>
      </c>
      <c r="E1938" s="1478" t="s">
        <v>1652</v>
      </c>
      <c r="F1938" s="871" t="s">
        <v>3364</v>
      </c>
      <c r="G1938" s="553" t="n">
        <v>666</v>
      </c>
      <c r="H1938" s="553" t="n">
        <v>15</v>
      </c>
      <c r="I1938" s="1587" t="n">
        <f aca="false">G1938*H1938</f>
        <v>9990</v>
      </c>
      <c r="J1938" s="1525" t="n">
        <v>47.2073</v>
      </c>
      <c r="K1938" s="1151" t="n">
        <f aca="false">I1938*J1938</f>
        <v>471600.927</v>
      </c>
      <c r="L1938" s="877" t="n">
        <v>471600.927</v>
      </c>
      <c r="M1938" s="877" t="n">
        <v>9990</v>
      </c>
      <c r="N1938" s="877" t="n">
        <f aca="false">M1938/H1938</f>
        <v>666</v>
      </c>
      <c r="O1938" s="584" t="s">
        <v>804</v>
      </c>
      <c r="P1938" s="2030" t="n">
        <f aca="false">K1938-L1938</f>
        <v>0</v>
      </c>
      <c r="Q1938" s="1994" t="n">
        <f aca="false">I1938-M1938</f>
        <v>0</v>
      </c>
      <c r="R1938" s="1994" t="n">
        <f aca="false">G1938-N1938</f>
        <v>0</v>
      </c>
    </row>
    <row r="1939" customFormat="false" ht="14.25" hidden="false" customHeight="false" outlineLevel="0" collapsed="false">
      <c r="A1939" s="870" t="n">
        <v>5</v>
      </c>
      <c r="B1939" s="1495" t="n">
        <v>2025</v>
      </c>
      <c r="C1939" s="1972" t="n">
        <v>46023</v>
      </c>
      <c r="D1939" s="871" t="s">
        <v>6</v>
      </c>
      <c r="E1939" s="1478" t="s">
        <v>1652</v>
      </c>
      <c r="F1939" s="871" t="s">
        <v>3364</v>
      </c>
      <c r="G1939" s="553" t="n">
        <v>195</v>
      </c>
      <c r="H1939" s="553" t="n">
        <v>15</v>
      </c>
      <c r="I1939" s="1587" t="n">
        <f aca="false">G1939*H1939</f>
        <v>2925</v>
      </c>
      <c r="J1939" s="1525" t="n">
        <v>49.4345</v>
      </c>
      <c r="K1939" s="1151" t="n">
        <f aca="false">I1939*J1939</f>
        <v>144595.9125</v>
      </c>
      <c r="L1939" s="877" t="n">
        <v>144595.9125</v>
      </c>
      <c r="M1939" s="877" t="n">
        <v>2925</v>
      </c>
      <c r="N1939" s="877" t="n">
        <f aca="false">M1939/H1939</f>
        <v>195</v>
      </c>
      <c r="O1939" s="584" t="s">
        <v>1257</v>
      </c>
      <c r="P1939" s="1959" t="n">
        <f aca="false">K1939-L1939</f>
        <v>0</v>
      </c>
      <c r="Q1939" s="1960" t="n">
        <f aca="false">I1939-M1939</f>
        <v>0</v>
      </c>
      <c r="R1939" s="1960" t="n">
        <f aca="false">G1939-N1939</f>
        <v>0</v>
      </c>
    </row>
    <row r="1940" customFormat="false" ht="14.25" hidden="false" customHeight="false" outlineLevel="0" collapsed="false">
      <c r="A1940" s="829" t="n">
        <v>6</v>
      </c>
      <c r="B1940" s="830" t="n">
        <v>2025</v>
      </c>
      <c r="C1940" s="1965" t="n">
        <v>46023</v>
      </c>
      <c r="D1940" s="1328" t="s">
        <v>6</v>
      </c>
      <c r="E1940" s="1607" t="s">
        <v>1652</v>
      </c>
      <c r="F1940" s="832" t="s">
        <v>3364</v>
      </c>
      <c r="G1940" s="837" t="n">
        <v>666</v>
      </c>
      <c r="H1940" s="837" t="n">
        <v>15</v>
      </c>
      <c r="I1940" s="837" t="n">
        <f aca="false">G1940*H1940</f>
        <v>9990</v>
      </c>
      <c r="J1940" s="1526" t="n">
        <v>46.7607</v>
      </c>
      <c r="K1940" s="943" t="n">
        <f aca="false">I1940*J1940</f>
        <v>467139.393</v>
      </c>
      <c r="L1940" s="886" t="n">
        <v>378761.67</v>
      </c>
      <c r="M1940" s="886" t="n">
        <v>8100</v>
      </c>
      <c r="N1940" s="886" t="n">
        <f aca="false">M1940/H1940</f>
        <v>540</v>
      </c>
      <c r="O1940" s="1595" t="s">
        <v>804</v>
      </c>
      <c r="P1940" s="1948" t="n">
        <f aca="false">K1940-L1940-L1941</f>
        <v>0</v>
      </c>
      <c r="Q1940" s="1934" t="n">
        <f aca="false">I1940-M1940-M1941</f>
        <v>0</v>
      </c>
      <c r="R1940" s="1935" t="n">
        <f aca="false">G1940-N1940-N1941</f>
        <v>0</v>
      </c>
    </row>
    <row r="1941" customFormat="false" ht="14.25" hidden="false" customHeight="false" outlineLevel="0" collapsed="false">
      <c r="A1941" s="829"/>
      <c r="B1941" s="830"/>
      <c r="C1941" s="1965"/>
      <c r="D1941" s="843" t="s">
        <v>6</v>
      </c>
      <c r="E1941" s="1357" t="s">
        <v>1652</v>
      </c>
      <c r="F1941" s="832"/>
      <c r="G1941" s="837"/>
      <c r="H1941" s="837"/>
      <c r="I1941" s="837"/>
      <c r="J1941" s="1526"/>
      <c r="K1941" s="943"/>
      <c r="L1941" s="846" t="n">
        <v>88377.723</v>
      </c>
      <c r="M1941" s="846" t="n">
        <v>1890</v>
      </c>
      <c r="N1941" s="846" t="n">
        <f aca="false">M1941/H1940</f>
        <v>126</v>
      </c>
      <c r="O1941" s="1936" t="s">
        <v>804</v>
      </c>
      <c r="P1941" s="1948"/>
      <c r="Q1941" s="1934"/>
      <c r="R1941" s="1935"/>
    </row>
    <row r="1942" customFormat="false" ht="14.25" hidden="false" customHeight="false" outlineLevel="0" collapsed="false">
      <c r="A1942" s="903" t="n">
        <v>7</v>
      </c>
      <c r="B1942" s="903" t="n">
        <v>2025</v>
      </c>
      <c r="C1942" s="1974" t="n">
        <v>46023</v>
      </c>
      <c r="D1942" s="904" t="s">
        <v>6</v>
      </c>
      <c r="E1942" s="1351" t="s">
        <v>1652</v>
      </c>
      <c r="F1942" s="904" t="s">
        <v>3364</v>
      </c>
      <c r="G1942" s="942" t="n">
        <v>666</v>
      </c>
      <c r="H1942" s="942" t="n">
        <v>15</v>
      </c>
      <c r="I1942" s="1355" t="n">
        <f aca="false">G1942*H1942</f>
        <v>9990</v>
      </c>
      <c r="J1942" s="1524" t="n">
        <v>46.7607</v>
      </c>
      <c r="K1942" s="1138" t="n">
        <f aca="false">I1942*J1942</f>
        <v>467139.393</v>
      </c>
      <c r="L1942" s="891" t="n">
        <v>467139.393</v>
      </c>
      <c r="M1942" s="891" t="n">
        <v>9990</v>
      </c>
      <c r="N1942" s="891" t="n">
        <f aca="false">M1942/H1942</f>
        <v>666</v>
      </c>
      <c r="O1942" s="1943" t="s">
        <v>3525</v>
      </c>
      <c r="P1942" s="1947" t="n">
        <f aca="false">K1942-L1942</f>
        <v>0</v>
      </c>
      <c r="Q1942" s="1945" t="n">
        <f aca="false">I1942-M1942</f>
        <v>0</v>
      </c>
      <c r="R1942" s="1945" t="n">
        <f aca="false">G1942-N1942</f>
        <v>0</v>
      </c>
    </row>
    <row r="1943" customFormat="false" ht="14.25" hidden="false" customHeight="false" outlineLevel="0" collapsed="false">
      <c r="A1943" s="870" t="n">
        <v>8</v>
      </c>
      <c r="B1943" s="1495" t="n">
        <v>2025</v>
      </c>
      <c r="C1943" s="1972" t="n">
        <v>46023</v>
      </c>
      <c r="D1943" s="871" t="s">
        <v>6</v>
      </c>
      <c r="E1943" s="1478" t="s">
        <v>1652</v>
      </c>
      <c r="F1943" s="871" t="s">
        <v>3364</v>
      </c>
      <c r="G1943" s="553" t="n">
        <v>666</v>
      </c>
      <c r="H1943" s="553" t="n">
        <v>15</v>
      </c>
      <c r="I1943" s="1587" t="n">
        <f aca="false">G1943*H1943</f>
        <v>9990</v>
      </c>
      <c r="J1943" s="1525" t="n">
        <v>46.7607</v>
      </c>
      <c r="K1943" s="1151" t="n">
        <f aca="false">I1943*J1943</f>
        <v>467139.393</v>
      </c>
      <c r="L1943" s="877" t="n">
        <v>467139.393</v>
      </c>
      <c r="M1943" s="877" t="n">
        <v>9990</v>
      </c>
      <c r="N1943" s="877" t="n">
        <f aca="false">M1943/H1943</f>
        <v>666</v>
      </c>
      <c r="O1943" s="584" t="s">
        <v>1257</v>
      </c>
      <c r="P1943" s="1959" t="n">
        <f aca="false">K1943-L1943</f>
        <v>0</v>
      </c>
      <c r="Q1943" s="1960" t="n">
        <f aca="false">I1943-M1943</f>
        <v>0</v>
      </c>
      <c r="R1943" s="1960" t="n">
        <f aca="false">G1943-N1943</f>
        <v>0</v>
      </c>
    </row>
    <row r="1944" customFormat="false" ht="14.25" hidden="false" customHeight="false" outlineLevel="0" collapsed="false">
      <c r="A1944" s="829" t="n">
        <v>9</v>
      </c>
      <c r="B1944" s="830" t="n">
        <v>2025</v>
      </c>
      <c r="C1944" s="1965" t="n">
        <v>46023</v>
      </c>
      <c r="D1944" s="831" t="s">
        <v>6</v>
      </c>
      <c r="E1944" s="1365" t="s">
        <v>1652</v>
      </c>
      <c r="F1944" s="832" t="s">
        <v>3364</v>
      </c>
      <c r="G1944" s="837" t="n">
        <v>586</v>
      </c>
      <c r="H1944" s="837" t="n">
        <v>15</v>
      </c>
      <c r="I1944" s="837" t="n">
        <f aca="false">G1944*H1944</f>
        <v>8790</v>
      </c>
      <c r="J1944" s="1526" t="n">
        <v>47.8033</v>
      </c>
      <c r="K1944" s="943" t="n">
        <f aca="false">I1944*J1944</f>
        <v>420191.007</v>
      </c>
      <c r="L1944" s="840" t="n">
        <v>296858.493</v>
      </c>
      <c r="M1944" s="840" t="n">
        <v>6210</v>
      </c>
      <c r="N1944" s="840" t="n">
        <f aca="false">M1944/H1944</f>
        <v>414</v>
      </c>
      <c r="O1944" s="578" t="s">
        <v>1257</v>
      </c>
      <c r="P1944" s="1948" t="n">
        <f aca="false">K1944-L1944-L1945</f>
        <v>0</v>
      </c>
      <c r="Q1944" s="1934" t="n">
        <f aca="false">I1944-M1944-M1945</f>
        <v>0</v>
      </c>
      <c r="R1944" s="1935" t="n">
        <f aca="false">G1944-N1944-N1945</f>
        <v>0</v>
      </c>
    </row>
    <row r="1945" customFormat="false" ht="14.25" hidden="false" customHeight="false" outlineLevel="0" collapsed="false">
      <c r="A1945" s="829"/>
      <c r="B1945" s="830"/>
      <c r="C1945" s="1965"/>
      <c r="D1945" s="843" t="s">
        <v>6</v>
      </c>
      <c r="E1945" s="1357" t="s">
        <v>1652</v>
      </c>
      <c r="F1945" s="832"/>
      <c r="G1945" s="837"/>
      <c r="H1945" s="837"/>
      <c r="I1945" s="837"/>
      <c r="J1945" s="1526"/>
      <c r="K1945" s="943"/>
      <c r="L1945" s="846" t="n">
        <v>123332.514</v>
      </c>
      <c r="M1945" s="846" t="n">
        <v>2580</v>
      </c>
      <c r="N1945" s="846" t="n">
        <f aca="false">M1945/H1944</f>
        <v>172</v>
      </c>
      <c r="O1945" s="1936" t="s">
        <v>1257</v>
      </c>
      <c r="P1945" s="1948"/>
      <c r="Q1945" s="1934"/>
      <c r="R1945" s="1935"/>
    </row>
    <row r="1946" customFormat="false" ht="14.25" hidden="false" customHeight="false" outlineLevel="0" collapsed="false">
      <c r="A1946" s="1609" t="n">
        <v>10</v>
      </c>
      <c r="B1946" s="903" t="n">
        <v>2025</v>
      </c>
      <c r="C1946" s="1974" t="n">
        <v>46023</v>
      </c>
      <c r="D1946" s="904" t="s">
        <v>6</v>
      </c>
      <c r="E1946" s="1351" t="s">
        <v>1652</v>
      </c>
      <c r="F1946" s="904" t="s">
        <v>3364</v>
      </c>
      <c r="G1946" s="942" t="n">
        <v>631</v>
      </c>
      <c r="H1946" s="942" t="n">
        <v>15</v>
      </c>
      <c r="I1946" s="942" t="n">
        <f aca="false">G1946*H1946</f>
        <v>9465</v>
      </c>
      <c r="J1946" s="1524" t="n">
        <v>41.8722</v>
      </c>
      <c r="K1946" s="948" t="n">
        <f aca="false">I1946*J1946</f>
        <v>396320.373</v>
      </c>
      <c r="L1946" s="891" t="n">
        <v>39569.229</v>
      </c>
      <c r="M1946" s="891" t="n">
        <v>945</v>
      </c>
      <c r="N1946" s="891" t="n">
        <f aca="false">M1946/H1946</f>
        <v>63</v>
      </c>
      <c r="O1946" s="1943" t="s">
        <v>3526</v>
      </c>
      <c r="P1946" s="2009" t="n">
        <f aca="false">K1946-L1946-L1947</f>
        <v>0</v>
      </c>
      <c r="Q1946" s="2000" t="n">
        <f aca="false">I1946-M1946-M1947</f>
        <v>0</v>
      </c>
      <c r="R1946" s="2005" t="n">
        <f aca="false">G1946-N1946-N1947</f>
        <v>0</v>
      </c>
    </row>
    <row r="1947" customFormat="false" ht="14.25" hidden="false" customHeight="false" outlineLevel="0" collapsed="false">
      <c r="A1947" s="1609"/>
      <c r="B1947" s="903"/>
      <c r="C1947" s="1974"/>
      <c r="D1947" s="871" t="s">
        <v>6</v>
      </c>
      <c r="E1947" s="1478" t="s">
        <v>1652</v>
      </c>
      <c r="F1947" s="904"/>
      <c r="G1947" s="942"/>
      <c r="H1947" s="942"/>
      <c r="I1947" s="942"/>
      <c r="J1947" s="1524"/>
      <c r="K1947" s="948"/>
      <c r="L1947" s="877" t="n">
        <v>356751.144</v>
      </c>
      <c r="M1947" s="877" t="n">
        <v>8520</v>
      </c>
      <c r="N1947" s="877" t="n">
        <f aca="false">M1947/H1946</f>
        <v>568</v>
      </c>
      <c r="O1947" s="584" t="s">
        <v>1012</v>
      </c>
      <c r="P1947" s="2009"/>
      <c r="Q1947" s="2000"/>
      <c r="R1947" s="2005"/>
    </row>
    <row r="1948" customFormat="false" ht="14.25" hidden="false" customHeight="false" outlineLevel="0" collapsed="false">
      <c r="A1948" s="829" t="n">
        <v>11</v>
      </c>
      <c r="B1948" s="830" t="n">
        <v>2025</v>
      </c>
      <c r="C1948" s="1965" t="n">
        <v>46023</v>
      </c>
      <c r="D1948" s="831" t="s">
        <v>6</v>
      </c>
      <c r="E1948" s="1365" t="s">
        <v>1652</v>
      </c>
      <c r="F1948" s="832" t="s">
        <v>3364</v>
      </c>
      <c r="G1948" s="837" t="n">
        <v>385</v>
      </c>
      <c r="H1948" s="837" t="n">
        <v>15</v>
      </c>
      <c r="I1948" s="837" t="n">
        <f aca="false">G1948*H1948</f>
        <v>5775</v>
      </c>
      <c r="J1948" s="1526" t="n">
        <v>50.909</v>
      </c>
      <c r="K1948" s="943" t="n">
        <f aca="false">I1948*J1948</f>
        <v>293999.475</v>
      </c>
      <c r="L1948" s="886" t="n">
        <v>25963.59</v>
      </c>
      <c r="M1948" s="886" t="n">
        <v>510</v>
      </c>
      <c r="N1948" s="886" t="n">
        <f aca="false">M1948/H1948</f>
        <v>34</v>
      </c>
      <c r="O1948" s="1595" t="s">
        <v>3527</v>
      </c>
      <c r="P1948" s="1934" t="n">
        <f aca="false">K1948-L1948-L1951-L1950-L1949</f>
        <v>-7.27595761418343E-011</v>
      </c>
      <c r="Q1948" s="1934" t="n">
        <f aca="false">I1948-M1948-M1951-M1950-M1949</f>
        <v>0</v>
      </c>
      <c r="R1948" s="1935" t="n">
        <f aca="false">G1948-N1948-N1951-N1950-N1949</f>
        <v>0</v>
      </c>
    </row>
    <row r="1949" customFormat="false" ht="14.25" hidden="false" customHeight="false" outlineLevel="0" collapsed="false">
      <c r="A1949" s="829"/>
      <c r="B1949" s="830"/>
      <c r="C1949" s="1965"/>
      <c r="D1949" s="860" t="s">
        <v>6</v>
      </c>
      <c r="E1949" s="1480" t="s">
        <v>1652</v>
      </c>
      <c r="F1949" s="832"/>
      <c r="G1949" s="837"/>
      <c r="H1949" s="837"/>
      <c r="I1949" s="837"/>
      <c r="J1949" s="1526"/>
      <c r="K1949" s="943"/>
      <c r="L1949" s="866" t="n">
        <v>51163.545</v>
      </c>
      <c r="M1949" s="866" t="n">
        <v>1005</v>
      </c>
      <c r="N1949" s="866" t="n">
        <f aca="false">M1949/H1948</f>
        <v>67</v>
      </c>
      <c r="O1949" s="545" t="s">
        <v>1129</v>
      </c>
      <c r="P1949" s="1934"/>
      <c r="Q1949" s="1934"/>
      <c r="R1949" s="1935"/>
    </row>
    <row r="1950" customFormat="false" ht="14.25" hidden="false" customHeight="false" outlineLevel="0" collapsed="false">
      <c r="A1950" s="829"/>
      <c r="B1950" s="830"/>
      <c r="C1950" s="1965"/>
      <c r="D1950" s="860" t="s">
        <v>6</v>
      </c>
      <c r="E1950" s="1480" t="s">
        <v>1652</v>
      </c>
      <c r="F1950" s="832"/>
      <c r="G1950" s="837"/>
      <c r="H1950" s="837"/>
      <c r="I1950" s="837"/>
      <c r="J1950" s="1526"/>
      <c r="K1950" s="943"/>
      <c r="L1950" s="866" t="n">
        <v>203890.545</v>
      </c>
      <c r="M1950" s="866" t="n">
        <v>4005</v>
      </c>
      <c r="N1950" s="866" t="n">
        <f aca="false">M1950/H1948</f>
        <v>267</v>
      </c>
      <c r="O1950" s="545" t="s">
        <v>1052</v>
      </c>
      <c r="P1950" s="1934"/>
      <c r="Q1950" s="1934"/>
      <c r="R1950" s="1935"/>
    </row>
    <row r="1951" customFormat="false" ht="14.25" hidden="false" customHeight="false" outlineLevel="0" collapsed="false">
      <c r="A1951" s="829"/>
      <c r="B1951" s="830"/>
      <c r="C1951" s="1965"/>
      <c r="D1951" s="843" t="s">
        <v>6</v>
      </c>
      <c r="E1951" s="1357" t="s">
        <v>1652</v>
      </c>
      <c r="F1951" s="832"/>
      <c r="G1951" s="837"/>
      <c r="H1951" s="837"/>
      <c r="I1951" s="837"/>
      <c r="J1951" s="1526"/>
      <c r="K1951" s="943"/>
      <c r="L1951" s="846" t="n">
        <v>12981.795</v>
      </c>
      <c r="M1951" s="846" t="n">
        <v>255</v>
      </c>
      <c r="N1951" s="846" t="n">
        <f aca="false">M1951/H1948</f>
        <v>17</v>
      </c>
      <c r="O1951" s="1936" t="s">
        <v>1013</v>
      </c>
      <c r="P1951" s="1934"/>
      <c r="Q1951" s="1934"/>
      <c r="R1951" s="1935"/>
    </row>
    <row r="1952" customFormat="false" ht="14.25" hidden="false" customHeight="false" outlineLevel="0" collapsed="false">
      <c r="A1952" s="903" t="n">
        <v>12</v>
      </c>
      <c r="B1952" s="903" t="n">
        <v>2025</v>
      </c>
      <c r="C1952" s="1974" t="n">
        <v>46023</v>
      </c>
      <c r="D1952" s="904" t="s">
        <v>6</v>
      </c>
      <c r="E1952" s="1351" t="s">
        <v>1652</v>
      </c>
      <c r="F1952" s="904" t="s">
        <v>3364</v>
      </c>
      <c r="G1952" s="942" t="n">
        <v>563</v>
      </c>
      <c r="H1952" s="942" t="n">
        <v>15</v>
      </c>
      <c r="I1952" s="1355" t="n">
        <f aca="false">G1952*H1952</f>
        <v>8445</v>
      </c>
      <c r="J1952" s="1524" t="n">
        <v>60.9236</v>
      </c>
      <c r="K1952" s="1138" t="n">
        <f aca="false">I1952*J1952</f>
        <v>514499.802</v>
      </c>
      <c r="L1952" s="891" t="n">
        <v>514499.802</v>
      </c>
      <c r="M1952" s="891" t="n">
        <v>8445</v>
      </c>
      <c r="N1952" s="886" t="n">
        <f aca="false">M1952/H1952</f>
        <v>563</v>
      </c>
      <c r="O1952" s="1943" t="s">
        <v>1257</v>
      </c>
      <c r="P1952" s="1947" t="n">
        <f aca="false">K1952-L1952</f>
        <v>0</v>
      </c>
      <c r="Q1952" s="1945" t="n">
        <f aca="false">I1952-M1952</f>
        <v>0</v>
      </c>
      <c r="R1952" s="1945" t="n">
        <f aca="false">G1952-N1952</f>
        <v>0</v>
      </c>
    </row>
    <row r="1953" customFormat="false" ht="14.25" hidden="false" customHeight="false" outlineLevel="0" collapsed="false">
      <c r="A1953" s="829" t="n">
        <v>13</v>
      </c>
      <c r="B1953" s="830" t="n">
        <v>2025</v>
      </c>
      <c r="C1953" s="1965" t="n">
        <v>46023</v>
      </c>
      <c r="D1953" s="1328" t="s">
        <v>6</v>
      </c>
      <c r="E1953" s="1607" t="s">
        <v>1652</v>
      </c>
      <c r="F1953" s="832" t="s">
        <v>3364</v>
      </c>
      <c r="G1953" s="837" t="n">
        <v>666</v>
      </c>
      <c r="H1953" s="837" t="n">
        <v>15</v>
      </c>
      <c r="I1953" s="837" t="n">
        <f aca="false">G1953*H1953</f>
        <v>9990</v>
      </c>
      <c r="J1953" s="1526" t="n">
        <v>43.3244</v>
      </c>
      <c r="K1953" s="943" t="n">
        <f aca="false">I1953*J1953</f>
        <v>432810.756</v>
      </c>
      <c r="L1953" s="886" t="n">
        <v>22095.444</v>
      </c>
      <c r="M1953" s="886" t="n">
        <v>510</v>
      </c>
      <c r="N1953" s="886" t="n">
        <f aca="false">M1953/H1953</f>
        <v>34</v>
      </c>
      <c r="O1953" s="1595" t="s">
        <v>3528</v>
      </c>
      <c r="P1953" s="1948" t="n">
        <f aca="false">K1953-L1953-L1962-L1961-L1954-L1955-L1960-L1956-L1959-L1957-L1958</f>
        <v>1299.73199999997</v>
      </c>
      <c r="Q1953" s="1934" t="n">
        <f aca="false">I1953-M1953-M1962-M1961-M1954-M1955-M1960-M1956-M1959-M1957-M1958</f>
        <v>30</v>
      </c>
      <c r="R1953" s="1935" t="n">
        <f aca="false">G1953-N1953-N1962-N1961-N1954-N1955-N1960-N1956-N1959-N1958-N1957</f>
        <v>2</v>
      </c>
    </row>
    <row r="1954" customFormat="false" ht="14.25" hidden="false" customHeight="false" outlineLevel="0" collapsed="false">
      <c r="A1954" s="829"/>
      <c r="B1954" s="830"/>
      <c r="C1954" s="1965"/>
      <c r="D1954" s="860" t="s">
        <v>6</v>
      </c>
      <c r="E1954" s="1480" t="s">
        <v>1652</v>
      </c>
      <c r="F1954" s="832"/>
      <c r="G1954" s="837"/>
      <c r="H1954" s="837"/>
      <c r="I1954" s="837"/>
      <c r="J1954" s="1526"/>
      <c r="K1954" s="943"/>
      <c r="L1954" s="866" t="n">
        <v>51989.28</v>
      </c>
      <c r="M1954" s="866" t="n">
        <v>1200</v>
      </c>
      <c r="N1954" s="866" t="n">
        <f aca="false">M1954/H1953</f>
        <v>80</v>
      </c>
      <c r="O1954" s="545" t="s">
        <v>1069</v>
      </c>
      <c r="P1954" s="1948"/>
      <c r="Q1954" s="1934"/>
      <c r="R1954" s="1935"/>
    </row>
    <row r="1955" customFormat="false" ht="14.25" hidden="false" customHeight="false" outlineLevel="0" collapsed="false">
      <c r="A1955" s="829"/>
      <c r="B1955" s="830"/>
      <c r="C1955" s="1965"/>
      <c r="D1955" s="860" t="s">
        <v>6</v>
      </c>
      <c r="E1955" s="1480" t="s">
        <v>1652</v>
      </c>
      <c r="F1955" s="832"/>
      <c r="G1955" s="837"/>
      <c r="H1955" s="837"/>
      <c r="I1955" s="837"/>
      <c r="J1955" s="1526"/>
      <c r="K1955" s="943"/>
      <c r="L1955" s="866" t="n">
        <v>108527.622</v>
      </c>
      <c r="M1955" s="866" t="n">
        <v>2505</v>
      </c>
      <c r="N1955" s="866" t="n">
        <f aca="false">M1955/H1953</f>
        <v>167</v>
      </c>
      <c r="O1955" s="545" t="s">
        <v>1070</v>
      </c>
      <c r="P1955" s="1948"/>
      <c r="Q1955" s="1934"/>
      <c r="R1955" s="1935"/>
    </row>
    <row r="1956" customFormat="false" ht="14.25" hidden="false" customHeight="false" outlineLevel="0" collapsed="false">
      <c r="A1956" s="829"/>
      <c r="B1956" s="830"/>
      <c r="C1956" s="1965"/>
      <c r="D1956" s="860" t="s">
        <v>6</v>
      </c>
      <c r="E1956" s="1480" t="s">
        <v>1652</v>
      </c>
      <c r="F1956" s="832"/>
      <c r="G1956" s="837"/>
      <c r="H1956" s="837"/>
      <c r="I1956" s="837"/>
      <c r="J1956" s="1526"/>
      <c r="K1956" s="943"/>
      <c r="L1956" s="866" t="n">
        <v>34442.898</v>
      </c>
      <c r="M1956" s="866" t="n">
        <v>795</v>
      </c>
      <c r="N1956" s="866" t="n">
        <f aca="false">M1956/H1953</f>
        <v>53</v>
      </c>
      <c r="O1956" s="545" t="s">
        <v>1099</v>
      </c>
      <c r="P1956" s="1948"/>
      <c r="Q1956" s="1934"/>
      <c r="R1956" s="1935"/>
    </row>
    <row r="1957" customFormat="false" ht="14.25" hidden="false" customHeight="false" outlineLevel="0" collapsed="false">
      <c r="A1957" s="829"/>
      <c r="B1957" s="830"/>
      <c r="C1957" s="1965"/>
      <c r="D1957" s="860" t="s">
        <v>6</v>
      </c>
      <c r="E1957" s="1480" t="s">
        <v>1652</v>
      </c>
      <c r="F1957" s="832"/>
      <c r="G1957" s="837"/>
      <c r="H1957" s="837"/>
      <c r="I1957" s="837"/>
      <c r="J1957" s="1526"/>
      <c r="K1957" s="943"/>
      <c r="L1957" s="866" t="n">
        <v>649.866</v>
      </c>
      <c r="M1957" s="866" t="n">
        <v>15</v>
      </c>
      <c r="N1957" s="866" t="n">
        <f aca="false">M1957/H1953</f>
        <v>1</v>
      </c>
      <c r="O1957" s="545" t="s">
        <v>1362</v>
      </c>
      <c r="P1957" s="1948"/>
      <c r="Q1957" s="1934"/>
      <c r="R1957" s="1935"/>
    </row>
    <row r="1958" customFormat="false" ht="14.25" hidden="false" customHeight="false" outlineLevel="0" collapsed="false">
      <c r="A1958" s="829"/>
      <c r="B1958" s="830"/>
      <c r="C1958" s="1965"/>
      <c r="D1958" s="860" t="s">
        <v>6</v>
      </c>
      <c r="E1958" s="1480" t="s">
        <v>1652</v>
      </c>
      <c r="F1958" s="832"/>
      <c r="G1958" s="837"/>
      <c r="H1958" s="837"/>
      <c r="I1958" s="837"/>
      <c r="J1958" s="1526"/>
      <c r="K1958" s="943"/>
      <c r="L1958" s="866" t="n">
        <v>-1949.598</v>
      </c>
      <c r="M1958" s="866" t="n">
        <v>-45</v>
      </c>
      <c r="N1958" s="866" t="n">
        <f aca="false">M1958/H1953</f>
        <v>-3</v>
      </c>
      <c r="O1958" s="545" t="s">
        <v>1375</v>
      </c>
      <c r="P1958" s="1948"/>
      <c r="Q1958" s="1934"/>
      <c r="R1958" s="1935"/>
    </row>
    <row r="1959" customFormat="false" ht="14.25" hidden="false" customHeight="false" outlineLevel="0" collapsed="false">
      <c r="A1959" s="829"/>
      <c r="B1959" s="830"/>
      <c r="C1959" s="1965"/>
      <c r="D1959" s="860" t="s">
        <v>6</v>
      </c>
      <c r="E1959" s="1480" t="s">
        <v>1652</v>
      </c>
      <c r="F1959" s="832"/>
      <c r="G1959" s="837"/>
      <c r="H1959" s="837"/>
      <c r="I1959" s="837"/>
      <c r="J1959" s="1526"/>
      <c r="K1959" s="943"/>
      <c r="L1959" s="866" t="n">
        <v>131272.932</v>
      </c>
      <c r="M1959" s="866" t="n">
        <v>3030</v>
      </c>
      <c r="N1959" s="866" t="n">
        <f aca="false">M1959/H1953</f>
        <v>202</v>
      </c>
      <c r="O1959" s="545" t="s">
        <v>1129</v>
      </c>
      <c r="P1959" s="1948"/>
      <c r="Q1959" s="1934"/>
      <c r="R1959" s="1935"/>
    </row>
    <row r="1960" customFormat="false" ht="14.25" hidden="false" customHeight="false" outlineLevel="0" collapsed="false">
      <c r="A1960" s="829"/>
      <c r="B1960" s="830"/>
      <c r="C1960" s="1965"/>
      <c r="D1960" s="860" t="s">
        <v>6</v>
      </c>
      <c r="E1960" s="1480" t="s">
        <v>1652</v>
      </c>
      <c r="F1960" s="832"/>
      <c r="G1960" s="837"/>
      <c r="H1960" s="837"/>
      <c r="I1960" s="837"/>
      <c r="J1960" s="1526"/>
      <c r="K1960" s="943"/>
      <c r="L1960" s="866" t="n">
        <v>25994.64</v>
      </c>
      <c r="M1960" s="866" t="n">
        <v>600</v>
      </c>
      <c r="N1960" s="866" t="n">
        <f aca="false">M1960/H1953</f>
        <v>40</v>
      </c>
      <c r="O1960" s="545" t="s">
        <v>1080</v>
      </c>
      <c r="P1960" s="1948"/>
      <c r="Q1960" s="1934"/>
      <c r="R1960" s="1935"/>
    </row>
    <row r="1961" customFormat="false" ht="14.25" hidden="false" customHeight="false" outlineLevel="0" collapsed="false">
      <c r="A1961" s="829"/>
      <c r="B1961" s="830"/>
      <c r="C1961" s="1965"/>
      <c r="D1961" s="860" t="s">
        <v>6</v>
      </c>
      <c r="E1961" s="1480" t="s">
        <v>1652</v>
      </c>
      <c r="F1961" s="832"/>
      <c r="G1961" s="837"/>
      <c r="H1961" s="837"/>
      <c r="I1961" s="837"/>
      <c r="J1961" s="1526"/>
      <c r="K1961" s="943"/>
      <c r="L1961" s="866" t="n">
        <v>7148.526</v>
      </c>
      <c r="M1961" s="866" t="n">
        <v>165</v>
      </c>
      <c r="N1961" s="866" t="n">
        <f aca="false">M1961/H1953</f>
        <v>11</v>
      </c>
      <c r="O1961" s="545" t="s">
        <v>1037</v>
      </c>
      <c r="P1961" s="1948"/>
      <c r="Q1961" s="1934"/>
      <c r="R1961" s="1935"/>
    </row>
    <row r="1962" customFormat="false" ht="14.25" hidden="false" customHeight="false" outlineLevel="0" collapsed="false">
      <c r="A1962" s="829"/>
      <c r="B1962" s="830"/>
      <c r="C1962" s="1965"/>
      <c r="D1962" s="843" t="s">
        <v>6</v>
      </c>
      <c r="E1962" s="1357" t="s">
        <v>1652</v>
      </c>
      <c r="F1962" s="832"/>
      <c r="G1962" s="837"/>
      <c r="H1962" s="837"/>
      <c r="I1962" s="837"/>
      <c r="J1962" s="1526"/>
      <c r="K1962" s="943"/>
      <c r="L1962" s="846" t="n">
        <v>51339.414</v>
      </c>
      <c r="M1962" s="846" t="n">
        <v>1185</v>
      </c>
      <c r="N1962" s="846" t="n">
        <f aca="false">M1962/H1953</f>
        <v>79</v>
      </c>
      <c r="O1962" s="1936" t="s">
        <v>1058</v>
      </c>
      <c r="P1962" s="1948"/>
      <c r="Q1962" s="1934"/>
      <c r="R1962" s="1935"/>
    </row>
    <row r="1963" customFormat="false" ht="14.25" hidden="false" customHeight="false" outlineLevel="0" collapsed="false">
      <c r="A1963" s="903" t="n">
        <v>14</v>
      </c>
      <c r="B1963" s="903" t="n">
        <v>2025</v>
      </c>
      <c r="C1963" s="1974" t="n">
        <v>46023</v>
      </c>
      <c r="D1963" s="904" t="s">
        <v>6</v>
      </c>
      <c r="E1963" s="1351" t="s">
        <v>1652</v>
      </c>
      <c r="F1963" s="904" t="s">
        <v>3364</v>
      </c>
      <c r="G1963" s="942" t="n">
        <v>88</v>
      </c>
      <c r="H1963" s="942" t="n">
        <v>15</v>
      </c>
      <c r="I1963" s="1355" t="n">
        <f aca="false">G1963*H1963</f>
        <v>1320</v>
      </c>
      <c r="J1963" s="1524" t="n">
        <v>43.3244</v>
      </c>
      <c r="K1963" s="1138" t="n">
        <f aca="false">I1963*J1963</f>
        <v>57188.208</v>
      </c>
      <c r="L1963" s="891" t="n">
        <v>57188.208</v>
      </c>
      <c r="M1963" s="891" t="n">
        <v>1320</v>
      </c>
      <c r="N1963" s="891" t="n">
        <f aca="false">M1963/H1963</f>
        <v>88</v>
      </c>
      <c r="O1963" s="1943" t="s">
        <v>1058</v>
      </c>
      <c r="P1963" s="1947" t="n">
        <f aca="false">K1963-L1963</f>
        <v>0</v>
      </c>
      <c r="Q1963" s="1945" t="n">
        <f aca="false">I1963-M1963</f>
        <v>0</v>
      </c>
      <c r="R1963" s="1945" t="n">
        <f aca="false">G1963-N1963</f>
        <v>0</v>
      </c>
    </row>
    <row r="1964" customFormat="false" ht="14.25" hidden="false" customHeight="false" outlineLevel="0" collapsed="false">
      <c r="A1964" s="1027" t="n">
        <v>15</v>
      </c>
      <c r="B1964" s="1546" t="n">
        <v>2025</v>
      </c>
      <c r="C1964" s="1975" t="n">
        <v>46023</v>
      </c>
      <c r="D1964" s="1328" t="s">
        <v>6</v>
      </c>
      <c r="E1964" s="1607" t="s">
        <v>1651</v>
      </c>
      <c r="F1964" s="1328" t="s">
        <v>3364</v>
      </c>
      <c r="G1964" s="1036" t="n">
        <v>666</v>
      </c>
      <c r="H1964" s="1036" t="n">
        <v>15</v>
      </c>
      <c r="I1964" s="1036" t="n">
        <f aca="false">G1964*H1964</f>
        <v>9990</v>
      </c>
      <c r="J1964" s="1528" t="n">
        <v>32.1281</v>
      </c>
      <c r="K1964" s="1547" t="n">
        <f aca="false">I1964*J1964</f>
        <v>320959.719</v>
      </c>
      <c r="L1964" s="886" t="n">
        <v>160961.781</v>
      </c>
      <c r="M1964" s="886" t="n">
        <v>5010</v>
      </c>
      <c r="N1964" s="886" t="n">
        <f aca="false">M1964/H1964</f>
        <v>334</v>
      </c>
      <c r="O1964" s="1595" t="s">
        <v>847</v>
      </c>
      <c r="P1964" s="1984" t="n">
        <f aca="false">K1964-L1964-L1966-L1965</f>
        <v>0</v>
      </c>
      <c r="Q1964" s="1978" t="n">
        <f aca="false">I1964-M1964-M1966-M1965</f>
        <v>0</v>
      </c>
      <c r="R1964" s="1979" t="n">
        <f aca="false">G1964-N1964-N1966-N1965</f>
        <v>0</v>
      </c>
    </row>
    <row r="1965" customFormat="false" ht="14.25" hidden="false" customHeight="false" outlineLevel="0" collapsed="false">
      <c r="A1965" s="1027"/>
      <c r="B1965" s="1546"/>
      <c r="C1965" s="1975"/>
      <c r="D1965" s="860" t="s">
        <v>6</v>
      </c>
      <c r="E1965" s="1480" t="s">
        <v>1651</v>
      </c>
      <c r="F1965" s="1328"/>
      <c r="G1965" s="1036"/>
      <c r="H1965" s="1036"/>
      <c r="I1965" s="1036"/>
      <c r="J1965" s="1528"/>
      <c r="K1965" s="1547"/>
      <c r="L1965" s="866" t="n">
        <v>79035.126</v>
      </c>
      <c r="M1965" s="866" t="n">
        <v>2460</v>
      </c>
      <c r="N1965" s="866" t="n">
        <f aca="false">M1965/H1964</f>
        <v>164</v>
      </c>
      <c r="O1965" s="545" t="s">
        <v>1012</v>
      </c>
      <c r="P1965" s="1984"/>
      <c r="Q1965" s="1978"/>
      <c r="R1965" s="1979"/>
    </row>
    <row r="1966" customFormat="false" ht="14.25" hidden="false" customHeight="false" outlineLevel="0" collapsed="false">
      <c r="A1966" s="1027"/>
      <c r="B1966" s="1546"/>
      <c r="C1966" s="1975"/>
      <c r="D1966" s="871" t="s">
        <v>6</v>
      </c>
      <c r="E1966" s="1478" t="s">
        <v>1651</v>
      </c>
      <c r="F1966" s="1328"/>
      <c r="G1966" s="1036"/>
      <c r="H1966" s="1036"/>
      <c r="I1966" s="1036"/>
      <c r="J1966" s="1528"/>
      <c r="K1966" s="1547"/>
      <c r="L1966" s="877" t="n">
        <v>80962.812</v>
      </c>
      <c r="M1966" s="877" t="n">
        <v>2520</v>
      </c>
      <c r="N1966" s="877" t="n">
        <f aca="false">M1966/H1964</f>
        <v>168</v>
      </c>
      <c r="O1966" s="584" t="s">
        <v>955</v>
      </c>
      <c r="P1966" s="1984"/>
      <c r="Q1966" s="1978"/>
      <c r="R1966" s="1979"/>
    </row>
    <row r="1967" customFormat="false" ht="14.25" hidden="false" customHeight="false" outlineLevel="0" collapsed="false">
      <c r="A1967" s="882" t="n">
        <v>16</v>
      </c>
      <c r="B1967" s="830" t="n">
        <v>2025</v>
      </c>
      <c r="C1967" s="1965" t="n">
        <v>46023</v>
      </c>
      <c r="D1967" s="831" t="s">
        <v>6</v>
      </c>
      <c r="E1967" s="1365" t="s">
        <v>1651</v>
      </c>
      <c r="F1967" s="832" t="s">
        <v>3367</v>
      </c>
      <c r="G1967" s="837" t="n">
        <v>352</v>
      </c>
      <c r="H1967" s="837" t="n">
        <v>10</v>
      </c>
      <c r="I1967" s="837" t="n">
        <f aca="false">G1967*H1967</f>
        <v>3520</v>
      </c>
      <c r="J1967" s="1526" t="n">
        <v>32.1281</v>
      </c>
      <c r="K1967" s="943" t="n">
        <f aca="false">I1967*J1967</f>
        <v>113090.912</v>
      </c>
      <c r="L1967" s="886" t="n">
        <v>16064.05</v>
      </c>
      <c r="M1967" s="886" t="n">
        <v>500</v>
      </c>
      <c r="N1967" s="886" t="n">
        <f aca="false">M1967/H1967</f>
        <v>50</v>
      </c>
      <c r="O1967" s="1595" t="s">
        <v>1015</v>
      </c>
      <c r="P1967" s="1934" t="n">
        <f aca="false">K1967-L1967-L1973-L1972-L1968-L1971-L1969-L1970</f>
        <v>8.98126018000767E-012</v>
      </c>
      <c r="Q1967" s="1934" t="n">
        <f aca="false">I1967-M1967-M1973-M1972-M1968-M1971-M1969-M1970</f>
        <v>0</v>
      </c>
      <c r="R1967" s="1935" t="n">
        <f aca="false">G1967-N1967-N1973-N1972-N1968-N1971-N1969-N1970</f>
        <v>0</v>
      </c>
    </row>
    <row r="1968" customFormat="false" ht="14.25" hidden="false" customHeight="false" outlineLevel="0" collapsed="false">
      <c r="A1968" s="882"/>
      <c r="B1968" s="830"/>
      <c r="C1968" s="1965"/>
      <c r="D1968" s="860" t="s">
        <v>6</v>
      </c>
      <c r="E1968" s="1480" t="s">
        <v>1651</v>
      </c>
      <c r="F1968" s="832"/>
      <c r="G1968" s="837"/>
      <c r="H1968" s="837"/>
      <c r="I1968" s="837"/>
      <c r="J1968" s="1526"/>
      <c r="K1968" s="943"/>
      <c r="L1968" s="866" t="n">
        <v>16064.05</v>
      </c>
      <c r="M1968" s="866" t="n">
        <v>500</v>
      </c>
      <c r="N1968" s="866" t="n">
        <f aca="false">M1968/H1967</f>
        <v>50</v>
      </c>
      <c r="O1968" s="545" t="s">
        <v>1019</v>
      </c>
      <c r="P1968" s="1934"/>
      <c r="Q1968" s="1934"/>
      <c r="R1968" s="1935"/>
    </row>
    <row r="1969" customFormat="false" ht="14.25" hidden="false" customHeight="false" outlineLevel="0" collapsed="false">
      <c r="A1969" s="882"/>
      <c r="B1969" s="830"/>
      <c r="C1969" s="1965"/>
      <c r="D1969" s="860" t="s">
        <v>6</v>
      </c>
      <c r="E1969" s="1480" t="s">
        <v>1651</v>
      </c>
      <c r="F1969" s="832"/>
      <c r="G1969" s="837"/>
      <c r="H1969" s="837"/>
      <c r="I1969" s="837"/>
      <c r="J1969" s="1526"/>
      <c r="K1969" s="943"/>
      <c r="L1969" s="866" t="n">
        <v>642.562</v>
      </c>
      <c r="M1969" s="866" t="n">
        <v>20</v>
      </c>
      <c r="N1969" s="866" t="n">
        <f aca="false">M1969/H1967</f>
        <v>2</v>
      </c>
      <c r="O1969" s="545" t="s">
        <v>1352</v>
      </c>
      <c r="P1969" s="1934"/>
      <c r="Q1969" s="1934"/>
      <c r="R1969" s="1935"/>
    </row>
    <row r="1970" customFormat="false" ht="14.25" hidden="false" customHeight="false" outlineLevel="0" collapsed="false">
      <c r="A1970" s="882"/>
      <c r="B1970" s="830"/>
      <c r="C1970" s="1965"/>
      <c r="D1970" s="860" t="s">
        <v>6</v>
      </c>
      <c r="E1970" s="1480" t="s">
        <v>1651</v>
      </c>
      <c r="F1970" s="832"/>
      <c r="G1970" s="837"/>
      <c r="H1970" s="837"/>
      <c r="I1970" s="837"/>
      <c r="J1970" s="1526"/>
      <c r="K1970" s="943"/>
      <c r="L1970" s="866" t="n">
        <v>-321.28</v>
      </c>
      <c r="M1970" s="866" t="n">
        <v>-10</v>
      </c>
      <c r="N1970" s="866" t="n">
        <f aca="false">M1970/H1967</f>
        <v>-1</v>
      </c>
      <c r="O1970" s="545" t="s">
        <v>1375</v>
      </c>
      <c r="P1970" s="1934"/>
      <c r="Q1970" s="1934"/>
      <c r="R1970" s="1935"/>
    </row>
    <row r="1971" customFormat="false" ht="14.25" hidden="false" customHeight="false" outlineLevel="0" collapsed="false">
      <c r="A1971" s="882"/>
      <c r="B1971" s="830"/>
      <c r="C1971" s="1965"/>
      <c r="D1971" s="860" t="s">
        <v>6</v>
      </c>
      <c r="E1971" s="1480" t="s">
        <v>1651</v>
      </c>
      <c r="F1971" s="832"/>
      <c r="G1971" s="837"/>
      <c r="H1971" s="837"/>
      <c r="I1971" s="837"/>
      <c r="J1971" s="1526"/>
      <c r="K1971" s="943"/>
      <c r="L1971" s="866" t="n">
        <v>321.28</v>
      </c>
      <c r="M1971" s="866" t="n">
        <v>10</v>
      </c>
      <c r="N1971" s="866" t="n">
        <f aca="false">M1971/H1967</f>
        <v>1</v>
      </c>
      <c r="O1971" s="545" t="s">
        <v>1634</v>
      </c>
      <c r="P1971" s="1934"/>
      <c r="Q1971" s="1934"/>
      <c r="R1971" s="1935"/>
    </row>
    <row r="1972" customFormat="false" ht="14.25" hidden="false" customHeight="false" outlineLevel="0" collapsed="false">
      <c r="A1972" s="882"/>
      <c r="B1972" s="830"/>
      <c r="C1972" s="1965"/>
      <c r="D1972" s="860" t="s">
        <v>6</v>
      </c>
      <c r="E1972" s="1480" t="s">
        <v>1651</v>
      </c>
      <c r="F1972" s="832"/>
      <c r="G1972" s="837"/>
      <c r="H1972" s="837"/>
      <c r="I1972" s="837"/>
      <c r="J1972" s="1526"/>
      <c r="K1972" s="943"/>
      <c r="L1972" s="866" t="n">
        <v>64256.2</v>
      </c>
      <c r="M1972" s="866" t="n">
        <v>2000</v>
      </c>
      <c r="N1972" s="866" t="n">
        <f aca="false">M1972/H1967</f>
        <v>200</v>
      </c>
      <c r="O1972" s="545" t="s">
        <v>1017</v>
      </c>
      <c r="P1972" s="1934"/>
      <c r="Q1972" s="1934"/>
      <c r="R1972" s="1935"/>
    </row>
    <row r="1973" customFormat="false" ht="14.25" hidden="false" customHeight="false" outlineLevel="0" collapsed="false">
      <c r="A1973" s="882"/>
      <c r="B1973" s="830"/>
      <c r="C1973" s="1965"/>
      <c r="D1973" s="843" t="s">
        <v>6</v>
      </c>
      <c r="E1973" s="1357" t="s">
        <v>1651</v>
      </c>
      <c r="F1973" s="832"/>
      <c r="G1973" s="837"/>
      <c r="H1973" s="837"/>
      <c r="I1973" s="837"/>
      <c r="J1973" s="1526"/>
      <c r="K1973" s="943"/>
      <c r="L1973" s="846" t="n">
        <v>16064.05</v>
      </c>
      <c r="M1973" s="846" t="n">
        <v>500</v>
      </c>
      <c r="N1973" s="846" t="n">
        <f aca="false">M1973/H1967</f>
        <v>50</v>
      </c>
      <c r="O1973" s="1936" t="s">
        <v>1016</v>
      </c>
      <c r="P1973" s="1934"/>
      <c r="Q1973" s="1934"/>
      <c r="R1973" s="1935"/>
    </row>
    <row r="1974" customFormat="false" ht="14.25" hidden="false" customHeight="false" outlineLevel="0" collapsed="false">
      <c r="A1974" s="1344" t="n">
        <v>17</v>
      </c>
      <c r="B1974" s="903" t="n">
        <v>2025</v>
      </c>
      <c r="C1974" s="1974" t="n">
        <v>46023</v>
      </c>
      <c r="D1974" s="904" t="s">
        <v>6</v>
      </c>
      <c r="E1974" s="1351" t="s">
        <v>1651</v>
      </c>
      <c r="F1974" s="904" t="s">
        <v>3364</v>
      </c>
      <c r="G1974" s="942" t="n">
        <v>617</v>
      </c>
      <c r="H1974" s="942" t="n">
        <v>15</v>
      </c>
      <c r="I1974" s="942" t="n">
        <f aca="false">G1974*H1974</f>
        <v>9255</v>
      </c>
      <c r="J1974" s="1524" t="n">
        <v>32.9022</v>
      </c>
      <c r="K1974" s="948" t="n">
        <f aca="false">I1974*J1974</f>
        <v>304509.861</v>
      </c>
      <c r="L1974" s="891" t="n">
        <v>135030.6288</v>
      </c>
      <c r="M1974" s="891" t="n">
        <v>4104</v>
      </c>
      <c r="N1974" s="912" t="n">
        <f aca="false">M1974/H1974</f>
        <v>273.6</v>
      </c>
      <c r="O1974" s="1943" t="s">
        <v>3529</v>
      </c>
      <c r="P1974" s="2000" t="n">
        <f aca="false">K1974-L1974-L1977-L1976-L1975</f>
        <v>9.97602001007181E-012</v>
      </c>
      <c r="Q1974" s="2000" t="n">
        <f aca="false">I1974-M1974-M1977-M1976-M1975</f>
        <v>0</v>
      </c>
      <c r="R1974" s="2005" t="n">
        <f aca="false">G1974-N1974-N1977-N1976-N1975</f>
        <v>-2.27595720048157E-014</v>
      </c>
    </row>
    <row r="1975" customFormat="false" ht="14.25" hidden="false" customHeight="false" outlineLevel="0" collapsed="false">
      <c r="A1975" s="1344"/>
      <c r="B1975" s="903"/>
      <c r="C1975" s="1974"/>
      <c r="D1975" s="860" t="s">
        <v>6</v>
      </c>
      <c r="E1975" s="1480" t="s">
        <v>1651</v>
      </c>
      <c r="F1975" s="904"/>
      <c r="G1975" s="942"/>
      <c r="H1975" s="942"/>
      <c r="I1975" s="942"/>
      <c r="J1975" s="1524"/>
      <c r="K1975" s="948"/>
      <c r="L1975" s="866" t="n">
        <v>197.4132</v>
      </c>
      <c r="M1975" s="866" t="n">
        <v>6</v>
      </c>
      <c r="N1975" s="1448" t="n">
        <f aca="false">M1975/H1974</f>
        <v>0.4</v>
      </c>
      <c r="O1975" s="545" t="s">
        <v>1634</v>
      </c>
      <c r="P1975" s="2000"/>
      <c r="Q1975" s="2000"/>
      <c r="R1975" s="2005"/>
    </row>
    <row r="1976" customFormat="false" ht="14.25" hidden="false" customHeight="false" outlineLevel="0" collapsed="false">
      <c r="A1976" s="1344"/>
      <c r="B1976" s="903"/>
      <c r="C1976" s="1974"/>
      <c r="D1976" s="860" t="s">
        <v>6</v>
      </c>
      <c r="E1976" s="1480" t="s">
        <v>1651</v>
      </c>
      <c r="F1976" s="904"/>
      <c r="G1976" s="942"/>
      <c r="H1976" s="942"/>
      <c r="I1976" s="942"/>
      <c r="J1976" s="1524"/>
      <c r="K1976" s="948"/>
      <c r="L1976" s="866" t="n">
        <v>132266.844</v>
      </c>
      <c r="M1976" s="866" t="n">
        <v>4020</v>
      </c>
      <c r="N1976" s="866" t="n">
        <f aca="false">M1976/H1974</f>
        <v>268</v>
      </c>
      <c r="O1976" s="545" t="s">
        <v>1012</v>
      </c>
      <c r="P1976" s="2000"/>
      <c r="Q1976" s="2000"/>
      <c r="R1976" s="2005"/>
    </row>
    <row r="1977" customFormat="false" ht="14.25" hidden="false" customHeight="false" outlineLevel="0" collapsed="false">
      <c r="A1977" s="1344"/>
      <c r="B1977" s="903"/>
      <c r="C1977" s="1974"/>
      <c r="D1977" s="871" t="s">
        <v>6</v>
      </c>
      <c r="E1977" s="1478" t="s">
        <v>1651</v>
      </c>
      <c r="F1977" s="904"/>
      <c r="G1977" s="942"/>
      <c r="H1977" s="942"/>
      <c r="I1977" s="942"/>
      <c r="J1977" s="1524"/>
      <c r="K1977" s="948"/>
      <c r="L1977" s="877" t="n">
        <v>37014.975</v>
      </c>
      <c r="M1977" s="877" t="n">
        <v>1125</v>
      </c>
      <c r="N1977" s="877" t="n">
        <f aca="false">M1977/H1974</f>
        <v>75</v>
      </c>
      <c r="O1977" s="584" t="s">
        <v>3530</v>
      </c>
      <c r="P1977" s="2000"/>
      <c r="Q1977" s="2000"/>
      <c r="R1977" s="2005"/>
    </row>
    <row r="1978" customFormat="false" ht="14.25" hidden="false" customHeight="false" outlineLevel="0" collapsed="false">
      <c r="A1978" s="882" t="n">
        <v>38</v>
      </c>
      <c r="B1978" s="830" t="n">
        <v>2025</v>
      </c>
      <c r="C1978" s="1965" t="n">
        <v>46023</v>
      </c>
      <c r="D1978" s="831" t="s">
        <v>6</v>
      </c>
      <c r="E1978" s="1365" t="s">
        <v>1651</v>
      </c>
      <c r="F1978" s="832" t="s">
        <v>3371</v>
      </c>
      <c r="G1978" s="837" t="n">
        <v>342</v>
      </c>
      <c r="H1978" s="837" t="n">
        <v>12</v>
      </c>
      <c r="I1978" s="837" t="n">
        <f aca="false">G1978*H1978</f>
        <v>4104</v>
      </c>
      <c r="J1978" s="1526" t="n">
        <v>32.9022</v>
      </c>
      <c r="K1978" s="943" t="n">
        <f aca="false">I1978*J1978</f>
        <v>135030.6288</v>
      </c>
      <c r="L1978" s="840" t="n">
        <v>134635.8024</v>
      </c>
      <c r="M1978" s="840" t="n">
        <v>4092</v>
      </c>
      <c r="N1978" s="886" t="n">
        <f aca="false">M1978/H1978</f>
        <v>341</v>
      </c>
      <c r="O1978" s="578" t="s">
        <v>1022</v>
      </c>
      <c r="P1978" s="1934" t="n">
        <f aca="false">K1978-L1978-L1980-L1979</f>
        <v>2.00088834390044E-011</v>
      </c>
      <c r="Q1978" s="1934" t="n">
        <f aca="false">I1978-M1978-M1980-M1979</f>
        <v>0</v>
      </c>
      <c r="R1978" s="1935" t="n">
        <f aca="false">G1978-N1978-N1980-N1979</f>
        <v>0</v>
      </c>
    </row>
    <row r="1979" customFormat="false" ht="14.25" hidden="false" customHeight="false" outlineLevel="0" collapsed="false">
      <c r="A1979" s="882"/>
      <c r="B1979" s="830"/>
      <c r="C1979" s="1965"/>
      <c r="D1979" s="904" t="s">
        <v>6</v>
      </c>
      <c r="E1979" s="1351" t="s">
        <v>1651</v>
      </c>
      <c r="F1979" s="832"/>
      <c r="G1979" s="837"/>
      <c r="H1979" s="837"/>
      <c r="I1979" s="837"/>
      <c r="J1979" s="1526"/>
      <c r="K1979" s="943"/>
      <c r="L1979" s="891" t="n">
        <v>1579.3056</v>
      </c>
      <c r="M1979" s="891" t="n">
        <v>48</v>
      </c>
      <c r="N1979" s="866" t="n">
        <f aca="false">M1979/H1978</f>
        <v>4</v>
      </c>
      <c r="O1979" s="1943" t="s">
        <v>1375</v>
      </c>
      <c r="P1979" s="1934"/>
      <c r="Q1979" s="1934"/>
      <c r="R1979" s="1935"/>
    </row>
    <row r="1980" customFormat="false" ht="14.25" hidden="false" customHeight="false" outlineLevel="0" collapsed="false">
      <c r="A1980" s="882"/>
      <c r="B1980" s="830"/>
      <c r="C1980" s="1965"/>
      <c r="D1980" s="843" t="s">
        <v>6</v>
      </c>
      <c r="E1980" s="1357" t="s">
        <v>1651</v>
      </c>
      <c r="F1980" s="832"/>
      <c r="G1980" s="837"/>
      <c r="H1980" s="837"/>
      <c r="I1980" s="837"/>
      <c r="J1980" s="1526"/>
      <c r="K1980" s="943"/>
      <c r="L1980" s="846" t="n">
        <v>-1184.4792</v>
      </c>
      <c r="M1980" s="846" t="n">
        <v>-36</v>
      </c>
      <c r="N1980" s="846" t="n">
        <f aca="false">M1980/H1978</f>
        <v>-3</v>
      </c>
      <c r="O1980" s="1936" t="s">
        <v>1634</v>
      </c>
      <c r="P1980" s="1934"/>
      <c r="Q1980" s="1934"/>
      <c r="R1980" s="1935"/>
    </row>
    <row r="1981" customFormat="false" ht="14.25" hidden="false" customHeight="false" outlineLevel="0" collapsed="false">
      <c r="A1981" s="903" t="n">
        <v>41</v>
      </c>
      <c r="B1981" s="903" t="n">
        <v>2025</v>
      </c>
      <c r="C1981" s="1974" t="n">
        <v>46023</v>
      </c>
      <c r="D1981" s="904" t="s">
        <v>6</v>
      </c>
      <c r="E1981" s="1351" t="s">
        <v>1651</v>
      </c>
      <c r="F1981" s="904" t="s">
        <v>3371</v>
      </c>
      <c r="G1981" s="942" t="n">
        <v>72</v>
      </c>
      <c r="H1981" s="942" t="n">
        <v>12</v>
      </c>
      <c r="I1981" s="1355" t="n">
        <f aca="false">G1981*H1981</f>
        <v>864</v>
      </c>
      <c r="J1981" s="1524" t="n">
        <v>32.5978</v>
      </c>
      <c r="K1981" s="1138" t="n">
        <f aca="false">I1981*J1981</f>
        <v>28164.4992</v>
      </c>
      <c r="L1981" s="891" t="n">
        <v>28164.4992</v>
      </c>
      <c r="M1981" s="891" t="n">
        <v>864</v>
      </c>
      <c r="N1981" s="891" t="n">
        <f aca="false">M1981/H1981</f>
        <v>72</v>
      </c>
      <c r="O1981" s="1943" t="s">
        <v>1022</v>
      </c>
      <c r="P1981" s="1947" t="n">
        <f aca="false">K1981-L1981</f>
        <v>0</v>
      </c>
      <c r="Q1981" s="1945" t="n">
        <f aca="false">I1981-M1981</f>
        <v>0</v>
      </c>
      <c r="R1981" s="1945" t="n">
        <f aca="false">G1981-N1981</f>
        <v>0</v>
      </c>
    </row>
    <row r="1982" customFormat="false" ht="14.25" hidden="false" customHeight="false" outlineLevel="0" collapsed="false">
      <c r="A1982" s="1027" t="n">
        <v>44</v>
      </c>
      <c r="B1982" s="1546" t="n">
        <v>2025</v>
      </c>
      <c r="C1982" s="1975" t="n">
        <v>46023</v>
      </c>
      <c r="D1982" s="1328" t="s">
        <v>6</v>
      </c>
      <c r="E1982" s="1607" t="s">
        <v>1651</v>
      </c>
      <c r="F1982" s="1328" t="s">
        <v>3364</v>
      </c>
      <c r="G1982" s="1036" t="n">
        <v>21</v>
      </c>
      <c r="H1982" s="1036" t="n">
        <v>15</v>
      </c>
      <c r="I1982" s="1036" t="n">
        <f aca="false">G1982*H1982</f>
        <v>315</v>
      </c>
      <c r="J1982" s="1528" t="n">
        <v>40.98</v>
      </c>
      <c r="K1982" s="1547" t="n">
        <f aca="false">I1982*J1982</f>
        <v>12908.7</v>
      </c>
      <c r="L1982" s="886" t="n">
        <v>6147</v>
      </c>
      <c r="M1982" s="886" t="n">
        <v>150</v>
      </c>
      <c r="N1982" s="886" t="n">
        <f aca="false">M1982/H1982</f>
        <v>10</v>
      </c>
      <c r="O1982" s="1595" t="s">
        <v>960</v>
      </c>
      <c r="P1982" s="1984" t="n">
        <f aca="false">K1982-L1982-L1984-L1983</f>
        <v>0</v>
      </c>
      <c r="Q1982" s="1978" t="n">
        <f aca="false">I1982-M1982-M1984-M1983</f>
        <v>0</v>
      </c>
      <c r="R1982" s="1979" t="n">
        <f aca="false">G1982-N1982-N1984-N1983</f>
        <v>0</v>
      </c>
    </row>
    <row r="1983" customFormat="false" ht="14.25" hidden="false" customHeight="false" outlineLevel="0" collapsed="false">
      <c r="A1983" s="1027"/>
      <c r="B1983" s="1546"/>
      <c r="C1983" s="1975"/>
      <c r="D1983" s="860" t="s">
        <v>6</v>
      </c>
      <c r="E1983" s="1480" t="s">
        <v>1651</v>
      </c>
      <c r="F1983" s="1328"/>
      <c r="G1983" s="1036"/>
      <c r="H1983" s="1036"/>
      <c r="I1983" s="1036"/>
      <c r="J1983" s="1528"/>
      <c r="K1983" s="1547"/>
      <c r="L1983" s="866" t="n">
        <v>3073.5</v>
      </c>
      <c r="M1983" s="866" t="n">
        <v>75</v>
      </c>
      <c r="N1983" s="866" t="n">
        <f aca="false">M1983/H1982</f>
        <v>5</v>
      </c>
      <c r="O1983" s="545" t="s">
        <v>1220</v>
      </c>
      <c r="P1983" s="1984"/>
      <c r="Q1983" s="1978"/>
      <c r="R1983" s="1979"/>
    </row>
    <row r="1984" customFormat="false" ht="14.25" hidden="false" customHeight="false" outlineLevel="0" collapsed="false">
      <c r="A1984" s="1027"/>
      <c r="B1984" s="1546"/>
      <c r="C1984" s="1975"/>
      <c r="D1984" s="871" t="s">
        <v>6</v>
      </c>
      <c r="E1984" s="1478" t="s">
        <v>1651</v>
      </c>
      <c r="F1984" s="1328"/>
      <c r="G1984" s="1036"/>
      <c r="H1984" s="1036"/>
      <c r="I1984" s="1036"/>
      <c r="J1984" s="1528"/>
      <c r="K1984" s="1547"/>
      <c r="L1984" s="877" t="n">
        <v>3688.2</v>
      </c>
      <c r="M1984" s="877" t="n">
        <v>90</v>
      </c>
      <c r="N1984" s="877" t="n">
        <f aca="false">M1984/H1982</f>
        <v>6</v>
      </c>
      <c r="O1984" s="584" t="s">
        <v>3531</v>
      </c>
      <c r="P1984" s="1984"/>
      <c r="Q1984" s="1978"/>
      <c r="R1984" s="1979"/>
    </row>
    <row r="1985" customFormat="false" ht="14.25" hidden="false" customHeight="false" outlineLevel="0" collapsed="false">
      <c r="A1985" s="1027" t="n">
        <v>100</v>
      </c>
      <c r="B1985" s="1546" t="n">
        <v>2025</v>
      </c>
      <c r="C1985" s="1975" t="n">
        <v>46023</v>
      </c>
      <c r="D1985" s="831" t="s">
        <v>6</v>
      </c>
      <c r="E1985" s="1365" t="s">
        <v>2619</v>
      </c>
      <c r="F1985" s="1328" t="s">
        <v>3364</v>
      </c>
      <c r="G1985" s="1036" t="n">
        <v>71</v>
      </c>
      <c r="H1985" s="1036" t="n">
        <v>30</v>
      </c>
      <c r="I1985" s="1036" t="n">
        <f aca="false">G1985*H1985</f>
        <v>2130</v>
      </c>
      <c r="J1985" s="1528" t="n">
        <v>96.6</v>
      </c>
      <c r="K1985" s="1547" t="n">
        <f aca="false">I1985*J1985</f>
        <v>205758</v>
      </c>
      <c r="L1985" s="840" t="n">
        <v>98532</v>
      </c>
      <c r="M1985" s="840" t="n">
        <v>1020</v>
      </c>
      <c r="N1985" s="886" t="n">
        <f aca="false">M1985/H1985</f>
        <v>34</v>
      </c>
      <c r="O1985" s="578" t="s">
        <v>1101</v>
      </c>
      <c r="P1985" s="1984" t="n">
        <f aca="false">K1985-L1985-L1987-L1986</f>
        <v>0</v>
      </c>
      <c r="Q1985" s="1978" t="n">
        <f aca="false">I1985-M1985-M1987-M1986</f>
        <v>0</v>
      </c>
      <c r="R1985" s="1979" t="n">
        <f aca="false">G1985-N1985-N1987-N1986</f>
        <v>0</v>
      </c>
    </row>
    <row r="1986" customFormat="false" ht="14.25" hidden="false" customHeight="false" outlineLevel="0" collapsed="false">
      <c r="A1986" s="1027"/>
      <c r="B1986" s="1546"/>
      <c r="C1986" s="1975"/>
      <c r="D1986" s="904" t="s">
        <v>6</v>
      </c>
      <c r="E1986" s="1351" t="s">
        <v>2619</v>
      </c>
      <c r="F1986" s="1328"/>
      <c r="G1986" s="1036"/>
      <c r="H1986" s="1036"/>
      <c r="I1986" s="1036"/>
      <c r="J1986" s="1528"/>
      <c r="K1986" s="1547"/>
      <c r="L1986" s="891" t="n">
        <v>20286</v>
      </c>
      <c r="M1986" s="891" t="n">
        <v>210</v>
      </c>
      <c r="N1986" s="866" t="n">
        <f aca="false">M1986/H1985</f>
        <v>7</v>
      </c>
      <c r="O1986" s="1943" t="s">
        <v>1105</v>
      </c>
      <c r="P1986" s="1984"/>
      <c r="Q1986" s="1978"/>
      <c r="R1986" s="1979"/>
    </row>
    <row r="1987" customFormat="false" ht="14.25" hidden="false" customHeight="false" outlineLevel="0" collapsed="false">
      <c r="A1987" s="1027"/>
      <c r="B1987" s="1546"/>
      <c r="C1987" s="1975"/>
      <c r="D1987" s="871" t="s">
        <v>6</v>
      </c>
      <c r="E1987" s="1478" t="s">
        <v>2619</v>
      </c>
      <c r="F1987" s="1328"/>
      <c r="G1987" s="1036"/>
      <c r="H1987" s="1036"/>
      <c r="I1987" s="1036"/>
      <c r="J1987" s="1528"/>
      <c r="K1987" s="1547"/>
      <c r="L1987" s="877" t="n">
        <v>86940</v>
      </c>
      <c r="M1987" s="877" t="n">
        <v>900</v>
      </c>
      <c r="N1987" s="877" t="n">
        <f aca="false">M1987/H1985</f>
        <v>30</v>
      </c>
      <c r="O1987" s="584" t="s">
        <v>1102</v>
      </c>
      <c r="P1987" s="1984"/>
      <c r="Q1987" s="1978"/>
      <c r="R1987" s="1979"/>
    </row>
    <row r="1988" customFormat="false" ht="14.25" hidden="false" customHeight="false" outlineLevel="0" collapsed="false">
      <c r="A1988" s="829" t="n">
        <v>102</v>
      </c>
      <c r="B1988" s="830" t="n">
        <v>2025</v>
      </c>
      <c r="C1988" s="1965" t="n">
        <v>46023</v>
      </c>
      <c r="D1988" s="831" t="s">
        <v>6</v>
      </c>
      <c r="E1988" s="1365" t="s">
        <v>2619</v>
      </c>
      <c r="F1988" s="830" t="s">
        <v>3364</v>
      </c>
      <c r="G1988" s="837" t="n">
        <v>333</v>
      </c>
      <c r="H1988" s="837" t="n">
        <v>30</v>
      </c>
      <c r="I1988" s="837" t="n">
        <f aca="false">G1988*H1988</f>
        <v>9990</v>
      </c>
      <c r="J1988" s="1526" t="n">
        <v>96.6</v>
      </c>
      <c r="K1988" s="943" t="n">
        <f aca="false">I1988*J1988</f>
        <v>965034</v>
      </c>
      <c r="L1988" s="886" t="n">
        <v>269514</v>
      </c>
      <c r="M1988" s="886" t="n">
        <v>2790</v>
      </c>
      <c r="N1988" s="886" t="n">
        <f aca="false">M1988/H1988</f>
        <v>93</v>
      </c>
      <c r="O1988" s="1595" t="s">
        <v>1105</v>
      </c>
      <c r="P1988" s="1948" t="n">
        <f aca="false">K1988-L1988-L1992-L1991-L1989-L1990</f>
        <v>0</v>
      </c>
      <c r="Q1988" s="1934" t="n">
        <f aca="false">I1988-M1988-M1992-M1991-M1989-M1990</f>
        <v>0</v>
      </c>
      <c r="R1988" s="1935" t="n">
        <f aca="false">G1988-N1988-N1992-N1991-N1989-N1990</f>
        <v>0</v>
      </c>
    </row>
    <row r="1989" customFormat="false" ht="14.25" hidden="false" customHeight="false" outlineLevel="0" collapsed="false">
      <c r="A1989" s="829"/>
      <c r="B1989" s="830"/>
      <c r="C1989" s="1965"/>
      <c r="D1989" s="860" t="s">
        <v>6</v>
      </c>
      <c r="E1989" s="1480" t="s">
        <v>2619</v>
      </c>
      <c r="F1989" s="830"/>
      <c r="G1989" s="837"/>
      <c r="H1989" s="837"/>
      <c r="I1989" s="837"/>
      <c r="J1989" s="1526"/>
      <c r="K1989" s="943"/>
      <c r="L1989" s="866" t="n">
        <v>202860</v>
      </c>
      <c r="M1989" s="866" t="n">
        <v>2100</v>
      </c>
      <c r="N1989" s="866" t="n">
        <f aca="false">M1989/H1988</f>
        <v>70</v>
      </c>
      <c r="O1989" s="545" t="s">
        <v>1123</v>
      </c>
      <c r="P1989" s="1948"/>
      <c r="Q1989" s="1934"/>
      <c r="R1989" s="1935"/>
    </row>
    <row r="1990" customFormat="false" ht="14.25" hidden="false" customHeight="false" outlineLevel="0" collapsed="false">
      <c r="A1990" s="829"/>
      <c r="B1990" s="830"/>
      <c r="C1990" s="1965"/>
      <c r="D1990" s="860" t="s">
        <v>6</v>
      </c>
      <c r="E1990" s="1480" t="s">
        <v>2619</v>
      </c>
      <c r="F1990" s="830"/>
      <c r="G1990" s="837"/>
      <c r="H1990" s="837"/>
      <c r="I1990" s="837"/>
      <c r="J1990" s="1526"/>
      <c r="K1990" s="943"/>
      <c r="L1990" s="866" t="n">
        <v>66654</v>
      </c>
      <c r="M1990" s="866" t="n">
        <v>690</v>
      </c>
      <c r="N1990" s="866" t="n">
        <f aca="false">M1990/H1988</f>
        <v>23</v>
      </c>
      <c r="O1990" s="545" t="s">
        <v>1124</v>
      </c>
      <c r="P1990" s="1948"/>
      <c r="Q1990" s="1934"/>
      <c r="R1990" s="1935"/>
    </row>
    <row r="1991" customFormat="false" ht="14.25" hidden="false" customHeight="false" outlineLevel="0" collapsed="false">
      <c r="A1991" s="829"/>
      <c r="B1991" s="830"/>
      <c r="C1991" s="1965"/>
      <c r="D1991" s="860" t="s">
        <v>6</v>
      </c>
      <c r="E1991" s="1480" t="s">
        <v>2619</v>
      </c>
      <c r="F1991" s="830"/>
      <c r="G1991" s="837"/>
      <c r="H1991" s="837"/>
      <c r="I1991" s="837"/>
      <c r="J1991" s="1526"/>
      <c r="K1991" s="943"/>
      <c r="L1991" s="866" t="n">
        <v>223146</v>
      </c>
      <c r="M1991" s="866" t="n">
        <v>2310</v>
      </c>
      <c r="N1991" s="866" t="n">
        <f aca="false">M1991/H1988</f>
        <v>77</v>
      </c>
      <c r="O1991" s="545" t="s">
        <v>3532</v>
      </c>
      <c r="P1991" s="1948"/>
      <c r="Q1991" s="1934"/>
      <c r="R1991" s="1935"/>
    </row>
    <row r="1992" customFormat="false" ht="14.25" hidden="false" customHeight="false" outlineLevel="0" collapsed="false">
      <c r="A1992" s="829"/>
      <c r="B1992" s="830"/>
      <c r="C1992" s="1965"/>
      <c r="D1992" s="843" t="s">
        <v>6</v>
      </c>
      <c r="E1992" s="1357" t="s">
        <v>2619</v>
      </c>
      <c r="F1992" s="830"/>
      <c r="G1992" s="837"/>
      <c r="H1992" s="837"/>
      <c r="I1992" s="837"/>
      <c r="J1992" s="1526"/>
      <c r="K1992" s="943"/>
      <c r="L1992" s="846" t="n">
        <v>202860</v>
      </c>
      <c r="M1992" s="846" t="n">
        <v>2100</v>
      </c>
      <c r="N1992" s="846" t="n">
        <f aca="false">M1992/H1988</f>
        <v>70</v>
      </c>
      <c r="O1992" s="1936" t="s">
        <v>1106</v>
      </c>
      <c r="P1992" s="1948"/>
      <c r="Q1992" s="1934"/>
      <c r="R1992" s="1935"/>
    </row>
    <row r="1993" customFormat="false" ht="14.25" hidden="false" customHeight="false" outlineLevel="0" collapsed="false">
      <c r="A1993" s="903" t="n">
        <v>107</v>
      </c>
      <c r="B1993" s="903" t="n">
        <v>2025</v>
      </c>
      <c r="C1993" s="1974" t="n">
        <v>46023</v>
      </c>
      <c r="D1993" s="904" t="s">
        <v>6</v>
      </c>
      <c r="E1993" s="1351" t="s">
        <v>1652</v>
      </c>
      <c r="F1993" s="904" t="s">
        <v>3364</v>
      </c>
      <c r="G1993" s="942" t="n">
        <v>12</v>
      </c>
      <c r="H1993" s="942" t="n">
        <v>800</v>
      </c>
      <c r="I1993" s="1355" t="n">
        <f aca="false">G1993*H1993</f>
        <v>9600</v>
      </c>
      <c r="J1993" s="1524" t="n">
        <v>44.8703</v>
      </c>
      <c r="K1993" s="1138" t="n">
        <f aca="false">I1993*J1993</f>
        <v>430754.88</v>
      </c>
      <c r="L1993" s="891" t="n">
        <v>430754.88</v>
      </c>
      <c r="M1993" s="891" t="n">
        <v>9600</v>
      </c>
      <c r="N1993" s="866" t="n">
        <f aca="false">M1993/H1993</f>
        <v>12</v>
      </c>
      <c r="O1993" s="1943" t="s">
        <v>1108</v>
      </c>
      <c r="P1993" s="1947" t="n">
        <f aca="false">K1993-L1993</f>
        <v>0</v>
      </c>
      <c r="Q1993" s="1945" t="n">
        <f aca="false">I1993-M1993</f>
        <v>0</v>
      </c>
      <c r="R1993" s="1945" t="n">
        <f aca="false">G1993-N1993</f>
        <v>0</v>
      </c>
    </row>
    <row r="1994" customFormat="false" ht="14.25" hidden="false" customHeight="false" outlineLevel="0" collapsed="false">
      <c r="A1994" s="870" t="n">
        <v>108</v>
      </c>
      <c r="B1994" s="1495" t="n">
        <v>2025</v>
      </c>
      <c r="C1994" s="1972" t="n">
        <v>46023</v>
      </c>
      <c r="D1994" s="871" t="s">
        <v>6</v>
      </c>
      <c r="E1994" s="1478" t="s">
        <v>1652</v>
      </c>
      <c r="F1994" s="871" t="s">
        <v>3364</v>
      </c>
      <c r="G1994" s="553" t="n">
        <v>9</v>
      </c>
      <c r="H1994" s="553" t="n">
        <v>800</v>
      </c>
      <c r="I1994" s="1587" t="n">
        <f aca="false">G1994*H1994</f>
        <v>7200</v>
      </c>
      <c r="J1994" s="1525" t="n">
        <v>44.8703</v>
      </c>
      <c r="K1994" s="1151" t="n">
        <f aca="false">I1994*J1994</f>
        <v>323066.16</v>
      </c>
      <c r="L1994" s="877" t="n">
        <v>323066.16</v>
      </c>
      <c r="M1994" s="877" t="n">
        <v>7200</v>
      </c>
      <c r="N1994" s="877" t="n">
        <f aca="false">M1994/H1994</f>
        <v>9</v>
      </c>
      <c r="O1994" s="584" t="s">
        <v>1108</v>
      </c>
      <c r="P1994" s="1959" t="n">
        <f aca="false">K1994-L1994</f>
        <v>0</v>
      </c>
      <c r="Q1994" s="1960" t="n">
        <f aca="false">I1994-M1994</f>
        <v>0</v>
      </c>
      <c r="R1994" s="1960" t="n">
        <f aca="false">G1994-N1994</f>
        <v>0</v>
      </c>
    </row>
    <row r="1995" customFormat="false" ht="14.25" hidden="false" customHeight="false" outlineLevel="0" collapsed="false">
      <c r="A1995" s="829" t="n">
        <v>109</v>
      </c>
      <c r="B1995" s="830" t="n">
        <v>2025</v>
      </c>
      <c r="C1995" s="1965" t="n">
        <v>46023</v>
      </c>
      <c r="D1995" s="1328" t="s">
        <v>6</v>
      </c>
      <c r="E1995" s="1607" t="s">
        <v>1652</v>
      </c>
      <c r="F1995" s="832" t="s">
        <v>3364</v>
      </c>
      <c r="G1995" s="837" t="n">
        <v>33</v>
      </c>
      <c r="H1995" s="837" t="n">
        <v>15</v>
      </c>
      <c r="I1995" s="837" t="n">
        <f aca="false">G1995*H1995</f>
        <v>495</v>
      </c>
      <c r="J1995" s="1526" t="n">
        <v>44.7796</v>
      </c>
      <c r="K1995" s="943" t="n">
        <f aca="false">I1995*J1995</f>
        <v>22165.902</v>
      </c>
      <c r="L1995" s="886" t="n">
        <v>21494.208</v>
      </c>
      <c r="M1995" s="886" t="n">
        <v>480</v>
      </c>
      <c r="N1995" s="840" t="n">
        <f aca="false">M1995/H1995</f>
        <v>32</v>
      </c>
      <c r="O1995" s="1595" t="s">
        <v>1129</v>
      </c>
      <c r="P1995" s="1934" t="n">
        <f aca="false">K1995-L1995-L1996</f>
        <v>3.18323145620525E-012</v>
      </c>
      <c r="Q1995" s="1934" t="n">
        <f aca="false">I1995-M1995-M1996</f>
        <v>0</v>
      </c>
      <c r="R1995" s="1935" t="n">
        <f aca="false">G1995-N1995-N1996</f>
        <v>0</v>
      </c>
    </row>
    <row r="1996" customFormat="false" ht="14.25" hidden="false" customHeight="false" outlineLevel="0" collapsed="false">
      <c r="A1996" s="829"/>
      <c r="B1996" s="830"/>
      <c r="C1996" s="1965"/>
      <c r="D1996" s="843" t="s">
        <v>6</v>
      </c>
      <c r="E1996" s="1357" t="s">
        <v>1652</v>
      </c>
      <c r="F1996" s="832"/>
      <c r="G1996" s="837"/>
      <c r="H1996" s="837"/>
      <c r="I1996" s="837"/>
      <c r="J1996" s="1526"/>
      <c r="K1996" s="943"/>
      <c r="L1996" s="846" t="n">
        <v>671.694</v>
      </c>
      <c r="M1996" s="846" t="n">
        <v>15</v>
      </c>
      <c r="N1996" s="846" t="n">
        <f aca="false">M1996/H1995</f>
        <v>1</v>
      </c>
      <c r="O1996" s="1936" t="s">
        <v>1130</v>
      </c>
      <c r="P1996" s="1934"/>
      <c r="Q1996" s="1934"/>
      <c r="R1996" s="1935"/>
    </row>
    <row r="1997" customFormat="false" ht="14.25" hidden="false" customHeight="false" outlineLevel="0" collapsed="false">
      <c r="A1997" s="903" t="n">
        <v>115</v>
      </c>
      <c r="B1997" s="903" t="n">
        <v>2025</v>
      </c>
      <c r="C1997" s="1974" t="n">
        <v>46023</v>
      </c>
      <c r="D1997" s="904" t="s">
        <v>6</v>
      </c>
      <c r="E1997" s="1351" t="s">
        <v>1652</v>
      </c>
      <c r="F1997" s="904" t="s">
        <v>3364</v>
      </c>
      <c r="G1997" s="942" t="n">
        <v>12</v>
      </c>
      <c r="H1997" s="942" t="n">
        <v>800</v>
      </c>
      <c r="I1997" s="1355" t="n">
        <f aca="false">G1997*H1997</f>
        <v>9600</v>
      </c>
      <c r="J1997" s="1524" t="n">
        <v>40.61</v>
      </c>
      <c r="K1997" s="1138" t="n">
        <f aca="false">I1997*J1997</f>
        <v>389856</v>
      </c>
      <c r="L1997" s="891" t="n">
        <v>389856</v>
      </c>
      <c r="M1997" s="891" t="n">
        <v>9600</v>
      </c>
      <c r="N1997" s="854" t="n">
        <f aca="false">M1997/H1997</f>
        <v>12</v>
      </c>
      <c r="O1997" s="1943" t="s">
        <v>1108</v>
      </c>
      <c r="P1997" s="1947" t="n">
        <f aca="false">K1997-L1997</f>
        <v>0</v>
      </c>
      <c r="Q1997" s="1945" t="n">
        <f aca="false">I1997-M1997</f>
        <v>0</v>
      </c>
      <c r="R1997" s="1945" t="n">
        <f aca="false">G1997-N1997</f>
        <v>0</v>
      </c>
    </row>
    <row r="1998" customFormat="false" ht="14.25" hidden="false" customHeight="false" outlineLevel="0" collapsed="false">
      <c r="A1998" s="870" t="n">
        <v>116</v>
      </c>
      <c r="B1998" s="1495" t="n">
        <v>2025</v>
      </c>
      <c r="C1998" s="1972" t="n">
        <v>46023</v>
      </c>
      <c r="D1998" s="871" t="s">
        <v>6</v>
      </c>
      <c r="E1998" s="1478" t="s">
        <v>1652</v>
      </c>
      <c r="F1998" s="871" t="s">
        <v>3364</v>
      </c>
      <c r="G1998" s="553" t="n">
        <v>7</v>
      </c>
      <c r="H1998" s="553" t="n">
        <v>800</v>
      </c>
      <c r="I1998" s="1587" t="n">
        <f aca="false">G1998*H1998</f>
        <v>5600</v>
      </c>
      <c r="J1998" s="1525" t="n">
        <v>40.61</v>
      </c>
      <c r="K1998" s="1151" t="n">
        <f aca="false">I1998*J1998</f>
        <v>227416</v>
      </c>
      <c r="L1998" s="877" t="n">
        <v>227416</v>
      </c>
      <c r="M1998" s="877" t="n">
        <v>5600</v>
      </c>
      <c r="N1998" s="866" t="n">
        <f aca="false">M1998/H1998</f>
        <v>7</v>
      </c>
      <c r="O1998" s="584" t="s">
        <v>1108</v>
      </c>
      <c r="P1998" s="1959" t="n">
        <f aca="false">K1998-L1998</f>
        <v>0</v>
      </c>
      <c r="Q1998" s="1960" t="n">
        <f aca="false">I1998-M1998</f>
        <v>0</v>
      </c>
      <c r="R1998" s="1960" t="n">
        <f aca="false">G1998-N1998</f>
        <v>0</v>
      </c>
    </row>
    <row r="1999" customFormat="false" ht="14.25" hidden="false" customHeight="false" outlineLevel="0" collapsed="false">
      <c r="A1999" s="870" t="n">
        <v>117</v>
      </c>
      <c r="B1999" s="1495" t="n">
        <v>2025</v>
      </c>
      <c r="C1999" s="1972" t="n">
        <v>46054</v>
      </c>
      <c r="D1999" s="871" t="s">
        <v>6</v>
      </c>
      <c r="E1999" s="1478" t="s">
        <v>1652</v>
      </c>
      <c r="F1999" s="871" t="s">
        <v>3364</v>
      </c>
      <c r="G1999" s="553" t="n">
        <v>12</v>
      </c>
      <c r="H1999" s="553" t="n">
        <v>800</v>
      </c>
      <c r="I1999" s="1587" t="n">
        <f aca="false">G1999*H1999</f>
        <v>9600</v>
      </c>
      <c r="J1999" s="1525" t="n">
        <v>40.61</v>
      </c>
      <c r="K1999" s="1151" t="n">
        <f aca="false">I1999*J1999</f>
        <v>389856</v>
      </c>
      <c r="L1999" s="877" t="n">
        <v>389856</v>
      </c>
      <c r="M1999" s="877" t="n">
        <v>9600</v>
      </c>
      <c r="N1999" s="877" t="n">
        <f aca="false">M1999/H1999</f>
        <v>12</v>
      </c>
      <c r="O1999" s="584" t="s">
        <v>1108</v>
      </c>
      <c r="P1999" s="1959" t="n">
        <f aca="false">K1999-L1999</f>
        <v>0</v>
      </c>
      <c r="Q1999" s="1960" t="n">
        <f aca="false">I1999-M1999</f>
        <v>0</v>
      </c>
      <c r="R1999" s="1960" t="n">
        <f aca="false">G1999-N1999</f>
        <v>0</v>
      </c>
    </row>
    <row r="2000" customFormat="false" ht="14.25" hidden="false" customHeight="false" outlineLevel="0" collapsed="false">
      <c r="A2000" s="870" t="n">
        <v>118</v>
      </c>
      <c r="B2000" s="1495" t="n">
        <v>2025</v>
      </c>
      <c r="C2000" s="1972" t="n">
        <v>46054</v>
      </c>
      <c r="D2000" s="871" t="s">
        <v>6</v>
      </c>
      <c r="E2000" s="1478" t="s">
        <v>1652</v>
      </c>
      <c r="F2000" s="871" t="s">
        <v>3364</v>
      </c>
      <c r="G2000" s="553" t="n">
        <v>1</v>
      </c>
      <c r="H2000" s="553" t="n">
        <v>800</v>
      </c>
      <c r="I2000" s="1587" t="n">
        <f aca="false">G2000*H2000</f>
        <v>800</v>
      </c>
      <c r="J2000" s="1525" t="n">
        <v>40.61</v>
      </c>
      <c r="K2000" s="1151" t="n">
        <f aca="false">I2000*J2000</f>
        <v>32488</v>
      </c>
      <c r="L2000" s="877" t="n">
        <v>32488</v>
      </c>
      <c r="M2000" s="877" t="n">
        <v>800</v>
      </c>
      <c r="N2000" s="877" t="n">
        <f aca="false">M2000/H2000</f>
        <v>1</v>
      </c>
      <c r="O2000" s="584" t="s">
        <v>1108</v>
      </c>
      <c r="P2000" s="1959" t="n">
        <f aca="false">K2000-L2000</f>
        <v>0</v>
      </c>
      <c r="Q2000" s="1960" t="n">
        <f aca="false">I2000-M2000</f>
        <v>0</v>
      </c>
      <c r="R2000" s="1960" t="n">
        <f aca="false">G2000-N2000</f>
        <v>0</v>
      </c>
    </row>
    <row r="2001" customFormat="false" ht="14.25" hidden="false" customHeight="false" outlineLevel="0" collapsed="false">
      <c r="A2001" s="829" t="n">
        <v>119</v>
      </c>
      <c r="B2001" s="830" t="n">
        <v>2025</v>
      </c>
      <c r="C2001" s="1965" t="n">
        <v>46054</v>
      </c>
      <c r="D2001" s="1328" t="s">
        <v>6</v>
      </c>
      <c r="E2001" s="1607" t="s">
        <v>1652</v>
      </c>
      <c r="F2001" s="832" t="s">
        <v>3364</v>
      </c>
      <c r="G2001" s="837" t="n">
        <v>12</v>
      </c>
      <c r="H2001" s="837" t="n">
        <v>800</v>
      </c>
      <c r="I2001" s="837" t="n">
        <f aca="false">G2001*H2001</f>
        <v>9600</v>
      </c>
      <c r="J2001" s="1526" t="n">
        <v>41.668</v>
      </c>
      <c r="K2001" s="943" t="n">
        <f aca="false">I2001*J2001</f>
        <v>400012.8</v>
      </c>
      <c r="L2001" s="886" t="n">
        <v>333344</v>
      </c>
      <c r="M2001" s="886" t="n">
        <v>8000</v>
      </c>
      <c r="N2001" s="886" t="n">
        <f aca="false">M2001/H2001</f>
        <v>10</v>
      </c>
      <c r="O2001" s="1595" t="s">
        <v>1108</v>
      </c>
      <c r="P2001" s="1948" t="n">
        <f aca="false">K2001-L2001-L2002</f>
        <v>0</v>
      </c>
      <c r="Q2001" s="1934" t="n">
        <f aca="false">I2001-M2001-M2002</f>
        <v>0</v>
      </c>
      <c r="R2001" s="1935" t="n">
        <f aca="false">G2001-N2001-N2002</f>
        <v>0</v>
      </c>
    </row>
    <row r="2002" customFormat="false" ht="14.25" hidden="false" customHeight="false" outlineLevel="0" collapsed="false">
      <c r="A2002" s="829"/>
      <c r="B2002" s="830"/>
      <c r="C2002" s="1965"/>
      <c r="D2002" s="843" t="s">
        <v>6</v>
      </c>
      <c r="E2002" s="1357" t="s">
        <v>1652</v>
      </c>
      <c r="F2002" s="832"/>
      <c r="G2002" s="837"/>
      <c r="H2002" s="837"/>
      <c r="I2002" s="837"/>
      <c r="J2002" s="1526"/>
      <c r="K2002" s="943"/>
      <c r="L2002" s="846" t="n">
        <v>66668.8</v>
      </c>
      <c r="M2002" s="846" t="n">
        <v>1600</v>
      </c>
      <c r="N2002" s="846" t="n">
        <f aca="false">M2002/H2001</f>
        <v>2</v>
      </c>
      <c r="O2002" s="1936" t="s">
        <v>1116</v>
      </c>
      <c r="P2002" s="1948"/>
      <c r="Q2002" s="1934"/>
      <c r="R2002" s="1935"/>
    </row>
    <row r="2003" customFormat="false" ht="14.25" hidden="false" customHeight="false" outlineLevel="0" collapsed="false">
      <c r="A2003" s="903" t="n">
        <v>120</v>
      </c>
      <c r="B2003" s="903" t="n">
        <v>2025</v>
      </c>
      <c r="C2003" s="1974" t="n">
        <v>46054</v>
      </c>
      <c r="D2003" s="904" t="s">
        <v>6</v>
      </c>
      <c r="E2003" s="1351" t="s">
        <v>1652</v>
      </c>
      <c r="F2003" s="904" t="s">
        <v>3364</v>
      </c>
      <c r="G2003" s="942" t="n">
        <v>12</v>
      </c>
      <c r="H2003" s="942" t="n">
        <v>800</v>
      </c>
      <c r="I2003" s="1355" t="n">
        <f aca="false">G2003*H2003</f>
        <v>9600</v>
      </c>
      <c r="J2003" s="1524" t="n">
        <v>41.668</v>
      </c>
      <c r="K2003" s="1138" t="n">
        <f aca="false">I2003*J2003</f>
        <v>400012.8</v>
      </c>
      <c r="L2003" s="891" t="n">
        <v>400012.8</v>
      </c>
      <c r="M2003" s="891" t="n">
        <v>9600</v>
      </c>
      <c r="N2003" s="866" t="n">
        <f aca="false">M2003/H2003</f>
        <v>12</v>
      </c>
      <c r="O2003" s="1943" t="s">
        <v>1116</v>
      </c>
      <c r="P2003" s="1947" t="n">
        <f aca="false">K2003-L2003</f>
        <v>0</v>
      </c>
      <c r="Q2003" s="1945" t="n">
        <f aca="false">I2003-M2003</f>
        <v>0</v>
      </c>
      <c r="R2003" s="1945" t="n">
        <f aca="false">G2003-N2003</f>
        <v>0</v>
      </c>
    </row>
    <row r="2004" customFormat="false" ht="14.25" hidden="false" customHeight="false" outlineLevel="0" collapsed="false">
      <c r="A2004" s="870" t="n">
        <v>121</v>
      </c>
      <c r="B2004" s="1495" t="n">
        <v>2025</v>
      </c>
      <c r="C2004" s="1972" t="n">
        <v>46054</v>
      </c>
      <c r="D2004" s="871" t="s">
        <v>6</v>
      </c>
      <c r="E2004" s="1478" t="s">
        <v>1652</v>
      </c>
      <c r="F2004" s="871" t="s">
        <v>3364</v>
      </c>
      <c r="G2004" s="553" t="n">
        <v>1</v>
      </c>
      <c r="H2004" s="553" t="n">
        <v>800</v>
      </c>
      <c r="I2004" s="1587" t="n">
        <f aca="false">G2004*H2004</f>
        <v>800</v>
      </c>
      <c r="J2004" s="1525" t="n">
        <v>41.668</v>
      </c>
      <c r="K2004" s="1151" t="n">
        <f aca="false">I2004*J2004</f>
        <v>33334.4</v>
      </c>
      <c r="L2004" s="877" t="n">
        <v>33334.4</v>
      </c>
      <c r="M2004" s="877" t="n">
        <v>800</v>
      </c>
      <c r="N2004" s="877" t="n">
        <f aca="false">M2004/H2004</f>
        <v>1</v>
      </c>
      <c r="O2004" s="584" t="s">
        <v>1116</v>
      </c>
      <c r="P2004" s="1959" t="n">
        <f aca="false">K2004-L2004</f>
        <v>0</v>
      </c>
      <c r="Q2004" s="1960" t="n">
        <f aca="false">I2004-M2004</f>
        <v>0</v>
      </c>
      <c r="R2004" s="1960" t="n">
        <f aca="false">G2004-N2004</f>
        <v>0</v>
      </c>
    </row>
    <row r="2005" customFormat="false" ht="14.25" hidden="false" customHeight="false" outlineLevel="0" collapsed="false">
      <c r="A2005" s="870" t="n">
        <v>125</v>
      </c>
      <c r="B2005" s="1495" t="n">
        <v>2025</v>
      </c>
      <c r="C2005" s="1972" t="n">
        <v>46054</v>
      </c>
      <c r="D2005" s="871" t="s">
        <v>6</v>
      </c>
      <c r="E2005" s="1478" t="s">
        <v>1652</v>
      </c>
      <c r="F2005" s="871" t="s">
        <v>3364</v>
      </c>
      <c r="G2005" s="553" t="n">
        <v>12</v>
      </c>
      <c r="H2005" s="553" t="n">
        <v>800</v>
      </c>
      <c r="I2005" s="1587" t="n">
        <f aca="false">G2005*H2005</f>
        <v>9600</v>
      </c>
      <c r="J2005" s="1525" t="n">
        <v>40.527</v>
      </c>
      <c r="K2005" s="1151" t="n">
        <f aca="false">I2005*J2005</f>
        <v>389059.2</v>
      </c>
      <c r="L2005" s="877" t="n">
        <v>389059.2</v>
      </c>
      <c r="M2005" s="877" t="n">
        <v>9600</v>
      </c>
      <c r="N2005" s="877" t="n">
        <f aca="false">M2005/H2005</f>
        <v>12</v>
      </c>
      <c r="O2005" s="584" t="s">
        <v>1117</v>
      </c>
      <c r="P2005" s="1959" t="n">
        <f aca="false">K2005-L2005</f>
        <v>0</v>
      </c>
      <c r="Q2005" s="1960" t="n">
        <f aca="false">I2005-M2005</f>
        <v>0</v>
      </c>
      <c r="R2005" s="1960" t="n">
        <f aca="false">G2005-N2005</f>
        <v>0</v>
      </c>
    </row>
    <row r="2006" customFormat="false" ht="14.25" hidden="false" customHeight="false" outlineLevel="0" collapsed="false">
      <c r="A2006" s="870" t="n">
        <v>126</v>
      </c>
      <c r="B2006" s="1495" t="n">
        <v>2025</v>
      </c>
      <c r="C2006" s="1972" t="n">
        <v>46054</v>
      </c>
      <c r="D2006" s="871" t="s">
        <v>6</v>
      </c>
      <c r="E2006" s="1478" t="s">
        <v>1652</v>
      </c>
      <c r="F2006" s="871" t="s">
        <v>3364</v>
      </c>
      <c r="G2006" s="553" t="n">
        <v>8</v>
      </c>
      <c r="H2006" s="553" t="n">
        <v>800</v>
      </c>
      <c r="I2006" s="1587" t="n">
        <f aca="false">G2006*H2006</f>
        <v>6400</v>
      </c>
      <c r="J2006" s="1525" t="n">
        <v>40.527</v>
      </c>
      <c r="K2006" s="1151" t="n">
        <f aca="false">I2006*J2006</f>
        <v>259372.8</v>
      </c>
      <c r="L2006" s="877" t="n">
        <v>259372.8</v>
      </c>
      <c r="M2006" s="877" t="n">
        <v>6400</v>
      </c>
      <c r="N2006" s="877" t="n">
        <f aca="false">M2006/H2006</f>
        <v>8</v>
      </c>
      <c r="O2006" s="584" t="s">
        <v>1116</v>
      </c>
      <c r="P2006" s="1959" t="n">
        <f aca="false">K2006-L2006</f>
        <v>0</v>
      </c>
      <c r="Q2006" s="1960" t="n">
        <f aca="false">I2006-M2006</f>
        <v>0</v>
      </c>
      <c r="R2006" s="1960" t="n">
        <f aca="false">G2006-N2006</f>
        <v>0</v>
      </c>
    </row>
    <row r="2007" customFormat="false" ht="14.25" hidden="false" customHeight="false" outlineLevel="0" collapsed="false">
      <c r="A2007" s="882" t="n">
        <v>127</v>
      </c>
      <c r="B2007" s="830" t="n">
        <v>2025</v>
      </c>
      <c r="C2007" s="1965" t="n">
        <v>46054</v>
      </c>
      <c r="D2007" s="1328" t="s">
        <v>6</v>
      </c>
      <c r="E2007" s="1607" t="s">
        <v>2619</v>
      </c>
      <c r="F2007" s="832" t="s">
        <v>3364</v>
      </c>
      <c r="G2007" s="837" t="n">
        <v>91</v>
      </c>
      <c r="H2007" s="837" t="n">
        <v>30</v>
      </c>
      <c r="I2007" s="837" t="n">
        <f aca="false">G2007*H2007</f>
        <v>2730</v>
      </c>
      <c r="J2007" s="1526" t="n">
        <v>99.1355</v>
      </c>
      <c r="K2007" s="943" t="n">
        <f aca="false">I2007*J2007</f>
        <v>270639.915</v>
      </c>
      <c r="L2007" s="886" t="n">
        <v>190340.16</v>
      </c>
      <c r="M2007" s="886" t="n">
        <v>1920</v>
      </c>
      <c r="N2007" s="886" t="n">
        <f aca="false">M2007/H2007</f>
        <v>64</v>
      </c>
      <c r="O2007" s="1595" t="s">
        <v>1123</v>
      </c>
      <c r="P2007" s="1948" t="n">
        <f aca="false">K2007-L2007-L2009-L2008</f>
        <v>8922.19499999998</v>
      </c>
      <c r="Q2007" s="1934" t="n">
        <f aca="false">I2007-M2007-M2009-M2008</f>
        <v>90</v>
      </c>
      <c r="R2007" s="1935" t="n">
        <f aca="false">G2007-N2007-N2009-N2008</f>
        <v>3</v>
      </c>
    </row>
    <row r="2008" customFormat="false" ht="14.25" hidden="false" customHeight="false" outlineLevel="0" collapsed="false">
      <c r="A2008" s="882"/>
      <c r="B2008" s="830"/>
      <c r="C2008" s="1965"/>
      <c r="D2008" s="860" t="s">
        <v>6</v>
      </c>
      <c r="E2008" s="1480" t="s">
        <v>2619</v>
      </c>
      <c r="F2008" s="832"/>
      <c r="G2008" s="837"/>
      <c r="H2008" s="837"/>
      <c r="I2008" s="837"/>
      <c r="J2008" s="1526"/>
      <c r="K2008" s="943"/>
      <c r="L2008" s="866" t="n">
        <v>38662.845</v>
      </c>
      <c r="M2008" s="866" t="n">
        <v>390</v>
      </c>
      <c r="N2008" s="866" t="n">
        <f aca="false">M2008/H2007</f>
        <v>13</v>
      </c>
      <c r="O2008" s="545" t="s">
        <v>1124</v>
      </c>
      <c r="P2008" s="1948"/>
      <c r="Q2008" s="1934"/>
      <c r="R2008" s="1935"/>
    </row>
    <row r="2009" customFormat="false" ht="14.25" hidden="false" customHeight="false" outlineLevel="0" collapsed="false">
      <c r="A2009" s="882"/>
      <c r="B2009" s="830"/>
      <c r="C2009" s="1965"/>
      <c r="D2009" s="843" t="s">
        <v>6</v>
      </c>
      <c r="E2009" s="1357" t="s">
        <v>2619</v>
      </c>
      <c r="F2009" s="832"/>
      <c r="G2009" s="837"/>
      <c r="H2009" s="837"/>
      <c r="I2009" s="837"/>
      <c r="J2009" s="1526"/>
      <c r="K2009" s="943"/>
      <c r="L2009" s="846" t="n">
        <v>32714.715</v>
      </c>
      <c r="M2009" s="846" t="n">
        <v>330</v>
      </c>
      <c r="N2009" s="846" t="n">
        <f aca="false">M2009/H2007</f>
        <v>11</v>
      </c>
      <c r="O2009" s="1936" t="s">
        <v>505</v>
      </c>
      <c r="P2009" s="1948"/>
      <c r="Q2009" s="1934"/>
      <c r="R2009" s="1935"/>
    </row>
    <row r="2010" customFormat="false" ht="14.25" hidden="false" customHeight="false" outlineLevel="0" collapsed="false">
      <c r="A2010" s="903" t="n">
        <v>146</v>
      </c>
      <c r="B2010" s="903" t="n">
        <v>2025</v>
      </c>
      <c r="C2010" s="1974" t="n">
        <v>46054</v>
      </c>
      <c r="D2010" s="904" t="s">
        <v>6</v>
      </c>
      <c r="E2010" s="1351" t="s">
        <v>1652</v>
      </c>
      <c r="F2010" s="904" t="s">
        <v>3364</v>
      </c>
      <c r="G2010" s="942" t="n">
        <v>267</v>
      </c>
      <c r="H2010" s="942" t="n">
        <v>15</v>
      </c>
      <c r="I2010" s="1355" t="n">
        <f aca="false">G2010*H2010</f>
        <v>4005</v>
      </c>
      <c r="J2010" s="1524" t="n">
        <v>38.782</v>
      </c>
      <c r="K2010" s="1138" t="n">
        <f aca="false">I2010*J2010</f>
        <v>155321.91</v>
      </c>
      <c r="L2010" s="891" t="n">
        <v>155321.91</v>
      </c>
      <c r="M2010" s="891" t="n">
        <v>4005</v>
      </c>
      <c r="N2010" s="886" t="n">
        <f aca="false">M2010/H2010</f>
        <v>267</v>
      </c>
      <c r="O2010" s="1943"/>
      <c r="P2010" s="1947" t="n">
        <f aca="false">K2010-L2010</f>
        <v>0</v>
      </c>
      <c r="Q2010" s="1945" t="n">
        <f aca="false">I2010-M2010</f>
        <v>0</v>
      </c>
      <c r="R2010" s="1945" t="n">
        <f aca="false">G2010-N2010</f>
        <v>0</v>
      </c>
    </row>
    <row r="2011" customFormat="false" ht="14.25" hidden="false" customHeight="false" outlineLevel="0" collapsed="false">
      <c r="A2011" s="829" t="n">
        <v>147</v>
      </c>
      <c r="B2011" s="830" t="n">
        <v>2025</v>
      </c>
      <c r="C2011" s="1965" t="n">
        <v>46054</v>
      </c>
      <c r="D2011" s="831" t="s">
        <v>6</v>
      </c>
      <c r="E2011" s="1365" t="s">
        <v>1652</v>
      </c>
      <c r="F2011" s="832" t="s">
        <v>3364</v>
      </c>
      <c r="G2011" s="837" t="n">
        <v>600</v>
      </c>
      <c r="H2011" s="837" t="n">
        <v>15</v>
      </c>
      <c r="I2011" s="837" t="n">
        <f aca="false">G2011*H2011</f>
        <v>9000</v>
      </c>
      <c r="J2011" s="1526" t="n">
        <v>38.782</v>
      </c>
      <c r="K2011" s="943" t="n">
        <f aca="false">I2011*J2011</f>
        <v>349038</v>
      </c>
      <c r="L2011" s="840" t="n">
        <v>28504.77</v>
      </c>
      <c r="M2011" s="840" t="n">
        <v>735</v>
      </c>
      <c r="N2011" s="840" t="n">
        <f aca="false">M2011/H2011</f>
        <v>49</v>
      </c>
      <c r="O2011" s="578" t="s">
        <v>1257</v>
      </c>
      <c r="P2011" s="1948" t="n">
        <f aca="false">K2011-L2011-L2012</f>
        <v>0</v>
      </c>
      <c r="Q2011" s="1934" t="n">
        <f aca="false">I2011-M2011-M2012</f>
        <v>0</v>
      </c>
      <c r="R2011" s="1935" t="n">
        <f aca="false">G2011-N2011-N2012</f>
        <v>0</v>
      </c>
    </row>
    <row r="2012" customFormat="false" ht="14.25" hidden="false" customHeight="false" outlineLevel="0" collapsed="false">
      <c r="A2012" s="829"/>
      <c r="B2012" s="830"/>
      <c r="C2012" s="1965"/>
      <c r="D2012" s="843" t="s">
        <v>6</v>
      </c>
      <c r="E2012" s="1357" t="s">
        <v>1652</v>
      </c>
      <c r="F2012" s="832"/>
      <c r="G2012" s="837"/>
      <c r="H2012" s="837"/>
      <c r="I2012" s="837"/>
      <c r="J2012" s="1526"/>
      <c r="K2012" s="943"/>
      <c r="L2012" s="846" t="n">
        <v>320533.23</v>
      </c>
      <c r="M2012" s="846" t="n">
        <v>8265</v>
      </c>
      <c r="N2012" s="846" t="n">
        <f aca="false">M2012/H2011</f>
        <v>551</v>
      </c>
      <c r="O2012" s="1936" t="s">
        <v>1257</v>
      </c>
      <c r="P2012" s="1948"/>
      <c r="Q2012" s="1934"/>
      <c r="R2012" s="1935"/>
    </row>
    <row r="2013" customFormat="false" ht="14.25" hidden="false" customHeight="false" outlineLevel="0" collapsed="false">
      <c r="A2013" s="1087" t="n">
        <v>148</v>
      </c>
      <c r="B2013" s="1072" t="n">
        <v>2025</v>
      </c>
      <c r="C2013" s="1980" t="n">
        <v>46054</v>
      </c>
      <c r="D2013" s="904" t="s">
        <v>6</v>
      </c>
      <c r="E2013" s="1351" t="s">
        <v>2619</v>
      </c>
      <c r="F2013" s="887" t="s">
        <v>3364</v>
      </c>
      <c r="G2013" s="1067" t="n">
        <v>78</v>
      </c>
      <c r="H2013" s="1067" t="n">
        <v>30</v>
      </c>
      <c r="I2013" s="1067" t="n">
        <f aca="false">G2013*H2013</f>
        <v>2340</v>
      </c>
      <c r="J2013" s="1522" t="n">
        <v>99.1355</v>
      </c>
      <c r="K2013" s="1452" t="n">
        <f aca="false">I2013*J2013</f>
        <v>231977.07</v>
      </c>
      <c r="L2013" s="891" t="n">
        <v>220080.81</v>
      </c>
      <c r="M2013" s="891" t="n">
        <v>2220</v>
      </c>
      <c r="N2013" s="891" t="n">
        <f aca="false">M2013/H2013</f>
        <v>74</v>
      </c>
      <c r="O2013" s="1943" t="s">
        <v>3533</v>
      </c>
      <c r="P2013" s="1953" t="n">
        <f aca="false">K2013-L2013-L2014</f>
        <v>-2.00088834390044E-011</v>
      </c>
      <c r="Q2013" s="1953" t="n">
        <f aca="false">I2013-M2013-M2014</f>
        <v>0</v>
      </c>
      <c r="R2013" s="1954" t="n">
        <f aca="false">G2013-N2013-N2014</f>
        <v>0</v>
      </c>
    </row>
    <row r="2014" customFormat="false" ht="14.25" hidden="false" customHeight="false" outlineLevel="0" collapsed="false">
      <c r="A2014" s="1087"/>
      <c r="B2014" s="1072"/>
      <c r="C2014" s="1980"/>
      <c r="D2014" s="843" t="s">
        <v>6</v>
      </c>
      <c r="E2014" s="1357" t="s">
        <v>2619</v>
      </c>
      <c r="F2014" s="887"/>
      <c r="G2014" s="1067"/>
      <c r="H2014" s="1067"/>
      <c r="I2014" s="1067"/>
      <c r="J2014" s="1522"/>
      <c r="K2014" s="1452"/>
      <c r="L2014" s="846" t="n">
        <v>11896.26</v>
      </c>
      <c r="M2014" s="846" t="n">
        <v>120</v>
      </c>
      <c r="N2014" s="846" t="n">
        <f aca="false">M2014/H2013</f>
        <v>4</v>
      </c>
      <c r="O2014" s="1936" t="s">
        <v>505</v>
      </c>
      <c r="P2014" s="1953"/>
      <c r="Q2014" s="1953"/>
      <c r="R2014" s="1954"/>
    </row>
    <row r="2015" customFormat="false" ht="14.25" hidden="false" customHeight="false" outlineLevel="0" collapsed="false">
      <c r="A2015" s="903" t="n">
        <v>154</v>
      </c>
      <c r="B2015" s="903" t="n">
        <v>2025</v>
      </c>
      <c r="C2015" s="1974" t="n">
        <v>46054</v>
      </c>
      <c r="D2015" s="904" t="s">
        <v>6</v>
      </c>
      <c r="E2015" s="1351" t="s">
        <v>2131</v>
      </c>
      <c r="F2015" s="904" t="s">
        <v>3371</v>
      </c>
      <c r="G2015" s="942" t="n">
        <v>40</v>
      </c>
      <c r="H2015" s="942" t="n">
        <v>25</v>
      </c>
      <c r="I2015" s="1355" t="n">
        <f aca="false">G2015*H2015</f>
        <v>1000</v>
      </c>
      <c r="J2015" s="1524" t="n">
        <v>73.45</v>
      </c>
      <c r="K2015" s="1138" t="n">
        <f aca="false">I2015*J2015</f>
        <v>73450</v>
      </c>
      <c r="L2015" s="891" t="n">
        <v>73450</v>
      </c>
      <c r="M2015" s="891" t="n">
        <v>1000</v>
      </c>
      <c r="N2015" s="886" t="n">
        <f aca="false">M2015/H2015</f>
        <v>40</v>
      </c>
      <c r="O2015" s="1943" t="s">
        <v>3467</v>
      </c>
      <c r="P2015" s="1947" t="n">
        <f aca="false">K2015-L2015</f>
        <v>0</v>
      </c>
      <c r="Q2015" s="1945" t="n">
        <f aca="false">I2015-M2015</f>
        <v>0</v>
      </c>
      <c r="R2015" s="1945" t="n">
        <f aca="false">G2015-N2015</f>
        <v>0</v>
      </c>
    </row>
    <row r="2016" customFormat="false" ht="14.25" hidden="false" customHeight="false" outlineLevel="0" collapsed="false">
      <c r="A2016" s="870" t="n">
        <v>158</v>
      </c>
      <c r="B2016" s="1495" t="n">
        <v>2025</v>
      </c>
      <c r="C2016" s="1972" t="n">
        <v>46054</v>
      </c>
      <c r="D2016" s="871" t="s">
        <v>6</v>
      </c>
      <c r="E2016" s="1478" t="s">
        <v>1652</v>
      </c>
      <c r="F2016" s="871" t="s">
        <v>3364</v>
      </c>
      <c r="G2016" s="553" t="n">
        <v>488</v>
      </c>
      <c r="H2016" s="553" t="n">
        <v>15</v>
      </c>
      <c r="I2016" s="1587" t="n">
        <f aca="false">G2016*H2016</f>
        <v>7320</v>
      </c>
      <c r="J2016" s="1525" t="n">
        <v>38.782</v>
      </c>
      <c r="K2016" s="1151" t="n">
        <f aca="false">I2016*J2016</f>
        <v>283884.24</v>
      </c>
      <c r="L2016" s="877" t="n">
        <v>283884.24</v>
      </c>
      <c r="M2016" s="877" t="n">
        <v>7320</v>
      </c>
      <c r="N2016" s="877" t="n">
        <f aca="false">M2016/H2016</f>
        <v>488</v>
      </c>
      <c r="O2016" s="584" t="s">
        <v>1257</v>
      </c>
      <c r="P2016" s="1959" t="n">
        <f aca="false">K2016-L2016</f>
        <v>0</v>
      </c>
      <c r="Q2016" s="1960" t="n">
        <f aca="false">I2016-M2016</f>
        <v>0</v>
      </c>
      <c r="R2016" s="1960" t="n">
        <f aca="false">G2016-N2016</f>
        <v>0</v>
      </c>
    </row>
    <row r="2017" customFormat="false" ht="14.25" hidden="false" customHeight="false" outlineLevel="0" collapsed="false">
      <c r="A2017" s="882" t="n">
        <v>159</v>
      </c>
      <c r="B2017" s="830" t="n">
        <v>2025</v>
      </c>
      <c r="C2017" s="1965" t="n">
        <v>46054</v>
      </c>
      <c r="D2017" s="1328" t="s">
        <v>6</v>
      </c>
      <c r="E2017" s="1607" t="s">
        <v>1651</v>
      </c>
      <c r="F2017" s="832" t="s">
        <v>3364</v>
      </c>
      <c r="G2017" s="837" t="n">
        <v>405</v>
      </c>
      <c r="H2017" s="837" t="n">
        <v>15</v>
      </c>
      <c r="I2017" s="837" t="n">
        <f aca="false">G2017*H2017</f>
        <v>6075</v>
      </c>
      <c r="J2017" s="1526" t="n">
        <v>31.7036</v>
      </c>
      <c r="K2017" s="943" t="n">
        <f aca="false">I2017*J2017</f>
        <v>192599.37</v>
      </c>
      <c r="L2017" s="886" t="n">
        <v>158835.036</v>
      </c>
      <c r="M2017" s="886" t="n">
        <v>5010</v>
      </c>
      <c r="N2017" s="886" t="n">
        <f aca="false">M2017/H2017</f>
        <v>334</v>
      </c>
      <c r="O2017" s="1595" t="s">
        <v>3534</v>
      </c>
      <c r="P2017" s="1948" t="n">
        <f aca="false">K2017-L2017-L2019-L2018</f>
        <v>0</v>
      </c>
      <c r="Q2017" s="1934" t="n">
        <f aca="false">I2017-M2017-M2019-M2018</f>
        <v>0</v>
      </c>
      <c r="R2017" s="1935" t="n">
        <f aca="false">G2017-N2017-N2019-N2018</f>
        <v>0</v>
      </c>
    </row>
    <row r="2018" customFormat="false" ht="14.25" hidden="false" customHeight="false" outlineLevel="0" collapsed="false">
      <c r="A2018" s="882"/>
      <c r="B2018" s="830"/>
      <c r="C2018" s="1965"/>
      <c r="D2018" s="860" t="s">
        <v>6</v>
      </c>
      <c r="E2018" s="1480" t="s">
        <v>1651</v>
      </c>
      <c r="F2018" s="832"/>
      <c r="G2018" s="837"/>
      <c r="H2018" s="837"/>
      <c r="I2018" s="837"/>
      <c r="J2018" s="1526"/>
      <c r="K2018" s="943"/>
      <c r="L2018" s="866" t="n">
        <v>13315.512</v>
      </c>
      <c r="M2018" s="866" t="n">
        <v>420</v>
      </c>
      <c r="N2018" s="866" t="n">
        <f aca="false">M2018/H2017</f>
        <v>28</v>
      </c>
      <c r="O2018" s="545" t="s">
        <v>1220</v>
      </c>
      <c r="P2018" s="1948"/>
      <c r="Q2018" s="1934"/>
      <c r="R2018" s="1935"/>
    </row>
    <row r="2019" customFormat="false" ht="14.25" hidden="false" customHeight="false" outlineLevel="0" collapsed="false">
      <c r="A2019" s="882"/>
      <c r="B2019" s="830"/>
      <c r="C2019" s="1965"/>
      <c r="D2019" s="843" t="s">
        <v>6</v>
      </c>
      <c r="E2019" s="1357" t="s">
        <v>1651</v>
      </c>
      <c r="F2019" s="832"/>
      <c r="G2019" s="837"/>
      <c r="H2019" s="837"/>
      <c r="I2019" s="837"/>
      <c r="J2019" s="1526"/>
      <c r="K2019" s="943"/>
      <c r="L2019" s="846" t="n">
        <v>20448.822</v>
      </c>
      <c r="M2019" s="846" t="n">
        <v>645</v>
      </c>
      <c r="N2019" s="2062" t="n">
        <f aca="false">M2019/H2017</f>
        <v>43</v>
      </c>
      <c r="O2019" s="1936" t="s">
        <v>1219</v>
      </c>
      <c r="P2019" s="1948"/>
      <c r="Q2019" s="1934"/>
      <c r="R2019" s="1935"/>
    </row>
    <row r="2020" customFormat="false" ht="14.25" hidden="false" customHeight="false" outlineLevel="0" collapsed="false">
      <c r="A2020" s="903" t="n">
        <v>160</v>
      </c>
      <c r="B2020" s="903" t="n">
        <v>2025</v>
      </c>
      <c r="C2020" s="1974" t="n">
        <v>46054</v>
      </c>
      <c r="D2020" s="904" t="s">
        <v>6</v>
      </c>
      <c r="E2020" s="1351" t="s">
        <v>1652</v>
      </c>
      <c r="F2020" s="904" t="s">
        <v>3364</v>
      </c>
      <c r="G2020" s="942" t="n">
        <v>205</v>
      </c>
      <c r="H2020" s="942" t="n">
        <v>15</v>
      </c>
      <c r="I2020" s="1355" t="n">
        <f aca="false">G2020*H2020</f>
        <v>3075</v>
      </c>
      <c r="J2020" s="1524" t="n">
        <v>41.0017</v>
      </c>
      <c r="K2020" s="1138" t="n">
        <f aca="false">I2020*J2020</f>
        <v>126080.2275</v>
      </c>
      <c r="L2020" s="891" t="n">
        <v>73803.06</v>
      </c>
      <c r="M2020" s="891" t="n">
        <v>1800</v>
      </c>
      <c r="N2020" s="886" t="n">
        <f aca="false">M2020/H2020</f>
        <v>120</v>
      </c>
      <c r="O2020" s="1943" t="s">
        <v>3535</v>
      </c>
      <c r="P2020" s="1947" t="n">
        <f aca="false">K2020-L2020</f>
        <v>52277.1675</v>
      </c>
      <c r="Q2020" s="1945" t="n">
        <f aca="false">I2020-M2020</f>
        <v>1275</v>
      </c>
      <c r="R2020" s="1945" t="n">
        <f aca="false">G2020-N2020</f>
        <v>85</v>
      </c>
    </row>
    <row r="2021" customFormat="false" ht="14.25" hidden="false" customHeight="false" outlineLevel="0" collapsed="false">
      <c r="A2021" s="1027" t="n">
        <v>162</v>
      </c>
      <c r="B2021" s="1546" t="n">
        <v>2025</v>
      </c>
      <c r="C2021" s="1975" t="n">
        <v>46054</v>
      </c>
      <c r="D2021" s="1328" t="s">
        <v>6</v>
      </c>
      <c r="E2021" s="1607" t="s">
        <v>1652</v>
      </c>
      <c r="F2021" s="1328" t="s">
        <v>3364</v>
      </c>
      <c r="G2021" s="1036" t="n">
        <v>666</v>
      </c>
      <c r="H2021" s="1036" t="n">
        <v>15</v>
      </c>
      <c r="I2021" s="1036" t="n">
        <f aca="false">G2021*H2021</f>
        <v>9990</v>
      </c>
      <c r="J2021" s="1528" t="n">
        <v>40.8746</v>
      </c>
      <c r="K2021" s="1547" t="n">
        <f aca="false">I2021*J2021</f>
        <v>408337.254</v>
      </c>
      <c r="L2021" s="886" t="n">
        <v>307172.619</v>
      </c>
      <c r="M2021" s="886" t="n">
        <v>7515</v>
      </c>
      <c r="N2021" s="886" t="n">
        <f aca="false">M2021/H2021</f>
        <v>501</v>
      </c>
      <c r="O2021" s="1595" t="s">
        <v>986</v>
      </c>
      <c r="P2021" s="1984" t="n">
        <f aca="false">K2021-L2021-L2026-L2025-L2024-L2022-L2023</f>
        <v>5518.07100000002</v>
      </c>
      <c r="Q2021" s="1978" t="n">
        <f aca="false">I2021-M2021-M2026-M2025-M2024-M2022-M2023</f>
        <v>135</v>
      </c>
      <c r="R2021" s="1979" t="n">
        <f aca="false">G2021-N2021-N2026-N2025-N2024-N2022-N2023</f>
        <v>9</v>
      </c>
    </row>
    <row r="2022" customFormat="false" ht="14.25" hidden="false" customHeight="false" outlineLevel="0" collapsed="false">
      <c r="A2022" s="1027"/>
      <c r="B2022" s="1546"/>
      <c r="C2022" s="1975"/>
      <c r="D2022" s="860" t="s">
        <v>6</v>
      </c>
      <c r="E2022" s="1480" t="s">
        <v>1652</v>
      </c>
      <c r="F2022" s="1328"/>
      <c r="G2022" s="1036"/>
      <c r="H2022" s="1036"/>
      <c r="I2022" s="1036"/>
      <c r="J2022" s="1528"/>
      <c r="K2022" s="1547"/>
      <c r="L2022" s="866" t="n">
        <v>11649.261</v>
      </c>
      <c r="M2022" s="866" t="n">
        <v>285</v>
      </c>
      <c r="N2022" s="866" t="n">
        <f aca="false">M2022/H2021</f>
        <v>19</v>
      </c>
      <c r="O2022" s="545" t="s">
        <v>1269</v>
      </c>
      <c r="P2022" s="1984"/>
      <c r="Q2022" s="1978"/>
      <c r="R2022" s="1979"/>
    </row>
    <row r="2023" customFormat="false" ht="14.25" hidden="false" customHeight="false" outlineLevel="0" collapsed="false">
      <c r="A2023" s="1027"/>
      <c r="B2023" s="1546"/>
      <c r="C2023" s="1975"/>
      <c r="D2023" s="860" t="s">
        <v>6</v>
      </c>
      <c r="E2023" s="1480" t="s">
        <v>1652</v>
      </c>
      <c r="F2023" s="1328"/>
      <c r="G2023" s="1036"/>
      <c r="H2023" s="1036"/>
      <c r="I2023" s="1036"/>
      <c r="J2023" s="1528"/>
      <c r="K2023" s="1547"/>
      <c r="L2023" s="866" t="n">
        <v>18393.57</v>
      </c>
      <c r="M2023" s="866" t="n">
        <v>450</v>
      </c>
      <c r="N2023" s="866" t="n">
        <f aca="false">M2023/H2021</f>
        <v>30</v>
      </c>
      <c r="O2023" s="545" t="s">
        <v>1281</v>
      </c>
      <c r="P2023" s="1984"/>
      <c r="Q2023" s="1978"/>
      <c r="R2023" s="1979"/>
    </row>
    <row r="2024" customFormat="false" ht="14.25" hidden="false" customHeight="false" outlineLevel="0" collapsed="false">
      <c r="A2024" s="1027"/>
      <c r="B2024" s="1546"/>
      <c r="C2024" s="1975"/>
      <c r="D2024" s="860" t="s">
        <v>6</v>
      </c>
      <c r="E2024" s="1480" t="s">
        <v>1652</v>
      </c>
      <c r="F2024" s="1328"/>
      <c r="G2024" s="1036"/>
      <c r="H2024" s="1036"/>
      <c r="I2024" s="1036"/>
      <c r="J2024" s="1528"/>
      <c r="K2024" s="1547"/>
      <c r="L2024" s="866" t="n">
        <v>18393.57</v>
      </c>
      <c r="M2024" s="866" t="n">
        <v>450</v>
      </c>
      <c r="N2024" s="866" t="n">
        <f aca="false">M2024/H2021</f>
        <v>30</v>
      </c>
      <c r="O2024" s="545" t="s">
        <v>1258</v>
      </c>
      <c r="P2024" s="1984"/>
      <c r="Q2024" s="1978"/>
      <c r="R2024" s="1979"/>
    </row>
    <row r="2025" customFormat="false" ht="14.25" hidden="false" customHeight="false" outlineLevel="0" collapsed="false">
      <c r="A2025" s="1027"/>
      <c r="B2025" s="1546"/>
      <c r="C2025" s="1975"/>
      <c r="D2025" s="860" t="s">
        <v>6</v>
      </c>
      <c r="E2025" s="1480" t="s">
        <v>1652</v>
      </c>
      <c r="F2025" s="1328"/>
      <c r="G2025" s="1036"/>
      <c r="H2025" s="1036"/>
      <c r="I2025" s="1036"/>
      <c r="J2025" s="1528"/>
      <c r="K2025" s="1547"/>
      <c r="L2025" s="866" t="n">
        <v>12262.38</v>
      </c>
      <c r="M2025" s="866" t="n">
        <v>300</v>
      </c>
      <c r="N2025" s="866" t="n">
        <f aca="false">M2025/H2021</f>
        <v>20</v>
      </c>
      <c r="O2025" s="545" t="s">
        <v>1217</v>
      </c>
      <c r="P2025" s="1984"/>
      <c r="Q2025" s="1978"/>
      <c r="R2025" s="1979"/>
    </row>
    <row r="2026" customFormat="false" ht="14.25" hidden="false" customHeight="false" outlineLevel="0" collapsed="false">
      <c r="A2026" s="1027"/>
      <c r="B2026" s="1546"/>
      <c r="C2026" s="1975"/>
      <c r="D2026" s="871" t="s">
        <v>6</v>
      </c>
      <c r="E2026" s="1478" t="s">
        <v>1652</v>
      </c>
      <c r="F2026" s="1328"/>
      <c r="G2026" s="1036"/>
      <c r="H2026" s="1036"/>
      <c r="I2026" s="1036"/>
      <c r="J2026" s="1528"/>
      <c r="K2026" s="1547"/>
      <c r="L2026" s="877" t="n">
        <v>34947.783</v>
      </c>
      <c r="M2026" s="877" t="n">
        <v>855</v>
      </c>
      <c r="N2026" s="877" t="n">
        <f aca="false">M2026/H2021</f>
        <v>57</v>
      </c>
      <c r="O2026" s="584" t="s">
        <v>1194</v>
      </c>
      <c r="P2026" s="1984"/>
      <c r="Q2026" s="1978"/>
      <c r="R2026" s="1979"/>
    </row>
    <row r="2027" customFormat="false" ht="14.25" hidden="false" customHeight="false" outlineLevel="0" collapsed="false">
      <c r="A2027" s="882" t="n">
        <v>164</v>
      </c>
      <c r="B2027" s="830" t="n">
        <v>2025</v>
      </c>
      <c r="C2027" s="1965" t="n">
        <v>46054</v>
      </c>
      <c r="D2027" s="831" t="s">
        <v>6</v>
      </c>
      <c r="E2027" s="1365" t="s">
        <v>1652</v>
      </c>
      <c r="F2027" s="832" t="s">
        <v>3364</v>
      </c>
      <c r="G2027" s="837" t="n">
        <v>363</v>
      </c>
      <c r="H2027" s="837" t="n">
        <v>15</v>
      </c>
      <c r="I2027" s="837" t="n">
        <f aca="false">G2027*H2027</f>
        <v>5445</v>
      </c>
      <c r="J2027" s="1526" t="n">
        <v>41.6102</v>
      </c>
      <c r="K2027" s="943" t="n">
        <f aca="false">I2027*J2027</f>
        <v>226567.539</v>
      </c>
      <c r="L2027" s="840" t="n">
        <v>124830.6</v>
      </c>
      <c r="M2027" s="840" t="n">
        <v>3000</v>
      </c>
      <c r="N2027" s="886" t="n">
        <f aca="false">M2027/H2027</f>
        <v>200</v>
      </c>
      <c r="O2027" s="578" t="s">
        <v>1129</v>
      </c>
      <c r="P2027" s="1934" t="n">
        <f aca="false">K2027-L2027-L2029-L2028</f>
        <v>-2.00088834390044E-011</v>
      </c>
      <c r="Q2027" s="1934" t="n">
        <f aca="false">I2027-M2027-M2029-M2028</f>
        <v>0</v>
      </c>
      <c r="R2027" s="1935" t="n">
        <f aca="false">G2027-N2027-N2029-N2028</f>
        <v>0</v>
      </c>
    </row>
    <row r="2028" customFormat="false" ht="14.25" hidden="false" customHeight="false" outlineLevel="0" collapsed="false">
      <c r="A2028" s="882"/>
      <c r="B2028" s="830"/>
      <c r="C2028" s="1965"/>
      <c r="D2028" s="904" t="s">
        <v>6</v>
      </c>
      <c r="E2028" s="1351" t="s">
        <v>1652</v>
      </c>
      <c r="F2028" s="832"/>
      <c r="G2028" s="837"/>
      <c r="H2028" s="837"/>
      <c r="I2028" s="837"/>
      <c r="J2028" s="1526"/>
      <c r="K2028" s="943"/>
      <c r="L2028" s="891" t="n">
        <v>13731.366</v>
      </c>
      <c r="M2028" s="891" t="n">
        <v>330</v>
      </c>
      <c r="N2028" s="866" t="n">
        <f aca="false">M2028/H2027</f>
        <v>22</v>
      </c>
      <c r="O2028" s="1943" t="s">
        <v>1290</v>
      </c>
      <c r="P2028" s="1934"/>
      <c r="Q2028" s="1934"/>
      <c r="R2028" s="1935"/>
    </row>
    <row r="2029" customFormat="false" ht="14.25" hidden="false" customHeight="false" outlineLevel="0" collapsed="false">
      <c r="A2029" s="882"/>
      <c r="B2029" s="830"/>
      <c r="C2029" s="1965"/>
      <c r="D2029" s="843" t="s">
        <v>6</v>
      </c>
      <c r="E2029" s="1357" t="s">
        <v>1652</v>
      </c>
      <c r="F2029" s="832"/>
      <c r="G2029" s="837"/>
      <c r="H2029" s="837"/>
      <c r="I2029" s="837"/>
      <c r="J2029" s="1526"/>
      <c r="K2029" s="943"/>
      <c r="L2029" s="846" t="n">
        <v>88005.573</v>
      </c>
      <c r="M2029" s="846" t="n">
        <v>2115</v>
      </c>
      <c r="N2029" s="846" t="n">
        <f aca="false">M2029/H2027</f>
        <v>141</v>
      </c>
      <c r="O2029" s="1936" t="s">
        <v>1269</v>
      </c>
      <c r="P2029" s="1934"/>
      <c r="Q2029" s="1934"/>
      <c r="R2029" s="1935"/>
    </row>
    <row r="2030" customFormat="false" ht="14.25" hidden="false" customHeight="false" outlineLevel="0" collapsed="false">
      <c r="A2030" s="847" t="n">
        <v>207</v>
      </c>
      <c r="B2030" s="1396" t="n">
        <v>2025</v>
      </c>
      <c r="C2030" s="1966" t="n">
        <v>46082</v>
      </c>
      <c r="D2030" s="848" t="s">
        <v>6</v>
      </c>
      <c r="E2030" s="1479" t="s">
        <v>1652</v>
      </c>
      <c r="F2030" s="848" t="s">
        <v>3364</v>
      </c>
      <c r="G2030" s="537" t="n">
        <v>240</v>
      </c>
      <c r="H2030" s="537" t="n">
        <v>15</v>
      </c>
      <c r="I2030" s="1380" t="n">
        <f aca="false">G2030*H2030</f>
        <v>3600</v>
      </c>
      <c r="J2030" s="1523" t="n">
        <v>41.9146</v>
      </c>
      <c r="K2030" s="1144" t="n">
        <f aca="false">I2030*J2030</f>
        <v>150892.56</v>
      </c>
      <c r="L2030" s="854" t="n">
        <v>15089.256</v>
      </c>
      <c r="M2030" s="854" t="n">
        <v>360</v>
      </c>
      <c r="N2030" s="854" t="n">
        <f aca="false">M2030/H2030</f>
        <v>24</v>
      </c>
      <c r="O2030" s="580" t="s">
        <v>1329</v>
      </c>
      <c r="P2030" s="1983" t="n">
        <f aca="false">K2030-L2030</f>
        <v>135803.304</v>
      </c>
      <c r="Q2030" s="1970" t="n">
        <f aca="false">I2030-M2030</f>
        <v>3240</v>
      </c>
      <c r="R2030" s="1970" t="n">
        <f aca="false">G2030-N2030</f>
        <v>216</v>
      </c>
    </row>
    <row r="2031" customFormat="false" ht="14.25" hidden="false" customHeight="false" outlineLevel="0" collapsed="false">
      <c r="A2031" s="859" t="n">
        <v>210</v>
      </c>
      <c r="B2031" s="2020" t="n">
        <v>2025</v>
      </c>
      <c r="C2031" s="1990" t="n">
        <v>46082</v>
      </c>
      <c r="D2031" s="860" t="s">
        <v>6</v>
      </c>
      <c r="E2031" s="1480" t="s">
        <v>1652</v>
      </c>
      <c r="F2031" s="860" t="s">
        <v>3364</v>
      </c>
      <c r="G2031" s="543" t="n">
        <v>6</v>
      </c>
      <c r="H2031" s="543" t="n">
        <v>800</v>
      </c>
      <c r="I2031" s="1380" t="n">
        <f aca="false">G2031*H2031</f>
        <v>4800</v>
      </c>
      <c r="J2031" s="1760" t="n">
        <v>52.9938</v>
      </c>
      <c r="K2031" s="1144" t="n">
        <f aca="false">I2031*J2031</f>
        <v>254370.24</v>
      </c>
      <c r="L2031" s="866" t="n">
        <v>254370.24</v>
      </c>
      <c r="M2031" s="866" t="n">
        <v>4800</v>
      </c>
      <c r="N2031" s="854" t="n">
        <f aca="false">M2031/H2031</f>
        <v>6</v>
      </c>
      <c r="O2031" s="545" t="s">
        <v>1356</v>
      </c>
      <c r="P2031" s="1983" t="n">
        <f aca="false">K2031-L2031</f>
        <v>0</v>
      </c>
      <c r="Q2031" s="1970" t="n">
        <f aca="false">I2031-M2031</f>
        <v>0</v>
      </c>
      <c r="R2031" s="1970" t="n">
        <f aca="false">G2031-N2031</f>
        <v>0</v>
      </c>
    </row>
    <row r="2032" customFormat="false" ht="14.25" hidden="false" customHeight="false" outlineLevel="0" collapsed="false">
      <c r="A2032" s="859" t="n">
        <v>211</v>
      </c>
      <c r="B2032" s="2020" t="n">
        <v>2025</v>
      </c>
      <c r="C2032" s="1990" t="n">
        <v>46082</v>
      </c>
      <c r="D2032" s="860" t="s">
        <v>6</v>
      </c>
      <c r="E2032" s="1480" t="s">
        <v>1652</v>
      </c>
      <c r="F2032" s="860" t="s">
        <v>3364</v>
      </c>
      <c r="G2032" s="543" t="n">
        <v>1</v>
      </c>
      <c r="H2032" s="543" t="n">
        <v>280</v>
      </c>
      <c r="I2032" s="1380" t="n">
        <f aca="false">G2032*H2032</f>
        <v>280</v>
      </c>
      <c r="J2032" s="1760" t="n">
        <v>52.9938</v>
      </c>
      <c r="K2032" s="1144" t="n">
        <f aca="false">I2032*J2032</f>
        <v>14838.264</v>
      </c>
      <c r="L2032" s="866" t="n">
        <v>14838.264</v>
      </c>
      <c r="M2032" s="866" t="n">
        <v>280</v>
      </c>
      <c r="N2032" s="854" t="n">
        <f aca="false">M2032/H2032</f>
        <v>1</v>
      </c>
      <c r="O2032" s="545" t="s">
        <v>1356</v>
      </c>
      <c r="P2032" s="1983" t="n">
        <f aca="false">K2032-L2032</f>
        <v>0</v>
      </c>
      <c r="Q2032" s="1970" t="n">
        <f aca="false">I2032-M2032</f>
        <v>0</v>
      </c>
      <c r="R2032" s="1970" t="n">
        <f aca="false">G2032-N2032</f>
        <v>0</v>
      </c>
    </row>
    <row r="2033" customFormat="false" ht="14.25" hidden="false" customHeight="false" outlineLevel="0" collapsed="false">
      <c r="A2033" s="870"/>
      <c r="B2033" s="1495"/>
      <c r="C2033" s="1972"/>
      <c r="D2033" s="871"/>
      <c r="E2033" s="1478"/>
      <c r="F2033" s="871"/>
      <c r="G2033" s="553"/>
      <c r="H2033" s="553"/>
      <c r="I2033" s="1587"/>
      <c r="J2033" s="1525"/>
      <c r="K2033" s="1151"/>
      <c r="L2033" s="877"/>
      <c r="M2033" s="877"/>
      <c r="N2033" s="877"/>
      <c r="O2033" s="584"/>
      <c r="P2033" s="1983"/>
      <c r="Q2033" s="1970"/>
      <c r="R2033" s="1970"/>
    </row>
    <row r="2034" customFormat="false" ht="14.25" hidden="false" customHeight="false" outlineLevel="0" collapsed="false">
      <c r="A2034" s="882" t="n">
        <v>439</v>
      </c>
      <c r="B2034" s="830" t="n">
        <v>2024</v>
      </c>
      <c r="C2034" s="1965" t="n">
        <v>45931</v>
      </c>
      <c r="D2034" s="831" t="s">
        <v>22</v>
      </c>
      <c r="E2034" s="1365" t="s">
        <v>1651</v>
      </c>
      <c r="F2034" s="832" t="s">
        <v>3364</v>
      </c>
      <c r="G2034" s="837" t="n">
        <v>60</v>
      </c>
      <c r="H2034" s="837" t="n">
        <v>15</v>
      </c>
      <c r="I2034" s="837" t="n">
        <f aca="false">G2034*H2034</f>
        <v>900</v>
      </c>
      <c r="J2034" s="1526" t="n">
        <v>25.9444</v>
      </c>
      <c r="K2034" s="943" t="n">
        <f aca="false">I2034*J2034</f>
        <v>23349.96</v>
      </c>
      <c r="L2034" s="840" t="n">
        <v>15177.474</v>
      </c>
      <c r="M2034" s="840" t="n">
        <v>585</v>
      </c>
      <c r="N2034" s="886" t="n">
        <f aca="false">M2034/H2034</f>
        <v>39</v>
      </c>
      <c r="O2034" s="578" t="s">
        <v>555</v>
      </c>
      <c r="P2034" s="1934" t="n">
        <f aca="false">K2034-L2034-L2040-L2039-L2035-L2037-L2038-L2036</f>
        <v>2.89901436190121E-012</v>
      </c>
      <c r="Q2034" s="1934" t="n">
        <f aca="false">I2034-M2034-M2040-M2039-M2035-M2037-M2038-M2036</f>
        <v>0</v>
      </c>
      <c r="R2034" s="1935" t="n">
        <f aca="false">G2034-N2034-N2040-N2039-N2035-N2037-N2038-N2036</f>
        <v>0</v>
      </c>
    </row>
    <row r="2035" customFormat="false" ht="14.25" hidden="false" customHeight="false" outlineLevel="0" collapsed="false">
      <c r="A2035" s="882"/>
      <c r="B2035" s="830"/>
      <c r="C2035" s="1965"/>
      <c r="D2035" s="848" t="s">
        <v>22</v>
      </c>
      <c r="E2035" s="1479" t="s">
        <v>1651</v>
      </c>
      <c r="F2035" s="832"/>
      <c r="G2035" s="837"/>
      <c r="H2035" s="837"/>
      <c r="I2035" s="837"/>
      <c r="J2035" s="1526"/>
      <c r="K2035" s="943"/>
      <c r="L2035" s="854" t="n">
        <v>389.166</v>
      </c>
      <c r="M2035" s="854" t="n">
        <v>15</v>
      </c>
      <c r="N2035" s="866" t="n">
        <f aca="false">M2035/H2034</f>
        <v>1</v>
      </c>
      <c r="O2035" s="580" t="s">
        <v>746</v>
      </c>
      <c r="P2035" s="1934"/>
      <c r="Q2035" s="1934"/>
      <c r="R2035" s="1935"/>
    </row>
    <row r="2036" customFormat="false" ht="14.25" hidden="false" customHeight="false" outlineLevel="0" collapsed="false">
      <c r="A2036" s="882"/>
      <c r="B2036" s="830"/>
      <c r="C2036" s="1965"/>
      <c r="D2036" s="848" t="s">
        <v>22</v>
      </c>
      <c r="E2036" s="1479" t="s">
        <v>1651</v>
      </c>
      <c r="F2036" s="832"/>
      <c r="G2036" s="837"/>
      <c r="H2036" s="837"/>
      <c r="I2036" s="837"/>
      <c r="J2036" s="1526"/>
      <c r="K2036" s="943"/>
      <c r="L2036" s="854" t="n">
        <v>389.166</v>
      </c>
      <c r="M2036" s="854" t="n">
        <v>15</v>
      </c>
      <c r="N2036" s="866" t="n">
        <f aca="false">M2036/H2034</f>
        <v>1</v>
      </c>
      <c r="O2036" s="580" t="s">
        <v>1634</v>
      </c>
      <c r="P2036" s="1934"/>
      <c r="Q2036" s="1934"/>
      <c r="R2036" s="1935"/>
    </row>
    <row r="2037" customFormat="false" ht="14.25" hidden="false" customHeight="false" outlineLevel="0" collapsed="false">
      <c r="A2037" s="882"/>
      <c r="B2037" s="830"/>
      <c r="C2037" s="1965"/>
      <c r="D2037" s="848" t="s">
        <v>22</v>
      </c>
      <c r="E2037" s="1479" t="s">
        <v>1651</v>
      </c>
      <c r="F2037" s="832"/>
      <c r="G2037" s="837"/>
      <c r="H2037" s="837"/>
      <c r="I2037" s="837"/>
      <c r="J2037" s="1526"/>
      <c r="K2037" s="943"/>
      <c r="L2037" s="854" t="n">
        <v>2334.996</v>
      </c>
      <c r="M2037" s="854" t="n">
        <v>90</v>
      </c>
      <c r="N2037" s="866" t="n">
        <f aca="false">M2037/H2034</f>
        <v>6</v>
      </c>
      <c r="O2037" s="580" t="s">
        <v>756</v>
      </c>
      <c r="P2037" s="1934"/>
      <c r="Q2037" s="1934"/>
      <c r="R2037" s="1935"/>
    </row>
    <row r="2038" customFormat="false" ht="14.25" hidden="false" customHeight="false" outlineLevel="0" collapsed="false">
      <c r="A2038" s="882"/>
      <c r="B2038" s="830"/>
      <c r="C2038" s="1965"/>
      <c r="D2038" s="848" t="s">
        <v>22</v>
      </c>
      <c r="E2038" s="1479" t="s">
        <v>1651</v>
      </c>
      <c r="F2038" s="832"/>
      <c r="G2038" s="837"/>
      <c r="H2038" s="837"/>
      <c r="I2038" s="837"/>
      <c r="J2038" s="1526"/>
      <c r="K2038" s="943"/>
      <c r="L2038" s="854" t="n">
        <v>1945.83</v>
      </c>
      <c r="M2038" s="854" t="n">
        <v>75</v>
      </c>
      <c r="N2038" s="866" t="n">
        <f aca="false">M2038/H2034</f>
        <v>5</v>
      </c>
      <c r="O2038" s="580" t="s">
        <v>1042</v>
      </c>
      <c r="P2038" s="1934"/>
      <c r="Q2038" s="1934"/>
      <c r="R2038" s="1935"/>
    </row>
    <row r="2039" customFormat="false" ht="14.25" hidden="false" customHeight="false" outlineLevel="0" collapsed="false">
      <c r="A2039" s="882"/>
      <c r="B2039" s="830"/>
      <c r="C2039" s="1965"/>
      <c r="D2039" s="860" t="s">
        <v>22</v>
      </c>
      <c r="E2039" s="1480" t="s">
        <v>1651</v>
      </c>
      <c r="F2039" s="832"/>
      <c r="G2039" s="837"/>
      <c r="H2039" s="837"/>
      <c r="I2039" s="837"/>
      <c r="J2039" s="1526"/>
      <c r="K2039" s="943"/>
      <c r="L2039" s="866" t="n">
        <v>1945.83</v>
      </c>
      <c r="M2039" s="866" t="n">
        <v>75</v>
      </c>
      <c r="N2039" s="866" t="n">
        <f aca="false">M2039/H2034</f>
        <v>5</v>
      </c>
      <c r="O2039" s="545" t="s">
        <v>629</v>
      </c>
      <c r="P2039" s="1934"/>
      <c r="Q2039" s="1934"/>
      <c r="R2039" s="1935"/>
    </row>
    <row r="2040" customFormat="false" ht="14.25" hidden="false" customHeight="false" outlineLevel="0" collapsed="false">
      <c r="A2040" s="882"/>
      <c r="B2040" s="830"/>
      <c r="C2040" s="1965"/>
      <c r="D2040" s="887" t="s">
        <v>22</v>
      </c>
      <c r="E2040" s="1501" t="s">
        <v>1651</v>
      </c>
      <c r="F2040" s="832"/>
      <c r="G2040" s="837"/>
      <c r="H2040" s="837"/>
      <c r="I2040" s="837"/>
      <c r="J2040" s="1526"/>
      <c r="K2040" s="943"/>
      <c r="L2040" s="890" t="n">
        <v>1167.498</v>
      </c>
      <c r="M2040" s="890" t="n">
        <v>45</v>
      </c>
      <c r="N2040" s="890" t="n">
        <f aca="false">M2040/H2034</f>
        <v>3</v>
      </c>
      <c r="O2040" s="1938" t="s">
        <v>564</v>
      </c>
      <c r="P2040" s="1934"/>
      <c r="Q2040" s="1934"/>
      <c r="R2040" s="1935"/>
    </row>
    <row r="2041" customFormat="false" ht="14.25" hidden="false" customHeight="false" outlineLevel="0" collapsed="false">
      <c r="A2041" s="847" t="n">
        <v>506</v>
      </c>
      <c r="B2041" s="1396" t="n">
        <v>2024</v>
      </c>
      <c r="C2041" s="1966" t="n">
        <v>45931</v>
      </c>
      <c r="D2041" s="848" t="s">
        <v>22</v>
      </c>
      <c r="E2041" s="1479" t="s">
        <v>1651</v>
      </c>
      <c r="F2041" s="848" t="s">
        <v>3364</v>
      </c>
      <c r="G2041" s="537" t="n">
        <v>160</v>
      </c>
      <c r="H2041" s="537" t="n">
        <v>15</v>
      </c>
      <c r="I2041" s="1380" t="n">
        <f aca="false">G2041*H2041</f>
        <v>2400</v>
      </c>
      <c r="J2041" s="1523" t="n">
        <v>26.0351</v>
      </c>
      <c r="K2041" s="1144" t="n">
        <f aca="false">I2041*J2041</f>
        <v>62484.24</v>
      </c>
      <c r="L2041" s="854" t="n">
        <v>62484.24</v>
      </c>
      <c r="M2041" s="854" t="n">
        <v>2400</v>
      </c>
      <c r="N2041" s="854" t="n">
        <f aca="false">M2041/H2041</f>
        <v>160</v>
      </c>
      <c r="O2041" s="580" t="s">
        <v>1042</v>
      </c>
      <c r="P2041" s="1983" t="n">
        <f aca="false">K2041-L2041</f>
        <v>0</v>
      </c>
      <c r="Q2041" s="1970" t="n">
        <f aca="false">I2041-M2041</f>
        <v>0</v>
      </c>
      <c r="R2041" s="1970" t="n">
        <f aca="false">G2041-N2041</f>
        <v>0</v>
      </c>
    </row>
    <row r="2042" customFormat="false" ht="14.25" hidden="false" customHeight="false" outlineLevel="0" collapsed="false">
      <c r="A2042" s="847" t="n">
        <v>523</v>
      </c>
      <c r="B2042" s="1396" t="n">
        <v>2024</v>
      </c>
      <c r="C2042" s="1966" t="n">
        <v>45931</v>
      </c>
      <c r="D2042" s="848" t="s">
        <v>22</v>
      </c>
      <c r="E2042" s="1479" t="s">
        <v>2133</v>
      </c>
      <c r="F2042" s="848" t="s">
        <v>3364</v>
      </c>
      <c r="G2042" s="537" t="n">
        <v>4</v>
      </c>
      <c r="H2042" s="537" t="n">
        <v>30</v>
      </c>
      <c r="I2042" s="1380" t="n">
        <f aca="false">G2042*H2042</f>
        <v>120</v>
      </c>
      <c r="J2042" s="1523" t="n">
        <v>93.4</v>
      </c>
      <c r="K2042" s="1144" t="n">
        <f aca="false">I2042*J2042</f>
        <v>11208</v>
      </c>
      <c r="L2042" s="854" t="n">
        <v>11208</v>
      </c>
      <c r="M2042" s="854" t="n">
        <v>120</v>
      </c>
      <c r="N2042" s="854" t="n">
        <f aca="false">M2042/H2042</f>
        <v>4</v>
      </c>
      <c r="O2042" s="580" t="s">
        <v>650</v>
      </c>
      <c r="P2042" s="1983" t="n">
        <f aca="false">K2042-L2042</f>
        <v>0</v>
      </c>
      <c r="Q2042" s="1970" t="n">
        <f aca="false">I2042-M2042</f>
        <v>0</v>
      </c>
      <c r="R2042" s="1970" t="n">
        <f aca="false">G2042-N2042</f>
        <v>0</v>
      </c>
    </row>
    <row r="2043" customFormat="false" ht="14.25" hidden="false" customHeight="false" outlineLevel="0" collapsed="false">
      <c r="A2043" s="903" t="n">
        <v>636</v>
      </c>
      <c r="B2043" s="903" t="n">
        <v>2024</v>
      </c>
      <c r="C2043" s="1974" t="n">
        <v>45992</v>
      </c>
      <c r="D2043" s="904" t="s">
        <v>22</v>
      </c>
      <c r="E2043" s="1351" t="s">
        <v>2133</v>
      </c>
      <c r="F2043" s="904" t="s">
        <v>3364</v>
      </c>
      <c r="G2043" s="942" t="n">
        <v>9</v>
      </c>
      <c r="H2043" s="942" t="n">
        <v>30</v>
      </c>
      <c r="I2043" s="1355" t="n">
        <f aca="false">G2043*H2043</f>
        <v>270</v>
      </c>
      <c r="J2043" s="1524" t="n">
        <v>93.4</v>
      </c>
      <c r="K2043" s="1138" t="n">
        <f aca="false">I2043*J2043</f>
        <v>25218</v>
      </c>
      <c r="L2043" s="891"/>
      <c r="M2043" s="891"/>
      <c r="N2043" s="891"/>
      <c r="O2043" s="1943"/>
      <c r="P2043" s="1947" t="n">
        <f aca="false">K2043-L2043</f>
        <v>25218</v>
      </c>
      <c r="Q2043" s="1945" t="n">
        <f aca="false">I2043-M2043</f>
        <v>270</v>
      </c>
      <c r="R2043" s="1945" t="n">
        <f aca="false">G2043-N2043</f>
        <v>9</v>
      </c>
    </row>
    <row r="2044" customFormat="false" ht="14.25" hidden="false" customHeight="false" outlineLevel="0" collapsed="false">
      <c r="A2044" s="882" t="n">
        <v>97</v>
      </c>
      <c r="B2044" s="830" t="n">
        <v>2025</v>
      </c>
      <c r="C2044" s="1965" t="n">
        <v>46023</v>
      </c>
      <c r="D2044" s="831" t="s">
        <v>22</v>
      </c>
      <c r="E2044" s="1365" t="s">
        <v>1651</v>
      </c>
      <c r="F2044" s="832" t="s">
        <v>3364</v>
      </c>
      <c r="G2044" s="837" t="n">
        <v>149</v>
      </c>
      <c r="H2044" s="837" t="n">
        <v>15</v>
      </c>
      <c r="I2044" s="837" t="n">
        <f aca="false">G2044*H2044</f>
        <v>2235</v>
      </c>
      <c r="J2044" s="1526" t="n">
        <v>29.6706</v>
      </c>
      <c r="K2044" s="943" t="n">
        <f aca="false">I2044*J2044</f>
        <v>66313.791</v>
      </c>
      <c r="L2044" s="840" t="n">
        <v>445.059</v>
      </c>
      <c r="M2044" s="840" t="n">
        <v>15</v>
      </c>
      <c r="N2044" s="886" t="n">
        <f aca="false">M2044/H2044</f>
        <v>1</v>
      </c>
      <c r="O2044" s="578" t="s">
        <v>1163</v>
      </c>
      <c r="P2044" s="1948" t="n">
        <f aca="false">K2044-L2044-L2049-L2048-L2045-L2046-L2047</f>
        <v>20472.714</v>
      </c>
      <c r="Q2044" s="1934" t="n">
        <f aca="false">I2044-M2044-M2049-M2048-M2045-M2046-M2047</f>
        <v>690</v>
      </c>
      <c r="R2044" s="1935" t="n">
        <f aca="false">G2044-N2044-N2049-N2048-N2045-N2046-N2047</f>
        <v>46</v>
      </c>
    </row>
    <row r="2045" customFormat="false" ht="14.25" hidden="false" customHeight="false" outlineLevel="0" collapsed="false">
      <c r="A2045" s="882"/>
      <c r="B2045" s="830"/>
      <c r="C2045" s="1965"/>
      <c r="D2045" s="848" t="s">
        <v>22</v>
      </c>
      <c r="E2045" s="1479" t="s">
        <v>1651</v>
      </c>
      <c r="F2045" s="832"/>
      <c r="G2045" s="837"/>
      <c r="H2045" s="837"/>
      <c r="I2045" s="837"/>
      <c r="J2045" s="1526"/>
      <c r="K2045" s="943"/>
      <c r="L2045" s="854" t="n">
        <v>8011.062</v>
      </c>
      <c r="M2045" s="854" t="n">
        <v>270</v>
      </c>
      <c r="N2045" s="866" t="n">
        <f aca="false">M2045/H2044</f>
        <v>18</v>
      </c>
      <c r="O2045" s="580" t="s">
        <v>1318</v>
      </c>
      <c r="P2045" s="1948"/>
      <c r="Q2045" s="1934"/>
      <c r="R2045" s="1935"/>
    </row>
    <row r="2046" customFormat="false" ht="14.25" hidden="false" customHeight="false" outlineLevel="0" collapsed="false">
      <c r="A2046" s="882"/>
      <c r="B2046" s="830"/>
      <c r="C2046" s="1965"/>
      <c r="D2046" s="848" t="s">
        <v>22</v>
      </c>
      <c r="E2046" s="1479" t="s">
        <v>1651</v>
      </c>
      <c r="F2046" s="832"/>
      <c r="G2046" s="837"/>
      <c r="H2046" s="837"/>
      <c r="I2046" s="837"/>
      <c r="J2046" s="1526"/>
      <c r="K2046" s="943"/>
      <c r="L2046" s="854" t="n">
        <v>2225.295</v>
      </c>
      <c r="M2046" s="854" t="n">
        <v>75</v>
      </c>
      <c r="N2046" s="866" t="n">
        <f aca="false">M2046/H2044</f>
        <v>5</v>
      </c>
      <c r="O2046" s="580" t="s">
        <v>1319</v>
      </c>
      <c r="P2046" s="1948"/>
      <c r="Q2046" s="1934"/>
      <c r="R2046" s="1935"/>
    </row>
    <row r="2047" customFormat="false" ht="14.25" hidden="false" customHeight="false" outlineLevel="0" collapsed="false">
      <c r="A2047" s="882"/>
      <c r="B2047" s="830"/>
      <c r="C2047" s="1965"/>
      <c r="D2047" s="848" t="s">
        <v>22</v>
      </c>
      <c r="E2047" s="1479" t="s">
        <v>1651</v>
      </c>
      <c r="F2047" s="832"/>
      <c r="G2047" s="837"/>
      <c r="H2047" s="837"/>
      <c r="I2047" s="837"/>
      <c r="J2047" s="1526"/>
      <c r="K2047" s="943"/>
      <c r="L2047" s="854" t="n">
        <v>445.059</v>
      </c>
      <c r="M2047" s="854" t="n">
        <v>15</v>
      </c>
      <c r="N2047" s="866" t="n">
        <f aca="false">M2047/H2044</f>
        <v>1</v>
      </c>
      <c r="O2047" s="580" t="s">
        <v>1375</v>
      </c>
      <c r="P2047" s="1948"/>
      <c r="Q2047" s="1934"/>
      <c r="R2047" s="1935"/>
    </row>
    <row r="2048" customFormat="false" ht="14.25" hidden="false" customHeight="false" outlineLevel="0" collapsed="false">
      <c r="A2048" s="882"/>
      <c r="B2048" s="830"/>
      <c r="C2048" s="1965"/>
      <c r="D2048" s="860" t="s">
        <v>22</v>
      </c>
      <c r="E2048" s="1480" t="s">
        <v>1651</v>
      </c>
      <c r="F2048" s="832"/>
      <c r="G2048" s="837"/>
      <c r="H2048" s="837"/>
      <c r="I2048" s="837"/>
      <c r="J2048" s="1526"/>
      <c r="K2048" s="943"/>
      <c r="L2048" s="866" t="n">
        <v>1335.177</v>
      </c>
      <c r="M2048" s="866" t="n">
        <v>45</v>
      </c>
      <c r="N2048" s="866" t="n">
        <f aca="false">M2048/H2044</f>
        <v>3</v>
      </c>
      <c r="O2048" s="545" t="s">
        <v>1311</v>
      </c>
      <c r="P2048" s="1948"/>
      <c r="Q2048" s="1934"/>
      <c r="R2048" s="1935"/>
    </row>
    <row r="2049" customFormat="false" ht="14.25" hidden="false" customHeight="false" outlineLevel="0" collapsed="false">
      <c r="A2049" s="882"/>
      <c r="B2049" s="830"/>
      <c r="C2049" s="1965"/>
      <c r="D2049" s="887" t="s">
        <v>22</v>
      </c>
      <c r="E2049" s="1501" t="s">
        <v>1651</v>
      </c>
      <c r="F2049" s="832"/>
      <c r="G2049" s="837"/>
      <c r="H2049" s="837"/>
      <c r="I2049" s="837"/>
      <c r="J2049" s="1526"/>
      <c r="K2049" s="943"/>
      <c r="L2049" s="890" t="n">
        <v>33379.425</v>
      </c>
      <c r="M2049" s="890" t="n">
        <v>1125</v>
      </c>
      <c r="N2049" s="890" t="n">
        <f aca="false">M2049/H2044</f>
        <v>75</v>
      </c>
      <c r="O2049" s="1938" t="s">
        <v>1256</v>
      </c>
      <c r="P2049" s="1948"/>
      <c r="Q2049" s="1934"/>
      <c r="R2049" s="1935"/>
    </row>
    <row r="2050" customFormat="false" ht="14.25" hidden="false" customHeight="false" outlineLevel="0" collapsed="false">
      <c r="A2050" s="847"/>
      <c r="B2050" s="1396"/>
      <c r="C2050" s="1966"/>
      <c r="D2050" s="848"/>
      <c r="E2050" s="1479"/>
      <c r="F2050" s="1479"/>
      <c r="G2050" s="1380"/>
      <c r="H2050" s="1380"/>
      <c r="I2050" s="1380"/>
      <c r="J2050" s="2058"/>
      <c r="K2050" s="1968"/>
      <c r="L2050" s="854"/>
      <c r="M2050" s="854"/>
      <c r="N2050" s="854"/>
      <c r="O2050" s="580"/>
      <c r="P2050" s="1986"/>
      <c r="Q2050" s="1971"/>
      <c r="R2050" s="1971"/>
    </row>
    <row r="2051" customFormat="false" ht="14.25" hidden="false" customHeight="false" outlineLevel="0" collapsed="false">
      <c r="A2051" s="859" t="n">
        <v>91</v>
      </c>
      <c r="B2051" s="2020" t="n">
        <v>2023</v>
      </c>
      <c r="C2051" s="1990"/>
      <c r="D2051" s="860" t="s">
        <v>10</v>
      </c>
      <c r="E2051" s="860" t="s">
        <v>2133</v>
      </c>
      <c r="F2051" s="860" t="s">
        <v>3364</v>
      </c>
      <c r="G2051" s="543" t="n">
        <v>4</v>
      </c>
      <c r="H2051" s="543" t="n">
        <v>30</v>
      </c>
      <c r="I2051" s="1521" t="n">
        <f aca="false">G2051*H2051</f>
        <v>120</v>
      </c>
      <c r="J2051" s="1760" t="n">
        <v>90</v>
      </c>
      <c r="K2051" s="1147" t="n">
        <f aca="false">I2051*J2051</f>
        <v>10800</v>
      </c>
      <c r="L2051" s="866" t="n">
        <v>10800</v>
      </c>
      <c r="M2051" s="866" t="n">
        <v>120</v>
      </c>
      <c r="N2051" s="854" t="n">
        <f aca="false">M2051/H2051</f>
        <v>4</v>
      </c>
      <c r="O2051" s="545" t="s">
        <v>3373</v>
      </c>
      <c r="P2051" s="1993" t="n">
        <f aca="false">K2051-L2051</f>
        <v>0</v>
      </c>
      <c r="Q2051" s="1994" t="n">
        <f aca="false">I2051-M2051</f>
        <v>0</v>
      </c>
      <c r="R2051" s="1994" t="n">
        <f aca="false">G2051-N2051</f>
        <v>0</v>
      </c>
    </row>
    <row r="2052" customFormat="false" ht="14.25" hidden="false" customHeight="false" outlineLevel="0" collapsed="false">
      <c r="A2052" s="829" t="n">
        <v>60</v>
      </c>
      <c r="B2052" s="830" t="n">
        <v>2024</v>
      </c>
      <c r="C2052" s="1965" t="n">
        <v>45658</v>
      </c>
      <c r="D2052" s="831" t="s">
        <v>10</v>
      </c>
      <c r="E2052" s="1365" t="s">
        <v>1652</v>
      </c>
      <c r="F2052" s="832" t="s">
        <v>3364</v>
      </c>
      <c r="G2052" s="2010" t="n">
        <v>664</v>
      </c>
      <c r="H2052" s="1931" t="n">
        <v>15</v>
      </c>
      <c r="I2052" s="837" t="n">
        <f aca="false">G2052*H2052</f>
        <v>9960</v>
      </c>
      <c r="J2052" s="1059" t="n">
        <v>36.8886</v>
      </c>
      <c r="K2052" s="943" t="n">
        <f aca="false">I2052*J2052</f>
        <v>367410.456</v>
      </c>
      <c r="L2052" s="886" t="n">
        <v>148292.172</v>
      </c>
      <c r="M2052" s="886" t="n">
        <v>4020</v>
      </c>
      <c r="N2052" s="886" t="n">
        <f aca="false">M2052/H2052</f>
        <v>268</v>
      </c>
      <c r="O2052" s="1036" t="n">
        <v>86434</v>
      </c>
      <c r="P2052" s="1934" t="n">
        <f aca="false">K2052-L2052-L2061-L2060-L2053-L2054-L2055-L2059-L2056-L2058-L2057</f>
        <v>-5.63886715099216E-011</v>
      </c>
      <c r="Q2052" s="1934" t="n">
        <f aca="false">I2052-M2052-M2061-M2060-M2053-M2054-M2055-M2059-M2056-M2058-M2057</f>
        <v>0</v>
      </c>
      <c r="R2052" s="1935" t="n">
        <f aca="false">G2052-N2052-N2061-N2060-N2053-N2054-N2055-N2059-N2056-N2058-N2057</f>
        <v>0</v>
      </c>
    </row>
    <row r="2053" customFormat="false" ht="14.25" hidden="false" customHeight="false" outlineLevel="0" collapsed="false">
      <c r="A2053" s="829"/>
      <c r="B2053" s="830"/>
      <c r="C2053" s="1965"/>
      <c r="D2053" s="860" t="s">
        <v>10</v>
      </c>
      <c r="E2053" s="1480" t="s">
        <v>1652</v>
      </c>
      <c r="F2053" s="832"/>
      <c r="G2053" s="2010"/>
      <c r="H2053" s="1931"/>
      <c r="I2053" s="837"/>
      <c r="J2053" s="1059"/>
      <c r="K2053" s="943"/>
      <c r="L2053" s="866" t="n">
        <v>22133.16</v>
      </c>
      <c r="M2053" s="866" t="n">
        <v>600</v>
      </c>
      <c r="N2053" s="866" t="n">
        <f aca="false">M2053/H2052</f>
        <v>40</v>
      </c>
      <c r="O2053" s="543" t="n">
        <v>86499</v>
      </c>
      <c r="P2053" s="1934"/>
      <c r="Q2053" s="1934"/>
      <c r="R2053" s="1935"/>
    </row>
    <row r="2054" customFormat="false" ht="14.25" hidden="false" customHeight="false" outlineLevel="0" collapsed="false">
      <c r="A2054" s="829"/>
      <c r="B2054" s="830"/>
      <c r="C2054" s="1965"/>
      <c r="D2054" s="860" t="s">
        <v>10</v>
      </c>
      <c r="E2054" s="1480" t="s">
        <v>1652</v>
      </c>
      <c r="F2054" s="832"/>
      <c r="G2054" s="2010"/>
      <c r="H2054" s="1931"/>
      <c r="I2054" s="837"/>
      <c r="J2054" s="1059"/>
      <c r="K2054" s="943"/>
      <c r="L2054" s="866" t="n">
        <v>59759.532</v>
      </c>
      <c r="M2054" s="866" t="n">
        <v>1620</v>
      </c>
      <c r="N2054" s="866" t="n">
        <f aca="false">M2054/H2052</f>
        <v>108</v>
      </c>
      <c r="O2054" s="543" t="n">
        <v>86511</v>
      </c>
      <c r="P2054" s="1934"/>
      <c r="Q2054" s="1934"/>
      <c r="R2054" s="1935"/>
    </row>
    <row r="2055" customFormat="false" ht="14.25" hidden="false" customHeight="false" outlineLevel="0" collapsed="false">
      <c r="A2055" s="829"/>
      <c r="B2055" s="830"/>
      <c r="C2055" s="1965"/>
      <c r="D2055" s="860" t="s">
        <v>10</v>
      </c>
      <c r="E2055" s="1480" t="s">
        <v>1652</v>
      </c>
      <c r="F2055" s="832"/>
      <c r="G2055" s="2010"/>
      <c r="H2055" s="1931"/>
      <c r="I2055" s="837"/>
      <c r="J2055" s="1059"/>
      <c r="K2055" s="943"/>
      <c r="L2055" s="866" t="n">
        <v>49799.61</v>
      </c>
      <c r="M2055" s="866" t="n">
        <v>1350</v>
      </c>
      <c r="N2055" s="866" t="n">
        <f aca="false">M2055/H2052</f>
        <v>90</v>
      </c>
      <c r="O2055" s="543" t="n">
        <v>86512</v>
      </c>
      <c r="P2055" s="1934"/>
      <c r="Q2055" s="1934"/>
      <c r="R2055" s="1935"/>
    </row>
    <row r="2056" customFormat="false" ht="14.25" hidden="false" customHeight="false" outlineLevel="0" collapsed="false">
      <c r="A2056" s="829"/>
      <c r="B2056" s="830"/>
      <c r="C2056" s="1965"/>
      <c r="D2056" s="860" t="s">
        <v>10</v>
      </c>
      <c r="E2056" s="1480" t="s">
        <v>1652</v>
      </c>
      <c r="F2056" s="832"/>
      <c r="G2056" s="2010"/>
      <c r="H2056" s="1931"/>
      <c r="I2056" s="837"/>
      <c r="J2056" s="1059"/>
      <c r="K2056" s="943"/>
      <c r="L2056" s="866" t="n">
        <v>11066.58</v>
      </c>
      <c r="M2056" s="866" t="n">
        <v>300</v>
      </c>
      <c r="N2056" s="866" t="n">
        <f aca="false">M2056/H2052</f>
        <v>20</v>
      </c>
      <c r="O2056" s="543" t="n">
        <v>86830</v>
      </c>
      <c r="P2056" s="1934"/>
      <c r="Q2056" s="1934"/>
      <c r="R2056" s="1935"/>
    </row>
    <row r="2057" customFormat="false" ht="14.25" hidden="false" customHeight="false" outlineLevel="0" collapsed="false">
      <c r="A2057" s="829"/>
      <c r="B2057" s="830"/>
      <c r="C2057" s="1965"/>
      <c r="D2057" s="860" t="s">
        <v>10</v>
      </c>
      <c r="E2057" s="1480" t="s">
        <v>1652</v>
      </c>
      <c r="F2057" s="832"/>
      <c r="G2057" s="2010"/>
      <c r="H2057" s="1931"/>
      <c r="I2057" s="837"/>
      <c r="J2057" s="1059"/>
      <c r="K2057" s="943"/>
      <c r="L2057" s="866" t="n">
        <v>7746.606</v>
      </c>
      <c r="M2057" s="866" t="n">
        <v>210</v>
      </c>
      <c r="N2057" s="866" t="n">
        <f aca="false">M2057/H2052</f>
        <v>14</v>
      </c>
      <c r="O2057" s="543" t="s">
        <v>420</v>
      </c>
      <c r="P2057" s="1934"/>
      <c r="Q2057" s="1934"/>
      <c r="R2057" s="1935"/>
    </row>
    <row r="2058" customFormat="false" ht="14.25" hidden="false" customHeight="false" outlineLevel="0" collapsed="false">
      <c r="A2058" s="829"/>
      <c r="B2058" s="830"/>
      <c r="C2058" s="1965"/>
      <c r="D2058" s="860" t="s">
        <v>10</v>
      </c>
      <c r="E2058" s="1480" t="s">
        <v>1652</v>
      </c>
      <c r="F2058" s="832"/>
      <c r="G2058" s="2010"/>
      <c r="H2058" s="1931"/>
      <c r="I2058" s="837"/>
      <c r="J2058" s="1059"/>
      <c r="K2058" s="943"/>
      <c r="L2058" s="866" t="n">
        <v>-18813.186</v>
      </c>
      <c r="M2058" s="866" t="n">
        <v>-510</v>
      </c>
      <c r="N2058" s="866" t="n">
        <f aca="false">M2058/H2052</f>
        <v>-34</v>
      </c>
      <c r="O2058" s="543" t="s">
        <v>2240</v>
      </c>
      <c r="P2058" s="1934"/>
      <c r="Q2058" s="1934"/>
      <c r="R2058" s="1935"/>
    </row>
    <row r="2059" customFormat="false" ht="14.25" hidden="false" customHeight="false" outlineLevel="0" collapsed="false">
      <c r="A2059" s="829"/>
      <c r="B2059" s="830"/>
      <c r="C2059" s="1965"/>
      <c r="D2059" s="860" t="s">
        <v>10</v>
      </c>
      <c r="E2059" s="1480" t="s">
        <v>1652</v>
      </c>
      <c r="F2059" s="832"/>
      <c r="G2059" s="2010"/>
      <c r="H2059" s="1931"/>
      <c r="I2059" s="837"/>
      <c r="J2059" s="1059"/>
      <c r="K2059" s="943"/>
      <c r="L2059" s="866" t="n">
        <v>19366.515</v>
      </c>
      <c r="M2059" s="866" t="n">
        <v>525</v>
      </c>
      <c r="N2059" s="866" t="n">
        <f aca="false">M2059/H2052</f>
        <v>35</v>
      </c>
      <c r="O2059" s="543" t="n">
        <v>86570</v>
      </c>
      <c r="P2059" s="1934"/>
      <c r="Q2059" s="1934"/>
      <c r="R2059" s="1935"/>
    </row>
    <row r="2060" customFormat="false" ht="14.25" hidden="false" customHeight="false" outlineLevel="0" collapsed="false">
      <c r="A2060" s="829"/>
      <c r="B2060" s="830"/>
      <c r="C2060" s="1965"/>
      <c r="D2060" s="860" t="s">
        <v>10</v>
      </c>
      <c r="E2060" s="1480" t="s">
        <v>1652</v>
      </c>
      <c r="F2060" s="832"/>
      <c r="G2060" s="2010"/>
      <c r="H2060" s="1931"/>
      <c r="I2060" s="837"/>
      <c r="J2060" s="1059"/>
      <c r="K2060" s="943"/>
      <c r="L2060" s="866" t="n">
        <v>29879.766</v>
      </c>
      <c r="M2060" s="866" t="n">
        <v>810</v>
      </c>
      <c r="N2060" s="866" t="n">
        <f aca="false">M2060/H2052</f>
        <v>54</v>
      </c>
      <c r="O2060" s="543" t="n">
        <v>86494</v>
      </c>
      <c r="P2060" s="1934"/>
      <c r="Q2060" s="1934"/>
      <c r="R2060" s="1935"/>
    </row>
    <row r="2061" customFormat="false" ht="14.25" hidden="false" customHeight="false" outlineLevel="0" collapsed="false">
      <c r="A2061" s="829"/>
      <c r="B2061" s="830"/>
      <c r="C2061" s="1965"/>
      <c r="D2061" s="843" t="s">
        <v>10</v>
      </c>
      <c r="E2061" s="1357" t="s">
        <v>1652</v>
      </c>
      <c r="F2061" s="832"/>
      <c r="G2061" s="2010"/>
      <c r="H2061" s="1931"/>
      <c r="I2061" s="837"/>
      <c r="J2061" s="1059"/>
      <c r="K2061" s="943"/>
      <c r="L2061" s="846" t="n">
        <v>38179.701</v>
      </c>
      <c r="M2061" s="846" t="n">
        <v>1035</v>
      </c>
      <c r="N2061" s="846" t="n">
        <f aca="false">M2061/H2052</f>
        <v>69</v>
      </c>
      <c r="O2061" s="589" t="n">
        <v>86478</v>
      </c>
      <c r="P2061" s="1934"/>
      <c r="Q2061" s="1934"/>
      <c r="R2061" s="1935"/>
    </row>
    <row r="2062" customFormat="false" ht="14.25" hidden="false" customHeight="false" outlineLevel="0" collapsed="false">
      <c r="A2062" s="1344" t="n">
        <v>61</v>
      </c>
      <c r="B2062" s="903" t="n">
        <v>2024</v>
      </c>
      <c r="C2062" s="1974" t="n">
        <v>45658</v>
      </c>
      <c r="D2062" s="904" t="s">
        <v>10</v>
      </c>
      <c r="E2062" s="1351" t="s">
        <v>1651</v>
      </c>
      <c r="F2062" s="904" t="s">
        <v>3367</v>
      </c>
      <c r="G2062" s="2012" t="n">
        <v>256</v>
      </c>
      <c r="H2062" s="1940" t="n">
        <v>15</v>
      </c>
      <c r="I2062" s="1521" t="n">
        <f aca="false">G2062*H2062</f>
        <v>3840</v>
      </c>
      <c r="J2062" s="1406" t="n">
        <v>25.71</v>
      </c>
      <c r="K2062" s="1147" t="n">
        <f aca="false">I2062*J2062</f>
        <v>98726.4</v>
      </c>
      <c r="L2062" s="891" t="n">
        <v>98726.4</v>
      </c>
      <c r="M2062" s="891" t="n">
        <v>3840</v>
      </c>
      <c r="N2062" s="840" t="n">
        <f aca="false">M2062/H2062</f>
        <v>256</v>
      </c>
      <c r="O2062" s="942" t="s">
        <v>1375</v>
      </c>
      <c r="P2062" s="2063" t="n">
        <f aca="false">K2062-L2062</f>
        <v>0</v>
      </c>
      <c r="Q2062" s="1994" t="n">
        <f aca="false">I2062-M2062</f>
        <v>0</v>
      </c>
      <c r="R2062" s="1994" t="n">
        <f aca="false">G2062-N2062</f>
        <v>0</v>
      </c>
    </row>
    <row r="2063" customFormat="false" ht="14.25" hidden="false" customHeight="false" outlineLevel="0" collapsed="false">
      <c r="A2063" s="1465" t="n">
        <v>82</v>
      </c>
      <c r="B2063" s="1546" t="n">
        <v>2024</v>
      </c>
      <c r="C2063" s="1975" t="n">
        <v>45689</v>
      </c>
      <c r="D2063" s="1328" t="s">
        <v>10</v>
      </c>
      <c r="E2063" s="1607" t="s">
        <v>2619</v>
      </c>
      <c r="F2063" s="1328" t="s">
        <v>3364</v>
      </c>
      <c r="G2063" s="2011" t="n">
        <v>159</v>
      </c>
      <c r="H2063" s="1976" t="n">
        <v>30</v>
      </c>
      <c r="I2063" s="1036" t="n">
        <f aca="false">G2063*H2063</f>
        <v>4770</v>
      </c>
      <c r="J2063" s="1557" t="n">
        <v>94.4399</v>
      </c>
      <c r="K2063" s="1518" t="n">
        <f aca="false">I2063*J2063</f>
        <v>450478.323</v>
      </c>
      <c r="L2063" s="886" t="n">
        <v>183213.406</v>
      </c>
      <c r="M2063" s="886" t="n">
        <v>1940</v>
      </c>
      <c r="N2063" s="886" t="n">
        <f aca="false">M2063/H2063</f>
        <v>64.6666666666667</v>
      </c>
      <c r="O2063" s="1036" t="n">
        <v>86513</v>
      </c>
      <c r="P2063" s="1978" t="n">
        <f aca="false">K2063-L2063-L2069-L2068-L2064-L2065-L2067-L2066</f>
        <v>3.99000000470551E-005</v>
      </c>
      <c r="Q2063" s="1978" t="n">
        <f aca="false">I2063-M2063-M2069-M2068-M2064-M2065-M2067-M2066</f>
        <v>0</v>
      </c>
      <c r="R2063" s="1979" t="n">
        <f aca="false">G2063-N2063-N2069-N2068-N2064-N2065-N2067-N2066</f>
        <v>-7.105427357601E-015</v>
      </c>
    </row>
    <row r="2064" customFormat="false" ht="14.25" hidden="false" customHeight="false" outlineLevel="0" collapsed="false">
      <c r="A2064" s="1465"/>
      <c r="B2064" s="1546"/>
      <c r="C2064" s="1975"/>
      <c r="D2064" s="860" t="s">
        <v>10</v>
      </c>
      <c r="E2064" s="1480" t="s">
        <v>2619</v>
      </c>
      <c r="F2064" s="1328"/>
      <c r="G2064" s="2011"/>
      <c r="H2064" s="1976"/>
      <c r="I2064" s="1036"/>
      <c r="J2064" s="1557"/>
      <c r="K2064" s="1518"/>
      <c r="L2064" s="866" t="n">
        <v>96328.698</v>
      </c>
      <c r="M2064" s="866" t="n">
        <v>1020</v>
      </c>
      <c r="N2064" s="866" t="n">
        <f aca="false">M2064/H2063</f>
        <v>34</v>
      </c>
      <c r="O2064" s="543" t="s">
        <v>791</v>
      </c>
      <c r="P2064" s="1978"/>
      <c r="Q2064" s="1978"/>
      <c r="R2064" s="1979"/>
    </row>
    <row r="2065" customFormat="false" ht="14.25" hidden="false" customHeight="false" outlineLevel="0" collapsed="false">
      <c r="A2065" s="1465"/>
      <c r="B2065" s="1546"/>
      <c r="C2065" s="1975"/>
      <c r="D2065" s="860" t="s">
        <v>10</v>
      </c>
      <c r="E2065" s="1480" t="s">
        <v>2619</v>
      </c>
      <c r="F2065" s="1328"/>
      <c r="G2065" s="2011"/>
      <c r="H2065" s="1976"/>
      <c r="I2065" s="1036"/>
      <c r="J2065" s="1557"/>
      <c r="K2065" s="1518"/>
      <c r="L2065" s="866" t="n">
        <v>19832.379</v>
      </c>
      <c r="M2065" s="866" t="n">
        <v>210</v>
      </c>
      <c r="N2065" s="866" t="n">
        <f aca="false">M2065/H2063</f>
        <v>7</v>
      </c>
      <c r="O2065" s="543" t="s">
        <v>1178</v>
      </c>
      <c r="P2065" s="1978"/>
      <c r="Q2065" s="1978"/>
      <c r="R2065" s="1979"/>
    </row>
    <row r="2066" customFormat="false" ht="14.25" hidden="false" customHeight="false" outlineLevel="0" collapsed="false">
      <c r="A2066" s="1465"/>
      <c r="B2066" s="1546"/>
      <c r="C2066" s="1975"/>
      <c r="D2066" s="860" t="s">
        <v>10</v>
      </c>
      <c r="E2066" s="1480" t="s">
        <v>2619</v>
      </c>
      <c r="F2066" s="1328"/>
      <c r="G2066" s="2011"/>
      <c r="H2066" s="1976"/>
      <c r="I2066" s="1036"/>
      <c r="J2066" s="1557"/>
      <c r="K2066" s="1518"/>
      <c r="L2066" s="866" t="n">
        <v>2833.2914</v>
      </c>
      <c r="M2066" s="866" t="n">
        <v>30</v>
      </c>
      <c r="N2066" s="866" t="n">
        <f aca="false">M2066/H2063</f>
        <v>1</v>
      </c>
      <c r="O2066" s="543" t="s">
        <v>1375</v>
      </c>
      <c r="P2066" s="1978"/>
      <c r="Q2066" s="1978"/>
      <c r="R2066" s="1979"/>
    </row>
    <row r="2067" customFormat="false" ht="14.25" hidden="false" customHeight="false" outlineLevel="0" collapsed="false">
      <c r="A2067" s="1465"/>
      <c r="B2067" s="1546"/>
      <c r="C2067" s="1975"/>
      <c r="D2067" s="860" t="s">
        <v>10</v>
      </c>
      <c r="E2067" s="1480" t="s">
        <v>2619</v>
      </c>
      <c r="F2067" s="1328"/>
      <c r="G2067" s="2011"/>
      <c r="H2067" s="1976"/>
      <c r="I2067" s="1036"/>
      <c r="J2067" s="1557"/>
      <c r="K2067" s="1518"/>
      <c r="L2067" s="866" t="n">
        <v>8499.591</v>
      </c>
      <c r="M2067" s="866" t="n">
        <v>90</v>
      </c>
      <c r="N2067" s="866" t="n">
        <f aca="false">M2067/H2063</f>
        <v>3</v>
      </c>
      <c r="O2067" s="543" t="s">
        <v>1184</v>
      </c>
      <c r="P2067" s="1978"/>
      <c r="Q2067" s="1978"/>
      <c r="R2067" s="1979"/>
    </row>
    <row r="2068" customFormat="false" ht="14.25" hidden="false" customHeight="false" outlineLevel="0" collapsed="false">
      <c r="A2068" s="1465"/>
      <c r="B2068" s="1546"/>
      <c r="C2068" s="1975"/>
      <c r="D2068" s="860" t="s">
        <v>10</v>
      </c>
      <c r="E2068" s="1480" t="s">
        <v>2619</v>
      </c>
      <c r="F2068" s="1328"/>
      <c r="G2068" s="2011"/>
      <c r="H2068" s="1976"/>
      <c r="I2068" s="1036"/>
      <c r="J2068" s="1557"/>
      <c r="K2068" s="1518"/>
      <c r="L2068" s="866" t="n">
        <v>45331.152</v>
      </c>
      <c r="M2068" s="866" t="n">
        <v>480</v>
      </c>
      <c r="N2068" s="866" t="n">
        <f aca="false">M2068/H2063</f>
        <v>16</v>
      </c>
      <c r="O2068" s="543" t="s">
        <v>644</v>
      </c>
      <c r="P2068" s="1978"/>
      <c r="Q2068" s="1978"/>
      <c r="R2068" s="1979"/>
    </row>
    <row r="2069" customFormat="false" ht="14.25" hidden="false" customHeight="false" outlineLevel="0" collapsed="false">
      <c r="A2069" s="1465"/>
      <c r="B2069" s="1546"/>
      <c r="C2069" s="1975"/>
      <c r="D2069" s="871" t="s">
        <v>10</v>
      </c>
      <c r="E2069" s="1478" t="s">
        <v>2619</v>
      </c>
      <c r="F2069" s="1328"/>
      <c r="G2069" s="2011"/>
      <c r="H2069" s="1976"/>
      <c r="I2069" s="1036"/>
      <c r="J2069" s="1557"/>
      <c r="K2069" s="1518"/>
      <c r="L2069" s="877" t="n">
        <v>94439.8055601</v>
      </c>
      <c r="M2069" s="877" t="n">
        <v>1000</v>
      </c>
      <c r="N2069" s="877" t="n">
        <f aca="false">M2069/H2063</f>
        <v>33.3333333333333</v>
      </c>
      <c r="O2069" s="553" t="s">
        <v>2240</v>
      </c>
      <c r="P2069" s="1978"/>
      <c r="Q2069" s="1978"/>
      <c r="R2069" s="1979"/>
    </row>
    <row r="2070" customFormat="false" ht="14.25" hidden="false" customHeight="false" outlineLevel="0" collapsed="false">
      <c r="A2070" s="829" t="n">
        <v>83</v>
      </c>
      <c r="B2070" s="830" t="n">
        <v>2024</v>
      </c>
      <c r="C2070" s="1965" t="n">
        <v>45689</v>
      </c>
      <c r="D2070" s="831" t="s">
        <v>10</v>
      </c>
      <c r="E2070" s="1365" t="s">
        <v>2619</v>
      </c>
      <c r="F2070" s="832" t="s">
        <v>3364</v>
      </c>
      <c r="G2070" s="2010" t="n">
        <v>52</v>
      </c>
      <c r="H2070" s="1931" t="n">
        <v>30</v>
      </c>
      <c r="I2070" s="837" t="n">
        <f aca="false">G2070*H2070</f>
        <v>1560</v>
      </c>
      <c r="J2070" s="1059" t="n">
        <v>94.4399</v>
      </c>
      <c r="K2070" s="943" t="n">
        <f aca="false">I2070*J2070</f>
        <v>147326.244</v>
      </c>
      <c r="L2070" s="840" t="n">
        <v>141659.85</v>
      </c>
      <c r="M2070" s="840" t="n">
        <v>1500</v>
      </c>
      <c r="N2070" s="840" t="n">
        <f aca="false">M2070/H2070</f>
        <v>50</v>
      </c>
      <c r="O2070" s="1114" t="s">
        <v>521</v>
      </c>
      <c r="P2070" s="1934" t="n">
        <f aca="false">K2070-L2070-L2071</f>
        <v>-2.91038304567337E-011</v>
      </c>
      <c r="Q2070" s="1934" t="n">
        <f aca="false">I2070-M2070-M2071</f>
        <v>0</v>
      </c>
      <c r="R2070" s="1935" t="n">
        <f aca="false">G2070-N2070-N2071</f>
        <v>0</v>
      </c>
    </row>
    <row r="2071" customFormat="false" ht="14.25" hidden="false" customHeight="false" outlineLevel="0" collapsed="false">
      <c r="A2071" s="829"/>
      <c r="B2071" s="830"/>
      <c r="C2071" s="1965"/>
      <c r="D2071" s="843" t="s">
        <v>10</v>
      </c>
      <c r="E2071" s="1357" t="s">
        <v>2619</v>
      </c>
      <c r="F2071" s="832"/>
      <c r="G2071" s="2010"/>
      <c r="H2071" s="1931"/>
      <c r="I2071" s="837"/>
      <c r="J2071" s="1059"/>
      <c r="K2071" s="943"/>
      <c r="L2071" s="846" t="n">
        <v>5666.394</v>
      </c>
      <c r="M2071" s="846" t="n">
        <v>60</v>
      </c>
      <c r="N2071" s="846" t="n">
        <f aca="false">M2071/H2070</f>
        <v>2</v>
      </c>
      <c r="O2071" s="589" t="s">
        <v>644</v>
      </c>
      <c r="P2071" s="1934"/>
      <c r="Q2071" s="1934"/>
      <c r="R2071" s="1935"/>
    </row>
    <row r="2072" customFormat="false" ht="14.25" hidden="false" customHeight="false" outlineLevel="0" collapsed="false">
      <c r="A2072" s="1087" t="n">
        <v>133</v>
      </c>
      <c r="B2072" s="1072" t="n">
        <v>2024</v>
      </c>
      <c r="C2072" s="1980" t="n">
        <v>45689</v>
      </c>
      <c r="D2072" s="848" t="s">
        <v>10</v>
      </c>
      <c r="E2072" s="1479" t="s">
        <v>1651</v>
      </c>
      <c r="F2072" s="887" t="s">
        <v>3364</v>
      </c>
      <c r="G2072" s="2017" t="n">
        <v>200</v>
      </c>
      <c r="H2072" s="1950" t="n">
        <v>15</v>
      </c>
      <c r="I2072" s="1067" t="n">
        <f aca="false">G2072*H2072</f>
        <v>3000</v>
      </c>
      <c r="J2072" s="1063" t="n">
        <v>29.7891</v>
      </c>
      <c r="K2072" s="1452" t="n">
        <f aca="false">I2072*J2072</f>
        <v>89367.3</v>
      </c>
      <c r="L2072" s="854" t="n">
        <v>89367.3</v>
      </c>
      <c r="M2072" s="854" t="n">
        <v>3000</v>
      </c>
      <c r="N2072" s="891" t="n">
        <f aca="false">M2072/H2072</f>
        <v>200</v>
      </c>
      <c r="O2072" s="537" t="n">
        <v>86685</v>
      </c>
      <c r="P2072" s="1953" t="n">
        <f aca="false">K2072-L2072-L2074-L2073</f>
        <v>0</v>
      </c>
      <c r="Q2072" s="1953" t="n">
        <f aca="false">I2072-M2072-M2074-M2073</f>
        <v>0</v>
      </c>
      <c r="R2072" s="1954" t="n">
        <f aca="false">G2072-N2072-N2074-N2073</f>
        <v>0</v>
      </c>
    </row>
    <row r="2073" customFormat="false" ht="14.25" hidden="false" customHeight="false" outlineLevel="0" collapsed="false">
      <c r="A2073" s="1087"/>
      <c r="B2073" s="1072"/>
      <c r="C2073" s="1980"/>
      <c r="D2073" s="904" t="s">
        <v>10</v>
      </c>
      <c r="E2073" s="1351" t="s">
        <v>1651</v>
      </c>
      <c r="F2073" s="887"/>
      <c r="G2073" s="2017"/>
      <c r="H2073" s="1950"/>
      <c r="I2073" s="1067"/>
      <c r="J2073" s="1063"/>
      <c r="K2073" s="1452"/>
      <c r="L2073" s="891" t="n">
        <v>446.8365</v>
      </c>
      <c r="M2073" s="891" t="n">
        <v>15</v>
      </c>
      <c r="N2073" s="866" t="n">
        <f aca="false">M2073/H2072</f>
        <v>1</v>
      </c>
      <c r="O2073" s="942" t="s">
        <v>3373</v>
      </c>
      <c r="P2073" s="1953"/>
      <c r="Q2073" s="1953"/>
      <c r="R2073" s="1954"/>
    </row>
    <row r="2074" customFormat="false" ht="14.25" hidden="false" customHeight="false" outlineLevel="0" collapsed="false">
      <c r="A2074" s="1087"/>
      <c r="B2074" s="1072"/>
      <c r="C2074" s="1980"/>
      <c r="D2074" s="843" t="s">
        <v>10</v>
      </c>
      <c r="E2074" s="1357" t="s">
        <v>1651</v>
      </c>
      <c r="F2074" s="887"/>
      <c r="G2074" s="2017"/>
      <c r="H2074" s="1950"/>
      <c r="I2074" s="1067"/>
      <c r="J2074" s="1063"/>
      <c r="K2074" s="1452"/>
      <c r="L2074" s="846" t="n">
        <v>-446.8365</v>
      </c>
      <c r="M2074" s="846" t="n">
        <v>-15</v>
      </c>
      <c r="N2074" s="846" t="n">
        <f aca="false">M2074/H2072</f>
        <v>-1</v>
      </c>
      <c r="O2074" s="589" t="s">
        <v>2240</v>
      </c>
      <c r="P2074" s="1953"/>
      <c r="Q2074" s="1953"/>
      <c r="R2074" s="1954"/>
    </row>
    <row r="2075" customFormat="false" ht="14.25" hidden="false" customHeight="false" outlineLevel="0" collapsed="false">
      <c r="A2075" s="882" t="n">
        <v>145</v>
      </c>
      <c r="B2075" s="830" t="n">
        <v>2024</v>
      </c>
      <c r="C2075" s="1965" t="n">
        <v>45689</v>
      </c>
      <c r="D2075" s="1328" t="s">
        <v>10</v>
      </c>
      <c r="E2075" s="1607" t="s">
        <v>1651</v>
      </c>
      <c r="F2075" s="832" t="s">
        <v>3375</v>
      </c>
      <c r="G2075" s="2010" t="n">
        <v>405</v>
      </c>
      <c r="H2075" s="1931" t="n">
        <v>15</v>
      </c>
      <c r="I2075" s="837" t="n">
        <f aca="false">G2075*H2075</f>
        <v>6075</v>
      </c>
      <c r="J2075" s="834" t="n">
        <v>25.6191</v>
      </c>
      <c r="K2075" s="2064" t="n">
        <f aca="false">I2075*J2075</f>
        <v>155636.0325</v>
      </c>
      <c r="L2075" s="886" t="n">
        <v>28437.201</v>
      </c>
      <c r="M2075" s="886" t="n">
        <v>1110</v>
      </c>
      <c r="N2075" s="886" t="n">
        <f aca="false">M2075/H2075</f>
        <v>74</v>
      </c>
      <c r="O2075" s="1036" t="n">
        <v>86860</v>
      </c>
      <c r="P2075" s="1934" t="n">
        <f aca="false">K2075-L2075-L2080-L2076-L2079-L2078-L2077</f>
        <v>1.98951966012828E-012</v>
      </c>
      <c r="Q2075" s="1934" t="n">
        <f aca="false">I2075-M2075-M2080-M2076-M2079-M2078-M2077</f>
        <v>0</v>
      </c>
      <c r="R2075" s="1935" t="n">
        <f aca="false">G2075-N2075-N2080-N2076-N2079-N2078-N2077</f>
        <v>0</v>
      </c>
    </row>
    <row r="2076" customFormat="false" ht="14.25" hidden="false" customHeight="false" outlineLevel="0" collapsed="false">
      <c r="A2076" s="882"/>
      <c r="B2076" s="830"/>
      <c r="C2076" s="1965"/>
      <c r="D2076" s="860" t="s">
        <v>10</v>
      </c>
      <c r="E2076" s="1480" t="s">
        <v>1651</v>
      </c>
      <c r="F2076" s="832"/>
      <c r="G2076" s="2010"/>
      <c r="H2076" s="1931"/>
      <c r="I2076" s="837"/>
      <c r="J2076" s="834"/>
      <c r="K2076" s="2064"/>
      <c r="L2076" s="866" t="n">
        <v>76857.3</v>
      </c>
      <c r="M2076" s="866" t="n">
        <v>3000</v>
      </c>
      <c r="N2076" s="866" t="n">
        <f aca="false">M2076/H2075</f>
        <v>200</v>
      </c>
      <c r="O2076" s="543" t="n">
        <v>86875</v>
      </c>
      <c r="P2076" s="1934"/>
      <c r="Q2076" s="1934"/>
      <c r="R2076" s="1935"/>
    </row>
    <row r="2077" customFormat="false" ht="14.25" hidden="false" customHeight="false" outlineLevel="0" collapsed="false">
      <c r="A2077" s="882"/>
      <c r="B2077" s="830"/>
      <c r="C2077" s="1965"/>
      <c r="D2077" s="871" t="s">
        <v>10</v>
      </c>
      <c r="E2077" s="1478" t="s">
        <v>1651</v>
      </c>
      <c r="F2077" s="832"/>
      <c r="G2077" s="2010"/>
      <c r="H2077" s="1931"/>
      <c r="I2077" s="837"/>
      <c r="J2077" s="834"/>
      <c r="K2077" s="2064"/>
      <c r="L2077" s="877" t="n">
        <v>384.2865</v>
      </c>
      <c r="M2077" s="877" t="n">
        <v>15</v>
      </c>
      <c r="N2077" s="866" t="n">
        <f aca="false">M2077/H2075</f>
        <v>1</v>
      </c>
      <c r="O2077" s="553" t="s">
        <v>3365</v>
      </c>
      <c r="P2077" s="1934"/>
      <c r="Q2077" s="1934"/>
      <c r="R2077" s="1935"/>
    </row>
    <row r="2078" customFormat="false" ht="14.25" hidden="false" customHeight="false" outlineLevel="0" collapsed="false">
      <c r="A2078" s="882"/>
      <c r="B2078" s="830"/>
      <c r="C2078" s="1965"/>
      <c r="D2078" s="871" t="s">
        <v>10</v>
      </c>
      <c r="E2078" s="1478" t="s">
        <v>1651</v>
      </c>
      <c r="F2078" s="832"/>
      <c r="G2078" s="2010"/>
      <c r="H2078" s="1931"/>
      <c r="I2078" s="837"/>
      <c r="J2078" s="834"/>
      <c r="K2078" s="2064"/>
      <c r="L2078" s="877" t="n">
        <v>43040.088</v>
      </c>
      <c r="M2078" s="877" t="n">
        <v>1680</v>
      </c>
      <c r="N2078" s="866" t="n">
        <f aca="false">M2078/H2075</f>
        <v>112</v>
      </c>
      <c r="O2078" s="553" t="n">
        <v>86921</v>
      </c>
      <c r="P2078" s="1934"/>
      <c r="Q2078" s="1934"/>
      <c r="R2078" s="1935"/>
    </row>
    <row r="2079" customFormat="false" ht="14.25" hidden="false" customHeight="false" outlineLevel="0" collapsed="false">
      <c r="A2079" s="882"/>
      <c r="B2079" s="830"/>
      <c r="C2079" s="1965"/>
      <c r="D2079" s="871" t="s">
        <v>10</v>
      </c>
      <c r="E2079" s="1478" t="s">
        <v>1651</v>
      </c>
      <c r="F2079" s="832"/>
      <c r="G2079" s="2010"/>
      <c r="H2079" s="1931"/>
      <c r="I2079" s="837"/>
      <c r="J2079" s="834"/>
      <c r="K2079" s="2064"/>
      <c r="L2079" s="877" t="n">
        <v>5380.011</v>
      </c>
      <c r="M2079" s="877" t="n">
        <v>210</v>
      </c>
      <c r="N2079" s="866" t="n">
        <f aca="false">M2079/H2075</f>
        <v>14</v>
      </c>
      <c r="O2079" s="553" t="n">
        <v>86917</v>
      </c>
      <c r="P2079" s="1934"/>
      <c r="Q2079" s="1934"/>
      <c r="R2079" s="1935"/>
    </row>
    <row r="2080" customFormat="false" ht="14.25" hidden="false" customHeight="false" outlineLevel="0" collapsed="false">
      <c r="A2080" s="882"/>
      <c r="B2080" s="830"/>
      <c r="C2080" s="1965"/>
      <c r="D2080" s="843" t="s">
        <v>10</v>
      </c>
      <c r="E2080" s="1357" t="s">
        <v>1651</v>
      </c>
      <c r="F2080" s="832"/>
      <c r="G2080" s="2010"/>
      <c r="H2080" s="1931"/>
      <c r="I2080" s="837"/>
      <c r="J2080" s="834"/>
      <c r="K2080" s="2064"/>
      <c r="L2080" s="846" t="n">
        <v>1537.146</v>
      </c>
      <c r="M2080" s="846" t="n">
        <v>60</v>
      </c>
      <c r="N2080" s="846" t="n">
        <f aca="false">M2080/H2075</f>
        <v>4</v>
      </c>
      <c r="O2080" s="589" t="n">
        <v>86854</v>
      </c>
      <c r="P2080" s="1934"/>
      <c r="Q2080" s="1934"/>
      <c r="R2080" s="1935"/>
    </row>
    <row r="2081" customFormat="false" ht="14.25" hidden="false" customHeight="false" outlineLevel="0" collapsed="false">
      <c r="A2081" s="829" t="n">
        <v>153</v>
      </c>
      <c r="B2081" s="830" t="n">
        <v>2024</v>
      </c>
      <c r="C2081" s="1965" t="n">
        <v>45717</v>
      </c>
      <c r="D2081" s="831" t="s">
        <v>10</v>
      </c>
      <c r="E2081" s="1365" t="s">
        <v>1652</v>
      </c>
      <c r="F2081" s="830" t="s">
        <v>3364</v>
      </c>
      <c r="G2081" s="2010" t="n">
        <v>284</v>
      </c>
      <c r="H2081" s="1931" t="n">
        <v>15</v>
      </c>
      <c r="I2081" s="837" t="n">
        <f aca="false">G2081*H2081</f>
        <v>4260</v>
      </c>
      <c r="J2081" s="1059" t="n">
        <v>39.1911</v>
      </c>
      <c r="K2081" s="943" t="n">
        <f aca="false">I2081*J2081</f>
        <v>166954.086</v>
      </c>
      <c r="L2081" s="886" t="n">
        <v>90531.441</v>
      </c>
      <c r="M2081" s="886" t="n">
        <v>2310</v>
      </c>
      <c r="N2081" s="886" t="n">
        <f aca="false">M2081/H2081</f>
        <v>154</v>
      </c>
      <c r="O2081" s="1036" t="n">
        <v>86883</v>
      </c>
      <c r="P2081" s="1934" t="n">
        <f aca="false">K2081-L2081-L2085-L2084-L2082-L2083</f>
        <v>-2.00088834390044E-011</v>
      </c>
      <c r="Q2081" s="1934" t="n">
        <f aca="false">I2081-M2081-M2085-M2084-M2082-M2083</f>
        <v>0</v>
      </c>
      <c r="R2081" s="1935" t="n">
        <f aca="false">G2081-N2081-N2085-N2084-N2082-N2083</f>
        <v>0</v>
      </c>
    </row>
    <row r="2082" customFormat="false" ht="14.25" hidden="false" customHeight="false" outlineLevel="0" collapsed="false">
      <c r="A2082" s="829"/>
      <c r="B2082" s="830"/>
      <c r="C2082" s="1965"/>
      <c r="D2082" s="860" t="s">
        <v>10</v>
      </c>
      <c r="E2082" s="1480" t="s">
        <v>1652</v>
      </c>
      <c r="F2082" s="830"/>
      <c r="G2082" s="2010"/>
      <c r="H2082" s="1931"/>
      <c r="I2082" s="837"/>
      <c r="J2082" s="1059"/>
      <c r="K2082" s="943"/>
      <c r="L2082" s="866" t="n">
        <v>23514.66</v>
      </c>
      <c r="M2082" s="866" t="n">
        <v>600</v>
      </c>
      <c r="N2082" s="866" t="n">
        <f aca="false">M2082/H2081</f>
        <v>40</v>
      </c>
      <c r="O2082" s="543" t="n">
        <v>86908</v>
      </c>
      <c r="P2082" s="1934"/>
      <c r="Q2082" s="1934"/>
      <c r="R2082" s="1935"/>
    </row>
    <row r="2083" customFormat="false" ht="14.25" hidden="false" customHeight="false" outlineLevel="0" collapsed="false">
      <c r="A2083" s="829"/>
      <c r="B2083" s="830"/>
      <c r="C2083" s="1965"/>
      <c r="D2083" s="860" t="s">
        <v>10</v>
      </c>
      <c r="E2083" s="1480" t="s">
        <v>1652</v>
      </c>
      <c r="F2083" s="830"/>
      <c r="G2083" s="2010"/>
      <c r="H2083" s="1931"/>
      <c r="I2083" s="837"/>
      <c r="J2083" s="1059"/>
      <c r="K2083" s="943"/>
      <c r="L2083" s="866" t="n">
        <v>13520.9295</v>
      </c>
      <c r="M2083" s="866" t="n">
        <v>345</v>
      </c>
      <c r="N2083" s="866" t="n">
        <f aca="false">M2083/H2081</f>
        <v>23</v>
      </c>
      <c r="O2083" s="543" t="s">
        <v>365</v>
      </c>
      <c r="P2083" s="1934"/>
      <c r="Q2083" s="1934"/>
      <c r="R2083" s="1935"/>
    </row>
    <row r="2084" customFormat="false" ht="14.25" hidden="false" customHeight="false" outlineLevel="0" collapsed="false">
      <c r="A2084" s="829"/>
      <c r="B2084" s="830"/>
      <c r="C2084" s="1965"/>
      <c r="D2084" s="860" t="s">
        <v>10</v>
      </c>
      <c r="E2084" s="1480" t="s">
        <v>1652</v>
      </c>
      <c r="F2084" s="830"/>
      <c r="G2084" s="2010"/>
      <c r="H2084" s="1931"/>
      <c r="I2084" s="837"/>
      <c r="J2084" s="1059"/>
      <c r="K2084" s="943"/>
      <c r="L2084" s="866" t="n">
        <v>9993.7305</v>
      </c>
      <c r="M2084" s="866" t="n">
        <v>255</v>
      </c>
      <c r="N2084" s="866" t="n">
        <f aca="false">M2084/H2081</f>
        <v>17</v>
      </c>
      <c r="O2084" s="543" t="n">
        <v>86911</v>
      </c>
      <c r="P2084" s="1934"/>
      <c r="Q2084" s="1934"/>
      <c r="R2084" s="1935"/>
    </row>
    <row r="2085" customFormat="false" ht="14.25" hidden="false" customHeight="false" outlineLevel="0" collapsed="false">
      <c r="A2085" s="829"/>
      <c r="B2085" s="830"/>
      <c r="C2085" s="1965"/>
      <c r="D2085" s="843" t="s">
        <v>10</v>
      </c>
      <c r="E2085" s="1357" t="s">
        <v>1652</v>
      </c>
      <c r="F2085" s="830"/>
      <c r="G2085" s="2010"/>
      <c r="H2085" s="1931"/>
      <c r="I2085" s="837"/>
      <c r="J2085" s="1059"/>
      <c r="K2085" s="943"/>
      <c r="L2085" s="846" t="n">
        <v>29393.325</v>
      </c>
      <c r="M2085" s="846" t="n">
        <v>750</v>
      </c>
      <c r="N2085" s="846" t="n">
        <f aca="false">M2085/H2081</f>
        <v>50</v>
      </c>
      <c r="O2085" s="589" t="n">
        <v>86897</v>
      </c>
      <c r="P2085" s="1934"/>
      <c r="Q2085" s="1934"/>
      <c r="R2085" s="1935"/>
    </row>
    <row r="2086" customFormat="false" ht="14.25" hidden="false" customHeight="false" outlineLevel="0" collapsed="false">
      <c r="A2086" s="1465" t="n">
        <v>169</v>
      </c>
      <c r="B2086" s="1546" t="n">
        <v>2024</v>
      </c>
      <c r="C2086" s="1975" t="n">
        <v>45748</v>
      </c>
      <c r="D2086" s="831" t="s">
        <v>10</v>
      </c>
      <c r="E2086" s="1365" t="s">
        <v>1652</v>
      </c>
      <c r="F2086" s="1328" t="s">
        <v>3364</v>
      </c>
      <c r="G2086" s="2011" t="n">
        <v>122</v>
      </c>
      <c r="H2086" s="1976" t="n">
        <v>15</v>
      </c>
      <c r="I2086" s="1036" t="n">
        <f aca="false">G2086*H2086</f>
        <v>1830</v>
      </c>
      <c r="J2086" s="1031" t="n">
        <v>41.2369</v>
      </c>
      <c r="K2086" s="1529" t="n">
        <f aca="false">I2086*J2086</f>
        <v>75463.527</v>
      </c>
      <c r="L2086" s="886" t="n">
        <v>6804.0885</v>
      </c>
      <c r="M2086" s="886" t="n">
        <v>165</v>
      </c>
      <c r="N2086" s="886" t="n">
        <f aca="false">M2086/H2086</f>
        <v>11</v>
      </c>
      <c r="O2086" s="1036" t="n">
        <v>86922</v>
      </c>
      <c r="P2086" s="1977" t="n">
        <f aca="false">K2086-L2086-L2089-L2088-L2087</f>
        <v>0</v>
      </c>
      <c r="Q2086" s="1978" t="n">
        <f aca="false">I2086-M2086-M2089-M2088-M2087</f>
        <v>0</v>
      </c>
      <c r="R2086" s="1979" t="n">
        <f aca="false">G2086-N2086-N2089-N2088-N2087</f>
        <v>0</v>
      </c>
    </row>
    <row r="2087" customFormat="false" ht="14.25" hidden="false" customHeight="false" outlineLevel="0" collapsed="false">
      <c r="A2087" s="1465"/>
      <c r="B2087" s="1546"/>
      <c r="C2087" s="1975"/>
      <c r="D2087" s="860" t="s">
        <v>10</v>
      </c>
      <c r="E2087" s="1480" t="s">
        <v>1652</v>
      </c>
      <c r="F2087" s="1328"/>
      <c r="G2087" s="2011"/>
      <c r="H2087" s="1976"/>
      <c r="I2087" s="1036"/>
      <c r="J2087" s="1031"/>
      <c r="K2087" s="1529"/>
      <c r="L2087" s="866" t="n">
        <v>35257.5495</v>
      </c>
      <c r="M2087" s="866" t="n">
        <v>855</v>
      </c>
      <c r="N2087" s="866" t="n">
        <f aca="false">M2087/H2086</f>
        <v>57</v>
      </c>
      <c r="O2087" s="543" t="s">
        <v>365</v>
      </c>
      <c r="P2087" s="1977"/>
      <c r="Q2087" s="1978"/>
      <c r="R2087" s="1979"/>
    </row>
    <row r="2088" customFormat="false" ht="14.25" hidden="false" customHeight="false" outlineLevel="0" collapsed="false">
      <c r="A2088" s="1465"/>
      <c r="B2088" s="1546"/>
      <c r="C2088" s="1975"/>
      <c r="D2088" s="860" t="s">
        <v>10</v>
      </c>
      <c r="E2088" s="1480" t="s">
        <v>1652</v>
      </c>
      <c r="F2088" s="1328"/>
      <c r="G2088" s="2011"/>
      <c r="H2088" s="1976"/>
      <c r="I2088" s="1036"/>
      <c r="J2088" s="1031"/>
      <c r="K2088" s="1529"/>
      <c r="L2088" s="866" t="n">
        <v>2474.214</v>
      </c>
      <c r="M2088" s="866" t="n">
        <v>60</v>
      </c>
      <c r="N2088" s="866" t="n">
        <f aca="false">M2088/H2086</f>
        <v>4</v>
      </c>
      <c r="O2088" s="543" t="n">
        <v>86935</v>
      </c>
      <c r="P2088" s="1977"/>
      <c r="Q2088" s="1978"/>
      <c r="R2088" s="1979"/>
    </row>
    <row r="2089" customFormat="false" ht="14.25" hidden="false" customHeight="false" outlineLevel="0" collapsed="false">
      <c r="A2089" s="1465"/>
      <c r="B2089" s="1546"/>
      <c r="C2089" s="1975"/>
      <c r="D2089" s="871" t="s">
        <v>10</v>
      </c>
      <c r="E2089" s="1478" t="s">
        <v>1652</v>
      </c>
      <c r="F2089" s="1328"/>
      <c r="G2089" s="2011"/>
      <c r="H2089" s="1976"/>
      <c r="I2089" s="1036"/>
      <c r="J2089" s="1031"/>
      <c r="K2089" s="1529"/>
      <c r="L2089" s="1543" t="n">
        <v>30927.675</v>
      </c>
      <c r="M2089" s="877" t="n">
        <v>750</v>
      </c>
      <c r="N2089" s="891" t="n">
        <f aca="false">M2089/H2086</f>
        <v>50</v>
      </c>
      <c r="O2089" s="553" t="n">
        <v>86886</v>
      </c>
      <c r="P2089" s="1977"/>
      <c r="Q2089" s="1978"/>
      <c r="R2089" s="1979"/>
    </row>
    <row r="2090" customFormat="false" ht="14.25" hidden="false" customHeight="false" outlineLevel="0" collapsed="false">
      <c r="A2090" s="882" t="n">
        <v>170</v>
      </c>
      <c r="B2090" s="830" t="n">
        <v>2024</v>
      </c>
      <c r="C2090" s="1965" t="n">
        <v>45748</v>
      </c>
      <c r="D2090" s="831" t="s">
        <v>10</v>
      </c>
      <c r="E2090" s="1365" t="s">
        <v>1652</v>
      </c>
      <c r="F2090" s="832" t="s">
        <v>3364</v>
      </c>
      <c r="G2090" s="2010" t="n">
        <v>141</v>
      </c>
      <c r="H2090" s="1931" t="n">
        <v>15</v>
      </c>
      <c r="I2090" s="837" t="n">
        <f aca="false">G2090*H2090</f>
        <v>2115</v>
      </c>
      <c r="J2090" s="1059" t="n">
        <v>41.0919</v>
      </c>
      <c r="K2090" s="943" t="n">
        <f aca="false">I2090*J2090</f>
        <v>86909.3685</v>
      </c>
      <c r="L2090" s="886" t="n">
        <v>46844.766</v>
      </c>
      <c r="M2090" s="886" t="n">
        <v>1140</v>
      </c>
      <c r="N2090" s="886" t="n">
        <f aca="false">M2090/H2090</f>
        <v>76</v>
      </c>
      <c r="O2090" s="1036" t="s">
        <v>365</v>
      </c>
      <c r="P2090" s="1948" t="n">
        <f aca="false">K2090-L2090-L2095-L2094-L2091-L2092-L2093</f>
        <v>0</v>
      </c>
      <c r="Q2090" s="1934" t="n">
        <f aca="false">I2090-M2090-M2095-M2094-M2091-M2092-M2093</f>
        <v>0</v>
      </c>
      <c r="R2090" s="1935" t="n">
        <f aca="false">G2090-N2090-N2095-N2094-N2091-N2092-N2093</f>
        <v>0</v>
      </c>
    </row>
    <row r="2091" customFormat="false" ht="14.25" hidden="false" customHeight="false" outlineLevel="0" collapsed="false">
      <c r="A2091" s="882"/>
      <c r="B2091" s="830"/>
      <c r="C2091" s="1965"/>
      <c r="D2091" s="860" t="s">
        <v>10</v>
      </c>
      <c r="E2091" s="1480" t="s">
        <v>1652</v>
      </c>
      <c r="F2091" s="832"/>
      <c r="G2091" s="2010"/>
      <c r="H2091" s="1931"/>
      <c r="I2091" s="837"/>
      <c r="J2091" s="1059"/>
      <c r="K2091" s="943"/>
      <c r="L2091" s="866" t="n">
        <v>1232.757</v>
      </c>
      <c r="M2091" s="866" t="n">
        <v>30</v>
      </c>
      <c r="N2091" s="866" t="n">
        <f aca="false">M2091/H2090</f>
        <v>2</v>
      </c>
      <c r="O2091" s="543" t="s">
        <v>432</v>
      </c>
      <c r="P2091" s="1948"/>
      <c r="Q2091" s="1934"/>
      <c r="R2091" s="1935"/>
    </row>
    <row r="2092" customFormat="false" ht="14.25" hidden="false" customHeight="false" outlineLevel="0" collapsed="false">
      <c r="A2092" s="882"/>
      <c r="B2092" s="830"/>
      <c r="C2092" s="1965"/>
      <c r="D2092" s="860" t="s">
        <v>10</v>
      </c>
      <c r="E2092" s="1480" t="s">
        <v>1652</v>
      </c>
      <c r="F2092" s="832"/>
      <c r="G2092" s="2010"/>
      <c r="H2092" s="1931"/>
      <c r="I2092" s="837"/>
      <c r="J2092" s="1059"/>
      <c r="K2092" s="943"/>
      <c r="L2092" s="866" t="n">
        <v>10478.4345</v>
      </c>
      <c r="M2092" s="866" t="n">
        <v>255</v>
      </c>
      <c r="N2092" s="866" t="n">
        <f aca="false">M2092/H2090</f>
        <v>17</v>
      </c>
      <c r="O2092" s="543" t="s">
        <v>444</v>
      </c>
      <c r="P2092" s="1948"/>
      <c r="Q2092" s="1934"/>
      <c r="R2092" s="1935"/>
    </row>
    <row r="2093" customFormat="false" ht="14.25" hidden="false" customHeight="false" outlineLevel="0" collapsed="false">
      <c r="A2093" s="882"/>
      <c r="B2093" s="830"/>
      <c r="C2093" s="1965"/>
      <c r="D2093" s="860" t="s">
        <v>10</v>
      </c>
      <c r="E2093" s="1480" t="s">
        <v>1652</v>
      </c>
      <c r="F2093" s="832"/>
      <c r="G2093" s="2010"/>
      <c r="H2093" s="1931"/>
      <c r="I2093" s="837"/>
      <c r="J2093" s="1059"/>
      <c r="K2093" s="943"/>
      <c r="L2093" s="866" t="n">
        <v>12327.57</v>
      </c>
      <c r="M2093" s="866" t="n">
        <v>300</v>
      </c>
      <c r="N2093" s="866" t="n">
        <f aca="false">M2093/H2090</f>
        <v>20</v>
      </c>
      <c r="O2093" s="543" t="s">
        <v>462</v>
      </c>
      <c r="P2093" s="1948"/>
      <c r="Q2093" s="1934"/>
      <c r="R2093" s="1935"/>
    </row>
    <row r="2094" customFormat="false" ht="14.25" hidden="false" customHeight="false" outlineLevel="0" collapsed="false">
      <c r="A2094" s="882"/>
      <c r="B2094" s="830"/>
      <c r="C2094" s="1965"/>
      <c r="D2094" s="860" t="s">
        <v>10</v>
      </c>
      <c r="E2094" s="1480" t="s">
        <v>1652</v>
      </c>
      <c r="F2094" s="832"/>
      <c r="G2094" s="2010"/>
      <c r="H2094" s="1931"/>
      <c r="I2094" s="837"/>
      <c r="J2094" s="1059"/>
      <c r="K2094" s="943"/>
      <c r="L2094" s="866" t="n">
        <v>3698.271</v>
      </c>
      <c r="M2094" s="866" t="n">
        <v>90</v>
      </c>
      <c r="N2094" s="866" t="n">
        <f aca="false">M2094/H2090</f>
        <v>6</v>
      </c>
      <c r="O2094" s="543" t="s">
        <v>420</v>
      </c>
      <c r="P2094" s="1948"/>
      <c r="Q2094" s="1934"/>
      <c r="R2094" s="1935"/>
    </row>
    <row r="2095" customFormat="false" ht="14.25" hidden="false" customHeight="false" outlineLevel="0" collapsed="false">
      <c r="A2095" s="882"/>
      <c r="B2095" s="830"/>
      <c r="C2095" s="1965"/>
      <c r="D2095" s="843" t="s">
        <v>10</v>
      </c>
      <c r="E2095" s="1357" t="s">
        <v>1652</v>
      </c>
      <c r="F2095" s="832"/>
      <c r="G2095" s="2010"/>
      <c r="H2095" s="1931"/>
      <c r="I2095" s="837"/>
      <c r="J2095" s="1059"/>
      <c r="K2095" s="943"/>
      <c r="L2095" s="846" t="n">
        <v>12327.57</v>
      </c>
      <c r="M2095" s="846" t="n">
        <v>300</v>
      </c>
      <c r="N2095" s="846" t="n">
        <f aca="false">M2095/H2090</f>
        <v>20</v>
      </c>
      <c r="O2095" s="589" t="s">
        <v>366</v>
      </c>
      <c r="P2095" s="1948"/>
      <c r="Q2095" s="1934"/>
      <c r="R2095" s="1935"/>
    </row>
    <row r="2096" customFormat="false" ht="14.25" hidden="false" customHeight="false" outlineLevel="0" collapsed="false">
      <c r="A2096" s="1087" t="n">
        <v>171</v>
      </c>
      <c r="B2096" s="1072" t="n">
        <v>2024</v>
      </c>
      <c r="C2096" s="1980" t="n">
        <v>45748</v>
      </c>
      <c r="D2096" s="848" t="s">
        <v>10</v>
      </c>
      <c r="E2096" s="1479" t="s">
        <v>1651</v>
      </c>
      <c r="F2096" s="887" t="s">
        <v>3364</v>
      </c>
      <c r="G2096" s="2017" t="n">
        <v>115</v>
      </c>
      <c r="H2096" s="1950" t="n">
        <v>15</v>
      </c>
      <c r="I2096" s="1067" t="n">
        <f aca="false">G2096*H2096</f>
        <v>1725</v>
      </c>
      <c r="J2096" s="1063" t="n">
        <v>28.115</v>
      </c>
      <c r="K2096" s="1452" t="n">
        <f aca="false">I2096*J2096</f>
        <v>48498.375</v>
      </c>
      <c r="L2096" s="891" t="n">
        <v>4638.975</v>
      </c>
      <c r="M2096" s="891" t="n">
        <v>165</v>
      </c>
      <c r="N2096" s="891" t="n">
        <f aca="false">M2096/H2096</f>
        <v>11</v>
      </c>
      <c r="O2096" s="942" t="n">
        <v>86921</v>
      </c>
      <c r="P2096" s="1952" t="n">
        <f aca="false">K2096-L2096-L2102-L2101-L2097-L2098-L2100-L2099</f>
        <v>0</v>
      </c>
      <c r="Q2096" s="1953" t="n">
        <f aca="false">I2096-M2096-M2102-M2101-M2097-M2098-M2100-M2099</f>
        <v>0</v>
      </c>
      <c r="R2096" s="1954" t="n">
        <f aca="false">G2096-N2096-N2102-N2101-N2097-N2098-N2100-N2099</f>
        <v>0</v>
      </c>
    </row>
    <row r="2097" customFormat="false" ht="14.25" hidden="false" customHeight="false" outlineLevel="0" collapsed="false">
      <c r="A2097" s="1087"/>
      <c r="B2097" s="1072"/>
      <c r="C2097" s="1980"/>
      <c r="D2097" s="848" t="s">
        <v>10</v>
      </c>
      <c r="E2097" s="1479" t="s">
        <v>1651</v>
      </c>
      <c r="F2097" s="887"/>
      <c r="G2097" s="2017"/>
      <c r="H2097" s="1950"/>
      <c r="I2097" s="1067"/>
      <c r="J2097" s="1063"/>
      <c r="K2097" s="1452"/>
      <c r="L2097" s="866" t="n">
        <v>11386.575</v>
      </c>
      <c r="M2097" s="866" t="n">
        <v>405</v>
      </c>
      <c r="N2097" s="866" t="n">
        <f aca="false">M2097/H2096</f>
        <v>27</v>
      </c>
      <c r="O2097" s="543" t="s">
        <v>362</v>
      </c>
      <c r="P2097" s="1952"/>
      <c r="Q2097" s="1953"/>
      <c r="R2097" s="1954"/>
    </row>
    <row r="2098" customFormat="false" ht="14.25" hidden="false" customHeight="false" outlineLevel="0" collapsed="false">
      <c r="A2098" s="1087"/>
      <c r="B2098" s="1072"/>
      <c r="C2098" s="1980"/>
      <c r="D2098" s="848" t="s">
        <v>10</v>
      </c>
      <c r="E2098" s="1479" t="s">
        <v>1651</v>
      </c>
      <c r="F2098" s="887"/>
      <c r="G2098" s="2017"/>
      <c r="H2098" s="1950"/>
      <c r="I2098" s="1067"/>
      <c r="J2098" s="1063"/>
      <c r="K2098" s="1452"/>
      <c r="L2098" s="866" t="n">
        <v>27833.85</v>
      </c>
      <c r="M2098" s="866" t="n">
        <v>990</v>
      </c>
      <c r="N2098" s="866" t="n">
        <f aca="false">M2098/H2096</f>
        <v>66</v>
      </c>
      <c r="O2098" s="543" t="s">
        <v>397</v>
      </c>
      <c r="P2098" s="1952"/>
      <c r="Q2098" s="1953"/>
      <c r="R2098" s="1954"/>
    </row>
    <row r="2099" customFormat="false" ht="14.25" hidden="false" customHeight="false" outlineLevel="0" collapsed="false">
      <c r="A2099" s="1087"/>
      <c r="B2099" s="1072"/>
      <c r="C2099" s="1980"/>
      <c r="D2099" s="848" t="s">
        <v>10</v>
      </c>
      <c r="E2099" s="1479" t="s">
        <v>1651</v>
      </c>
      <c r="F2099" s="887"/>
      <c r="G2099" s="2017"/>
      <c r="H2099" s="1950"/>
      <c r="I2099" s="1067"/>
      <c r="J2099" s="1063"/>
      <c r="K2099" s="1452"/>
      <c r="L2099" s="866" t="n">
        <v>-27833.85</v>
      </c>
      <c r="M2099" s="866" t="n">
        <v>-990</v>
      </c>
      <c r="N2099" s="866" t="n">
        <f aca="false">M2099/H2096</f>
        <v>-66</v>
      </c>
      <c r="O2099" s="543" t="s">
        <v>1634</v>
      </c>
      <c r="P2099" s="1952"/>
      <c r="Q2099" s="1953"/>
      <c r="R2099" s="1954"/>
    </row>
    <row r="2100" customFormat="false" ht="14.25" hidden="false" customHeight="false" outlineLevel="0" collapsed="false">
      <c r="A2100" s="1087"/>
      <c r="B2100" s="1072"/>
      <c r="C2100" s="1980"/>
      <c r="D2100" s="848" t="s">
        <v>10</v>
      </c>
      <c r="E2100" s="1479" t="s">
        <v>1651</v>
      </c>
      <c r="F2100" s="887"/>
      <c r="G2100" s="2017"/>
      <c r="H2100" s="1950"/>
      <c r="I2100" s="1067"/>
      <c r="J2100" s="1063"/>
      <c r="K2100" s="1452"/>
      <c r="L2100" s="866" t="n">
        <v>27833.85</v>
      </c>
      <c r="M2100" s="866" t="n">
        <v>990</v>
      </c>
      <c r="N2100" s="866" t="n">
        <f aca="false">M2100/H2096</f>
        <v>66</v>
      </c>
      <c r="O2100" s="543" t="s">
        <v>1260</v>
      </c>
      <c r="P2100" s="1952"/>
      <c r="Q2100" s="1953"/>
      <c r="R2100" s="1954"/>
    </row>
    <row r="2101" customFormat="false" ht="14.25" hidden="false" customHeight="false" outlineLevel="0" collapsed="false">
      <c r="A2101" s="1087"/>
      <c r="B2101" s="1072"/>
      <c r="C2101" s="1980"/>
      <c r="D2101" s="860" t="s">
        <v>10</v>
      </c>
      <c r="E2101" s="1480" t="s">
        <v>1651</v>
      </c>
      <c r="F2101" s="887"/>
      <c r="G2101" s="2017"/>
      <c r="H2101" s="1950"/>
      <c r="I2101" s="1067"/>
      <c r="J2101" s="1063"/>
      <c r="K2101" s="1452"/>
      <c r="L2101" s="1018" t="n">
        <v>3373.8</v>
      </c>
      <c r="M2101" s="866" t="n">
        <v>120</v>
      </c>
      <c r="N2101" s="866" t="n">
        <f aca="false">M2101/H2096</f>
        <v>8</v>
      </c>
      <c r="O2101" s="543" t="n">
        <v>86929</v>
      </c>
      <c r="P2101" s="1952"/>
      <c r="Q2101" s="1953"/>
      <c r="R2101" s="1954"/>
    </row>
    <row r="2102" customFormat="false" ht="14.25" hidden="false" customHeight="false" outlineLevel="0" collapsed="false">
      <c r="A2102" s="1087"/>
      <c r="B2102" s="1072"/>
      <c r="C2102" s="1980"/>
      <c r="D2102" s="887" t="s">
        <v>10</v>
      </c>
      <c r="E2102" s="1501" t="s">
        <v>1651</v>
      </c>
      <c r="F2102" s="887"/>
      <c r="G2102" s="2017"/>
      <c r="H2102" s="1950"/>
      <c r="I2102" s="1067"/>
      <c r="J2102" s="1063"/>
      <c r="K2102" s="1452"/>
      <c r="L2102" s="890" t="n">
        <v>1265.175</v>
      </c>
      <c r="M2102" s="890" t="n">
        <v>45</v>
      </c>
      <c r="N2102" s="890" t="n">
        <f aca="false">M2102/H2096</f>
        <v>3</v>
      </c>
      <c r="O2102" s="1067" t="n">
        <v>86923</v>
      </c>
      <c r="P2102" s="1952"/>
      <c r="Q2102" s="1953"/>
      <c r="R2102" s="1954"/>
    </row>
    <row r="2103" customFormat="false" ht="14.25" hidden="false" customHeight="false" outlineLevel="0" collapsed="false">
      <c r="A2103" s="903" t="n">
        <v>190</v>
      </c>
      <c r="B2103" s="903" t="n">
        <v>2024</v>
      </c>
      <c r="C2103" s="1974" t="n">
        <v>45809</v>
      </c>
      <c r="D2103" s="904" t="s">
        <v>10</v>
      </c>
      <c r="E2103" s="1351" t="s">
        <v>2133</v>
      </c>
      <c r="F2103" s="904" t="s">
        <v>3364</v>
      </c>
      <c r="G2103" s="2012" t="n">
        <v>2</v>
      </c>
      <c r="H2103" s="1940" t="n">
        <v>30</v>
      </c>
      <c r="I2103" s="1355" t="n">
        <f aca="false">G2103*H2103</f>
        <v>60</v>
      </c>
      <c r="J2103" s="1406" t="n">
        <v>96.9971</v>
      </c>
      <c r="K2103" s="1538" t="n">
        <f aca="false">I2103*J2103</f>
        <v>5819.826</v>
      </c>
      <c r="L2103" s="891" t="n">
        <v>5819.826</v>
      </c>
      <c r="M2103" s="891" t="n">
        <v>60</v>
      </c>
      <c r="N2103" s="891" t="n">
        <f aca="false">M2103/H2103</f>
        <v>2</v>
      </c>
      <c r="O2103" s="942" t="s">
        <v>1392</v>
      </c>
      <c r="P2103" s="1947" t="n">
        <f aca="false">K2103-L2103</f>
        <v>0</v>
      </c>
      <c r="Q2103" s="1945" t="n">
        <f aca="false">I2103-M2103</f>
        <v>0</v>
      </c>
      <c r="R2103" s="1945" t="n">
        <f aca="false">G2103-N2103</f>
        <v>0</v>
      </c>
    </row>
    <row r="2104" customFormat="false" ht="14.25" hidden="false" customHeight="false" outlineLevel="0" collapsed="false">
      <c r="A2104" s="829" t="n">
        <v>210</v>
      </c>
      <c r="B2104" s="830" t="n">
        <v>2024</v>
      </c>
      <c r="C2104" s="1965" t="n">
        <v>45839</v>
      </c>
      <c r="D2104" s="831" t="s">
        <v>10</v>
      </c>
      <c r="E2104" s="1365" t="s">
        <v>2133</v>
      </c>
      <c r="F2104" s="832" t="s">
        <v>3364</v>
      </c>
      <c r="G2104" s="2010" t="n">
        <v>2</v>
      </c>
      <c r="H2104" s="1931" t="n">
        <v>30</v>
      </c>
      <c r="I2104" s="837" t="n">
        <f aca="false">G2104*H2104</f>
        <v>60</v>
      </c>
      <c r="J2104" s="1059" t="n">
        <v>96.9971</v>
      </c>
      <c r="K2104" s="1017" t="n">
        <f aca="false">I2104*J2104</f>
        <v>5819.826</v>
      </c>
      <c r="L2104" s="840" t="n">
        <v>2909.913</v>
      </c>
      <c r="M2104" s="840" t="n">
        <v>30</v>
      </c>
      <c r="N2104" s="840" t="n">
        <f aca="false">M2104/H2104</f>
        <v>1</v>
      </c>
      <c r="O2104" s="1114" t="s">
        <v>437</v>
      </c>
      <c r="P2104" s="1948" t="n">
        <f aca="false">K2104-L2104-L2105</f>
        <v>0</v>
      </c>
      <c r="Q2104" s="1934" t="n">
        <f aca="false">I2104-M2104-M2105</f>
        <v>0</v>
      </c>
      <c r="R2104" s="1935" t="n">
        <f aca="false">G2104-N2104-N2105</f>
        <v>0</v>
      </c>
    </row>
    <row r="2105" customFormat="false" ht="14.25" hidden="false" customHeight="false" outlineLevel="0" collapsed="false">
      <c r="A2105" s="829"/>
      <c r="B2105" s="830"/>
      <c r="C2105" s="1965"/>
      <c r="D2105" s="843" t="s">
        <v>10</v>
      </c>
      <c r="E2105" s="1357" t="s">
        <v>2133</v>
      </c>
      <c r="F2105" s="832"/>
      <c r="G2105" s="2010"/>
      <c r="H2105" s="1931"/>
      <c r="I2105" s="837"/>
      <c r="J2105" s="1059"/>
      <c r="K2105" s="1017"/>
      <c r="L2105" s="846" t="n">
        <v>2909.913</v>
      </c>
      <c r="M2105" s="846" t="n">
        <v>30</v>
      </c>
      <c r="N2105" s="846" t="n">
        <f aca="false">M2105/H2104</f>
        <v>1</v>
      </c>
      <c r="O2105" s="589" t="s">
        <v>1426</v>
      </c>
      <c r="P2105" s="1948"/>
      <c r="Q2105" s="1934"/>
      <c r="R2105" s="1935"/>
    </row>
    <row r="2106" customFormat="false" ht="14.25" hidden="false" customHeight="false" outlineLevel="0" collapsed="false">
      <c r="A2106" s="1087" t="n">
        <v>268</v>
      </c>
      <c r="B2106" s="1072" t="n">
        <v>2024</v>
      </c>
      <c r="C2106" s="1980" t="n">
        <v>45870</v>
      </c>
      <c r="D2106" s="848" t="s">
        <v>10</v>
      </c>
      <c r="E2106" s="1479" t="s">
        <v>1651</v>
      </c>
      <c r="F2106" s="887" t="s">
        <v>3367</v>
      </c>
      <c r="G2106" s="2017" t="n">
        <v>866</v>
      </c>
      <c r="H2106" s="1950" t="n">
        <v>15</v>
      </c>
      <c r="I2106" s="1067" t="n">
        <f aca="false">G2106*H2106</f>
        <v>12990</v>
      </c>
      <c r="J2106" s="1063" t="n">
        <v>26.6017</v>
      </c>
      <c r="K2106" s="1172" t="n">
        <f aca="false">I2106*J2106</f>
        <v>345556.083</v>
      </c>
      <c r="L2106" s="854" t="n">
        <v>319220.4</v>
      </c>
      <c r="M2106" s="854" t="n">
        <v>12000</v>
      </c>
      <c r="N2106" s="854" t="n">
        <f aca="false">M2106/H2106</f>
        <v>800</v>
      </c>
      <c r="O2106" s="537" t="s">
        <v>398</v>
      </c>
      <c r="P2106" s="1953" t="n">
        <f aca="false">K2106-L2106-L2107</f>
        <v>-4.00177668780088E-011</v>
      </c>
      <c r="Q2106" s="1953" t="n">
        <f aca="false">I2106-M2106-M2107</f>
        <v>0</v>
      </c>
      <c r="R2106" s="1954" t="n">
        <f aca="false">G2106-N2106-N2107</f>
        <v>0</v>
      </c>
    </row>
    <row r="2107" customFormat="false" ht="14.25" hidden="false" customHeight="false" outlineLevel="0" collapsed="false">
      <c r="A2107" s="1087"/>
      <c r="B2107" s="1072"/>
      <c r="C2107" s="1980"/>
      <c r="D2107" s="843" t="s">
        <v>10</v>
      </c>
      <c r="E2107" s="1357" t="s">
        <v>1651</v>
      </c>
      <c r="F2107" s="887"/>
      <c r="G2107" s="2017"/>
      <c r="H2107" s="1950"/>
      <c r="I2107" s="1067"/>
      <c r="J2107" s="1063"/>
      <c r="K2107" s="1172"/>
      <c r="L2107" s="846" t="n">
        <v>26335.683</v>
      </c>
      <c r="M2107" s="846" t="n">
        <v>990</v>
      </c>
      <c r="N2107" s="846" t="n">
        <f aca="false">M2107/H2106</f>
        <v>66</v>
      </c>
      <c r="O2107" s="589" t="s">
        <v>457</v>
      </c>
      <c r="P2107" s="1953"/>
      <c r="Q2107" s="1953"/>
      <c r="R2107" s="1954"/>
    </row>
    <row r="2108" customFormat="false" ht="14.25" hidden="false" customHeight="false" outlineLevel="0" collapsed="false">
      <c r="A2108" s="829" t="n">
        <v>269</v>
      </c>
      <c r="B2108" s="830" t="n">
        <v>2024</v>
      </c>
      <c r="C2108" s="1965" t="n">
        <v>45870</v>
      </c>
      <c r="D2108" s="831" t="s">
        <v>10</v>
      </c>
      <c r="E2108" s="1365" t="s">
        <v>1651</v>
      </c>
      <c r="F2108" s="832" t="s">
        <v>3364</v>
      </c>
      <c r="G2108" s="2010" t="n">
        <v>1333</v>
      </c>
      <c r="H2108" s="1931" t="n">
        <v>15</v>
      </c>
      <c r="I2108" s="837" t="n">
        <f aca="false">G2108*H2108</f>
        <v>19995</v>
      </c>
      <c r="J2108" s="1059" t="n">
        <v>26.6017</v>
      </c>
      <c r="K2108" s="943" t="n">
        <f aca="false">I2108*J2108</f>
        <v>531900.9915</v>
      </c>
      <c r="L2108" s="886" t="n">
        <v>53469.417</v>
      </c>
      <c r="M2108" s="886" t="n">
        <v>2010</v>
      </c>
      <c r="N2108" s="886" t="n">
        <f aca="false">M2108/H2108</f>
        <v>134</v>
      </c>
      <c r="O2108" s="1036" t="s">
        <v>396</v>
      </c>
      <c r="P2108" s="1948" t="n">
        <f aca="false">K2108-L2108-L2126-L2125-L2109-L2110-L2124-L2112-L2111-L2123-L2113-L2114-L2122-L2116-L2115-L2120-L2121-L2119-L2117-L2118</f>
        <v>0</v>
      </c>
      <c r="Q2108" s="1934" t="n">
        <f aca="false">I2108-M2108-M2126-M2125-M2109-M2110-M2124-M2112-M2111-M2123-M2113-M2114-M2122-M2116-M2115-M2120-M2121-M2119-M2117-M2118</f>
        <v>0</v>
      </c>
      <c r="R2108" s="1935" t="n">
        <f aca="false">G2108-N2108-N2126-N2125-N2109-N2110-N2124-N2112-N2111-N2123-N2113-N2114-N2122-N2116-N2115-N2120-N2121-N2119-N2117-N2118</f>
        <v>0</v>
      </c>
    </row>
    <row r="2109" customFormat="false" ht="14.25" hidden="false" customHeight="false" outlineLevel="0" collapsed="false">
      <c r="A2109" s="829"/>
      <c r="B2109" s="830"/>
      <c r="C2109" s="1965"/>
      <c r="D2109" s="848" t="s">
        <v>10</v>
      </c>
      <c r="E2109" s="1479" t="s">
        <v>1651</v>
      </c>
      <c r="F2109" s="832"/>
      <c r="G2109" s="2010"/>
      <c r="H2109" s="1931"/>
      <c r="I2109" s="837"/>
      <c r="J2109" s="1059"/>
      <c r="K2109" s="943"/>
      <c r="L2109" s="866" t="n">
        <v>1197.0765</v>
      </c>
      <c r="M2109" s="866" t="n">
        <v>45</v>
      </c>
      <c r="N2109" s="866" t="n">
        <f aca="false">M2109/H2108</f>
        <v>3</v>
      </c>
      <c r="O2109" s="543"/>
      <c r="P2109" s="1948"/>
      <c r="Q2109" s="1934"/>
      <c r="R2109" s="1935"/>
    </row>
    <row r="2110" customFormat="false" ht="14.25" hidden="false" customHeight="false" outlineLevel="0" collapsed="false">
      <c r="A2110" s="829"/>
      <c r="B2110" s="830"/>
      <c r="C2110" s="1965"/>
      <c r="D2110" s="848" t="s">
        <v>10</v>
      </c>
      <c r="E2110" s="1479" t="s">
        <v>1651</v>
      </c>
      <c r="F2110" s="832"/>
      <c r="G2110" s="2010"/>
      <c r="H2110" s="1931"/>
      <c r="I2110" s="837"/>
      <c r="J2110" s="1059"/>
      <c r="K2110" s="943"/>
      <c r="L2110" s="866" t="n">
        <v>1596.102</v>
      </c>
      <c r="M2110" s="866" t="n">
        <v>60</v>
      </c>
      <c r="N2110" s="866" t="n">
        <f aca="false">M2110/H2108</f>
        <v>4</v>
      </c>
      <c r="O2110" s="543" t="s">
        <v>427</v>
      </c>
      <c r="P2110" s="1948"/>
      <c r="Q2110" s="1934"/>
      <c r="R2110" s="1935"/>
    </row>
    <row r="2111" customFormat="false" ht="14.25" hidden="false" customHeight="false" outlineLevel="0" collapsed="false">
      <c r="A2111" s="829"/>
      <c r="B2111" s="830"/>
      <c r="C2111" s="1965"/>
      <c r="D2111" s="848" t="s">
        <v>10</v>
      </c>
      <c r="E2111" s="1479" t="s">
        <v>1651</v>
      </c>
      <c r="F2111" s="832"/>
      <c r="G2111" s="2010"/>
      <c r="H2111" s="1931"/>
      <c r="I2111" s="837"/>
      <c r="J2111" s="1059"/>
      <c r="K2111" s="943"/>
      <c r="L2111" s="866" t="n">
        <v>1995.1275</v>
      </c>
      <c r="M2111" s="866" t="n">
        <v>75</v>
      </c>
      <c r="N2111" s="866" t="n">
        <f aca="false">M2111/H2108</f>
        <v>5</v>
      </c>
      <c r="O2111" s="543" t="s">
        <v>475</v>
      </c>
      <c r="P2111" s="1948"/>
      <c r="Q2111" s="1934"/>
      <c r="R2111" s="1935"/>
    </row>
    <row r="2112" customFormat="false" ht="14.25" hidden="false" customHeight="false" outlineLevel="0" collapsed="false">
      <c r="A2112" s="829"/>
      <c r="B2112" s="830"/>
      <c r="C2112" s="1965"/>
      <c r="D2112" s="848" t="s">
        <v>10</v>
      </c>
      <c r="E2112" s="1479" t="s">
        <v>1651</v>
      </c>
      <c r="F2112" s="832"/>
      <c r="G2112" s="2010"/>
      <c r="H2112" s="1931"/>
      <c r="I2112" s="837"/>
      <c r="J2112" s="1059"/>
      <c r="K2112" s="943"/>
      <c r="L2112" s="866" t="n">
        <v>13167.8415</v>
      </c>
      <c r="M2112" s="866" t="n">
        <v>495</v>
      </c>
      <c r="N2112" s="866" t="n">
        <f aca="false">M2112/H2108</f>
        <v>33</v>
      </c>
      <c r="O2112" s="543" t="s">
        <v>397</v>
      </c>
      <c r="P2112" s="1948"/>
      <c r="Q2112" s="1934"/>
      <c r="R2112" s="1935"/>
    </row>
    <row r="2113" customFormat="false" ht="14.25" hidden="false" customHeight="false" outlineLevel="0" collapsed="false">
      <c r="A2113" s="829"/>
      <c r="B2113" s="830"/>
      <c r="C2113" s="1965"/>
      <c r="D2113" s="848" t="s">
        <v>10</v>
      </c>
      <c r="E2113" s="1479" t="s">
        <v>1651</v>
      </c>
      <c r="F2113" s="832"/>
      <c r="G2113" s="2010"/>
      <c r="H2113" s="1931"/>
      <c r="I2113" s="837"/>
      <c r="J2113" s="1059"/>
      <c r="K2113" s="943"/>
      <c r="L2113" s="866" t="n">
        <v>49080.1365</v>
      </c>
      <c r="M2113" s="866" t="n">
        <v>1845</v>
      </c>
      <c r="N2113" s="866" t="n">
        <f aca="false">M2113/H2108</f>
        <v>123</v>
      </c>
      <c r="O2113" s="543" t="s">
        <v>3536</v>
      </c>
      <c r="P2113" s="1948"/>
      <c r="Q2113" s="1934"/>
      <c r="R2113" s="1935"/>
    </row>
    <row r="2114" customFormat="false" ht="14.25" hidden="false" customHeight="false" outlineLevel="0" collapsed="false">
      <c r="A2114" s="829"/>
      <c r="B2114" s="830"/>
      <c r="C2114" s="1965"/>
      <c r="D2114" s="848" t="s">
        <v>10</v>
      </c>
      <c r="E2114" s="1479" t="s">
        <v>1651</v>
      </c>
      <c r="F2114" s="832"/>
      <c r="G2114" s="2010"/>
      <c r="H2114" s="1931"/>
      <c r="I2114" s="837"/>
      <c r="J2114" s="1059"/>
      <c r="K2114" s="943"/>
      <c r="L2114" s="866" t="n">
        <v>13566.867</v>
      </c>
      <c r="M2114" s="866" t="n">
        <v>510</v>
      </c>
      <c r="N2114" s="866" t="n">
        <f aca="false">M2114/H2108</f>
        <v>34</v>
      </c>
      <c r="O2114" s="543" t="s">
        <v>510</v>
      </c>
      <c r="P2114" s="1948"/>
      <c r="Q2114" s="1934"/>
      <c r="R2114" s="1935"/>
    </row>
    <row r="2115" customFormat="false" ht="14.25" hidden="false" customHeight="false" outlineLevel="0" collapsed="false">
      <c r="A2115" s="829"/>
      <c r="B2115" s="830"/>
      <c r="C2115" s="1965"/>
      <c r="D2115" s="848" t="s">
        <v>10</v>
      </c>
      <c r="E2115" s="1479" t="s">
        <v>1651</v>
      </c>
      <c r="F2115" s="832"/>
      <c r="G2115" s="2010"/>
      <c r="H2115" s="1931"/>
      <c r="I2115" s="837"/>
      <c r="J2115" s="1059"/>
      <c r="K2115" s="943"/>
      <c r="L2115" s="866" t="n">
        <v>39902.55</v>
      </c>
      <c r="M2115" s="866" t="n">
        <v>1500</v>
      </c>
      <c r="N2115" s="866" t="n">
        <f aca="false">M2115/H2108</f>
        <v>100</v>
      </c>
      <c r="O2115" s="543" t="s">
        <v>568</v>
      </c>
      <c r="P2115" s="1948"/>
      <c r="Q2115" s="1934"/>
      <c r="R2115" s="1935"/>
    </row>
    <row r="2116" customFormat="false" ht="14.25" hidden="false" customHeight="false" outlineLevel="0" collapsed="false">
      <c r="A2116" s="829"/>
      <c r="B2116" s="830"/>
      <c r="C2116" s="1965"/>
      <c r="D2116" s="848" t="s">
        <v>10</v>
      </c>
      <c r="E2116" s="1479" t="s">
        <v>1651</v>
      </c>
      <c r="F2116" s="832"/>
      <c r="G2116" s="2010"/>
      <c r="H2116" s="1931"/>
      <c r="I2116" s="837"/>
      <c r="J2116" s="1059"/>
      <c r="K2116" s="943"/>
      <c r="L2116" s="866" t="n">
        <v>26601.7</v>
      </c>
      <c r="M2116" s="866" t="n">
        <v>1000</v>
      </c>
      <c r="N2116" s="1448" t="n">
        <f aca="false">M2116/H2108</f>
        <v>66.6666666666667</v>
      </c>
      <c r="O2116" s="543" t="s">
        <v>544</v>
      </c>
      <c r="P2116" s="1948"/>
      <c r="Q2116" s="1934"/>
      <c r="R2116" s="1935"/>
    </row>
    <row r="2117" customFormat="false" ht="14.25" hidden="false" customHeight="false" outlineLevel="0" collapsed="false">
      <c r="A2117" s="829"/>
      <c r="B2117" s="830"/>
      <c r="C2117" s="1965"/>
      <c r="D2117" s="848" t="s">
        <v>10</v>
      </c>
      <c r="E2117" s="1479" t="s">
        <v>1651</v>
      </c>
      <c r="F2117" s="832"/>
      <c r="G2117" s="2010"/>
      <c r="H2117" s="1931"/>
      <c r="I2117" s="837"/>
      <c r="J2117" s="1059"/>
      <c r="K2117" s="943"/>
      <c r="L2117" s="866" t="n">
        <v>11970.765</v>
      </c>
      <c r="M2117" s="866" t="n">
        <v>450</v>
      </c>
      <c r="N2117" s="866" t="n">
        <f aca="false">M2117/H2108</f>
        <v>30</v>
      </c>
      <c r="O2117" s="543" t="s">
        <v>1288</v>
      </c>
      <c r="P2117" s="1948"/>
      <c r="Q2117" s="1934"/>
      <c r="R2117" s="1935"/>
    </row>
    <row r="2118" customFormat="false" ht="14.25" hidden="false" customHeight="false" outlineLevel="0" collapsed="false">
      <c r="A2118" s="829"/>
      <c r="B2118" s="830"/>
      <c r="C2118" s="1965"/>
      <c r="D2118" s="848" t="s">
        <v>10</v>
      </c>
      <c r="E2118" s="1479" t="s">
        <v>1651</v>
      </c>
      <c r="F2118" s="832"/>
      <c r="G2118" s="2010"/>
      <c r="H2118" s="1931"/>
      <c r="I2118" s="837"/>
      <c r="J2118" s="1059"/>
      <c r="K2118" s="943"/>
      <c r="L2118" s="866" t="n">
        <v>13566.867</v>
      </c>
      <c r="M2118" s="866" t="n">
        <v>510</v>
      </c>
      <c r="N2118" s="866" t="n">
        <f aca="false">M2118/H2108</f>
        <v>34</v>
      </c>
      <c r="O2118" s="543" t="s">
        <v>1293</v>
      </c>
      <c r="P2118" s="1948"/>
      <c r="Q2118" s="1934"/>
      <c r="R2118" s="1935"/>
    </row>
    <row r="2119" customFormat="false" ht="14.25" hidden="false" customHeight="false" outlineLevel="0" collapsed="false">
      <c r="A2119" s="829"/>
      <c r="B2119" s="830"/>
      <c r="C2119" s="1965"/>
      <c r="D2119" s="848" t="s">
        <v>10</v>
      </c>
      <c r="E2119" s="1479" t="s">
        <v>1651</v>
      </c>
      <c r="F2119" s="832"/>
      <c r="G2119" s="2010"/>
      <c r="H2119" s="1931"/>
      <c r="I2119" s="837"/>
      <c r="J2119" s="1059"/>
      <c r="K2119" s="943"/>
      <c r="L2119" s="866" t="n">
        <v>-35114.244</v>
      </c>
      <c r="M2119" s="866" t="n">
        <v>-1320</v>
      </c>
      <c r="N2119" s="866" t="n">
        <f aca="false">M2119/H2108</f>
        <v>-88</v>
      </c>
      <c r="O2119" s="543" t="s">
        <v>1634</v>
      </c>
      <c r="P2119" s="1948"/>
      <c r="Q2119" s="1934"/>
      <c r="R2119" s="1935"/>
    </row>
    <row r="2120" customFormat="false" ht="14.25" hidden="false" customHeight="false" outlineLevel="0" collapsed="false">
      <c r="A2120" s="829"/>
      <c r="B2120" s="830"/>
      <c r="C2120" s="1965"/>
      <c r="D2120" s="848" t="s">
        <v>10</v>
      </c>
      <c r="E2120" s="1479" t="s">
        <v>1651</v>
      </c>
      <c r="F2120" s="832"/>
      <c r="G2120" s="2010"/>
      <c r="H2120" s="1931"/>
      <c r="I2120" s="837"/>
      <c r="J2120" s="1059"/>
      <c r="K2120" s="943"/>
      <c r="L2120" s="866" t="n">
        <v>112126.1655</v>
      </c>
      <c r="M2120" s="866" t="n">
        <v>4215</v>
      </c>
      <c r="N2120" s="866" t="n">
        <f aca="false">M2120/H2108</f>
        <v>281</v>
      </c>
      <c r="O2120" s="543" t="s">
        <v>385</v>
      </c>
      <c r="P2120" s="1948"/>
      <c r="Q2120" s="1934"/>
      <c r="R2120" s="1935"/>
    </row>
    <row r="2121" customFormat="false" ht="14.25" hidden="false" customHeight="false" outlineLevel="0" collapsed="false">
      <c r="A2121" s="829"/>
      <c r="B2121" s="830"/>
      <c r="C2121" s="1965"/>
      <c r="D2121" s="848" t="s">
        <v>10</v>
      </c>
      <c r="E2121" s="1479" t="s">
        <v>1651</v>
      </c>
      <c r="F2121" s="832"/>
      <c r="G2121" s="2010"/>
      <c r="H2121" s="1931"/>
      <c r="I2121" s="837"/>
      <c r="J2121" s="1059"/>
      <c r="K2121" s="943"/>
      <c r="L2121" s="866" t="n">
        <v>26069.666</v>
      </c>
      <c r="M2121" s="866" t="n">
        <v>980</v>
      </c>
      <c r="N2121" s="866" t="n">
        <f aca="false">M2121/H2108</f>
        <v>65.3333333333333</v>
      </c>
      <c r="O2121" s="543" t="s">
        <v>1260</v>
      </c>
      <c r="P2121" s="1948"/>
      <c r="Q2121" s="1934"/>
      <c r="R2121" s="1935"/>
    </row>
    <row r="2122" customFormat="false" ht="14.25" hidden="false" customHeight="false" outlineLevel="0" collapsed="false">
      <c r="A2122" s="829"/>
      <c r="B2122" s="830"/>
      <c r="C2122" s="1965"/>
      <c r="D2122" s="848" t="s">
        <v>10</v>
      </c>
      <c r="E2122" s="1479" t="s">
        <v>1651</v>
      </c>
      <c r="F2122" s="832"/>
      <c r="G2122" s="2010"/>
      <c r="H2122" s="1931"/>
      <c r="I2122" s="837"/>
      <c r="J2122" s="1059"/>
      <c r="K2122" s="943"/>
      <c r="L2122" s="866" t="n">
        <v>29527.887</v>
      </c>
      <c r="M2122" s="866" t="n">
        <v>1110</v>
      </c>
      <c r="N2122" s="866" t="n">
        <f aca="false">M2122/H2108</f>
        <v>74</v>
      </c>
      <c r="O2122" s="543" t="s">
        <v>528</v>
      </c>
      <c r="P2122" s="1948"/>
      <c r="Q2122" s="1934"/>
      <c r="R2122" s="1935"/>
    </row>
    <row r="2123" customFormat="false" ht="14.25" hidden="false" customHeight="false" outlineLevel="0" collapsed="false">
      <c r="A2123" s="829"/>
      <c r="B2123" s="830"/>
      <c r="C2123" s="1965"/>
      <c r="D2123" s="848" t="s">
        <v>10</v>
      </c>
      <c r="E2123" s="1479" t="s">
        <v>1651</v>
      </c>
      <c r="F2123" s="832"/>
      <c r="G2123" s="2010"/>
      <c r="H2123" s="1931"/>
      <c r="I2123" s="837"/>
      <c r="J2123" s="1059"/>
      <c r="K2123" s="943"/>
      <c r="L2123" s="866" t="n">
        <v>116515.446</v>
      </c>
      <c r="M2123" s="866" t="n">
        <v>4380</v>
      </c>
      <c r="N2123" s="866" t="n">
        <f aca="false">M2123/H2108</f>
        <v>292</v>
      </c>
      <c r="O2123" s="543" t="s">
        <v>479</v>
      </c>
      <c r="P2123" s="1948"/>
      <c r="Q2123" s="1934"/>
      <c r="R2123" s="1935"/>
    </row>
    <row r="2124" customFormat="false" ht="14.25" hidden="false" customHeight="false" outlineLevel="0" collapsed="false">
      <c r="A2124" s="829"/>
      <c r="B2124" s="830"/>
      <c r="C2124" s="1965"/>
      <c r="D2124" s="848" t="s">
        <v>10</v>
      </c>
      <c r="E2124" s="1479" t="s">
        <v>1651</v>
      </c>
      <c r="F2124" s="832"/>
      <c r="G2124" s="2010"/>
      <c r="H2124" s="1931"/>
      <c r="I2124" s="837"/>
      <c r="J2124" s="1059"/>
      <c r="K2124" s="943"/>
      <c r="L2124" s="866" t="n">
        <v>2793.1785</v>
      </c>
      <c r="M2124" s="866" t="n">
        <v>105</v>
      </c>
      <c r="N2124" s="866" t="n">
        <f aca="false">M2124/H2108</f>
        <v>7</v>
      </c>
      <c r="O2124" s="543" t="s">
        <v>431</v>
      </c>
      <c r="P2124" s="1948"/>
      <c r="Q2124" s="1934"/>
      <c r="R2124" s="1935"/>
    </row>
    <row r="2125" customFormat="false" ht="14.25" hidden="false" customHeight="false" outlineLevel="0" collapsed="false">
      <c r="A2125" s="829"/>
      <c r="B2125" s="830"/>
      <c r="C2125" s="1965"/>
      <c r="D2125" s="860" t="s">
        <v>10</v>
      </c>
      <c r="E2125" s="1480" t="s">
        <v>1651</v>
      </c>
      <c r="F2125" s="832"/>
      <c r="G2125" s="2010"/>
      <c r="H2125" s="1931"/>
      <c r="I2125" s="837"/>
      <c r="J2125" s="1059"/>
      <c r="K2125" s="943"/>
      <c r="L2125" s="866" t="n">
        <v>13566.867</v>
      </c>
      <c r="M2125" s="866" t="n">
        <v>510</v>
      </c>
      <c r="N2125" s="866" t="n">
        <f aca="false">M2125/H2108</f>
        <v>34</v>
      </c>
      <c r="O2125" s="543" t="s">
        <v>421</v>
      </c>
      <c r="P2125" s="1948"/>
      <c r="Q2125" s="1934"/>
      <c r="R2125" s="1935"/>
    </row>
    <row r="2126" customFormat="false" ht="14.25" hidden="false" customHeight="false" outlineLevel="0" collapsed="false">
      <c r="A2126" s="829"/>
      <c r="B2126" s="830"/>
      <c r="C2126" s="1965"/>
      <c r="D2126" s="887" t="s">
        <v>10</v>
      </c>
      <c r="E2126" s="1501" t="s">
        <v>1651</v>
      </c>
      <c r="F2126" s="832"/>
      <c r="G2126" s="2010"/>
      <c r="H2126" s="1931"/>
      <c r="I2126" s="837"/>
      <c r="J2126" s="1059"/>
      <c r="K2126" s="943"/>
      <c r="L2126" s="890" t="n">
        <v>40301.5755</v>
      </c>
      <c r="M2126" s="890" t="n">
        <v>1515</v>
      </c>
      <c r="N2126" s="890" t="n">
        <f aca="false">M2126/H2108</f>
        <v>101</v>
      </c>
      <c r="O2126" s="1067" t="s">
        <v>397</v>
      </c>
      <c r="P2126" s="1948"/>
      <c r="Q2126" s="1934"/>
      <c r="R2126" s="1935"/>
    </row>
    <row r="2127" customFormat="false" ht="14.25" hidden="false" customHeight="false" outlineLevel="0" collapsed="false">
      <c r="A2127" s="882" t="s">
        <v>3537</v>
      </c>
      <c r="B2127" s="830" t="n">
        <v>2024</v>
      </c>
      <c r="C2127" s="1965" t="n">
        <v>45870</v>
      </c>
      <c r="D2127" s="831" t="s">
        <v>10</v>
      </c>
      <c r="E2127" s="1365" t="s">
        <v>1651</v>
      </c>
      <c r="F2127" s="832" t="s">
        <v>3367</v>
      </c>
      <c r="G2127" s="2010" t="n">
        <v>181</v>
      </c>
      <c r="H2127" s="1931" t="n">
        <v>10</v>
      </c>
      <c r="I2127" s="837" t="n">
        <f aca="false">G2127*H2127</f>
        <v>1810</v>
      </c>
      <c r="J2127" s="1059" t="n">
        <v>27.116</v>
      </c>
      <c r="K2127" s="943" t="n">
        <f aca="false">I2127*J2127</f>
        <v>49079.96</v>
      </c>
      <c r="L2127" s="886" t="n">
        <v>7321.32</v>
      </c>
      <c r="M2127" s="886" t="n">
        <v>270</v>
      </c>
      <c r="N2127" s="886" t="n">
        <f aca="false">M2127/H2127</f>
        <v>27</v>
      </c>
      <c r="O2127" s="1036" t="s">
        <v>3495</v>
      </c>
      <c r="P2127" s="1948" t="n">
        <f aca="false">K2127-L2127-L2129-L2128</f>
        <v>0</v>
      </c>
      <c r="Q2127" s="1934" t="n">
        <f aca="false">I2127-M2127-M2129-M2128</f>
        <v>0</v>
      </c>
      <c r="R2127" s="1935" t="n">
        <f aca="false">G2127-N2127-N2129-N2128</f>
        <v>0</v>
      </c>
    </row>
    <row r="2128" customFormat="false" ht="14.25" hidden="false" customHeight="false" outlineLevel="0" collapsed="false">
      <c r="A2128" s="882"/>
      <c r="B2128" s="830"/>
      <c r="C2128" s="1965"/>
      <c r="D2128" s="860" t="s">
        <v>10</v>
      </c>
      <c r="E2128" s="1480" t="s">
        <v>1651</v>
      </c>
      <c r="F2128" s="832"/>
      <c r="G2128" s="2010"/>
      <c r="H2128" s="1931"/>
      <c r="I2128" s="837"/>
      <c r="J2128" s="1059"/>
      <c r="K2128" s="943"/>
      <c r="L2128" s="866" t="n">
        <v>40945.16</v>
      </c>
      <c r="M2128" s="866" t="n">
        <v>1510</v>
      </c>
      <c r="N2128" s="866" t="n">
        <f aca="false">M2128/H2127</f>
        <v>151</v>
      </c>
      <c r="O2128" s="543" t="s">
        <v>1260</v>
      </c>
      <c r="P2128" s="1948"/>
      <c r="Q2128" s="1934"/>
      <c r="R2128" s="1935"/>
    </row>
    <row r="2129" customFormat="false" ht="14.25" hidden="false" customHeight="false" outlineLevel="0" collapsed="false">
      <c r="A2129" s="882"/>
      <c r="B2129" s="830"/>
      <c r="C2129" s="1965"/>
      <c r="D2129" s="887" t="s">
        <v>10</v>
      </c>
      <c r="E2129" s="1501" t="s">
        <v>1651</v>
      </c>
      <c r="F2129" s="832"/>
      <c r="G2129" s="2010"/>
      <c r="H2129" s="1931"/>
      <c r="I2129" s="837"/>
      <c r="J2129" s="1059"/>
      <c r="K2129" s="943"/>
      <c r="L2129" s="890" t="n">
        <v>813.48</v>
      </c>
      <c r="M2129" s="890" t="n">
        <v>30</v>
      </c>
      <c r="N2129" s="890" t="n">
        <f aca="false">M2129/H2127</f>
        <v>3</v>
      </c>
      <c r="O2129" s="1067" t="s">
        <v>3538</v>
      </c>
      <c r="P2129" s="1948"/>
      <c r="Q2129" s="1934"/>
      <c r="R2129" s="1935"/>
    </row>
    <row r="2130" customFormat="false" ht="14.25" hidden="false" customHeight="false" outlineLevel="0" collapsed="false">
      <c r="A2130" s="903" t="n">
        <v>270</v>
      </c>
      <c r="B2130" s="903" t="n">
        <v>2024</v>
      </c>
      <c r="C2130" s="1974" t="n">
        <v>45870</v>
      </c>
      <c r="D2130" s="904" t="s">
        <v>10</v>
      </c>
      <c r="E2130" s="1351" t="s">
        <v>1651</v>
      </c>
      <c r="F2130" s="904" t="s">
        <v>3364</v>
      </c>
      <c r="G2130" s="2012" t="n">
        <v>1053</v>
      </c>
      <c r="H2130" s="1940" t="n">
        <v>15</v>
      </c>
      <c r="I2130" s="1355" t="n">
        <f aca="false">G2130*H2130</f>
        <v>15795</v>
      </c>
      <c r="J2130" s="1406" t="n">
        <v>26.6017</v>
      </c>
      <c r="K2130" s="1138" t="n">
        <f aca="false">I2130*J2130</f>
        <v>420173.8515</v>
      </c>
      <c r="L2130" s="891" t="n">
        <v>420173.8515</v>
      </c>
      <c r="M2130" s="891" t="n">
        <v>15795</v>
      </c>
      <c r="N2130" s="891" t="n">
        <f aca="false">M2130/H2130</f>
        <v>1053</v>
      </c>
      <c r="O2130" s="942" t="s">
        <v>385</v>
      </c>
      <c r="P2130" s="1947" t="n">
        <f aca="false">K2130-L2130</f>
        <v>0</v>
      </c>
      <c r="Q2130" s="1945" t="n">
        <f aca="false">I2130-M2130</f>
        <v>0</v>
      </c>
      <c r="R2130" s="1945" t="n">
        <f aca="false">G2130-N2130</f>
        <v>0</v>
      </c>
    </row>
    <row r="2131" customFormat="false" ht="14.25" hidden="false" customHeight="false" outlineLevel="0" collapsed="false">
      <c r="A2131" s="882" t="n">
        <v>271</v>
      </c>
      <c r="B2131" s="830" t="n">
        <v>2024</v>
      </c>
      <c r="C2131" s="1965" t="n">
        <v>45870</v>
      </c>
      <c r="D2131" s="831" t="s">
        <v>10</v>
      </c>
      <c r="E2131" s="1365" t="s">
        <v>1651</v>
      </c>
      <c r="F2131" s="832" t="s">
        <v>3375</v>
      </c>
      <c r="G2131" s="2010" t="n">
        <v>173</v>
      </c>
      <c r="H2131" s="1931" t="n">
        <v>15</v>
      </c>
      <c r="I2131" s="837" t="n">
        <f aca="false">G2131*H2131</f>
        <v>2595</v>
      </c>
      <c r="J2131" s="1059" t="n">
        <v>31.6657</v>
      </c>
      <c r="K2131" s="943" t="n">
        <f aca="false">I2131*J2131</f>
        <v>82172.4915</v>
      </c>
      <c r="L2131" s="840" t="n">
        <v>20899.362</v>
      </c>
      <c r="M2131" s="840" t="n">
        <v>660</v>
      </c>
      <c r="N2131" s="886" t="n">
        <f aca="false">M2131/H2131</f>
        <v>44</v>
      </c>
      <c r="O2131" s="1114" t="s">
        <v>3539</v>
      </c>
      <c r="P2131" s="1948" t="n">
        <f aca="false">K2131-L2131-L2133-L2132</f>
        <v>0</v>
      </c>
      <c r="Q2131" s="1934" t="n">
        <f aca="false">I2131-M2131-M2133-M2132</f>
        <v>0</v>
      </c>
      <c r="R2131" s="1935" t="n">
        <f aca="false">G2131-N2131-N2133-N2132</f>
        <v>0</v>
      </c>
    </row>
    <row r="2132" customFormat="false" ht="14.25" hidden="false" customHeight="false" outlineLevel="0" collapsed="false">
      <c r="A2132" s="882"/>
      <c r="B2132" s="830"/>
      <c r="C2132" s="1965"/>
      <c r="D2132" s="904" t="s">
        <v>10</v>
      </c>
      <c r="E2132" s="1351" t="s">
        <v>1651</v>
      </c>
      <c r="F2132" s="832"/>
      <c r="G2132" s="2010"/>
      <c r="H2132" s="1931"/>
      <c r="I2132" s="837"/>
      <c r="J2132" s="1059"/>
      <c r="K2132" s="943"/>
      <c r="L2132" s="891" t="n">
        <v>6174.8115</v>
      </c>
      <c r="M2132" s="891" t="n">
        <v>195</v>
      </c>
      <c r="N2132" s="866" t="n">
        <f aca="false">M2132/H2131</f>
        <v>13</v>
      </c>
      <c r="O2132" s="942" t="s">
        <v>385</v>
      </c>
      <c r="P2132" s="1948"/>
      <c r="Q2132" s="1934"/>
      <c r="R2132" s="1935"/>
    </row>
    <row r="2133" customFormat="false" ht="14.25" hidden="false" customHeight="false" outlineLevel="0" collapsed="false">
      <c r="A2133" s="882"/>
      <c r="B2133" s="830"/>
      <c r="C2133" s="1965"/>
      <c r="D2133" s="843" t="s">
        <v>10</v>
      </c>
      <c r="E2133" s="1357" t="s">
        <v>1651</v>
      </c>
      <c r="F2133" s="832"/>
      <c r="G2133" s="2010"/>
      <c r="H2133" s="1931"/>
      <c r="I2133" s="837"/>
      <c r="J2133" s="1059"/>
      <c r="K2133" s="943"/>
      <c r="L2133" s="846" t="n">
        <v>55098.318</v>
      </c>
      <c r="M2133" s="846" t="n">
        <v>1740</v>
      </c>
      <c r="N2133" s="846" t="n">
        <f aca="false">M2133/H2131</f>
        <v>116</v>
      </c>
      <c r="O2133" s="589" t="s">
        <v>562</v>
      </c>
      <c r="P2133" s="1948"/>
      <c r="Q2133" s="1934"/>
      <c r="R2133" s="1935"/>
    </row>
    <row r="2134" customFormat="false" ht="14.25" hidden="false" customHeight="false" outlineLevel="0" collapsed="false">
      <c r="A2134" s="1344" t="n">
        <v>274</v>
      </c>
      <c r="B2134" s="903" t="n">
        <v>2024</v>
      </c>
      <c r="C2134" s="1974" t="n">
        <v>45870</v>
      </c>
      <c r="D2134" s="848" t="s">
        <v>10</v>
      </c>
      <c r="E2134" s="1479" t="s">
        <v>1652</v>
      </c>
      <c r="F2134" s="904" t="s">
        <v>3364</v>
      </c>
      <c r="G2134" s="2012" t="n">
        <v>1040</v>
      </c>
      <c r="H2134" s="1940" t="n">
        <v>15</v>
      </c>
      <c r="I2134" s="942" t="n">
        <f aca="false">G2134*H2134</f>
        <v>15600</v>
      </c>
      <c r="J2134" s="1406" t="n">
        <v>38.4906</v>
      </c>
      <c r="K2134" s="948" t="n">
        <f aca="false">I2134*J2134</f>
        <v>600453.36</v>
      </c>
      <c r="L2134" s="891" t="n">
        <v>127018.98</v>
      </c>
      <c r="M2134" s="891" t="n">
        <v>3300</v>
      </c>
      <c r="N2134" s="891" t="n">
        <f aca="false">M2134/H2134</f>
        <v>220</v>
      </c>
      <c r="O2134" s="942" t="s">
        <v>462</v>
      </c>
      <c r="P2134" s="2009" t="n">
        <f aca="false">K2134-L2134-L2147-L2146-L2135-L2136-L2145-L2137-L2144-L2138-L2143-L2139-L2142-L2141-L2140</f>
        <v>0</v>
      </c>
      <c r="Q2134" s="2000" t="n">
        <f aca="false">I2134-M2134-M2147-M2146-M2135-M2136-M2145-M2137-M2144-M2138-M2143-M2139-M2142-M2141-M2140</f>
        <v>0</v>
      </c>
      <c r="R2134" s="2005" t="n">
        <f aca="false">G2134-N2134-N2147-N2146-N2135-N2136-N2145-N2137-N2144-N2138-N2143-N2139-N2142-N2141-N2140</f>
        <v>0</v>
      </c>
    </row>
    <row r="2135" customFormat="false" ht="14.25" hidden="false" customHeight="false" outlineLevel="0" collapsed="false">
      <c r="A2135" s="1344"/>
      <c r="B2135" s="903"/>
      <c r="C2135" s="1974"/>
      <c r="D2135" s="848" t="s">
        <v>10</v>
      </c>
      <c r="E2135" s="1479" t="s">
        <v>1652</v>
      </c>
      <c r="F2135" s="904"/>
      <c r="G2135" s="2012"/>
      <c r="H2135" s="1940"/>
      <c r="I2135" s="942"/>
      <c r="J2135" s="1406"/>
      <c r="K2135" s="948"/>
      <c r="L2135" s="866" t="n">
        <v>5773.59</v>
      </c>
      <c r="M2135" s="866" t="n">
        <v>150</v>
      </c>
      <c r="N2135" s="866" t="n">
        <f aca="false">M2135/H2134</f>
        <v>10</v>
      </c>
      <c r="O2135" s="543" t="s">
        <v>493</v>
      </c>
      <c r="P2135" s="2009"/>
      <c r="Q2135" s="2000"/>
      <c r="R2135" s="2005"/>
    </row>
    <row r="2136" customFormat="false" ht="14.25" hidden="false" customHeight="false" outlineLevel="0" collapsed="false">
      <c r="A2136" s="1344"/>
      <c r="B2136" s="903"/>
      <c r="C2136" s="1974"/>
      <c r="D2136" s="848" t="s">
        <v>10</v>
      </c>
      <c r="E2136" s="1479" t="s">
        <v>1652</v>
      </c>
      <c r="F2136" s="904"/>
      <c r="G2136" s="2012"/>
      <c r="H2136" s="1940"/>
      <c r="I2136" s="942"/>
      <c r="J2136" s="1406"/>
      <c r="K2136" s="948"/>
      <c r="L2136" s="866" t="n">
        <v>38683.053</v>
      </c>
      <c r="M2136" s="866" t="n">
        <v>1005</v>
      </c>
      <c r="N2136" s="866" t="n">
        <f aca="false">M2136/H2134</f>
        <v>67</v>
      </c>
      <c r="O2136" s="543" t="s">
        <v>507</v>
      </c>
      <c r="P2136" s="2009"/>
      <c r="Q2136" s="2000"/>
      <c r="R2136" s="2005"/>
    </row>
    <row r="2137" customFormat="false" ht="14.25" hidden="false" customHeight="false" outlineLevel="0" collapsed="false">
      <c r="A2137" s="1344"/>
      <c r="B2137" s="903"/>
      <c r="C2137" s="1974"/>
      <c r="D2137" s="848" t="s">
        <v>10</v>
      </c>
      <c r="E2137" s="1479" t="s">
        <v>1652</v>
      </c>
      <c r="F2137" s="904"/>
      <c r="G2137" s="2012"/>
      <c r="H2137" s="1940"/>
      <c r="I2137" s="942"/>
      <c r="J2137" s="1406"/>
      <c r="K2137" s="948"/>
      <c r="L2137" s="866" t="n">
        <v>98151.03</v>
      </c>
      <c r="M2137" s="866" t="n">
        <v>2550</v>
      </c>
      <c r="N2137" s="866" t="n">
        <f aca="false">M2137/H2134</f>
        <v>170</v>
      </c>
      <c r="O2137" s="543" t="s">
        <v>595</v>
      </c>
      <c r="P2137" s="2009"/>
      <c r="Q2137" s="2000"/>
      <c r="R2137" s="2005"/>
    </row>
    <row r="2138" customFormat="false" ht="14.25" hidden="false" customHeight="false" outlineLevel="0" collapsed="false">
      <c r="A2138" s="1344"/>
      <c r="B2138" s="903"/>
      <c r="C2138" s="1974"/>
      <c r="D2138" s="848" t="s">
        <v>10</v>
      </c>
      <c r="E2138" s="1479" t="s">
        <v>1652</v>
      </c>
      <c r="F2138" s="904"/>
      <c r="G2138" s="2012"/>
      <c r="H2138" s="1940"/>
      <c r="I2138" s="942"/>
      <c r="J2138" s="1406"/>
      <c r="K2138" s="948"/>
      <c r="L2138" s="866" t="n">
        <v>46188.72</v>
      </c>
      <c r="M2138" s="866" t="n">
        <v>1200</v>
      </c>
      <c r="N2138" s="866" t="n">
        <f aca="false">M2138/H2134</f>
        <v>80</v>
      </c>
      <c r="O2138" s="543" t="s">
        <v>549</v>
      </c>
      <c r="P2138" s="2009"/>
      <c r="Q2138" s="2000"/>
      <c r="R2138" s="2005"/>
    </row>
    <row r="2139" customFormat="false" ht="14.25" hidden="false" customHeight="false" outlineLevel="0" collapsed="false">
      <c r="A2139" s="1344"/>
      <c r="B2139" s="903"/>
      <c r="C2139" s="1974"/>
      <c r="D2139" s="848" t="s">
        <v>10</v>
      </c>
      <c r="E2139" s="1479" t="s">
        <v>1652</v>
      </c>
      <c r="F2139" s="904"/>
      <c r="G2139" s="2012"/>
      <c r="H2139" s="1940"/>
      <c r="I2139" s="942"/>
      <c r="J2139" s="1406"/>
      <c r="K2139" s="948"/>
      <c r="L2139" s="866" t="n">
        <v>57735.9</v>
      </c>
      <c r="M2139" s="866" t="n">
        <v>1500</v>
      </c>
      <c r="N2139" s="866" t="n">
        <f aca="false">M2139/H2134</f>
        <v>100</v>
      </c>
      <c r="O2139" s="543" t="s">
        <v>568</v>
      </c>
      <c r="P2139" s="2009"/>
      <c r="Q2139" s="2000"/>
      <c r="R2139" s="2005"/>
    </row>
    <row r="2140" customFormat="false" ht="14.25" hidden="false" customHeight="false" outlineLevel="0" collapsed="false">
      <c r="A2140" s="1344"/>
      <c r="B2140" s="903"/>
      <c r="C2140" s="1974"/>
      <c r="D2140" s="848" t="s">
        <v>10</v>
      </c>
      <c r="E2140" s="1479" t="s">
        <v>1652</v>
      </c>
      <c r="F2140" s="904"/>
      <c r="G2140" s="2012"/>
      <c r="H2140" s="1940"/>
      <c r="I2140" s="942"/>
      <c r="J2140" s="1406"/>
      <c r="K2140" s="948"/>
      <c r="L2140" s="866" t="n">
        <v>68705.721</v>
      </c>
      <c r="M2140" s="866" t="n">
        <v>1785</v>
      </c>
      <c r="N2140" s="866" t="n">
        <f aca="false">M2140/H2134</f>
        <v>119</v>
      </c>
      <c r="O2140" s="543" t="s">
        <v>592</v>
      </c>
      <c r="P2140" s="2009"/>
      <c r="Q2140" s="2000"/>
      <c r="R2140" s="2005"/>
    </row>
    <row r="2141" customFormat="false" ht="14.25" hidden="false" customHeight="false" outlineLevel="0" collapsed="false">
      <c r="A2141" s="1344"/>
      <c r="B2141" s="903"/>
      <c r="C2141" s="1974"/>
      <c r="D2141" s="848" t="s">
        <v>10</v>
      </c>
      <c r="E2141" s="1479" t="s">
        <v>1652</v>
      </c>
      <c r="F2141" s="904"/>
      <c r="G2141" s="2012"/>
      <c r="H2141" s="1940"/>
      <c r="I2141" s="942"/>
      <c r="J2141" s="1406"/>
      <c r="K2141" s="948"/>
      <c r="L2141" s="866" t="n">
        <v>3464.154</v>
      </c>
      <c r="M2141" s="866" t="n">
        <v>90</v>
      </c>
      <c r="N2141" s="866" t="n">
        <f aca="false">M2141/H2134</f>
        <v>6</v>
      </c>
      <c r="O2141" s="543" t="s">
        <v>587</v>
      </c>
      <c r="P2141" s="2009"/>
      <c r="Q2141" s="2000"/>
      <c r="R2141" s="2005"/>
    </row>
    <row r="2142" customFormat="false" ht="14.25" hidden="false" customHeight="false" outlineLevel="0" collapsed="false">
      <c r="A2142" s="1344"/>
      <c r="B2142" s="903"/>
      <c r="C2142" s="1974"/>
      <c r="D2142" s="848" t="s">
        <v>10</v>
      </c>
      <c r="E2142" s="1479" t="s">
        <v>1652</v>
      </c>
      <c r="F2142" s="904"/>
      <c r="G2142" s="2012"/>
      <c r="H2142" s="1940"/>
      <c r="I2142" s="942"/>
      <c r="J2142" s="1406"/>
      <c r="K2142" s="948"/>
      <c r="L2142" s="866" t="n">
        <v>11547.18</v>
      </c>
      <c r="M2142" s="866" t="n">
        <v>300</v>
      </c>
      <c r="N2142" s="866" t="n">
        <f aca="false">M2142/H2134</f>
        <v>20</v>
      </c>
      <c r="O2142" s="543" t="s">
        <v>586</v>
      </c>
      <c r="P2142" s="2009"/>
      <c r="Q2142" s="2000"/>
      <c r="R2142" s="2005"/>
    </row>
    <row r="2143" customFormat="false" ht="14.25" hidden="false" customHeight="false" outlineLevel="0" collapsed="false">
      <c r="A2143" s="1344"/>
      <c r="B2143" s="903"/>
      <c r="C2143" s="1974"/>
      <c r="D2143" s="848" t="s">
        <v>10</v>
      </c>
      <c r="E2143" s="1479" t="s">
        <v>1652</v>
      </c>
      <c r="F2143" s="904"/>
      <c r="G2143" s="2012"/>
      <c r="H2143" s="1940"/>
      <c r="I2143" s="942"/>
      <c r="J2143" s="1406"/>
      <c r="K2143" s="948"/>
      <c r="L2143" s="866" t="n">
        <v>41569.848</v>
      </c>
      <c r="M2143" s="866" t="n">
        <v>1080</v>
      </c>
      <c r="N2143" s="866" t="n">
        <f aca="false">M2143/H2134</f>
        <v>72</v>
      </c>
      <c r="O2143" s="543" t="s">
        <v>563</v>
      </c>
      <c r="P2143" s="2009"/>
      <c r="Q2143" s="2000"/>
      <c r="R2143" s="2005"/>
    </row>
    <row r="2144" customFormat="false" ht="14.25" hidden="false" customHeight="false" outlineLevel="0" collapsed="false">
      <c r="A2144" s="1344"/>
      <c r="B2144" s="903"/>
      <c r="C2144" s="1974"/>
      <c r="D2144" s="848" t="s">
        <v>10</v>
      </c>
      <c r="E2144" s="1479" t="s">
        <v>1652</v>
      </c>
      <c r="F2144" s="904"/>
      <c r="G2144" s="2012"/>
      <c r="H2144" s="1940"/>
      <c r="I2144" s="942"/>
      <c r="J2144" s="1406"/>
      <c r="K2144" s="948"/>
      <c r="L2144" s="866" t="n">
        <v>38683.053</v>
      </c>
      <c r="M2144" s="866" t="n">
        <v>1005</v>
      </c>
      <c r="N2144" s="866" t="n">
        <f aca="false">M2144/H2134</f>
        <v>67</v>
      </c>
      <c r="O2144" s="543" t="s">
        <v>533</v>
      </c>
      <c r="P2144" s="2009"/>
      <c r="Q2144" s="2000"/>
      <c r="R2144" s="2005"/>
    </row>
    <row r="2145" customFormat="false" ht="14.25" hidden="false" customHeight="false" outlineLevel="0" collapsed="false">
      <c r="A2145" s="1344"/>
      <c r="B2145" s="903"/>
      <c r="C2145" s="1974"/>
      <c r="D2145" s="848" t="s">
        <v>10</v>
      </c>
      <c r="E2145" s="1479" t="s">
        <v>1652</v>
      </c>
      <c r="F2145" s="904"/>
      <c r="G2145" s="2012"/>
      <c r="H2145" s="1940"/>
      <c r="I2145" s="942"/>
      <c r="J2145" s="1406"/>
      <c r="K2145" s="948"/>
      <c r="L2145" s="866" t="n">
        <v>1154.718</v>
      </c>
      <c r="M2145" s="866" t="n">
        <v>30</v>
      </c>
      <c r="N2145" s="866" t="n">
        <f aca="false">M2145/H2134</f>
        <v>2</v>
      </c>
      <c r="O2145" s="543" t="s">
        <v>523</v>
      </c>
      <c r="P2145" s="2009"/>
      <c r="Q2145" s="2000"/>
      <c r="R2145" s="2005"/>
    </row>
    <row r="2146" customFormat="false" ht="14.25" hidden="false" customHeight="false" outlineLevel="0" collapsed="false">
      <c r="A2146" s="1344"/>
      <c r="B2146" s="903"/>
      <c r="C2146" s="1974"/>
      <c r="D2146" s="860" t="s">
        <v>10</v>
      </c>
      <c r="E2146" s="1480" t="s">
        <v>1652</v>
      </c>
      <c r="F2146" s="904"/>
      <c r="G2146" s="2012"/>
      <c r="H2146" s="1940"/>
      <c r="I2146" s="942"/>
      <c r="J2146" s="1406"/>
      <c r="K2146" s="948"/>
      <c r="L2146" s="866" t="n">
        <v>4041.513</v>
      </c>
      <c r="M2146" s="866" t="n">
        <v>105</v>
      </c>
      <c r="N2146" s="866" t="n">
        <f aca="false">M2146/H2134</f>
        <v>7</v>
      </c>
      <c r="O2146" s="543" t="s">
        <v>492</v>
      </c>
      <c r="P2146" s="2009"/>
      <c r="Q2146" s="2000"/>
      <c r="R2146" s="2005"/>
    </row>
    <row r="2147" customFormat="false" ht="14.25" hidden="false" customHeight="false" outlineLevel="0" collapsed="false">
      <c r="A2147" s="1344"/>
      <c r="B2147" s="903"/>
      <c r="C2147" s="1974"/>
      <c r="D2147" s="904" t="s">
        <v>10</v>
      </c>
      <c r="E2147" s="1351" t="s">
        <v>1652</v>
      </c>
      <c r="F2147" s="904"/>
      <c r="G2147" s="2012"/>
      <c r="H2147" s="1940"/>
      <c r="I2147" s="942"/>
      <c r="J2147" s="1406"/>
      <c r="K2147" s="948"/>
      <c r="L2147" s="891" t="n">
        <v>57735.9</v>
      </c>
      <c r="M2147" s="891" t="n">
        <v>1500</v>
      </c>
      <c r="N2147" s="891" t="n">
        <f aca="false">M2147/H2134</f>
        <v>100</v>
      </c>
      <c r="O2147" s="942" t="s">
        <v>463</v>
      </c>
      <c r="P2147" s="2009"/>
      <c r="Q2147" s="2000"/>
      <c r="R2147" s="2005"/>
    </row>
    <row r="2148" customFormat="false" ht="14.25" hidden="false" customHeight="false" outlineLevel="0" collapsed="false">
      <c r="A2148" s="829" t="n">
        <v>337</v>
      </c>
      <c r="B2148" s="830" t="n">
        <v>2024</v>
      </c>
      <c r="C2148" s="1965" t="n">
        <v>45901</v>
      </c>
      <c r="D2148" s="831" t="s">
        <v>10</v>
      </c>
      <c r="E2148" s="1365" t="s">
        <v>2619</v>
      </c>
      <c r="F2148" s="832" t="s">
        <v>3364</v>
      </c>
      <c r="G2148" s="2010" t="n">
        <v>36</v>
      </c>
      <c r="H2148" s="1931" t="n">
        <v>30</v>
      </c>
      <c r="I2148" s="837" t="n">
        <f aca="false">G2148*H2148</f>
        <v>1080</v>
      </c>
      <c r="J2148" s="1059" t="n">
        <v>97.1665</v>
      </c>
      <c r="K2148" s="943" t="n">
        <f aca="false">I2148*J2148</f>
        <v>104939.82</v>
      </c>
      <c r="L2148" s="840" t="n">
        <v>102024.825</v>
      </c>
      <c r="M2148" s="840" t="n">
        <v>1050</v>
      </c>
      <c r="N2148" s="886" t="n">
        <f aca="false">M2148/H2148</f>
        <v>35</v>
      </c>
      <c r="O2148" s="1114" t="s">
        <v>510</v>
      </c>
      <c r="P2148" s="1934" t="n">
        <f aca="false">K2148-L2148-L2151-L2149-L2150</f>
        <v>-4.54747350886464E-012</v>
      </c>
      <c r="Q2148" s="1934" t="n">
        <f aca="false">I2148-M2148-M2151-M2149-M2150</f>
        <v>0</v>
      </c>
      <c r="R2148" s="1935" t="n">
        <f aca="false">G2148-N2148-N2151-N2149-N2150</f>
        <v>0</v>
      </c>
    </row>
    <row r="2149" customFormat="false" ht="14.25" hidden="false" customHeight="false" outlineLevel="0" collapsed="false">
      <c r="A2149" s="829"/>
      <c r="B2149" s="830"/>
      <c r="C2149" s="1965"/>
      <c r="D2149" s="860" t="s">
        <v>10</v>
      </c>
      <c r="E2149" s="1480" t="s">
        <v>2619</v>
      </c>
      <c r="F2149" s="832"/>
      <c r="G2149" s="2010"/>
      <c r="H2149" s="1931"/>
      <c r="I2149" s="837"/>
      <c r="J2149" s="1059"/>
      <c r="K2149" s="943"/>
      <c r="L2149" s="866" t="n">
        <v>-102024.825</v>
      </c>
      <c r="M2149" s="866" t="n">
        <v>-1050</v>
      </c>
      <c r="N2149" s="866" t="n">
        <f aca="false">M2149/H2148</f>
        <v>-35</v>
      </c>
      <c r="O2149" s="543" t="s">
        <v>1634</v>
      </c>
      <c r="P2149" s="1934"/>
      <c r="Q2149" s="1934"/>
      <c r="R2149" s="1935"/>
    </row>
    <row r="2150" customFormat="false" ht="14.25" hidden="false" customHeight="false" outlineLevel="0" collapsed="false">
      <c r="A2150" s="829"/>
      <c r="B2150" s="830"/>
      <c r="C2150" s="1965"/>
      <c r="D2150" s="860" t="s">
        <v>10</v>
      </c>
      <c r="E2150" s="1480" t="s">
        <v>2619</v>
      </c>
      <c r="F2150" s="832"/>
      <c r="G2150" s="2010"/>
      <c r="H2150" s="1931"/>
      <c r="I2150" s="837"/>
      <c r="J2150" s="1059"/>
      <c r="K2150" s="943"/>
      <c r="L2150" s="866" t="n">
        <v>2914.995</v>
      </c>
      <c r="M2150" s="866" t="n">
        <v>30</v>
      </c>
      <c r="N2150" s="866" t="n">
        <f aca="false">M2150/H2148</f>
        <v>1</v>
      </c>
      <c r="O2150" s="543" t="s">
        <v>1375</v>
      </c>
      <c r="P2150" s="1934"/>
      <c r="Q2150" s="1934"/>
      <c r="R2150" s="1935"/>
    </row>
    <row r="2151" customFormat="false" ht="14.25" hidden="false" customHeight="false" outlineLevel="0" collapsed="false">
      <c r="A2151" s="829"/>
      <c r="B2151" s="830"/>
      <c r="C2151" s="1965"/>
      <c r="D2151" s="843" t="s">
        <v>10</v>
      </c>
      <c r="E2151" s="1357" t="s">
        <v>2619</v>
      </c>
      <c r="F2151" s="832"/>
      <c r="G2151" s="2010"/>
      <c r="H2151" s="1931"/>
      <c r="I2151" s="837"/>
      <c r="J2151" s="1059"/>
      <c r="K2151" s="943"/>
      <c r="L2151" s="846" t="n">
        <v>102024.825</v>
      </c>
      <c r="M2151" s="846" t="n">
        <v>1050</v>
      </c>
      <c r="N2151" s="846" t="n">
        <f aca="false">M2151/H2148</f>
        <v>35</v>
      </c>
      <c r="O2151" s="589" t="s">
        <v>1293</v>
      </c>
      <c r="P2151" s="1934"/>
      <c r="Q2151" s="1934"/>
      <c r="R2151" s="1935"/>
    </row>
    <row r="2152" customFormat="false" ht="14.25" hidden="false" customHeight="false" outlineLevel="0" collapsed="false">
      <c r="A2152" s="1609" t="n">
        <v>483</v>
      </c>
      <c r="B2152" s="903" t="n">
        <v>2024</v>
      </c>
      <c r="C2152" s="1974" t="n">
        <v>45931</v>
      </c>
      <c r="D2152" s="848" t="s">
        <v>10</v>
      </c>
      <c r="E2152" s="1479" t="s">
        <v>2133</v>
      </c>
      <c r="F2152" s="904" t="s">
        <v>3364</v>
      </c>
      <c r="G2152" s="2012" t="n">
        <v>93</v>
      </c>
      <c r="H2152" s="1940" t="n">
        <v>30</v>
      </c>
      <c r="I2152" s="942" t="n">
        <f aca="false">G2152*H2152</f>
        <v>2790</v>
      </c>
      <c r="J2152" s="1406" t="n">
        <v>98.6</v>
      </c>
      <c r="K2152" s="948" t="n">
        <f aca="false">I2152*J2152</f>
        <v>275094</v>
      </c>
      <c r="L2152" s="854" t="n">
        <v>248472</v>
      </c>
      <c r="M2152" s="854" t="n">
        <v>2520</v>
      </c>
      <c r="N2152" s="854" t="n">
        <f aca="false">M2152/H2152</f>
        <v>84</v>
      </c>
      <c r="O2152" s="537" t="s">
        <v>573</v>
      </c>
      <c r="P2152" s="2009" t="n">
        <f aca="false">K2152-L2152-L2153</f>
        <v>0</v>
      </c>
      <c r="Q2152" s="2000" t="n">
        <f aca="false">I2152-M2152-M2153</f>
        <v>0</v>
      </c>
      <c r="R2152" s="2005" t="n">
        <f aca="false">G2152-N2152-N2153</f>
        <v>0</v>
      </c>
    </row>
    <row r="2153" customFormat="false" ht="14.25" hidden="false" customHeight="false" outlineLevel="0" collapsed="false">
      <c r="A2153" s="1609"/>
      <c r="B2153" s="903"/>
      <c r="C2153" s="1974"/>
      <c r="D2153" s="904" t="s">
        <v>10</v>
      </c>
      <c r="E2153" s="1351" t="s">
        <v>2133</v>
      </c>
      <c r="F2153" s="904"/>
      <c r="G2153" s="2012"/>
      <c r="H2153" s="1940"/>
      <c r="I2153" s="942"/>
      <c r="J2153" s="1406"/>
      <c r="K2153" s="948"/>
      <c r="L2153" s="891" t="n">
        <v>26622</v>
      </c>
      <c r="M2153" s="891" t="n">
        <v>270</v>
      </c>
      <c r="N2153" s="877" t="n">
        <f aca="false">M2153/H2152</f>
        <v>9</v>
      </c>
      <c r="O2153" s="942" t="s">
        <v>574</v>
      </c>
      <c r="P2153" s="2009"/>
      <c r="Q2153" s="2000"/>
      <c r="R2153" s="2005"/>
    </row>
    <row r="2154" customFormat="false" ht="14.25" hidden="false" customHeight="false" outlineLevel="0" collapsed="false">
      <c r="A2154" s="829" t="n">
        <v>486</v>
      </c>
      <c r="B2154" s="830" t="n">
        <v>2024</v>
      </c>
      <c r="C2154" s="1965" t="n">
        <v>45931</v>
      </c>
      <c r="D2154" s="831" t="s">
        <v>10</v>
      </c>
      <c r="E2154" s="1365" t="s">
        <v>1652</v>
      </c>
      <c r="F2154" s="832" t="s">
        <v>3375</v>
      </c>
      <c r="G2154" s="2010" t="n">
        <v>433</v>
      </c>
      <c r="H2154" s="1931" t="n">
        <v>15</v>
      </c>
      <c r="I2154" s="837" t="n">
        <f aca="false">G2154*H2154</f>
        <v>6495</v>
      </c>
      <c r="J2154" s="1059" t="n">
        <v>43.4513</v>
      </c>
      <c r="K2154" s="943" t="n">
        <f aca="false">I2154*J2154</f>
        <v>282216.1935</v>
      </c>
      <c r="L2154" s="840" t="n">
        <v>65176.95</v>
      </c>
      <c r="M2154" s="840" t="n">
        <v>1500</v>
      </c>
      <c r="N2154" s="886" t="n">
        <f aca="false">M2154/H2154</f>
        <v>100</v>
      </c>
      <c r="O2154" s="1114" t="s">
        <v>3540</v>
      </c>
      <c r="P2154" s="1934" t="n">
        <f aca="false">K2154-L2154-L2161-L2155-L2160-L2156-L2159-L2157-L2158</f>
        <v>-2.91038304567337E-011</v>
      </c>
      <c r="Q2154" s="1934" t="n">
        <f aca="false">I2154-M2154-M2161-M2155-M2160-M2156-M2159-M2157-M2158</f>
        <v>0</v>
      </c>
      <c r="R2154" s="1935" t="n">
        <f aca="false">G2154-N2154-N2161-N2155-N2160-N2156-N2159-N2157-N2158</f>
        <v>0</v>
      </c>
    </row>
    <row r="2155" customFormat="false" ht="14.25" hidden="false" customHeight="false" outlineLevel="0" collapsed="false">
      <c r="A2155" s="829"/>
      <c r="B2155" s="830"/>
      <c r="C2155" s="1965"/>
      <c r="D2155" s="860" t="s">
        <v>10</v>
      </c>
      <c r="E2155" s="1480" t="s">
        <v>1652</v>
      </c>
      <c r="F2155" s="832"/>
      <c r="G2155" s="2010"/>
      <c r="H2155" s="1931"/>
      <c r="I2155" s="837"/>
      <c r="J2155" s="1059"/>
      <c r="K2155" s="943"/>
      <c r="L2155" s="866" t="n">
        <v>5214.156</v>
      </c>
      <c r="M2155" s="866" t="n">
        <v>120</v>
      </c>
      <c r="N2155" s="866" t="n">
        <f aca="false">M2155/H2154</f>
        <v>8</v>
      </c>
      <c r="O2155" s="543" t="s">
        <v>899</v>
      </c>
      <c r="P2155" s="1934"/>
      <c r="Q2155" s="1934"/>
      <c r="R2155" s="1935"/>
    </row>
    <row r="2156" customFormat="false" ht="14.25" hidden="false" customHeight="false" outlineLevel="0" collapsed="false">
      <c r="A2156" s="829"/>
      <c r="B2156" s="830"/>
      <c r="C2156" s="1965"/>
      <c r="D2156" s="860" t="s">
        <v>10</v>
      </c>
      <c r="E2156" s="1480" t="s">
        <v>1652</v>
      </c>
      <c r="F2156" s="832"/>
      <c r="G2156" s="2010"/>
      <c r="H2156" s="1931"/>
      <c r="I2156" s="837"/>
      <c r="J2156" s="1059"/>
      <c r="K2156" s="943"/>
      <c r="L2156" s="866" t="n">
        <v>2607.078</v>
      </c>
      <c r="M2156" s="866" t="n">
        <v>60</v>
      </c>
      <c r="N2156" s="866" t="n">
        <f aca="false">M2156/H2154</f>
        <v>4</v>
      </c>
      <c r="O2156" s="543" t="s">
        <v>899</v>
      </c>
      <c r="P2156" s="1934"/>
      <c r="Q2156" s="1934"/>
      <c r="R2156" s="1935"/>
    </row>
    <row r="2157" customFormat="false" ht="14.25" hidden="false" customHeight="false" outlineLevel="0" collapsed="false">
      <c r="A2157" s="829"/>
      <c r="B2157" s="830"/>
      <c r="C2157" s="1965"/>
      <c r="D2157" s="860" t="s">
        <v>10</v>
      </c>
      <c r="E2157" s="1480" t="s">
        <v>1652</v>
      </c>
      <c r="F2157" s="832"/>
      <c r="G2157" s="2010"/>
      <c r="H2157" s="1931"/>
      <c r="I2157" s="837"/>
      <c r="J2157" s="1059"/>
      <c r="K2157" s="943"/>
      <c r="L2157" s="866" t="n">
        <v>-651.7695</v>
      </c>
      <c r="M2157" s="866" t="n">
        <v>-15</v>
      </c>
      <c r="N2157" s="866" t="n">
        <f aca="false">M2157/H2154</f>
        <v>-1</v>
      </c>
      <c r="O2157" s="543" t="s">
        <v>1634</v>
      </c>
      <c r="P2157" s="1934"/>
      <c r="Q2157" s="1934"/>
      <c r="R2157" s="1935"/>
    </row>
    <row r="2158" customFormat="false" ht="14.25" hidden="false" customHeight="false" outlineLevel="0" collapsed="false">
      <c r="A2158" s="829"/>
      <c r="B2158" s="830"/>
      <c r="C2158" s="1965"/>
      <c r="D2158" s="860" t="s">
        <v>10</v>
      </c>
      <c r="E2158" s="1480" t="s">
        <v>1652</v>
      </c>
      <c r="F2158" s="832"/>
      <c r="G2158" s="2010"/>
      <c r="H2158" s="1931"/>
      <c r="I2158" s="837"/>
      <c r="J2158" s="1059"/>
      <c r="K2158" s="943"/>
      <c r="L2158" s="866" t="n">
        <v>651.7695</v>
      </c>
      <c r="M2158" s="866" t="n">
        <v>15</v>
      </c>
      <c r="N2158" s="866" t="n">
        <f aca="false">M2158/H2154</f>
        <v>1</v>
      </c>
      <c r="O2158" s="543" t="s">
        <v>1375</v>
      </c>
      <c r="P2158" s="1934"/>
      <c r="Q2158" s="1934"/>
      <c r="R2158" s="1935"/>
    </row>
    <row r="2159" customFormat="false" ht="14.25" hidden="false" customHeight="false" outlineLevel="0" collapsed="false">
      <c r="A2159" s="829"/>
      <c r="B2159" s="830"/>
      <c r="C2159" s="1965"/>
      <c r="D2159" s="860" t="s">
        <v>10</v>
      </c>
      <c r="E2159" s="1480" t="s">
        <v>1652</v>
      </c>
      <c r="F2159" s="832"/>
      <c r="G2159" s="2010"/>
      <c r="H2159" s="1931"/>
      <c r="I2159" s="837"/>
      <c r="J2159" s="1059"/>
      <c r="K2159" s="943"/>
      <c r="L2159" s="866" t="n">
        <v>179888.382</v>
      </c>
      <c r="M2159" s="866" t="n">
        <v>4140</v>
      </c>
      <c r="N2159" s="866" t="n">
        <f aca="false">M2159/H2154</f>
        <v>276</v>
      </c>
      <c r="O2159" s="543" t="s">
        <v>941</v>
      </c>
      <c r="P2159" s="1934"/>
      <c r="Q2159" s="1934"/>
      <c r="R2159" s="1935"/>
    </row>
    <row r="2160" customFormat="false" ht="14.25" hidden="false" customHeight="false" outlineLevel="0" collapsed="false">
      <c r="A2160" s="829"/>
      <c r="B2160" s="830"/>
      <c r="C2160" s="1965"/>
      <c r="D2160" s="860" t="s">
        <v>10</v>
      </c>
      <c r="E2160" s="1480" t="s">
        <v>1652</v>
      </c>
      <c r="F2160" s="832"/>
      <c r="G2160" s="2010"/>
      <c r="H2160" s="1931"/>
      <c r="I2160" s="837"/>
      <c r="J2160" s="1059"/>
      <c r="K2160" s="943"/>
      <c r="L2160" s="866" t="n">
        <v>22160.163</v>
      </c>
      <c r="M2160" s="866" t="n">
        <v>510</v>
      </c>
      <c r="N2160" s="866" t="n">
        <f aca="false">M2160/H2154</f>
        <v>34</v>
      </c>
      <c r="O2160" s="543" t="s">
        <v>899</v>
      </c>
      <c r="P2160" s="1934"/>
      <c r="Q2160" s="1934"/>
      <c r="R2160" s="1935"/>
    </row>
    <row r="2161" customFormat="false" ht="14.25" hidden="false" customHeight="false" outlineLevel="0" collapsed="false">
      <c r="A2161" s="829"/>
      <c r="B2161" s="830"/>
      <c r="C2161" s="1965"/>
      <c r="D2161" s="843" t="s">
        <v>10</v>
      </c>
      <c r="E2161" s="1357" t="s">
        <v>1652</v>
      </c>
      <c r="F2161" s="832"/>
      <c r="G2161" s="2010"/>
      <c r="H2161" s="1931"/>
      <c r="I2161" s="837"/>
      <c r="J2161" s="1059"/>
      <c r="K2161" s="943"/>
      <c r="L2161" s="846" t="n">
        <v>7169.4645</v>
      </c>
      <c r="M2161" s="846" t="n">
        <v>165</v>
      </c>
      <c r="N2161" s="846" t="n">
        <f aca="false">M2161/H2154</f>
        <v>11</v>
      </c>
      <c r="O2161" s="589" t="s">
        <v>730</v>
      </c>
      <c r="P2161" s="1934"/>
      <c r="Q2161" s="1934"/>
      <c r="R2161" s="1935"/>
    </row>
    <row r="2162" customFormat="false" ht="14.25" hidden="false" customHeight="false" outlineLevel="0" collapsed="false">
      <c r="A2162" s="903" t="n">
        <v>487</v>
      </c>
      <c r="B2162" s="903" t="n">
        <v>2024</v>
      </c>
      <c r="C2162" s="1974" t="n">
        <v>45931</v>
      </c>
      <c r="D2162" s="904" t="s">
        <v>10</v>
      </c>
      <c r="E2162" s="1351" t="s">
        <v>1652</v>
      </c>
      <c r="F2162" s="904" t="s">
        <v>3364</v>
      </c>
      <c r="G2162" s="2012" t="n">
        <v>666</v>
      </c>
      <c r="H2162" s="1940" t="n">
        <v>15</v>
      </c>
      <c r="I2162" s="1355" t="n">
        <f aca="false">G2162*H2162</f>
        <v>9990</v>
      </c>
      <c r="J2162" s="1406" t="n">
        <v>43.4513</v>
      </c>
      <c r="K2162" s="1138" t="n">
        <f aca="false">I2162*J2162</f>
        <v>434078.487</v>
      </c>
      <c r="L2162" s="891" t="n">
        <v>434078.487</v>
      </c>
      <c r="M2162" s="891" t="n">
        <v>9990</v>
      </c>
      <c r="N2162" s="891" t="n">
        <f aca="false">M2162/H2162</f>
        <v>666</v>
      </c>
      <c r="O2162" s="942" t="s">
        <v>592</v>
      </c>
      <c r="P2162" s="1947" t="n">
        <f aca="false">K2162-L2162</f>
        <v>0</v>
      </c>
      <c r="Q2162" s="1945" t="n">
        <f aca="false">I2162-M2162</f>
        <v>0</v>
      </c>
      <c r="R2162" s="1945" t="n">
        <f aca="false">G2162-N2162</f>
        <v>0</v>
      </c>
    </row>
    <row r="2163" customFormat="false" ht="14.25" hidden="false" customHeight="false" outlineLevel="0" collapsed="false">
      <c r="A2163" s="882" t="n">
        <v>488</v>
      </c>
      <c r="B2163" s="830" t="n">
        <v>2024</v>
      </c>
      <c r="C2163" s="1965" t="n">
        <v>45931</v>
      </c>
      <c r="D2163" s="831" t="s">
        <v>10</v>
      </c>
      <c r="E2163" s="1365" t="s">
        <v>1652</v>
      </c>
      <c r="F2163" s="832" t="s">
        <v>3364</v>
      </c>
      <c r="G2163" s="2010" t="n">
        <v>666</v>
      </c>
      <c r="H2163" s="1931" t="n">
        <v>15</v>
      </c>
      <c r="I2163" s="837" t="n">
        <f aca="false">G2163*H2163</f>
        <v>9990</v>
      </c>
      <c r="J2163" s="1059" t="n">
        <v>43.4513</v>
      </c>
      <c r="K2163" s="943" t="n">
        <f aca="false">I2163*J2163</f>
        <v>434078.487</v>
      </c>
      <c r="L2163" s="840" t="n">
        <v>130353.9</v>
      </c>
      <c r="M2163" s="840" t="n">
        <v>3000</v>
      </c>
      <c r="N2163" s="886" t="n">
        <f aca="false">M2163/H2163</f>
        <v>200</v>
      </c>
      <c r="O2163" s="1114" t="s">
        <v>596</v>
      </c>
      <c r="P2163" s="1948" t="n">
        <f aca="false">K2163-L2163-L2168-L2167-L2164-L2166-L2165</f>
        <v>0</v>
      </c>
      <c r="Q2163" s="1934" t="n">
        <f aca="false">I2163-M2163-M2168-M2167-M2164-M2166-M2165</f>
        <v>0</v>
      </c>
      <c r="R2163" s="1935" t="n">
        <f aca="false">G2163-N2163-N2168-N2167-N2164-N2166-N2165</f>
        <v>0</v>
      </c>
    </row>
    <row r="2164" customFormat="false" ht="14.25" hidden="false" customHeight="false" outlineLevel="0" collapsed="false">
      <c r="A2164" s="882"/>
      <c r="B2164" s="830"/>
      <c r="C2164" s="1965"/>
      <c r="D2164" s="848" t="s">
        <v>10</v>
      </c>
      <c r="E2164" s="1479" t="s">
        <v>1652</v>
      </c>
      <c r="F2164" s="832"/>
      <c r="G2164" s="2010"/>
      <c r="H2164" s="1931"/>
      <c r="I2164" s="837"/>
      <c r="J2164" s="1059"/>
      <c r="K2164" s="943"/>
      <c r="L2164" s="854" t="n">
        <v>9776.5425</v>
      </c>
      <c r="M2164" s="854" t="n">
        <v>225</v>
      </c>
      <c r="N2164" s="866" t="n">
        <f aca="false">M2164/H2163</f>
        <v>15</v>
      </c>
      <c r="O2164" s="537" t="s">
        <v>613</v>
      </c>
      <c r="P2164" s="1948"/>
      <c r="Q2164" s="1934"/>
      <c r="R2164" s="1935"/>
    </row>
    <row r="2165" customFormat="false" ht="14.25" hidden="false" customHeight="false" outlineLevel="0" collapsed="false">
      <c r="A2165" s="882"/>
      <c r="B2165" s="830"/>
      <c r="C2165" s="1965"/>
      <c r="D2165" s="848" t="s">
        <v>10</v>
      </c>
      <c r="E2165" s="1479" t="s">
        <v>1652</v>
      </c>
      <c r="F2165" s="832"/>
      <c r="G2165" s="2010"/>
      <c r="H2165" s="1931"/>
      <c r="I2165" s="837"/>
      <c r="J2165" s="1059"/>
      <c r="K2165" s="943"/>
      <c r="L2165" s="854" t="n">
        <v>66480.489</v>
      </c>
      <c r="M2165" s="854" t="n">
        <v>1530</v>
      </c>
      <c r="N2165" s="866" t="n">
        <f aca="false">M2165/H2163</f>
        <v>102</v>
      </c>
      <c r="O2165" s="537" t="s">
        <v>654</v>
      </c>
      <c r="P2165" s="1948"/>
      <c r="Q2165" s="1934"/>
      <c r="R2165" s="1935"/>
    </row>
    <row r="2166" customFormat="false" ht="14.25" hidden="false" customHeight="false" outlineLevel="0" collapsed="false">
      <c r="A2166" s="882"/>
      <c r="B2166" s="830"/>
      <c r="C2166" s="1965"/>
      <c r="D2166" s="848" t="s">
        <v>10</v>
      </c>
      <c r="E2166" s="1479" t="s">
        <v>1652</v>
      </c>
      <c r="F2166" s="832"/>
      <c r="G2166" s="2010"/>
      <c r="H2166" s="1931"/>
      <c r="I2166" s="837"/>
      <c r="J2166" s="1059"/>
      <c r="K2166" s="943"/>
      <c r="L2166" s="854" t="n">
        <v>9776.5425</v>
      </c>
      <c r="M2166" s="854" t="n">
        <v>225</v>
      </c>
      <c r="N2166" s="866" t="n">
        <f aca="false">M2166/H2163</f>
        <v>15</v>
      </c>
      <c r="O2166" s="537" t="s">
        <v>614</v>
      </c>
      <c r="P2166" s="1948"/>
      <c r="Q2166" s="1934"/>
      <c r="R2166" s="1935"/>
    </row>
    <row r="2167" customFormat="false" ht="14.25" hidden="false" customHeight="false" outlineLevel="0" collapsed="false">
      <c r="A2167" s="882"/>
      <c r="B2167" s="830"/>
      <c r="C2167" s="1965"/>
      <c r="D2167" s="860" t="s">
        <v>10</v>
      </c>
      <c r="E2167" s="1480" t="s">
        <v>1652</v>
      </c>
      <c r="F2167" s="832"/>
      <c r="G2167" s="2010"/>
      <c r="H2167" s="1931"/>
      <c r="I2167" s="837"/>
      <c r="J2167" s="1059"/>
      <c r="K2167" s="943"/>
      <c r="L2167" s="866" t="n">
        <v>108845.5065</v>
      </c>
      <c r="M2167" s="866" t="n">
        <v>2505</v>
      </c>
      <c r="N2167" s="866" t="n">
        <f aca="false">M2167/H2163</f>
        <v>167</v>
      </c>
      <c r="O2167" s="543" t="s">
        <v>598</v>
      </c>
      <c r="P2167" s="1948"/>
      <c r="Q2167" s="1934"/>
      <c r="R2167" s="1935"/>
    </row>
    <row r="2168" customFormat="false" ht="14.25" hidden="false" customHeight="false" outlineLevel="0" collapsed="false">
      <c r="A2168" s="882"/>
      <c r="B2168" s="830"/>
      <c r="C2168" s="1965"/>
      <c r="D2168" s="887" t="s">
        <v>10</v>
      </c>
      <c r="E2168" s="1501" t="s">
        <v>1652</v>
      </c>
      <c r="F2168" s="832"/>
      <c r="G2168" s="2010"/>
      <c r="H2168" s="1931"/>
      <c r="I2168" s="837"/>
      <c r="J2168" s="1059"/>
      <c r="K2168" s="943"/>
      <c r="L2168" s="890" t="n">
        <v>108845.5065</v>
      </c>
      <c r="M2168" s="890" t="n">
        <v>2505</v>
      </c>
      <c r="N2168" s="890" t="n">
        <f aca="false">M2168/H2163</f>
        <v>167</v>
      </c>
      <c r="O2168" s="1067" t="s">
        <v>597</v>
      </c>
      <c r="P2168" s="1948"/>
      <c r="Q2168" s="1934"/>
      <c r="R2168" s="1935"/>
    </row>
    <row r="2169" customFormat="false" ht="14.25" hidden="false" customHeight="false" outlineLevel="0" collapsed="false">
      <c r="A2169" s="829" t="n">
        <v>489</v>
      </c>
      <c r="B2169" s="830" t="n">
        <v>2024</v>
      </c>
      <c r="C2169" s="1965" t="n">
        <v>45931</v>
      </c>
      <c r="D2169" s="831" t="s">
        <v>10</v>
      </c>
      <c r="E2169" s="1365" t="s">
        <v>1652</v>
      </c>
      <c r="F2169" s="832" t="s">
        <v>3364</v>
      </c>
      <c r="G2169" s="2010" t="n">
        <v>245</v>
      </c>
      <c r="H2169" s="1931" t="n">
        <v>15</v>
      </c>
      <c r="I2169" s="837" t="n">
        <f aca="false">G2169*H2169</f>
        <v>3675</v>
      </c>
      <c r="J2169" s="1059" t="n">
        <v>44.6691</v>
      </c>
      <c r="K2169" s="943" t="n">
        <f aca="false">I2169*J2169</f>
        <v>164158.9425</v>
      </c>
      <c r="L2169" s="840" t="n">
        <v>144057.8475</v>
      </c>
      <c r="M2169" s="840" t="n">
        <v>3225</v>
      </c>
      <c r="N2169" s="886" t="n">
        <f aca="false">M2169/H2169</f>
        <v>215</v>
      </c>
      <c r="O2169" s="1114" t="s">
        <v>592</v>
      </c>
      <c r="P2169" s="1948" t="n">
        <f aca="false">K2169-L2169-L2172-L2171-L2170</f>
        <v>0</v>
      </c>
      <c r="Q2169" s="1934" t="n">
        <f aca="false">I2169-M2169-M2172-M2171-M2170</f>
        <v>0</v>
      </c>
      <c r="R2169" s="1935" t="n">
        <f aca="false">G2169-N2169-N2172-N2171-N2170</f>
        <v>0</v>
      </c>
    </row>
    <row r="2170" customFormat="false" ht="14.25" hidden="false" customHeight="false" outlineLevel="0" collapsed="false">
      <c r="A2170" s="829"/>
      <c r="B2170" s="830"/>
      <c r="C2170" s="1965"/>
      <c r="D2170" s="848" t="s">
        <v>10</v>
      </c>
      <c r="E2170" s="1479" t="s">
        <v>1652</v>
      </c>
      <c r="F2170" s="832"/>
      <c r="G2170" s="2010"/>
      <c r="H2170" s="1931"/>
      <c r="I2170" s="837"/>
      <c r="J2170" s="1059"/>
      <c r="K2170" s="943"/>
      <c r="L2170" s="854" t="n">
        <v>17420.949</v>
      </c>
      <c r="M2170" s="854" t="n">
        <v>390</v>
      </c>
      <c r="N2170" s="866" t="n">
        <f aca="false">M2170/H2169</f>
        <v>26</v>
      </c>
      <c r="O2170" s="537" t="s">
        <v>654</v>
      </c>
      <c r="P2170" s="1948"/>
      <c r="Q2170" s="1934"/>
      <c r="R2170" s="1935"/>
    </row>
    <row r="2171" customFormat="false" ht="14.25" hidden="false" customHeight="false" outlineLevel="0" collapsed="false">
      <c r="A2171" s="829"/>
      <c r="B2171" s="830"/>
      <c r="C2171" s="1965"/>
      <c r="D2171" s="860" t="s">
        <v>10</v>
      </c>
      <c r="E2171" s="1480" t="s">
        <v>1652</v>
      </c>
      <c r="F2171" s="832"/>
      <c r="G2171" s="2010"/>
      <c r="H2171" s="1931"/>
      <c r="I2171" s="837"/>
      <c r="J2171" s="1059"/>
      <c r="K2171" s="943"/>
      <c r="L2171" s="866" t="n">
        <v>2010.1095</v>
      </c>
      <c r="M2171" s="866" t="n">
        <v>45</v>
      </c>
      <c r="N2171" s="866" t="n">
        <f aca="false">M2171/H2169</f>
        <v>3</v>
      </c>
      <c r="O2171" s="543" t="s">
        <v>610</v>
      </c>
      <c r="P2171" s="1948"/>
      <c r="Q2171" s="1934"/>
      <c r="R2171" s="1935"/>
    </row>
    <row r="2172" customFormat="false" ht="14.25" hidden="false" customHeight="false" outlineLevel="0" collapsed="false">
      <c r="A2172" s="829"/>
      <c r="B2172" s="830"/>
      <c r="C2172" s="1965"/>
      <c r="D2172" s="887" t="s">
        <v>10</v>
      </c>
      <c r="E2172" s="1501" t="s">
        <v>1652</v>
      </c>
      <c r="F2172" s="832"/>
      <c r="G2172" s="2010"/>
      <c r="H2172" s="1931"/>
      <c r="I2172" s="837"/>
      <c r="J2172" s="1059"/>
      <c r="K2172" s="943"/>
      <c r="L2172" s="890" t="n">
        <v>670.0365</v>
      </c>
      <c r="M2172" s="890" t="n">
        <v>15</v>
      </c>
      <c r="N2172" s="890" t="n">
        <f aca="false">M2172/H2169</f>
        <v>1</v>
      </c>
      <c r="O2172" s="1067" t="s">
        <v>607</v>
      </c>
      <c r="P2172" s="1948"/>
      <c r="Q2172" s="1934"/>
      <c r="R2172" s="1935"/>
    </row>
    <row r="2173" customFormat="false" ht="14.25" hidden="false" customHeight="false" outlineLevel="0" collapsed="false">
      <c r="A2173" s="1027" t="n">
        <v>490</v>
      </c>
      <c r="B2173" s="1546" t="n">
        <v>2024</v>
      </c>
      <c r="C2173" s="1975" t="n">
        <v>45931</v>
      </c>
      <c r="D2173" s="831" t="s">
        <v>10</v>
      </c>
      <c r="E2173" s="1365" t="s">
        <v>1651</v>
      </c>
      <c r="F2173" s="1328" t="s">
        <v>3367</v>
      </c>
      <c r="G2173" s="2011" t="n">
        <v>500</v>
      </c>
      <c r="H2173" s="1976" t="n">
        <v>10</v>
      </c>
      <c r="I2173" s="1036" t="n">
        <f aca="false">G2173*H2173</f>
        <v>5000</v>
      </c>
      <c r="J2173" s="1557" t="n">
        <v>27.8876</v>
      </c>
      <c r="K2173" s="1547" t="n">
        <f aca="false">I2173*J2173</f>
        <v>139438</v>
      </c>
      <c r="L2173" s="840" t="n">
        <v>111550.4</v>
      </c>
      <c r="M2173" s="840" t="n">
        <v>4000</v>
      </c>
      <c r="N2173" s="840" t="n">
        <f aca="false">M2173/H2173</f>
        <v>400</v>
      </c>
      <c r="O2173" s="1114" t="s">
        <v>601</v>
      </c>
      <c r="P2173" s="1984" t="n">
        <f aca="false">K2173-L2173-L2174</f>
        <v>0</v>
      </c>
      <c r="Q2173" s="1978" t="n">
        <f aca="false">I2173-M2173-M2174</f>
        <v>0</v>
      </c>
      <c r="R2173" s="1979" t="n">
        <f aca="false">G2173-N2173-N2174</f>
        <v>0</v>
      </c>
    </row>
    <row r="2174" customFormat="false" ht="14.25" hidden="false" customHeight="false" outlineLevel="0" collapsed="false">
      <c r="A2174" s="1027"/>
      <c r="B2174" s="1546"/>
      <c r="C2174" s="1975"/>
      <c r="D2174" s="904" t="s">
        <v>10</v>
      </c>
      <c r="E2174" s="1351" t="s">
        <v>1651</v>
      </c>
      <c r="F2174" s="1328"/>
      <c r="G2174" s="2011"/>
      <c r="H2174" s="1976"/>
      <c r="I2174" s="1036"/>
      <c r="J2174" s="1557"/>
      <c r="K2174" s="1547"/>
      <c r="L2174" s="891" t="n">
        <v>27887.6</v>
      </c>
      <c r="M2174" s="891" t="n">
        <v>1000</v>
      </c>
      <c r="N2174" s="891" t="n">
        <f aca="false">M2174/H2173</f>
        <v>100</v>
      </c>
      <c r="O2174" s="942" t="s">
        <v>589</v>
      </c>
      <c r="P2174" s="1984"/>
      <c r="Q2174" s="1978"/>
      <c r="R2174" s="1979"/>
    </row>
    <row r="2175" customFormat="false" ht="14.25" hidden="false" customHeight="false" outlineLevel="0" collapsed="false">
      <c r="A2175" s="882" t="n">
        <v>491</v>
      </c>
      <c r="B2175" s="830" t="n">
        <v>2024</v>
      </c>
      <c r="C2175" s="1965" t="n">
        <v>45931</v>
      </c>
      <c r="D2175" s="831" t="s">
        <v>10</v>
      </c>
      <c r="E2175" s="1365" t="s">
        <v>1651</v>
      </c>
      <c r="F2175" s="832" t="s">
        <v>3364</v>
      </c>
      <c r="G2175" s="2010" t="n">
        <v>1333</v>
      </c>
      <c r="H2175" s="1931" t="n">
        <v>15</v>
      </c>
      <c r="I2175" s="837" t="n">
        <f aca="false">G2175*H2175</f>
        <v>19995</v>
      </c>
      <c r="J2175" s="1059" t="n">
        <v>27.8876</v>
      </c>
      <c r="K2175" s="943" t="n">
        <f aca="false">I2175*J2175</f>
        <v>557612.562</v>
      </c>
      <c r="L2175" s="840" t="n">
        <v>266047.704</v>
      </c>
      <c r="M2175" s="840" t="n">
        <v>9540</v>
      </c>
      <c r="N2175" s="886" t="n">
        <f aca="false">M2175/H2175</f>
        <v>636</v>
      </c>
      <c r="O2175" s="1114" t="s">
        <v>1176</v>
      </c>
      <c r="P2175" s="1934" t="n">
        <f aca="false">K2175-L2175-L2177-L2176</f>
        <v>2.18278728425503E-011</v>
      </c>
      <c r="Q2175" s="1934" t="n">
        <f aca="false">I2175-M2175-M2177-M2176</f>
        <v>0</v>
      </c>
      <c r="R2175" s="1935" t="n">
        <f aca="false">G2175-N2175-N2177-N2176</f>
        <v>0</v>
      </c>
    </row>
    <row r="2176" customFormat="false" ht="14.25" hidden="false" customHeight="false" outlineLevel="0" collapsed="false">
      <c r="A2176" s="882"/>
      <c r="B2176" s="830"/>
      <c r="C2176" s="1965"/>
      <c r="D2176" s="904" t="s">
        <v>10</v>
      </c>
      <c r="E2176" s="1351" t="s">
        <v>1651</v>
      </c>
      <c r="F2176" s="832"/>
      <c r="G2176" s="2010"/>
      <c r="H2176" s="1931"/>
      <c r="I2176" s="837"/>
      <c r="J2176" s="1059"/>
      <c r="K2176" s="943"/>
      <c r="L2176" s="891" t="n">
        <v>12549.3142</v>
      </c>
      <c r="M2176" s="891" t="n">
        <v>450</v>
      </c>
      <c r="N2176" s="866" t="n">
        <f aca="false">M2176/H2175</f>
        <v>30</v>
      </c>
      <c r="O2176" s="942" t="s">
        <v>3541</v>
      </c>
      <c r="P2176" s="1934"/>
      <c r="Q2176" s="1934"/>
      <c r="R2176" s="1935"/>
    </row>
    <row r="2177" customFormat="false" ht="14.25" hidden="false" customHeight="false" outlineLevel="0" collapsed="false">
      <c r="A2177" s="882"/>
      <c r="B2177" s="830"/>
      <c r="C2177" s="1965"/>
      <c r="D2177" s="843" t="s">
        <v>10</v>
      </c>
      <c r="E2177" s="1357" t="s">
        <v>1651</v>
      </c>
      <c r="F2177" s="832"/>
      <c r="G2177" s="2010"/>
      <c r="H2177" s="1931"/>
      <c r="I2177" s="837"/>
      <c r="J2177" s="1059"/>
      <c r="K2177" s="943"/>
      <c r="L2177" s="846" t="n">
        <v>279015.5438</v>
      </c>
      <c r="M2177" s="846" t="n">
        <v>10005</v>
      </c>
      <c r="N2177" s="846" t="n">
        <f aca="false">M2177/H2175</f>
        <v>667</v>
      </c>
      <c r="O2177" s="589" t="s">
        <v>653</v>
      </c>
      <c r="P2177" s="1934"/>
      <c r="Q2177" s="1934"/>
      <c r="R2177" s="1935"/>
    </row>
    <row r="2178" customFormat="false" ht="14.25" hidden="false" customHeight="false" outlineLevel="0" collapsed="false">
      <c r="A2178" s="1344" t="n">
        <v>492</v>
      </c>
      <c r="B2178" s="903" t="n">
        <v>2024</v>
      </c>
      <c r="C2178" s="1974" t="n">
        <v>45931</v>
      </c>
      <c r="D2178" s="848" t="s">
        <v>10</v>
      </c>
      <c r="E2178" s="1479" t="s">
        <v>1651</v>
      </c>
      <c r="F2178" s="904" t="s">
        <v>3364</v>
      </c>
      <c r="G2178" s="2012" t="n">
        <v>342</v>
      </c>
      <c r="H2178" s="1940" t="n">
        <v>15</v>
      </c>
      <c r="I2178" s="942" t="n">
        <f aca="false">G2178*H2178</f>
        <v>5130</v>
      </c>
      <c r="J2178" s="1406" t="n">
        <v>28.7263</v>
      </c>
      <c r="K2178" s="948" t="n">
        <f aca="false">I2178*J2178</f>
        <v>147365.919</v>
      </c>
      <c r="L2178" s="854" t="n">
        <v>86178.9</v>
      </c>
      <c r="M2178" s="854" t="n">
        <v>3000</v>
      </c>
      <c r="N2178" s="854" t="n">
        <f aca="false">M2178/H2178</f>
        <v>200</v>
      </c>
      <c r="O2178" s="537" t="s">
        <v>572</v>
      </c>
      <c r="P2178" s="2009" t="n">
        <f aca="false">K2178-L2178-L2185-L2179-L2184-L2180-L2183-L2181-L2182</f>
        <v>0</v>
      </c>
      <c r="Q2178" s="2000" t="n">
        <f aca="false">I2178-M2178-M2185-M2179-M2184-M2180-M2183-M2181-M2182</f>
        <v>0</v>
      </c>
      <c r="R2178" s="2005" t="n">
        <f aca="false">G2178-N2178-N2185-N2179-N2184-N2180-N2183-N2181-N2182</f>
        <v>0</v>
      </c>
    </row>
    <row r="2179" customFormat="false" ht="14.25" hidden="false" customHeight="false" outlineLevel="0" collapsed="false">
      <c r="A2179" s="1344"/>
      <c r="B2179" s="903"/>
      <c r="C2179" s="1974"/>
      <c r="D2179" s="848" t="s">
        <v>10</v>
      </c>
      <c r="E2179" s="1479" t="s">
        <v>1651</v>
      </c>
      <c r="F2179" s="904"/>
      <c r="G2179" s="2012"/>
      <c r="H2179" s="1940"/>
      <c r="I2179" s="942"/>
      <c r="J2179" s="1406"/>
      <c r="K2179" s="948"/>
      <c r="L2179" s="854" t="n">
        <v>19390.2525</v>
      </c>
      <c r="M2179" s="854" t="n">
        <v>675</v>
      </c>
      <c r="N2179" s="854" t="n">
        <f aca="false">M2179/H2178</f>
        <v>45</v>
      </c>
      <c r="O2179" s="537" t="s">
        <v>1246</v>
      </c>
      <c r="P2179" s="2009"/>
      <c r="Q2179" s="2000"/>
      <c r="R2179" s="2005"/>
    </row>
    <row r="2180" customFormat="false" ht="14.25" hidden="false" customHeight="false" outlineLevel="0" collapsed="false">
      <c r="A2180" s="1344"/>
      <c r="B2180" s="903"/>
      <c r="C2180" s="1974"/>
      <c r="D2180" s="848" t="s">
        <v>10</v>
      </c>
      <c r="E2180" s="1479" t="s">
        <v>1651</v>
      </c>
      <c r="F2180" s="904"/>
      <c r="G2180" s="2012"/>
      <c r="H2180" s="1940"/>
      <c r="I2180" s="942"/>
      <c r="J2180" s="1406"/>
      <c r="K2180" s="948"/>
      <c r="L2180" s="854" t="n">
        <v>-88725.854</v>
      </c>
      <c r="M2180" s="854" t="n">
        <v>-2880</v>
      </c>
      <c r="N2180" s="854" t="n">
        <f aca="false">M2180/H2178</f>
        <v>-192</v>
      </c>
      <c r="O2180" s="537" t="s">
        <v>1634</v>
      </c>
      <c r="P2180" s="2009"/>
      <c r="Q2180" s="2000"/>
      <c r="R2180" s="2005"/>
    </row>
    <row r="2181" customFormat="false" ht="14.25" hidden="false" customHeight="false" outlineLevel="0" collapsed="false">
      <c r="A2181" s="1344"/>
      <c r="B2181" s="903"/>
      <c r="C2181" s="1974"/>
      <c r="D2181" s="848" t="s">
        <v>10</v>
      </c>
      <c r="E2181" s="1479" t="s">
        <v>1651</v>
      </c>
      <c r="F2181" s="904"/>
      <c r="G2181" s="2012"/>
      <c r="H2181" s="1940"/>
      <c r="I2181" s="942"/>
      <c r="J2181" s="1406"/>
      <c r="K2181" s="948"/>
      <c r="L2181" s="854" t="n">
        <v>861.789</v>
      </c>
      <c r="M2181" s="854" t="n">
        <v>30</v>
      </c>
      <c r="N2181" s="854" t="n">
        <f aca="false">M2181/H2178</f>
        <v>2</v>
      </c>
      <c r="O2181" s="537" t="s">
        <v>3542</v>
      </c>
      <c r="P2181" s="2009"/>
      <c r="Q2181" s="2000"/>
      <c r="R2181" s="2005"/>
    </row>
    <row r="2182" customFormat="false" ht="14.25" hidden="false" customHeight="false" outlineLevel="0" collapsed="false">
      <c r="A2182" s="1344"/>
      <c r="B2182" s="903"/>
      <c r="C2182" s="1974"/>
      <c r="D2182" s="848" t="s">
        <v>10</v>
      </c>
      <c r="E2182" s="1479" t="s">
        <v>1651</v>
      </c>
      <c r="F2182" s="904"/>
      <c r="G2182" s="2012"/>
      <c r="H2182" s="1940"/>
      <c r="I2182" s="942"/>
      <c r="J2182" s="1406"/>
      <c r="K2182" s="948"/>
      <c r="L2182" s="854" t="n">
        <v>65926.8585</v>
      </c>
      <c r="M2182" s="854" t="n">
        <v>2295</v>
      </c>
      <c r="N2182" s="854" t="n">
        <f aca="false">M2182/H2178</f>
        <v>153</v>
      </c>
      <c r="O2182" s="537" t="s">
        <v>1375</v>
      </c>
      <c r="P2182" s="2009"/>
      <c r="Q2182" s="2000"/>
      <c r="R2182" s="2005"/>
    </row>
    <row r="2183" customFormat="false" ht="14.25" hidden="false" customHeight="false" outlineLevel="0" collapsed="false">
      <c r="A2183" s="1344"/>
      <c r="B2183" s="903"/>
      <c r="C2183" s="1974"/>
      <c r="D2183" s="848" t="s">
        <v>10</v>
      </c>
      <c r="E2183" s="1479" t="s">
        <v>1651</v>
      </c>
      <c r="F2183" s="904"/>
      <c r="G2183" s="2012"/>
      <c r="H2183" s="1940"/>
      <c r="I2183" s="942"/>
      <c r="J2183" s="1406"/>
      <c r="K2183" s="948"/>
      <c r="L2183" s="854" t="n">
        <v>14612</v>
      </c>
      <c r="M2183" s="854" t="n">
        <v>300</v>
      </c>
      <c r="N2183" s="854" t="n">
        <f aca="false">M2183/H2178</f>
        <v>20</v>
      </c>
      <c r="O2183" s="537" t="s">
        <v>1260</v>
      </c>
      <c r="P2183" s="2009"/>
      <c r="Q2183" s="2000"/>
      <c r="R2183" s="2005"/>
    </row>
    <row r="2184" customFormat="false" ht="14.25" hidden="false" customHeight="false" outlineLevel="0" collapsed="false">
      <c r="A2184" s="1344"/>
      <c r="B2184" s="903"/>
      <c r="C2184" s="1974"/>
      <c r="D2184" s="860" t="s">
        <v>10</v>
      </c>
      <c r="E2184" s="1480" t="s">
        <v>1651</v>
      </c>
      <c r="F2184" s="904"/>
      <c r="G2184" s="2012"/>
      <c r="H2184" s="1940"/>
      <c r="I2184" s="942"/>
      <c r="J2184" s="1406"/>
      <c r="K2184" s="948"/>
      <c r="L2184" s="866" t="n">
        <v>6032.523</v>
      </c>
      <c r="M2184" s="854" t="n">
        <v>210</v>
      </c>
      <c r="N2184" s="854" t="n">
        <f aca="false">M2184/H2178</f>
        <v>14</v>
      </c>
      <c r="O2184" s="543" t="s">
        <v>1176</v>
      </c>
      <c r="P2184" s="2009"/>
      <c r="Q2184" s="2000"/>
      <c r="R2184" s="2005"/>
    </row>
    <row r="2185" customFormat="false" ht="14.25" hidden="false" customHeight="false" outlineLevel="0" collapsed="false">
      <c r="A2185" s="1344"/>
      <c r="B2185" s="903"/>
      <c r="C2185" s="1974"/>
      <c r="D2185" s="904" t="s">
        <v>10</v>
      </c>
      <c r="E2185" s="1351" t="s">
        <v>1651</v>
      </c>
      <c r="F2185" s="904"/>
      <c r="G2185" s="2012"/>
      <c r="H2185" s="1940"/>
      <c r="I2185" s="942"/>
      <c r="J2185" s="1406"/>
      <c r="K2185" s="948"/>
      <c r="L2185" s="891" t="n">
        <v>43089.45</v>
      </c>
      <c r="M2185" s="891" t="n">
        <v>1500</v>
      </c>
      <c r="N2185" s="891" t="n">
        <f aca="false">M2185/H2178</f>
        <v>100</v>
      </c>
      <c r="O2185" s="942" t="s">
        <v>795</v>
      </c>
      <c r="P2185" s="2009"/>
      <c r="Q2185" s="2000"/>
      <c r="R2185" s="2005"/>
    </row>
    <row r="2186" customFormat="false" ht="14.25" hidden="false" customHeight="false" outlineLevel="0" collapsed="false">
      <c r="A2186" s="829" t="n">
        <v>500</v>
      </c>
      <c r="B2186" s="830" t="n">
        <v>2024</v>
      </c>
      <c r="C2186" s="1965" t="n">
        <v>45931</v>
      </c>
      <c r="D2186" s="831" t="s">
        <v>10</v>
      </c>
      <c r="E2186" s="1365" t="s">
        <v>2619</v>
      </c>
      <c r="F2186" s="832" t="s">
        <v>3364</v>
      </c>
      <c r="G2186" s="2010" t="n">
        <v>666</v>
      </c>
      <c r="H2186" s="1931" t="n">
        <v>30</v>
      </c>
      <c r="I2186" s="837" t="n">
        <f aca="false">G2186*H2186</f>
        <v>19980</v>
      </c>
      <c r="J2186" s="1059" t="n">
        <v>92.7677</v>
      </c>
      <c r="K2186" s="943" t="n">
        <f aca="false">I2186*J2186</f>
        <v>1853498.646</v>
      </c>
      <c r="L2186" s="840" t="n">
        <v>1806187.119</v>
      </c>
      <c r="M2186" s="840" t="n">
        <v>19470</v>
      </c>
      <c r="N2186" s="840" t="n">
        <f aca="false">M2186/H2186</f>
        <v>649</v>
      </c>
      <c r="O2186" s="1114" t="s">
        <v>644</v>
      </c>
      <c r="P2186" s="1934" t="n">
        <f aca="false">K2186-L2186-L2187</f>
        <v>2.3283064365387E-010</v>
      </c>
      <c r="Q2186" s="1934" t="n">
        <f aca="false">I2186-M2186-M2187</f>
        <v>0</v>
      </c>
      <c r="R2186" s="1935" t="n">
        <f aca="false">G2186-N2186-N2187</f>
        <v>0</v>
      </c>
    </row>
    <row r="2187" customFormat="false" ht="14.25" hidden="false" customHeight="false" outlineLevel="0" collapsed="false">
      <c r="A2187" s="829"/>
      <c r="B2187" s="830"/>
      <c r="C2187" s="1965"/>
      <c r="D2187" s="843" t="s">
        <v>10</v>
      </c>
      <c r="E2187" s="1357" t="s">
        <v>2619</v>
      </c>
      <c r="F2187" s="832"/>
      <c r="G2187" s="2010"/>
      <c r="H2187" s="1931"/>
      <c r="I2187" s="837"/>
      <c r="J2187" s="1059"/>
      <c r="K2187" s="943"/>
      <c r="L2187" s="846" t="n">
        <v>47311.527</v>
      </c>
      <c r="M2187" s="846" t="n">
        <v>510</v>
      </c>
      <c r="N2187" s="846" t="n">
        <f aca="false">M2187/H2186</f>
        <v>17</v>
      </c>
      <c r="O2187" s="589" t="s">
        <v>1288</v>
      </c>
      <c r="P2187" s="1934"/>
      <c r="Q2187" s="1934"/>
      <c r="R2187" s="1935"/>
    </row>
    <row r="2188" customFormat="false" ht="14.25" hidden="false" customHeight="false" outlineLevel="0" collapsed="false">
      <c r="A2188" s="903" t="n">
        <v>504</v>
      </c>
      <c r="B2188" s="903" t="n">
        <v>2024</v>
      </c>
      <c r="C2188" s="1974" t="n">
        <v>45931</v>
      </c>
      <c r="D2188" s="904" t="s">
        <v>10</v>
      </c>
      <c r="E2188" s="1351" t="s">
        <v>2133</v>
      </c>
      <c r="F2188" s="904" t="s">
        <v>3364</v>
      </c>
      <c r="G2188" s="2012" t="n">
        <v>7</v>
      </c>
      <c r="H2188" s="1940" t="n">
        <v>800</v>
      </c>
      <c r="I2188" s="1355" t="n">
        <f aca="false">G2188*H2188</f>
        <v>5600</v>
      </c>
      <c r="J2188" s="1406" t="n">
        <v>91.7</v>
      </c>
      <c r="K2188" s="1138" t="n">
        <f aca="false">I2188*J2188</f>
        <v>513520</v>
      </c>
      <c r="L2188" s="891" t="n">
        <v>513520</v>
      </c>
      <c r="M2188" s="891" t="n">
        <v>5600</v>
      </c>
      <c r="N2188" s="891" t="n">
        <f aca="false">M2188/H2188</f>
        <v>7</v>
      </c>
      <c r="O2188" s="942" t="s">
        <v>636</v>
      </c>
      <c r="P2188" s="1947" t="n">
        <f aca="false">K2188-L2188</f>
        <v>0</v>
      </c>
      <c r="Q2188" s="1945" t="n">
        <f aca="false">I2188-M2188</f>
        <v>0</v>
      </c>
      <c r="R2188" s="1945" t="n">
        <f aca="false">G2188-N2188</f>
        <v>0</v>
      </c>
    </row>
    <row r="2189" customFormat="false" ht="14.25" hidden="false" customHeight="false" outlineLevel="0" collapsed="false">
      <c r="A2189" s="829" t="n">
        <v>505</v>
      </c>
      <c r="B2189" s="830" t="n">
        <v>2024</v>
      </c>
      <c r="C2189" s="1965" t="n">
        <v>45931</v>
      </c>
      <c r="D2189" s="831" t="s">
        <v>10</v>
      </c>
      <c r="E2189" s="1365" t="s">
        <v>2619</v>
      </c>
      <c r="F2189" s="832" t="s">
        <v>3364</v>
      </c>
      <c r="G2189" s="2010" t="n">
        <v>666</v>
      </c>
      <c r="H2189" s="1931" t="n">
        <v>30</v>
      </c>
      <c r="I2189" s="837" t="n">
        <f aca="false">G2189*H2189</f>
        <v>19980</v>
      </c>
      <c r="J2189" s="1059" t="n">
        <v>92.7677</v>
      </c>
      <c r="K2189" s="943" t="n">
        <f aca="false">I2189*J2189</f>
        <v>1853498.646</v>
      </c>
      <c r="L2189" s="840" t="n">
        <v>392407.371</v>
      </c>
      <c r="M2189" s="840" t="n">
        <v>4230</v>
      </c>
      <c r="N2189" s="886" t="n">
        <f aca="false">M2189/H2189</f>
        <v>141</v>
      </c>
      <c r="O2189" s="1114" t="s">
        <v>662</v>
      </c>
      <c r="P2189" s="1934" t="n">
        <f aca="false">K2189-L2189-L2196-L2195-L2190-L2191-L2194-L2193-L2192</f>
        <v>1.15051079774275E-010</v>
      </c>
      <c r="Q2189" s="1934" t="n">
        <f aca="false">I2189-M2189-M2196-M2195-M2190-M2191-M2194-M2193-M2192</f>
        <v>0</v>
      </c>
      <c r="R2189" s="1935" t="n">
        <f aca="false">G2189-N2189-N2196-N2195-N2190-N2191-N2194-N2193-N2192</f>
        <v>0</v>
      </c>
    </row>
    <row r="2190" customFormat="false" ht="14.25" hidden="false" customHeight="false" outlineLevel="0" collapsed="false">
      <c r="A2190" s="829"/>
      <c r="B2190" s="830"/>
      <c r="C2190" s="1965"/>
      <c r="D2190" s="848" t="s">
        <v>10</v>
      </c>
      <c r="E2190" s="1479" t="s">
        <v>2619</v>
      </c>
      <c r="F2190" s="832"/>
      <c r="G2190" s="2010"/>
      <c r="H2190" s="1931"/>
      <c r="I2190" s="837"/>
      <c r="J2190" s="1059"/>
      <c r="K2190" s="943"/>
      <c r="L2190" s="854" t="n">
        <v>278303.1</v>
      </c>
      <c r="M2190" s="854" t="n">
        <v>3000</v>
      </c>
      <c r="N2190" s="866" t="n">
        <f aca="false">M2190/H2189</f>
        <v>100</v>
      </c>
      <c r="O2190" s="537" t="s">
        <v>1180</v>
      </c>
      <c r="P2190" s="1934"/>
      <c r="Q2190" s="1934"/>
      <c r="R2190" s="1935"/>
    </row>
    <row r="2191" customFormat="false" ht="14.25" hidden="false" customHeight="false" outlineLevel="0" collapsed="false">
      <c r="A2191" s="829"/>
      <c r="B2191" s="830"/>
      <c r="C2191" s="1965"/>
      <c r="D2191" s="848" t="s">
        <v>10</v>
      </c>
      <c r="E2191" s="1479" t="s">
        <v>2619</v>
      </c>
      <c r="F2191" s="832"/>
      <c r="G2191" s="2010"/>
      <c r="H2191" s="1931"/>
      <c r="I2191" s="837"/>
      <c r="J2191" s="1059"/>
      <c r="K2191" s="943"/>
      <c r="L2191" s="854" t="n">
        <v>929532.354</v>
      </c>
      <c r="M2191" s="854" t="n">
        <v>10020</v>
      </c>
      <c r="N2191" s="866" t="n">
        <f aca="false">M2191/H2189</f>
        <v>334</v>
      </c>
      <c r="O2191" s="537" t="s">
        <v>1181</v>
      </c>
      <c r="P2191" s="1934"/>
      <c r="Q2191" s="1934"/>
      <c r="R2191" s="1935"/>
    </row>
    <row r="2192" customFormat="false" ht="14.25" hidden="false" customHeight="false" outlineLevel="0" collapsed="false">
      <c r="A2192" s="829"/>
      <c r="B2192" s="830"/>
      <c r="C2192" s="1965"/>
      <c r="D2192" s="848" t="s">
        <v>10</v>
      </c>
      <c r="E2192" s="1479" t="s">
        <v>2619</v>
      </c>
      <c r="F2192" s="832"/>
      <c r="G2192" s="2010"/>
      <c r="H2192" s="1931"/>
      <c r="I2192" s="837"/>
      <c r="J2192" s="1059"/>
      <c r="K2192" s="943"/>
      <c r="L2192" s="854" t="n">
        <v>2783.155</v>
      </c>
      <c r="M2192" s="854" t="n">
        <v>30</v>
      </c>
      <c r="N2192" s="866" t="n">
        <f aca="false">M2192/H2189</f>
        <v>1</v>
      </c>
      <c r="O2192" s="537" t="s">
        <v>1634</v>
      </c>
      <c r="P2192" s="1934"/>
      <c r="Q2192" s="1934"/>
      <c r="R2192" s="1935"/>
    </row>
    <row r="2193" customFormat="false" ht="14.25" hidden="false" customHeight="false" outlineLevel="0" collapsed="false">
      <c r="A2193" s="829"/>
      <c r="B2193" s="830"/>
      <c r="C2193" s="1965"/>
      <c r="D2193" s="848" t="s">
        <v>10</v>
      </c>
      <c r="E2193" s="1479" t="s">
        <v>2619</v>
      </c>
      <c r="F2193" s="832"/>
      <c r="G2193" s="2010"/>
      <c r="H2193" s="1931"/>
      <c r="I2193" s="837"/>
      <c r="J2193" s="1059"/>
      <c r="K2193" s="943"/>
      <c r="L2193" s="854" t="n">
        <v>164198.829</v>
      </c>
      <c r="M2193" s="854" t="n">
        <v>1770</v>
      </c>
      <c r="N2193" s="866" t="n">
        <f aca="false">M2193/H2189</f>
        <v>59</v>
      </c>
      <c r="O2193" s="537" t="s">
        <v>1186</v>
      </c>
      <c r="P2193" s="1934"/>
      <c r="Q2193" s="1934"/>
      <c r="R2193" s="1935"/>
    </row>
    <row r="2194" customFormat="false" ht="14.25" hidden="false" customHeight="false" outlineLevel="0" collapsed="false">
      <c r="A2194" s="829"/>
      <c r="B2194" s="830"/>
      <c r="C2194" s="1965"/>
      <c r="D2194" s="848" t="s">
        <v>10</v>
      </c>
      <c r="E2194" s="1479" t="s">
        <v>2619</v>
      </c>
      <c r="F2194" s="832"/>
      <c r="G2194" s="2010"/>
      <c r="H2194" s="1931"/>
      <c r="I2194" s="837"/>
      <c r="J2194" s="1059"/>
      <c r="K2194" s="943"/>
      <c r="L2194" s="854" t="n">
        <v>19481.217</v>
      </c>
      <c r="M2194" s="854" t="n">
        <v>210</v>
      </c>
      <c r="N2194" s="866" t="n">
        <f aca="false">M2194/H2189</f>
        <v>7</v>
      </c>
      <c r="O2194" s="537" t="s">
        <v>1184</v>
      </c>
      <c r="P2194" s="1934"/>
      <c r="Q2194" s="1934"/>
      <c r="R2194" s="1935"/>
    </row>
    <row r="2195" customFormat="false" ht="14.25" hidden="false" customHeight="false" outlineLevel="0" collapsed="false">
      <c r="A2195" s="829"/>
      <c r="B2195" s="830"/>
      <c r="C2195" s="1965"/>
      <c r="D2195" s="860" t="s">
        <v>10</v>
      </c>
      <c r="E2195" s="1480" t="s">
        <v>2619</v>
      </c>
      <c r="F2195" s="832"/>
      <c r="G2195" s="2010"/>
      <c r="H2195" s="1931"/>
      <c r="I2195" s="837"/>
      <c r="J2195" s="1059"/>
      <c r="K2195" s="943"/>
      <c r="L2195" s="866" t="n">
        <v>55660.62</v>
      </c>
      <c r="M2195" s="866" t="n">
        <v>600</v>
      </c>
      <c r="N2195" s="866" t="n">
        <f aca="false">M2195/H2189</f>
        <v>20</v>
      </c>
      <c r="O2195" s="543" t="s">
        <v>3543</v>
      </c>
      <c r="P2195" s="1934"/>
      <c r="Q2195" s="1934"/>
      <c r="R2195" s="1935"/>
    </row>
    <row r="2196" customFormat="false" ht="14.25" hidden="false" customHeight="false" outlineLevel="0" collapsed="false">
      <c r="A2196" s="829"/>
      <c r="B2196" s="830"/>
      <c r="C2196" s="1965"/>
      <c r="D2196" s="887" t="s">
        <v>10</v>
      </c>
      <c r="E2196" s="1501" t="s">
        <v>2619</v>
      </c>
      <c r="F2196" s="832"/>
      <c r="G2196" s="2010"/>
      <c r="H2196" s="1931"/>
      <c r="I2196" s="837"/>
      <c r="J2196" s="1059"/>
      <c r="K2196" s="943"/>
      <c r="L2196" s="890" t="n">
        <v>11132</v>
      </c>
      <c r="M2196" s="890" t="n">
        <v>120</v>
      </c>
      <c r="N2196" s="890" t="n">
        <f aca="false">M2196/H2189</f>
        <v>4</v>
      </c>
      <c r="O2196" s="1067" t="s">
        <v>668</v>
      </c>
      <c r="P2196" s="1934"/>
      <c r="Q2196" s="1934"/>
      <c r="R2196" s="1935"/>
    </row>
    <row r="2197" customFormat="false" ht="14.25" hidden="false" customHeight="false" outlineLevel="0" collapsed="false">
      <c r="A2197" s="903" t="n">
        <v>516</v>
      </c>
      <c r="B2197" s="903" t="n">
        <v>2024</v>
      </c>
      <c r="C2197" s="1974" t="n">
        <v>45931</v>
      </c>
      <c r="D2197" s="904" t="s">
        <v>10</v>
      </c>
      <c r="E2197" s="1351" t="s">
        <v>2619</v>
      </c>
      <c r="F2197" s="904" t="s">
        <v>3364</v>
      </c>
      <c r="G2197" s="2012" t="n">
        <v>143</v>
      </c>
      <c r="H2197" s="1940" t="n">
        <v>30</v>
      </c>
      <c r="I2197" s="1355" t="n">
        <f aca="false">G2197*H2197</f>
        <v>4290</v>
      </c>
      <c r="J2197" s="1406" t="n">
        <v>92.7677</v>
      </c>
      <c r="K2197" s="1138" t="n">
        <f aca="false">I2197*J2197</f>
        <v>397973.433</v>
      </c>
      <c r="L2197" s="891" t="n">
        <v>397973.433</v>
      </c>
      <c r="M2197" s="891" t="n">
        <v>4290</v>
      </c>
      <c r="N2197" s="891" t="n">
        <f aca="false">M2197/H2197</f>
        <v>143</v>
      </c>
      <c r="O2197" s="942" t="s">
        <v>662</v>
      </c>
      <c r="P2197" s="1947" t="n">
        <f aca="false">K2197-L2197</f>
        <v>0</v>
      </c>
      <c r="Q2197" s="1945" t="n">
        <f aca="false">I2197-M2197</f>
        <v>0</v>
      </c>
      <c r="R2197" s="1945" t="n">
        <f aca="false">G2197-N2197</f>
        <v>0</v>
      </c>
    </row>
    <row r="2198" customFormat="false" ht="14.25" hidden="false" customHeight="false" outlineLevel="0" collapsed="false">
      <c r="A2198" s="882" t="n">
        <v>537</v>
      </c>
      <c r="B2198" s="830" t="n">
        <v>2024</v>
      </c>
      <c r="C2198" s="1965" t="n">
        <v>45962</v>
      </c>
      <c r="D2198" s="831" t="s">
        <v>10</v>
      </c>
      <c r="E2198" s="1365" t="s">
        <v>1652</v>
      </c>
      <c r="F2198" s="832" t="s">
        <v>3364</v>
      </c>
      <c r="G2198" s="2010" t="n">
        <v>1333</v>
      </c>
      <c r="H2198" s="1931" t="n">
        <v>15</v>
      </c>
      <c r="I2198" s="837" t="n">
        <f aca="false">G2198*H2198</f>
        <v>19995</v>
      </c>
      <c r="J2198" s="1059" t="n">
        <v>39.1356</v>
      </c>
      <c r="K2198" s="943" t="n">
        <f aca="false">I2198*J2198</f>
        <v>782516.322</v>
      </c>
      <c r="L2198" s="840" t="n">
        <v>587034</v>
      </c>
      <c r="M2198" s="840" t="n">
        <v>15000</v>
      </c>
      <c r="N2198" s="886" t="n">
        <f aca="false">M2198/H2198</f>
        <v>1000</v>
      </c>
      <c r="O2198" s="1114" t="s">
        <v>689</v>
      </c>
      <c r="P2198" s="1948" t="n">
        <f aca="false">K2198-L2198-L2200-L2199</f>
        <v>0</v>
      </c>
      <c r="Q2198" s="1934" t="n">
        <f aca="false">I2198-M2198-M2200-M2199</f>
        <v>0</v>
      </c>
      <c r="R2198" s="1935" t="n">
        <f aca="false">G2198-N2198-N2200-N2199</f>
        <v>0</v>
      </c>
    </row>
    <row r="2199" customFormat="false" ht="14.25" hidden="false" customHeight="false" outlineLevel="0" collapsed="false">
      <c r="A2199" s="882"/>
      <c r="B2199" s="830"/>
      <c r="C2199" s="1965"/>
      <c r="D2199" s="860" t="s">
        <v>10</v>
      </c>
      <c r="E2199" s="1480" t="s">
        <v>1652</v>
      </c>
      <c r="F2199" s="832"/>
      <c r="G2199" s="2010"/>
      <c r="H2199" s="1931"/>
      <c r="I2199" s="837"/>
      <c r="J2199" s="1059"/>
      <c r="K2199" s="943"/>
      <c r="L2199" s="866" t="n">
        <v>156738.078</v>
      </c>
      <c r="M2199" s="866" t="n">
        <v>4005</v>
      </c>
      <c r="N2199" s="866" t="n">
        <f aca="false">M2199/H2198</f>
        <v>267</v>
      </c>
      <c r="O2199" s="543" t="s">
        <v>706</v>
      </c>
      <c r="P2199" s="1948"/>
      <c r="Q2199" s="1934"/>
      <c r="R2199" s="1935"/>
    </row>
    <row r="2200" customFormat="false" ht="14.25" hidden="false" customHeight="false" outlineLevel="0" collapsed="false">
      <c r="A2200" s="882"/>
      <c r="B2200" s="830"/>
      <c r="C2200" s="1965"/>
      <c r="D2200" s="887" t="s">
        <v>10</v>
      </c>
      <c r="E2200" s="1501" t="s">
        <v>1652</v>
      </c>
      <c r="F2200" s="832"/>
      <c r="G2200" s="2010"/>
      <c r="H2200" s="1931"/>
      <c r="I2200" s="837"/>
      <c r="J2200" s="1059"/>
      <c r="K2200" s="943"/>
      <c r="L2200" s="890" t="n">
        <v>38744.244</v>
      </c>
      <c r="M2200" s="890" t="n">
        <v>990</v>
      </c>
      <c r="N2200" s="890" t="n">
        <f aca="false">M2200/H2198</f>
        <v>66</v>
      </c>
      <c r="O2200" s="1067" t="s">
        <v>572</v>
      </c>
      <c r="P2200" s="1948"/>
      <c r="Q2200" s="1934"/>
      <c r="R2200" s="1935"/>
    </row>
    <row r="2201" customFormat="false" ht="14.25" hidden="false" customHeight="false" outlineLevel="0" collapsed="false">
      <c r="A2201" s="1465" t="n">
        <v>538</v>
      </c>
      <c r="B2201" s="1546" t="n">
        <v>2024</v>
      </c>
      <c r="C2201" s="1975" t="n">
        <v>45962</v>
      </c>
      <c r="D2201" s="831" t="s">
        <v>10</v>
      </c>
      <c r="E2201" s="1365" t="s">
        <v>1652</v>
      </c>
      <c r="F2201" s="1328" t="s">
        <v>3364</v>
      </c>
      <c r="G2201" s="2011" t="n">
        <v>352</v>
      </c>
      <c r="H2201" s="1976" t="n">
        <v>15</v>
      </c>
      <c r="I2201" s="1036" t="n">
        <f aca="false">G2201*H2201</f>
        <v>5280</v>
      </c>
      <c r="J2201" s="1557" t="n">
        <v>40.0769</v>
      </c>
      <c r="K2201" s="1547" t="n">
        <f aca="false">I2201*J2201</f>
        <v>211606.032</v>
      </c>
      <c r="L2201" s="886" t="n">
        <v>601.1535</v>
      </c>
      <c r="M2201" s="886" t="n">
        <v>15</v>
      </c>
      <c r="N2201" s="886" t="n">
        <f aca="false">M2201/H2201</f>
        <v>1</v>
      </c>
      <c r="O2201" s="1036" t="s">
        <v>693</v>
      </c>
      <c r="P2201" s="1978" t="n">
        <f aca="false">K2201-L2201-L2205-L2204-L2202-L2203</f>
        <v>4.39968061982654E-011</v>
      </c>
      <c r="Q2201" s="1978" t="n">
        <f aca="false">I2201-M2201-M2205-M2204-M2202-M2203</f>
        <v>0</v>
      </c>
      <c r="R2201" s="1979" t="n">
        <f aca="false">G2201-N2201-N2205-N2204-N2202-N2203</f>
        <v>0</v>
      </c>
    </row>
    <row r="2202" customFormat="false" ht="14.25" hidden="false" customHeight="false" outlineLevel="0" collapsed="false">
      <c r="A2202" s="1465"/>
      <c r="B2202" s="1546"/>
      <c r="C2202" s="1975"/>
      <c r="D2202" s="848" t="s">
        <v>10</v>
      </c>
      <c r="E2202" s="1479" t="s">
        <v>1652</v>
      </c>
      <c r="F2202" s="1328"/>
      <c r="G2202" s="2011"/>
      <c r="H2202" s="1976"/>
      <c r="I2202" s="1036"/>
      <c r="J2202" s="1557"/>
      <c r="K2202" s="1547"/>
      <c r="L2202" s="866" t="n">
        <v>113618.0115</v>
      </c>
      <c r="M2202" s="866" t="n">
        <v>2835</v>
      </c>
      <c r="N2202" s="866" t="n">
        <f aca="false">M2202/H2201</f>
        <v>189</v>
      </c>
      <c r="O2202" s="543" t="s">
        <v>730</v>
      </c>
      <c r="P2202" s="1978"/>
      <c r="Q2202" s="1978"/>
      <c r="R2202" s="1979"/>
    </row>
    <row r="2203" customFormat="false" ht="14.25" hidden="false" customHeight="false" outlineLevel="0" collapsed="false">
      <c r="A2203" s="1465"/>
      <c r="B2203" s="1546"/>
      <c r="C2203" s="1975"/>
      <c r="D2203" s="848" t="s">
        <v>10</v>
      </c>
      <c r="E2203" s="1479" t="s">
        <v>1652</v>
      </c>
      <c r="F2203" s="1328"/>
      <c r="G2203" s="2011"/>
      <c r="H2203" s="1976"/>
      <c r="I2203" s="1036"/>
      <c r="J2203" s="1557"/>
      <c r="K2203" s="1547"/>
      <c r="L2203" s="866" t="n">
        <v>601.1535</v>
      </c>
      <c r="M2203" s="866" t="n">
        <v>15</v>
      </c>
      <c r="N2203" s="866" t="n">
        <f aca="false">M2203/H2201</f>
        <v>1</v>
      </c>
      <c r="O2203" s="543" t="s">
        <v>1634</v>
      </c>
      <c r="P2203" s="1978"/>
      <c r="Q2203" s="1978"/>
      <c r="R2203" s="1979"/>
    </row>
    <row r="2204" customFormat="false" ht="14.25" hidden="false" customHeight="false" outlineLevel="0" collapsed="false">
      <c r="A2204" s="1465"/>
      <c r="B2204" s="1546"/>
      <c r="C2204" s="1975"/>
      <c r="D2204" s="860" t="s">
        <v>10</v>
      </c>
      <c r="E2204" s="1480" t="s">
        <v>1652</v>
      </c>
      <c r="F2204" s="1328"/>
      <c r="G2204" s="2011"/>
      <c r="H2204" s="1976"/>
      <c r="I2204" s="1036"/>
      <c r="J2204" s="1557"/>
      <c r="K2204" s="1547"/>
      <c r="L2204" s="866" t="n">
        <v>96184.56</v>
      </c>
      <c r="M2204" s="866" t="n">
        <v>2400</v>
      </c>
      <c r="N2204" s="866" t="n">
        <f aca="false">M2204/H2201</f>
        <v>160</v>
      </c>
      <c r="O2204" s="543" t="s">
        <v>712</v>
      </c>
      <c r="P2204" s="1978"/>
      <c r="Q2204" s="1978"/>
      <c r="R2204" s="1979"/>
    </row>
    <row r="2205" customFormat="false" ht="14.25" hidden="false" customHeight="false" outlineLevel="0" collapsed="false">
      <c r="A2205" s="1465"/>
      <c r="B2205" s="1546"/>
      <c r="C2205" s="1975"/>
      <c r="D2205" s="904" t="s">
        <v>10</v>
      </c>
      <c r="E2205" s="1351" t="s">
        <v>1652</v>
      </c>
      <c r="F2205" s="1328"/>
      <c r="G2205" s="2011"/>
      <c r="H2205" s="1976"/>
      <c r="I2205" s="1036"/>
      <c r="J2205" s="1557"/>
      <c r="K2205" s="1547"/>
      <c r="L2205" s="891" t="n">
        <v>601.1535</v>
      </c>
      <c r="M2205" s="891" t="n">
        <v>15</v>
      </c>
      <c r="N2205" s="891" t="n">
        <f aca="false">M2205/H2201</f>
        <v>1</v>
      </c>
      <c r="O2205" s="942" t="s">
        <v>704</v>
      </c>
      <c r="P2205" s="1978"/>
      <c r="Q2205" s="1978"/>
      <c r="R2205" s="1979"/>
    </row>
    <row r="2206" customFormat="false" ht="14.25" hidden="false" customHeight="false" outlineLevel="0" collapsed="false">
      <c r="A2206" s="1465" t="n">
        <v>539</v>
      </c>
      <c r="B2206" s="1546" t="n">
        <v>2024</v>
      </c>
      <c r="C2206" s="1975" t="n">
        <v>45962</v>
      </c>
      <c r="D2206" s="831" t="s">
        <v>10</v>
      </c>
      <c r="E2206" s="1365" t="s">
        <v>1651</v>
      </c>
      <c r="F2206" s="1328" t="s">
        <v>3367</v>
      </c>
      <c r="G2206" s="2011" t="n">
        <v>699</v>
      </c>
      <c r="H2206" s="1976" t="n">
        <v>10</v>
      </c>
      <c r="I2206" s="1036" t="n">
        <f aca="false">G2206*H2206</f>
        <v>6990</v>
      </c>
      <c r="J2206" s="1557" t="n">
        <v>26.5697</v>
      </c>
      <c r="K2206" s="1547" t="n">
        <f aca="false">I2206*J2206</f>
        <v>185722.203</v>
      </c>
      <c r="L2206" s="886" t="n">
        <v>132848.5</v>
      </c>
      <c r="M2206" s="886" t="n">
        <v>5000</v>
      </c>
      <c r="N2206" s="886" t="n">
        <f aca="false">M2206/H2206</f>
        <v>500</v>
      </c>
      <c r="O2206" s="1036" t="s">
        <v>3544</v>
      </c>
      <c r="P2206" s="1978" t="n">
        <f aca="false">K2206-L2206-L2210-L2209-L2207-L2208</f>
        <v>8.07176547823474E-012</v>
      </c>
      <c r="Q2206" s="1978" t="n">
        <f aca="false">I2206-M2206-M2210-M2209-M2207-M2208</f>
        <v>0</v>
      </c>
      <c r="R2206" s="1979" t="n">
        <f aca="false">G2206-N2206-N2210-N2209-N2207-N2208</f>
        <v>0</v>
      </c>
    </row>
    <row r="2207" customFormat="false" ht="14.25" hidden="false" customHeight="false" outlineLevel="0" collapsed="false">
      <c r="A2207" s="1465"/>
      <c r="B2207" s="1546"/>
      <c r="C2207" s="1975"/>
      <c r="D2207" s="860" t="s">
        <v>10</v>
      </c>
      <c r="E2207" s="1480" t="s">
        <v>1651</v>
      </c>
      <c r="F2207" s="1328"/>
      <c r="G2207" s="2011"/>
      <c r="H2207" s="1976"/>
      <c r="I2207" s="1036"/>
      <c r="J2207" s="1557"/>
      <c r="K2207" s="1547"/>
      <c r="L2207" s="866" t="n">
        <v>797.091</v>
      </c>
      <c r="M2207" s="866" t="n">
        <v>30</v>
      </c>
      <c r="N2207" s="866" t="n">
        <f aca="false">M2207/H2206</f>
        <v>3</v>
      </c>
      <c r="O2207" s="543" t="s">
        <v>880</v>
      </c>
      <c r="P2207" s="1978"/>
      <c r="Q2207" s="1978"/>
      <c r="R2207" s="1979"/>
    </row>
    <row r="2208" customFormat="false" ht="14.25" hidden="false" customHeight="false" outlineLevel="0" collapsed="false">
      <c r="A2208" s="1465"/>
      <c r="B2208" s="1546"/>
      <c r="C2208" s="1975"/>
      <c r="D2208" s="860" t="s">
        <v>10</v>
      </c>
      <c r="E2208" s="1480" t="s">
        <v>1651</v>
      </c>
      <c r="F2208" s="1328"/>
      <c r="G2208" s="2011"/>
      <c r="H2208" s="1976"/>
      <c r="I2208" s="1036"/>
      <c r="J2208" s="1557"/>
      <c r="K2208" s="1547"/>
      <c r="L2208" s="866" t="n">
        <v>531.394</v>
      </c>
      <c r="M2208" s="866" t="n">
        <v>20</v>
      </c>
      <c r="N2208" s="866" t="n">
        <f aca="false">M2208/H2206</f>
        <v>2</v>
      </c>
      <c r="O2208" s="543" t="s">
        <v>1634</v>
      </c>
      <c r="P2208" s="1978"/>
      <c r="Q2208" s="1978"/>
      <c r="R2208" s="1979"/>
    </row>
    <row r="2209" customFormat="false" ht="14.25" hidden="false" customHeight="false" outlineLevel="0" collapsed="false">
      <c r="A2209" s="1465"/>
      <c r="B2209" s="1546"/>
      <c r="C2209" s="1975"/>
      <c r="D2209" s="860" t="s">
        <v>10</v>
      </c>
      <c r="E2209" s="1480" t="s">
        <v>1651</v>
      </c>
      <c r="F2209" s="1328"/>
      <c r="G2209" s="2011"/>
      <c r="H2209" s="1976"/>
      <c r="I2209" s="1036"/>
      <c r="J2209" s="1557"/>
      <c r="K2209" s="1547"/>
      <c r="L2209" s="866" t="n">
        <v>531.394</v>
      </c>
      <c r="M2209" s="866" t="n">
        <v>20</v>
      </c>
      <c r="N2209" s="866" t="n">
        <f aca="false">M2209/H2206</f>
        <v>2</v>
      </c>
      <c r="O2209" s="543" t="s">
        <v>1294</v>
      </c>
      <c r="P2209" s="1978"/>
      <c r="Q2209" s="1978"/>
      <c r="R2209" s="1979"/>
    </row>
    <row r="2210" customFormat="false" ht="14.25" hidden="false" customHeight="false" outlineLevel="0" collapsed="false">
      <c r="A2210" s="1465"/>
      <c r="B2210" s="1546"/>
      <c r="C2210" s="1975"/>
      <c r="D2210" s="871" t="s">
        <v>10</v>
      </c>
      <c r="E2210" s="1478" t="s">
        <v>1651</v>
      </c>
      <c r="F2210" s="1328"/>
      <c r="G2210" s="2011"/>
      <c r="H2210" s="1976"/>
      <c r="I2210" s="1036"/>
      <c r="J2210" s="1557"/>
      <c r="K2210" s="1547"/>
      <c r="L2210" s="877" t="n">
        <v>51013.824</v>
      </c>
      <c r="M2210" s="877" t="n">
        <v>1920</v>
      </c>
      <c r="N2210" s="877" t="n">
        <f aca="false">M2210/H2206</f>
        <v>192</v>
      </c>
      <c r="O2210" s="553" t="s">
        <v>3545</v>
      </c>
      <c r="P2210" s="1978"/>
      <c r="Q2210" s="1978"/>
      <c r="R2210" s="1979"/>
    </row>
    <row r="2211" customFormat="false" ht="14.25" hidden="false" customHeight="false" outlineLevel="0" collapsed="false">
      <c r="A2211" s="882" t="s">
        <v>3546</v>
      </c>
      <c r="B2211" s="830" t="n">
        <v>2024</v>
      </c>
      <c r="C2211" s="1965" t="n">
        <v>45962</v>
      </c>
      <c r="D2211" s="831" t="s">
        <v>10</v>
      </c>
      <c r="E2211" s="1365" t="s">
        <v>1651</v>
      </c>
      <c r="F2211" s="832" t="s">
        <v>3364</v>
      </c>
      <c r="G2211" s="2010" t="n">
        <v>128</v>
      </c>
      <c r="H2211" s="1931" t="n">
        <v>15</v>
      </c>
      <c r="I2211" s="837" t="n">
        <f aca="false">G2211*H2211</f>
        <v>1920</v>
      </c>
      <c r="J2211" s="1059" t="n">
        <v>26.5697</v>
      </c>
      <c r="K2211" s="943" t="n">
        <f aca="false">I2211*J2211</f>
        <v>51013.824</v>
      </c>
      <c r="L2211" s="840" t="n">
        <v>398.5455</v>
      </c>
      <c r="M2211" s="840" t="n">
        <v>15</v>
      </c>
      <c r="N2211" s="886" t="n">
        <f aca="false">M2211/H2211</f>
        <v>1</v>
      </c>
      <c r="O2211" s="1114" t="s">
        <v>898</v>
      </c>
      <c r="P2211" s="1948" t="n">
        <f aca="false">K2211-L2211-L2213-L2212</f>
        <v>0</v>
      </c>
      <c r="Q2211" s="1934" t="n">
        <f aca="false">I2211-M2211-M2213-M2212</f>
        <v>0</v>
      </c>
      <c r="R2211" s="1935" t="n">
        <f aca="false">G2211-N2211-N2213-N2212</f>
        <v>0</v>
      </c>
    </row>
    <row r="2212" customFormat="false" ht="14.25" hidden="false" customHeight="false" outlineLevel="0" collapsed="false">
      <c r="A2212" s="882"/>
      <c r="B2212" s="830"/>
      <c r="C2212" s="1965"/>
      <c r="D2212" s="904" t="s">
        <v>10</v>
      </c>
      <c r="E2212" s="1351" t="s">
        <v>1651</v>
      </c>
      <c r="F2212" s="832"/>
      <c r="G2212" s="2010"/>
      <c r="H2212" s="1931"/>
      <c r="I2212" s="837"/>
      <c r="J2212" s="1059"/>
      <c r="K2212" s="943"/>
      <c r="L2212" s="891" t="n">
        <v>14746.1835</v>
      </c>
      <c r="M2212" s="891" t="n">
        <v>555</v>
      </c>
      <c r="N2212" s="866" t="n">
        <f aca="false">M2212/H2211</f>
        <v>37</v>
      </c>
      <c r="O2212" s="942" t="s">
        <v>385</v>
      </c>
      <c r="P2212" s="1948"/>
      <c r="Q2212" s="1934"/>
      <c r="R2212" s="1935"/>
    </row>
    <row r="2213" customFormat="false" ht="14.25" hidden="false" customHeight="false" outlineLevel="0" collapsed="false">
      <c r="A2213" s="882"/>
      <c r="B2213" s="830"/>
      <c r="C2213" s="1965"/>
      <c r="D2213" s="843" t="s">
        <v>10</v>
      </c>
      <c r="E2213" s="1357" t="s">
        <v>1651</v>
      </c>
      <c r="F2213" s="832"/>
      <c r="G2213" s="2010"/>
      <c r="H2213" s="1931"/>
      <c r="I2213" s="837"/>
      <c r="J2213" s="1059"/>
      <c r="K2213" s="943"/>
      <c r="L2213" s="846" t="n">
        <v>35869.095</v>
      </c>
      <c r="M2213" s="846" t="n">
        <v>1350</v>
      </c>
      <c r="N2213" s="846" t="n">
        <f aca="false">M2213/H2211</f>
        <v>90</v>
      </c>
      <c r="O2213" s="589" t="s">
        <v>385</v>
      </c>
      <c r="P2213" s="1948"/>
      <c r="Q2213" s="1934"/>
      <c r="R2213" s="1935"/>
    </row>
    <row r="2214" customFormat="false" ht="14.25" hidden="false" customHeight="false" outlineLevel="0" collapsed="false">
      <c r="A2214" s="1087" t="n">
        <v>540</v>
      </c>
      <c r="B2214" s="1072" t="n">
        <v>2024</v>
      </c>
      <c r="C2214" s="1980" t="n">
        <v>45962</v>
      </c>
      <c r="D2214" s="848" t="s">
        <v>10</v>
      </c>
      <c r="E2214" s="1479" t="s">
        <v>1651</v>
      </c>
      <c r="F2214" s="887" t="s">
        <v>3364</v>
      </c>
      <c r="G2214" s="2017" t="n">
        <v>1333</v>
      </c>
      <c r="H2214" s="1950" t="n">
        <v>15</v>
      </c>
      <c r="I2214" s="1067" t="n">
        <f aca="false">G2214*H2214</f>
        <v>19995</v>
      </c>
      <c r="J2214" s="1063" t="n">
        <v>26.5697</v>
      </c>
      <c r="K2214" s="1452" t="n">
        <f aca="false">I2214*J2214</f>
        <v>531261.1515</v>
      </c>
      <c r="L2214" s="854" t="n">
        <v>398944.0455</v>
      </c>
      <c r="M2214" s="854" t="n">
        <v>15015</v>
      </c>
      <c r="N2214" s="854" t="n">
        <f aca="false">M2214/H2214</f>
        <v>1001</v>
      </c>
      <c r="O2214" s="537" t="s">
        <v>385</v>
      </c>
      <c r="P2214" s="1952" t="n">
        <f aca="false">K2214-L2214-L2215</f>
        <v>0</v>
      </c>
      <c r="Q2214" s="1953" t="n">
        <f aca="false">I2214-M2214-M2215</f>
        <v>0</v>
      </c>
      <c r="R2214" s="1954" t="n">
        <f aca="false">G2214-N2214-N2215</f>
        <v>0</v>
      </c>
    </row>
    <row r="2215" customFormat="false" ht="14.25" hidden="false" customHeight="false" outlineLevel="0" collapsed="false">
      <c r="A2215" s="1087"/>
      <c r="B2215" s="1072"/>
      <c r="C2215" s="1980"/>
      <c r="D2215" s="887" t="s">
        <v>10</v>
      </c>
      <c r="E2215" s="1501" t="s">
        <v>1651</v>
      </c>
      <c r="F2215" s="887"/>
      <c r="G2215" s="2017"/>
      <c r="H2215" s="1950"/>
      <c r="I2215" s="1067"/>
      <c r="J2215" s="1063"/>
      <c r="K2215" s="1452"/>
      <c r="L2215" s="890" t="n">
        <v>132317.106</v>
      </c>
      <c r="M2215" s="890" t="n">
        <v>4980</v>
      </c>
      <c r="N2215" s="846" t="n">
        <f aca="false">M2215/H2214</f>
        <v>332</v>
      </c>
      <c r="O2215" s="1067" t="s">
        <v>385</v>
      </c>
      <c r="P2215" s="1952"/>
      <c r="Q2215" s="1953"/>
      <c r="R2215" s="1954"/>
    </row>
    <row r="2216" customFormat="false" ht="14.25" hidden="false" customHeight="false" outlineLevel="0" collapsed="false">
      <c r="A2216" s="847" t="n">
        <v>541</v>
      </c>
      <c r="B2216" s="1396" t="n">
        <v>2024</v>
      </c>
      <c r="C2216" s="1966" t="n">
        <v>45962</v>
      </c>
      <c r="D2216" s="848" t="s">
        <v>10</v>
      </c>
      <c r="E2216" s="1479" t="s">
        <v>1651</v>
      </c>
      <c r="F2216" s="848" t="s">
        <v>3364</v>
      </c>
      <c r="G2216" s="2018" t="n">
        <v>273</v>
      </c>
      <c r="H2216" s="1967" t="n">
        <v>15</v>
      </c>
      <c r="I2216" s="1380" t="n">
        <f aca="false">G2216*H2216</f>
        <v>4095</v>
      </c>
      <c r="J2216" s="1544" t="n">
        <v>28.062</v>
      </c>
      <c r="K2216" s="1144" t="n">
        <f aca="false">I2216*J2216</f>
        <v>114913.89</v>
      </c>
      <c r="L2216" s="854" t="n">
        <v>114913.89</v>
      </c>
      <c r="M2216" s="854" t="n">
        <v>4095</v>
      </c>
      <c r="N2216" s="891" t="n">
        <f aca="false">M2216/H2216</f>
        <v>273</v>
      </c>
      <c r="O2216" s="537"/>
      <c r="P2216" s="1983" t="n">
        <f aca="false">K2216-L2216</f>
        <v>0</v>
      </c>
      <c r="Q2216" s="1970" t="n">
        <f aca="false">I2216-M2216</f>
        <v>0</v>
      </c>
      <c r="R2216" s="1970" t="n">
        <f aca="false">G2216-N2216</f>
        <v>0</v>
      </c>
    </row>
    <row r="2217" customFormat="false" ht="14.25" hidden="false" customHeight="false" outlineLevel="0" collapsed="false">
      <c r="A2217" s="847" t="n">
        <v>545</v>
      </c>
      <c r="B2217" s="1396" t="n">
        <v>2024</v>
      </c>
      <c r="C2217" s="1966" t="n">
        <v>45962</v>
      </c>
      <c r="D2217" s="848" t="s">
        <v>10</v>
      </c>
      <c r="E2217" s="1479" t="s">
        <v>2133</v>
      </c>
      <c r="F2217" s="848" t="s">
        <v>3364</v>
      </c>
      <c r="G2217" s="2018" t="n">
        <v>25</v>
      </c>
      <c r="H2217" s="1967" t="n">
        <v>800</v>
      </c>
      <c r="I2217" s="1380" t="n">
        <f aca="false">G2217*H2217</f>
        <v>20000</v>
      </c>
      <c r="J2217" s="1544" t="n">
        <v>92.99699</v>
      </c>
      <c r="K2217" s="1144" t="n">
        <f aca="false">I2217*J2217</f>
        <v>1859939.8</v>
      </c>
      <c r="L2217" s="854" t="n">
        <v>1859939.8</v>
      </c>
      <c r="M2217" s="854" t="n">
        <v>20000</v>
      </c>
      <c r="N2217" s="866" t="n">
        <f aca="false">M2217/H2217</f>
        <v>25</v>
      </c>
      <c r="O2217" s="537" t="s">
        <v>714</v>
      </c>
      <c r="P2217" s="1983" t="n">
        <f aca="false">K2217-L2217</f>
        <v>0</v>
      </c>
      <c r="Q2217" s="1970" t="n">
        <f aca="false">I2217-M2217</f>
        <v>0</v>
      </c>
      <c r="R2217" s="1970" t="n">
        <f aca="false">G2217-N2217</f>
        <v>0</v>
      </c>
    </row>
    <row r="2218" customFormat="false" ht="14.25" hidden="false" customHeight="false" outlineLevel="0" collapsed="false">
      <c r="A2218" s="847" t="n">
        <v>546</v>
      </c>
      <c r="B2218" s="1396" t="n">
        <v>2024</v>
      </c>
      <c r="C2218" s="1966" t="n">
        <v>45962</v>
      </c>
      <c r="D2218" s="848" t="s">
        <v>10</v>
      </c>
      <c r="E2218" s="1479" t="s">
        <v>2133</v>
      </c>
      <c r="F2218" s="848" t="s">
        <v>3364</v>
      </c>
      <c r="G2218" s="2018" t="n">
        <v>25</v>
      </c>
      <c r="H2218" s="1967" t="n">
        <v>800</v>
      </c>
      <c r="I2218" s="1380" t="n">
        <f aca="false">G2218*H2218</f>
        <v>20000</v>
      </c>
      <c r="J2218" s="1544" t="n">
        <v>94.4</v>
      </c>
      <c r="K2218" s="1144" t="n">
        <f aca="false">I2218*J2218</f>
        <v>1888000</v>
      </c>
      <c r="L2218" s="854" t="n">
        <v>1888000</v>
      </c>
      <c r="M2218" s="854" t="n">
        <v>20000</v>
      </c>
      <c r="N2218" s="866" t="n">
        <f aca="false">M2218/H2218</f>
        <v>25</v>
      </c>
      <c r="O2218" s="537" t="s">
        <v>716</v>
      </c>
      <c r="P2218" s="1983" t="n">
        <f aca="false">K2218-L2218</f>
        <v>0</v>
      </c>
      <c r="Q2218" s="1970" t="n">
        <f aca="false">I2218-M2218</f>
        <v>0</v>
      </c>
      <c r="R2218" s="1970" t="n">
        <f aca="false">G2218-N2218</f>
        <v>0</v>
      </c>
    </row>
    <row r="2219" customFormat="false" ht="14.25" hidden="false" customHeight="false" outlineLevel="0" collapsed="false">
      <c r="A2219" s="847" t="n">
        <v>550</v>
      </c>
      <c r="B2219" s="1396" t="n">
        <v>2024</v>
      </c>
      <c r="C2219" s="1966" t="n">
        <v>45962</v>
      </c>
      <c r="D2219" s="848" t="s">
        <v>10</v>
      </c>
      <c r="E2219" s="1479" t="s">
        <v>2133</v>
      </c>
      <c r="F2219" s="848" t="s">
        <v>3364</v>
      </c>
      <c r="G2219" s="2018" t="n">
        <v>25</v>
      </c>
      <c r="H2219" s="1967" t="n">
        <v>800</v>
      </c>
      <c r="I2219" s="1380" t="n">
        <f aca="false">G2219*H2219</f>
        <v>20000</v>
      </c>
      <c r="J2219" s="1544" t="n">
        <v>96.3917</v>
      </c>
      <c r="K2219" s="1144" t="n">
        <f aca="false">I2219*J2219</f>
        <v>1927834</v>
      </c>
      <c r="L2219" s="854" t="n">
        <v>1927834</v>
      </c>
      <c r="M2219" s="854" t="n">
        <v>20000</v>
      </c>
      <c r="N2219" s="866" t="n">
        <f aca="false">M2219/H2219</f>
        <v>25</v>
      </c>
      <c r="O2219" s="537" t="s">
        <v>716</v>
      </c>
      <c r="P2219" s="1983" t="n">
        <f aca="false">K2219-L2219</f>
        <v>0</v>
      </c>
      <c r="Q2219" s="1970" t="n">
        <f aca="false">I2219-M2219</f>
        <v>0</v>
      </c>
      <c r="R2219" s="1970" t="n">
        <f aca="false">G2219-N2219</f>
        <v>0</v>
      </c>
    </row>
    <row r="2220" customFormat="false" ht="14.25" hidden="false" customHeight="false" outlineLevel="0" collapsed="false">
      <c r="A2220" s="903" t="n">
        <v>551</v>
      </c>
      <c r="B2220" s="903" t="n">
        <v>2024</v>
      </c>
      <c r="C2220" s="1974" t="n">
        <v>45962</v>
      </c>
      <c r="D2220" s="904" t="s">
        <v>10</v>
      </c>
      <c r="E2220" s="1351" t="s">
        <v>2133</v>
      </c>
      <c r="F2220" s="904" t="s">
        <v>3364</v>
      </c>
      <c r="G2220" s="2012" t="n">
        <v>13</v>
      </c>
      <c r="H2220" s="1940" t="n">
        <v>800</v>
      </c>
      <c r="I2220" s="1355" t="n">
        <f aca="false">G2220*H2220</f>
        <v>10400</v>
      </c>
      <c r="J2220" s="1406" t="n">
        <v>96.3917</v>
      </c>
      <c r="K2220" s="1138" t="n">
        <f aca="false">I2220*J2220</f>
        <v>1002473.68</v>
      </c>
      <c r="L2220" s="891" t="n">
        <v>1002473.68</v>
      </c>
      <c r="M2220" s="891" t="n">
        <v>10400</v>
      </c>
      <c r="N2220" s="877" t="n">
        <f aca="false">M2220/H2220</f>
        <v>13</v>
      </c>
      <c r="O2220" s="942" t="s">
        <v>716</v>
      </c>
      <c r="P2220" s="1947" t="n">
        <f aca="false">K2220-L2220</f>
        <v>0</v>
      </c>
      <c r="Q2220" s="1945" t="n">
        <f aca="false">I2220-M2220</f>
        <v>0</v>
      </c>
      <c r="R2220" s="1945" t="n">
        <f aca="false">G2220-N2220</f>
        <v>0</v>
      </c>
    </row>
    <row r="2221" customFormat="false" ht="14.25" hidden="false" customHeight="false" outlineLevel="0" collapsed="false">
      <c r="A2221" s="829" t="n">
        <v>552</v>
      </c>
      <c r="B2221" s="830" t="n">
        <v>2024</v>
      </c>
      <c r="C2221" s="1965" t="n">
        <v>45962</v>
      </c>
      <c r="D2221" s="831" t="s">
        <v>10</v>
      </c>
      <c r="E2221" s="1365" t="s">
        <v>2133</v>
      </c>
      <c r="F2221" s="832" t="s">
        <v>3364</v>
      </c>
      <c r="G2221" s="2010" t="n">
        <v>12</v>
      </c>
      <c r="H2221" s="1931" t="n">
        <v>800</v>
      </c>
      <c r="I2221" s="837" t="n">
        <f aca="false">G2221*H2221</f>
        <v>9600</v>
      </c>
      <c r="J2221" s="1059" t="n">
        <v>94.1411</v>
      </c>
      <c r="K2221" s="943" t="n">
        <f aca="false">I2221*J2221</f>
        <v>903754.56</v>
      </c>
      <c r="L2221" s="840" t="n">
        <v>828441.68</v>
      </c>
      <c r="M2221" s="840" t="n">
        <v>8800</v>
      </c>
      <c r="N2221" s="840" t="n">
        <f aca="false">M2221/H2221</f>
        <v>11</v>
      </c>
      <c r="O2221" s="1114" t="s">
        <v>716</v>
      </c>
      <c r="P2221" s="1934" t="n">
        <f aca="false">K2221-L2221-L2222</f>
        <v>-1.16415321826935E-010</v>
      </c>
      <c r="Q2221" s="1934" t="n">
        <f aca="false">I2221-M2221-M2222</f>
        <v>0</v>
      </c>
      <c r="R2221" s="1935" t="n">
        <f aca="false">G2221-N2221-N2222</f>
        <v>0</v>
      </c>
    </row>
    <row r="2222" customFormat="false" ht="14.25" hidden="false" customHeight="false" outlineLevel="0" collapsed="false">
      <c r="A2222" s="829"/>
      <c r="B2222" s="830"/>
      <c r="C2222" s="1965"/>
      <c r="D2222" s="887" t="s">
        <v>10</v>
      </c>
      <c r="E2222" s="1501" t="s">
        <v>2133</v>
      </c>
      <c r="F2222" s="832"/>
      <c r="G2222" s="2010"/>
      <c r="H2222" s="1931"/>
      <c r="I2222" s="837"/>
      <c r="J2222" s="1059"/>
      <c r="K2222" s="943"/>
      <c r="L2222" s="890" t="n">
        <v>75312.88</v>
      </c>
      <c r="M2222" s="890" t="n">
        <v>800</v>
      </c>
      <c r="N2222" s="846" t="n">
        <f aca="false">M2222/H2221</f>
        <v>1</v>
      </c>
      <c r="O2222" s="1067" t="s">
        <v>716</v>
      </c>
      <c r="P2222" s="1934"/>
      <c r="Q2222" s="1934"/>
      <c r="R2222" s="1935"/>
    </row>
    <row r="2223" customFormat="false" ht="14.25" hidden="false" customHeight="false" outlineLevel="0" collapsed="false">
      <c r="A2223" s="847" t="n">
        <v>559</v>
      </c>
      <c r="B2223" s="1396" t="n">
        <v>2024</v>
      </c>
      <c r="C2223" s="1966" t="n">
        <v>45962</v>
      </c>
      <c r="D2223" s="848" t="s">
        <v>10</v>
      </c>
      <c r="E2223" s="1479" t="s">
        <v>2619</v>
      </c>
      <c r="F2223" s="848" t="s">
        <v>3364</v>
      </c>
      <c r="G2223" s="2018" t="n">
        <v>24</v>
      </c>
      <c r="H2223" s="1967" t="n">
        <v>30</v>
      </c>
      <c r="I2223" s="1380" t="n">
        <f aca="false">G2223*H2223</f>
        <v>720</v>
      </c>
      <c r="J2223" s="1544" t="n">
        <v>93</v>
      </c>
      <c r="K2223" s="1144" t="n">
        <f aca="false">I2223*J2223</f>
        <v>66960</v>
      </c>
      <c r="L2223" s="854" t="n">
        <v>66960</v>
      </c>
      <c r="M2223" s="854" t="n">
        <v>720</v>
      </c>
      <c r="N2223" s="854" t="n">
        <f aca="false">M2223/H2223</f>
        <v>24</v>
      </c>
      <c r="O2223" s="537" t="s">
        <v>706</v>
      </c>
      <c r="P2223" s="1983" t="n">
        <f aca="false">K2223-L2223</f>
        <v>0</v>
      </c>
      <c r="Q2223" s="1970" t="n">
        <f aca="false">I2223-M2223</f>
        <v>0</v>
      </c>
      <c r="R2223" s="1970" t="n">
        <f aca="false">G2223-N2223</f>
        <v>0</v>
      </c>
    </row>
    <row r="2224" customFormat="false" ht="14.25" hidden="false" customHeight="false" outlineLevel="0" collapsed="false">
      <c r="A2224" s="903" t="n">
        <v>567</v>
      </c>
      <c r="B2224" s="903" t="n">
        <v>2024</v>
      </c>
      <c r="C2224" s="1974" t="n">
        <v>45962</v>
      </c>
      <c r="D2224" s="904" t="s">
        <v>10</v>
      </c>
      <c r="E2224" s="1351" t="s">
        <v>1651</v>
      </c>
      <c r="F2224" s="904" t="s">
        <v>3364</v>
      </c>
      <c r="G2224" s="2012" t="n">
        <v>67</v>
      </c>
      <c r="H2224" s="1940" t="n">
        <v>15</v>
      </c>
      <c r="I2224" s="1355" t="n">
        <f aca="false">G2224*H2224</f>
        <v>1005</v>
      </c>
      <c r="J2224" s="1406" t="n">
        <v>26.343</v>
      </c>
      <c r="K2224" s="1138" t="n">
        <f aca="false">I2224*J2224</f>
        <v>26474.715</v>
      </c>
      <c r="L2224" s="891" t="n">
        <v>26474.715</v>
      </c>
      <c r="M2224" s="891" t="n">
        <v>1005</v>
      </c>
      <c r="N2224" s="877" t="n">
        <f aca="false">M2224/H2224</f>
        <v>67</v>
      </c>
      <c r="O2224" s="942" t="s">
        <v>866</v>
      </c>
      <c r="P2224" s="1947" t="n">
        <f aca="false">K2224-L2224</f>
        <v>0</v>
      </c>
      <c r="Q2224" s="1945" t="n">
        <f aca="false">I2224-M2224</f>
        <v>0</v>
      </c>
      <c r="R2224" s="1945" t="n">
        <f aca="false">G2224-N2224</f>
        <v>0</v>
      </c>
    </row>
    <row r="2225" customFormat="false" ht="14.25" hidden="false" customHeight="false" outlineLevel="0" collapsed="false">
      <c r="A2225" s="829" t="n">
        <v>569</v>
      </c>
      <c r="B2225" s="830" t="n">
        <v>2024</v>
      </c>
      <c r="C2225" s="1965" t="n">
        <v>45962</v>
      </c>
      <c r="D2225" s="831" t="s">
        <v>10</v>
      </c>
      <c r="E2225" s="1365" t="s">
        <v>1651</v>
      </c>
      <c r="F2225" s="832" t="s">
        <v>3364</v>
      </c>
      <c r="G2225" s="2010" t="n">
        <v>274</v>
      </c>
      <c r="H2225" s="1931" t="n">
        <v>15</v>
      </c>
      <c r="I2225" s="837" t="n">
        <f aca="false">G2225*H2225</f>
        <v>4110</v>
      </c>
      <c r="J2225" s="1059" t="n">
        <v>26.3686</v>
      </c>
      <c r="K2225" s="943" t="n">
        <f aca="false">I2225*J2225</f>
        <v>108374.946</v>
      </c>
      <c r="L2225" s="840" t="n">
        <v>791.058</v>
      </c>
      <c r="M2225" s="840" t="n">
        <v>30</v>
      </c>
      <c r="N2225" s="886" t="n">
        <f aca="false">M2225/H2225</f>
        <v>2</v>
      </c>
      <c r="O2225" s="1114" t="s">
        <v>754</v>
      </c>
      <c r="P2225" s="1948" t="n">
        <f aca="false">K2225-L2225-L2233-L2226-L2232-L2227-L2231-L2230-L2228-L2229</f>
        <v>0</v>
      </c>
      <c r="Q2225" s="1934" t="n">
        <f aca="false">I2225-M2225-M2233-M2226-M2232-M2227-M2231-M2230-M2228-M2229</f>
        <v>0</v>
      </c>
      <c r="R2225" s="1935" t="n">
        <f aca="false">G2225-N2225-N2233-N2226-N2232-N2227-N2231-N2230-N2228-N2229</f>
        <v>0</v>
      </c>
    </row>
    <row r="2226" customFormat="false" ht="14.25" hidden="false" customHeight="false" outlineLevel="0" collapsed="false">
      <c r="A2226" s="829"/>
      <c r="B2226" s="830"/>
      <c r="C2226" s="1965"/>
      <c r="D2226" s="860" t="s">
        <v>10</v>
      </c>
      <c r="E2226" s="1480" t="s">
        <v>1651</v>
      </c>
      <c r="F2226" s="832"/>
      <c r="G2226" s="2010"/>
      <c r="H2226" s="1931"/>
      <c r="I2226" s="837"/>
      <c r="J2226" s="1059"/>
      <c r="K2226" s="943"/>
      <c r="L2226" s="866" t="n">
        <v>2373.174</v>
      </c>
      <c r="M2226" s="866" t="n">
        <v>90</v>
      </c>
      <c r="N2226" s="866" t="n">
        <f aca="false">M2226/H2225</f>
        <v>6</v>
      </c>
      <c r="O2226" s="543" t="s">
        <v>3418</v>
      </c>
      <c r="P2226" s="1948"/>
      <c r="Q2226" s="1934"/>
      <c r="R2226" s="1935"/>
    </row>
    <row r="2227" customFormat="false" ht="14.25" hidden="false" customHeight="false" outlineLevel="0" collapsed="false">
      <c r="A2227" s="829"/>
      <c r="B2227" s="830"/>
      <c r="C2227" s="1965"/>
      <c r="D2227" s="860" t="s">
        <v>10</v>
      </c>
      <c r="E2227" s="1480" t="s">
        <v>1651</v>
      </c>
      <c r="F2227" s="832"/>
      <c r="G2227" s="2010"/>
      <c r="H2227" s="1931"/>
      <c r="I2227" s="837"/>
      <c r="J2227" s="1059"/>
      <c r="K2227" s="943"/>
      <c r="L2227" s="866" t="n">
        <v>791.058</v>
      </c>
      <c r="M2227" s="866" t="n">
        <v>30</v>
      </c>
      <c r="N2227" s="866" t="n">
        <f aca="false">M2227/H2225</f>
        <v>2</v>
      </c>
      <c r="O2227" s="543" t="s">
        <v>859</v>
      </c>
      <c r="P2227" s="1948"/>
      <c r="Q2227" s="1934"/>
      <c r="R2227" s="1935"/>
    </row>
    <row r="2228" customFormat="false" ht="14.25" hidden="false" customHeight="false" outlineLevel="0" collapsed="false">
      <c r="A2228" s="829"/>
      <c r="B2228" s="830"/>
      <c r="C2228" s="1965"/>
      <c r="D2228" s="860" t="s">
        <v>10</v>
      </c>
      <c r="E2228" s="1480" t="s">
        <v>1651</v>
      </c>
      <c r="F2228" s="832"/>
      <c r="G2228" s="2010"/>
      <c r="H2228" s="1931"/>
      <c r="I2228" s="837"/>
      <c r="J2228" s="1059"/>
      <c r="K2228" s="943"/>
      <c r="L2228" s="866" t="n">
        <v>791.058</v>
      </c>
      <c r="M2228" s="866" t="n">
        <v>30</v>
      </c>
      <c r="N2228" s="866" t="n">
        <f aca="false">M2228/H2225</f>
        <v>2</v>
      </c>
      <c r="O2228" s="543" t="s">
        <v>856</v>
      </c>
      <c r="P2228" s="1948"/>
      <c r="Q2228" s="1934"/>
      <c r="R2228" s="1935"/>
    </row>
    <row r="2229" customFormat="false" ht="14.25" hidden="false" customHeight="false" outlineLevel="0" collapsed="false">
      <c r="A2229" s="829"/>
      <c r="B2229" s="830"/>
      <c r="C2229" s="1965"/>
      <c r="D2229" s="860" t="s">
        <v>10</v>
      </c>
      <c r="E2229" s="1480" t="s">
        <v>1651</v>
      </c>
      <c r="F2229" s="832"/>
      <c r="G2229" s="2010"/>
      <c r="H2229" s="1931"/>
      <c r="I2229" s="837"/>
      <c r="J2229" s="1059"/>
      <c r="K2229" s="943"/>
      <c r="L2229" s="866" t="n">
        <v>9888.225</v>
      </c>
      <c r="M2229" s="866" t="n">
        <v>375</v>
      </c>
      <c r="N2229" s="866" t="n">
        <f aca="false">M2229/H2225</f>
        <v>25</v>
      </c>
      <c r="O2229" s="543" t="s">
        <v>849</v>
      </c>
      <c r="P2229" s="1948"/>
      <c r="Q2229" s="1934"/>
      <c r="R2229" s="1935"/>
    </row>
    <row r="2230" customFormat="false" ht="14.25" hidden="false" customHeight="false" outlineLevel="0" collapsed="false">
      <c r="A2230" s="829"/>
      <c r="B2230" s="830"/>
      <c r="C2230" s="1965"/>
      <c r="D2230" s="860" t="s">
        <v>10</v>
      </c>
      <c r="E2230" s="1480" t="s">
        <v>1651</v>
      </c>
      <c r="F2230" s="832"/>
      <c r="G2230" s="2010"/>
      <c r="H2230" s="1931"/>
      <c r="I2230" s="837"/>
      <c r="J2230" s="1059"/>
      <c r="K2230" s="943"/>
      <c r="L2230" s="866" t="n">
        <v>791.058</v>
      </c>
      <c r="M2230" s="866" t="n">
        <v>30</v>
      </c>
      <c r="N2230" s="866" t="n">
        <f aca="false">M2230/H2225</f>
        <v>2</v>
      </c>
      <c r="O2230" s="543" t="s">
        <v>857</v>
      </c>
      <c r="P2230" s="1948"/>
      <c r="Q2230" s="1934"/>
      <c r="R2230" s="1935"/>
    </row>
    <row r="2231" customFormat="false" ht="14.25" hidden="false" customHeight="false" outlineLevel="0" collapsed="false">
      <c r="A2231" s="829"/>
      <c r="B2231" s="830"/>
      <c r="C2231" s="1965"/>
      <c r="D2231" s="860" t="s">
        <v>10</v>
      </c>
      <c r="E2231" s="1480" t="s">
        <v>1651</v>
      </c>
      <c r="F2231" s="832"/>
      <c r="G2231" s="2010"/>
      <c r="H2231" s="1931"/>
      <c r="I2231" s="837"/>
      <c r="J2231" s="1059"/>
      <c r="K2231" s="943"/>
      <c r="L2231" s="866" t="n">
        <v>791.058</v>
      </c>
      <c r="M2231" s="866" t="n">
        <v>30</v>
      </c>
      <c r="N2231" s="866" t="n">
        <f aca="false">M2231/H2225</f>
        <v>2</v>
      </c>
      <c r="O2231" s="543" t="s">
        <v>858</v>
      </c>
      <c r="P2231" s="1948"/>
      <c r="Q2231" s="1934"/>
      <c r="R2231" s="1935"/>
    </row>
    <row r="2232" customFormat="false" ht="14.25" hidden="false" customHeight="false" outlineLevel="0" collapsed="false">
      <c r="A2232" s="829"/>
      <c r="B2232" s="830"/>
      <c r="C2232" s="1965"/>
      <c r="D2232" s="860" t="s">
        <v>10</v>
      </c>
      <c r="E2232" s="1480" t="s">
        <v>1651</v>
      </c>
      <c r="F2232" s="832"/>
      <c r="G2232" s="2010"/>
      <c r="H2232" s="1931"/>
      <c r="I2232" s="837"/>
      <c r="J2232" s="1059"/>
      <c r="K2232" s="943"/>
      <c r="L2232" s="866" t="n">
        <v>791.058</v>
      </c>
      <c r="M2232" s="866" t="n">
        <v>30</v>
      </c>
      <c r="N2232" s="866" t="n">
        <f aca="false">M2232/H2225</f>
        <v>2</v>
      </c>
      <c r="O2232" s="543" t="s">
        <v>860</v>
      </c>
      <c r="P2232" s="1948"/>
      <c r="Q2232" s="1934"/>
      <c r="R2232" s="1935"/>
    </row>
    <row r="2233" customFormat="false" ht="14.25" hidden="false" customHeight="false" outlineLevel="0" collapsed="false">
      <c r="A2233" s="829"/>
      <c r="B2233" s="830"/>
      <c r="C2233" s="1965"/>
      <c r="D2233" s="843" t="s">
        <v>10</v>
      </c>
      <c r="E2233" s="1357" t="s">
        <v>1651</v>
      </c>
      <c r="F2233" s="832"/>
      <c r="G2233" s="2010"/>
      <c r="H2233" s="1931"/>
      <c r="I2233" s="837"/>
      <c r="J2233" s="1059"/>
      <c r="K2233" s="943"/>
      <c r="L2233" s="846" t="n">
        <v>91367.199</v>
      </c>
      <c r="M2233" s="846" t="n">
        <v>3465</v>
      </c>
      <c r="N2233" s="846" t="n">
        <f aca="false">M2233/H2225</f>
        <v>231</v>
      </c>
      <c r="O2233" s="589" t="s">
        <v>385</v>
      </c>
      <c r="P2233" s="1948"/>
      <c r="Q2233" s="1934"/>
      <c r="R2233" s="1935"/>
    </row>
    <row r="2234" customFormat="false" ht="14.25" hidden="false" customHeight="false" outlineLevel="0" collapsed="false">
      <c r="A2234" s="1087" t="n">
        <v>570</v>
      </c>
      <c r="B2234" s="1072" t="n">
        <v>2024</v>
      </c>
      <c r="C2234" s="1980" t="n">
        <v>45962</v>
      </c>
      <c r="D2234" s="848" t="s">
        <v>10</v>
      </c>
      <c r="E2234" s="1479" t="s">
        <v>1652</v>
      </c>
      <c r="F2234" s="887" t="s">
        <v>3364</v>
      </c>
      <c r="G2234" s="2017" t="n">
        <v>1333</v>
      </c>
      <c r="H2234" s="1950" t="n">
        <v>15</v>
      </c>
      <c r="I2234" s="1067" t="n">
        <f aca="false">G2234*H2234</f>
        <v>19995</v>
      </c>
      <c r="J2234" s="1063" t="n">
        <v>42.2191</v>
      </c>
      <c r="K2234" s="1452" t="n">
        <f aca="false">I2234*J2234</f>
        <v>844170.9045</v>
      </c>
      <c r="L2234" s="854" t="n">
        <v>295744.7955</v>
      </c>
      <c r="M2234" s="854" t="n">
        <v>7005</v>
      </c>
      <c r="N2234" s="891" t="n">
        <f aca="false">M2234/H2234</f>
        <v>467</v>
      </c>
      <c r="O2234" s="537" t="s">
        <v>736</v>
      </c>
      <c r="P2234" s="1953" t="n">
        <f aca="false">K2234-L2234-L2243-L2242-L2235-L2236-L2241-L2240-L2237-L2239-L2238</f>
        <v>-7.08268999005668E-011</v>
      </c>
      <c r="Q2234" s="1953" t="n">
        <f aca="false">I2234-M2234-M2243-M2242-M2235-M2236-M2241-M2240-M2237-M2239-M2238</f>
        <v>0</v>
      </c>
      <c r="R2234" s="1954" t="n">
        <f aca="false">G2234-N2234-N2243-N2242-N2235-N2236-N2241-N2240-N2237-N2239-N2238</f>
        <v>0</v>
      </c>
    </row>
    <row r="2235" customFormat="false" ht="14.25" hidden="false" customHeight="false" outlineLevel="0" collapsed="false">
      <c r="A2235" s="1087"/>
      <c r="B2235" s="1072"/>
      <c r="C2235" s="1980"/>
      <c r="D2235" s="848" t="s">
        <v>10</v>
      </c>
      <c r="E2235" s="1479" t="s">
        <v>1652</v>
      </c>
      <c r="F2235" s="887"/>
      <c r="G2235" s="2017"/>
      <c r="H2235" s="1950"/>
      <c r="I2235" s="1067"/>
      <c r="J2235" s="1063"/>
      <c r="K2235" s="1452"/>
      <c r="L2235" s="854" t="n">
        <v>633.2865</v>
      </c>
      <c r="M2235" s="854" t="n">
        <v>15</v>
      </c>
      <c r="N2235" s="866" t="n">
        <f aca="false">M2235/H2234</f>
        <v>1</v>
      </c>
      <c r="O2235" s="537" t="s">
        <v>746</v>
      </c>
      <c r="P2235" s="1953"/>
      <c r="Q2235" s="1953"/>
      <c r="R2235" s="1954"/>
    </row>
    <row r="2236" customFormat="false" ht="14.25" hidden="false" customHeight="false" outlineLevel="0" collapsed="false">
      <c r="A2236" s="1087"/>
      <c r="B2236" s="1072"/>
      <c r="C2236" s="1980"/>
      <c r="D2236" s="848" t="s">
        <v>10</v>
      </c>
      <c r="E2236" s="1479" t="s">
        <v>1652</v>
      </c>
      <c r="F2236" s="887"/>
      <c r="G2236" s="2017"/>
      <c r="H2236" s="1950"/>
      <c r="I2236" s="1067"/>
      <c r="J2236" s="1063"/>
      <c r="K2236" s="1452"/>
      <c r="L2236" s="854" t="n">
        <v>75994.38</v>
      </c>
      <c r="M2236" s="854" t="n">
        <v>1800</v>
      </c>
      <c r="N2236" s="866" t="n">
        <f aca="false">M2236/H2234</f>
        <v>120</v>
      </c>
      <c r="O2236" s="537" t="s">
        <v>766</v>
      </c>
      <c r="P2236" s="1953"/>
      <c r="Q2236" s="1953"/>
      <c r="R2236" s="1954"/>
    </row>
    <row r="2237" customFormat="false" ht="14.25" hidden="false" customHeight="false" outlineLevel="0" collapsed="false">
      <c r="A2237" s="1087"/>
      <c r="B2237" s="1072"/>
      <c r="C2237" s="1980"/>
      <c r="D2237" s="848" t="s">
        <v>10</v>
      </c>
      <c r="E2237" s="1479" t="s">
        <v>1652</v>
      </c>
      <c r="F2237" s="887"/>
      <c r="G2237" s="2017"/>
      <c r="H2237" s="1950"/>
      <c r="I2237" s="1067"/>
      <c r="J2237" s="1063"/>
      <c r="K2237" s="1452"/>
      <c r="L2237" s="854" t="n">
        <v>21531.741</v>
      </c>
      <c r="M2237" s="854" t="n">
        <v>510</v>
      </c>
      <c r="N2237" s="866" t="n">
        <f aca="false">M2237/H2234</f>
        <v>34</v>
      </c>
      <c r="O2237" s="537" t="s">
        <v>830</v>
      </c>
      <c r="P2237" s="1953"/>
      <c r="Q2237" s="1953"/>
      <c r="R2237" s="1954"/>
    </row>
    <row r="2238" customFormat="false" ht="14.25" hidden="false" customHeight="false" outlineLevel="0" collapsed="false">
      <c r="A2238" s="1087"/>
      <c r="B2238" s="1072"/>
      <c r="C2238" s="1980"/>
      <c r="D2238" s="848" t="s">
        <v>10</v>
      </c>
      <c r="E2238" s="1479" t="s">
        <v>1652</v>
      </c>
      <c r="F2238" s="887"/>
      <c r="G2238" s="2017"/>
      <c r="H2238" s="1950"/>
      <c r="I2238" s="1067"/>
      <c r="J2238" s="1063"/>
      <c r="K2238" s="1452"/>
      <c r="L2238" s="854" t="n">
        <v>633.2865</v>
      </c>
      <c r="M2238" s="854" t="n">
        <v>15</v>
      </c>
      <c r="N2238" s="866" t="n">
        <f aca="false">M2238/H2234</f>
        <v>1</v>
      </c>
      <c r="O2238" s="537" t="s">
        <v>807</v>
      </c>
      <c r="P2238" s="1953"/>
      <c r="Q2238" s="1953"/>
      <c r="R2238" s="1954"/>
    </row>
    <row r="2239" customFormat="false" ht="14.25" hidden="false" customHeight="false" outlineLevel="0" collapsed="false">
      <c r="A2239" s="1087"/>
      <c r="B2239" s="1072"/>
      <c r="C2239" s="1980"/>
      <c r="D2239" s="848" t="s">
        <v>10</v>
      </c>
      <c r="E2239" s="1479" t="s">
        <v>1652</v>
      </c>
      <c r="F2239" s="887"/>
      <c r="G2239" s="2017"/>
      <c r="H2239" s="1950"/>
      <c r="I2239" s="1067"/>
      <c r="J2239" s="1063"/>
      <c r="K2239" s="1452"/>
      <c r="L2239" s="854" t="n">
        <v>135523.311</v>
      </c>
      <c r="M2239" s="854" t="n">
        <v>3210</v>
      </c>
      <c r="N2239" s="866" t="n">
        <f aca="false">M2239/H2234</f>
        <v>214</v>
      </c>
      <c r="O2239" s="537" t="s">
        <v>820</v>
      </c>
      <c r="P2239" s="1953"/>
      <c r="Q2239" s="1953"/>
      <c r="R2239" s="1954"/>
    </row>
    <row r="2240" customFormat="false" ht="14.25" hidden="false" customHeight="false" outlineLevel="0" collapsed="false">
      <c r="A2240" s="1087"/>
      <c r="B2240" s="1072"/>
      <c r="C2240" s="1980"/>
      <c r="D2240" s="848" t="s">
        <v>10</v>
      </c>
      <c r="E2240" s="1479" t="s">
        <v>1652</v>
      </c>
      <c r="F2240" s="887"/>
      <c r="G2240" s="2017"/>
      <c r="H2240" s="1950"/>
      <c r="I2240" s="1067"/>
      <c r="J2240" s="1063"/>
      <c r="K2240" s="1452"/>
      <c r="L2240" s="854" t="n">
        <v>1266.573</v>
      </c>
      <c r="M2240" s="854" t="n">
        <v>30</v>
      </c>
      <c r="N2240" s="866" t="n">
        <f aca="false">M2240/H2234</f>
        <v>2</v>
      </c>
      <c r="O2240" s="537" t="s">
        <v>858</v>
      </c>
      <c r="P2240" s="1953"/>
      <c r="Q2240" s="1953"/>
      <c r="R2240" s="1954"/>
    </row>
    <row r="2241" customFormat="false" ht="14.25" hidden="false" customHeight="false" outlineLevel="0" collapsed="false">
      <c r="A2241" s="1087"/>
      <c r="B2241" s="1072"/>
      <c r="C2241" s="1980"/>
      <c r="D2241" s="848" t="s">
        <v>10</v>
      </c>
      <c r="E2241" s="1479" t="s">
        <v>1652</v>
      </c>
      <c r="F2241" s="887"/>
      <c r="G2241" s="2017"/>
      <c r="H2241" s="1950"/>
      <c r="I2241" s="1067"/>
      <c r="J2241" s="1063"/>
      <c r="K2241" s="1452"/>
      <c r="L2241" s="854" t="n">
        <v>21531.741</v>
      </c>
      <c r="M2241" s="854" t="n">
        <v>510</v>
      </c>
      <c r="N2241" s="866" t="n">
        <f aca="false">M2241/H2234</f>
        <v>34</v>
      </c>
      <c r="O2241" s="537" t="s">
        <v>771</v>
      </c>
      <c r="P2241" s="1953"/>
      <c r="Q2241" s="1953"/>
      <c r="R2241" s="1954"/>
    </row>
    <row r="2242" customFormat="false" ht="14.25" hidden="false" customHeight="false" outlineLevel="0" collapsed="false">
      <c r="A2242" s="1087"/>
      <c r="B2242" s="1072"/>
      <c r="C2242" s="1980"/>
      <c r="D2242" s="860" t="s">
        <v>10</v>
      </c>
      <c r="E2242" s="1480" t="s">
        <v>1652</v>
      </c>
      <c r="F2242" s="887"/>
      <c r="G2242" s="2017"/>
      <c r="H2242" s="1950"/>
      <c r="I2242" s="1067"/>
      <c r="J2242" s="1063"/>
      <c r="K2242" s="1452"/>
      <c r="L2242" s="866" t="n">
        <v>215317.41</v>
      </c>
      <c r="M2242" s="866" t="n">
        <v>5100</v>
      </c>
      <c r="N2242" s="866" t="n">
        <f aca="false">M2242/H2234</f>
        <v>340</v>
      </c>
      <c r="O2242" s="543" t="s">
        <v>742</v>
      </c>
      <c r="P2242" s="1953"/>
      <c r="Q2242" s="1953"/>
      <c r="R2242" s="1954"/>
    </row>
    <row r="2243" customFormat="false" ht="14.25" hidden="false" customHeight="false" outlineLevel="0" collapsed="false">
      <c r="A2243" s="1087"/>
      <c r="B2243" s="1072"/>
      <c r="C2243" s="1980"/>
      <c r="D2243" s="887" t="s">
        <v>10</v>
      </c>
      <c r="E2243" s="1501" t="s">
        <v>1652</v>
      </c>
      <c r="F2243" s="887"/>
      <c r="G2243" s="2017"/>
      <c r="H2243" s="1950"/>
      <c r="I2243" s="1067"/>
      <c r="J2243" s="1063"/>
      <c r="K2243" s="1452"/>
      <c r="L2243" s="890" t="n">
        <v>75994.38</v>
      </c>
      <c r="M2243" s="890" t="n">
        <v>1800</v>
      </c>
      <c r="N2243" s="890" t="n">
        <f aca="false">M2243/H2234</f>
        <v>120</v>
      </c>
      <c r="O2243" s="1067" t="s">
        <v>739</v>
      </c>
      <c r="P2243" s="1953"/>
      <c r="Q2243" s="1953"/>
      <c r="R2243" s="1954"/>
    </row>
    <row r="2244" customFormat="false" ht="14.25" hidden="false" customHeight="false" outlineLevel="0" collapsed="false">
      <c r="A2244" s="903" t="n">
        <v>571</v>
      </c>
      <c r="B2244" s="903" t="n">
        <v>2024</v>
      </c>
      <c r="C2244" s="1974" t="n">
        <v>45962</v>
      </c>
      <c r="D2244" s="904" t="s">
        <v>10</v>
      </c>
      <c r="E2244" s="1351" t="s">
        <v>1652</v>
      </c>
      <c r="F2244" s="904" t="s">
        <v>3375</v>
      </c>
      <c r="G2244" s="2012" t="n">
        <v>16</v>
      </c>
      <c r="H2244" s="1940" t="n">
        <v>15</v>
      </c>
      <c r="I2244" s="1355" t="n">
        <f aca="false">G2244*H2244</f>
        <v>240</v>
      </c>
      <c r="J2244" s="1406" t="n">
        <v>61.5695</v>
      </c>
      <c r="K2244" s="1138" t="n">
        <f aca="false">I2244*J2244</f>
        <v>14776.68</v>
      </c>
      <c r="L2244" s="891" t="n">
        <v>14776.68</v>
      </c>
      <c r="M2244" s="891" t="n">
        <v>240</v>
      </c>
      <c r="N2244" s="866" t="n">
        <f aca="false">M2244/H2244</f>
        <v>16</v>
      </c>
      <c r="O2244" s="942" t="s">
        <v>899</v>
      </c>
      <c r="P2244" s="1947" t="n">
        <f aca="false">K2244-L2244</f>
        <v>0</v>
      </c>
      <c r="Q2244" s="1945" t="n">
        <f aca="false">I2244-M2244</f>
        <v>0</v>
      </c>
      <c r="R2244" s="1945" t="n">
        <f aca="false">G2244-N2244</f>
        <v>0</v>
      </c>
    </row>
    <row r="2245" customFormat="false" ht="14.25" hidden="false" customHeight="false" outlineLevel="0" collapsed="false">
      <c r="A2245" s="1027" t="n">
        <v>592</v>
      </c>
      <c r="B2245" s="1546" t="n">
        <v>2024</v>
      </c>
      <c r="C2245" s="1975" t="n">
        <v>45962</v>
      </c>
      <c r="D2245" s="831" t="s">
        <v>10</v>
      </c>
      <c r="E2245" s="1365" t="s">
        <v>1652</v>
      </c>
      <c r="F2245" s="1328" t="s">
        <v>3364</v>
      </c>
      <c r="G2245" s="2011" t="n">
        <v>760</v>
      </c>
      <c r="H2245" s="1976" t="n">
        <v>15</v>
      </c>
      <c r="I2245" s="1036" t="n">
        <f aca="false">G2245*H2245</f>
        <v>11400</v>
      </c>
      <c r="J2245" s="1557" t="n">
        <v>40.8383</v>
      </c>
      <c r="K2245" s="1547" t="n">
        <f aca="false">I2245*J2245</f>
        <v>465556.62</v>
      </c>
      <c r="L2245" s="840" t="n">
        <v>52681.407</v>
      </c>
      <c r="M2245" s="840" t="n">
        <v>1290</v>
      </c>
      <c r="N2245" s="886" t="n">
        <f aca="false">M2245/H2245</f>
        <v>86</v>
      </c>
      <c r="O2245" s="1114" t="s">
        <v>910</v>
      </c>
      <c r="P2245" s="1984" t="n">
        <f aca="false">K2245-L2245-L2247-L2246</f>
        <v>0</v>
      </c>
      <c r="Q2245" s="1978" t="n">
        <f aca="false">I2245-M2245-M2247-M2246</f>
        <v>0</v>
      </c>
      <c r="R2245" s="1979" t="n">
        <f aca="false">G2245-N2245-N2247-N2246</f>
        <v>0</v>
      </c>
    </row>
    <row r="2246" customFormat="false" ht="14.25" hidden="false" customHeight="false" outlineLevel="0" collapsed="false">
      <c r="A2246" s="1027"/>
      <c r="B2246" s="1546"/>
      <c r="C2246" s="1975"/>
      <c r="D2246" s="860" t="s">
        <v>10</v>
      </c>
      <c r="E2246" s="1480" t="s">
        <v>1652</v>
      </c>
      <c r="F2246" s="1328"/>
      <c r="G2246" s="2011"/>
      <c r="H2246" s="1976"/>
      <c r="I2246" s="1036"/>
      <c r="J2246" s="1557"/>
      <c r="K2246" s="1547"/>
      <c r="L2246" s="866" t="n">
        <v>343041.72</v>
      </c>
      <c r="M2246" s="866" t="n">
        <v>8400</v>
      </c>
      <c r="N2246" s="866" t="n">
        <f aca="false">M2246/H2245</f>
        <v>560</v>
      </c>
      <c r="O2246" s="543" t="s">
        <v>632</v>
      </c>
      <c r="P2246" s="1984"/>
      <c r="Q2246" s="1978"/>
      <c r="R2246" s="1979"/>
    </row>
    <row r="2247" customFormat="false" ht="14.25" hidden="false" customHeight="false" outlineLevel="0" collapsed="false">
      <c r="A2247" s="1027"/>
      <c r="B2247" s="1546"/>
      <c r="C2247" s="1975"/>
      <c r="D2247" s="904" t="s">
        <v>10</v>
      </c>
      <c r="E2247" s="1351" t="s">
        <v>1652</v>
      </c>
      <c r="F2247" s="1328"/>
      <c r="G2247" s="2011"/>
      <c r="H2247" s="1976"/>
      <c r="I2247" s="1036"/>
      <c r="J2247" s="1557"/>
      <c r="K2247" s="1547"/>
      <c r="L2247" s="891" t="n">
        <v>69833.493</v>
      </c>
      <c r="M2247" s="891" t="n">
        <v>1710</v>
      </c>
      <c r="N2247" s="891" t="n">
        <f aca="false">M2247/H2245</f>
        <v>114</v>
      </c>
      <c r="O2247" s="942" t="s">
        <v>818</v>
      </c>
      <c r="P2247" s="1984"/>
      <c r="Q2247" s="1978"/>
      <c r="R2247" s="1979"/>
    </row>
    <row r="2248" customFormat="false" ht="14.25" hidden="false" customHeight="false" outlineLevel="0" collapsed="false">
      <c r="A2248" s="829" t="n">
        <v>650</v>
      </c>
      <c r="B2248" s="830" t="n">
        <v>2024</v>
      </c>
      <c r="C2248" s="1965" t="n">
        <v>45992</v>
      </c>
      <c r="D2248" s="831" t="s">
        <v>10</v>
      </c>
      <c r="E2248" s="1365" t="s">
        <v>1652</v>
      </c>
      <c r="F2248" s="832" t="s">
        <v>3375</v>
      </c>
      <c r="G2248" s="2010" t="n">
        <v>800</v>
      </c>
      <c r="H2248" s="1931" t="n">
        <v>15</v>
      </c>
      <c r="I2248" s="837" t="n">
        <f aca="false">G2248*H2248</f>
        <v>12000</v>
      </c>
      <c r="J2248" s="1059" t="n">
        <v>36.5315</v>
      </c>
      <c r="K2248" s="943" t="n">
        <f aca="false">I2248*J2248</f>
        <v>438378</v>
      </c>
      <c r="L2248" s="886" t="n">
        <v>67948.59</v>
      </c>
      <c r="M2248" s="886" t="n">
        <v>1860</v>
      </c>
      <c r="N2248" s="886" t="n">
        <f aca="false">M2248/H2248</f>
        <v>124</v>
      </c>
      <c r="O2248" s="1036" t="s">
        <v>941</v>
      </c>
      <c r="P2248" s="1934" t="n">
        <f aca="false">K2248-L2248-L2252-L2251-L2249-L2250</f>
        <v>5.82076609134674E-011</v>
      </c>
      <c r="Q2248" s="1934" t="n">
        <f aca="false">I2248-M2248-M2252-M2251-M2249-M2250</f>
        <v>0</v>
      </c>
      <c r="R2248" s="1935" t="n">
        <f aca="false">G2248-N2248-N2252-N2251-N2249-N2250</f>
        <v>0</v>
      </c>
    </row>
    <row r="2249" customFormat="false" ht="14.25" hidden="false" customHeight="false" outlineLevel="0" collapsed="false">
      <c r="A2249" s="829"/>
      <c r="B2249" s="830"/>
      <c r="C2249" s="1965"/>
      <c r="D2249" s="860" t="s">
        <v>10</v>
      </c>
      <c r="E2249" s="1480" t="s">
        <v>1652</v>
      </c>
      <c r="F2249" s="832"/>
      <c r="G2249" s="2010"/>
      <c r="H2249" s="1931"/>
      <c r="I2249" s="837"/>
      <c r="J2249" s="1059"/>
      <c r="K2249" s="943"/>
      <c r="L2249" s="866" t="n">
        <v>36714.1575</v>
      </c>
      <c r="M2249" s="866" t="n">
        <v>1005</v>
      </c>
      <c r="N2249" s="866" t="n">
        <f aca="false">M2249/H2248</f>
        <v>67</v>
      </c>
      <c r="O2249" s="543" t="s">
        <v>999</v>
      </c>
      <c r="P2249" s="1934"/>
      <c r="Q2249" s="1934"/>
      <c r="R2249" s="1935"/>
    </row>
    <row r="2250" customFormat="false" ht="14.25" hidden="false" customHeight="false" outlineLevel="0" collapsed="false">
      <c r="A2250" s="829"/>
      <c r="B2250" s="830"/>
      <c r="C2250" s="1965"/>
      <c r="D2250" s="860" t="s">
        <v>10</v>
      </c>
      <c r="E2250" s="1480" t="s">
        <v>1652</v>
      </c>
      <c r="F2250" s="832"/>
      <c r="G2250" s="2010"/>
      <c r="H2250" s="1931"/>
      <c r="I2250" s="837"/>
      <c r="J2250" s="1059"/>
      <c r="K2250" s="943"/>
      <c r="L2250" s="866" t="n">
        <v>-36714.1575</v>
      </c>
      <c r="M2250" s="866" t="n">
        <v>-1005</v>
      </c>
      <c r="N2250" s="866" t="n">
        <f aca="false">M2250/H2248</f>
        <v>-67</v>
      </c>
      <c r="O2250" s="543" t="s">
        <v>1634</v>
      </c>
      <c r="P2250" s="1934"/>
      <c r="Q2250" s="1934"/>
      <c r="R2250" s="1935"/>
    </row>
    <row r="2251" customFormat="false" ht="14.25" hidden="false" customHeight="false" outlineLevel="0" collapsed="false">
      <c r="A2251" s="829"/>
      <c r="B2251" s="830"/>
      <c r="C2251" s="1965"/>
      <c r="D2251" s="860" t="s">
        <v>10</v>
      </c>
      <c r="E2251" s="1480" t="s">
        <v>1652</v>
      </c>
      <c r="F2251" s="832"/>
      <c r="G2251" s="2010"/>
      <c r="H2251" s="1931"/>
      <c r="I2251" s="837"/>
      <c r="J2251" s="1059"/>
      <c r="K2251" s="943"/>
      <c r="L2251" s="866" t="n">
        <v>333714.2525</v>
      </c>
      <c r="M2251" s="866" t="n">
        <v>9135</v>
      </c>
      <c r="N2251" s="866" t="n">
        <f aca="false">M2251/H2248</f>
        <v>609</v>
      </c>
      <c r="O2251" s="543" t="s">
        <v>998</v>
      </c>
      <c r="P2251" s="1934"/>
      <c r="Q2251" s="1934"/>
      <c r="R2251" s="1935"/>
    </row>
    <row r="2252" customFormat="false" ht="14.25" hidden="false" customHeight="false" outlineLevel="0" collapsed="false">
      <c r="A2252" s="829"/>
      <c r="B2252" s="830"/>
      <c r="C2252" s="1965"/>
      <c r="D2252" s="843" t="s">
        <v>10</v>
      </c>
      <c r="E2252" s="1357" t="s">
        <v>1652</v>
      </c>
      <c r="F2252" s="832"/>
      <c r="G2252" s="2010"/>
      <c r="H2252" s="1931"/>
      <c r="I2252" s="837"/>
      <c r="J2252" s="1059"/>
      <c r="K2252" s="943"/>
      <c r="L2252" s="846" t="n">
        <v>36715.1575</v>
      </c>
      <c r="M2252" s="846" t="n">
        <v>1005</v>
      </c>
      <c r="N2252" s="846" t="n">
        <f aca="false">M2252/H2248</f>
        <v>67</v>
      </c>
      <c r="O2252" s="589" t="s">
        <v>3540</v>
      </c>
      <c r="P2252" s="1934"/>
      <c r="Q2252" s="1934"/>
      <c r="R2252" s="1935"/>
    </row>
    <row r="2253" customFormat="false" ht="14.25" hidden="false" customHeight="false" outlineLevel="0" collapsed="false">
      <c r="A2253" s="1344" t="n">
        <v>651</v>
      </c>
      <c r="B2253" s="903" t="n">
        <v>2024</v>
      </c>
      <c r="C2253" s="1974" t="n">
        <v>45992</v>
      </c>
      <c r="D2253" s="848" t="s">
        <v>10</v>
      </c>
      <c r="E2253" s="1479" t="s">
        <v>1652</v>
      </c>
      <c r="F2253" s="904" t="s">
        <v>3364</v>
      </c>
      <c r="G2253" s="2012" t="n">
        <v>1333</v>
      </c>
      <c r="H2253" s="1940" t="n">
        <v>15</v>
      </c>
      <c r="I2253" s="942" t="n">
        <f aca="false">G2253*H2253</f>
        <v>19995</v>
      </c>
      <c r="J2253" s="1406" t="n">
        <v>36.5315</v>
      </c>
      <c r="K2253" s="948" t="n">
        <f aca="false">I2253*J2253</f>
        <v>730447.3425</v>
      </c>
      <c r="L2253" s="891" t="n">
        <v>664690.6425</v>
      </c>
      <c r="M2253" s="891" t="n">
        <v>18195</v>
      </c>
      <c r="N2253" s="891" t="n">
        <f aca="false">M2253/H2253</f>
        <v>1213</v>
      </c>
      <c r="O2253" s="942" t="s">
        <v>910</v>
      </c>
      <c r="P2253" s="2000" t="n">
        <f aca="false">K2253-L2253-L2259-L2258-L2254-L2257-L2255-L2256</f>
        <v>6.54836185276508E-011</v>
      </c>
      <c r="Q2253" s="2000" t="n">
        <f aca="false">I2253-M2253-M2259-M2258-M2254-M2257-M2255-M2256</f>
        <v>0</v>
      </c>
      <c r="R2253" s="2005" t="n">
        <f aca="false">G2253-N2253-N2259-N2258-N2254-N2257-N2255-N2256</f>
        <v>0</v>
      </c>
    </row>
    <row r="2254" customFormat="false" ht="14.25" hidden="false" customHeight="false" outlineLevel="0" collapsed="false">
      <c r="A2254" s="1344"/>
      <c r="B2254" s="903"/>
      <c r="C2254" s="1974"/>
      <c r="D2254" s="860" t="s">
        <v>10</v>
      </c>
      <c r="E2254" s="1480" t="s">
        <v>1652</v>
      </c>
      <c r="F2254" s="904"/>
      <c r="G2254" s="2012"/>
      <c r="H2254" s="1940"/>
      <c r="I2254" s="942"/>
      <c r="J2254" s="1406"/>
      <c r="K2254" s="948"/>
      <c r="L2254" s="866" t="n">
        <v>21918.9</v>
      </c>
      <c r="M2254" s="866" t="n">
        <v>600</v>
      </c>
      <c r="N2254" s="866" t="n">
        <f aca="false">M2254/H2253</f>
        <v>40</v>
      </c>
      <c r="O2254" s="543" t="s">
        <v>975</v>
      </c>
      <c r="P2254" s="2000"/>
      <c r="Q2254" s="2000"/>
      <c r="R2254" s="2005"/>
    </row>
    <row r="2255" customFormat="false" ht="14.25" hidden="false" customHeight="false" outlineLevel="0" collapsed="false">
      <c r="A2255" s="1344"/>
      <c r="B2255" s="903"/>
      <c r="C2255" s="1974"/>
      <c r="D2255" s="860" t="s">
        <v>10</v>
      </c>
      <c r="E2255" s="1480" t="s">
        <v>1652</v>
      </c>
      <c r="F2255" s="904"/>
      <c r="G2255" s="2012"/>
      <c r="H2255" s="1940"/>
      <c r="I2255" s="942"/>
      <c r="J2255" s="1406"/>
      <c r="K2255" s="948"/>
      <c r="L2255" s="866" t="n">
        <v>-547.9725</v>
      </c>
      <c r="M2255" s="866" t="n">
        <v>-15</v>
      </c>
      <c r="N2255" s="866" t="n">
        <f aca="false">M2255/H2253</f>
        <v>-1</v>
      </c>
      <c r="O2255" s="543" t="s">
        <v>1634</v>
      </c>
      <c r="P2255" s="2000"/>
      <c r="Q2255" s="2000"/>
      <c r="R2255" s="2005"/>
    </row>
    <row r="2256" customFormat="false" ht="14.25" hidden="false" customHeight="false" outlineLevel="0" collapsed="false">
      <c r="A2256" s="1344"/>
      <c r="B2256" s="903"/>
      <c r="C2256" s="1974"/>
      <c r="D2256" s="860" t="s">
        <v>10</v>
      </c>
      <c r="E2256" s="1480" t="s">
        <v>1652</v>
      </c>
      <c r="F2256" s="904"/>
      <c r="G2256" s="2012"/>
      <c r="H2256" s="1940"/>
      <c r="I2256" s="942"/>
      <c r="J2256" s="1406"/>
      <c r="K2256" s="948"/>
      <c r="L2256" s="866" t="n">
        <v>547.9725</v>
      </c>
      <c r="M2256" s="866" t="n">
        <v>15</v>
      </c>
      <c r="N2256" s="866" t="n">
        <f aca="false">M2256/H2253</f>
        <v>1</v>
      </c>
      <c r="O2256" s="543" t="s">
        <v>1375</v>
      </c>
      <c r="P2256" s="2000"/>
      <c r="Q2256" s="2000"/>
      <c r="R2256" s="2005"/>
    </row>
    <row r="2257" customFormat="false" ht="14.25" hidden="false" customHeight="false" outlineLevel="0" collapsed="false">
      <c r="A2257" s="1344"/>
      <c r="B2257" s="903"/>
      <c r="C2257" s="1974"/>
      <c r="D2257" s="860" t="s">
        <v>10</v>
      </c>
      <c r="E2257" s="1480" t="s">
        <v>1652</v>
      </c>
      <c r="F2257" s="904"/>
      <c r="G2257" s="2012"/>
      <c r="H2257" s="1940"/>
      <c r="I2257" s="942"/>
      <c r="J2257" s="1406"/>
      <c r="K2257" s="948"/>
      <c r="L2257" s="866" t="n">
        <v>23014.845</v>
      </c>
      <c r="M2257" s="866" t="n">
        <v>630</v>
      </c>
      <c r="N2257" s="866" t="n">
        <f aca="false">M2257/H2253</f>
        <v>42</v>
      </c>
      <c r="O2257" s="543" t="s">
        <v>978</v>
      </c>
      <c r="P2257" s="2000"/>
      <c r="Q2257" s="2000"/>
      <c r="R2257" s="2005"/>
    </row>
    <row r="2258" customFormat="false" ht="14.25" hidden="false" customHeight="false" outlineLevel="0" collapsed="false">
      <c r="A2258" s="1344"/>
      <c r="B2258" s="903"/>
      <c r="C2258" s="1974"/>
      <c r="D2258" s="860" t="s">
        <v>10</v>
      </c>
      <c r="E2258" s="1480" t="s">
        <v>1652</v>
      </c>
      <c r="F2258" s="904"/>
      <c r="G2258" s="2012"/>
      <c r="H2258" s="1940"/>
      <c r="I2258" s="942"/>
      <c r="J2258" s="1406"/>
      <c r="K2258" s="948"/>
      <c r="L2258" s="866" t="n">
        <v>18631.065</v>
      </c>
      <c r="M2258" s="866" t="n">
        <v>510</v>
      </c>
      <c r="N2258" s="866" t="n">
        <f aca="false">M2258/H2253</f>
        <v>34</v>
      </c>
      <c r="O2258" s="543" t="s">
        <v>972</v>
      </c>
      <c r="P2258" s="2000"/>
      <c r="Q2258" s="2000"/>
      <c r="R2258" s="2005"/>
    </row>
    <row r="2259" customFormat="false" ht="14.25" hidden="false" customHeight="false" outlineLevel="0" collapsed="false">
      <c r="A2259" s="1344"/>
      <c r="B2259" s="903"/>
      <c r="C2259" s="1974"/>
      <c r="D2259" s="871" t="s">
        <v>10</v>
      </c>
      <c r="E2259" s="1478" t="s">
        <v>1652</v>
      </c>
      <c r="F2259" s="904"/>
      <c r="G2259" s="2012"/>
      <c r="H2259" s="1940"/>
      <c r="I2259" s="942"/>
      <c r="J2259" s="1406"/>
      <c r="K2259" s="948"/>
      <c r="L2259" s="877" t="n">
        <v>2191.89</v>
      </c>
      <c r="M2259" s="877" t="n">
        <v>60</v>
      </c>
      <c r="N2259" s="877" t="n">
        <f aca="false">M2259/H2253</f>
        <v>4</v>
      </c>
      <c r="O2259" s="553" t="s">
        <v>959</v>
      </c>
      <c r="P2259" s="2000"/>
      <c r="Q2259" s="2000"/>
      <c r="R2259" s="2005"/>
    </row>
    <row r="2260" customFormat="false" ht="14.25" hidden="false" customHeight="false" outlineLevel="0" collapsed="false">
      <c r="A2260" s="882" t="n">
        <v>652</v>
      </c>
      <c r="B2260" s="830" t="n">
        <v>2024</v>
      </c>
      <c r="C2260" s="1965" t="n">
        <v>45992</v>
      </c>
      <c r="D2260" s="831" t="s">
        <v>10</v>
      </c>
      <c r="E2260" s="1365" t="s">
        <v>1652</v>
      </c>
      <c r="F2260" s="832" t="s">
        <v>3364</v>
      </c>
      <c r="G2260" s="2010" t="n">
        <v>206</v>
      </c>
      <c r="H2260" s="1931" t="n">
        <v>15</v>
      </c>
      <c r="I2260" s="837" t="n">
        <f aca="false">G2260*H2260</f>
        <v>3090</v>
      </c>
      <c r="J2260" s="1059" t="n">
        <v>40.0546</v>
      </c>
      <c r="K2260" s="943" t="n">
        <f aca="false">I2260*J2260</f>
        <v>123768.714</v>
      </c>
      <c r="L2260" s="840" t="n">
        <v>36049.14</v>
      </c>
      <c r="M2260" s="840" t="n">
        <v>900</v>
      </c>
      <c r="N2260" s="886" t="n">
        <f aca="false">M2260/H2260</f>
        <v>60</v>
      </c>
      <c r="O2260" s="1114" t="s">
        <v>572</v>
      </c>
      <c r="P2260" s="1948" t="n">
        <f aca="false">K2260-L2260-L2262-L2261</f>
        <v>0</v>
      </c>
      <c r="Q2260" s="1934" t="n">
        <f aca="false">I2260-M2260-M2262-M2261</f>
        <v>0</v>
      </c>
      <c r="R2260" s="1935" t="n">
        <f aca="false">G2260-N2260-N2262-N2261</f>
        <v>0</v>
      </c>
    </row>
    <row r="2261" customFormat="false" ht="14.25" hidden="false" customHeight="false" outlineLevel="0" collapsed="false">
      <c r="A2261" s="882"/>
      <c r="B2261" s="830"/>
      <c r="C2261" s="1965"/>
      <c r="D2261" s="904" t="s">
        <v>10</v>
      </c>
      <c r="E2261" s="1351" t="s">
        <v>1652</v>
      </c>
      <c r="F2261" s="832"/>
      <c r="G2261" s="2010"/>
      <c r="H2261" s="1931"/>
      <c r="I2261" s="837"/>
      <c r="J2261" s="1059"/>
      <c r="K2261" s="943"/>
      <c r="L2261" s="891" t="n">
        <v>34246.683</v>
      </c>
      <c r="M2261" s="891" t="n">
        <v>855</v>
      </c>
      <c r="N2261" s="866" t="n">
        <f aca="false">M2261/H2260</f>
        <v>57</v>
      </c>
      <c r="O2261" s="942" t="s">
        <v>1051</v>
      </c>
      <c r="P2261" s="1948"/>
      <c r="Q2261" s="1934"/>
      <c r="R2261" s="1935"/>
    </row>
    <row r="2262" customFormat="false" ht="14.25" hidden="false" customHeight="false" outlineLevel="0" collapsed="false">
      <c r="A2262" s="882"/>
      <c r="B2262" s="830"/>
      <c r="C2262" s="1965"/>
      <c r="D2262" s="843" t="s">
        <v>10</v>
      </c>
      <c r="E2262" s="1357" t="s">
        <v>1652</v>
      </c>
      <c r="F2262" s="832"/>
      <c r="G2262" s="2010"/>
      <c r="H2262" s="1931"/>
      <c r="I2262" s="837"/>
      <c r="J2262" s="1059"/>
      <c r="K2262" s="943"/>
      <c r="L2262" s="846" t="n">
        <v>53472.891</v>
      </c>
      <c r="M2262" s="846" t="n">
        <v>1335</v>
      </c>
      <c r="N2262" s="846" t="n">
        <f aca="false">M2262/H2260</f>
        <v>89</v>
      </c>
      <c r="O2262" s="589" t="s">
        <v>978</v>
      </c>
      <c r="P2262" s="1948"/>
      <c r="Q2262" s="1934"/>
      <c r="R2262" s="1935"/>
    </row>
    <row r="2263" customFormat="false" ht="14.25" hidden="false" customHeight="false" outlineLevel="0" collapsed="false">
      <c r="A2263" s="1087" t="n">
        <v>669</v>
      </c>
      <c r="B2263" s="1072" t="n">
        <v>2024</v>
      </c>
      <c r="C2263" s="1980" t="n">
        <v>45992</v>
      </c>
      <c r="D2263" s="848" t="s">
        <v>10</v>
      </c>
      <c r="E2263" s="1479" t="s">
        <v>2133</v>
      </c>
      <c r="F2263" s="887" t="s">
        <v>3364</v>
      </c>
      <c r="G2263" s="2017" t="n">
        <v>25</v>
      </c>
      <c r="H2263" s="1950" t="n">
        <v>800</v>
      </c>
      <c r="I2263" s="1067" t="n">
        <f aca="false">G2263*H2263</f>
        <v>20000</v>
      </c>
      <c r="J2263" s="1063" t="n">
        <v>96</v>
      </c>
      <c r="K2263" s="1452" t="n">
        <f aca="false">I2263*J2263</f>
        <v>1920000</v>
      </c>
      <c r="L2263" s="854" t="n">
        <v>460800</v>
      </c>
      <c r="M2263" s="854" t="n">
        <v>4800</v>
      </c>
      <c r="N2263" s="854" t="n">
        <f aca="false">M2263/H2263</f>
        <v>6</v>
      </c>
      <c r="O2263" s="537" t="s">
        <v>935</v>
      </c>
      <c r="P2263" s="1952" t="n">
        <f aca="false">K2263-L2263-L2264</f>
        <v>0</v>
      </c>
      <c r="Q2263" s="1953" t="n">
        <f aca="false">I2263-M2263-M2264</f>
        <v>0</v>
      </c>
      <c r="R2263" s="1954" t="n">
        <f aca="false">G2263-N2263-N2264</f>
        <v>0</v>
      </c>
    </row>
    <row r="2264" customFormat="false" ht="14.25" hidden="false" customHeight="false" outlineLevel="0" collapsed="false">
      <c r="A2264" s="1087"/>
      <c r="B2264" s="1072"/>
      <c r="C2264" s="1980"/>
      <c r="D2264" s="887" t="s">
        <v>10</v>
      </c>
      <c r="E2264" s="1501" t="s">
        <v>2133</v>
      </c>
      <c r="F2264" s="887"/>
      <c r="G2264" s="2017"/>
      <c r="H2264" s="1950"/>
      <c r="I2264" s="1067"/>
      <c r="J2264" s="1063"/>
      <c r="K2264" s="1452"/>
      <c r="L2264" s="890" t="n">
        <v>1459200</v>
      </c>
      <c r="M2264" s="890" t="n">
        <v>15200</v>
      </c>
      <c r="N2264" s="846" t="n">
        <f aca="false">M2264/H2263</f>
        <v>19</v>
      </c>
      <c r="O2264" s="1067" t="s">
        <v>935</v>
      </c>
      <c r="P2264" s="1952"/>
      <c r="Q2264" s="1953"/>
      <c r="R2264" s="1954"/>
    </row>
    <row r="2265" customFormat="false" ht="14.25" hidden="false" customHeight="false" outlineLevel="0" collapsed="false">
      <c r="A2265" s="903" t="n">
        <v>670</v>
      </c>
      <c r="B2265" s="903" t="n">
        <v>2024</v>
      </c>
      <c r="C2265" s="1974" t="n">
        <v>45992</v>
      </c>
      <c r="D2265" s="904" t="s">
        <v>10</v>
      </c>
      <c r="E2265" s="1351" t="s">
        <v>2133</v>
      </c>
      <c r="F2265" s="904" t="s">
        <v>3364</v>
      </c>
      <c r="G2265" s="2012" t="n">
        <v>14</v>
      </c>
      <c r="H2265" s="1940" t="n">
        <v>800</v>
      </c>
      <c r="I2265" s="1355" t="n">
        <f aca="false">G2265*H2265</f>
        <v>11200</v>
      </c>
      <c r="J2265" s="1406" t="n">
        <v>94.9628</v>
      </c>
      <c r="K2265" s="1138" t="n">
        <f aca="false">I2265*J2265</f>
        <v>1063583.36</v>
      </c>
      <c r="L2265" s="891" t="n">
        <v>1063583.36</v>
      </c>
      <c r="M2265" s="891" t="n">
        <v>11200</v>
      </c>
      <c r="N2265" s="891" t="n">
        <f aca="false">M2265/H2265</f>
        <v>14</v>
      </c>
      <c r="O2265" s="942" t="s">
        <v>935</v>
      </c>
      <c r="P2265" s="1947" t="n">
        <f aca="false">K2265-L2265</f>
        <v>0</v>
      </c>
      <c r="Q2265" s="1945" t="n">
        <f aca="false">I2265-M2265</f>
        <v>0</v>
      </c>
      <c r="R2265" s="1945" t="n">
        <f aca="false">G2265-N2265</f>
        <v>0</v>
      </c>
    </row>
    <row r="2266" customFormat="false" ht="14.25" hidden="false" customHeight="false" outlineLevel="0" collapsed="false">
      <c r="A2266" s="829" t="n">
        <v>674</v>
      </c>
      <c r="B2266" s="830" t="n">
        <v>2024</v>
      </c>
      <c r="C2266" s="1965" t="n">
        <v>45992</v>
      </c>
      <c r="D2266" s="831" t="s">
        <v>10</v>
      </c>
      <c r="E2266" s="1365" t="s">
        <v>2133</v>
      </c>
      <c r="F2266" s="832" t="s">
        <v>3364</v>
      </c>
      <c r="G2266" s="2010" t="n">
        <v>25</v>
      </c>
      <c r="H2266" s="1931" t="n">
        <v>800</v>
      </c>
      <c r="I2266" s="837" t="n">
        <f aca="false">G2266*H2266</f>
        <v>20000</v>
      </c>
      <c r="J2266" s="1059" t="n">
        <v>93.9242</v>
      </c>
      <c r="K2266" s="943" t="n">
        <f aca="false">I2266*J2266</f>
        <v>1878484</v>
      </c>
      <c r="L2266" s="840" t="n">
        <v>375696.8</v>
      </c>
      <c r="M2266" s="840" t="n">
        <v>4000</v>
      </c>
      <c r="N2266" s="840" t="n">
        <f aca="false">M2266/H2266</f>
        <v>5</v>
      </c>
      <c r="O2266" s="1114" t="s">
        <v>935</v>
      </c>
      <c r="P2266" s="1948" t="n">
        <f aca="false">K2266-L2266-L2267</f>
        <v>0</v>
      </c>
      <c r="Q2266" s="1934" t="n">
        <f aca="false">I2266-M2266-M2267</f>
        <v>0</v>
      </c>
      <c r="R2266" s="1935" t="n">
        <f aca="false">G2266-N2266-N2267</f>
        <v>0</v>
      </c>
    </row>
    <row r="2267" customFormat="false" ht="14.25" hidden="false" customHeight="false" outlineLevel="0" collapsed="false">
      <c r="A2267" s="829"/>
      <c r="B2267" s="830"/>
      <c r="C2267" s="1965"/>
      <c r="D2267" s="887" t="s">
        <v>10</v>
      </c>
      <c r="E2267" s="1501" t="s">
        <v>2133</v>
      </c>
      <c r="F2267" s="832"/>
      <c r="G2267" s="2010"/>
      <c r="H2267" s="1931"/>
      <c r="I2267" s="837"/>
      <c r="J2267" s="1059"/>
      <c r="K2267" s="943"/>
      <c r="L2267" s="890" t="n">
        <v>1502787.2</v>
      </c>
      <c r="M2267" s="890" t="n">
        <v>16000</v>
      </c>
      <c r="N2267" s="890" t="n">
        <f aca="false">M2267/H2266</f>
        <v>20</v>
      </c>
      <c r="O2267" s="1067" t="s">
        <v>935</v>
      </c>
      <c r="P2267" s="1948"/>
      <c r="Q2267" s="1934"/>
      <c r="R2267" s="1935"/>
    </row>
    <row r="2268" customFormat="false" ht="14.25" hidden="false" customHeight="false" outlineLevel="0" collapsed="false">
      <c r="A2268" s="903" t="n">
        <v>675</v>
      </c>
      <c r="B2268" s="903" t="n">
        <v>2024</v>
      </c>
      <c r="C2268" s="1974" t="n">
        <v>45992</v>
      </c>
      <c r="D2268" s="904" t="s">
        <v>10</v>
      </c>
      <c r="E2268" s="1351" t="s">
        <v>2133</v>
      </c>
      <c r="F2268" s="904" t="s">
        <v>3364</v>
      </c>
      <c r="G2268" s="2012" t="n">
        <v>13</v>
      </c>
      <c r="H2268" s="1940" t="n">
        <v>800</v>
      </c>
      <c r="I2268" s="1355" t="n">
        <f aca="false">G2268*H2268</f>
        <v>10400</v>
      </c>
      <c r="J2268" s="1406" t="n">
        <v>93.9242</v>
      </c>
      <c r="K2268" s="1138" t="n">
        <f aca="false">I2268*J2268</f>
        <v>976811.68</v>
      </c>
      <c r="L2268" s="891" t="n">
        <v>976811.68</v>
      </c>
      <c r="M2268" s="891" t="n">
        <v>10400</v>
      </c>
      <c r="N2268" s="891" t="n">
        <f aca="false">M2268/H2268</f>
        <v>13</v>
      </c>
      <c r="O2268" s="942" t="s">
        <v>935</v>
      </c>
      <c r="P2268" s="1947" t="n">
        <f aca="false">K2268-L2268</f>
        <v>0</v>
      </c>
      <c r="Q2268" s="1945" t="n">
        <f aca="false">I2268-M2268</f>
        <v>0</v>
      </c>
      <c r="R2268" s="1945" t="n">
        <f aca="false">G2268-N2268</f>
        <v>0</v>
      </c>
    </row>
    <row r="2269" customFormat="false" ht="14.25" hidden="false" customHeight="false" outlineLevel="0" collapsed="false">
      <c r="A2269" s="829" t="n">
        <v>679</v>
      </c>
      <c r="B2269" s="830" t="n">
        <v>2024</v>
      </c>
      <c r="C2269" s="1965" t="n">
        <v>45992</v>
      </c>
      <c r="D2269" s="831" t="s">
        <v>10</v>
      </c>
      <c r="E2269" s="1365" t="s">
        <v>1651</v>
      </c>
      <c r="F2269" s="1119" t="s">
        <v>3367</v>
      </c>
      <c r="G2269" s="2010" t="n">
        <v>50</v>
      </c>
      <c r="H2269" s="1931" t="n">
        <v>10</v>
      </c>
      <c r="I2269" s="837" t="n">
        <f aca="false">G2269*H2269</f>
        <v>500</v>
      </c>
      <c r="J2269" s="1059" t="n">
        <v>26.9438</v>
      </c>
      <c r="K2269" s="943" t="n">
        <f aca="false">I2269*J2269</f>
        <v>13471.9</v>
      </c>
      <c r="L2269" s="840" t="n">
        <v>5388.76</v>
      </c>
      <c r="M2269" s="840" t="n">
        <v>200</v>
      </c>
      <c r="N2269" s="886" t="n">
        <f aca="false">M2269/H2269</f>
        <v>20</v>
      </c>
      <c r="O2269" s="1114" t="s">
        <v>956</v>
      </c>
      <c r="P2269" s="1934" t="n">
        <f aca="false">K2269-L2269-L2273-L2270-L2272-L2271</f>
        <v>-1.02318153949454E-012</v>
      </c>
      <c r="Q2269" s="1934" t="n">
        <f aca="false">I2269-M2269-M2273-M2270-M2272-M2271</f>
        <v>0</v>
      </c>
      <c r="R2269" s="2034" t="n">
        <f aca="false">G2269-N2269-N2273-N2270-N2272-N2271</f>
        <v>0</v>
      </c>
    </row>
    <row r="2270" customFormat="false" ht="14.25" hidden="false" customHeight="false" outlineLevel="0" collapsed="false">
      <c r="A2270" s="829"/>
      <c r="B2270" s="830"/>
      <c r="C2270" s="1965"/>
      <c r="D2270" s="860" t="s">
        <v>10</v>
      </c>
      <c r="E2270" s="1480" t="s">
        <v>1651</v>
      </c>
      <c r="F2270" s="1119"/>
      <c r="G2270" s="2010"/>
      <c r="H2270" s="1931"/>
      <c r="I2270" s="837"/>
      <c r="J2270" s="1059"/>
      <c r="K2270" s="943"/>
      <c r="L2270" s="866" t="n">
        <v>2829.099</v>
      </c>
      <c r="M2270" s="866" t="n">
        <v>105</v>
      </c>
      <c r="N2270" s="1018" t="n">
        <f aca="false">M2270/H2269</f>
        <v>10.5</v>
      </c>
      <c r="O2270" s="543" t="s">
        <v>1164</v>
      </c>
      <c r="P2270" s="1934"/>
      <c r="Q2270" s="1934"/>
      <c r="R2270" s="2034"/>
    </row>
    <row r="2271" customFormat="false" ht="14.25" hidden="false" customHeight="false" outlineLevel="0" collapsed="false">
      <c r="A2271" s="829"/>
      <c r="B2271" s="830"/>
      <c r="C2271" s="1965"/>
      <c r="D2271" s="860" t="s">
        <v>10</v>
      </c>
      <c r="E2271" s="1480" t="s">
        <v>1651</v>
      </c>
      <c r="F2271" s="1119"/>
      <c r="G2271" s="2010"/>
      <c r="H2271" s="1931"/>
      <c r="I2271" s="837"/>
      <c r="J2271" s="1059"/>
      <c r="K2271" s="943"/>
      <c r="L2271" s="866" t="n">
        <v>-269.438</v>
      </c>
      <c r="M2271" s="866" t="n">
        <v>-10</v>
      </c>
      <c r="N2271" s="1018" t="n">
        <f aca="false">M2271/H2269</f>
        <v>-1</v>
      </c>
      <c r="O2271" s="543" t="s">
        <v>1634</v>
      </c>
      <c r="P2271" s="1934"/>
      <c r="Q2271" s="1934"/>
      <c r="R2271" s="2034"/>
    </row>
    <row r="2272" customFormat="false" ht="14.25" hidden="false" customHeight="false" outlineLevel="0" collapsed="false">
      <c r="A2272" s="829"/>
      <c r="B2272" s="830"/>
      <c r="C2272" s="1965"/>
      <c r="D2272" s="860" t="s">
        <v>10</v>
      </c>
      <c r="E2272" s="1480" t="s">
        <v>1651</v>
      </c>
      <c r="F2272" s="1119"/>
      <c r="G2272" s="2010"/>
      <c r="H2272" s="1931"/>
      <c r="I2272" s="837"/>
      <c r="J2272" s="1059"/>
      <c r="K2272" s="943"/>
      <c r="L2272" s="866" t="n">
        <v>2829.099</v>
      </c>
      <c r="M2272" s="866" t="n">
        <v>105</v>
      </c>
      <c r="N2272" s="1018" t="n">
        <f aca="false">M2272/H2269</f>
        <v>10.5</v>
      </c>
      <c r="O2272" s="543" t="s">
        <v>1224</v>
      </c>
      <c r="P2272" s="1934"/>
      <c r="Q2272" s="1934"/>
      <c r="R2272" s="2034"/>
    </row>
    <row r="2273" customFormat="false" ht="14.25" hidden="false" customHeight="false" outlineLevel="0" collapsed="false">
      <c r="A2273" s="829"/>
      <c r="B2273" s="830"/>
      <c r="C2273" s="1965"/>
      <c r="D2273" s="843" t="s">
        <v>10</v>
      </c>
      <c r="E2273" s="1357" t="s">
        <v>1651</v>
      </c>
      <c r="F2273" s="1119"/>
      <c r="G2273" s="2010"/>
      <c r="H2273" s="1931"/>
      <c r="I2273" s="837"/>
      <c r="J2273" s="1059"/>
      <c r="K2273" s="943"/>
      <c r="L2273" s="846" t="n">
        <v>2694.38</v>
      </c>
      <c r="M2273" s="846" t="n">
        <v>100</v>
      </c>
      <c r="N2273" s="846" t="n">
        <f aca="false">M2273/H2269</f>
        <v>10</v>
      </c>
      <c r="O2273" s="589" t="s">
        <v>1007</v>
      </c>
      <c r="P2273" s="1934"/>
      <c r="Q2273" s="1934"/>
      <c r="R2273" s="2034"/>
    </row>
    <row r="2274" customFormat="false" ht="14.25" hidden="false" customHeight="false" outlineLevel="0" collapsed="false">
      <c r="A2274" s="1344" t="n">
        <v>680</v>
      </c>
      <c r="B2274" s="903" t="n">
        <v>2024</v>
      </c>
      <c r="C2274" s="1974" t="n">
        <v>45992</v>
      </c>
      <c r="D2274" s="848" t="s">
        <v>10</v>
      </c>
      <c r="E2274" s="1479" t="s">
        <v>1651</v>
      </c>
      <c r="F2274" s="904" t="s">
        <v>3364</v>
      </c>
      <c r="G2274" s="2012" t="n">
        <v>666</v>
      </c>
      <c r="H2274" s="1940" t="n">
        <v>15</v>
      </c>
      <c r="I2274" s="942" t="n">
        <f aca="false">G2274*H2274</f>
        <v>9990</v>
      </c>
      <c r="J2274" s="1406" t="n">
        <v>26.9438</v>
      </c>
      <c r="K2274" s="948" t="n">
        <f aca="false">I2274*J2274</f>
        <v>269168.562</v>
      </c>
      <c r="L2274" s="854" t="n">
        <v>169745.94</v>
      </c>
      <c r="M2274" s="854" t="n">
        <v>6300</v>
      </c>
      <c r="N2274" s="854" t="n">
        <f aca="false">M2274/H2274</f>
        <v>420</v>
      </c>
      <c r="O2274" s="537" t="s">
        <v>939</v>
      </c>
      <c r="P2274" s="2009" t="n">
        <f aca="false">K2274-L2274-L2276-L2275</f>
        <v>0</v>
      </c>
      <c r="Q2274" s="2000" t="n">
        <f aca="false">I2274-M2274-M2276-M2275</f>
        <v>0</v>
      </c>
      <c r="R2274" s="2005" t="n">
        <f aca="false">G2274-N2274-N2276-N2275</f>
        <v>0</v>
      </c>
    </row>
    <row r="2275" customFormat="false" ht="14.25" hidden="false" customHeight="false" outlineLevel="0" collapsed="false">
      <c r="A2275" s="1344"/>
      <c r="B2275" s="903"/>
      <c r="C2275" s="1974"/>
      <c r="D2275" s="904" t="s">
        <v>10</v>
      </c>
      <c r="E2275" s="1351" t="s">
        <v>1651</v>
      </c>
      <c r="F2275" s="904"/>
      <c r="G2275" s="2012"/>
      <c r="H2275" s="1940"/>
      <c r="I2275" s="942"/>
      <c r="J2275" s="1406"/>
      <c r="K2275" s="948"/>
      <c r="L2275" s="891" t="n">
        <v>85681.284</v>
      </c>
      <c r="M2275" s="891" t="n">
        <v>3180</v>
      </c>
      <c r="N2275" s="854" t="n">
        <f aca="false">M2275/H2274</f>
        <v>212</v>
      </c>
      <c r="O2275" s="942" t="s">
        <v>1212</v>
      </c>
      <c r="P2275" s="2009"/>
      <c r="Q2275" s="2000"/>
      <c r="R2275" s="2005"/>
    </row>
    <row r="2276" customFormat="false" ht="14.25" hidden="false" customHeight="false" outlineLevel="0" collapsed="false">
      <c r="A2276" s="1344"/>
      <c r="B2276" s="903"/>
      <c r="C2276" s="1974"/>
      <c r="D2276" s="871" t="s">
        <v>10</v>
      </c>
      <c r="E2276" s="1478" t="s">
        <v>1651</v>
      </c>
      <c r="F2276" s="904"/>
      <c r="G2276" s="2012"/>
      <c r="H2276" s="1940"/>
      <c r="I2276" s="942"/>
      <c r="J2276" s="1406"/>
      <c r="K2276" s="948"/>
      <c r="L2276" s="877" t="n">
        <v>13741.338</v>
      </c>
      <c r="M2276" s="877" t="n">
        <v>510</v>
      </c>
      <c r="N2276" s="877" t="n">
        <f aca="false">M2276/H2274</f>
        <v>34</v>
      </c>
      <c r="O2276" s="553" t="s">
        <v>940</v>
      </c>
      <c r="P2276" s="2009"/>
      <c r="Q2276" s="2000"/>
      <c r="R2276" s="2005"/>
    </row>
    <row r="2277" customFormat="false" ht="14.25" hidden="false" customHeight="false" outlineLevel="0" collapsed="false">
      <c r="A2277" s="882" t="n">
        <v>681</v>
      </c>
      <c r="B2277" s="830" t="n">
        <v>2024</v>
      </c>
      <c r="C2277" s="1965" t="n">
        <v>45992</v>
      </c>
      <c r="D2277" s="831" t="s">
        <v>10</v>
      </c>
      <c r="E2277" s="1365" t="s">
        <v>1651</v>
      </c>
      <c r="F2277" s="832" t="s">
        <v>3364</v>
      </c>
      <c r="G2277" s="2010" t="n">
        <v>666</v>
      </c>
      <c r="H2277" s="1931" t="n">
        <v>15</v>
      </c>
      <c r="I2277" s="837" t="n">
        <f aca="false">G2277*H2277</f>
        <v>9990</v>
      </c>
      <c r="J2277" s="1059" t="n">
        <v>26.9438</v>
      </c>
      <c r="K2277" s="943" t="n">
        <f aca="false">I2277*J2277</f>
        <v>269168.562</v>
      </c>
      <c r="L2277" s="840" t="n">
        <v>404.157</v>
      </c>
      <c r="M2277" s="840" t="n">
        <v>15</v>
      </c>
      <c r="N2277" s="886" t="n">
        <f aca="false">M2277/H2277</f>
        <v>1</v>
      </c>
      <c r="O2277" s="1114" t="s">
        <v>948</v>
      </c>
      <c r="P2277" s="1948" t="n">
        <f aca="false">K2277-L2277-L2279-L2278</f>
        <v>0</v>
      </c>
      <c r="Q2277" s="1934" t="n">
        <f aca="false">I2277-M2277-M2279-M2278</f>
        <v>0</v>
      </c>
      <c r="R2277" s="1935" t="n">
        <f aca="false">G2277-N2277-N2279-N2278</f>
        <v>0</v>
      </c>
    </row>
    <row r="2278" customFormat="false" ht="14.25" hidden="false" customHeight="false" outlineLevel="0" collapsed="false">
      <c r="A2278" s="882"/>
      <c r="B2278" s="830"/>
      <c r="C2278" s="1965"/>
      <c r="D2278" s="904" t="s">
        <v>10</v>
      </c>
      <c r="E2278" s="1351" t="s">
        <v>1651</v>
      </c>
      <c r="F2278" s="832"/>
      <c r="G2278" s="2010"/>
      <c r="H2278" s="1931"/>
      <c r="I2278" s="837"/>
      <c r="J2278" s="1059"/>
      <c r="K2278" s="943"/>
      <c r="L2278" s="891" t="n">
        <v>25866.048</v>
      </c>
      <c r="M2278" s="891" t="n">
        <v>960</v>
      </c>
      <c r="N2278" s="866" t="n">
        <f aca="false">M2278/H2277</f>
        <v>64</v>
      </c>
      <c r="O2278" s="942" t="s">
        <v>1212</v>
      </c>
      <c r="P2278" s="1948"/>
      <c r="Q2278" s="1934"/>
      <c r="R2278" s="1935"/>
    </row>
    <row r="2279" customFormat="false" ht="14.25" hidden="false" customHeight="false" outlineLevel="0" collapsed="false">
      <c r="A2279" s="882"/>
      <c r="B2279" s="830"/>
      <c r="C2279" s="1965"/>
      <c r="D2279" s="843" t="s">
        <v>10</v>
      </c>
      <c r="E2279" s="1357" t="s">
        <v>1651</v>
      </c>
      <c r="F2279" s="832"/>
      <c r="G2279" s="2010"/>
      <c r="H2279" s="1931"/>
      <c r="I2279" s="837"/>
      <c r="J2279" s="1059"/>
      <c r="K2279" s="943"/>
      <c r="L2279" s="846" t="n">
        <v>242898.357</v>
      </c>
      <c r="M2279" s="846" t="n">
        <v>9015</v>
      </c>
      <c r="N2279" s="846" t="n">
        <f aca="false">M2279/H2277</f>
        <v>601</v>
      </c>
      <c r="O2279" s="589" t="s">
        <v>951</v>
      </c>
      <c r="P2279" s="1948"/>
      <c r="Q2279" s="1934"/>
      <c r="R2279" s="1935"/>
    </row>
    <row r="2280" customFormat="false" ht="14.25" hidden="false" customHeight="false" outlineLevel="0" collapsed="false">
      <c r="A2280" s="903" t="n">
        <v>688</v>
      </c>
      <c r="B2280" s="903" t="n">
        <v>2024</v>
      </c>
      <c r="C2280" s="1974" t="n">
        <v>45992</v>
      </c>
      <c r="D2280" s="904" t="s">
        <v>10</v>
      </c>
      <c r="E2280" s="1351" t="s">
        <v>2133</v>
      </c>
      <c r="F2280" s="904" t="s">
        <v>3364</v>
      </c>
      <c r="G2280" s="2012" t="n">
        <v>25</v>
      </c>
      <c r="H2280" s="1940" t="n">
        <v>800</v>
      </c>
      <c r="I2280" s="1355" t="n">
        <f aca="false">G2280*H2280</f>
        <v>20000</v>
      </c>
      <c r="J2280" s="1406" t="n">
        <v>94.177</v>
      </c>
      <c r="K2280" s="1138" t="n">
        <f aca="false">I2280*J2280</f>
        <v>1883540</v>
      </c>
      <c r="L2280" s="891" t="n">
        <v>1883540</v>
      </c>
      <c r="M2280" s="891" t="n">
        <v>20000</v>
      </c>
      <c r="N2280" s="891" t="n">
        <f aca="false">M2280/H2280</f>
        <v>25</v>
      </c>
      <c r="O2280" s="942" t="s">
        <v>935</v>
      </c>
      <c r="P2280" s="1947" t="n">
        <f aca="false">K2280-L2280</f>
        <v>0</v>
      </c>
      <c r="Q2280" s="1945" t="n">
        <f aca="false">I2280-M2280</f>
        <v>0</v>
      </c>
      <c r="R2280" s="1945" t="n">
        <f aca="false">G2280-N2280</f>
        <v>0</v>
      </c>
    </row>
    <row r="2281" customFormat="false" ht="14.25" hidden="false" customHeight="false" outlineLevel="0" collapsed="false">
      <c r="A2281" s="829" t="n">
        <v>689</v>
      </c>
      <c r="B2281" s="830" t="n">
        <v>2024</v>
      </c>
      <c r="C2281" s="1965" t="n">
        <v>45992</v>
      </c>
      <c r="D2281" s="831" t="s">
        <v>10</v>
      </c>
      <c r="E2281" s="1365" t="s">
        <v>2133</v>
      </c>
      <c r="F2281" s="832" t="s">
        <v>3364</v>
      </c>
      <c r="G2281" s="2010" t="n">
        <v>12</v>
      </c>
      <c r="H2281" s="1931" t="n">
        <v>800</v>
      </c>
      <c r="I2281" s="837" t="n">
        <f aca="false">G2281*H2281</f>
        <v>9600</v>
      </c>
      <c r="J2281" s="1059" t="n">
        <v>94.177</v>
      </c>
      <c r="K2281" s="943" t="n">
        <f aca="false">I2281*J2281</f>
        <v>904099.2</v>
      </c>
      <c r="L2281" s="840" t="n">
        <v>452049.6</v>
      </c>
      <c r="M2281" s="840" t="n">
        <v>4800</v>
      </c>
      <c r="N2281" s="840" t="n">
        <f aca="false">M2281/H2281</f>
        <v>6</v>
      </c>
      <c r="O2281" s="1114" t="s">
        <v>935</v>
      </c>
      <c r="P2281" s="1948" t="n">
        <f aca="false">K2281-L2281-L2282</f>
        <v>0</v>
      </c>
      <c r="Q2281" s="1934" t="n">
        <f aca="false">I2281-M2281-M2282</f>
        <v>0</v>
      </c>
      <c r="R2281" s="1935" t="n">
        <f aca="false">G2281-N2281-N2282</f>
        <v>0</v>
      </c>
    </row>
    <row r="2282" customFormat="false" ht="14.25" hidden="false" customHeight="false" outlineLevel="0" collapsed="false">
      <c r="A2282" s="829"/>
      <c r="B2282" s="830"/>
      <c r="C2282" s="1965"/>
      <c r="D2282" s="887" t="s">
        <v>10</v>
      </c>
      <c r="E2282" s="1501" t="s">
        <v>2133</v>
      </c>
      <c r="F2282" s="832"/>
      <c r="G2282" s="2010"/>
      <c r="H2282" s="1931"/>
      <c r="I2282" s="837"/>
      <c r="J2282" s="1059"/>
      <c r="K2282" s="943"/>
      <c r="L2282" s="890" t="n">
        <v>452049.6</v>
      </c>
      <c r="M2282" s="890" t="n">
        <v>4800</v>
      </c>
      <c r="N2282" s="846" t="n">
        <f aca="false">M2282/H2281</f>
        <v>6</v>
      </c>
      <c r="O2282" s="1067" t="s">
        <v>947</v>
      </c>
      <c r="P2282" s="1948"/>
      <c r="Q2282" s="1934"/>
      <c r="R2282" s="1935"/>
    </row>
    <row r="2283" customFormat="false" ht="14.25" hidden="false" customHeight="false" outlineLevel="0" collapsed="false">
      <c r="A2283" s="847" t="n">
        <v>690</v>
      </c>
      <c r="B2283" s="1396" t="n">
        <v>2024</v>
      </c>
      <c r="C2283" s="1966" t="n">
        <v>45992</v>
      </c>
      <c r="D2283" s="848" t="s">
        <v>10</v>
      </c>
      <c r="E2283" s="1479" t="s">
        <v>2133</v>
      </c>
      <c r="F2283" s="848" t="s">
        <v>3364</v>
      </c>
      <c r="G2283" s="2018" t="n">
        <v>25</v>
      </c>
      <c r="H2283" s="1967" t="n">
        <v>800</v>
      </c>
      <c r="I2283" s="1380" t="n">
        <f aca="false">G2283*H2283</f>
        <v>20000</v>
      </c>
      <c r="J2283" s="1544" t="n">
        <v>94.177</v>
      </c>
      <c r="K2283" s="1144" t="n">
        <f aca="false">I2283*J2283</f>
        <v>1883540</v>
      </c>
      <c r="L2283" s="854" t="n">
        <v>1883540</v>
      </c>
      <c r="M2283" s="854" t="n">
        <v>20000</v>
      </c>
      <c r="N2283" s="891" t="n">
        <f aca="false">M2283/H2283</f>
        <v>25</v>
      </c>
      <c r="O2283" s="537" t="s">
        <v>947</v>
      </c>
      <c r="P2283" s="1983" t="n">
        <f aca="false">K2283-L2283</f>
        <v>0</v>
      </c>
      <c r="Q2283" s="1970" t="n">
        <f aca="false">I2283-M2283</f>
        <v>0</v>
      </c>
      <c r="R2283" s="1970" t="n">
        <f aca="false">G2283-N2283</f>
        <v>0</v>
      </c>
    </row>
    <row r="2284" customFormat="false" ht="14.25" hidden="false" customHeight="false" outlineLevel="0" collapsed="false">
      <c r="A2284" s="903" t="n">
        <v>691</v>
      </c>
      <c r="B2284" s="903" t="n">
        <v>2024</v>
      </c>
      <c r="C2284" s="1974" t="n">
        <v>45992</v>
      </c>
      <c r="D2284" s="904" t="s">
        <v>10</v>
      </c>
      <c r="E2284" s="1351" t="s">
        <v>2133</v>
      </c>
      <c r="F2284" s="904" t="s">
        <v>3364</v>
      </c>
      <c r="G2284" s="2012" t="n">
        <v>12</v>
      </c>
      <c r="H2284" s="1940" t="n">
        <v>800</v>
      </c>
      <c r="I2284" s="1355" t="n">
        <f aca="false">G2284*H2284</f>
        <v>9600</v>
      </c>
      <c r="J2284" s="1406" t="n">
        <v>94.177</v>
      </c>
      <c r="K2284" s="1138" t="n">
        <f aca="false">I2284*J2284</f>
        <v>904099.2</v>
      </c>
      <c r="L2284" s="891" t="n">
        <v>904099.2</v>
      </c>
      <c r="M2284" s="891" t="n">
        <v>9600</v>
      </c>
      <c r="N2284" s="877" t="n">
        <f aca="false">M2284/H2284</f>
        <v>12</v>
      </c>
      <c r="O2284" s="942" t="s">
        <v>947</v>
      </c>
      <c r="P2284" s="1947" t="n">
        <f aca="false">K2284-L2284</f>
        <v>0</v>
      </c>
      <c r="Q2284" s="1945" t="n">
        <f aca="false">I2284-M2284</f>
        <v>0</v>
      </c>
      <c r="R2284" s="1945" t="n">
        <f aca="false">G2284-N2284</f>
        <v>0</v>
      </c>
    </row>
    <row r="2285" customFormat="false" ht="14.25" hidden="false" customHeight="false" outlineLevel="0" collapsed="false">
      <c r="A2285" s="829" t="n">
        <v>692</v>
      </c>
      <c r="B2285" s="830" t="n">
        <v>2024</v>
      </c>
      <c r="C2285" s="1965" t="n">
        <v>45992</v>
      </c>
      <c r="D2285" s="831" t="s">
        <v>10</v>
      </c>
      <c r="E2285" s="1365" t="s">
        <v>2133</v>
      </c>
      <c r="F2285" s="832" t="s">
        <v>3364</v>
      </c>
      <c r="G2285" s="2010" t="n">
        <v>25</v>
      </c>
      <c r="H2285" s="1931" t="n">
        <v>800</v>
      </c>
      <c r="I2285" s="837" t="n">
        <f aca="false">G2285*H2285</f>
        <v>20000</v>
      </c>
      <c r="J2285" s="1059" t="n">
        <v>93.9915</v>
      </c>
      <c r="K2285" s="943" t="n">
        <f aca="false">I2285*J2285</f>
        <v>1879830</v>
      </c>
      <c r="L2285" s="840" t="n">
        <v>1654250.4</v>
      </c>
      <c r="M2285" s="840" t="n">
        <v>17600</v>
      </c>
      <c r="N2285" s="840" t="n">
        <f aca="false">M2285/H2285</f>
        <v>22</v>
      </c>
      <c r="O2285" s="1114" t="s">
        <v>947</v>
      </c>
      <c r="P2285" s="1948" t="n">
        <f aca="false">K2285-L2285-L2286</f>
        <v>0</v>
      </c>
      <c r="Q2285" s="1934" t="n">
        <f aca="false">I2285-M2285-M2286</f>
        <v>0</v>
      </c>
      <c r="R2285" s="1935" t="n">
        <f aca="false">G2285-N2285-N2286</f>
        <v>0</v>
      </c>
    </row>
    <row r="2286" customFormat="false" ht="14.25" hidden="false" customHeight="false" outlineLevel="0" collapsed="false">
      <c r="A2286" s="829"/>
      <c r="B2286" s="830"/>
      <c r="C2286" s="1965"/>
      <c r="D2286" s="887" t="s">
        <v>10</v>
      </c>
      <c r="E2286" s="1501" t="s">
        <v>2133</v>
      </c>
      <c r="F2286" s="832"/>
      <c r="G2286" s="2010"/>
      <c r="H2286" s="1931"/>
      <c r="I2286" s="837"/>
      <c r="J2286" s="1059"/>
      <c r="K2286" s="943"/>
      <c r="L2286" s="890" t="n">
        <v>225579.6</v>
      </c>
      <c r="M2286" s="890" t="n">
        <v>2400</v>
      </c>
      <c r="N2286" s="890" t="n">
        <f aca="false">M2286/H2285</f>
        <v>3</v>
      </c>
      <c r="O2286" s="1067" t="s">
        <v>636</v>
      </c>
      <c r="P2286" s="1948"/>
      <c r="Q2286" s="1934"/>
      <c r="R2286" s="1935"/>
    </row>
    <row r="2287" customFormat="false" ht="14.25" hidden="false" customHeight="false" outlineLevel="0" collapsed="false">
      <c r="A2287" s="903" t="n">
        <v>693</v>
      </c>
      <c r="B2287" s="903" t="n">
        <v>2024</v>
      </c>
      <c r="C2287" s="1974" t="n">
        <v>45992</v>
      </c>
      <c r="D2287" s="904" t="s">
        <v>10</v>
      </c>
      <c r="E2287" s="1351" t="s">
        <v>2133</v>
      </c>
      <c r="F2287" s="904" t="s">
        <v>3364</v>
      </c>
      <c r="G2287" s="2012" t="n">
        <v>14</v>
      </c>
      <c r="H2287" s="1940" t="n">
        <v>800</v>
      </c>
      <c r="I2287" s="1355" t="n">
        <f aca="false">G2287*H2287</f>
        <v>11200</v>
      </c>
      <c r="J2287" s="1406" t="n">
        <v>93.8404</v>
      </c>
      <c r="K2287" s="1138" t="n">
        <f aca="false">I2287*J2287</f>
        <v>1051012.48</v>
      </c>
      <c r="L2287" s="891" t="n">
        <v>1051012.48</v>
      </c>
      <c r="M2287" s="891" t="n">
        <v>11200</v>
      </c>
      <c r="N2287" s="891" t="n">
        <f aca="false">M2287/H2287</f>
        <v>14</v>
      </c>
      <c r="O2287" s="942" t="s">
        <v>947</v>
      </c>
      <c r="P2287" s="1947" t="n">
        <f aca="false">K2287-L2287</f>
        <v>0</v>
      </c>
      <c r="Q2287" s="1945" t="n">
        <f aca="false">I2287-M2287</f>
        <v>0</v>
      </c>
      <c r="R2287" s="1945" t="n">
        <f aca="false">G2287-N2287</f>
        <v>0</v>
      </c>
    </row>
    <row r="2288" customFormat="false" ht="14.25" hidden="false" customHeight="false" outlineLevel="0" collapsed="false">
      <c r="A2288" s="829" t="n">
        <v>696</v>
      </c>
      <c r="B2288" s="830" t="n">
        <v>2024</v>
      </c>
      <c r="C2288" s="1965" t="n">
        <v>45992</v>
      </c>
      <c r="D2288" s="831" t="s">
        <v>10</v>
      </c>
      <c r="E2288" s="1365" t="s">
        <v>1651</v>
      </c>
      <c r="F2288" s="832" t="s">
        <v>3364</v>
      </c>
      <c r="G2288" s="2065" t="n">
        <v>666</v>
      </c>
      <c r="H2288" s="1931" t="n">
        <v>15</v>
      </c>
      <c r="I2288" s="837" t="n">
        <f aca="false">G2288*H2288</f>
        <v>9990</v>
      </c>
      <c r="J2288" s="1059" t="n">
        <v>26.9438</v>
      </c>
      <c r="K2288" s="943" t="n">
        <f aca="false">I2288*J2288</f>
        <v>269168.562</v>
      </c>
      <c r="L2288" s="840" t="n">
        <v>161258.643</v>
      </c>
      <c r="M2288" s="840" t="n">
        <v>5985</v>
      </c>
      <c r="N2288" s="886" t="n">
        <f aca="false">M2288/H2288</f>
        <v>399</v>
      </c>
      <c r="O2288" s="1114" t="s">
        <v>951</v>
      </c>
      <c r="P2288" s="1934" t="n">
        <f aca="false">K2288-L2288-L2297-L2296-L2289-L2295-L2290-L2291-L2294-L2293-L2292</f>
        <v>0.388999999944645</v>
      </c>
      <c r="Q2288" s="1934" t="n">
        <f aca="false">I2288-M2288-M2297-M2296-M2289-M2295-M2290-M2291-M2294-M2293-M2292</f>
        <v>0</v>
      </c>
      <c r="R2288" s="1935" t="n">
        <f aca="false">G2288-N2288-N2297-N2296-N2289-N2295-N2290-N2291-N2294-N2293-N2292</f>
        <v>0</v>
      </c>
    </row>
    <row r="2289" customFormat="false" ht="14.25" hidden="false" customHeight="false" outlineLevel="0" collapsed="false">
      <c r="A2289" s="829"/>
      <c r="B2289" s="830"/>
      <c r="C2289" s="1965"/>
      <c r="D2289" s="848" t="s">
        <v>10</v>
      </c>
      <c r="E2289" s="1479" t="s">
        <v>1651</v>
      </c>
      <c r="F2289" s="832"/>
      <c r="G2289" s="2065"/>
      <c r="H2289" s="1931"/>
      <c r="I2289" s="837"/>
      <c r="J2289" s="1059"/>
      <c r="K2289" s="943"/>
      <c r="L2289" s="854" t="n">
        <v>9295.611</v>
      </c>
      <c r="M2289" s="854" t="n">
        <v>345</v>
      </c>
      <c r="N2289" s="866" t="n">
        <f aca="false">M2289/H2288</f>
        <v>23</v>
      </c>
      <c r="O2289" s="537" t="s">
        <v>385</v>
      </c>
      <c r="P2289" s="1934"/>
      <c r="Q2289" s="1934"/>
      <c r="R2289" s="1935"/>
    </row>
    <row r="2290" customFormat="false" ht="14.25" hidden="false" customHeight="false" outlineLevel="0" collapsed="false">
      <c r="A2290" s="829"/>
      <c r="B2290" s="830"/>
      <c r="C2290" s="1965"/>
      <c r="D2290" s="848" t="s">
        <v>10</v>
      </c>
      <c r="E2290" s="1479" t="s">
        <v>1651</v>
      </c>
      <c r="F2290" s="832"/>
      <c r="G2290" s="2065"/>
      <c r="H2290" s="1931"/>
      <c r="I2290" s="837"/>
      <c r="J2290" s="1059"/>
      <c r="K2290" s="943"/>
      <c r="L2290" s="854" t="n">
        <v>8083.14</v>
      </c>
      <c r="M2290" s="854" t="n">
        <v>300</v>
      </c>
      <c r="N2290" s="866" t="n">
        <f aca="false">M2290/H2288</f>
        <v>20</v>
      </c>
      <c r="O2290" s="537" t="s">
        <v>530</v>
      </c>
      <c r="P2290" s="1934"/>
      <c r="Q2290" s="1934"/>
      <c r="R2290" s="1935"/>
    </row>
    <row r="2291" customFormat="false" ht="14.25" hidden="false" customHeight="false" outlineLevel="0" collapsed="false">
      <c r="A2291" s="829"/>
      <c r="B2291" s="830"/>
      <c r="C2291" s="1965"/>
      <c r="D2291" s="848" t="s">
        <v>10</v>
      </c>
      <c r="E2291" s="1479" t="s">
        <v>1651</v>
      </c>
      <c r="F2291" s="832"/>
      <c r="G2291" s="2065"/>
      <c r="H2291" s="1931"/>
      <c r="I2291" s="837"/>
      <c r="J2291" s="1059"/>
      <c r="K2291" s="943"/>
      <c r="L2291" s="854" t="n">
        <v>46882.212</v>
      </c>
      <c r="M2291" s="854" t="n">
        <v>1740</v>
      </c>
      <c r="N2291" s="866" t="n">
        <f aca="false">M2291/H2288</f>
        <v>116</v>
      </c>
      <c r="O2291" s="537" t="s">
        <v>3547</v>
      </c>
      <c r="P2291" s="1934"/>
      <c r="Q2291" s="1934"/>
      <c r="R2291" s="1935"/>
    </row>
    <row r="2292" customFormat="false" ht="14.25" hidden="false" customHeight="false" outlineLevel="0" collapsed="false">
      <c r="A2292" s="829"/>
      <c r="B2292" s="830"/>
      <c r="C2292" s="1965"/>
      <c r="D2292" s="848" t="s">
        <v>10</v>
      </c>
      <c r="E2292" s="1479" t="s">
        <v>1651</v>
      </c>
      <c r="F2292" s="832"/>
      <c r="G2292" s="2065"/>
      <c r="H2292" s="1931"/>
      <c r="I2292" s="837"/>
      <c r="J2292" s="1059"/>
      <c r="K2292" s="943"/>
      <c r="L2292" s="854" t="n">
        <v>-9296</v>
      </c>
      <c r="M2292" s="854" t="n">
        <v>-345</v>
      </c>
      <c r="N2292" s="866" t="n">
        <f aca="false">M2292/H2288</f>
        <v>-23</v>
      </c>
      <c r="O2292" s="537" t="s">
        <v>1634</v>
      </c>
      <c r="P2292" s="1934"/>
      <c r="Q2292" s="1934"/>
      <c r="R2292" s="1935"/>
    </row>
    <row r="2293" customFormat="false" ht="14.25" hidden="false" customHeight="false" outlineLevel="0" collapsed="false">
      <c r="A2293" s="829"/>
      <c r="B2293" s="830"/>
      <c r="C2293" s="1965"/>
      <c r="D2293" s="848" t="s">
        <v>10</v>
      </c>
      <c r="E2293" s="1479" t="s">
        <v>1651</v>
      </c>
      <c r="F2293" s="832"/>
      <c r="G2293" s="2065"/>
      <c r="H2293" s="1931"/>
      <c r="I2293" s="837"/>
      <c r="J2293" s="1059"/>
      <c r="K2293" s="943"/>
      <c r="L2293" s="854" t="n">
        <v>9295.611</v>
      </c>
      <c r="M2293" s="854" t="n">
        <v>345</v>
      </c>
      <c r="N2293" s="866" t="n">
        <f aca="false">M2293/H2288</f>
        <v>23</v>
      </c>
      <c r="O2293" s="537" t="s">
        <v>1164</v>
      </c>
      <c r="P2293" s="1934"/>
      <c r="Q2293" s="1934"/>
      <c r="R2293" s="1935"/>
    </row>
    <row r="2294" customFormat="false" ht="14.25" hidden="false" customHeight="false" outlineLevel="0" collapsed="false">
      <c r="A2294" s="829"/>
      <c r="B2294" s="830"/>
      <c r="C2294" s="1965"/>
      <c r="D2294" s="848" t="s">
        <v>10</v>
      </c>
      <c r="E2294" s="1479" t="s">
        <v>1651</v>
      </c>
      <c r="F2294" s="832"/>
      <c r="G2294" s="2065"/>
      <c r="H2294" s="1931"/>
      <c r="I2294" s="837"/>
      <c r="J2294" s="1059"/>
      <c r="K2294" s="943"/>
      <c r="L2294" s="854" t="n">
        <v>17378.751</v>
      </c>
      <c r="M2294" s="854" t="n">
        <v>645</v>
      </c>
      <c r="N2294" s="866" t="n">
        <f aca="false">M2294/H2288</f>
        <v>43</v>
      </c>
      <c r="O2294" s="537" t="s">
        <v>1037</v>
      </c>
      <c r="P2294" s="1934"/>
      <c r="Q2294" s="1934"/>
      <c r="R2294" s="1935"/>
    </row>
    <row r="2295" customFormat="false" ht="14.25" hidden="false" customHeight="false" outlineLevel="0" collapsed="false">
      <c r="A2295" s="829"/>
      <c r="B2295" s="830"/>
      <c r="C2295" s="1965"/>
      <c r="D2295" s="848" t="s">
        <v>10</v>
      </c>
      <c r="E2295" s="1479" t="s">
        <v>1651</v>
      </c>
      <c r="F2295" s="832"/>
      <c r="G2295" s="2065"/>
      <c r="H2295" s="1931"/>
      <c r="I2295" s="837"/>
      <c r="J2295" s="1059"/>
      <c r="K2295" s="943"/>
      <c r="L2295" s="854" t="n">
        <v>20207.85</v>
      </c>
      <c r="M2295" s="854" t="n">
        <v>750</v>
      </c>
      <c r="N2295" s="866" t="n">
        <f aca="false">M2295/H2288</f>
        <v>50</v>
      </c>
      <c r="O2295" s="537" t="s">
        <v>3463</v>
      </c>
      <c r="P2295" s="1934"/>
      <c r="Q2295" s="1934"/>
      <c r="R2295" s="1935"/>
    </row>
    <row r="2296" customFormat="false" ht="14.25" hidden="false" customHeight="false" outlineLevel="0" collapsed="false">
      <c r="A2296" s="829"/>
      <c r="B2296" s="830"/>
      <c r="C2296" s="1965"/>
      <c r="D2296" s="860" t="s">
        <v>10</v>
      </c>
      <c r="E2296" s="1480" t="s">
        <v>1651</v>
      </c>
      <c r="F2296" s="832"/>
      <c r="G2296" s="2065"/>
      <c r="H2296" s="1931"/>
      <c r="I2296" s="837"/>
      <c r="J2296" s="1059"/>
      <c r="K2296" s="943"/>
      <c r="L2296" s="866" t="n">
        <v>2020.785</v>
      </c>
      <c r="M2296" s="866" t="n">
        <v>75</v>
      </c>
      <c r="N2296" s="866" t="n">
        <f aca="false">M2296/H2288</f>
        <v>5</v>
      </c>
      <c r="O2296" s="543" t="s">
        <v>961</v>
      </c>
      <c r="P2296" s="1934"/>
      <c r="Q2296" s="1934"/>
      <c r="R2296" s="1935"/>
    </row>
    <row r="2297" customFormat="false" ht="14.25" hidden="false" customHeight="false" outlineLevel="0" collapsed="false">
      <c r="A2297" s="829"/>
      <c r="B2297" s="830"/>
      <c r="C2297" s="1965"/>
      <c r="D2297" s="887" t="s">
        <v>10</v>
      </c>
      <c r="E2297" s="1501" t="s">
        <v>1651</v>
      </c>
      <c r="F2297" s="832"/>
      <c r="G2297" s="2065"/>
      <c r="H2297" s="1931"/>
      <c r="I2297" s="837"/>
      <c r="J2297" s="1059"/>
      <c r="K2297" s="943"/>
      <c r="L2297" s="890" t="n">
        <v>4041.57</v>
      </c>
      <c r="M2297" s="890" t="n">
        <v>150</v>
      </c>
      <c r="N2297" s="890" t="n">
        <f aca="false">M2297/H2288</f>
        <v>10</v>
      </c>
      <c r="O2297" s="1067" t="s">
        <v>960</v>
      </c>
      <c r="P2297" s="1934"/>
      <c r="Q2297" s="1934"/>
      <c r="R2297" s="1935"/>
    </row>
    <row r="2298" customFormat="false" ht="14.25" hidden="false" customHeight="false" outlineLevel="0" collapsed="false">
      <c r="A2298" s="847" t="n">
        <v>697</v>
      </c>
      <c r="B2298" s="1396" t="n">
        <v>2024</v>
      </c>
      <c r="C2298" s="1966" t="n">
        <v>45992</v>
      </c>
      <c r="D2298" s="848" t="s">
        <v>10</v>
      </c>
      <c r="E2298" s="1479" t="s">
        <v>1651</v>
      </c>
      <c r="F2298" s="848" t="s">
        <v>3364</v>
      </c>
      <c r="G2298" s="2018" t="n">
        <v>666</v>
      </c>
      <c r="H2298" s="1967" t="n">
        <v>15</v>
      </c>
      <c r="I2298" s="1380" t="n">
        <f aca="false">G2298*H2298</f>
        <v>9990</v>
      </c>
      <c r="J2298" s="1544" t="n">
        <v>26.9438</v>
      </c>
      <c r="K2298" s="1144" t="n">
        <f aca="false">I2298*J2298</f>
        <v>269168.562</v>
      </c>
      <c r="L2298" s="854" t="n">
        <v>269168.562</v>
      </c>
      <c r="M2298" s="854" t="n">
        <v>9990</v>
      </c>
      <c r="N2298" s="854" t="n">
        <f aca="false">M2298/H2298</f>
        <v>666</v>
      </c>
      <c r="O2298" s="537" t="s">
        <v>948</v>
      </c>
      <c r="P2298" s="1983" t="n">
        <f aca="false">K2298-L2298</f>
        <v>0</v>
      </c>
      <c r="Q2298" s="1970" t="n">
        <f aca="false">I2298-M2298</f>
        <v>0</v>
      </c>
      <c r="R2298" s="1970" t="n">
        <f aca="false">G2298-N2298</f>
        <v>0</v>
      </c>
    </row>
    <row r="2299" customFormat="false" ht="14.25" hidden="false" customHeight="false" outlineLevel="0" collapsed="false">
      <c r="A2299" s="847" t="n">
        <v>698</v>
      </c>
      <c r="B2299" s="1396" t="n">
        <v>2024</v>
      </c>
      <c r="C2299" s="1966" t="n">
        <v>45992</v>
      </c>
      <c r="D2299" s="848" t="s">
        <v>10</v>
      </c>
      <c r="E2299" s="1479" t="s">
        <v>1651</v>
      </c>
      <c r="F2299" s="848" t="s">
        <v>3364</v>
      </c>
      <c r="G2299" s="2018" t="n">
        <v>257</v>
      </c>
      <c r="H2299" s="1967" t="n">
        <v>15</v>
      </c>
      <c r="I2299" s="1380" t="n">
        <f aca="false">G2299*H2299</f>
        <v>3855</v>
      </c>
      <c r="J2299" s="1544" t="n">
        <v>24.5814</v>
      </c>
      <c r="K2299" s="1144" t="n">
        <f aca="false">I2299*J2299</f>
        <v>94761.297</v>
      </c>
      <c r="L2299" s="854" t="n">
        <v>94761.297</v>
      </c>
      <c r="M2299" s="854" t="n">
        <v>3855</v>
      </c>
      <c r="N2299" s="854" t="n">
        <f aca="false">M2299/H2299</f>
        <v>257</v>
      </c>
      <c r="O2299" s="537" t="s">
        <v>1212</v>
      </c>
      <c r="P2299" s="1983" t="n">
        <f aca="false">K2299-L2299</f>
        <v>0</v>
      </c>
      <c r="Q2299" s="1970" t="n">
        <f aca="false">I2299-M2299</f>
        <v>0</v>
      </c>
      <c r="R2299" s="1970" t="n">
        <f aca="false">G2299-N2299</f>
        <v>0</v>
      </c>
    </row>
    <row r="2300" customFormat="false" ht="14.25" hidden="false" customHeight="false" outlineLevel="0" collapsed="false">
      <c r="A2300" s="847" t="n">
        <v>707</v>
      </c>
      <c r="B2300" s="1396" t="n">
        <v>2024</v>
      </c>
      <c r="C2300" s="1966" t="n">
        <v>45992</v>
      </c>
      <c r="D2300" s="848" t="s">
        <v>10</v>
      </c>
      <c r="E2300" s="1479" t="s">
        <v>2133</v>
      </c>
      <c r="F2300" s="848" t="s">
        <v>3364</v>
      </c>
      <c r="G2300" s="2018" t="n">
        <v>25</v>
      </c>
      <c r="H2300" s="1967" t="n">
        <v>800</v>
      </c>
      <c r="I2300" s="1380" t="n">
        <f aca="false">G2300*H2300</f>
        <v>20000</v>
      </c>
      <c r="J2300" s="1544" t="n">
        <v>93.6357</v>
      </c>
      <c r="K2300" s="1144" t="n">
        <f aca="false">I2300*J2300</f>
        <v>1872714</v>
      </c>
      <c r="L2300" s="854" t="n">
        <v>1872714</v>
      </c>
      <c r="M2300" s="854" t="n">
        <v>20000</v>
      </c>
      <c r="N2300" s="866" t="n">
        <f aca="false">M2300/H2300</f>
        <v>25</v>
      </c>
      <c r="O2300" s="537" t="s">
        <v>3548</v>
      </c>
      <c r="P2300" s="1983" t="n">
        <f aca="false">K2300-L2300</f>
        <v>0</v>
      </c>
      <c r="Q2300" s="1970" t="n">
        <f aca="false">I2300-M2300</f>
        <v>0</v>
      </c>
      <c r="R2300" s="1970" t="n">
        <f aca="false">G2300-N2300</f>
        <v>0</v>
      </c>
    </row>
    <row r="2301" customFormat="false" ht="14.25" hidden="false" customHeight="false" outlineLevel="0" collapsed="false">
      <c r="A2301" s="847" t="n">
        <v>708</v>
      </c>
      <c r="B2301" s="1396" t="n">
        <v>2024</v>
      </c>
      <c r="C2301" s="1966" t="n">
        <v>45992</v>
      </c>
      <c r="D2301" s="848" t="s">
        <v>10</v>
      </c>
      <c r="E2301" s="1479" t="s">
        <v>2133</v>
      </c>
      <c r="F2301" s="848" t="s">
        <v>3364</v>
      </c>
      <c r="G2301" s="2018" t="n">
        <v>23</v>
      </c>
      <c r="H2301" s="1967" t="n">
        <v>800</v>
      </c>
      <c r="I2301" s="1380" t="n">
        <f aca="false">G2301*H2301</f>
        <v>18400</v>
      </c>
      <c r="J2301" s="1544" t="n">
        <v>94.9079</v>
      </c>
      <c r="K2301" s="1144" t="n">
        <f aca="false">I2301*J2301</f>
        <v>1746305.36</v>
      </c>
      <c r="L2301" s="854" t="n">
        <v>1746305.36</v>
      </c>
      <c r="M2301" s="854" t="n">
        <v>18400</v>
      </c>
      <c r="N2301" s="866" t="n">
        <f aca="false">M2301/H2301</f>
        <v>23</v>
      </c>
      <c r="O2301" s="537" t="s">
        <v>3548</v>
      </c>
      <c r="P2301" s="1983" t="n">
        <f aca="false">K2301-L2301</f>
        <v>0</v>
      </c>
      <c r="Q2301" s="1970" t="n">
        <f aca="false">I2301-M2301</f>
        <v>0</v>
      </c>
      <c r="R2301" s="1970" t="n">
        <f aca="false">G2301-N2301</f>
        <v>0</v>
      </c>
    </row>
    <row r="2302" customFormat="false" ht="14.25" hidden="false" customHeight="false" outlineLevel="0" collapsed="false">
      <c r="A2302" s="847" t="n">
        <v>718</v>
      </c>
      <c r="B2302" s="1396" t="n">
        <v>2024</v>
      </c>
      <c r="C2302" s="1966" t="n">
        <v>45992</v>
      </c>
      <c r="D2302" s="848" t="s">
        <v>10</v>
      </c>
      <c r="E2302" s="1479" t="s">
        <v>2133</v>
      </c>
      <c r="F2302" s="848" t="s">
        <v>3364</v>
      </c>
      <c r="G2302" s="2018" t="n">
        <v>3</v>
      </c>
      <c r="H2302" s="1967" t="n">
        <v>600</v>
      </c>
      <c r="I2302" s="1380" t="n">
        <f aca="false">G2302*H2302</f>
        <v>1800</v>
      </c>
      <c r="J2302" s="1544" t="n">
        <v>92.2376</v>
      </c>
      <c r="K2302" s="1144" t="n">
        <f aca="false">I2302*J2302</f>
        <v>166027.68</v>
      </c>
      <c r="L2302" s="854" t="n">
        <v>166027.68</v>
      </c>
      <c r="M2302" s="854" t="n">
        <v>1800</v>
      </c>
      <c r="N2302" s="866" t="n">
        <f aca="false">M2302/H2302</f>
        <v>3</v>
      </c>
      <c r="O2302" s="537" t="s">
        <v>3548</v>
      </c>
      <c r="P2302" s="1983" t="n">
        <f aca="false">K2302-L2302</f>
        <v>0</v>
      </c>
      <c r="Q2302" s="1970" t="n">
        <f aca="false">I2302-M2302</f>
        <v>0</v>
      </c>
      <c r="R2302" s="1970" t="n">
        <f aca="false">G2302-N2302</f>
        <v>0</v>
      </c>
    </row>
    <row r="2303" customFormat="false" ht="14.25" hidden="false" customHeight="false" outlineLevel="0" collapsed="false">
      <c r="A2303" s="847" t="n">
        <v>719</v>
      </c>
      <c r="B2303" s="1396" t="n">
        <v>2024</v>
      </c>
      <c r="C2303" s="1966" t="n">
        <v>45992</v>
      </c>
      <c r="D2303" s="848" t="s">
        <v>10</v>
      </c>
      <c r="E2303" s="1479" t="s">
        <v>2133</v>
      </c>
      <c r="F2303" s="848" t="s">
        <v>3364</v>
      </c>
      <c r="G2303" s="2018" t="n">
        <v>1</v>
      </c>
      <c r="H2303" s="1967" t="n">
        <v>400</v>
      </c>
      <c r="I2303" s="1380" t="n">
        <f aca="false">G2303*H2303</f>
        <v>400</v>
      </c>
      <c r="J2303" s="1544" t="n">
        <v>92.2376</v>
      </c>
      <c r="K2303" s="1144" t="n">
        <f aca="false">I2303*J2303</f>
        <v>36895.04</v>
      </c>
      <c r="L2303" s="854" t="n">
        <v>36895.04</v>
      </c>
      <c r="M2303" s="854" t="n">
        <v>400</v>
      </c>
      <c r="N2303" s="866" t="n">
        <f aca="false">M2303/H2303</f>
        <v>1</v>
      </c>
      <c r="O2303" s="537" t="s">
        <v>3548</v>
      </c>
      <c r="P2303" s="1983" t="n">
        <f aca="false">K2303-L2303</f>
        <v>0</v>
      </c>
      <c r="Q2303" s="1970" t="n">
        <f aca="false">I2303-M2303</f>
        <v>0</v>
      </c>
      <c r="R2303" s="1970" t="n">
        <f aca="false">G2303-N2303</f>
        <v>0</v>
      </c>
    </row>
    <row r="2304" customFormat="false" ht="14.25" hidden="false" customHeight="false" outlineLevel="0" collapsed="false">
      <c r="A2304" s="847" t="n">
        <v>720</v>
      </c>
      <c r="B2304" s="1396" t="n">
        <v>2024</v>
      </c>
      <c r="C2304" s="1966" t="n">
        <v>45992</v>
      </c>
      <c r="D2304" s="848" t="s">
        <v>10</v>
      </c>
      <c r="E2304" s="1479" t="s">
        <v>2133</v>
      </c>
      <c r="F2304" s="848" t="s">
        <v>3364</v>
      </c>
      <c r="G2304" s="2018" t="n">
        <v>1</v>
      </c>
      <c r="H2304" s="1967" t="n">
        <v>200</v>
      </c>
      <c r="I2304" s="1380" t="n">
        <f aca="false">G2304*H2304</f>
        <v>200</v>
      </c>
      <c r="J2304" s="1544" t="n">
        <v>92.2376</v>
      </c>
      <c r="K2304" s="1144" t="n">
        <f aca="false">I2304*J2304</f>
        <v>18447.52</v>
      </c>
      <c r="L2304" s="854" t="n">
        <v>18447.52</v>
      </c>
      <c r="M2304" s="854" t="n">
        <v>200</v>
      </c>
      <c r="N2304" s="866" t="n">
        <f aca="false">M2304/H2304</f>
        <v>1</v>
      </c>
      <c r="O2304" s="537" t="s">
        <v>3548</v>
      </c>
      <c r="P2304" s="1983" t="n">
        <f aca="false">K2304-L2304</f>
        <v>0</v>
      </c>
      <c r="Q2304" s="1970" t="n">
        <f aca="false">I2304-M2304</f>
        <v>0</v>
      </c>
      <c r="R2304" s="1970" t="n">
        <f aca="false">G2304-N2304</f>
        <v>0</v>
      </c>
    </row>
    <row r="2305" customFormat="false" ht="14.25" hidden="false" customHeight="false" outlineLevel="0" collapsed="false">
      <c r="A2305" s="847" t="n">
        <v>721</v>
      </c>
      <c r="B2305" s="1396" t="n">
        <v>2024</v>
      </c>
      <c r="C2305" s="1966" t="n">
        <v>45992</v>
      </c>
      <c r="D2305" s="848" t="s">
        <v>10</v>
      </c>
      <c r="E2305" s="1479" t="s">
        <v>2133</v>
      </c>
      <c r="F2305" s="848" t="s">
        <v>3364</v>
      </c>
      <c r="G2305" s="2018" t="n">
        <v>25</v>
      </c>
      <c r="H2305" s="1967" t="n">
        <v>800</v>
      </c>
      <c r="I2305" s="1380" t="n">
        <f aca="false">G2305*H2305</f>
        <v>20000</v>
      </c>
      <c r="J2305" s="1544" t="n">
        <v>92.2376</v>
      </c>
      <c r="K2305" s="1144" t="n">
        <f aca="false">I2305*J2305</f>
        <v>1844752</v>
      </c>
      <c r="L2305" s="854" t="n">
        <v>1844752</v>
      </c>
      <c r="M2305" s="854" t="n">
        <v>20000</v>
      </c>
      <c r="N2305" s="866" t="n">
        <f aca="false">M2305/H2305</f>
        <v>25</v>
      </c>
      <c r="O2305" s="537" t="s">
        <v>3548</v>
      </c>
      <c r="P2305" s="1983" t="n">
        <f aca="false">K2305-L2305</f>
        <v>0</v>
      </c>
      <c r="Q2305" s="1970" t="n">
        <f aca="false">I2305-M2305</f>
        <v>0</v>
      </c>
      <c r="R2305" s="1970" t="n">
        <f aca="false">G2305-N2305</f>
        <v>0</v>
      </c>
    </row>
    <row r="2306" customFormat="false" ht="14.25" hidden="false" customHeight="false" outlineLevel="0" collapsed="false">
      <c r="A2306" s="847" t="n">
        <v>722</v>
      </c>
      <c r="B2306" s="1396" t="n">
        <v>2024</v>
      </c>
      <c r="C2306" s="1966" t="n">
        <v>45992</v>
      </c>
      <c r="D2306" s="848" t="s">
        <v>10</v>
      </c>
      <c r="E2306" s="1479" t="s">
        <v>2133</v>
      </c>
      <c r="F2306" s="848" t="s">
        <v>3364</v>
      </c>
      <c r="G2306" s="2018" t="n">
        <v>17</v>
      </c>
      <c r="H2306" s="1967" t="n">
        <v>800</v>
      </c>
      <c r="I2306" s="1380" t="n">
        <f aca="false">G2306*H2306</f>
        <v>13600</v>
      </c>
      <c r="J2306" s="1544" t="n">
        <v>94.6317</v>
      </c>
      <c r="K2306" s="1144" t="n">
        <f aca="false">I2306*J2306</f>
        <v>1286991.12</v>
      </c>
      <c r="L2306" s="854" t="n">
        <v>1286991.12</v>
      </c>
      <c r="M2306" s="854" t="n">
        <v>13600</v>
      </c>
      <c r="N2306" s="866" t="n">
        <f aca="false">M2306/H2306</f>
        <v>17</v>
      </c>
      <c r="O2306" s="537" t="s">
        <v>3548</v>
      </c>
      <c r="P2306" s="1983" t="n">
        <f aca="false">K2306-L2306</f>
        <v>0</v>
      </c>
      <c r="Q2306" s="1970" t="n">
        <f aca="false">I2306-M2306</f>
        <v>0</v>
      </c>
      <c r="R2306" s="1970" t="n">
        <f aca="false">G2306-N2306</f>
        <v>0</v>
      </c>
    </row>
    <row r="2307" customFormat="false" ht="14.25" hidden="false" customHeight="false" outlineLevel="0" collapsed="false">
      <c r="A2307" s="847" t="n">
        <v>728</v>
      </c>
      <c r="B2307" s="1396" t="n">
        <v>2024</v>
      </c>
      <c r="C2307" s="1966" t="n">
        <v>45992</v>
      </c>
      <c r="D2307" s="848" t="s">
        <v>10</v>
      </c>
      <c r="E2307" s="1479" t="s">
        <v>2133</v>
      </c>
      <c r="F2307" s="848" t="s">
        <v>3364</v>
      </c>
      <c r="G2307" s="2018" t="n">
        <v>25</v>
      </c>
      <c r="H2307" s="1967" t="n">
        <v>800</v>
      </c>
      <c r="I2307" s="1380" t="n">
        <f aca="false">G2307*H2307</f>
        <v>20000</v>
      </c>
      <c r="J2307" s="1544" t="n">
        <v>93.3656</v>
      </c>
      <c r="K2307" s="1144" t="n">
        <f aca="false">I2307*J2307</f>
        <v>1867312</v>
      </c>
      <c r="L2307" s="854" t="n">
        <v>1867312</v>
      </c>
      <c r="M2307" s="854" t="n">
        <v>20000</v>
      </c>
      <c r="N2307" s="866" t="n">
        <f aca="false">M2307/H2307</f>
        <v>25</v>
      </c>
      <c r="O2307" s="537" t="s">
        <v>3548</v>
      </c>
      <c r="P2307" s="1983" t="n">
        <f aca="false">K2307-L2307</f>
        <v>0</v>
      </c>
      <c r="Q2307" s="1970" t="n">
        <f aca="false">I2307-M2307</f>
        <v>0</v>
      </c>
      <c r="R2307" s="1970" t="n">
        <f aca="false">G2307-N2307</f>
        <v>0</v>
      </c>
    </row>
    <row r="2308" customFormat="false" ht="14.25" hidden="false" customHeight="false" outlineLevel="0" collapsed="false">
      <c r="A2308" s="847" t="n">
        <v>729</v>
      </c>
      <c r="B2308" s="1396" t="n">
        <v>2024</v>
      </c>
      <c r="C2308" s="1966" t="n">
        <v>45992</v>
      </c>
      <c r="D2308" s="848" t="s">
        <v>10</v>
      </c>
      <c r="E2308" s="1479" t="s">
        <v>2133</v>
      </c>
      <c r="F2308" s="848" t="s">
        <v>3364</v>
      </c>
      <c r="G2308" s="2018" t="n">
        <v>25</v>
      </c>
      <c r="H2308" s="1967" t="n">
        <v>800</v>
      </c>
      <c r="I2308" s="1380" t="n">
        <f aca="false">G2308*H2308</f>
        <v>20000</v>
      </c>
      <c r="J2308" s="1544" t="n">
        <v>93.3656</v>
      </c>
      <c r="K2308" s="1144" t="n">
        <f aca="false">I2308*J2308</f>
        <v>1867312</v>
      </c>
      <c r="L2308" s="854" t="n">
        <v>1867312</v>
      </c>
      <c r="M2308" s="854" t="n">
        <v>20000</v>
      </c>
      <c r="N2308" s="866" t="n">
        <f aca="false">M2308/H2308</f>
        <v>25</v>
      </c>
      <c r="O2308" s="537" t="s">
        <v>3548</v>
      </c>
      <c r="P2308" s="1983" t="n">
        <f aca="false">K2308-L2308</f>
        <v>0</v>
      </c>
      <c r="Q2308" s="1970" t="n">
        <f aca="false">I2308-M2308</f>
        <v>0</v>
      </c>
      <c r="R2308" s="1970" t="n">
        <f aca="false">G2308-N2308</f>
        <v>0</v>
      </c>
    </row>
    <row r="2309" customFormat="false" ht="14.25" hidden="false" customHeight="false" outlineLevel="0" collapsed="false">
      <c r="A2309" s="903" t="n">
        <v>730</v>
      </c>
      <c r="B2309" s="903" t="n">
        <v>2024</v>
      </c>
      <c r="C2309" s="1974" t="n">
        <v>45992</v>
      </c>
      <c r="D2309" s="904" t="s">
        <v>10</v>
      </c>
      <c r="E2309" s="1351" t="s">
        <v>2133</v>
      </c>
      <c r="F2309" s="904" t="s">
        <v>3364</v>
      </c>
      <c r="G2309" s="2012" t="n">
        <v>4</v>
      </c>
      <c r="H2309" s="1940" t="n">
        <v>800</v>
      </c>
      <c r="I2309" s="1355" t="n">
        <f aca="false">G2309*H2309</f>
        <v>3200</v>
      </c>
      <c r="J2309" s="1406" t="n">
        <v>97.7421</v>
      </c>
      <c r="K2309" s="1138" t="n">
        <f aca="false">I2309*J2309</f>
        <v>312774.72</v>
      </c>
      <c r="L2309" s="891" t="n">
        <v>312774.72</v>
      </c>
      <c r="M2309" s="891" t="n">
        <v>3200</v>
      </c>
      <c r="N2309" s="877" t="n">
        <f aca="false">M2309/H2309</f>
        <v>4</v>
      </c>
      <c r="O2309" s="942" t="s">
        <v>3548</v>
      </c>
      <c r="P2309" s="1947" t="n">
        <f aca="false">K2309-L2309</f>
        <v>0</v>
      </c>
      <c r="Q2309" s="1945" t="n">
        <f aca="false">I2309-M2309</f>
        <v>0</v>
      </c>
      <c r="R2309" s="1945" t="n">
        <f aca="false">G2309-N2309</f>
        <v>0</v>
      </c>
    </row>
    <row r="2310" customFormat="false" ht="14.25" hidden="false" customHeight="false" outlineLevel="0" collapsed="false">
      <c r="A2310" s="882" t="n">
        <v>731</v>
      </c>
      <c r="B2310" s="830" t="n">
        <v>2024</v>
      </c>
      <c r="C2310" s="1965" t="n">
        <v>45992</v>
      </c>
      <c r="D2310" s="831" t="s">
        <v>10</v>
      </c>
      <c r="E2310" s="1365" t="s">
        <v>2133</v>
      </c>
      <c r="F2310" s="832" t="s">
        <v>3364</v>
      </c>
      <c r="G2310" s="2010" t="n">
        <v>25</v>
      </c>
      <c r="H2310" s="1931" t="n">
        <v>800</v>
      </c>
      <c r="I2310" s="837" t="n">
        <f aca="false">G2310*H2310</f>
        <v>20000</v>
      </c>
      <c r="J2310" s="1059" t="n">
        <v>98.1529</v>
      </c>
      <c r="K2310" s="943" t="n">
        <f aca="false">I2310*J2310</f>
        <v>1963058</v>
      </c>
      <c r="L2310" s="840" t="n">
        <v>471133.92</v>
      </c>
      <c r="M2310" s="840" t="n">
        <v>4800</v>
      </c>
      <c r="N2310" s="886" t="n">
        <f aca="false">M2310/H2310</f>
        <v>6</v>
      </c>
      <c r="O2310" s="1114" t="s">
        <v>3548</v>
      </c>
      <c r="P2310" s="1948" t="n">
        <f aca="false">K2310-L2310-L2312-L2311</f>
        <v>0</v>
      </c>
      <c r="Q2310" s="1934" t="n">
        <f aca="false">I2310-M2310-M2312-M2311</f>
        <v>0</v>
      </c>
      <c r="R2310" s="1935" t="n">
        <f aca="false">G2310-N2310-N2312-N2311</f>
        <v>0</v>
      </c>
    </row>
    <row r="2311" customFormat="false" ht="14.25" hidden="false" customHeight="false" outlineLevel="0" collapsed="false">
      <c r="A2311" s="882"/>
      <c r="B2311" s="830"/>
      <c r="C2311" s="1965"/>
      <c r="D2311" s="860" t="s">
        <v>10</v>
      </c>
      <c r="E2311" s="1480" t="s">
        <v>2133</v>
      </c>
      <c r="F2311" s="832"/>
      <c r="G2311" s="2010"/>
      <c r="H2311" s="1931"/>
      <c r="I2311" s="837"/>
      <c r="J2311" s="1059"/>
      <c r="K2311" s="943"/>
      <c r="L2311" s="866" t="n">
        <v>706700.88</v>
      </c>
      <c r="M2311" s="866" t="n">
        <v>7200</v>
      </c>
      <c r="N2311" s="866" t="n">
        <f aca="false">M2311/H2310</f>
        <v>9</v>
      </c>
      <c r="O2311" s="543" t="s">
        <v>964</v>
      </c>
      <c r="P2311" s="1948"/>
      <c r="Q2311" s="1934"/>
      <c r="R2311" s="1935"/>
    </row>
    <row r="2312" customFormat="false" ht="14.25" hidden="false" customHeight="false" outlineLevel="0" collapsed="false">
      <c r="A2312" s="882"/>
      <c r="B2312" s="830"/>
      <c r="C2312" s="1965"/>
      <c r="D2312" s="887" t="s">
        <v>10</v>
      </c>
      <c r="E2312" s="1501" t="s">
        <v>2133</v>
      </c>
      <c r="F2312" s="832"/>
      <c r="G2312" s="2010"/>
      <c r="H2312" s="1931"/>
      <c r="I2312" s="837"/>
      <c r="J2312" s="1059"/>
      <c r="K2312" s="943"/>
      <c r="L2312" s="890" t="n">
        <v>785223.2</v>
      </c>
      <c r="M2312" s="890" t="n">
        <v>8000</v>
      </c>
      <c r="N2312" s="890" t="n">
        <f aca="false">M2312/H2310</f>
        <v>10</v>
      </c>
      <c r="O2312" s="1067" t="s">
        <v>963</v>
      </c>
      <c r="P2312" s="1948"/>
      <c r="Q2312" s="1934"/>
      <c r="R2312" s="1935"/>
    </row>
    <row r="2313" customFormat="false" ht="14.25" hidden="false" customHeight="false" outlineLevel="0" collapsed="false">
      <c r="A2313" s="829" t="n">
        <v>732</v>
      </c>
      <c r="B2313" s="830" t="n">
        <v>2024</v>
      </c>
      <c r="C2313" s="1965" t="n">
        <v>45992</v>
      </c>
      <c r="D2313" s="831" t="s">
        <v>10</v>
      </c>
      <c r="E2313" s="1365" t="s">
        <v>2133</v>
      </c>
      <c r="F2313" s="832" t="s">
        <v>3364</v>
      </c>
      <c r="G2313" s="2010" t="n">
        <v>20</v>
      </c>
      <c r="H2313" s="1931" t="n">
        <v>800</v>
      </c>
      <c r="I2313" s="837" t="n">
        <f aca="false">G2313*H2313</f>
        <v>16000</v>
      </c>
      <c r="J2313" s="1059" t="n">
        <v>98.1529</v>
      </c>
      <c r="K2313" s="943" t="n">
        <f aca="false">I2313*J2313</f>
        <v>1570446.4</v>
      </c>
      <c r="L2313" s="840" t="n">
        <v>471133.92</v>
      </c>
      <c r="M2313" s="840" t="n">
        <v>4800</v>
      </c>
      <c r="N2313" s="840" t="n">
        <f aca="false">M2313/H2313</f>
        <v>6</v>
      </c>
      <c r="O2313" s="1114" t="s">
        <v>3549</v>
      </c>
      <c r="P2313" s="1948" t="n">
        <f aca="false">K2313-L2313-L2314</f>
        <v>0</v>
      </c>
      <c r="Q2313" s="1934" t="n">
        <f aca="false">I2313-M2313-M2314</f>
        <v>0</v>
      </c>
      <c r="R2313" s="1935" t="n">
        <f aca="false">G2313-N2313-N2314</f>
        <v>0</v>
      </c>
    </row>
    <row r="2314" customFormat="false" ht="14.25" hidden="false" customHeight="false" outlineLevel="0" collapsed="false">
      <c r="A2314" s="829"/>
      <c r="B2314" s="830"/>
      <c r="C2314" s="1965"/>
      <c r="D2314" s="887" t="s">
        <v>10</v>
      </c>
      <c r="E2314" s="1501" t="s">
        <v>2133</v>
      </c>
      <c r="F2314" s="832"/>
      <c r="G2314" s="2010"/>
      <c r="H2314" s="1931"/>
      <c r="I2314" s="837"/>
      <c r="J2314" s="1059"/>
      <c r="K2314" s="943"/>
      <c r="L2314" s="890" t="n">
        <v>1099312.48</v>
      </c>
      <c r="M2314" s="890" t="n">
        <v>11200</v>
      </c>
      <c r="N2314" s="890" t="n">
        <f aca="false">M2314/H2313</f>
        <v>14</v>
      </c>
      <c r="O2314" s="1067" t="s">
        <v>964</v>
      </c>
      <c r="P2314" s="1948"/>
      <c r="Q2314" s="1934"/>
      <c r="R2314" s="1935"/>
    </row>
    <row r="2315" customFormat="false" ht="14.25" hidden="false" customHeight="false" outlineLevel="0" collapsed="false">
      <c r="A2315" s="829" t="n">
        <v>733</v>
      </c>
      <c r="B2315" s="830" t="n">
        <v>2024</v>
      </c>
      <c r="C2315" s="1965" t="n">
        <v>45992</v>
      </c>
      <c r="D2315" s="831" t="s">
        <v>10</v>
      </c>
      <c r="E2315" s="1365" t="s">
        <v>1652</v>
      </c>
      <c r="F2315" s="832" t="s">
        <v>3364</v>
      </c>
      <c r="G2315" s="2010" t="n">
        <v>138</v>
      </c>
      <c r="H2315" s="1931" t="n">
        <v>15</v>
      </c>
      <c r="I2315" s="837" t="n">
        <f aca="false">G2315*H2315</f>
        <v>2070</v>
      </c>
      <c r="J2315" s="1059" t="n">
        <v>40.3042</v>
      </c>
      <c r="K2315" s="943" t="n">
        <f aca="false">I2315*J2315</f>
        <v>83429.694</v>
      </c>
      <c r="L2315" s="840" t="n">
        <v>60456.3</v>
      </c>
      <c r="M2315" s="840" t="n">
        <v>1500</v>
      </c>
      <c r="N2315" s="886" t="n">
        <f aca="false">M2315/H2315</f>
        <v>100</v>
      </c>
      <c r="O2315" s="1114" t="s">
        <v>1029</v>
      </c>
      <c r="P2315" s="1948" t="n">
        <f aca="false">K2315-L2315-L2316</f>
        <v>0</v>
      </c>
      <c r="Q2315" s="1934" t="n">
        <f aca="false">I2315-M2315-M2316</f>
        <v>0</v>
      </c>
      <c r="R2315" s="1935" t="n">
        <f aca="false">G2315-N2315-N2316</f>
        <v>0</v>
      </c>
    </row>
    <row r="2316" customFormat="false" ht="14.25" hidden="false" customHeight="false" outlineLevel="0" collapsed="false">
      <c r="A2316" s="829"/>
      <c r="B2316" s="830"/>
      <c r="C2316" s="1965"/>
      <c r="D2316" s="887" t="s">
        <v>10</v>
      </c>
      <c r="E2316" s="1501" t="s">
        <v>1652</v>
      </c>
      <c r="F2316" s="832"/>
      <c r="G2316" s="2010"/>
      <c r="H2316" s="1931"/>
      <c r="I2316" s="837"/>
      <c r="J2316" s="1059"/>
      <c r="K2316" s="943"/>
      <c r="L2316" s="890" t="n">
        <v>22973.394</v>
      </c>
      <c r="M2316" s="890" t="n">
        <v>570</v>
      </c>
      <c r="N2316" s="846" t="n">
        <f aca="false">M2316/H2315</f>
        <v>38</v>
      </c>
      <c r="O2316" s="1067" t="s">
        <v>3550</v>
      </c>
      <c r="P2316" s="1948"/>
      <c r="Q2316" s="1934"/>
      <c r="R2316" s="1935"/>
    </row>
    <row r="2317" customFormat="false" ht="14.25" hidden="false" customHeight="false" outlineLevel="0" collapsed="false">
      <c r="A2317" s="847" t="n">
        <v>734</v>
      </c>
      <c r="B2317" s="1396" t="n">
        <v>2024</v>
      </c>
      <c r="C2317" s="1966" t="n">
        <v>45992</v>
      </c>
      <c r="D2317" s="848" t="s">
        <v>10</v>
      </c>
      <c r="E2317" s="1479" t="s">
        <v>2133</v>
      </c>
      <c r="F2317" s="848" t="s">
        <v>3364</v>
      </c>
      <c r="G2317" s="2018" t="n">
        <v>1</v>
      </c>
      <c r="H2317" s="1967" t="n">
        <v>620</v>
      </c>
      <c r="I2317" s="1380" t="n">
        <f aca="false">G2317*H2317</f>
        <v>620</v>
      </c>
      <c r="J2317" s="1544" t="n">
        <v>98.1529</v>
      </c>
      <c r="K2317" s="1144" t="n">
        <f aca="false">I2317*J2317</f>
        <v>60854.798</v>
      </c>
      <c r="L2317" s="854" t="n">
        <v>60854.798</v>
      </c>
      <c r="M2317" s="854" t="n">
        <v>620</v>
      </c>
      <c r="N2317" s="854" t="n">
        <f aca="false">M2317/H2317</f>
        <v>1</v>
      </c>
      <c r="O2317" s="537" t="s">
        <v>964</v>
      </c>
      <c r="P2317" s="1983" t="n">
        <f aca="false">K2317-L2317</f>
        <v>0</v>
      </c>
      <c r="Q2317" s="1970" t="n">
        <f aca="false">I2317-M2317</f>
        <v>0</v>
      </c>
      <c r="R2317" s="1970" t="n">
        <f aca="false">G2317-N2317</f>
        <v>0</v>
      </c>
    </row>
    <row r="2318" customFormat="false" ht="14.25" hidden="false" customHeight="false" outlineLevel="0" collapsed="false">
      <c r="A2318" s="847" t="n">
        <v>735</v>
      </c>
      <c r="B2318" s="1396" t="n">
        <v>2024</v>
      </c>
      <c r="C2318" s="1966" t="n">
        <v>45992</v>
      </c>
      <c r="D2318" s="848" t="s">
        <v>10</v>
      </c>
      <c r="E2318" s="1479" t="s">
        <v>2133</v>
      </c>
      <c r="F2318" s="848" t="s">
        <v>3364</v>
      </c>
      <c r="G2318" s="2018" t="n">
        <v>1</v>
      </c>
      <c r="H2318" s="1967" t="n">
        <v>10</v>
      </c>
      <c r="I2318" s="1380" t="n">
        <f aca="false">G2318*H2318</f>
        <v>10</v>
      </c>
      <c r="J2318" s="1544" t="n">
        <v>98.1529</v>
      </c>
      <c r="K2318" s="1144" t="n">
        <f aca="false">I2318*J2318</f>
        <v>981.529</v>
      </c>
      <c r="L2318" s="854" t="n">
        <v>981.529</v>
      </c>
      <c r="M2318" s="854" t="n">
        <v>10</v>
      </c>
      <c r="N2318" s="866" t="n">
        <f aca="false">M2318/H2318</f>
        <v>1</v>
      </c>
      <c r="O2318" s="537" t="s">
        <v>963</v>
      </c>
      <c r="P2318" s="1983" t="n">
        <f aca="false">K2318-L2318</f>
        <v>0</v>
      </c>
      <c r="Q2318" s="1970" t="n">
        <f aca="false">I2318-M2318</f>
        <v>0</v>
      </c>
      <c r="R2318" s="1970" t="n">
        <f aca="false">G2318-N2318</f>
        <v>0</v>
      </c>
    </row>
    <row r="2319" customFormat="false" ht="14.25" hidden="false" customHeight="false" outlineLevel="0" collapsed="false">
      <c r="A2319" s="847" t="n">
        <v>36</v>
      </c>
      <c r="B2319" s="1396" t="n">
        <v>2025</v>
      </c>
      <c r="C2319" s="1966" t="n">
        <v>46023</v>
      </c>
      <c r="D2319" s="848" t="s">
        <v>10</v>
      </c>
      <c r="E2319" s="1479" t="s">
        <v>2133</v>
      </c>
      <c r="F2319" s="848" t="s">
        <v>3364</v>
      </c>
      <c r="G2319" s="2018" t="n">
        <v>25</v>
      </c>
      <c r="H2319" s="1967" t="n">
        <v>800</v>
      </c>
      <c r="I2319" s="1380" t="n">
        <f aca="false">G2319*H2319</f>
        <v>20000</v>
      </c>
      <c r="J2319" s="1544" t="n">
        <v>95.5</v>
      </c>
      <c r="K2319" s="1144" t="n">
        <f aca="false">I2319*J2319</f>
        <v>1910000</v>
      </c>
      <c r="L2319" s="854" t="n">
        <v>1910000</v>
      </c>
      <c r="M2319" s="854" t="n">
        <v>20000</v>
      </c>
      <c r="N2319" s="866" t="n">
        <f aca="false">M2319/H2319</f>
        <v>25</v>
      </c>
      <c r="O2319" s="537" t="s">
        <v>3551</v>
      </c>
      <c r="P2319" s="1983" t="n">
        <f aca="false">K2319-L2319</f>
        <v>0</v>
      </c>
      <c r="Q2319" s="1970" t="n">
        <f aca="false">I2319-M2319</f>
        <v>0</v>
      </c>
      <c r="R2319" s="1970" t="n">
        <f aca="false">G2319-N2319</f>
        <v>0</v>
      </c>
    </row>
    <row r="2320" customFormat="false" ht="14.25" hidden="false" customHeight="false" outlineLevel="0" collapsed="false">
      <c r="A2320" s="847" t="n">
        <v>37</v>
      </c>
      <c r="B2320" s="1396" t="n">
        <v>2025</v>
      </c>
      <c r="C2320" s="1966" t="n">
        <v>46023</v>
      </c>
      <c r="D2320" s="848" t="s">
        <v>10</v>
      </c>
      <c r="E2320" s="1479" t="s">
        <v>2133</v>
      </c>
      <c r="F2320" s="848" t="s">
        <v>3364</v>
      </c>
      <c r="G2320" s="2018" t="n">
        <v>13.375</v>
      </c>
      <c r="H2320" s="1967" t="n">
        <v>800</v>
      </c>
      <c r="I2320" s="1380" t="n">
        <f aca="false">G2320*H2320</f>
        <v>10700</v>
      </c>
      <c r="J2320" s="1544" t="n">
        <v>95.5535</v>
      </c>
      <c r="K2320" s="1144" t="n">
        <f aca="false">I2320*J2320</f>
        <v>1022422.45</v>
      </c>
      <c r="L2320" s="854" t="n">
        <v>1022422.45</v>
      </c>
      <c r="M2320" s="854" t="n">
        <v>10700</v>
      </c>
      <c r="N2320" s="866" t="n">
        <f aca="false">M2320/H2320</f>
        <v>13.375</v>
      </c>
      <c r="O2320" s="537" t="s">
        <v>3551</v>
      </c>
      <c r="P2320" s="1983" t="n">
        <f aca="false">K2320-L2320</f>
        <v>0</v>
      </c>
      <c r="Q2320" s="1970" t="n">
        <f aca="false">I2320-M2320</f>
        <v>0</v>
      </c>
      <c r="R2320" s="1970" t="n">
        <f aca="false">G2320-N2320</f>
        <v>0</v>
      </c>
    </row>
    <row r="2321" customFormat="false" ht="14.25" hidden="false" customHeight="false" outlineLevel="0" collapsed="false">
      <c r="A2321" s="847" t="n">
        <v>45</v>
      </c>
      <c r="B2321" s="1396" t="n">
        <v>2025</v>
      </c>
      <c r="C2321" s="1966" t="n">
        <v>46023</v>
      </c>
      <c r="D2321" s="848" t="s">
        <v>10</v>
      </c>
      <c r="E2321" s="1479" t="s">
        <v>2619</v>
      </c>
      <c r="F2321" s="848" t="s">
        <v>3364</v>
      </c>
      <c r="G2321" s="2018" t="n">
        <v>25</v>
      </c>
      <c r="H2321" s="1967" t="n">
        <v>800</v>
      </c>
      <c r="I2321" s="1380" t="n">
        <f aca="false">G2321*H2321</f>
        <v>20000</v>
      </c>
      <c r="J2321" s="1544" t="n">
        <v>96.5729</v>
      </c>
      <c r="K2321" s="1144" t="n">
        <f aca="false">I2321*J2321</f>
        <v>1931458</v>
      </c>
      <c r="L2321" s="854" t="n">
        <v>1931458</v>
      </c>
      <c r="M2321" s="854" t="n">
        <v>20000</v>
      </c>
      <c r="N2321" s="866" t="n">
        <f aca="false">M2321/H2321</f>
        <v>25</v>
      </c>
      <c r="O2321" s="537" t="s">
        <v>1027</v>
      </c>
      <c r="P2321" s="1983" t="n">
        <f aca="false">K2321-L2321</f>
        <v>0</v>
      </c>
      <c r="Q2321" s="1970" t="n">
        <f aca="false">I2321-M2321</f>
        <v>0</v>
      </c>
      <c r="R2321" s="1970" t="n">
        <f aca="false">G2321-N2321</f>
        <v>0</v>
      </c>
    </row>
    <row r="2322" customFormat="false" ht="14.25" hidden="false" customHeight="false" outlineLevel="0" collapsed="false">
      <c r="A2322" s="903" t="n">
        <v>46</v>
      </c>
      <c r="B2322" s="903" t="n">
        <v>2025</v>
      </c>
      <c r="C2322" s="1974" t="n">
        <v>46023</v>
      </c>
      <c r="D2322" s="904" t="s">
        <v>10</v>
      </c>
      <c r="E2322" s="1351" t="s">
        <v>2619</v>
      </c>
      <c r="F2322" s="904" t="s">
        <v>3364</v>
      </c>
      <c r="G2322" s="2012" t="n">
        <v>20</v>
      </c>
      <c r="H2322" s="1940" t="n">
        <v>800</v>
      </c>
      <c r="I2322" s="1355" t="n">
        <f aca="false">G2322*H2322</f>
        <v>16000</v>
      </c>
      <c r="J2322" s="1406" t="n">
        <v>96.5729</v>
      </c>
      <c r="K2322" s="1138" t="n">
        <f aca="false">I2322*J2322</f>
        <v>1545166.4</v>
      </c>
      <c r="L2322" s="891" t="n">
        <v>1545166.4</v>
      </c>
      <c r="M2322" s="891" t="n">
        <v>16000</v>
      </c>
      <c r="N2322" s="877" t="n">
        <f aca="false">M2322/H2322</f>
        <v>20</v>
      </c>
      <c r="O2322" s="942" t="s">
        <v>1027</v>
      </c>
      <c r="P2322" s="1947" t="n">
        <f aca="false">K2322-L2322</f>
        <v>0</v>
      </c>
      <c r="Q2322" s="1945" t="n">
        <f aca="false">I2322-M2322</f>
        <v>0</v>
      </c>
      <c r="R2322" s="1945" t="n">
        <f aca="false">G2322-N2322</f>
        <v>0</v>
      </c>
    </row>
    <row r="2323" customFormat="false" ht="14.25" hidden="false" customHeight="false" outlineLevel="0" collapsed="false">
      <c r="A2323" s="829" t="n">
        <v>50</v>
      </c>
      <c r="B2323" s="830" t="n">
        <v>2025</v>
      </c>
      <c r="C2323" s="1965" t="n">
        <v>46023</v>
      </c>
      <c r="D2323" s="831" t="s">
        <v>10</v>
      </c>
      <c r="E2323" s="1365" t="s">
        <v>1652</v>
      </c>
      <c r="F2323" s="832" t="s">
        <v>3375</v>
      </c>
      <c r="G2323" s="2010" t="n">
        <v>192</v>
      </c>
      <c r="H2323" s="1931" t="n">
        <v>15</v>
      </c>
      <c r="I2323" s="837" t="n">
        <f aca="false">G2323*H2323</f>
        <v>2880</v>
      </c>
      <c r="J2323" s="1059" t="n">
        <v>35.1082</v>
      </c>
      <c r="K2323" s="943" t="n">
        <f aca="false">I2323*J2323</f>
        <v>101111.616</v>
      </c>
      <c r="L2323" s="840" t="n">
        <v>84259.68</v>
      </c>
      <c r="M2323" s="840" t="n">
        <v>2400</v>
      </c>
      <c r="N2323" s="840" t="n">
        <f aca="false">M2323/H2323</f>
        <v>160</v>
      </c>
      <c r="O2323" s="1114" t="s">
        <v>1039</v>
      </c>
      <c r="P2323" s="1948" t="n">
        <f aca="false">K2323-L2323-L2324</f>
        <v>0</v>
      </c>
      <c r="Q2323" s="1934" t="n">
        <f aca="false">I2323-M2323-M2324</f>
        <v>0</v>
      </c>
      <c r="R2323" s="1935" t="n">
        <f aca="false">G2323-N2323-N2324</f>
        <v>0</v>
      </c>
    </row>
    <row r="2324" customFormat="false" ht="14.25" hidden="false" customHeight="false" outlineLevel="0" collapsed="false">
      <c r="A2324" s="829"/>
      <c r="B2324" s="830"/>
      <c r="C2324" s="1965"/>
      <c r="D2324" s="887" t="s">
        <v>10</v>
      </c>
      <c r="E2324" s="1501" t="s">
        <v>1652</v>
      </c>
      <c r="F2324" s="832"/>
      <c r="G2324" s="2010"/>
      <c r="H2324" s="1931"/>
      <c r="I2324" s="837"/>
      <c r="J2324" s="1059"/>
      <c r="K2324" s="943"/>
      <c r="L2324" s="890" t="n">
        <v>16851.936</v>
      </c>
      <c r="M2324" s="890" t="n">
        <v>480</v>
      </c>
      <c r="N2324" s="846" t="n">
        <f aca="false">M2324/H2323</f>
        <v>32</v>
      </c>
      <c r="O2324" s="1067" t="s">
        <v>998</v>
      </c>
      <c r="P2324" s="1948"/>
      <c r="Q2324" s="1934"/>
      <c r="R2324" s="1935"/>
    </row>
    <row r="2325" customFormat="false" ht="14.25" hidden="false" customHeight="false" outlineLevel="0" collapsed="false">
      <c r="A2325" s="847" t="n">
        <v>52</v>
      </c>
      <c r="B2325" s="1396" t="n">
        <v>2025</v>
      </c>
      <c r="C2325" s="1966" t="n">
        <v>46023</v>
      </c>
      <c r="D2325" s="848" t="s">
        <v>10</v>
      </c>
      <c r="E2325" s="1479" t="s">
        <v>2619</v>
      </c>
      <c r="F2325" s="848" t="s">
        <v>3364</v>
      </c>
      <c r="G2325" s="2018" t="n">
        <v>333</v>
      </c>
      <c r="H2325" s="1967" t="n">
        <v>30</v>
      </c>
      <c r="I2325" s="1380" t="n">
        <f aca="false">G2325*H2325</f>
        <v>9990</v>
      </c>
      <c r="J2325" s="1544" t="n">
        <v>89.2129</v>
      </c>
      <c r="K2325" s="1144" t="n">
        <f aca="false">I2325*J2325</f>
        <v>891236.871</v>
      </c>
      <c r="L2325" s="854" t="n">
        <v>891236.871</v>
      </c>
      <c r="M2325" s="854" t="n">
        <v>9990</v>
      </c>
      <c r="N2325" s="854" t="n">
        <f aca="false">M2325/H2325</f>
        <v>333</v>
      </c>
      <c r="O2325" s="537" t="s">
        <v>1045</v>
      </c>
      <c r="P2325" s="1983" t="n">
        <f aca="false">K2325-L2325</f>
        <v>0</v>
      </c>
      <c r="Q2325" s="1970" t="n">
        <f aca="false">I2325-M2325</f>
        <v>0</v>
      </c>
      <c r="R2325" s="1970" t="n">
        <f aca="false">G2325-N2325</f>
        <v>0</v>
      </c>
    </row>
    <row r="2326" customFormat="false" ht="14.25" hidden="false" customHeight="false" outlineLevel="0" collapsed="false">
      <c r="A2326" s="903" t="n">
        <v>53</v>
      </c>
      <c r="B2326" s="903" t="n">
        <v>2025</v>
      </c>
      <c r="C2326" s="1974" t="n">
        <v>46023</v>
      </c>
      <c r="D2326" s="904" t="s">
        <v>10</v>
      </c>
      <c r="E2326" s="1351" t="s">
        <v>1652</v>
      </c>
      <c r="F2326" s="904" t="s">
        <v>3364</v>
      </c>
      <c r="G2326" s="2012" t="n">
        <v>736</v>
      </c>
      <c r="H2326" s="1940" t="n">
        <v>15</v>
      </c>
      <c r="I2326" s="1355" t="n">
        <f aca="false">G2326*H2326</f>
        <v>11040</v>
      </c>
      <c r="J2326" s="1406" t="n">
        <v>38.4891</v>
      </c>
      <c r="K2326" s="1138" t="n">
        <f aca="false">I2326*J2326</f>
        <v>424919.664</v>
      </c>
      <c r="L2326" s="891" t="n">
        <v>424919.664</v>
      </c>
      <c r="M2326" s="891" t="n">
        <v>11040</v>
      </c>
      <c r="N2326" s="877" t="n">
        <f aca="false">M2326/H2326</f>
        <v>736</v>
      </c>
      <c r="O2326" s="942" t="s">
        <v>1049</v>
      </c>
      <c r="P2326" s="1947" t="n">
        <f aca="false">K2326-L2326</f>
        <v>0</v>
      </c>
      <c r="Q2326" s="1945" t="n">
        <f aca="false">I2326-M2326</f>
        <v>0</v>
      </c>
      <c r="R2326" s="1945" t="n">
        <f aca="false">G2326-N2326</f>
        <v>0</v>
      </c>
    </row>
    <row r="2327" customFormat="false" ht="14.25" hidden="false" customHeight="false" outlineLevel="0" collapsed="false">
      <c r="A2327" s="1027" t="n">
        <v>54</v>
      </c>
      <c r="B2327" s="1546" t="n">
        <v>2025</v>
      </c>
      <c r="C2327" s="1975" t="n">
        <v>46023</v>
      </c>
      <c r="D2327" s="831" t="s">
        <v>10</v>
      </c>
      <c r="E2327" s="1365" t="s">
        <v>1652</v>
      </c>
      <c r="F2327" s="1328" t="s">
        <v>3364</v>
      </c>
      <c r="G2327" s="2011" t="n">
        <v>1333</v>
      </c>
      <c r="H2327" s="1976" t="n">
        <v>15</v>
      </c>
      <c r="I2327" s="1036" t="n">
        <f aca="false">G2327*H2327</f>
        <v>19995</v>
      </c>
      <c r="J2327" s="1557" t="n">
        <v>38.6063</v>
      </c>
      <c r="K2327" s="1547" t="n">
        <f aca="false">I2327*J2327</f>
        <v>771932.9685</v>
      </c>
      <c r="L2327" s="840" t="n">
        <v>425055.363</v>
      </c>
      <c r="M2327" s="840" t="n">
        <v>11010</v>
      </c>
      <c r="N2327" s="886" t="n">
        <f aca="false">M2327/H2327</f>
        <v>734</v>
      </c>
      <c r="O2327" s="1114" t="s">
        <v>3552</v>
      </c>
      <c r="P2327" s="1984" t="n">
        <f aca="false">K2327-L2327-L2329-L2328</f>
        <v>0</v>
      </c>
      <c r="Q2327" s="1978" t="n">
        <f aca="false">I2327-M2327-M2329-M2328</f>
        <v>0</v>
      </c>
      <c r="R2327" s="1979" t="n">
        <f aca="false">G2327-N2327-N2329-N2328</f>
        <v>0</v>
      </c>
    </row>
    <row r="2328" customFormat="false" ht="14.25" hidden="false" customHeight="false" outlineLevel="0" collapsed="false">
      <c r="A2328" s="1027"/>
      <c r="B2328" s="1546"/>
      <c r="C2328" s="1975"/>
      <c r="D2328" s="860" t="s">
        <v>10</v>
      </c>
      <c r="E2328" s="1480" t="s">
        <v>1652</v>
      </c>
      <c r="F2328" s="1328"/>
      <c r="G2328" s="2011"/>
      <c r="H2328" s="1976"/>
      <c r="I2328" s="1036"/>
      <c r="J2328" s="1557"/>
      <c r="K2328" s="1547"/>
      <c r="L2328" s="866" t="n">
        <v>48064.8435</v>
      </c>
      <c r="M2328" s="866" t="n">
        <v>1245</v>
      </c>
      <c r="N2328" s="866" t="n">
        <f aca="false">M2328/H2327</f>
        <v>83</v>
      </c>
      <c r="O2328" s="543" t="s">
        <v>1001</v>
      </c>
      <c r="P2328" s="1984"/>
      <c r="Q2328" s="1978"/>
      <c r="R2328" s="1979"/>
    </row>
    <row r="2329" customFormat="false" ht="14.25" hidden="false" customHeight="false" outlineLevel="0" collapsed="false">
      <c r="A2329" s="1027"/>
      <c r="B2329" s="1546"/>
      <c r="C2329" s="1975"/>
      <c r="D2329" s="904" t="s">
        <v>10</v>
      </c>
      <c r="E2329" s="1351" t="s">
        <v>1652</v>
      </c>
      <c r="F2329" s="1328"/>
      <c r="G2329" s="2011"/>
      <c r="H2329" s="1976"/>
      <c r="I2329" s="1036"/>
      <c r="J2329" s="1557"/>
      <c r="K2329" s="1547"/>
      <c r="L2329" s="891" t="n">
        <v>298812.762</v>
      </c>
      <c r="M2329" s="891" t="n">
        <v>7740</v>
      </c>
      <c r="N2329" s="891" t="n">
        <f aca="false">M2329/H2327</f>
        <v>516</v>
      </c>
      <c r="O2329" s="942" t="s">
        <v>3553</v>
      </c>
      <c r="P2329" s="1984"/>
      <c r="Q2329" s="1978"/>
      <c r="R2329" s="1979"/>
    </row>
    <row r="2330" customFormat="false" ht="14.25" hidden="false" customHeight="false" outlineLevel="0" collapsed="false">
      <c r="A2330" s="1465" t="n">
        <v>55</v>
      </c>
      <c r="B2330" s="1546" t="n">
        <v>2025</v>
      </c>
      <c r="C2330" s="1975" t="n">
        <v>46023</v>
      </c>
      <c r="D2330" s="831" t="s">
        <v>10</v>
      </c>
      <c r="E2330" s="1365" t="s">
        <v>1651</v>
      </c>
      <c r="F2330" s="1328" t="s">
        <v>3364</v>
      </c>
      <c r="G2330" s="2011" t="n">
        <v>1333</v>
      </c>
      <c r="H2330" s="1976" t="n">
        <v>15</v>
      </c>
      <c r="I2330" s="1036" t="n">
        <f aca="false">G2330*H2330</f>
        <v>19995</v>
      </c>
      <c r="J2330" s="1557" t="n">
        <v>28.5431</v>
      </c>
      <c r="K2330" s="1547" t="n">
        <f aca="false">I2330*J2330</f>
        <v>570719.2845</v>
      </c>
      <c r="L2330" s="886" t="n">
        <v>143000.931</v>
      </c>
      <c r="M2330" s="886" t="n">
        <v>5010</v>
      </c>
      <c r="N2330" s="886" t="n">
        <f aca="false">M2330/H2330</f>
        <v>334</v>
      </c>
      <c r="O2330" s="1036" t="s">
        <v>1002</v>
      </c>
      <c r="P2330" s="1978" t="n">
        <f aca="false">K2330-L2330-L2334-L2333-L2331-L2332</f>
        <v>-2.91038304567337E-011</v>
      </c>
      <c r="Q2330" s="1978" t="n">
        <f aca="false">I2330-M2330-M2334-M2333-M2331-M2332</f>
        <v>0</v>
      </c>
      <c r="R2330" s="1979" t="n">
        <f aca="false">G2330-N2330-N2334-N2333-N2331-N2332</f>
        <v>0</v>
      </c>
    </row>
    <row r="2331" customFormat="false" ht="14.25" hidden="false" customHeight="false" outlineLevel="0" collapsed="false">
      <c r="A2331" s="1465"/>
      <c r="B2331" s="1546"/>
      <c r="C2331" s="1975"/>
      <c r="D2331" s="860" t="s">
        <v>10</v>
      </c>
      <c r="E2331" s="1480" t="s">
        <v>1651</v>
      </c>
      <c r="F2331" s="1328"/>
      <c r="G2331" s="2011"/>
      <c r="H2331" s="1976"/>
      <c r="I2331" s="1036"/>
      <c r="J2331" s="1557"/>
      <c r="K2331" s="1547"/>
      <c r="L2331" s="866" t="n">
        <v>238477.6005</v>
      </c>
      <c r="M2331" s="866" t="n">
        <v>8355</v>
      </c>
      <c r="N2331" s="866" t="n">
        <f aca="false">M2331/H2330</f>
        <v>557</v>
      </c>
      <c r="O2331" s="543" t="s">
        <v>3554</v>
      </c>
      <c r="P2331" s="1978"/>
      <c r="Q2331" s="1978"/>
      <c r="R2331" s="1979"/>
    </row>
    <row r="2332" customFormat="false" ht="14.25" hidden="false" customHeight="false" outlineLevel="0" collapsed="false">
      <c r="A2332" s="1465"/>
      <c r="B2332" s="1546"/>
      <c r="C2332" s="1975"/>
      <c r="D2332" s="860" t="s">
        <v>10</v>
      </c>
      <c r="E2332" s="1480" t="s">
        <v>1651</v>
      </c>
      <c r="F2332" s="1328"/>
      <c r="G2332" s="2011"/>
      <c r="H2332" s="1976"/>
      <c r="I2332" s="1036"/>
      <c r="J2332" s="1557"/>
      <c r="K2332" s="1547"/>
      <c r="L2332" s="866" t="n">
        <v>9847.3695</v>
      </c>
      <c r="M2332" s="866" t="n">
        <v>345</v>
      </c>
      <c r="N2332" s="866" t="n">
        <f aca="false">M2332/H2330</f>
        <v>23</v>
      </c>
      <c r="O2332" s="543" t="s">
        <v>3555</v>
      </c>
      <c r="P2332" s="1978"/>
      <c r="Q2332" s="1978"/>
      <c r="R2332" s="1979"/>
    </row>
    <row r="2333" customFormat="false" ht="14.25" hidden="false" customHeight="false" outlineLevel="0" collapsed="false">
      <c r="A2333" s="1465"/>
      <c r="B2333" s="1546"/>
      <c r="C2333" s="1975"/>
      <c r="D2333" s="860" t="s">
        <v>10</v>
      </c>
      <c r="E2333" s="1480" t="s">
        <v>1651</v>
      </c>
      <c r="F2333" s="1328"/>
      <c r="G2333" s="2011"/>
      <c r="H2333" s="1976"/>
      <c r="I2333" s="1036"/>
      <c r="J2333" s="1557"/>
      <c r="K2333" s="1547"/>
      <c r="L2333" s="866" t="n">
        <v>63793.8285</v>
      </c>
      <c r="M2333" s="866" t="n">
        <v>2235</v>
      </c>
      <c r="N2333" s="866" t="n">
        <f aca="false">M2333/H2330</f>
        <v>149</v>
      </c>
      <c r="O2333" s="543" t="s">
        <v>940</v>
      </c>
      <c r="P2333" s="1978"/>
      <c r="Q2333" s="1978"/>
      <c r="R2333" s="1979"/>
    </row>
    <row r="2334" customFormat="false" ht="14.25" hidden="false" customHeight="false" outlineLevel="0" collapsed="false">
      <c r="A2334" s="1465"/>
      <c r="B2334" s="1546"/>
      <c r="C2334" s="1975"/>
      <c r="D2334" s="871" t="s">
        <v>10</v>
      </c>
      <c r="E2334" s="1478" t="s">
        <v>1651</v>
      </c>
      <c r="F2334" s="1328"/>
      <c r="G2334" s="2011"/>
      <c r="H2334" s="1976"/>
      <c r="I2334" s="1036"/>
      <c r="J2334" s="1557"/>
      <c r="K2334" s="1547"/>
      <c r="L2334" s="877" t="n">
        <v>115599.555</v>
      </c>
      <c r="M2334" s="877" t="n">
        <v>4050</v>
      </c>
      <c r="N2334" s="877" t="n">
        <f aca="false">M2334/H2330</f>
        <v>270</v>
      </c>
      <c r="O2334" s="553" t="s">
        <v>3547</v>
      </c>
      <c r="P2334" s="1978"/>
      <c r="Q2334" s="1978"/>
      <c r="R2334" s="1979"/>
    </row>
    <row r="2335" customFormat="false" ht="14.25" hidden="false" customHeight="false" outlineLevel="0" collapsed="false">
      <c r="A2335" s="882" t="n">
        <v>56</v>
      </c>
      <c r="B2335" s="830" t="n">
        <v>2025</v>
      </c>
      <c r="C2335" s="1965" t="n">
        <v>46023</v>
      </c>
      <c r="D2335" s="831" t="s">
        <v>10</v>
      </c>
      <c r="E2335" s="1365" t="s">
        <v>2133</v>
      </c>
      <c r="F2335" s="832" t="s">
        <v>3364</v>
      </c>
      <c r="G2335" s="2010" t="n">
        <v>327</v>
      </c>
      <c r="H2335" s="1931" t="n">
        <v>30</v>
      </c>
      <c r="I2335" s="837" t="n">
        <f aca="false">G2335*H2335</f>
        <v>9810</v>
      </c>
      <c r="J2335" s="1059" t="n">
        <v>93.3</v>
      </c>
      <c r="K2335" s="943" t="n">
        <f aca="false">I2335*J2335</f>
        <v>915273</v>
      </c>
      <c r="L2335" s="840" t="n">
        <v>814509</v>
      </c>
      <c r="M2335" s="840" t="n">
        <v>8730</v>
      </c>
      <c r="N2335" s="886" t="n">
        <f aca="false">M2335/H2335</f>
        <v>291</v>
      </c>
      <c r="O2335" s="1114" t="s">
        <v>574</v>
      </c>
      <c r="P2335" s="1948" t="n">
        <f aca="false">K2335-L2335-L2337-L2336</f>
        <v>0</v>
      </c>
      <c r="Q2335" s="1934" t="n">
        <f aca="false">I2335-M2335-M2337-M2336</f>
        <v>0</v>
      </c>
      <c r="R2335" s="1935" t="n">
        <f aca="false">G2335-N2335-N2337-N2336</f>
        <v>0</v>
      </c>
    </row>
    <row r="2336" customFormat="false" ht="14.25" hidden="false" customHeight="false" outlineLevel="0" collapsed="false">
      <c r="A2336" s="882"/>
      <c r="B2336" s="830"/>
      <c r="C2336" s="1965"/>
      <c r="D2336" s="904" t="s">
        <v>10</v>
      </c>
      <c r="E2336" s="1351" t="s">
        <v>2133</v>
      </c>
      <c r="F2336" s="832"/>
      <c r="G2336" s="2010"/>
      <c r="H2336" s="1931"/>
      <c r="I2336" s="837"/>
      <c r="J2336" s="1059"/>
      <c r="K2336" s="943"/>
      <c r="L2336" s="891" t="n">
        <v>44784</v>
      </c>
      <c r="M2336" s="891" t="n">
        <v>480</v>
      </c>
      <c r="N2336" s="866" t="n">
        <f aca="false">M2336/H2335</f>
        <v>16</v>
      </c>
      <c r="O2336" s="942" t="s">
        <v>1131</v>
      </c>
      <c r="P2336" s="1948"/>
      <c r="Q2336" s="1934"/>
      <c r="R2336" s="1935"/>
    </row>
    <row r="2337" customFormat="false" ht="14.25" hidden="false" customHeight="false" outlineLevel="0" collapsed="false">
      <c r="A2337" s="882"/>
      <c r="B2337" s="830"/>
      <c r="C2337" s="1965"/>
      <c r="D2337" s="843" t="s">
        <v>10</v>
      </c>
      <c r="E2337" s="1357" t="s">
        <v>2133</v>
      </c>
      <c r="F2337" s="832"/>
      <c r="G2337" s="2010"/>
      <c r="H2337" s="1931"/>
      <c r="I2337" s="837"/>
      <c r="J2337" s="1059"/>
      <c r="K2337" s="943"/>
      <c r="L2337" s="846" t="n">
        <v>55980</v>
      </c>
      <c r="M2337" s="846" t="n">
        <v>600</v>
      </c>
      <c r="N2337" s="846" t="n">
        <f aca="false">M2337/H2335</f>
        <v>20</v>
      </c>
      <c r="O2337" s="589" t="s">
        <v>1057</v>
      </c>
      <c r="P2337" s="1948"/>
      <c r="Q2337" s="1934"/>
      <c r="R2337" s="1935"/>
    </row>
    <row r="2338" customFormat="false" ht="14.25" hidden="false" customHeight="false" outlineLevel="0" collapsed="false">
      <c r="A2338" s="1060" t="n">
        <v>57</v>
      </c>
      <c r="B2338" s="1072" t="n">
        <v>2025</v>
      </c>
      <c r="C2338" s="1980" t="n">
        <v>46023</v>
      </c>
      <c r="D2338" s="848" t="s">
        <v>10</v>
      </c>
      <c r="E2338" s="1479" t="s">
        <v>1652</v>
      </c>
      <c r="F2338" s="887" t="s">
        <v>3364</v>
      </c>
      <c r="G2338" s="2017" t="n">
        <v>1174</v>
      </c>
      <c r="H2338" s="1950" t="n">
        <v>15</v>
      </c>
      <c r="I2338" s="1067" t="n">
        <f aca="false">G2338*H2338</f>
        <v>17610</v>
      </c>
      <c r="J2338" s="1063" t="n">
        <v>37.8192</v>
      </c>
      <c r="K2338" s="1452" t="n">
        <f aca="false">I2338*J2338</f>
        <v>665996.112</v>
      </c>
      <c r="L2338" s="854" t="n">
        <v>189474.192</v>
      </c>
      <c r="M2338" s="854" t="n">
        <v>5010</v>
      </c>
      <c r="N2338" s="891" t="n">
        <f aca="false">M2338/H2338</f>
        <v>334</v>
      </c>
      <c r="O2338" s="537" t="s">
        <v>1050</v>
      </c>
      <c r="P2338" s="1952" t="n">
        <f aca="false">K2338-L2338-L2343-L2339-L2342-L2341-L2340</f>
        <v>0</v>
      </c>
      <c r="Q2338" s="1953" t="n">
        <f aca="false">I2338-M2338-M2343-M2339-M2342-M2341-M2340</f>
        <v>0</v>
      </c>
      <c r="R2338" s="1954" t="n">
        <f aca="false">G2338-N2338-N2343-N2339-N2342-N2341-N2340</f>
        <v>0</v>
      </c>
    </row>
    <row r="2339" customFormat="false" ht="14.25" hidden="false" customHeight="false" outlineLevel="0" collapsed="false">
      <c r="A2339" s="1060"/>
      <c r="B2339" s="1072"/>
      <c r="C2339" s="1980"/>
      <c r="D2339" s="860" t="s">
        <v>10</v>
      </c>
      <c r="E2339" s="1480" t="s">
        <v>1652</v>
      </c>
      <c r="F2339" s="887"/>
      <c r="G2339" s="2017"/>
      <c r="H2339" s="1950"/>
      <c r="I2339" s="1067"/>
      <c r="J2339" s="1063"/>
      <c r="K2339" s="1452"/>
      <c r="L2339" s="866" t="n">
        <v>66372.696</v>
      </c>
      <c r="M2339" s="866" t="n">
        <v>1755</v>
      </c>
      <c r="N2339" s="866" t="n">
        <f aca="false">M2339/H2338</f>
        <v>117</v>
      </c>
      <c r="O2339" s="543" t="s">
        <v>1001</v>
      </c>
      <c r="P2339" s="1952"/>
      <c r="Q2339" s="1953"/>
      <c r="R2339" s="1954"/>
    </row>
    <row r="2340" customFormat="false" ht="14.25" hidden="false" customHeight="false" outlineLevel="0" collapsed="false">
      <c r="A2340" s="1060"/>
      <c r="B2340" s="1072"/>
      <c r="C2340" s="1980"/>
      <c r="D2340" s="860" t="s">
        <v>10</v>
      </c>
      <c r="E2340" s="1480" t="s">
        <v>1652</v>
      </c>
      <c r="F2340" s="887"/>
      <c r="G2340" s="2017"/>
      <c r="H2340" s="1950"/>
      <c r="I2340" s="1067"/>
      <c r="J2340" s="1063"/>
      <c r="K2340" s="1452"/>
      <c r="L2340" s="866" t="n">
        <v>17585.928</v>
      </c>
      <c r="M2340" s="866" t="n">
        <v>465</v>
      </c>
      <c r="N2340" s="866" t="n">
        <f aca="false">M2340/H2338</f>
        <v>31</v>
      </c>
      <c r="O2340" s="543" t="s">
        <v>3550</v>
      </c>
      <c r="P2340" s="1952"/>
      <c r="Q2340" s="1953"/>
      <c r="R2340" s="1954"/>
    </row>
    <row r="2341" customFormat="false" ht="14.25" hidden="false" customHeight="false" outlineLevel="0" collapsed="false">
      <c r="A2341" s="1060"/>
      <c r="B2341" s="1072"/>
      <c r="C2341" s="1980"/>
      <c r="D2341" s="860" t="s">
        <v>10</v>
      </c>
      <c r="E2341" s="1480" t="s">
        <v>1652</v>
      </c>
      <c r="F2341" s="887"/>
      <c r="G2341" s="2017"/>
      <c r="H2341" s="1950"/>
      <c r="I2341" s="1067"/>
      <c r="J2341" s="1063"/>
      <c r="K2341" s="1452"/>
      <c r="L2341" s="866" t="n">
        <v>13614.912</v>
      </c>
      <c r="M2341" s="866" t="n">
        <v>360</v>
      </c>
      <c r="N2341" s="866" t="n">
        <f aca="false">M2341/H2338</f>
        <v>24</v>
      </c>
      <c r="O2341" s="543" t="s">
        <v>1053</v>
      </c>
      <c r="P2341" s="1952"/>
      <c r="Q2341" s="1953"/>
      <c r="R2341" s="1954"/>
    </row>
    <row r="2342" customFormat="false" ht="14.25" hidden="false" customHeight="false" outlineLevel="0" collapsed="false">
      <c r="A2342" s="1060"/>
      <c r="B2342" s="1072"/>
      <c r="C2342" s="1980"/>
      <c r="D2342" s="860" t="s">
        <v>10</v>
      </c>
      <c r="E2342" s="1480" t="s">
        <v>1652</v>
      </c>
      <c r="F2342" s="887"/>
      <c r="G2342" s="2017"/>
      <c r="H2342" s="1950"/>
      <c r="I2342" s="1067"/>
      <c r="J2342" s="1063"/>
      <c r="K2342" s="1452"/>
      <c r="L2342" s="866" t="n">
        <v>189474.192</v>
      </c>
      <c r="M2342" s="866" t="n">
        <v>5010</v>
      </c>
      <c r="N2342" s="866" t="n">
        <f aca="false">M2342/H2338</f>
        <v>334</v>
      </c>
      <c r="O2342" s="543" t="s">
        <v>1052</v>
      </c>
      <c r="P2342" s="1952"/>
      <c r="Q2342" s="1953"/>
      <c r="R2342" s="1954"/>
    </row>
    <row r="2343" customFormat="false" ht="14.25" hidden="false" customHeight="false" outlineLevel="0" collapsed="false">
      <c r="A2343" s="1060"/>
      <c r="B2343" s="1072"/>
      <c r="C2343" s="1980"/>
      <c r="D2343" s="887" t="s">
        <v>10</v>
      </c>
      <c r="E2343" s="1501" t="s">
        <v>1652</v>
      </c>
      <c r="F2343" s="887"/>
      <c r="G2343" s="2017"/>
      <c r="H2343" s="1950"/>
      <c r="I2343" s="1067"/>
      <c r="J2343" s="1063"/>
      <c r="K2343" s="1452"/>
      <c r="L2343" s="890" t="n">
        <v>189474.192</v>
      </c>
      <c r="M2343" s="890" t="n">
        <v>5010</v>
      </c>
      <c r="N2343" s="890" t="n">
        <f aca="false">M2343/H2338</f>
        <v>334</v>
      </c>
      <c r="O2343" s="1067" t="s">
        <v>1051</v>
      </c>
      <c r="P2343" s="1952"/>
      <c r="Q2343" s="1953"/>
      <c r="R2343" s="1954"/>
    </row>
    <row r="2344" customFormat="false" ht="14.25" hidden="false" customHeight="false" outlineLevel="0" collapsed="false">
      <c r="A2344" s="903" t="n">
        <v>58</v>
      </c>
      <c r="B2344" s="903" t="n">
        <v>2025</v>
      </c>
      <c r="C2344" s="1974" t="n">
        <v>46023</v>
      </c>
      <c r="D2344" s="904" t="s">
        <v>10</v>
      </c>
      <c r="E2344" s="1351" t="s">
        <v>1651</v>
      </c>
      <c r="F2344" s="904" t="s">
        <v>3364</v>
      </c>
      <c r="G2344" s="2012" t="n">
        <v>785</v>
      </c>
      <c r="H2344" s="1940" t="n">
        <v>15</v>
      </c>
      <c r="I2344" s="1355" t="n">
        <f aca="false">G2344*H2344</f>
        <v>11775</v>
      </c>
      <c r="J2344" s="1406" t="n">
        <v>31.2507</v>
      </c>
      <c r="K2344" s="1138" t="n">
        <f aca="false">I2344*J2344</f>
        <v>367976.9925</v>
      </c>
      <c r="L2344" s="891" t="n">
        <v>367976.9925</v>
      </c>
      <c r="M2344" s="891" t="n">
        <v>11775</v>
      </c>
      <c r="N2344" s="877" t="n">
        <f aca="false">M2344/H2344</f>
        <v>785</v>
      </c>
      <c r="O2344" s="942" t="s">
        <v>940</v>
      </c>
      <c r="P2344" s="1947" t="n">
        <f aca="false">K2344-L2344</f>
        <v>0</v>
      </c>
      <c r="Q2344" s="1945" t="n">
        <f aca="false">I2344-M2344</f>
        <v>0</v>
      </c>
      <c r="R2344" s="1945" t="n">
        <f aca="false">G2344-N2344</f>
        <v>0</v>
      </c>
    </row>
    <row r="2345" customFormat="false" ht="14.25" hidden="false" customHeight="false" outlineLevel="0" collapsed="false">
      <c r="A2345" s="829" t="n">
        <v>59</v>
      </c>
      <c r="B2345" s="830" t="n">
        <v>2025</v>
      </c>
      <c r="C2345" s="1965" t="n">
        <v>46023</v>
      </c>
      <c r="D2345" s="831" t="s">
        <v>10</v>
      </c>
      <c r="E2345" s="1365" t="s">
        <v>1652</v>
      </c>
      <c r="F2345" s="832" t="s">
        <v>3375</v>
      </c>
      <c r="G2345" s="2010" t="n">
        <v>371</v>
      </c>
      <c r="H2345" s="1931" t="n">
        <v>15</v>
      </c>
      <c r="I2345" s="837" t="n">
        <f aca="false">G2345*H2345</f>
        <v>5565</v>
      </c>
      <c r="J2345" s="1059" t="n">
        <v>31.2713</v>
      </c>
      <c r="K2345" s="943" t="n">
        <f aca="false">I2345*J2345</f>
        <v>174024.7845</v>
      </c>
      <c r="L2345" s="840" t="n">
        <v>159014.5605</v>
      </c>
      <c r="M2345" s="840" t="n">
        <v>5085</v>
      </c>
      <c r="N2345" s="840" t="n">
        <f aca="false">M2345/H2345</f>
        <v>339</v>
      </c>
      <c r="O2345" s="1114" t="s">
        <v>1065</v>
      </c>
      <c r="P2345" s="1948" t="n">
        <f aca="false">K2345-L2345-L2346</f>
        <v>2345.34750000002</v>
      </c>
      <c r="Q2345" s="1934" t="n">
        <f aca="false">I2345-M2345-M2346</f>
        <v>75</v>
      </c>
      <c r="R2345" s="1935" t="n">
        <f aca="false">G2345-N2345-N2346</f>
        <v>5</v>
      </c>
    </row>
    <row r="2346" customFormat="false" ht="14.25" hidden="false" customHeight="false" outlineLevel="0" collapsed="false">
      <c r="A2346" s="829"/>
      <c r="B2346" s="830"/>
      <c r="C2346" s="1965"/>
      <c r="D2346" s="843" t="s">
        <v>10</v>
      </c>
      <c r="E2346" s="1357" t="s">
        <v>1652</v>
      </c>
      <c r="F2346" s="832"/>
      <c r="G2346" s="2010"/>
      <c r="H2346" s="1931"/>
      <c r="I2346" s="837"/>
      <c r="J2346" s="1059"/>
      <c r="K2346" s="943"/>
      <c r="L2346" s="846" t="n">
        <v>12664.8765</v>
      </c>
      <c r="M2346" s="846" t="n">
        <v>405</v>
      </c>
      <c r="N2346" s="846" t="n">
        <f aca="false">M2346/H2345</f>
        <v>27</v>
      </c>
      <c r="O2346" s="589" t="s">
        <v>1354</v>
      </c>
      <c r="P2346" s="1948"/>
      <c r="Q2346" s="1934"/>
      <c r="R2346" s="1935"/>
    </row>
    <row r="2347" customFormat="false" ht="14.25" hidden="false" customHeight="false" outlineLevel="0" collapsed="false">
      <c r="A2347" s="1087" t="n">
        <v>60</v>
      </c>
      <c r="B2347" s="1072" t="n">
        <v>2025</v>
      </c>
      <c r="C2347" s="1980" t="n">
        <v>46023</v>
      </c>
      <c r="D2347" s="848" t="s">
        <v>10</v>
      </c>
      <c r="E2347" s="1479" t="s">
        <v>1652</v>
      </c>
      <c r="F2347" s="887" t="s">
        <v>3364</v>
      </c>
      <c r="G2347" s="2017" t="n">
        <v>385</v>
      </c>
      <c r="H2347" s="1950" t="n">
        <v>15</v>
      </c>
      <c r="I2347" s="1067" t="n">
        <f aca="false">G2347*H2347</f>
        <v>5775</v>
      </c>
      <c r="J2347" s="1063" t="n">
        <v>31.7044</v>
      </c>
      <c r="K2347" s="1452" t="n">
        <f aca="false">I2347*J2347</f>
        <v>183092.91</v>
      </c>
      <c r="L2347" s="854" t="n">
        <v>63725.844</v>
      </c>
      <c r="M2347" s="854" t="n">
        <v>2010</v>
      </c>
      <c r="N2347" s="854" t="n">
        <f aca="false">M2347/H2347</f>
        <v>134</v>
      </c>
      <c r="O2347" s="537" t="s">
        <v>1004</v>
      </c>
      <c r="P2347" s="1952" t="n">
        <f aca="false">K2347-L2347-L2348</f>
        <v>0</v>
      </c>
      <c r="Q2347" s="1953" t="n">
        <f aca="false">I2347-M2347-M2348</f>
        <v>0</v>
      </c>
      <c r="R2347" s="1954" t="n">
        <f aca="false">G2347-N2347-N2348</f>
        <v>0</v>
      </c>
    </row>
    <row r="2348" customFormat="false" ht="14.25" hidden="false" customHeight="false" outlineLevel="0" collapsed="false">
      <c r="A2348" s="1087"/>
      <c r="B2348" s="1072"/>
      <c r="C2348" s="1980"/>
      <c r="D2348" s="887" t="s">
        <v>10</v>
      </c>
      <c r="E2348" s="1501" t="s">
        <v>1652</v>
      </c>
      <c r="F2348" s="887"/>
      <c r="G2348" s="2017"/>
      <c r="H2348" s="1950"/>
      <c r="I2348" s="1067"/>
      <c r="J2348" s="1063"/>
      <c r="K2348" s="1452"/>
      <c r="L2348" s="890" t="n">
        <v>119367.066</v>
      </c>
      <c r="M2348" s="890" t="n">
        <v>3765</v>
      </c>
      <c r="N2348" s="846" t="n">
        <f aca="false">M2348/H2347</f>
        <v>251</v>
      </c>
      <c r="O2348" s="1067" t="s">
        <v>3556</v>
      </c>
      <c r="P2348" s="1952"/>
      <c r="Q2348" s="1953"/>
      <c r="R2348" s="1954"/>
    </row>
    <row r="2349" customFormat="false" ht="14.25" hidden="false" customHeight="false" outlineLevel="0" collapsed="false">
      <c r="A2349" s="829" t="n">
        <v>61</v>
      </c>
      <c r="B2349" s="830" t="n">
        <v>2025</v>
      </c>
      <c r="C2349" s="1965" t="n">
        <v>46023</v>
      </c>
      <c r="D2349" s="831" t="s">
        <v>10</v>
      </c>
      <c r="E2349" s="1365" t="s">
        <v>1652</v>
      </c>
      <c r="F2349" s="832" t="s">
        <v>3364</v>
      </c>
      <c r="G2349" s="2010" t="n">
        <v>669</v>
      </c>
      <c r="H2349" s="1931" t="n">
        <v>15</v>
      </c>
      <c r="I2349" s="837" t="n">
        <f aca="false">G2349*H2349</f>
        <v>10035</v>
      </c>
      <c r="J2349" s="1059" t="n">
        <v>43.1426</v>
      </c>
      <c r="K2349" s="943" t="n">
        <f aca="false">I2349*J2349</f>
        <v>432935.991</v>
      </c>
      <c r="L2349" s="840" t="n">
        <v>168903.279</v>
      </c>
      <c r="M2349" s="840" t="n">
        <v>3915</v>
      </c>
      <c r="N2349" s="886" t="n">
        <f aca="false">M2349/H2349</f>
        <v>261</v>
      </c>
      <c r="O2349" s="1114" t="s">
        <v>1061</v>
      </c>
      <c r="P2349" s="1948" t="n">
        <f aca="false">K2349-L2349-L2352-L2350-L2351</f>
        <v>0</v>
      </c>
      <c r="Q2349" s="1934" t="n">
        <f aca="false">I2349-M2349-M2352-M2350-M2351</f>
        <v>0</v>
      </c>
      <c r="R2349" s="1935" t="n">
        <f aca="false">G2349-N2349-N2352-N2350-N2351</f>
        <v>0</v>
      </c>
    </row>
    <row r="2350" customFormat="false" ht="14.25" hidden="false" customHeight="false" outlineLevel="0" collapsed="false">
      <c r="A2350" s="829"/>
      <c r="B2350" s="830"/>
      <c r="C2350" s="1965"/>
      <c r="D2350" s="860" t="s">
        <v>10</v>
      </c>
      <c r="E2350" s="1480" t="s">
        <v>1652</v>
      </c>
      <c r="F2350" s="832"/>
      <c r="G2350" s="2010"/>
      <c r="H2350" s="1931"/>
      <c r="I2350" s="837"/>
      <c r="J2350" s="1059"/>
      <c r="K2350" s="943"/>
      <c r="L2350" s="866" t="n">
        <v>129427.8</v>
      </c>
      <c r="M2350" s="866" t="n">
        <v>3000</v>
      </c>
      <c r="N2350" s="866" t="n">
        <f aca="false">M2350/H2349</f>
        <v>200</v>
      </c>
      <c r="O2350" s="543" t="s">
        <v>1063</v>
      </c>
      <c r="P2350" s="1948"/>
      <c r="Q2350" s="1934"/>
      <c r="R2350" s="1935"/>
    </row>
    <row r="2351" customFormat="false" ht="14.25" hidden="false" customHeight="false" outlineLevel="0" collapsed="false">
      <c r="A2351" s="829"/>
      <c r="B2351" s="830"/>
      <c r="C2351" s="1965"/>
      <c r="D2351" s="860" t="s">
        <v>10</v>
      </c>
      <c r="E2351" s="1480" t="s">
        <v>1652</v>
      </c>
      <c r="F2351" s="832"/>
      <c r="G2351" s="2010"/>
      <c r="H2351" s="1931"/>
      <c r="I2351" s="837"/>
      <c r="J2351" s="1059"/>
      <c r="K2351" s="943"/>
      <c r="L2351" s="866" t="n">
        <v>86716.626</v>
      </c>
      <c r="M2351" s="866" t="n">
        <v>2010</v>
      </c>
      <c r="N2351" s="866" t="n">
        <f aca="false">M2351/H2349</f>
        <v>134</v>
      </c>
      <c r="O2351" s="543" t="s">
        <v>1064</v>
      </c>
      <c r="P2351" s="1948"/>
      <c r="Q2351" s="1934"/>
      <c r="R2351" s="1935"/>
    </row>
    <row r="2352" customFormat="false" ht="14.25" hidden="false" customHeight="false" outlineLevel="0" collapsed="false">
      <c r="A2352" s="829"/>
      <c r="B2352" s="830"/>
      <c r="C2352" s="1965"/>
      <c r="D2352" s="887" t="s">
        <v>10</v>
      </c>
      <c r="E2352" s="1501" t="s">
        <v>1652</v>
      </c>
      <c r="F2352" s="832"/>
      <c r="G2352" s="2010"/>
      <c r="H2352" s="1931"/>
      <c r="I2352" s="837"/>
      <c r="J2352" s="1059"/>
      <c r="K2352" s="943"/>
      <c r="L2352" s="890" t="n">
        <v>47888.286</v>
      </c>
      <c r="M2352" s="890" t="n">
        <v>1110</v>
      </c>
      <c r="N2352" s="890" t="n">
        <f aca="false">M2352/H2349</f>
        <v>74</v>
      </c>
      <c r="O2352" s="1067" t="s">
        <v>3557</v>
      </c>
      <c r="P2352" s="1948"/>
      <c r="Q2352" s="1934"/>
      <c r="R2352" s="1935"/>
    </row>
    <row r="2353" customFormat="false" ht="14.25" hidden="false" customHeight="false" outlineLevel="0" collapsed="false">
      <c r="A2353" s="903" t="n">
        <v>62</v>
      </c>
      <c r="B2353" s="903" t="n">
        <v>2025</v>
      </c>
      <c r="C2353" s="1974" t="n">
        <v>46023</v>
      </c>
      <c r="D2353" s="904" t="s">
        <v>10</v>
      </c>
      <c r="E2353" s="1351" t="s">
        <v>1652</v>
      </c>
      <c r="F2353" s="904" t="s">
        <v>3364</v>
      </c>
      <c r="G2353" s="2012" t="n">
        <v>5</v>
      </c>
      <c r="H2353" s="1940" t="n">
        <v>800</v>
      </c>
      <c r="I2353" s="1355" t="n">
        <f aca="false">G2353*H2353</f>
        <v>4000</v>
      </c>
      <c r="J2353" s="1406" t="n">
        <v>40.6282</v>
      </c>
      <c r="K2353" s="1138" t="n">
        <f aca="false">I2353*J2353</f>
        <v>162512.8</v>
      </c>
      <c r="L2353" s="891" t="n">
        <v>162512.8</v>
      </c>
      <c r="M2353" s="891" t="n">
        <v>4000</v>
      </c>
      <c r="N2353" s="891" t="n">
        <f aca="false">M2353/H2353</f>
        <v>5</v>
      </c>
      <c r="O2353" s="942" t="s">
        <v>1055</v>
      </c>
      <c r="P2353" s="1947" t="n">
        <f aca="false">K2353-L2353</f>
        <v>0</v>
      </c>
      <c r="Q2353" s="1945" t="n">
        <f aca="false">I2353-M2353</f>
        <v>0</v>
      </c>
      <c r="R2353" s="1945" t="n">
        <f aca="false">G2353-N2353</f>
        <v>0</v>
      </c>
    </row>
    <row r="2354" customFormat="false" ht="14.25" hidden="false" customHeight="false" outlineLevel="0" collapsed="false">
      <c r="A2354" s="829" t="n">
        <v>63</v>
      </c>
      <c r="B2354" s="830" t="n">
        <v>2025</v>
      </c>
      <c r="C2354" s="1965" t="n">
        <v>46023</v>
      </c>
      <c r="D2354" s="831" t="s">
        <v>10</v>
      </c>
      <c r="E2354" s="1365" t="s">
        <v>1652</v>
      </c>
      <c r="F2354" s="832" t="s">
        <v>3364</v>
      </c>
      <c r="G2354" s="2010" t="n">
        <v>425</v>
      </c>
      <c r="H2354" s="1931" t="n">
        <v>15</v>
      </c>
      <c r="I2354" s="837" t="n">
        <f aca="false">G2354*H2354</f>
        <v>6375</v>
      </c>
      <c r="J2354" s="1059" t="n">
        <v>41.6797</v>
      </c>
      <c r="K2354" s="943" t="n">
        <f aca="false">I2354*J2354</f>
        <v>265708.0875</v>
      </c>
      <c r="L2354" s="840" t="n">
        <v>16255.083</v>
      </c>
      <c r="M2354" s="840" t="n">
        <v>390</v>
      </c>
      <c r="N2354" s="840" t="n">
        <f aca="false">M2354/H2354</f>
        <v>26</v>
      </c>
      <c r="O2354" s="1114" t="s">
        <v>1062</v>
      </c>
      <c r="P2354" s="1948" t="n">
        <f aca="false">K2354-L2354-L2355</f>
        <v>0</v>
      </c>
      <c r="Q2354" s="1934" t="n">
        <f aca="false">I2354-M2354-M2355</f>
        <v>0</v>
      </c>
      <c r="R2354" s="1935" t="n">
        <f aca="false">G2354-N2354-N2355</f>
        <v>0</v>
      </c>
    </row>
    <row r="2355" customFormat="false" ht="14.25" hidden="false" customHeight="false" outlineLevel="0" collapsed="false">
      <c r="A2355" s="829"/>
      <c r="B2355" s="830"/>
      <c r="C2355" s="1965"/>
      <c r="D2355" s="887" t="s">
        <v>10</v>
      </c>
      <c r="E2355" s="1501" t="s">
        <v>1652</v>
      </c>
      <c r="F2355" s="832"/>
      <c r="G2355" s="2010"/>
      <c r="H2355" s="1931"/>
      <c r="I2355" s="837"/>
      <c r="J2355" s="1059"/>
      <c r="K2355" s="943"/>
      <c r="L2355" s="890" t="n">
        <v>249453.0045</v>
      </c>
      <c r="M2355" s="890" t="n">
        <v>5985</v>
      </c>
      <c r="N2355" s="846" t="n">
        <f aca="false">M2355/H2354</f>
        <v>399</v>
      </c>
      <c r="O2355" s="1067" t="s">
        <v>3558</v>
      </c>
      <c r="P2355" s="1948"/>
      <c r="Q2355" s="1934"/>
      <c r="R2355" s="1935"/>
    </row>
    <row r="2356" customFormat="false" ht="14.25" hidden="false" customHeight="false" outlineLevel="0" collapsed="false">
      <c r="A2356" s="882" t="n">
        <v>64</v>
      </c>
      <c r="B2356" s="830" t="n">
        <v>2025</v>
      </c>
      <c r="C2356" s="1965" t="n">
        <v>46023</v>
      </c>
      <c r="D2356" s="831" t="s">
        <v>10</v>
      </c>
      <c r="E2356" s="1365" t="s">
        <v>1651</v>
      </c>
      <c r="F2356" s="832" t="s">
        <v>3364</v>
      </c>
      <c r="G2356" s="2010" t="n">
        <v>1039</v>
      </c>
      <c r="H2356" s="1931" t="n">
        <v>15</v>
      </c>
      <c r="I2356" s="837" t="n">
        <f aca="false">G2356*H2356</f>
        <v>15585</v>
      </c>
      <c r="J2356" s="1059" t="n">
        <v>34.608</v>
      </c>
      <c r="K2356" s="943" t="n">
        <f aca="false">I2356*J2356</f>
        <v>539365.68</v>
      </c>
      <c r="L2356" s="886" t="n">
        <v>189997.92</v>
      </c>
      <c r="M2356" s="886" t="n">
        <v>5490</v>
      </c>
      <c r="N2356" s="886" t="n">
        <f aca="false">M2356/H2356</f>
        <v>366</v>
      </c>
      <c r="O2356" s="1036" t="s">
        <v>940</v>
      </c>
      <c r="P2356" s="1934" t="n">
        <f aca="false">K2356-L2356-L2362-L2361-L2357-L2360-L2358-L2359</f>
        <v>-1.12777343019843E-010</v>
      </c>
      <c r="Q2356" s="1934" t="n">
        <f aca="false">I2356-M2356-M2362-M2361-M2357-M2360-M2358-M2359</f>
        <v>0</v>
      </c>
      <c r="R2356" s="1935" t="n">
        <f aca="false">G2356-N2356-N2362-N2361-N2357-N2360-N2358-N2359</f>
        <v>0</v>
      </c>
    </row>
    <row r="2357" customFormat="false" ht="14.25" hidden="false" customHeight="false" outlineLevel="0" collapsed="false">
      <c r="A2357" s="882"/>
      <c r="B2357" s="830"/>
      <c r="C2357" s="1965"/>
      <c r="D2357" s="848" t="s">
        <v>10</v>
      </c>
      <c r="E2357" s="1479" t="s">
        <v>1651</v>
      </c>
      <c r="F2357" s="832"/>
      <c r="G2357" s="2010"/>
      <c r="H2357" s="1931"/>
      <c r="I2357" s="837"/>
      <c r="J2357" s="1059"/>
      <c r="K2357" s="943"/>
      <c r="L2357" s="866" t="n">
        <v>3114.72</v>
      </c>
      <c r="M2357" s="866" t="n">
        <v>90</v>
      </c>
      <c r="N2357" s="866" t="n">
        <f aca="false">M2357/H2356</f>
        <v>6</v>
      </c>
      <c r="O2357" s="543" t="s">
        <v>3531</v>
      </c>
      <c r="P2357" s="1934"/>
      <c r="Q2357" s="1934"/>
      <c r="R2357" s="1935"/>
    </row>
    <row r="2358" customFormat="false" ht="14.25" hidden="false" customHeight="false" outlineLevel="0" collapsed="false">
      <c r="A2358" s="882"/>
      <c r="B2358" s="830"/>
      <c r="C2358" s="1965"/>
      <c r="D2358" s="848" t="s">
        <v>10</v>
      </c>
      <c r="E2358" s="1479" t="s">
        <v>1651</v>
      </c>
      <c r="F2358" s="832"/>
      <c r="G2358" s="2010"/>
      <c r="H2358" s="1931"/>
      <c r="I2358" s="837"/>
      <c r="J2358" s="1059"/>
      <c r="K2358" s="943"/>
      <c r="L2358" s="866" t="n">
        <v>19726.56</v>
      </c>
      <c r="M2358" s="866" t="n">
        <v>570</v>
      </c>
      <c r="N2358" s="866" t="n">
        <f aca="false">M2358/H2356</f>
        <v>38</v>
      </c>
      <c r="O2358" s="543" t="s">
        <v>1002</v>
      </c>
      <c r="P2358" s="1934"/>
      <c r="Q2358" s="1934"/>
      <c r="R2358" s="1935"/>
    </row>
    <row r="2359" customFormat="false" ht="14.25" hidden="false" customHeight="false" outlineLevel="0" collapsed="false">
      <c r="A2359" s="882"/>
      <c r="B2359" s="830"/>
      <c r="C2359" s="1965"/>
      <c r="D2359" s="848" t="s">
        <v>10</v>
      </c>
      <c r="E2359" s="1479" t="s">
        <v>1651</v>
      </c>
      <c r="F2359" s="832"/>
      <c r="G2359" s="2010"/>
      <c r="H2359" s="1931"/>
      <c r="I2359" s="837"/>
      <c r="J2359" s="1059"/>
      <c r="K2359" s="943"/>
      <c r="L2359" s="866" t="n">
        <v>8825.04</v>
      </c>
      <c r="M2359" s="866" t="n">
        <v>255</v>
      </c>
      <c r="N2359" s="866" t="n">
        <f aca="false">M2359/H2356</f>
        <v>17</v>
      </c>
      <c r="O2359" s="543" t="s">
        <v>1176</v>
      </c>
      <c r="P2359" s="1934"/>
      <c r="Q2359" s="1934"/>
      <c r="R2359" s="1935"/>
    </row>
    <row r="2360" customFormat="false" ht="14.25" hidden="false" customHeight="false" outlineLevel="0" collapsed="false">
      <c r="A2360" s="882"/>
      <c r="B2360" s="830"/>
      <c r="C2360" s="1965"/>
      <c r="D2360" s="848" t="s">
        <v>10</v>
      </c>
      <c r="E2360" s="1479" t="s">
        <v>1651</v>
      </c>
      <c r="F2360" s="832"/>
      <c r="G2360" s="2010"/>
      <c r="H2360" s="1931"/>
      <c r="I2360" s="837"/>
      <c r="J2360" s="1059"/>
      <c r="K2360" s="943"/>
      <c r="L2360" s="866" t="n">
        <v>75272.4</v>
      </c>
      <c r="M2360" s="866" t="n">
        <v>2175</v>
      </c>
      <c r="N2360" s="866" t="n">
        <f aca="false">M2360/H2356</f>
        <v>145</v>
      </c>
      <c r="O2360" s="543" t="s">
        <v>3559</v>
      </c>
      <c r="P2360" s="1934"/>
      <c r="Q2360" s="1934"/>
      <c r="R2360" s="1935"/>
    </row>
    <row r="2361" customFormat="false" ht="14.25" hidden="false" customHeight="false" outlineLevel="0" collapsed="false">
      <c r="A2361" s="882"/>
      <c r="B2361" s="830"/>
      <c r="C2361" s="1965"/>
      <c r="D2361" s="860" t="s">
        <v>10</v>
      </c>
      <c r="E2361" s="1480" t="s">
        <v>1651</v>
      </c>
      <c r="F2361" s="832"/>
      <c r="G2361" s="2010"/>
      <c r="H2361" s="1931"/>
      <c r="I2361" s="837"/>
      <c r="J2361" s="1059"/>
      <c r="K2361" s="943"/>
      <c r="L2361" s="866" t="n">
        <v>138605.04</v>
      </c>
      <c r="M2361" s="866" t="n">
        <v>4005</v>
      </c>
      <c r="N2361" s="866" t="n">
        <f aca="false">M2361/H2356</f>
        <v>267</v>
      </c>
      <c r="O2361" s="543" t="s">
        <v>1071</v>
      </c>
      <c r="P2361" s="1934"/>
      <c r="Q2361" s="1934"/>
      <c r="R2361" s="1935"/>
    </row>
    <row r="2362" customFormat="false" ht="14.25" hidden="false" customHeight="false" outlineLevel="0" collapsed="false">
      <c r="A2362" s="882"/>
      <c r="B2362" s="830"/>
      <c r="C2362" s="1965"/>
      <c r="D2362" s="887" t="s">
        <v>10</v>
      </c>
      <c r="E2362" s="1501" t="s">
        <v>1651</v>
      </c>
      <c r="F2362" s="832"/>
      <c r="G2362" s="2010"/>
      <c r="H2362" s="1931"/>
      <c r="I2362" s="837"/>
      <c r="J2362" s="1059"/>
      <c r="K2362" s="943"/>
      <c r="L2362" s="890" t="n">
        <v>103824</v>
      </c>
      <c r="M2362" s="890" t="n">
        <v>3000</v>
      </c>
      <c r="N2362" s="890" t="n">
        <f aca="false">M2362/H2356</f>
        <v>200</v>
      </c>
      <c r="O2362" s="1067" t="s">
        <v>1068</v>
      </c>
      <c r="P2362" s="1934"/>
      <c r="Q2362" s="1934"/>
      <c r="R2362" s="1935"/>
    </row>
    <row r="2363" customFormat="false" ht="14.25" hidden="false" customHeight="false" outlineLevel="0" collapsed="false">
      <c r="A2363" s="829" t="n">
        <v>65</v>
      </c>
      <c r="B2363" s="830" t="n">
        <v>2025</v>
      </c>
      <c r="C2363" s="1965" t="n">
        <v>46023</v>
      </c>
      <c r="D2363" s="831" t="s">
        <v>10</v>
      </c>
      <c r="E2363" s="1365" t="s">
        <v>1652</v>
      </c>
      <c r="F2363" s="832" t="s">
        <v>3364</v>
      </c>
      <c r="G2363" s="2010" t="n">
        <v>1333</v>
      </c>
      <c r="H2363" s="1931" t="n">
        <v>15</v>
      </c>
      <c r="I2363" s="837" t="n">
        <f aca="false">G2363*H2363</f>
        <v>19995</v>
      </c>
      <c r="J2363" s="1059" t="n">
        <v>36.9545</v>
      </c>
      <c r="K2363" s="943" t="n">
        <f aca="false">I2363*J2363</f>
        <v>738905.2275</v>
      </c>
      <c r="L2363" s="840" t="n">
        <v>38247.9075</v>
      </c>
      <c r="M2363" s="840" t="n">
        <v>1035</v>
      </c>
      <c r="N2363" s="886" t="n">
        <f aca="false">M2363/H2363</f>
        <v>69</v>
      </c>
      <c r="O2363" s="1114" t="s">
        <v>1003</v>
      </c>
      <c r="P2363" s="1948" t="n">
        <f aca="false">K2363-L2363-L2367-L2364-L2366-L2365</f>
        <v>0</v>
      </c>
      <c r="Q2363" s="1934" t="n">
        <f aca="false">I2363-M2363-M2367-M2364-M2366-M2365</f>
        <v>0</v>
      </c>
      <c r="R2363" s="1935" t="n">
        <f aca="false">G2363-N2363-N2367-N2364-N2366-N2365</f>
        <v>0</v>
      </c>
    </row>
    <row r="2364" customFormat="false" ht="14.25" hidden="false" customHeight="false" outlineLevel="0" collapsed="false">
      <c r="A2364" s="829"/>
      <c r="B2364" s="830"/>
      <c r="C2364" s="1965"/>
      <c r="D2364" s="860" t="s">
        <v>10</v>
      </c>
      <c r="E2364" s="1480" t="s">
        <v>1652</v>
      </c>
      <c r="F2364" s="832"/>
      <c r="G2364" s="2010"/>
      <c r="H2364" s="1931"/>
      <c r="I2364" s="837"/>
      <c r="J2364" s="1059"/>
      <c r="K2364" s="943"/>
      <c r="L2364" s="866" t="n">
        <v>94788.2925</v>
      </c>
      <c r="M2364" s="866" t="n">
        <v>2565</v>
      </c>
      <c r="N2364" s="866" t="n">
        <f aca="false">M2364/H2363</f>
        <v>171</v>
      </c>
      <c r="O2364" s="543" t="s">
        <v>3550</v>
      </c>
      <c r="P2364" s="1948"/>
      <c r="Q2364" s="1934"/>
      <c r="R2364" s="1935"/>
    </row>
    <row r="2365" customFormat="false" ht="14.25" hidden="false" customHeight="false" outlineLevel="0" collapsed="false">
      <c r="A2365" s="829"/>
      <c r="B2365" s="830"/>
      <c r="C2365" s="1965"/>
      <c r="D2365" s="860" t="s">
        <v>10</v>
      </c>
      <c r="E2365" s="1480" t="s">
        <v>1652</v>
      </c>
      <c r="F2365" s="832"/>
      <c r="G2365" s="2010"/>
      <c r="H2365" s="1931"/>
      <c r="I2365" s="837"/>
      <c r="J2365" s="1059"/>
      <c r="K2365" s="943"/>
      <c r="L2365" s="866" t="n">
        <v>50997.21</v>
      </c>
      <c r="M2365" s="866" t="n">
        <v>1380</v>
      </c>
      <c r="N2365" s="866" t="n">
        <f aca="false">M2365/H2363</f>
        <v>92</v>
      </c>
      <c r="O2365" s="543" t="s">
        <v>3560</v>
      </c>
      <c r="P2365" s="1948"/>
      <c r="Q2365" s="1934"/>
      <c r="R2365" s="1935"/>
    </row>
    <row r="2366" customFormat="false" ht="14.25" hidden="false" customHeight="false" outlineLevel="0" collapsed="false">
      <c r="A2366" s="829"/>
      <c r="B2366" s="830"/>
      <c r="C2366" s="1965"/>
      <c r="D2366" s="860" t="s">
        <v>10</v>
      </c>
      <c r="E2366" s="1480" t="s">
        <v>1652</v>
      </c>
      <c r="F2366" s="832"/>
      <c r="G2366" s="2010"/>
      <c r="H2366" s="1931"/>
      <c r="I2366" s="837"/>
      <c r="J2366" s="1059"/>
      <c r="K2366" s="943"/>
      <c r="L2366" s="866" t="n">
        <v>369729.7725</v>
      </c>
      <c r="M2366" s="866" t="n">
        <v>10005</v>
      </c>
      <c r="N2366" s="866" t="n">
        <f aca="false">M2366/H2363</f>
        <v>667</v>
      </c>
      <c r="O2366" s="543" t="s">
        <v>3561</v>
      </c>
      <c r="P2366" s="1948"/>
      <c r="Q2366" s="1934"/>
      <c r="R2366" s="1935"/>
    </row>
    <row r="2367" customFormat="false" ht="14.25" hidden="false" customHeight="false" outlineLevel="0" collapsed="false">
      <c r="A2367" s="829"/>
      <c r="B2367" s="830"/>
      <c r="C2367" s="1965"/>
      <c r="D2367" s="887" t="s">
        <v>10</v>
      </c>
      <c r="E2367" s="1501" t="s">
        <v>1652</v>
      </c>
      <c r="F2367" s="832"/>
      <c r="G2367" s="2010"/>
      <c r="H2367" s="1931"/>
      <c r="I2367" s="837"/>
      <c r="J2367" s="1059"/>
      <c r="K2367" s="943"/>
      <c r="L2367" s="890" t="n">
        <v>185142.045</v>
      </c>
      <c r="M2367" s="890" t="n">
        <v>5010</v>
      </c>
      <c r="N2367" s="890" t="n">
        <f aca="false">M2367/H2363</f>
        <v>334</v>
      </c>
      <c r="O2367" s="1067" t="s">
        <v>1061</v>
      </c>
      <c r="P2367" s="1948"/>
      <c r="Q2367" s="1934"/>
      <c r="R2367" s="1935"/>
    </row>
    <row r="2368" customFormat="false" ht="14.25" hidden="false" customHeight="false" outlineLevel="0" collapsed="false">
      <c r="A2368" s="829" t="n">
        <v>66</v>
      </c>
      <c r="B2368" s="830" t="n">
        <v>2025</v>
      </c>
      <c r="C2368" s="1965" t="n">
        <v>46023</v>
      </c>
      <c r="D2368" s="831" t="s">
        <v>10</v>
      </c>
      <c r="E2368" s="1365" t="s">
        <v>1652</v>
      </c>
      <c r="F2368" s="832" t="s">
        <v>3364</v>
      </c>
      <c r="G2368" s="2010" t="n">
        <v>1333</v>
      </c>
      <c r="H2368" s="1931" t="n">
        <v>15</v>
      </c>
      <c r="I2368" s="837" t="n">
        <f aca="false">G2368*H2368</f>
        <v>19995</v>
      </c>
      <c r="J2368" s="1059" t="n">
        <v>36.9545</v>
      </c>
      <c r="K2368" s="943" t="n">
        <f aca="false">I2368*J2368</f>
        <v>738905.2275</v>
      </c>
      <c r="L2368" s="840" t="n">
        <v>145785.5025</v>
      </c>
      <c r="M2368" s="840" t="n">
        <v>3945</v>
      </c>
      <c r="N2368" s="886" t="n">
        <f aca="false">M2368/H2368</f>
        <v>263</v>
      </c>
      <c r="O2368" s="1114" t="s">
        <v>1003</v>
      </c>
      <c r="P2368" s="1948" t="n">
        <f aca="false">K2368-L2368-L2372-L2371-L2369-L2370</f>
        <v>0</v>
      </c>
      <c r="Q2368" s="1934" t="n">
        <f aca="false">I2368-M2368-M2372-M2371-M2369-M2370</f>
        <v>0</v>
      </c>
      <c r="R2368" s="1935" t="n">
        <f aca="false">G2368-N2368-N2372-N2371-N2369-N2370</f>
        <v>0</v>
      </c>
    </row>
    <row r="2369" customFormat="false" ht="14.25" hidden="false" customHeight="false" outlineLevel="0" collapsed="false">
      <c r="A2369" s="829"/>
      <c r="B2369" s="830"/>
      <c r="C2369" s="1965"/>
      <c r="D2369" s="848" t="s">
        <v>10</v>
      </c>
      <c r="E2369" s="1479" t="s">
        <v>1652</v>
      </c>
      <c r="F2369" s="832"/>
      <c r="G2369" s="2010"/>
      <c r="H2369" s="1931"/>
      <c r="I2369" s="837"/>
      <c r="J2369" s="1059"/>
      <c r="K2369" s="943"/>
      <c r="L2369" s="854" t="n">
        <v>185142.045</v>
      </c>
      <c r="M2369" s="854" t="n">
        <v>5010</v>
      </c>
      <c r="N2369" s="866" t="n">
        <f aca="false">M2369/H2368</f>
        <v>334</v>
      </c>
      <c r="O2369" s="537" t="s">
        <v>1073</v>
      </c>
      <c r="P2369" s="1948"/>
      <c r="Q2369" s="1934"/>
      <c r="R2369" s="1935"/>
    </row>
    <row r="2370" customFormat="false" ht="14.25" hidden="false" customHeight="false" outlineLevel="0" collapsed="false">
      <c r="A2370" s="829"/>
      <c r="B2370" s="830"/>
      <c r="C2370" s="1965"/>
      <c r="D2370" s="848" t="s">
        <v>10</v>
      </c>
      <c r="E2370" s="1479" t="s">
        <v>1652</v>
      </c>
      <c r="F2370" s="832"/>
      <c r="G2370" s="2010"/>
      <c r="H2370" s="1931"/>
      <c r="I2370" s="837"/>
      <c r="J2370" s="1059"/>
      <c r="K2370" s="943"/>
      <c r="L2370" s="854" t="n">
        <v>37693.59</v>
      </c>
      <c r="M2370" s="854" t="n">
        <v>1020</v>
      </c>
      <c r="N2370" s="866" t="n">
        <f aca="false">M2370/H2368</f>
        <v>68</v>
      </c>
      <c r="O2370" s="537" t="s">
        <v>1001</v>
      </c>
      <c r="P2370" s="1948"/>
      <c r="Q2370" s="1934"/>
      <c r="R2370" s="1935"/>
    </row>
    <row r="2371" customFormat="false" ht="14.25" hidden="false" customHeight="false" outlineLevel="0" collapsed="false">
      <c r="A2371" s="829"/>
      <c r="B2371" s="830"/>
      <c r="C2371" s="1965"/>
      <c r="D2371" s="860" t="s">
        <v>10</v>
      </c>
      <c r="E2371" s="1480" t="s">
        <v>1652</v>
      </c>
      <c r="F2371" s="832"/>
      <c r="G2371" s="2010"/>
      <c r="H2371" s="1931"/>
      <c r="I2371" s="837"/>
      <c r="J2371" s="1059"/>
      <c r="K2371" s="943"/>
      <c r="L2371" s="866" t="n">
        <v>185142.045</v>
      </c>
      <c r="M2371" s="866" t="n">
        <v>5010</v>
      </c>
      <c r="N2371" s="866" t="n">
        <f aca="false">M2371/H2368</f>
        <v>334</v>
      </c>
      <c r="O2371" s="543" t="s">
        <v>1050</v>
      </c>
      <c r="P2371" s="1948"/>
      <c r="Q2371" s="1934"/>
      <c r="R2371" s="1935"/>
    </row>
    <row r="2372" customFormat="false" ht="14.25" hidden="false" customHeight="false" outlineLevel="0" collapsed="false">
      <c r="A2372" s="829"/>
      <c r="B2372" s="830"/>
      <c r="C2372" s="1965"/>
      <c r="D2372" s="887" t="s">
        <v>10</v>
      </c>
      <c r="E2372" s="1501" t="s">
        <v>1652</v>
      </c>
      <c r="F2372" s="832"/>
      <c r="G2372" s="2010"/>
      <c r="H2372" s="1931"/>
      <c r="I2372" s="837"/>
      <c r="J2372" s="1059"/>
      <c r="K2372" s="943"/>
      <c r="L2372" s="890" t="n">
        <v>185142.045</v>
      </c>
      <c r="M2372" s="890" t="n">
        <v>5010</v>
      </c>
      <c r="N2372" s="890" t="n">
        <f aca="false">M2372/H2368</f>
        <v>334</v>
      </c>
      <c r="O2372" s="1067" t="s">
        <v>1051</v>
      </c>
      <c r="P2372" s="1948"/>
      <c r="Q2372" s="1934"/>
      <c r="R2372" s="1935"/>
    </row>
    <row r="2373" customFormat="false" ht="14.25" hidden="false" customHeight="false" outlineLevel="0" collapsed="false">
      <c r="A2373" s="829" t="n">
        <v>67</v>
      </c>
      <c r="B2373" s="830" t="n">
        <v>2025</v>
      </c>
      <c r="C2373" s="1965" t="n">
        <v>46023</v>
      </c>
      <c r="D2373" s="831" t="s">
        <v>10</v>
      </c>
      <c r="E2373" s="1365" t="s">
        <v>1652</v>
      </c>
      <c r="F2373" s="832" t="s">
        <v>3364</v>
      </c>
      <c r="G2373" s="2010" t="n">
        <v>1333</v>
      </c>
      <c r="H2373" s="1931" t="n">
        <v>15</v>
      </c>
      <c r="I2373" s="837" t="n">
        <f aca="false">G2373*H2373</f>
        <v>19995</v>
      </c>
      <c r="J2373" s="1059" t="n">
        <v>36.9545</v>
      </c>
      <c r="K2373" s="943" t="n">
        <f aca="false">I2373*J2373</f>
        <v>738905.2275</v>
      </c>
      <c r="L2373" s="886" t="n">
        <v>50997.21</v>
      </c>
      <c r="M2373" s="886" t="n">
        <v>1380</v>
      </c>
      <c r="N2373" s="886" t="n">
        <f aca="false">M2373/H2373</f>
        <v>92</v>
      </c>
      <c r="O2373" s="1036" t="s">
        <v>1004</v>
      </c>
      <c r="P2373" s="1934" t="n">
        <f aca="false">K2373-L2373-L2381-L2380-L2374-L2379-L2375-L2376-L2378-L2377</f>
        <v>-4.36557456851006E-011</v>
      </c>
      <c r="Q2373" s="1934" t="n">
        <f aca="false">I2373-M2373-M2381-M2380-M2374-M2379-M2375-M2376-M2378-M2377</f>
        <v>0</v>
      </c>
      <c r="R2373" s="1935" t="n">
        <f aca="false">G2373-N2373-N2381-N2380-N2374-N2379-N2375-N2376-N2378-N2377</f>
        <v>0</v>
      </c>
    </row>
    <row r="2374" customFormat="false" ht="14.25" hidden="false" customHeight="false" outlineLevel="0" collapsed="false">
      <c r="A2374" s="829"/>
      <c r="B2374" s="830"/>
      <c r="C2374" s="1965"/>
      <c r="D2374" s="848" t="s">
        <v>10</v>
      </c>
      <c r="E2374" s="1479" t="s">
        <v>1652</v>
      </c>
      <c r="F2374" s="832"/>
      <c r="G2374" s="2010"/>
      <c r="H2374" s="1931"/>
      <c r="I2374" s="837"/>
      <c r="J2374" s="1059"/>
      <c r="K2374" s="943"/>
      <c r="L2374" s="866" t="n">
        <v>37139.2725</v>
      </c>
      <c r="M2374" s="866" t="n">
        <v>1005</v>
      </c>
      <c r="N2374" s="866" t="n">
        <f aca="false">M2374/H2373</f>
        <v>67</v>
      </c>
      <c r="O2374" s="543" t="s">
        <v>883</v>
      </c>
      <c r="P2374" s="1934"/>
      <c r="Q2374" s="1934"/>
      <c r="R2374" s="1935"/>
    </row>
    <row r="2375" customFormat="false" ht="14.25" hidden="false" customHeight="false" outlineLevel="0" collapsed="false">
      <c r="A2375" s="829"/>
      <c r="B2375" s="830"/>
      <c r="C2375" s="1965"/>
      <c r="D2375" s="848" t="s">
        <v>10</v>
      </c>
      <c r="E2375" s="1479" t="s">
        <v>1652</v>
      </c>
      <c r="F2375" s="832"/>
      <c r="G2375" s="2010"/>
      <c r="H2375" s="1931"/>
      <c r="I2375" s="837"/>
      <c r="J2375" s="1059"/>
      <c r="K2375" s="943"/>
      <c r="L2375" s="866" t="n">
        <v>29933.145</v>
      </c>
      <c r="M2375" s="866" t="n">
        <v>810</v>
      </c>
      <c r="N2375" s="866" t="n">
        <f aca="false">M2375/H2373</f>
        <v>54</v>
      </c>
      <c r="O2375" s="543" t="s">
        <v>1080</v>
      </c>
      <c r="P2375" s="1934"/>
      <c r="Q2375" s="1934"/>
      <c r="R2375" s="1935"/>
    </row>
    <row r="2376" customFormat="false" ht="14.25" hidden="false" customHeight="false" outlineLevel="0" collapsed="false">
      <c r="A2376" s="829"/>
      <c r="B2376" s="830"/>
      <c r="C2376" s="1965"/>
      <c r="D2376" s="848" t="s">
        <v>10</v>
      </c>
      <c r="E2376" s="1479" t="s">
        <v>1652</v>
      </c>
      <c r="F2376" s="832"/>
      <c r="G2376" s="2010"/>
      <c r="H2376" s="1931"/>
      <c r="I2376" s="837"/>
      <c r="J2376" s="1059"/>
      <c r="K2376" s="943"/>
      <c r="L2376" s="866" t="n">
        <v>159089.1225</v>
      </c>
      <c r="M2376" s="866" t="n">
        <v>4305</v>
      </c>
      <c r="N2376" s="866" t="n">
        <f aca="false">M2376/H2373</f>
        <v>287</v>
      </c>
      <c r="O2376" s="543" t="s">
        <v>1083</v>
      </c>
      <c r="P2376" s="1934"/>
      <c r="Q2376" s="1934"/>
      <c r="R2376" s="1935"/>
    </row>
    <row r="2377" customFormat="false" ht="14.25" hidden="false" customHeight="false" outlineLevel="0" collapsed="false">
      <c r="A2377" s="829"/>
      <c r="B2377" s="830"/>
      <c r="C2377" s="1965"/>
      <c r="D2377" s="848" t="s">
        <v>10</v>
      </c>
      <c r="E2377" s="1479" t="s">
        <v>1652</v>
      </c>
      <c r="F2377" s="832"/>
      <c r="G2377" s="2010"/>
      <c r="H2377" s="1931"/>
      <c r="I2377" s="837"/>
      <c r="J2377" s="1059"/>
      <c r="K2377" s="943"/>
      <c r="L2377" s="866" t="n">
        <v>26052.9225</v>
      </c>
      <c r="M2377" s="866" t="n">
        <v>705</v>
      </c>
      <c r="N2377" s="866" t="n">
        <f aca="false">M2377/H2373</f>
        <v>47</v>
      </c>
      <c r="O2377" s="543" t="s">
        <v>1092</v>
      </c>
      <c r="P2377" s="1934"/>
      <c r="Q2377" s="1934"/>
      <c r="R2377" s="1935"/>
    </row>
    <row r="2378" customFormat="false" ht="14.25" hidden="false" customHeight="false" outlineLevel="0" collapsed="false">
      <c r="A2378" s="829"/>
      <c r="B2378" s="830"/>
      <c r="C2378" s="1965"/>
      <c r="D2378" s="848" t="s">
        <v>10</v>
      </c>
      <c r="E2378" s="1479" t="s">
        <v>1652</v>
      </c>
      <c r="F2378" s="832"/>
      <c r="G2378" s="2010"/>
      <c r="H2378" s="1931"/>
      <c r="I2378" s="837"/>
      <c r="J2378" s="1059"/>
      <c r="K2378" s="943"/>
      <c r="L2378" s="866" t="n">
        <v>185142.045</v>
      </c>
      <c r="M2378" s="866" t="n">
        <v>5010</v>
      </c>
      <c r="N2378" s="866" t="n">
        <f aca="false">M2378/H2373</f>
        <v>334</v>
      </c>
      <c r="O2378" s="543" t="s">
        <v>1084</v>
      </c>
      <c r="P2378" s="1934"/>
      <c r="Q2378" s="1934"/>
      <c r="R2378" s="1935"/>
    </row>
    <row r="2379" customFormat="false" ht="14.25" hidden="false" customHeight="false" outlineLevel="0" collapsed="false">
      <c r="A2379" s="829"/>
      <c r="B2379" s="830"/>
      <c r="C2379" s="1965"/>
      <c r="D2379" s="848" t="s">
        <v>10</v>
      </c>
      <c r="E2379" s="1479" t="s">
        <v>1652</v>
      </c>
      <c r="F2379" s="832"/>
      <c r="G2379" s="2010"/>
      <c r="H2379" s="1931"/>
      <c r="I2379" s="837"/>
      <c r="J2379" s="1059"/>
      <c r="K2379" s="943"/>
      <c r="L2379" s="866" t="n">
        <v>37139.2725</v>
      </c>
      <c r="M2379" s="866" t="n">
        <v>1005</v>
      </c>
      <c r="N2379" s="866" t="n">
        <f aca="false">M2379/H2373</f>
        <v>67</v>
      </c>
      <c r="O2379" s="543" t="s">
        <v>1079</v>
      </c>
      <c r="P2379" s="1934"/>
      <c r="Q2379" s="1934"/>
      <c r="R2379" s="1935"/>
    </row>
    <row r="2380" customFormat="false" ht="14.25" hidden="false" customHeight="false" outlineLevel="0" collapsed="false">
      <c r="A2380" s="829"/>
      <c r="B2380" s="830"/>
      <c r="C2380" s="1965"/>
      <c r="D2380" s="860" t="s">
        <v>10</v>
      </c>
      <c r="E2380" s="1480" t="s">
        <v>1652</v>
      </c>
      <c r="F2380" s="832"/>
      <c r="G2380" s="2010"/>
      <c r="H2380" s="1931"/>
      <c r="I2380" s="837"/>
      <c r="J2380" s="1059"/>
      <c r="K2380" s="943"/>
      <c r="L2380" s="866" t="n">
        <v>28270.1925</v>
      </c>
      <c r="M2380" s="866" t="n">
        <v>765</v>
      </c>
      <c r="N2380" s="866" t="n">
        <f aca="false">M2380/H2373</f>
        <v>51</v>
      </c>
      <c r="O2380" s="543" t="s">
        <v>1061</v>
      </c>
      <c r="P2380" s="1934"/>
      <c r="Q2380" s="1934"/>
      <c r="R2380" s="1935"/>
    </row>
    <row r="2381" customFormat="false" ht="14.25" hidden="false" customHeight="false" outlineLevel="0" collapsed="false">
      <c r="A2381" s="829"/>
      <c r="B2381" s="830"/>
      <c r="C2381" s="1965"/>
      <c r="D2381" s="887" t="s">
        <v>10</v>
      </c>
      <c r="E2381" s="1501" t="s">
        <v>1652</v>
      </c>
      <c r="F2381" s="832"/>
      <c r="G2381" s="2010"/>
      <c r="H2381" s="1931"/>
      <c r="I2381" s="837"/>
      <c r="J2381" s="1059"/>
      <c r="K2381" s="943"/>
      <c r="L2381" s="890" t="n">
        <v>185142.045</v>
      </c>
      <c r="M2381" s="890" t="n">
        <v>5010</v>
      </c>
      <c r="N2381" s="890" t="n">
        <f aca="false">M2381/H2373</f>
        <v>334</v>
      </c>
      <c r="O2381" s="1067" t="s">
        <v>1074</v>
      </c>
      <c r="P2381" s="1934"/>
      <c r="Q2381" s="1934"/>
      <c r="R2381" s="1935"/>
    </row>
    <row r="2382" customFormat="false" ht="14.25" hidden="false" customHeight="false" outlineLevel="0" collapsed="false">
      <c r="A2382" s="903" t="n">
        <v>68</v>
      </c>
      <c r="B2382" s="903" t="n">
        <v>2025</v>
      </c>
      <c r="C2382" s="1974" t="n">
        <v>46023</v>
      </c>
      <c r="D2382" s="904" t="s">
        <v>10</v>
      </c>
      <c r="E2382" s="1351" t="s">
        <v>1652</v>
      </c>
      <c r="F2382" s="904" t="s">
        <v>3364</v>
      </c>
      <c r="G2382" s="2012" t="n">
        <v>242</v>
      </c>
      <c r="H2382" s="1940" t="n">
        <v>15</v>
      </c>
      <c r="I2382" s="1355" t="n">
        <f aca="false">G2382*H2382</f>
        <v>3630</v>
      </c>
      <c r="J2382" s="1406" t="n">
        <v>43.928</v>
      </c>
      <c r="K2382" s="1138" t="n">
        <f aca="false">I2382*J2382</f>
        <v>159458.64</v>
      </c>
      <c r="L2382" s="891" t="n">
        <v>159458.64</v>
      </c>
      <c r="M2382" s="891" t="n">
        <v>3630</v>
      </c>
      <c r="N2382" s="891" t="n">
        <f aca="false">M2382/H2382</f>
        <v>242</v>
      </c>
      <c r="O2382" s="942" t="s">
        <v>1004</v>
      </c>
      <c r="P2382" s="1947" t="n">
        <f aca="false">K2382-L2382</f>
        <v>0</v>
      </c>
      <c r="Q2382" s="1945" t="n">
        <f aca="false">I2382-M2382</f>
        <v>0</v>
      </c>
      <c r="R2382" s="1945" t="n">
        <f aca="false">G2382-N2382</f>
        <v>0</v>
      </c>
    </row>
    <row r="2383" customFormat="false" ht="14.25" hidden="false" customHeight="false" outlineLevel="0" collapsed="false">
      <c r="A2383" s="1465" t="n">
        <v>73</v>
      </c>
      <c r="B2383" s="1546" t="n">
        <v>2025</v>
      </c>
      <c r="C2383" s="1975" t="n">
        <v>46023</v>
      </c>
      <c r="D2383" s="831" t="s">
        <v>10</v>
      </c>
      <c r="E2383" s="1365" t="s">
        <v>2619</v>
      </c>
      <c r="F2383" s="1328" t="s">
        <v>3364</v>
      </c>
      <c r="G2383" s="2011" t="n">
        <v>666</v>
      </c>
      <c r="H2383" s="1976" t="n">
        <v>30</v>
      </c>
      <c r="I2383" s="1036" t="n">
        <f aca="false">G2383*H2383</f>
        <v>19980</v>
      </c>
      <c r="J2383" s="1557" t="n">
        <v>93.607</v>
      </c>
      <c r="K2383" s="1547" t="n">
        <f aca="false">I2383*J2383</f>
        <v>1870267.86</v>
      </c>
      <c r="L2383" s="886" t="n">
        <v>749792.07</v>
      </c>
      <c r="M2383" s="886" t="n">
        <v>8010</v>
      </c>
      <c r="N2383" s="886" t="n">
        <f aca="false">M2383/H2383</f>
        <v>267</v>
      </c>
      <c r="O2383" s="1036" t="s">
        <v>1093</v>
      </c>
      <c r="P2383" s="1984" t="n">
        <f aca="false">K2383-L2383-L2386-L2385-L2384</f>
        <v>0</v>
      </c>
      <c r="Q2383" s="1978" t="n">
        <f aca="false">I2383-M2383-M2386-M2385-M2384</f>
        <v>0</v>
      </c>
      <c r="R2383" s="1979" t="n">
        <f aca="false">G2383-N2383-N2386-N2385-N2384</f>
        <v>0</v>
      </c>
    </row>
    <row r="2384" customFormat="false" ht="14.25" hidden="false" customHeight="false" outlineLevel="0" collapsed="false">
      <c r="A2384" s="1465"/>
      <c r="B2384" s="1546"/>
      <c r="C2384" s="1975"/>
      <c r="D2384" s="860" t="s">
        <v>10</v>
      </c>
      <c r="E2384" s="1480" t="s">
        <v>2619</v>
      </c>
      <c r="F2384" s="1328"/>
      <c r="G2384" s="2011"/>
      <c r="H2384" s="1976"/>
      <c r="I2384" s="1036"/>
      <c r="J2384" s="1557"/>
      <c r="K2384" s="1547"/>
      <c r="L2384" s="866" t="n">
        <v>280821</v>
      </c>
      <c r="M2384" s="866" t="n">
        <v>3000</v>
      </c>
      <c r="N2384" s="866" t="n">
        <f aca="false">M2384/H2383</f>
        <v>100</v>
      </c>
      <c r="O2384" s="543" t="s">
        <v>1098</v>
      </c>
      <c r="P2384" s="1984"/>
      <c r="Q2384" s="1978"/>
      <c r="R2384" s="1979"/>
    </row>
    <row r="2385" customFormat="false" ht="14.25" hidden="false" customHeight="false" outlineLevel="0" collapsed="false">
      <c r="A2385" s="1465"/>
      <c r="B2385" s="1546"/>
      <c r="C2385" s="1975"/>
      <c r="D2385" s="860" t="s">
        <v>10</v>
      </c>
      <c r="E2385" s="1480" t="s">
        <v>2619</v>
      </c>
      <c r="F2385" s="1328"/>
      <c r="G2385" s="2011"/>
      <c r="H2385" s="1976"/>
      <c r="I2385" s="1036"/>
      <c r="J2385" s="1557"/>
      <c r="K2385" s="1547"/>
      <c r="L2385" s="866" t="n">
        <v>294862.05</v>
      </c>
      <c r="M2385" s="866" t="n">
        <v>3150</v>
      </c>
      <c r="N2385" s="866" t="n">
        <f aca="false">M2385/H2383</f>
        <v>105</v>
      </c>
      <c r="O2385" s="543" t="s">
        <v>1097</v>
      </c>
      <c r="P2385" s="1984"/>
      <c r="Q2385" s="1978"/>
      <c r="R2385" s="1979"/>
    </row>
    <row r="2386" customFormat="false" ht="14.25" hidden="false" customHeight="false" outlineLevel="0" collapsed="false">
      <c r="A2386" s="1465"/>
      <c r="B2386" s="1546"/>
      <c r="C2386" s="1975"/>
      <c r="D2386" s="871" t="s">
        <v>10</v>
      </c>
      <c r="E2386" s="1478" t="s">
        <v>2619</v>
      </c>
      <c r="F2386" s="1328"/>
      <c r="G2386" s="2011"/>
      <c r="H2386" s="1976"/>
      <c r="I2386" s="1036"/>
      <c r="J2386" s="1557"/>
      <c r="K2386" s="1547"/>
      <c r="L2386" s="877" t="n">
        <v>544792.74</v>
      </c>
      <c r="M2386" s="877" t="n">
        <v>5820</v>
      </c>
      <c r="N2386" s="877" t="n">
        <f aca="false">M2386/H2383</f>
        <v>194</v>
      </c>
      <c r="O2386" s="553" t="s">
        <v>1096</v>
      </c>
      <c r="P2386" s="1984"/>
      <c r="Q2386" s="1978"/>
      <c r="R2386" s="1979"/>
    </row>
    <row r="2387" customFormat="false" ht="14.25" hidden="false" customHeight="false" outlineLevel="0" collapsed="false">
      <c r="A2387" s="829" t="n">
        <v>74</v>
      </c>
      <c r="B2387" s="830" t="n">
        <v>2025</v>
      </c>
      <c r="C2387" s="1965" t="n">
        <v>46023</v>
      </c>
      <c r="D2387" s="831" t="s">
        <v>10</v>
      </c>
      <c r="E2387" s="1365" t="s">
        <v>2619</v>
      </c>
      <c r="F2387" s="832" t="s">
        <v>3364</v>
      </c>
      <c r="G2387" s="2010" t="n">
        <v>167</v>
      </c>
      <c r="H2387" s="1931" t="n">
        <v>30</v>
      </c>
      <c r="I2387" s="837" t="n">
        <f aca="false">G2387*H2387</f>
        <v>5010</v>
      </c>
      <c r="J2387" s="1059" t="n">
        <v>93.607</v>
      </c>
      <c r="K2387" s="943" t="n">
        <f aca="false">I2387*J2387</f>
        <v>468971.07</v>
      </c>
      <c r="L2387" s="840" t="n">
        <v>188150.07</v>
      </c>
      <c r="M2387" s="840" t="n">
        <v>2010</v>
      </c>
      <c r="N2387" s="840" t="n">
        <f aca="false">M2387/H2387</f>
        <v>67</v>
      </c>
      <c r="O2387" s="1114" t="s">
        <v>3562</v>
      </c>
      <c r="P2387" s="1948" t="n">
        <f aca="false">K2387-L2387-L2388</f>
        <v>0</v>
      </c>
      <c r="Q2387" s="1934" t="n">
        <f aca="false">I2387-M2387-M2388</f>
        <v>0</v>
      </c>
      <c r="R2387" s="1935" t="n">
        <f aca="false">G2387-N2387-N2388</f>
        <v>0</v>
      </c>
    </row>
    <row r="2388" customFormat="false" ht="14.25" hidden="false" customHeight="false" outlineLevel="0" collapsed="false">
      <c r="A2388" s="829"/>
      <c r="B2388" s="830"/>
      <c r="C2388" s="1965"/>
      <c r="D2388" s="843" t="s">
        <v>10</v>
      </c>
      <c r="E2388" s="1357" t="s">
        <v>2619</v>
      </c>
      <c r="F2388" s="832"/>
      <c r="G2388" s="2010"/>
      <c r="H2388" s="1931"/>
      <c r="I2388" s="837"/>
      <c r="J2388" s="1059"/>
      <c r="K2388" s="943"/>
      <c r="L2388" s="846" t="n">
        <v>280821</v>
      </c>
      <c r="M2388" s="846" t="n">
        <v>3000</v>
      </c>
      <c r="N2388" s="846" t="n">
        <f aca="false">M2388/H2387</f>
        <v>100</v>
      </c>
      <c r="O2388" s="589" t="s">
        <v>1098</v>
      </c>
      <c r="P2388" s="1948"/>
      <c r="Q2388" s="1934"/>
      <c r="R2388" s="1935"/>
    </row>
    <row r="2389" customFormat="false" ht="14.25" hidden="false" customHeight="false" outlineLevel="0" collapsed="false">
      <c r="A2389" s="1087" t="n">
        <v>75</v>
      </c>
      <c r="B2389" s="1072" t="n">
        <v>2025</v>
      </c>
      <c r="C2389" s="1980" t="n">
        <v>46023</v>
      </c>
      <c r="D2389" s="848" t="s">
        <v>10</v>
      </c>
      <c r="E2389" s="1479" t="s">
        <v>1652</v>
      </c>
      <c r="F2389" s="887" t="s">
        <v>3364</v>
      </c>
      <c r="G2389" s="2017" t="n">
        <v>1333</v>
      </c>
      <c r="H2389" s="1950" t="n">
        <v>15</v>
      </c>
      <c r="I2389" s="1067" t="n">
        <f aca="false">G2389*H2389</f>
        <v>19995</v>
      </c>
      <c r="J2389" s="1063" t="n">
        <v>38.141</v>
      </c>
      <c r="K2389" s="1452" t="n">
        <f aca="false">I2389*J2389</f>
        <v>762629.295</v>
      </c>
      <c r="L2389" s="854" t="n">
        <v>91538.4</v>
      </c>
      <c r="M2389" s="854" t="n">
        <v>2400</v>
      </c>
      <c r="N2389" s="891" t="n">
        <f aca="false">M2389/H2389</f>
        <v>160</v>
      </c>
      <c r="O2389" s="537" t="s">
        <v>3563</v>
      </c>
      <c r="P2389" s="1953" t="n">
        <f aca="false">K2389-L2389-L2401-L2400-L2390-L2399-L2391-L2397-L2392-L2398-L2393-L2394-L2395-L2396</f>
        <v>-1.09139364212751E-010</v>
      </c>
      <c r="Q2389" s="1953" t="n">
        <f aca="false">I2389-M2389-M2401-M2400-M2390-M2399-M2391-M2397-M2392-M2398-M2393-M2394-M2395-M2396</f>
        <v>0</v>
      </c>
      <c r="R2389" s="1954" t="n">
        <f aca="false">G2389-N2389-N2401-N2400-N2390-N2399-N2391-N2397-N2392-N2398-N2393-N2394-N2395-N2396</f>
        <v>0</v>
      </c>
    </row>
    <row r="2390" customFormat="false" ht="14.25" hidden="false" customHeight="false" outlineLevel="0" collapsed="false">
      <c r="A2390" s="1087"/>
      <c r="B2390" s="1072"/>
      <c r="C2390" s="1980"/>
      <c r="D2390" s="848" t="s">
        <v>10</v>
      </c>
      <c r="E2390" s="1479" t="s">
        <v>1652</v>
      </c>
      <c r="F2390" s="887"/>
      <c r="G2390" s="2017"/>
      <c r="H2390" s="1950"/>
      <c r="I2390" s="1067"/>
      <c r="J2390" s="1063"/>
      <c r="K2390" s="1452"/>
      <c r="L2390" s="854" t="n">
        <v>58927.845</v>
      </c>
      <c r="M2390" s="854" t="n">
        <v>1545</v>
      </c>
      <c r="N2390" s="866" t="n">
        <f aca="false">M2390/H2389</f>
        <v>103</v>
      </c>
      <c r="O2390" s="537" t="s">
        <v>1061</v>
      </c>
      <c r="P2390" s="1953"/>
      <c r="Q2390" s="1953"/>
      <c r="R2390" s="1954"/>
    </row>
    <row r="2391" customFormat="false" ht="14.25" hidden="false" customHeight="false" outlineLevel="0" collapsed="false">
      <c r="A2391" s="1087"/>
      <c r="B2391" s="1072"/>
      <c r="C2391" s="1980"/>
      <c r="D2391" s="848" t="s">
        <v>10</v>
      </c>
      <c r="E2391" s="1479" t="s">
        <v>1652</v>
      </c>
      <c r="F2391" s="887"/>
      <c r="G2391" s="2017"/>
      <c r="H2391" s="1950"/>
      <c r="I2391" s="1067"/>
      <c r="J2391" s="1063"/>
      <c r="K2391" s="1452"/>
      <c r="L2391" s="854" t="n">
        <v>76663.41</v>
      </c>
      <c r="M2391" s="854" t="n">
        <v>2010</v>
      </c>
      <c r="N2391" s="866" t="n">
        <f aca="false">M2391/H2389</f>
        <v>134</v>
      </c>
      <c r="O2391" s="537" t="s">
        <v>1045</v>
      </c>
      <c r="P2391" s="1953"/>
      <c r="Q2391" s="1953"/>
      <c r="R2391" s="1954"/>
    </row>
    <row r="2392" customFormat="false" ht="14.25" hidden="false" customHeight="false" outlineLevel="0" collapsed="false">
      <c r="A2392" s="1087"/>
      <c r="B2392" s="1072"/>
      <c r="C2392" s="1980"/>
      <c r="D2392" s="848" t="s">
        <v>10</v>
      </c>
      <c r="E2392" s="1479" t="s">
        <v>1652</v>
      </c>
      <c r="F2392" s="887"/>
      <c r="G2392" s="2017"/>
      <c r="H2392" s="1950"/>
      <c r="I2392" s="1067"/>
      <c r="J2392" s="1063"/>
      <c r="K2392" s="1452"/>
      <c r="L2392" s="854" t="n">
        <v>40048.05</v>
      </c>
      <c r="M2392" s="854" t="n">
        <v>1050</v>
      </c>
      <c r="N2392" s="866" t="n">
        <f aca="false">M2392/H2389</f>
        <v>70</v>
      </c>
      <c r="O2392" s="537" t="s">
        <v>1125</v>
      </c>
      <c r="P2392" s="1953"/>
      <c r="Q2392" s="1953"/>
      <c r="R2392" s="1954"/>
    </row>
    <row r="2393" customFormat="false" ht="14.25" hidden="false" customHeight="false" outlineLevel="0" collapsed="false">
      <c r="A2393" s="1087"/>
      <c r="B2393" s="1072"/>
      <c r="C2393" s="1980"/>
      <c r="D2393" s="848" t="s">
        <v>10</v>
      </c>
      <c r="E2393" s="1479" t="s">
        <v>1652</v>
      </c>
      <c r="F2393" s="887"/>
      <c r="G2393" s="2017"/>
      <c r="H2393" s="1950"/>
      <c r="I2393" s="1067"/>
      <c r="J2393" s="1063"/>
      <c r="K2393" s="1452"/>
      <c r="L2393" s="854" t="n">
        <v>-94398.975</v>
      </c>
      <c r="M2393" s="854" t="n">
        <v>-2475</v>
      </c>
      <c r="N2393" s="866" t="n">
        <f aca="false">M2393/H2389</f>
        <v>-165</v>
      </c>
      <c r="O2393" s="537" t="s">
        <v>1634</v>
      </c>
      <c r="P2393" s="1953"/>
      <c r="Q2393" s="1953"/>
      <c r="R2393" s="1954"/>
    </row>
    <row r="2394" customFormat="false" ht="14.25" hidden="false" customHeight="false" outlineLevel="0" collapsed="false">
      <c r="A2394" s="1087"/>
      <c r="B2394" s="1072"/>
      <c r="C2394" s="1980"/>
      <c r="D2394" s="848" t="s">
        <v>10</v>
      </c>
      <c r="E2394" s="1479" t="s">
        <v>1652</v>
      </c>
      <c r="F2394" s="887"/>
      <c r="G2394" s="2017"/>
      <c r="H2394" s="1950"/>
      <c r="I2394" s="1067"/>
      <c r="J2394" s="1063"/>
      <c r="K2394" s="1452"/>
      <c r="L2394" s="854" t="n">
        <v>53778.81</v>
      </c>
      <c r="M2394" s="854" t="n">
        <v>1410</v>
      </c>
      <c r="N2394" s="866" t="n">
        <f aca="false">M2394/H2389</f>
        <v>94</v>
      </c>
      <c r="O2394" s="537" t="s">
        <v>1340</v>
      </c>
      <c r="P2394" s="1953"/>
      <c r="Q2394" s="1953"/>
      <c r="R2394" s="1954"/>
    </row>
    <row r="2395" customFormat="false" ht="14.25" hidden="false" customHeight="false" outlineLevel="0" collapsed="false">
      <c r="A2395" s="1087"/>
      <c r="B2395" s="1072"/>
      <c r="C2395" s="1980"/>
      <c r="D2395" s="848" t="s">
        <v>10</v>
      </c>
      <c r="E2395" s="1479" t="s">
        <v>1652</v>
      </c>
      <c r="F2395" s="887"/>
      <c r="G2395" s="2017"/>
      <c r="H2395" s="1950"/>
      <c r="I2395" s="1067"/>
      <c r="J2395" s="1063"/>
      <c r="K2395" s="1452"/>
      <c r="L2395" s="854" t="n">
        <v>4576.92</v>
      </c>
      <c r="M2395" s="854" t="n">
        <v>120</v>
      </c>
      <c r="N2395" s="866" t="n">
        <f aca="false">M2395/H2389</f>
        <v>8</v>
      </c>
      <c r="O2395" s="537" t="s">
        <v>1351</v>
      </c>
      <c r="P2395" s="1953"/>
      <c r="Q2395" s="1953"/>
      <c r="R2395" s="1954"/>
    </row>
    <row r="2396" customFormat="false" ht="14.25" hidden="false" customHeight="false" outlineLevel="0" collapsed="false">
      <c r="A2396" s="1087"/>
      <c r="B2396" s="1072"/>
      <c r="C2396" s="1980"/>
      <c r="D2396" s="848" t="s">
        <v>10</v>
      </c>
      <c r="E2396" s="1479" t="s">
        <v>1652</v>
      </c>
      <c r="F2396" s="887"/>
      <c r="G2396" s="2017"/>
      <c r="H2396" s="1950"/>
      <c r="I2396" s="1067"/>
      <c r="J2396" s="1063"/>
      <c r="K2396" s="1452"/>
      <c r="L2396" s="854" t="n">
        <v>32610.555</v>
      </c>
      <c r="M2396" s="854" t="n">
        <v>855</v>
      </c>
      <c r="N2396" s="866" t="n">
        <f aca="false">M2396/H2389</f>
        <v>57</v>
      </c>
      <c r="O2396" s="537" t="s">
        <v>1375</v>
      </c>
      <c r="P2396" s="1953"/>
      <c r="Q2396" s="1953"/>
      <c r="R2396" s="1954"/>
    </row>
    <row r="2397" customFormat="false" ht="14.25" hidden="false" customHeight="false" outlineLevel="0" collapsed="false">
      <c r="A2397" s="1087"/>
      <c r="B2397" s="1072"/>
      <c r="C2397" s="1980"/>
      <c r="D2397" s="848" t="s">
        <v>10</v>
      </c>
      <c r="E2397" s="1479" t="s">
        <v>1652</v>
      </c>
      <c r="F2397" s="887"/>
      <c r="G2397" s="2017"/>
      <c r="H2397" s="1950"/>
      <c r="I2397" s="1067"/>
      <c r="J2397" s="1063"/>
      <c r="K2397" s="1452"/>
      <c r="L2397" s="854" t="n">
        <v>99548.01</v>
      </c>
      <c r="M2397" s="854" t="n">
        <v>2610</v>
      </c>
      <c r="N2397" s="866" t="n">
        <f aca="false">M2397/H2389</f>
        <v>174</v>
      </c>
      <c r="O2397" s="537" t="s">
        <v>572</v>
      </c>
      <c r="P2397" s="1953"/>
      <c r="Q2397" s="1953"/>
      <c r="R2397" s="1954"/>
    </row>
    <row r="2398" customFormat="false" ht="14.25" hidden="false" customHeight="false" outlineLevel="0" collapsed="false">
      <c r="A2398" s="1087"/>
      <c r="B2398" s="1072"/>
      <c r="C2398" s="1980"/>
      <c r="D2398" s="848" t="s">
        <v>10</v>
      </c>
      <c r="E2398" s="1479" t="s">
        <v>1652</v>
      </c>
      <c r="F2398" s="887"/>
      <c r="G2398" s="2017"/>
      <c r="H2398" s="1950"/>
      <c r="I2398" s="1067"/>
      <c r="J2398" s="1063"/>
      <c r="K2398" s="1452"/>
      <c r="L2398" s="854" t="n">
        <v>3432.69</v>
      </c>
      <c r="M2398" s="854" t="n">
        <v>90</v>
      </c>
      <c r="N2398" s="866" t="n">
        <f aca="false">M2398/H2389</f>
        <v>6</v>
      </c>
      <c r="O2398" s="537" t="s">
        <v>1246</v>
      </c>
      <c r="P2398" s="1953"/>
      <c r="Q2398" s="1953"/>
      <c r="R2398" s="1954"/>
    </row>
    <row r="2399" customFormat="false" ht="14.25" hidden="false" customHeight="false" outlineLevel="0" collapsed="false">
      <c r="A2399" s="1087"/>
      <c r="B2399" s="1072"/>
      <c r="C2399" s="1980"/>
      <c r="D2399" s="848" t="s">
        <v>10</v>
      </c>
      <c r="E2399" s="1479" t="s">
        <v>1652</v>
      </c>
      <c r="F2399" s="887"/>
      <c r="G2399" s="2017"/>
      <c r="H2399" s="1950"/>
      <c r="I2399" s="1067"/>
      <c r="J2399" s="1063"/>
      <c r="K2399" s="1452"/>
      <c r="L2399" s="854" t="n">
        <v>191086.41</v>
      </c>
      <c r="M2399" s="854" t="n">
        <v>5010</v>
      </c>
      <c r="N2399" s="866" t="n">
        <f aca="false">M2399/H2389</f>
        <v>334</v>
      </c>
      <c r="O2399" s="537" t="s">
        <v>1004</v>
      </c>
      <c r="P2399" s="1953"/>
      <c r="Q2399" s="1953"/>
      <c r="R2399" s="1954"/>
    </row>
    <row r="2400" customFormat="false" ht="14.25" hidden="false" customHeight="false" outlineLevel="0" collapsed="false">
      <c r="A2400" s="1087"/>
      <c r="B2400" s="1072"/>
      <c r="C2400" s="1980"/>
      <c r="D2400" s="860" t="s">
        <v>10</v>
      </c>
      <c r="E2400" s="1480" t="s">
        <v>1652</v>
      </c>
      <c r="F2400" s="887"/>
      <c r="G2400" s="2017"/>
      <c r="H2400" s="1950"/>
      <c r="I2400" s="1067"/>
      <c r="J2400" s="1063"/>
      <c r="K2400" s="1452"/>
      <c r="L2400" s="866" t="n">
        <v>125865.3</v>
      </c>
      <c r="M2400" s="866" t="n">
        <v>3300</v>
      </c>
      <c r="N2400" s="866" t="n">
        <f aca="false">M2400/H2389</f>
        <v>220</v>
      </c>
      <c r="O2400" s="543" t="s">
        <v>818</v>
      </c>
      <c r="P2400" s="1953"/>
      <c r="Q2400" s="1953"/>
      <c r="R2400" s="1954"/>
    </row>
    <row r="2401" customFormat="false" ht="14.25" hidden="false" customHeight="false" outlineLevel="0" collapsed="false">
      <c r="A2401" s="1087"/>
      <c r="B2401" s="1072"/>
      <c r="C2401" s="1980"/>
      <c r="D2401" s="887" t="s">
        <v>10</v>
      </c>
      <c r="E2401" s="1501" t="s">
        <v>1652</v>
      </c>
      <c r="F2401" s="887"/>
      <c r="G2401" s="2017"/>
      <c r="H2401" s="1950"/>
      <c r="I2401" s="1067"/>
      <c r="J2401" s="1063"/>
      <c r="K2401" s="1452"/>
      <c r="L2401" s="890" t="n">
        <v>78951.87</v>
      </c>
      <c r="M2401" s="890" t="n">
        <v>2070</v>
      </c>
      <c r="N2401" s="890" t="n">
        <f aca="false">M2401/H2389</f>
        <v>138</v>
      </c>
      <c r="O2401" s="1067" t="s">
        <v>1074</v>
      </c>
      <c r="P2401" s="1953"/>
      <c r="Q2401" s="1953"/>
      <c r="R2401" s="1954"/>
    </row>
    <row r="2402" customFormat="false" ht="14.25" hidden="false" customHeight="false" outlineLevel="0" collapsed="false">
      <c r="A2402" s="903" t="s">
        <v>2718</v>
      </c>
      <c r="B2402" s="903" t="n">
        <v>2025</v>
      </c>
      <c r="C2402" s="1974" t="n">
        <v>46023</v>
      </c>
      <c r="D2402" s="904" t="s">
        <v>10</v>
      </c>
      <c r="E2402" s="1351" t="s">
        <v>1652</v>
      </c>
      <c r="F2402" s="904" t="s">
        <v>3364</v>
      </c>
      <c r="G2402" s="2012" t="n">
        <v>3</v>
      </c>
      <c r="H2402" s="1940" t="n">
        <v>800</v>
      </c>
      <c r="I2402" s="1355" t="n">
        <f aca="false">G2402*H2402</f>
        <v>2400</v>
      </c>
      <c r="J2402" s="1406" t="n">
        <v>38.141</v>
      </c>
      <c r="K2402" s="1138" t="n">
        <f aca="false">I2402*J2402</f>
        <v>91538.4</v>
      </c>
      <c r="L2402" s="891" t="n">
        <v>91538.4</v>
      </c>
      <c r="M2402" s="891" t="n">
        <v>2400</v>
      </c>
      <c r="N2402" s="891" t="n">
        <f aca="false">M2402/H2402</f>
        <v>3</v>
      </c>
      <c r="O2402" s="942"/>
      <c r="P2402" s="1947" t="n">
        <f aca="false">K2402-L2402</f>
        <v>0</v>
      </c>
      <c r="Q2402" s="1945" t="n">
        <f aca="false">I2402-M2402</f>
        <v>0</v>
      </c>
      <c r="R2402" s="1945" t="n">
        <f aca="false">G2402-N2402</f>
        <v>0</v>
      </c>
    </row>
    <row r="2403" customFormat="false" ht="14.25" hidden="false" customHeight="false" outlineLevel="0" collapsed="false">
      <c r="A2403" s="1465" t="n">
        <v>88</v>
      </c>
      <c r="B2403" s="1546" t="n">
        <v>2025</v>
      </c>
      <c r="C2403" s="1975" t="n">
        <v>46023</v>
      </c>
      <c r="D2403" s="831" t="s">
        <v>10</v>
      </c>
      <c r="E2403" s="1365" t="s">
        <v>2619</v>
      </c>
      <c r="F2403" s="1328" t="s">
        <v>3364</v>
      </c>
      <c r="G2403" s="2011" t="n">
        <v>666</v>
      </c>
      <c r="H2403" s="1976" t="n">
        <v>30</v>
      </c>
      <c r="I2403" s="1036" t="n">
        <f aca="false">G2403*H2403</f>
        <v>19980</v>
      </c>
      <c r="J2403" s="1557" t="n">
        <v>91.3129</v>
      </c>
      <c r="K2403" s="1547" t="n">
        <f aca="false">I2403*J2403</f>
        <v>1824431.742</v>
      </c>
      <c r="L2403" s="840" t="n">
        <v>367077.858</v>
      </c>
      <c r="M2403" s="840" t="n">
        <v>4020</v>
      </c>
      <c r="N2403" s="886" t="n">
        <f aca="false">M2403/H2403</f>
        <v>134</v>
      </c>
      <c r="O2403" s="1114" t="s">
        <v>1061</v>
      </c>
      <c r="P2403" s="1984" t="n">
        <f aca="false">K2403-L2403-L2407-L2406-L2404-L2405</f>
        <v>0</v>
      </c>
      <c r="Q2403" s="1978" t="n">
        <f aca="false">I2403-M2403-M2407-M2406-M2404-M2405</f>
        <v>0</v>
      </c>
      <c r="R2403" s="1979" t="n">
        <f aca="false">G2403-N2403-N2407-N2406-N2404-N2405</f>
        <v>0</v>
      </c>
    </row>
    <row r="2404" customFormat="false" ht="14.25" hidden="false" customHeight="false" outlineLevel="0" collapsed="false">
      <c r="A2404" s="1465"/>
      <c r="B2404" s="1546"/>
      <c r="C2404" s="1975"/>
      <c r="D2404" s="848" t="s">
        <v>10</v>
      </c>
      <c r="E2404" s="1479" t="s">
        <v>2619</v>
      </c>
      <c r="F2404" s="1328"/>
      <c r="G2404" s="2011"/>
      <c r="H2404" s="1976"/>
      <c r="I2404" s="1036"/>
      <c r="J2404" s="1557"/>
      <c r="K2404" s="1547"/>
      <c r="L2404" s="854" t="n">
        <v>367077.858</v>
      </c>
      <c r="M2404" s="854" t="n">
        <v>4020</v>
      </c>
      <c r="N2404" s="866" t="n">
        <f aca="false">M2404/H2403</f>
        <v>134</v>
      </c>
      <c r="O2404" s="537" t="s">
        <v>1094</v>
      </c>
      <c r="P2404" s="1984"/>
      <c r="Q2404" s="1978"/>
      <c r="R2404" s="1979"/>
    </row>
    <row r="2405" customFormat="false" ht="14.25" hidden="false" customHeight="false" outlineLevel="0" collapsed="false">
      <c r="A2405" s="1465"/>
      <c r="B2405" s="1546"/>
      <c r="C2405" s="1975"/>
      <c r="D2405" s="848" t="s">
        <v>10</v>
      </c>
      <c r="E2405" s="1479" t="s">
        <v>2619</v>
      </c>
      <c r="F2405" s="1328"/>
      <c r="G2405" s="2011"/>
      <c r="H2405" s="1976"/>
      <c r="I2405" s="1036"/>
      <c r="J2405" s="1557"/>
      <c r="K2405" s="1547"/>
      <c r="L2405" s="854" t="n">
        <v>295853.796</v>
      </c>
      <c r="M2405" s="854" t="n">
        <v>3240</v>
      </c>
      <c r="N2405" s="866" t="n">
        <f aca="false">M2405/H2403</f>
        <v>108</v>
      </c>
      <c r="O2405" s="537" t="s">
        <v>1074</v>
      </c>
      <c r="P2405" s="1984"/>
      <c r="Q2405" s="1978"/>
      <c r="R2405" s="1979"/>
    </row>
    <row r="2406" customFormat="false" ht="14.25" hidden="false" customHeight="false" outlineLevel="0" collapsed="false">
      <c r="A2406" s="1465"/>
      <c r="B2406" s="1546"/>
      <c r="C2406" s="1975"/>
      <c r="D2406" s="860" t="s">
        <v>10</v>
      </c>
      <c r="E2406" s="1480" t="s">
        <v>2619</v>
      </c>
      <c r="F2406" s="1328"/>
      <c r="G2406" s="2011"/>
      <c r="H2406" s="1976"/>
      <c r="I2406" s="1036"/>
      <c r="J2406" s="1557"/>
      <c r="K2406" s="1547"/>
      <c r="L2406" s="866" t="n">
        <v>367077.858</v>
      </c>
      <c r="M2406" s="866" t="n">
        <v>4020</v>
      </c>
      <c r="N2406" s="866" t="n">
        <f aca="false">M2406/H2403</f>
        <v>134</v>
      </c>
      <c r="O2406" s="543" t="s">
        <v>1094</v>
      </c>
      <c r="P2406" s="1984"/>
      <c r="Q2406" s="1978"/>
      <c r="R2406" s="1979"/>
    </row>
    <row r="2407" customFormat="false" ht="14.25" hidden="false" customHeight="false" outlineLevel="0" collapsed="false">
      <c r="A2407" s="1465"/>
      <c r="B2407" s="1546"/>
      <c r="C2407" s="1975"/>
      <c r="D2407" s="904" t="s">
        <v>10</v>
      </c>
      <c r="E2407" s="1351" t="s">
        <v>2619</v>
      </c>
      <c r="F2407" s="1328"/>
      <c r="G2407" s="2011"/>
      <c r="H2407" s="1976"/>
      <c r="I2407" s="1036"/>
      <c r="J2407" s="1557"/>
      <c r="K2407" s="1547"/>
      <c r="L2407" s="891" t="n">
        <v>427344.372</v>
      </c>
      <c r="M2407" s="891" t="n">
        <v>4680</v>
      </c>
      <c r="N2407" s="891" t="n">
        <f aca="false">M2407/H2403</f>
        <v>156</v>
      </c>
      <c r="O2407" s="942" t="s">
        <v>1045</v>
      </c>
      <c r="P2407" s="1984"/>
      <c r="Q2407" s="1978"/>
      <c r="R2407" s="1979"/>
    </row>
    <row r="2408" customFormat="false" ht="14.25" hidden="false" customHeight="false" outlineLevel="0" collapsed="false">
      <c r="A2408" s="829" t="n">
        <v>89</v>
      </c>
      <c r="B2408" s="830" t="n">
        <v>2025</v>
      </c>
      <c r="C2408" s="1965" t="n">
        <v>46023</v>
      </c>
      <c r="D2408" s="831" t="s">
        <v>10</v>
      </c>
      <c r="E2408" s="1365" t="s">
        <v>2619</v>
      </c>
      <c r="F2408" s="830" t="s">
        <v>3364</v>
      </c>
      <c r="G2408" s="2014" t="n">
        <v>476</v>
      </c>
      <c r="H2408" s="1931" t="n">
        <v>30</v>
      </c>
      <c r="I2408" s="837" t="n">
        <f aca="false">G2408*H2408</f>
        <v>14280</v>
      </c>
      <c r="J2408" s="1059" t="n">
        <v>91.3129</v>
      </c>
      <c r="K2408" s="943" t="n">
        <f aca="false">I2408*J2408</f>
        <v>1303948.212</v>
      </c>
      <c r="L2408" s="886" t="n">
        <v>186278.316</v>
      </c>
      <c r="M2408" s="886" t="n">
        <v>2040</v>
      </c>
      <c r="N2408" s="886" t="n">
        <f aca="false">M2408/H2408</f>
        <v>68</v>
      </c>
      <c r="O2408" s="1036" t="s">
        <v>1074</v>
      </c>
      <c r="P2408" s="1934" t="n">
        <f aca="false">K2408-L2408-L2411-L2410-L2409</f>
        <v>1.34605215862393E-010</v>
      </c>
      <c r="Q2408" s="1934" t="n">
        <f aca="false">I2408-M2408-M2411-M2410-M2409</f>
        <v>0</v>
      </c>
      <c r="R2408" s="1935" t="n">
        <f aca="false">G2408-N2408-N2411-N2410-N2409</f>
        <v>0</v>
      </c>
    </row>
    <row r="2409" customFormat="false" ht="14.25" hidden="false" customHeight="false" outlineLevel="0" collapsed="false">
      <c r="A2409" s="829"/>
      <c r="B2409" s="830"/>
      <c r="C2409" s="1965"/>
      <c r="D2409" s="860" t="s">
        <v>10</v>
      </c>
      <c r="E2409" s="1480" t="s">
        <v>2619</v>
      </c>
      <c r="F2409" s="830"/>
      <c r="G2409" s="2014"/>
      <c r="H2409" s="1931"/>
      <c r="I2409" s="837"/>
      <c r="J2409" s="1059"/>
      <c r="K2409" s="943"/>
      <c r="L2409" s="866" t="n">
        <v>16436.322</v>
      </c>
      <c r="M2409" s="866" t="n">
        <v>180</v>
      </c>
      <c r="N2409" s="866" t="n">
        <f aca="false">M2409/H2408</f>
        <v>6</v>
      </c>
      <c r="O2409" s="543" t="s">
        <v>1144</v>
      </c>
      <c r="P2409" s="1934"/>
      <c r="Q2409" s="1934"/>
      <c r="R2409" s="1935"/>
    </row>
    <row r="2410" customFormat="false" ht="14.25" hidden="false" customHeight="false" outlineLevel="0" collapsed="false">
      <c r="A2410" s="829"/>
      <c r="B2410" s="830"/>
      <c r="C2410" s="1965"/>
      <c r="D2410" s="860" t="s">
        <v>10</v>
      </c>
      <c r="E2410" s="1480" t="s">
        <v>2619</v>
      </c>
      <c r="F2410" s="830"/>
      <c r="G2410" s="2014"/>
      <c r="H2410" s="1931"/>
      <c r="I2410" s="837"/>
      <c r="J2410" s="1059"/>
      <c r="K2410" s="943"/>
      <c r="L2410" s="866" t="n">
        <v>5478.774</v>
      </c>
      <c r="M2410" s="866" t="n">
        <v>60</v>
      </c>
      <c r="N2410" s="866" t="n">
        <f aca="false">M2410/H2408</f>
        <v>2</v>
      </c>
      <c r="O2410" s="543" t="s">
        <v>3564</v>
      </c>
      <c r="P2410" s="1934"/>
      <c r="Q2410" s="1934"/>
      <c r="R2410" s="1935"/>
    </row>
    <row r="2411" customFormat="false" ht="14.25" hidden="false" customHeight="false" outlineLevel="0" collapsed="false">
      <c r="A2411" s="829"/>
      <c r="B2411" s="830"/>
      <c r="C2411" s="1965"/>
      <c r="D2411" s="843" t="s">
        <v>10</v>
      </c>
      <c r="E2411" s="1357" t="s">
        <v>2619</v>
      </c>
      <c r="F2411" s="830"/>
      <c r="G2411" s="2014"/>
      <c r="H2411" s="1931"/>
      <c r="I2411" s="837"/>
      <c r="J2411" s="1059"/>
      <c r="K2411" s="943"/>
      <c r="L2411" s="846" t="n">
        <v>1095754.8</v>
      </c>
      <c r="M2411" s="846" t="n">
        <v>12000</v>
      </c>
      <c r="N2411" s="846" t="n">
        <f aca="false">M2411/H2408</f>
        <v>400</v>
      </c>
      <c r="O2411" s="589" t="s">
        <v>1112</v>
      </c>
      <c r="P2411" s="1934"/>
      <c r="Q2411" s="1934"/>
      <c r="R2411" s="1935"/>
    </row>
    <row r="2412" customFormat="false" ht="14.25" hidden="false" customHeight="false" outlineLevel="0" collapsed="false">
      <c r="A2412" s="1087" t="n">
        <v>90</v>
      </c>
      <c r="B2412" s="1072" t="n">
        <v>2025</v>
      </c>
      <c r="C2412" s="1980" t="n">
        <v>46023</v>
      </c>
      <c r="D2412" s="848" t="s">
        <v>10</v>
      </c>
      <c r="E2412" s="1479" t="s">
        <v>1652</v>
      </c>
      <c r="F2412" s="887" t="s">
        <v>3364</v>
      </c>
      <c r="G2412" s="2017" t="n">
        <v>412</v>
      </c>
      <c r="H2412" s="1950" t="n">
        <v>15</v>
      </c>
      <c r="I2412" s="1067" t="n">
        <f aca="false">G2412*H2412</f>
        <v>6180</v>
      </c>
      <c r="J2412" s="1063" t="n">
        <v>39.4247</v>
      </c>
      <c r="K2412" s="1452" t="n">
        <f aca="false">I2412*J2412</f>
        <v>243644.646</v>
      </c>
      <c r="L2412" s="854" t="n">
        <v>220778.32</v>
      </c>
      <c r="M2412" s="854" t="n">
        <v>5600</v>
      </c>
      <c r="N2412" s="1512" t="n">
        <f aca="false">M2412/H2412</f>
        <v>373.333333333333</v>
      </c>
      <c r="O2412" s="537" t="s">
        <v>3565</v>
      </c>
      <c r="P2412" s="1953" t="n">
        <f aca="false">K2412-L2412-L2416-L2415-L2413-L2414</f>
        <v>2.04636307898909E-012</v>
      </c>
      <c r="Q2412" s="1953" t="n">
        <f aca="false">I2412-M2412-M2416-M2415-M2413-M2414</f>
        <v>0</v>
      </c>
      <c r="R2412" s="1954" t="n">
        <f aca="false">G2412-N2412-N2416-N2415-N2413-N2414</f>
        <v>1.90958360235527E-014</v>
      </c>
    </row>
    <row r="2413" customFormat="false" ht="14.25" hidden="false" customHeight="false" outlineLevel="0" collapsed="false">
      <c r="A2413" s="1087"/>
      <c r="B2413" s="1072"/>
      <c r="C2413" s="1980"/>
      <c r="D2413" s="848" t="s">
        <v>10</v>
      </c>
      <c r="E2413" s="1479" t="s">
        <v>1652</v>
      </c>
      <c r="F2413" s="887"/>
      <c r="G2413" s="2017"/>
      <c r="H2413" s="1950"/>
      <c r="I2413" s="1067"/>
      <c r="J2413" s="1063"/>
      <c r="K2413" s="1452"/>
      <c r="L2413" s="854" t="n">
        <v>394.247</v>
      </c>
      <c r="M2413" s="854" t="n">
        <v>10</v>
      </c>
      <c r="N2413" s="1144" t="n">
        <f aca="false">M2413/H2412</f>
        <v>0.666666666666667</v>
      </c>
      <c r="O2413" s="537" t="s">
        <v>1634</v>
      </c>
      <c r="P2413" s="1953"/>
      <c r="Q2413" s="1953"/>
      <c r="R2413" s="1954"/>
    </row>
    <row r="2414" customFormat="false" ht="14.25" hidden="false" customHeight="false" outlineLevel="0" collapsed="false">
      <c r="A2414" s="1087"/>
      <c r="B2414" s="1072"/>
      <c r="C2414" s="1980"/>
      <c r="D2414" s="848" t="s">
        <v>10</v>
      </c>
      <c r="E2414" s="1479" t="s">
        <v>1652</v>
      </c>
      <c r="F2414" s="887"/>
      <c r="G2414" s="2017"/>
      <c r="H2414" s="1950"/>
      <c r="I2414" s="1067"/>
      <c r="J2414" s="1063"/>
      <c r="K2414" s="1452"/>
      <c r="L2414" s="854" t="n">
        <v>1182.741</v>
      </c>
      <c r="M2414" s="854" t="n">
        <v>30</v>
      </c>
      <c r="N2414" s="854" t="n">
        <f aca="false">M2414/H2412</f>
        <v>2</v>
      </c>
      <c r="O2414" s="537" t="s">
        <v>1375</v>
      </c>
      <c r="P2414" s="1953"/>
      <c r="Q2414" s="1953"/>
      <c r="R2414" s="1954"/>
    </row>
    <row r="2415" customFormat="false" ht="14.25" hidden="false" customHeight="false" outlineLevel="0" collapsed="false">
      <c r="A2415" s="1087"/>
      <c r="B2415" s="1072"/>
      <c r="C2415" s="1980"/>
      <c r="D2415" s="860" t="s">
        <v>10</v>
      </c>
      <c r="E2415" s="1480" t="s">
        <v>1652</v>
      </c>
      <c r="F2415" s="887"/>
      <c r="G2415" s="2017"/>
      <c r="H2415" s="1950"/>
      <c r="I2415" s="1067"/>
      <c r="J2415" s="1063"/>
      <c r="K2415" s="1452"/>
      <c r="L2415" s="866" t="n">
        <v>591.3705</v>
      </c>
      <c r="M2415" s="866" t="n">
        <v>15</v>
      </c>
      <c r="N2415" s="854" t="n">
        <f aca="false">M2415/H2412</f>
        <v>1</v>
      </c>
      <c r="O2415" s="543" t="s">
        <v>1202</v>
      </c>
      <c r="P2415" s="1953"/>
      <c r="Q2415" s="1953"/>
      <c r="R2415" s="1954"/>
    </row>
    <row r="2416" customFormat="false" ht="14.25" hidden="false" customHeight="false" outlineLevel="0" collapsed="false">
      <c r="A2416" s="1087"/>
      <c r="B2416" s="1072"/>
      <c r="C2416" s="1980"/>
      <c r="D2416" s="887" t="s">
        <v>10</v>
      </c>
      <c r="E2416" s="1501" t="s">
        <v>1652</v>
      </c>
      <c r="F2416" s="887"/>
      <c r="G2416" s="2017"/>
      <c r="H2416" s="1950"/>
      <c r="I2416" s="1067"/>
      <c r="J2416" s="1063"/>
      <c r="K2416" s="1452"/>
      <c r="L2416" s="890" t="n">
        <v>20697.9675</v>
      </c>
      <c r="M2416" s="890" t="n">
        <v>525</v>
      </c>
      <c r="N2416" s="890" t="n">
        <f aca="false">M2416/H2412</f>
        <v>35</v>
      </c>
      <c r="O2416" s="1067" t="s">
        <v>1004</v>
      </c>
      <c r="P2416" s="1953"/>
      <c r="Q2416" s="1953"/>
      <c r="R2416" s="1954"/>
    </row>
    <row r="2417" customFormat="false" ht="14.25" hidden="false" customHeight="false" outlineLevel="0" collapsed="false">
      <c r="A2417" s="847" t="s">
        <v>3566</v>
      </c>
      <c r="B2417" s="1396" t="n">
        <v>2025</v>
      </c>
      <c r="C2417" s="1966" t="n">
        <v>46023</v>
      </c>
      <c r="D2417" s="848" t="s">
        <v>10</v>
      </c>
      <c r="E2417" s="1479" t="s">
        <v>1652</v>
      </c>
      <c r="F2417" s="848" t="s">
        <v>3364</v>
      </c>
      <c r="G2417" s="2018" t="n">
        <v>7</v>
      </c>
      <c r="H2417" s="1967" t="n">
        <v>800</v>
      </c>
      <c r="I2417" s="1380" t="n">
        <f aca="false">G2417*H2417</f>
        <v>5600</v>
      </c>
      <c r="J2417" s="1544" t="n">
        <v>39.4247</v>
      </c>
      <c r="K2417" s="1144" t="n">
        <f aca="false">I2417*J2417</f>
        <v>220778.32</v>
      </c>
      <c r="L2417" s="854" t="n">
        <v>220778.32</v>
      </c>
      <c r="M2417" s="854" t="n">
        <v>5600</v>
      </c>
      <c r="N2417" s="854" t="n">
        <f aca="false">M2417/H2417</f>
        <v>7</v>
      </c>
      <c r="O2417" s="537" t="s">
        <v>1055</v>
      </c>
      <c r="P2417" s="1983" t="n">
        <f aca="false">K2417-L2417</f>
        <v>0</v>
      </c>
      <c r="Q2417" s="1970" t="n">
        <f aca="false">I2417-M2417</f>
        <v>0</v>
      </c>
      <c r="R2417" s="2066" t="n">
        <f aca="false">G2417-N2417</f>
        <v>0</v>
      </c>
    </row>
    <row r="2418" customFormat="false" ht="14.25" hidden="false" customHeight="false" outlineLevel="0" collapsed="false">
      <c r="A2418" s="847" t="n">
        <v>91</v>
      </c>
      <c r="B2418" s="1396" t="n">
        <v>2025</v>
      </c>
      <c r="C2418" s="1966" t="n">
        <v>46023</v>
      </c>
      <c r="D2418" s="848" t="s">
        <v>10</v>
      </c>
      <c r="E2418" s="1479" t="s">
        <v>1651</v>
      </c>
      <c r="F2418" s="848" t="s">
        <v>3364</v>
      </c>
      <c r="G2418" s="2018" t="n">
        <v>1333</v>
      </c>
      <c r="H2418" s="1967" t="n">
        <v>15</v>
      </c>
      <c r="I2418" s="1380" t="n">
        <f aca="false">G2418*H2418</f>
        <v>19995</v>
      </c>
      <c r="J2418" s="1544" t="n">
        <v>28.8944</v>
      </c>
      <c r="K2418" s="1144" t="n">
        <f aca="false">I2418*J2418</f>
        <v>577743.528</v>
      </c>
      <c r="L2418" s="854" t="n">
        <v>577743.528</v>
      </c>
      <c r="M2418" s="854" t="n">
        <v>19995</v>
      </c>
      <c r="N2418" s="854" t="n">
        <f aca="false">M2418/H2418</f>
        <v>1333</v>
      </c>
      <c r="O2418" s="537" t="s">
        <v>3567</v>
      </c>
      <c r="P2418" s="1983" t="n">
        <f aca="false">K2418-L2418</f>
        <v>0</v>
      </c>
      <c r="Q2418" s="1970" t="n">
        <f aca="false">I2418-M2418</f>
        <v>0</v>
      </c>
      <c r="R2418" s="1970" t="n">
        <f aca="false">G2418-N2418</f>
        <v>0</v>
      </c>
    </row>
    <row r="2419" customFormat="false" ht="14.25" hidden="false" customHeight="false" outlineLevel="0" collapsed="false">
      <c r="A2419" s="847" t="n">
        <v>92</v>
      </c>
      <c r="B2419" s="1396" t="n">
        <v>2025</v>
      </c>
      <c r="C2419" s="1966" t="n">
        <v>46023</v>
      </c>
      <c r="D2419" s="848" t="s">
        <v>10</v>
      </c>
      <c r="E2419" s="1479" t="s">
        <v>1651</v>
      </c>
      <c r="F2419" s="848" t="s">
        <v>3364</v>
      </c>
      <c r="G2419" s="2018" t="n">
        <v>158</v>
      </c>
      <c r="H2419" s="1967" t="n">
        <v>15</v>
      </c>
      <c r="I2419" s="1380" t="n">
        <f aca="false">G2419*H2419</f>
        <v>2370</v>
      </c>
      <c r="J2419" s="1544" t="n">
        <v>30.8085</v>
      </c>
      <c r="K2419" s="1144" t="n">
        <f aca="false">I2419*J2419</f>
        <v>73016.145</v>
      </c>
      <c r="L2419" s="854" t="n">
        <v>73016.145</v>
      </c>
      <c r="M2419" s="854" t="n">
        <v>2370</v>
      </c>
      <c r="N2419" s="866" t="n">
        <f aca="false">M2419/H2419</f>
        <v>158</v>
      </c>
      <c r="O2419" s="537" t="s">
        <v>1002</v>
      </c>
      <c r="P2419" s="1983" t="n">
        <f aca="false">K2419-L2419</f>
        <v>0</v>
      </c>
      <c r="Q2419" s="1970" t="n">
        <f aca="false">I2419-M2419</f>
        <v>0</v>
      </c>
      <c r="R2419" s="1970" t="n">
        <f aca="false">G2419-N2419</f>
        <v>0</v>
      </c>
    </row>
    <row r="2420" customFormat="false" ht="14.25" hidden="false" customHeight="false" outlineLevel="0" collapsed="false">
      <c r="A2420" s="903" t="n">
        <v>113</v>
      </c>
      <c r="B2420" s="903" t="n">
        <v>2025</v>
      </c>
      <c r="C2420" s="1974" t="n">
        <v>46023</v>
      </c>
      <c r="D2420" s="904" t="s">
        <v>10</v>
      </c>
      <c r="E2420" s="1351" t="s">
        <v>1652</v>
      </c>
      <c r="F2420" s="904" t="s">
        <v>3364</v>
      </c>
      <c r="G2420" s="2012" t="n">
        <v>2</v>
      </c>
      <c r="H2420" s="1940" t="n">
        <v>800</v>
      </c>
      <c r="I2420" s="1355" t="n">
        <f aca="false">G2420*H2420</f>
        <v>1600</v>
      </c>
      <c r="J2420" s="1406" t="n">
        <v>36.7743</v>
      </c>
      <c r="K2420" s="1138" t="n">
        <f aca="false">I2420*J2420</f>
        <v>58838.88</v>
      </c>
      <c r="L2420" s="891" t="n">
        <v>58838.88</v>
      </c>
      <c r="M2420" s="891" t="n">
        <v>1600</v>
      </c>
      <c r="N2420" s="877" t="n">
        <f aca="false">M2420/H2420</f>
        <v>2</v>
      </c>
      <c r="O2420" s="942" t="s">
        <v>1055</v>
      </c>
      <c r="P2420" s="1947" t="n">
        <f aca="false">K2420-L2420</f>
        <v>0</v>
      </c>
      <c r="Q2420" s="1945" t="n">
        <f aca="false">I2420-M2420</f>
        <v>0</v>
      </c>
      <c r="R2420" s="1945" t="n">
        <f aca="false">G2420-N2420</f>
        <v>0</v>
      </c>
    </row>
    <row r="2421" customFormat="false" ht="14.25" hidden="false" customHeight="false" outlineLevel="0" collapsed="false">
      <c r="A2421" s="829" t="n">
        <v>114</v>
      </c>
      <c r="B2421" s="830" t="n">
        <v>2025</v>
      </c>
      <c r="C2421" s="1965" t="n">
        <v>46023</v>
      </c>
      <c r="D2421" s="831" t="s">
        <v>10</v>
      </c>
      <c r="E2421" s="1365" t="s">
        <v>1652</v>
      </c>
      <c r="F2421" s="830" t="s">
        <v>3364</v>
      </c>
      <c r="G2421" s="2010" t="n">
        <v>816</v>
      </c>
      <c r="H2421" s="1931" t="n">
        <v>15</v>
      </c>
      <c r="I2421" s="837" t="n">
        <f aca="false">G2421*H2421</f>
        <v>12240</v>
      </c>
      <c r="J2421" s="1059" t="n">
        <v>37.3301</v>
      </c>
      <c r="K2421" s="943" t="n">
        <f aca="false">I2421*J2421</f>
        <v>456920.424</v>
      </c>
      <c r="L2421" s="840" t="n">
        <v>55995.15</v>
      </c>
      <c r="M2421" s="840" t="n">
        <v>1500</v>
      </c>
      <c r="N2421" s="886" t="n">
        <f aca="false">M2421/H2421</f>
        <v>100</v>
      </c>
      <c r="O2421" s="1114" t="s">
        <v>3568</v>
      </c>
      <c r="P2421" s="1948" t="n">
        <f aca="false">K2421-L2421-L2424-L2423-L2422</f>
        <v>1679.85449999995</v>
      </c>
      <c r="Q2421" s="1934" t="n">
        <f aca="false">I2421-M2421-M2424-M2423-M2422</f>
        <v>45</v>
      </c>
      <c r="R2421" s="1935" t="n">
        <f aca="false">G2421-N2421-N2424-N2423-N2422</f>
        <v>3</v>
      </c>
    </row>
    <row r="2422" customFormat="false" ht="14.25" hidden="false" customHeight="false" outlineLevel="0" collapsed="false">
      <c r="A2422" s="829"/>
      <c r="B2422" s="830"/>
      <c r="C2422" s="1965"/>
      <c r="D2422" s="848" t="s">
        <v>10</v>
      </c>
      <c r="E2422" s="1479" t="s">
        <v>1652</v>
      </c>
      <c r="F2422" s="830"/>
      <c r="G2422" s="2010"/>
      <c r="H2422" s="1931"/>
      <c r="I2422" s="837"/>
      <c r="J2422" s="1059"/>
      <c r="K2422" s="943"/>
      <c r="L2422" s="854" t="n">
        <v>-1679.8545</v>
      </c>
      <c r="M2422" s="854" t="n">
        <v>-45</v>
      </c>
      <c r="N2422" s="866" t="n">
        <f aca="false">M2422/H2421</f>
        <v>-3</v>
      </c>
      <c r="O2422" s="537" t="s">
        <v>1375</v>
      </c>
      <c r="P2422" s="1948"/>
      <c r="Q2422" s="1934"/>
      <c r="R2422" s="1935"/>
    </row>
    <row r="2423" customFormat="false" ht="14.25" hidden="false" customHeight="false" outlineLevel="0" collapsed="false">
      <c r="A2423" s="829"/>
      <c r="B2423" s="830"/>
      <c r="C2423" s="1965"/>
      <c r="D2423" s="860" t="s">
        <v>10</v>
      </c>
      <c r="E2423" s="1480" t="s">
        <v>1652</v>
      </c>
      <c r="F2423" s="830"/>
      <c r="G2423" s="2010"/>
      <c r="H2423" s="1931"/>
      <c r="I2423" s="837"/>
      <c r="J2423" s="1059"/>
      <c r="K2423" s="943"/>
      <c r="L2423" s="866" t="n">
        <v>64954.374</v>
      </c>
      <c r="M2423" s="866" t="n">
        <v>1740</v>
      </c>
      <c r="N2423" s="866" t="n">
        <f aca="false">M2423/H2421</f>
        <v>116</v>
      </c>
      <c r="O2423" s="543" t="s">
        <v>1202</v>
      </c>
      <c r="P2423" s="1948"/>
      <c r="Q2423" s="1934"/>
      <c r="R2423" s="1935"/>
    </row>
    <row r="2424" customFormat="false" ht="14.25" hidden="false" customHeight="false" outlineLevel="0" collapsed="false">
      <c r="A2424" s="829"/>
      <c r="B2424" s="830"/>
      <c r="C2424" s="1965"/>
      <c r="D2424" s="887" t="s">
        <v>10</v>
      </c>
      <c r="E2424" s="1501" t="s">
        <v>1652</v>
      </c>
      <c r="F2424" s="830"/>
      <c r="G2424" s="2010"/>
      <c r="H2424" s="1931"/>
      <c r="I2424" s="837"/>
      <c r="J2424" s="1059"/>
      <c r="K2424" s="943"/>
      <c r="L2424" s="890" t="n">
        <v>335970.9</v>
      </c>
      <c r="M2424" s="890" t="n">
        <v>9000</v>
      </c>
      <c r="N2424" s="890" t="n">
        <f aca="false">M2424/H2421</f>
        <v>600</v>
      </c>
      <c r="O2424" s="1067" t="s">
        <v>1003</v>
      </c>
      <c r="P2424" s="1948"/>
      <c r="Q2424" s="1934"/>
      <c r="R2424" s="1935"/>
    </row>
    <row r="2425" customFormat="false" ht="14.25" hidden="false" customHeight="false" outlineLevel="0" collapsed="false">
      <c r="A2425" s="1465" t="n">
        <v>131</v>
      </c>
      <c r="B2425" s="1546" t="n">
        <v>2025</v>
      </c>
      <c r="C2425" s="1975" t="n">
        <v>46054</v>
      </c>
      <c r="D2425" s="831" t="s">
        <v>10</v>
      </c>
      <c r="E2425" s="1365" t="s">
        <v>2619</v>
      </c>
      <c r="F2425" s="1328" t="s">
        <v>3364</v>
      </c>
      <c r="G2425" s="2011" t="n">
        <v>666</v>
      </c>
      <c r="H2425" s="1976" t="n">
        <v>30</v>
      </c>
      <c r="I2425" s="1036" t="n">
        <f aca="false">G2425*H2425</f>
        <v>19980</v>
      </c>
      <c r="J2425" s="1557" t="n">
        <v>94.3112</v>
      </c>
      <c r="K2425" s="1547" t="n">
        <f aca="false">I2425*J2425</f>
        <v>1884337.776</v>
      </c>
      <c r="L2425" s="840" t="n">
        <v>475328.448</v>
      </c>
      <c r="M2425" s="840" t="n">
        <v>5040</v>
      </c>
      <c r="N2425" s="886" t="n">
        <f aca="false">M2425/H2425</f>
        <v>168</v>
      </c>
      <c r="O2425" s="1114" t="s">
        <v>1061</v>
      </c>
      <c r="P2425" s="1978" t="n">
        <f aca="false">K2425-L2425-L2431-L2430-L2426-L2427-L2428-L2429</f>
        <v>2.47382558882237E-010</v>
      </c>
      <c r="Q2425" s="1978" t="n">
        <f aca="false">I2425-M2425-M2431-M2430-M2426-M2427-M2428-M2429</f>
        <v>0</v>
      </c>
      <c r="R2425" s="1979" t="n">
        <f aca="false">G2425-N2425-N2431-N2430-N2426-N2427-N2428-N2429</f>
        <v>0</v>
      </c>
    </row>
    <row r="2426" customFormat="false" ht="14.25" hidden="false" customHeight="false" outlineLevel="0" collapsed="false">
      <c r="A2426" s="1465"/>
      <c r="B2426" s="1546"/>
      <c r="C2426" s="1975"/>
      <c r="D2426" s="848" t="s">
        <v>10</v>
      </c>
      <c r="E2426" s="1479" t="s">
        <v>2619</v>
      </c>
      <c r="F2426" s="1328"/>
      <c r="G2426" s="2011"/>
      <c r="H2426" s="1976"/>
      <c r="I2426" s="1036"/>
      <c r="J2426" s="1557"/>
      <c r="K2426" s="1547"/>
      <c r="L2426" s="854" t="n">
        <v>495133.8</v>
      </c>
      <c r="M2426" s="854" t="n">
        <v>5250</v>
      </c>
      <c r="N2426" s="866" t="n">
        <f aca="false">M2426/H2425</f>
        <v>175</v>
      </c>
      <c r="O2426" s="537" t="s">
        <v>3569</v>
      </c>
      <c r="P2426" s="1978"/>
      <c r="Q2426" s="1978"/>
      <c r="R2426" s="1979"/>
    </row>
    <row r="2427" customFormat="false" ht="14.25" hidden="false" customHeight="false" outlineLevel="0" collapsed="false">
      <c r="A2427" s="1465"/>
      <c r="B2427" s="1546"/>
      <c r="C2427" s="1975"/>
      <c r="D2427" s="848" t="s">
        <v>10</v>
      </c>
      <c r="E2427" s="1479" t="s">
        <v>2619</v>
      </c>
      <c r="F2427" s="1328"/>
      <c r="G2427" s="2011"/>
      <c r="H2427" s="1976"/>
      <c r="I2427" s="1036"/>
      <c r="J2427" s="1557"/>
      <c r="K2427" s="1547"/>
      <c r="L2427" s="854" t="n">
        <v>138637.464</v>
      </c>
      <c r="M2427" s="854" t="n">
        <v>1470</v>
      </c>
      <c r="N2427" s="866" t="n">
        <f aca="false">M2427/H2425</f>
        <v>49</v>
      </c>
      <c r="O2427" s="537" t="s">
        <v>1136</v>
      </c>
      <c r="P2427" s="1978"/>
      <c r="Q2427" s="1978"/>
      <c r="R2427" s="1979"/>
    </row>
    <row r="2428" customFormat="false" ht="14.25" hidden="false" customHeight="false" outlineLevel="0" collapsed="false">
      <c r="A2428" s="1465"/>
      <c r="B2428" s="1546"/>
      <c r="C2428" s="1975"/>
      <c r="D2428" s="848" t="s">
        <v>10</v>
      </c>
      <c r="E2428" s="1479" t="s">
        <v>2619</v>
      </c>
      <c r="F2428" s="1328"/>
      <c r="G2428" s="2011"/>
      <c r="H2428" s="1976"/>
      <c r="I2428" s="1036"/>
      <c r="J2428" s="1557"/>
      <c r="K2428" s="1547"/>
      <c r="L2428" s="854" t="n">
        <v>8488.008</v>
      </c>
      <c r="M2428" s="854" t="n">
        <v>90</v>
      </c>
      <c r="N2428" s="866" t="n">
        <f aca="false">M2428/H2425</f>
        <v>3</v>
      </c>
      <c r="O2428" s="537" t="s">
        <v>3564</v>
      </c>
      <c r="P2428" s="1978"/>
      <c r="Q2428" s="1978"/>
      <c r="R2428" s="1979"/>
    </row>
    <row r="2429" customFormat="false" ht="14.25" hidden="false" customHeight="false" outlineLevel="0" collapsed="false">
      <c r="A2429" s="1465"/>
      <c r="B2429" s="1546"/>
      <c r="C2429" s="1975"/>
      <c r="D2429" s="848" t="s">
        <v>10</v>
      </c>
      <c r="E2429" s="1479" t="s">
        <v>2619</v>
      </c>
      <c r="F2429" s="1328"/>
      <c r="G2429" s="2011"/>
      <c r="H2429" s="1976"/>
      <c r="I2429" s="1036"/>
      <c r="J2429" s="1557"/>
      <c r="K2429" s="1547"/>
      <c r="L2429" s="854" t="n">
        <v>101856.096</v>
      </c>
      <c r="M2429" s="854" t="n">
        <v>1080</v>
      </c>
      <c r="N2429" s="866" t="n">
        <f aca="false">M2429/H2425</f>
        <v>36</v>
      </c>
      <c r="O2429" s="537" t="s">
        <v>1138</v>
      </c>
      <c r="P2429" s="1978"/>
      <c r="Q2429" s="1978"/>
      <c r="R2429" s="1979"/>
    </row>
    <row r="2430" customFormat="false" ht="14.25" hidden="false" customHeight="false" outlineLevel="0" collapsed="false">
      <c r="A2430" s="1465"/>
      <c r="B2430" s="1546"/>
      <c r="C2430" s="1975"/>
      <c r="D2430" s="860" t="s">
        <v>10</v>
      </c>
      <c r="E2430" s="1480" t="s">
        <v>2619</v>
      </c>
      <c r="F2430" s="1328"/>
      <c r="G2430" s="2011"/>
      <c r="H2430" s="1976"/>
      <c r="I2430" s="1036"/>
      <c r="J2430" s="1557"/>
      <c r="K2430" s="1547"/>
      <c r="L2430" s="866" t="n">
        <v>192394.848</v>
      </c>
      <c r="M2430" s="866" t="n">
        <v>2040</v>
      </c>
      <c r="N2430" s="866" t="n">
        <f aca="false">M2430/H2425</f>
        <v>68</v>
      </c>
      <c r="O2430" s="543" t="s">
        <v>1131</v>
      </c>
      <c r="P2430" s="1978"/>
      <c r="Q2430" s="1978"/>
      <c r="R2430" s="1979"/>
    </row>
    <row r="2431" customFormat="false" ht="14.25" hidden="false" customHeight="false" outlineLevel="0" collapsed="false">
      <c r="A2431" s="1465"/>
      <c r="B2431" s="1546"/>
      <c r="C2431" s="1975"/>
      <c r="D2431" s="904" t="s">
        <v>10</v>
      </c>
      <c r="E2431" s="1351" t="s">
        <v>2619</v>
      </c>
      <c r="F2431" s="1328"/>
      <c r="G2431" s="2011"/>
      <c r="H2431" s="1976"/>
      <c r="I2431" s="1036"/>
      <c r="J2431" s="1557"/>
      <c r="K2431" s="1547"/>
      <c r="L2431" s="891" t="n">
        <v>472499.112</v>
      </c>
      <c r="M2431" s="891" t="n">
        <v>5010</v>
      </c>
      <c r="N2431" s="891" t="n">
        <f aca="false">M2431/H2425</f>
        <v>167</v>
      </c>
      <c r="O2431" s="942" t="s">
        <v>1061</v>
      </c>
      <c r="P2431" s="1978"/>
      <c r="Q2431" s="1978"/>
      <c r="R2431" s="1979"/>
    </row>
    <row r="2432" customFormat="false" ht="14.25" hidden="false" customHeight="false" outlineLevel="0" collapsed="false">
      <c r="A2432" s="882" t="n">
        <v>132</v>
      </c>
      <c r="B2432" s="830" t="n">
        <v>2025</v>
      </c>
      <c r="C2432" s="1965" t="n">
        <v>46054</v>
      </c>
      <c r="D2432" s="831" t="s">
        <v>10</v>
      </c>
      <c r="E2432" s="1365" t="s">
        <v>2619</v>
      </c>
      <c r="F2432" s="832" t="s">
        <v>3364</v>
      </c>
      <c r="G2432" s="2010" t="n">
        <v>144</v>
      </c>
      <c r="H2432" s="1931" t="n">
        <v>30</v>
      </c>
      <c r="I2432" s="837" t="n">
        <f aca="false">G2432*H2432</f>
        <v>4320</v>
      </c>
      <c r="J2432" s="1059" t="n">
        <v>94.3112</v>
      </c>
      <c r="K2432" s="943" t="n">
        <f aca="false">I2432*J2432</f>
        <v>407424.384</v>
      </c>
      <c r="L2432" s="840" t="n">
        <v>118832.112</v>
      </c>
      <c r="M2432" s="840" t="n">
        <v>1260</v>
      </c>
      <c r="N2432" s="886" t="n">
        <f aca="false">M2432/H2432</f>
        <v>42</v>
      </c>
      <c r="O2432" s="1114" t="s">
        <v>1124</v>
      </c>
      <c r="P2432" s="1934" t="n">
        <f aca="false">K2432-L2432-L2434-L2433</f>
        <v>2.09183781407774E-011</v>
      </c>
      <c r="Q2432" s="1934" t="n">
        <f aca="false">I2432-M2432-M2434-M2433</f>
        <v>0</v>
      </c>
      <c r="R2432" s="1935" t="n">
        <f aca="false">G2432-N2432-N2434-N2433</f>
        <v>0</v>
      </c>
    </row>
    <row r="2433" customFormat="false" ht="14.25" hidden="false" customHeight="false" outlineLevel="0" collapsed="false">
      <c r="A2433" s="882"/>
      <c r="B2433" s="830"/>
      <c r="C2433" s="1965"/>
      <c r="D2433" s="904" t="s">
        <v>10</v>
      </c>
      <c r="E2433" s="1351" t="s">
        <v>2619</v>
      </c>
      <c r="F2433" s="832"/>
      <c r="G2433" s="2010"/>
      <c r="H2433" s="1931"/>
      <c r="I2433" s="837"/>
      <c r="J2433" s="1059"/>
      <c r="K2433" s="943"/>
      <c r="L2433" s="891" t="n">
        <v>5658.672</v>
      </c>
      <c r="M2433" s="891" t="n">
        <v>60</v>
      </c>
      <c r="N2433" s="866" t="n">
        <f aca="false">M2433/H2432</f>
        <v>2</v>
      </c>
      <c r="O2433" s="942" t="s">
        <v>1634</v>
      </c>
      <c r="P2433" s="1934"/>
      <c r="Q2433" s="1934"/>
      <c r="R2433" s="1935"/>
    </row>
    <row r="2434" customFormat="false" ht="14.25" hidden="false" customHeight="false" outlineLevel="0" collapsed="false">
      <c r="A2434" s="882"/>
      <c r="B2434" s="830"/>
      <c r="C2434" s="1965"/>
      <c r="D2434" s="843" t="s">
        <v>10</v>
      </c>
      <c r="E2434" s="1357" t="s">
        <v>2619</v>
      </c>
      <c r="F2434" s="832"/>
      <c r="G2434" s="2010"/>
      <c r="H2434" s="1931"/>
      <c r="I2434" s="837"/>
      <c r="J2434" s="1059"/>
      <c r="K2434" s="943"/>
      <c r="L2434" s="846" t="n">
        <v>282933.6</v>
      </c>
      <c r="M2434" s="846" t="n">
        <v>3000</v>
      </c>
      <c r="N2434" s="846" t="n">
        <f aca="false">M2434/H2432</f>
        <v>100</v>
      </c>
      <c r="O2434" s="589" t="s">
        <v>3570</v>
      </c>
      <c r="P2434" s="1934"/>
      <c r="Q2434" s="1934"/>
      <c r="R2434" s="1935"/>
    </row>
    <row r="2435" customFormat="false" ht="14.25" hidden="false" customHeight="false" outlineLevel="0" collapsed="false">
      <c r="A2435" s="1060" t="n">
        <v>133</v>
      </c>
      <c r="B2435" s="1072" t="n">
        <v>2025</v>
      </c>
      <c r="C2435" s="1980" t="n">
        <v>46054</v>
      </c>
      <c r="D2435" s="848" t="s">
        <v>10</v>
      </c>
      <c r="E2435" s="1479" t="s">
        <v>2619</v>
      </c>
      <c r="F2435" s="887" t="s">
        <v>3364</v>
      </c>
      <c r="G2435" s="2017" t="n">
        <v>666</v>
      </c>
      <c r="H2435" s="1950" t="n">
        <v>30</v>
      </c>
      <c r="I2435" s="1067" t="n">
        <f aca="false">G2435*H2435</f>
        <v>19980</v>
      </c>
      <c r="J2435" s="1063" t="n">
        <v>94.3112</v>
      </c>
      <c r="K2435" s="1452" t="n">
        <f aca="false">I2435*J2435</f>
        <v>1884337.776</v>
      </c>
      <c r="L2435" s="854" t="n">
        <v>189565.512</v>
      </c>
      <c r="M2435" s="854" t="n">
        <v>2010</v>
      </c>
      <c r="N2435" s="854" t="n">
        <f aca="false">M2435/H2435</f>
        <v>67</v>
      </c>
      <c r="O2435" s="537" t="s">
        <v>3571</v>
      </c>
      <c r="P2435" s="1952" t="n">
        <f aca="false">K2435-L2435-L2440-L2439-L2436-L2437-L2438</f>
        <v>0</v>
      </c>
      <c r="Q2435" s="1953" t="n">
        <f aca="false">I2435-M2435-M2440-M2439-M2436-M2437-M2438</f>
        <v>0</v>
      </c>
      <c r="R2435" s="1954" t="n">
        <f aca="false">G2435-N2435-N2440-N2439-N2436-N2437-N2438</f>
        <v>0</v>
      </c>
    </row>
    <row r="2436" customFormat="false" ht="14.25" hidden="false" customHeight="false" outlineLevel="0" collapsed="false">
      <c r="A2436" s="1060"/>
      <c r="B2436" s="1072"/>
      <c r="C2436" s="1980"/>
      <c r="D2436" s="848" t="s">
        <v>10</v>
      </c>
      <c r="E2436" s="1479" t="s">
        <v>2619</v>
      </c>
      <c r="F2436" s="887"/>
      <c r="G2436" s="2017"/>
      <c r="H2436" s="1950"/>
      <c r="I2436" s="1067"/>
      <c r="J2436" s="1063"/>
      <c r="K2436" s="1452"/>
      <c r="L2436" s="854" t="n">
        <v>546061.848</v>
      </c>
      <c r="M2436" s="854" t="n">
        <v>5790</v>
      </c>
      <c r="N2436" s="854" t="n">
        <f aca="false">M2436/H2435</f>
        <v>193</v>
      </c>
      <c r="O2436" s="537" t="s">
        <v>1143</v>
      </c>
      <c r="P2436" s="1952"/>
      <c r="Q2436" s="1953"/>
      <c r="R2436" s="1954"/>
    </row>
    <row r="2437" customFormat="false" ht="14.25" hidden="false" customHeight="false" outlineLevel="0" collapsed="false">
      <c r="A2437" s="1060"/>
      <c r="B2437" s="1072"/>
      <c r="C2437" s="1980"/>
      <c r="D2437" s="848" t="s">
        <v>10</v>
      </c>
      <c r="E2437" s="1479" t="s">
        <v>2619</v>
      </c>
      <c r="F2437" s="887"/>
      <c r="G2437" s="2017"/>
      <c r="H2437" s="1950"/>
      <c r="I2437" s="1067"/>
      <c r="J2437" s="1063"/>
      <c r="K2437" s="1452"/>
      <c r="L2437" s="854" t="n">
        <v>195224.184</v>
      </c>
      <c r="M2437" s="854" t="n">
        <v>2070</v>
      </c>
      <c r="N2437" s="854" t="n">
        <f aca="false">M2437/H2435</f>
        <v>69</v>
      </c>
      <c r="O2437" s="537" t="s">
        <v>1144</v>
      </c>
      <c r="P2437" s="1952"/>
      <c r="Q2437" s="1953"/>
      <c r="R2437" s="1954"/>
    </row>
    <row r="2438" customFormat="false" ht="14.25" hidden="false" customHeight="false" outlineLevel="0" collapsed="false">
      <c r="A2438" s="1060"/>
      <c r="B2438" s="1072"/>
      <c r="C2438" s="1980"/>
      <c r="D2438" s="848" t="s">
        <v>10</v>
      </c>
      <c r="E2438" s="1479" t="s">
        <v>2619</v>
      </c>
      <c r="F2438" s="887"/>
      <c r="G2438" s="2017"/>
      <c r="H2438" s="1950"/>
      <c r="I2438" s="1067"/>
      <c r="J2438" s="1063"/>
      <c r="K2438" s="1452"/>
      <c r="L2438" s="854" t="n">
        <v>192394.848</v>
      </c>
      <c r="M2438" s="854" t="n">
        <v>2040</v>
      </c>
      <c r="N2438" s="854" t="n">
        <f aca="false">M2438/H2435</f>
        <v>68</v>
      </c>
      <c r="O2438" s="537" t="s">
        <v>1232</v>
      </c>
      <c r="P2438" s="1952"/>
      <c r="Q2438" s="1953"/>
      <c r="R2438" s="1954"/>
    </row>
    <row r="2439" customFormat="false" ht="14.25" hidden="false" customHeight="false" outlineLevel="0" collapsed="false">
      <c r="A2439" s="1060"/>
      <c r="B2439" s="1072"/>
      <c r="C2439" s="1980"/>
      <c r="D2439" s="860" t="s">
        <v>10</v>
      </c>
      <c r="E2439" s="1480" t="s">
        <v>2619</v>
      </c>
      <c r="F2439" s="887"/>
      <c r="G2439" s="2017"/>
      <c r="H2439" s="1950"/>
      <c r="I2439" s="1067"/>
      <c r="J2439" s="1063"/>
      <c r="K2439" s="1452"/>
      <c r="L2439" s="866" t="n">
        <v>495133.8</v>
      </c>
      <c r="M2439" s="866" t="n">
        <v>5250</v>
      </c>
      <c r="N2439" s="854" t="n">
        <f aca="false">M2439/H2435</f>
        <v>175</v>
      </c>
      <c r="O2439" s="543" t="s">
        <v>1140</v>
      </c>
      <c r="P2439" s="1952"/>
      <c r="Q2439" s="1953"/>
      <c r="R2439" s="1954"/>
    </row>
    <row r="2440" customFormat="false" ht="14.25" hidden="false" customHeight="false" outlineLevel="0" collapsed="false">
      <c r="A2440" s="1060"/>
      <c r="B2440" s="1072"/>
      <c r="C2440" s="1980"/>
      <c r="D2440" s="887" t="s">
        <v>10</v>
      </c>
      <c r="E2440" s="1501" t="s">
        <v>2619</v>
      </c>
      <c r="F2440" s="887"/>
      <c r="G2440" s="2017"/>
      <c r="H2440" s="1950"/>
      <c r="I2440" s="1067"/>
      <c r="J2440" s="1063"/>
      <c r="K2440" s="1452"/>
      <c r="L2440" s="890" t="n">
        <v>265957.584</v>
      </c>
      <c r="M2440" s="890" t="n">
        <v>2820</v>
      </c>
      <c r="N2440" s="890" t="n">
        <f aca="false">M2440/H2435</f>
        <v>94</v>
      </c>
      <c r="O2440" s="1067" t="s">
        <v>1061</v>
      </c>
      <c r="P2440" s="1952"/>
      <c r="Q2440" s="1953"/>
      <c r="R2440" s="1954"/>
    </row>
    <row r="2441" customFormat="false" ht="14.25" hidden="false" customHeight="false" outlineLevel="0" collapsed="false">
      <c r="A2441" s="829" t="n">
        <v>134</v>
      </c>
      <c r="B2441" s="830" t="n">
        <v>2025</v>
      </c>
      <c r="C2441" s="1965" t="n">
        <v>46054</v>
      </c>
      <c r="D2441" s="831" t="s">
        <v>10</v>
      </c>
      <c r="E2441" s="1365" t="s">
        <v>2619</v>
      </c>
      <c r="F2441" s="832" t="s">
        <v>3364</v>
      </c>
      <c r="G2441" s="2010" t="n">
        <v>137</v>
      </c>
      <c r="H2441" s="1931" t="n">
        <v>30</v>
      </c>
      <c r="I2441" s="837" t="n">
        <f aca="false">G2441*H2441</f>
        <v>4110</v>
      </c>
      <c r="J2441" s="1059" t="n">
        <v>96.6976</v>
      </c>
      <c r="K2441" s="943" t="n">
        <f aca="false">I2441*J2441</f>
        <v>397427.136</v>
      </c>
      <c r="L2441" s="840" t="n">
        <v>226272.384</v>
      </c>
      <c r="M2441" s="840" t="n">
        <v>2340</v>
      </c>
      <c r="N2441" s="886" t="n">
        <f aca="false">M2441/H2441</f>
        <v>78</v>
      </c>
      <c r="O2441" s="1114" t="s">
        <v>1051</v>
      </c>
      <c r="P2441" s="1948" t="n">
        <f aca="false">K2441-L2441-L2444-L2443-L2442</f>
        <v>0</v>
      </c>
      <c r="Q2441" s="1934" t="n">
        <f aca="false">I2441-M2441-M2444-M2443-M2442</f>
        <v>0</v>
      </c>
      <c r="R2441" s="1935" t="n">
        <f aca="false">G2441-N2441-N2444-N2443-N2442</f>
        <v>0</v>
      </c>
    </row>
    <row r="2442" customFormat="false" ht="14.25" hidden="false" customHeight="false" outlineLevel="0" collapsed="false">
      <c r="A2442" s="829"/>
      <c r="B2442" s="830"/>
      <c r="C2442" s="1965"/>
      <c r="D2442" s="848" t="s">
        <v>10</v>
      </c>
      <c r="E2442" s="1479" t="s">
        <v>2619</v>
      </c>
      <c r="F2442" s="832"/>
      <c r="G2442" s="2010"/>
      <c r="H2442" s="1931"/>
      <c r="I2442" s="837"/>
      <c r="J2442" s="1059"/>
      <c r="K2442" s="943"/>
      <c r="L2442" s="854" t="n">
        <v>92829.696</v>
      </c>
      <c r="M2442" s="854" t="n">
        <v>960</v>
      </c>
      <c r="N2442" s="866" t="n">
        <f aca="false">M2442/H2441</f>
        <v>32</v>
      </c>
      <c r="O2442" s="537" t="s">
        <v>1232</v>
      </c>
      <c r="P2442" s="1948"/>
      <c r="Q2442" s="1934"/>
      <c r="R2442" s="1935"/>
    </row>
    <row r="2443" customFormat="false" ht="14.25" hidden="false" customHeight="false" outlineLevel="0" collapsed="false">
      <c r="A2443" s="829"/>
      <c r="B2443" s="830"/>
      <c r="C2443" s="1965"/>
      <c r="D2443" s="860" t="s">
        <v>10</v>
      </c>
      <c r="E2443" s="1480" t="s">
        <v>2619</v>
      </c>
      <c r="F2443" s="832"/>
      <c r="G2443" s="2010"/>
      <c r="H2443" s="1931"/>
      <c r="I2443" s="837"/>
      <c r="J2443" s="1059"/>
      <c r="K2443" s="943"/>
      <c r="L2443" s="866" t="n">
        <v>5801.856</v>
      </c>
      <c r="M2443" s="866" t="n">
        <v>60</v>
      </c>
      <c r="N2443" s="866" t="n">
        <f aca="false">M2443/H2441</f>
        <v>2</v>
      </c>
      <c r="O2443" s="543" t="s">
        <v>1147</v>
      </c>
      <c r="P2443" s="1948"/>
      <c r="Q2443" s="1934"/>
      <c r="R2443" s="1935"/>
    </row>
    <row r="2444" customFormat="false" ht="14.25" hidden="false" customHeight="false" outlineLevel="0" collapsed="false">
      <c r="A2444" s="829"/>
      <c r="B2444" s="830"/>
      <c r="C2444" s="1965"/>
      <c r="D2444" s="887" t="s">
        <v>10</v>
      </c>
      <c r="E2444" s="1501" t="s">
        <v>2619</v>
      </c>
      <c r="F2444" s="832"/>
      <c r="G2444" s="2010"/>
      <c r="H2444" s="1931"/>
      <c r="I2444" s="837"/>
      <c r="J2444" s="1059"/>
      <c r="K2444" s="943"/>
      <c r="L2444" s="890" t="n">
        <v>72523.2</v>
      </c>
      <c r="M2444" s="890" t="n">
        <v>750</v>
      </c>
      <c r="N2444" s="890" t="n">
        <f aca="false">M2444/H2441</f>
        <v>25</v>
      </c>
      <c r="O2444" s="1067" t="s">
        <v>1144</v>
      </c>
      <c r="P2444" s="1948"/>
      <c r="Q2444" s="1934"/>
      <c r="R2444" s="1935"/>
    </row>
    <row r="2445" customFormat="false" ht="14.25" hidden="false" customHeight="false" outlineLevel="0" collapsed="false">
      <c r="A2445" s="1465" t="n">
        <v>139</v>
      </c>
      <c r="B2445" s="1546" t="n">
        <v>2025</v>
      </c>
      <c r="C2445" s="1975" t="n">
        <v>46054</v>
      </c>
      <c r="D2445" s="831" t="s">
        <v>10</v>
      </c>
      <c r="E2445" s="1365" t="s">
        <v>2619</v>
      </c>
      <c r="F2445" s="1328" t="s">
        <v>3364</v>
      </c>
      <c r="G2445" s="2011" t="n">
        <v>666</v>
      </c>
      <c r="H2445" s="1976" t="n">
        <v>30</v>
      </c>
      <c r="I2445" s="1036" t="n">
        <f aca="false">G2445*H2445</f>
        <v>19980</v>
      </c>
      <c r="J2445" s="1557" t="n">
        <v>94.9101</v>
      </c>
      <c r="K2445" s="1547" t="n">
        <f aca="false">I2445*J2445</f>
        <v>1896303.798</v>
      </c>
      <c r="L2445" s="840" t="n">
        <v>284730.3</v>
      </c>
      <c r="M2445" s="840" t="n">
        <v>3000</v>
      </c>
      <c r="N2445" s="886" t="n">
        <f aca="false">M2445/H2445</f>
        <v>100</v>
      </c>
      <c r="O2445" s="1114" t="s">
        <v>1142</v>
      </c>
      <c r="P2445" s="1978" t="n">
        <f aca="false">K2445-L2445-L2456-L2455-L2446-L2447-L2454-L2448-L2453-L2449-L2452-L2450-L2451</f>
        <v>-1.89174897968769E-010</v>
      </c>
      <c r="Q2445" s="1978" t="n">
        <f aca="false">I2445-M2445-M2456-M2455-M2446-M2447-M2454-M2448-M2453-M2449-M2452-M2450-M2451</f>
        <v>0</v>
      </c>
      <c r="R2445" s="1979" t="n">
        <f aca="false">G2445-N2445-N2456-N2455-N2446-N2447-N2454-N2448-N2453-N2449-N2452-N2450-N2451</f>
        <v>0</v>
      </c>
    </row>
    <row r="2446" customFormat="false" ht="14.25" hidden="false" customHeight="false" outlineLevel="0" collapsed="false">
      <c r="A2446" s="1465"/>
      <c r="B2446" s="1546"/>
      <c r="C2446" s="1975"/>
      <c r="D2446" s="848" t="s">
        <v>10</v>
      </c>
      <c r="E2446" s="1479" t="s">
        <v>2619</v>
      </c>
      <c r="F2446" s="1328"/>
      <c r="G2446" s="2011"/>
      <c r="H2446" s="1976"/>
      <c r="I2446" s="1036"/>
      <c r="J2446" s="1557"/>
      <c r="K2446" s="1547"/>
      <c r="L2446" s="854" t="n">
        <v>170838.18</v>
      </c>
      <c r="M2446" s="854" t="n">
        <v>1800</v>
      </c>
      <c r="N2446" s="866" t="n">
        <f aca="false">M2446/H2445</f>
        <v>60</v>
      </c>
      <c r="O2446" s="537" t="s">
        <v>1147</v>
      </c>
      <c r="P2446" s="1978"/>
      <c r="Q2446" s="1978"/>
      <c r="R2446" s="1979"/>
    </row>
    <row r="2447" customFormat="false" ht="14.25" hidden="false" customHeight="false" outlineLevel="0" collapsed="false">
      <c r="A2447" s="1465"/>
      <c r="B2447" s="1546"/>
      <c r="C2447" s="1975"/>
      <c r="D2447" s="848" t="s">
        <v>10</v>
      </c>
      <c r="E2447" s="1479" t="s">
        <v>2619</v>
      </c>
      <c r="F2447" s="1328"/>
      <c r="G2447" s="2011"/>
      <c r="H2447" s="1976"/>
      <c r="I2447" s="1036"/>
      <c r="J2447" s="1557"/>
      <c r="K2447" s="1547"/>
      <c r="L2447" s="854" t="n">
        <v>666268.902</v>
      </c>
      <c r="M2447" s="854" t="n">
        <v>7020</v>
      </c>
      <c r="N2447" s="866" t="n">
        <f aca="false">M2447/H2445</f>
        <v>234</v>
      </c>
      <c r="O2447" s="537" t="s">
        <v>1149</v>
      </c>
      <c r="P2447" s="1978"/>
      <c r="Q2447" s="1978"/>
      <c r="R2447" s="1979"/>
    </row>
    <row r="2448" customFormat="false" ht="14.25" hidden="false" customHeight="false" outlineLevel="0" collapsed="false">
      <c r="A2448" s="1465"/>
      <c r="B2448" s="1546"/>
      <c r="C2448" s="1975"/>
      <c r="D2448" s="848" t="s">
        <v>10</v>
      </c>
      <c r="E2448" s="1479" t="s">
        <v>2619</v>
      </c>
      <c r="F2448" s="1328"/>
      <c r="G2448" s="2011"/>
      <c r="H2448" s="1976"/>
      <c r="I2448" s="1036"/>
      <c r="J2448" s="1557"/>
      <c r="K2448" s="1547"/>
      <c r="L2448" s="854" t="n">
        <v>34167.636</v>
      </c>
      <c r="M2448" s="854" t="n">
        <v>360</v>
      </c>
      <c r="N2448" s="866" t="n">
        <f aca="false">M2448/H2445</f>
        <v>12</v>
      </c>
      <c r="O2448" s="537" t="s">
        <v>1131</v>
      </c>
      <c r="P2448" s="1978"/>
      <c r="Q2448" s="1978"/>
      <c r="R2448" s="1979"/>
    </row>
    <row r="2449" customFormat="false" ht="14.25" hidden="false" customHeight="false" outlineLevel="0" collapsed="false">
      <c r="A2449" s="1465"/>
      <c r="B2449" s="1546"/>
      <c r="C2449" s="1975"/>
      <c r="D2449" s="848" t="s">
        <v>10</v>
      </c>
      <c r="E2449" s="1479" t="s">
        <v>2619</v>
      </c>
      <c r="F2449" s="1328"/>
      <c r="G2449" s="2011"/>
      <c r="H2449" s="1976"/>
      <c r="I2449" s="1036"/>
      <c r="J2449" s="1557"/>
      <c r="K2449" s="1547"/>
      <c r="L2449" s="854" t="n">
        <v>119586.726</v>
      </c>
      <c r="M2449" s="854" t="n">
        <v>1260</v>
      </c>
      <c r="N2449" s="866" t="n">
        <f aca="false">M2449/H2445</f>
        <v>42</v>
      </c>
      <c r="O2449" s="537" t="s">
        <v>1159</v>
      </c>
      <c r="P2449" s="1978"/>
      <c r="Q2449" s="1978"/>
      <c r="R2449" s="1979"/>
    </row>
    <row r="2450" customFormat="false" ht="14.25" hidden="false" customHeight="false" outlineLevel="0" collapsed="false">
      <c r="A2450" s="1465"/>
      <c r="B2450" s="1546"/>
      <c r="C2450" s="1975"/>
      <c r="D2450" s="848" t="s">
        <v>10</v>
      </c>
      <c r="E2450" s="1479" t="s">
        <v>2619</v>
      </c>
      <c r="F2450" s="1328"/>
      <c r="G2450" s="2011"/>
      <c r="H2450" s="1976"/>
      <c r="I2450" s="1036"/>
      <c r="J2450" s="1557"/>
      <c r="K2450" s="1547"/>
      <c r="L2450" s="854" t="n">
        <v>19931.121</v>
      </c>
      <c r="M2450" s="854" t="n">
        <v>210</v>
      </c>
      <c r="N2450" s="866" t="n">
        <f aca="false">M2450/H2445</f>
        <v>7</v>
      </c>
      <c r="O2450" s="537" t="s">
        <v>1149</v>
      </c>
      <c r="P2450" s="1978"/>
      <c r="Q2450" s="1978"/>
      <c r="R2450" s="1979"/>
    </row>
    <row r="2451" customFormat="false" ht="14.25" hidden="false" customHeight="false" outlineLevel="0" collapsed="false">
      <c r="A2451" s="1465"/>
      <c r="B2451" s="1546"/>
      <c r="C2451" s="1975"/>
      <c r="D2451" s="848" t="s">
        <v>10</v>
      </c>
      <c r="E2451" s="1479" t="s">
        <v>2619</v>
      </c>
      <c r="F2451" s="1328"/>
      <c r="G2451" s="2011"/>
      <c r="H2451" s="1976"/>
      <c r="I2451" s="1036"/>
      <c r="J2451" s="1557"/>
      <c r="K2451" s="1547"/>
      <c r="L2451" s="854" t="n">
        <v>17083.818</v>
      </c>
      <c r="M2451" s="854" t="n">
        <v>180</v>
      </c>
      <c r="N2451" s="866" t="n">
        <f aca="false">M2451/H2445</f>
        <v>6</v>
      </c>
      <c r="O2451" s="537" t="s">
        <v>1224</v>
      </c>
      <c r="P2451" s="1978"/>
      <c r="Q2451" s="1978"/>
      <c r="R2451" s="1979"/>
    </row>
    <row r="2452" customFormat="false" ht="14.25" hidden="false" customHeight="false" outlineLevel="0" collapsed="false">
      <c r="A2452" s="1465"/>
      <c r="B2452" s="1546"/>
      <c r="C2452" s="1975"/>
      <c r="D2452" s="848" t="s">
        <v>10</v>
      </c>
      <c r="E2452" s="1479" t="s">
        <v>2619</v>
      </c>
      <c r="F2452" s="1328"/>
      <c r="G2452" s="2011"/>
      <c r="H2452" s="1976"/>
      <c r="I2452" s="1036"/>
      <c r="J2452" s="1557"/>
      <c r="K2452" s="1547"/>
      <c r="L2452" s="854" t="n">
        <v>11389.212</v>
      </c>
      <c r="M2452" s="854" t="n">
        <v>120</v>
      </c>
      <c r="N2452" s="866" t="n">
        <f aca="false">M2452/H2445</f>
        <v>4</v>
      </c>
      <c r="O2452" s="537" t="s">
        <v>1161</v>
      </c>
      <c r="P2452" s="1978"/>
      <c r="Q2452" s="1978"/>
      <c r="R2452" s="1979"/>
    </row>
    <row r="2453" customFormat="false" ht="14.25" hidden="false" customHeight="false" outlineLevel="0" collapsed="false">
      <c r="A2453" s="1465"/>
      <c r="B2453" s="1546"/>
      <c r="C2453" s="1975"/>
      <c r="D2453" s="848" t="s">
        <v>10</v>
      </c>
      <c r="E2453" s="1479" t="s">
        <v>2619</v>
      </c>
      <c r="F2453" s="1328"/>
      <c r="G2453" s="2011"/>
      <c r="H2453" s="1976"/>
      <c r="I2453" s="1036"/>
      <c r="J2453" s="1557"/>
      <c r="K2453" s="1547"/>
      <c r="L2453" s="854" t="n">
        <v>116739.423</v>
      </c>
      <c r="M2453" s="854" t="n">
        <v>1230</v>
      </c>
      <c r="N2453" s="866" t="n">
        <f aca="false">M2453/H2445</f>
        <v>41</v>
      </c>
      <c r="O2453" s="537" t="s">
        <v>1147</v>
      </c>
      <c r="P2453" s="1978"/>
      <c r="Q2453" s="1978"/>
      <c r="R2453" s="1979"/>
    </row>
    <row r="2454" customFormat="false" ht="14.25" hidden="false" customHeight="false" outlineLevel="0" collapsed="false">
      <c r="A2454" s="1465"/>
      <c r="B2454" s="1546"/>
      <c r="C2454" s="1975"/>
      <c r="D2454" s="848" t="s">
        <v>10</v>
      </c>
      <c r="E2454" s="1479" t="s">
        <v>2619</v>
      </c>
      <c r="F2454" s="1328"/>
      <c r="G2454" s="2011"/>
      <c r="H2454" s="1976"/>
      <c r="I2454" s="1036"/>
      <c r="J2454" s="1557"/>
      <c r="K2454" s="1547"/>
      <c r="L2454" s="854" t="n">
        <v>367302.087</v>
      </c>
      <c r="M2454" s="854" t="n">
        <v>3870</v>
      </c>
      <c r="N2454" s="866" t="n">
        <f aca="false">M2454/H2445</f>
        <v>129</v>
      </c>
      <c r="O2454" s="537" t="s">
        <v>1153</v>
      </c>
      <c r="P2454" s="1978"/>
      <c r="Q2454" s="1978"/>
      <c r="R2454" s="1979"/>
    </row>
    <row r="2455" customFormat="false" ht="14.25" hidden="false" customHeight="false" outlineLevel="0" collapsed="false">
      <c r="A2455" s="1465"/>
      <c r="B2455" s="1546"/>
      <c r="C2455" s="1975"/>
      <c r="D2455" s="860" t="s">
        <v>10</v>
      </c>
      <c r="E2455" s="1480" t="s">
        <v>2619</v>
      </c>
      <c r="F2455" s="1328"/>
      <c r="G2455" s="2011"/>
      <c r="H2455" s="1976"/>
      <c r="I2455" s="1036"/>
      <c r="J2455" s="1557"/>
      <c r="K2455" s="1547"/>
      <c r="L2455" s="866" t="n">
        <v>48404.151</v>
      </c>
      <c r="M2455" s="866" t="n">
        <v>510</v>
      </c>
      <c r="N2455" s="866" t="n">
        <f aca="false">M2455/H2445</f>
        <v>17</v>
      </c>
      <c r="O2455" s="543" t="s">
        <v>1147</v>
      </c>
      <c r="P2455" s="1978"/>
      <c r="Q2455" s="1978"/>
      <c r="R2455" s="1979"/>
    </row>
    <row r="2456" customFormat="false" ht="14.25" hidden="false" customHeight="false" outlineLevel="0" collapsed="false">
      <c r="A2456" s="1465"/>
      <c r="B2456" s="1546"/>
      <c r="C2456" s="1975"/>
      <c r="D2456" s="904" t="s">
        <v>10</v>
      </c>
      <c r="E2456" s="1351" t="s">
        <v>2619</v>
      </c>
      <c r="F2456" s="1328"/>
      <c r="G2456" s="2011"/>
      <c r="H2456" s="1976"/>
      <c r="I2456" s="1036"/>
      <c r="J2456" s="1557"/>
      <c r="K2456" s="1547"/>
      <c r="L2456" s="891" t="n">
        <v>39862.242</v>
      </c>
      <c r="M2456" s="891" t="n">
        <v>420</v>
      </c>
      <c r="N2456" s="891" t="n">
        <f aca="false">M2456/H2445</f>
        <v>14</v>
      </c>
      <c r="O2456" s="942" t="s">
        <v>1147</v>
      </c>
      <c r="P2456" s="1978"/>
      <c r="Q2456" s="1978"/>
      <c r="R2456" s="1979"/>
    </row>
    <row r="2457" customFormat="false" ht="14.25" hidden="false" customHeight="false" outlineLevel="0" collapsed="false">
      <c r="A2457" s="829" t="n">
        <v>140</v>
      </c>
      <c r="B2457" s="830" t="n">
        <v>2025</v>
      </c>
      <c r="C2457" s="1965" t="n">
        <v>46054</v>
      </c>
      <c r="D2457" s="831" t="s">
        <v>10</v>
      </c>
      <c r="E2457" s="1365" t="s">
        <v>2619</v>
      </c>
      <c r="F2457" s="832" t="s">
        <v>3364</v>
      </c>
      <c r="G2457" s="2010" t="n">
        <v>114</v>
      </c>
      <c r="H2457" s="1931" t="n">
        <v>30</v>
      </c>
      <c r="I2457" s="837" t="n">
        <f aca="false">G2457*H2457</f>
        <v>3420</v>
      </c>
      <c r="J2457" s="1059" t="n">
        <v>94.9101</v>
      </c>
      <c r="K2457" s="943" t="n">
        <f aca="false">I2457*J2457</f>
        <v>324592.542</v>
      </c>
      <c r="L2457" s="840" t="n">
        <v>108197.514</v>
      </c>
      <c r="M2457" s="840" t="n">
        <v>1140</v>
      </c>
      <c r="N2457" s="840" t="n">
        <f aca="false">M2457/H2457</f>
        <v>38</v>
      </c>
      <c r="O2457" s="1114" t="s">
        <v>1153</v>
      </c>
      <c r="P2457" s="1948" t="n">
        <f aca="false">K2457-L2457-L2458</f>
        <v>0</v>
      </c>
      <c r="Q2457" s="1934" t="n">
        <f aca="false">I2457-M2457-M2458</f>
        <v>0</v>
      </c>
      <c r="R2457" s="1935" t="n">
        <f aca="false">G2457-N2457-N2458</f>
        <v>0</v>
      </c>
    </row>
    <row r="2458" customFormat="false" ht="14.25" hidden="false" customHeight="false" outlineLevel="0" collapsed="false">
      <c r="A2458" s="829"/>
      <c r="B2458" s="830"/>
      <c r="C2458" s="1965"/>
      <c r="D2458" s="843" t="s">
        <v>10</v>
      </c>
      <c r="E2458" s="1357" t="s">
        <v>2619</v>
      </c>
      <c r="F2458" s="832"/>
      <c r="G2458" s="2010"/>
      <c r="H2458" s="1931"/>
      <c r="I2458" s="837"/>
      <c r="J2458" s="1059"/>
      <c r="K2458" s="943"/>
      <c r="L2458" s="846" t="n">
        <v>216395.028</v>
      </c>
      <c r="M2458" s="846" t="n">
        <v>2280</v>
      </c>
      <c r="N2458" s="846" t="n">
        <f aca="false">M2458/H2457</f>
        <v>76</v>
      </c>
      <c r="O2458" s="589" t="s">
        <v>1264</v>
      </c>
      <c r="P2458" s="1948"/>
      <c r="Q2458" s="1934"/>
      <c r="R2458" s="1935"/>
    </row>
    <row r="2459" customFormat="false" ht="14.25" hidden="false" customHeight="false" outlineLevel="0" collapsed="false">
      <c r="A2459" s="1344" t="n">
        <v>141</v>
      </c>
      <c r="B2459" s="903" t="n">
        <v>2025</v>
      </c>
      <c r="C2459" s="1974" t="n">
        <v>46054</v>
      </c>
      <c r="D2459" s="848" t="s">
        <v>10</v>
      </c>
      <c r="E2459" s="1479" t="s">
        <v>2619</v>
      </c>
      <c r="F2459" s="904" t="s">
        <v>3364</v>
      </c>
      <c r="G2459" s="2012" t="n">
        <v>666</v>
      </c>
      <c r="H2459" s="1940" t="n">
        <v>30</v>
      </c>
      <c r="I2459" s="942" t="n">
        <f aca="false">G2459*H2459</f>
        <v>19980</v>
      </c>
      <c r="J2459" s="1406" t="n">
        <v>94.8722</v>
      </c>
      <c r="K2459" s="948" t="n">
        <f aca="false">I2459*J2459</f>
        <v>1895546.556</v>
      </c>
      <c r="L2459" s="854" t="n">
        <v>1044542.922</v>
      </c>
      <c r="M2459" s="854" t="n">
        <v>11010</v>
      </c>
      <c r="N2459" s="891" t="n">
        <f aca="false">M2459/H2459</f>
        <v>367</v>
      </c>
      <c r="O2459" s="537" t="s">
        <v>1154</v>
      </c>
      <c r="P2459" s="2009" t="n">
        <f aca="false">K2459-L2459-L2462-L2460-L2461</f>
        <v>0</v>
      </c>
      <c r="Q2459" s="2000" t="n">
        <f aca="false">I2459-M2459-M2462-M2460-M2461</f>
        <v>0</v>
      </c>
      <c r="R2459" s="2005" t="n">
        <f aca="false">G2459-N2459-N2462-N2460-N2461</f>
        <v>0</v>
      </c>
    </row>
    <row r="2460" customFormat="false" ht="14.25" hidden="false" customHeight="false" outlineLevel="0" collapsed="false">
      <c r="A2460" s="1344"/>
      <c r="B2460" s="903"/>
      <c r="C2460" s="1974"/>
      <c r="D2460" s="860" t="s">
        <v>10</v>
      </c>
      <c r="E2460" s="1480" t="s">
        <v>2619</v>
      </c>
      <c r="F2460" s="904"/>
      <c r="G2460" s="2012"/>
      <c r="H2460" s="1940"/>
      <c r="I2460" s="942"/>
      <c r="J2460" s="1406"/>
      <c r="K2460" s="948"/>
      <c r="L2460" s="866" t="n">
        <v>230539.446</v>
      </c>
      <c r="M2460" s="866" t="n">
        <v>2430</v>
      </c>
      <c r="N2460" s="866" t="n">
        <f aca="false">M2460/H2459</f>
        <v>81</v>
      </c>
      <c r="O2460" s="543" t="s">
        <v>1061</v>
      </c>
      <c r="P2460" s="2009"/>
      <c r="Q2460" s="2000"/>
      <c r="R2460" s="2005"/>
    </row>
    <row r="2461" customFormat="false" ht="14.25" hidden="false" customHeight="false" outlineLevel="0" collapsed="false">
      <c r="A2461" s="1344"/>
      <c r="B2461" s="903"/>
      <c r="C2461" s="1974"/>
      <c r="D2461" s="860" t="s">
        <v>10</v>
      </c>
      <c r="E2461" s="1480" t="s">
        <v>2619</v>
      </c>
      <c r="F2461" s="904"/>
      <c r="G2461" s="2012"/>
      <c r="H2461" s="1940"/>
      <c r="I2461" s="942"/>
      <c r="J2461" s="1406"/>
      <c r="K2461" s="948"/>
      <c r="L2461" s="866" t="n">
        <v>478155.888</v>
      </c>
      <c r="M2461" s="866" t="n">
        <v>5040</v>
      </c>
      <c r="N2461" s="866" t="n">
        <f aca="false">M2461/H2459</f>
        <v>168</v>
      </c>
      <c r="O2461" s="543" t="s">
        <v>1061</v>
      </c>
      <c r="P2461" s="2009"/>
      <c r="Q2461" s="2000"/>
      <c r="R2461" s="2005"/>
    </row>
    <row r="2462" customFormat="false" ht="14.25" hidden="false" customHeight="false" outlineLevel="0" collapsed="false">
      <c r="A2462" s="1344"/>
      <c r="B2462" s="903"/>
      <c r="C2462" s="1974"/>
      <c r="D2462" s="904" t="s">
        <v>10</v>
      </c>
      <c r="E2462" s="1351" t="s">
        <v>2619</v>
      </c>
      <c r="F2462" s="904"/>
      <c r="G2462" s="2012"/>
      <c r="H2462" s="1940"/>
      <c r="I2462" s="942"/>
      <c r="J2462" s="1406"/>
      <c r="K2462" s="948"/>
      <c r="L2462" s="891" t="n">
        <v>142308.3</v>
      </c>
      <c r="M2462" s="891" t="n">
        <v>1500</v>
      </c>
      <c r="N2462" s="891" t="n">
        <f aca="false">M2462/H2459</f>
        <v>50</v>
      </c>
      <c r="O2462" s="942" t="s">
        <v>1131</v>
      </c>
      <c r="P2462" s="2009"/>
      <c r="Q2462" s="2000"/>
      <c r="R2462" s="2005"/>
    </row>
    <row r="2463" customFormat="false" ht="14.25" hidden="false" customHeight="false" outlineLevel="0" collapsed="false">
      <c r="A2463" s="882" t="n">
        <v>142</v>
      </c>
      <c r="B2463" s="830" t="n">
        <v>2025</v>
      </c>
      <c r="C2463" s="1965" t="n">
        <v>46054</v>
      </c>
      <c r="D2463" s="831" t="s">
        <v>10</v>
      </c>
      <c r="E2463" s="1365" t="s">
        <v>2619</v>
      </c>
      <c r="F2463" s="832" t="s">
        <v>3364</v>
      </c>
      <c r="G2463" s="2010" t="n">
        <v>137</v>
      </c>
      <c r="H2463" s="1931" t="n">
        <v>30</v>
      </c>
      <c r="I2463" s="837" t="n">
        <f aca="false">G2463*H2463</f>
        <v>4110</v>
      </c>
      <c r="J2463" s="1059" t="n">
        <v>84.7725</v>
      </c>
      <c r="K2463" s="943" t="n">
        <f aca="false">I2463*J2463</f>
        <v>348414.975</v>
      </c>
      <c r="L2463" s="840" t="n">
        <v>68665.725</v>
      </c>
      <c r="M2463" s="840" t="n">
        <v>810</v>
      </c>
      <c r="N2463" s="886" t="n">
        <f aca="false">M2463/H2463</f>
        <v>27</v>
      </c>
      <c r="O2463" s="1114" t="s">
        <v>1051</v>
      </c>
      <c r="P2463" s="1948" t="n">
        <f aca="false">K2463-L2463-L2465-L2464</f>
        <v>0</v>
      </c>
      <c r="Q2463" s="1934" t="n">
        <f aca="false">I2463-M2463-M2465-M2464</f>
        <v>0</v>
      </c>
      <c r="R2463" s="1935" t="n">
        <f aca="false">G2463-N2463-N2465-N2464</f>
        <v>0</v>
      </c>
    </row>
    <row r="2464" customFormat="false" ht="14.25" hidden="false" customHeight="false" outlineLevel="0" collapsed="false">
      <c r="A2464" s="882"/>
      <c r="B2464" s="830"/>
      <c r="C2464" s="1965"/>
      <c r="D2464" s="904" t="s">
        <v>10</v>
      </c>
      <c r="E2464" s="1351" t="s">
        <v>2619</v>
      </c>
      <c r="F2464" s="832"/>
      <c r="G2464" s="2010"/>
      <c r="H2464" s="1931"/>
      <c r="I2464" s="837"/>
      <c r="J2464" s="1059"/>
      <c r="K2464" s="943"/>
      <c r="L2464" s="891" t="n">
        <v>58493.025</v>
      </c>
      <c r="M2464" s="891" t="n">
        <v>690</v>
      </c>
      <c r="N2464" s="866" t="n">
        <f aca="false">M2464/H2463</f>
        <v>23</v>
      </c>
      <c r="O2464" s="942" t="s">
        <v>3572</v>
      </c>
      <c r="P2464" s="1948"/>
      <c r="Q2464" s="1934"/>
      <c r="R2464" s="1935"/>
    </row>
    <row r="2465" customFormat="false" ht="14.25" hidden="false" customHeight="false" outlineLevel="0" collapsed="false">
      <c r="A2465" s="882"/>
      <c r="B2465" s="830"/>
      <c r="C2465" s="1965"/>
      <c r="D2465" s="843" t="s">
        <v>10</v>
      </c>
      <c r="E2465" s="1357" t="s">
        <v>2619</v>
      </c>
      <c r="F2465" s="832"/>
      <c r="G2465" s="2010"/>
      <c r="H2465" s="1931"/>
      <c r="I2465" s="837"/>
      <c r="J2465" s="1059"/>
      <c r="K2465" s="943"/>
      <c r="L2465" s="846" t="n">
        <v>221256.225</v>
      </c>
      <c r="M2465" s="846" t="n">
        <v>2610</v>
      </c>
      <c r="N2465" s="846" t="n">
        <f aca="false">M2465/H2463</f>
        <v>87</v>
      </c>
      <c r="O2465" s="589" t="s">
        <v>1061</v>
      </c>
      <c r="P2465" s="1948"/>
      <c r="Q2465" s="1934"/>
      <c r="R2465" s="1935"/>
    </row>
    <row r="2466" customFormat="false" ht="14.25" hidden="false" customHeight="false" outlineLevel="0" collapsed="false">
      <c r="A2466" s="1087" t="n">
        <v>144</v>
      </c>
      <c r="B2466" s="1072" t="n">
        <v>2025</v>
      </c>
      <c r="C2466" s="1980" t="n">
        <v>46054</v>
      </c>
      <c r="D2466" s="848" t="s">
        <v>10</v>
      </c>
      <c r="E2466" s="1479" t="s">
        <v>2619</v>
      </c>
      <c r="F2466" s="887" t="s">
        <v>3364</v>
      </c>
      <c r="G2466" s="2017" t="n">
        <v>666</v>
      </c>
      <c r="H2466" s="1950" t="n">
        <v>30</v>
      </c>
      <c r="I2466" s="1067" t="n">
        <f aca="false">G2466*H2466</f>
        <v>19980</v>
      </c>
      <c r="J2466" s="1063" t="n">
        <v>96.0098</v>
      </c>
      <c r="K2466" s="1452" t="n">
        <f aca="false">I2466*J2466</f>
        <v>1918275.804</v>
      </c>
      <c r="L2466" s="854" t="n">
        <v>498290.862</v>
      </c>
      <c r="M2466" s="854" t="n">
        <v>5190</v>
      </c>
      <c r="N2466" s="891" t="n">
        <f aca="false">M2466/H2466</f>
        <v>173</v>
      </c>
      <c r="O2466" s="537" t="s">
        <v>1142</v>
      </c>
      <c r="P2466" s="1952" t="n">
        <f aca="false">K2466-L2466-L2472-L2471-L2467-L2468-L2470-L2469</f>
        <v>0</v>
      </c>
      <c r="Q2466" s="1953" t="n">
        <f aca="false">I2466-M2466-M2472-M2471-M2467-M2468-M2470-M2469</f>
        <v>0</v>
      </c>
      <c r="R2466" s="1954" t="n">
        <f aca="false">G2466-N2466-N2472-N2471-N2467-N2468-N2470-N2469</f>
        <v>0</v>
      </c>
    </row>
    <row r="2467" customFormat="false" ht="14.25" hidden="false" customHeight="false" outlineLevel="0" collapsed="false">
      <c r="A2467" s="1087"/>
      <c r="B2467" s="1072"/>
      <c r="C2467" s="1980"/>
      <c r="D2467" s="848" t="s">
        <v>10</v>
      </c>
      <c r="E2467" s="1479" t="s">
        <v>2619</v>
      </c>
      <c r="F2467" s="887"/>
      <c r="G2467" s="2017"/>
      <c r="H2467" s="1950"/>
      <c r="I2467" s="1067"/>
      <c r="J2467" s="1063"/>
      <c r="K2467" s="1452"/>
      <c r="L2467" s="854" t="n">
        <v>385959.396</v>
      </c>
      <c r="M2467" s="854" t="n">
        <v>4020</v>
      </c>
      <c r="N2467" s="866" t="n">
        <f aca="false">M2467/H2466</f>
        <v>134</v>
      </c>
      <c r="O2467" s="537" t="s">
        <v>1158</v>
      </c>
      <c r="P2467" s="1952"/>
      <c r="Q2467" s="1953"/>
      <c r="R2467" s="1954"/>
    </row>
    <row r="2468" customFormat="false" ht="14.25" hidden="false" customHeight="false" outlineLevel="0" collapsed="false">
      <c r="A2468" s="1087"/>
      <c r="B2468" s="1072"/>
      <c r="C2468" s="1980"/>
      <c r="D2468" s="848" t="s">
        <v>10</v>
      </c>
      <c r="E2468" s="1479" t="s">
        <v>2619</v>
      </c>
      <c r="F2468" s="887"/>
      <c r="G2468" s="2017"/>
      <c r="H2468" s="1950"/>
      <c r="I2468" s="1067"/>
      <c r="J2468" s="1063"/>
      <c r="K2468" s="1452"/>
      <c r="L2468" s="854" t="n">
        <v>118092.054</v>
      </c>
      <c r="M2468" s="854" t="n">
        <v>1230</v>
      </c>
      <c r="N2468" s="866" t="n">
        <f aca="false">M2468/H2466</f>
        <v>41</v>
      </c>
      <c r="O2468" s="537" t="s">
        <v>1224</v>
      </c>
      <c r="P2468" s="1952"/>
      <c r="Q2468" s="1953"/>
      <c r="R2468" s="1954"/>
    </row>
    <row r="2469" customFormat="false" ht="14.25" hidden="false" customHeight="false" outlineLevel="0" collapsed="false">
      <c r="A2469" s="1087"/>
      <c r="B2469" s="1072"/>
      <c r="C2469" s="1980"/>
      <c r="D2469" s="848" t="s">
        <v>10</v>
      </c>
      <c r="E2469" s="1479" t="s">
        <v>2619</v>
      </c>
      <c r="F2469" s="887"/>
      <c r="G2469" s="2017"/>
      <c r="H2469" s="1950"/>
      <c r="I2469" s="1067"/>
      <c r="J2469" s="1063"/>
      <c r="K2469" s="1452"/>
      <c r="L2469" s="854" t="n">
        <v>538614.978</v>
      </c>
      <c r="M2469" s="854" t="n">
        <v>5610</v>
      </c>
      <c r="N2469" s="866" t="n">
        <f aca="false">M2469/H2466</f>
        <v>187</v>
      </c>
      <c r="O2469" s="537" t="s">
        <v>1241</v>
      </c>
      <c r="P2469" s="1952"/>
      <c r="Q2469" s="1953"/>
      <c r="R2469" s="1954"/>
    </row>
    <row r="2470" customFormat="false" ht="14.25" hidden="false" customHeight="false" outlineLevel="0" collapsed="false">
      <c r="A2470" s="1087"/>
      <c r="B2470" s="1072"/>
      <c r="C2470" s="1980"/>
      <c r="D2470" s="848" t="s">
        <v>10</v>
      </c>
      <c r="E2470" s="1479" t="s">
        <v>2619</v>
      </c>
      <c r="F2470" s="887"/>
      <c r="G2470" s="2017"/>
      <c r="H2470" s="1950"/>
      <c r="I2470" s="1067"/>
      <c r="J2470" s="1063"/>
      <c r="K2470" s="1452"/>
      <c r="L2470" s="854" t="n">
        <v>28802.94</v>
      </c>
      <c r="M2470" s="854" t="n">
        <v>300</v>
      </c>
      <c r="N2470" s="866" t="n">
        <f aca="false">M2470/H2466</f>
        <v>10</v>
      </c>
      <c r="O2470" s="537" t="s">
        <v>1240</v>
      </c>
      <c r="P2470" s="1952"/>
      <c r="Q2470" s="1953"/>
      <c r="R2470" s="1954"/>
    </row>
    <row r="2471" customFormat="false" ht="14.25" hidden="false" customHeight="false" outlineLevel="0" collapsed="false">
      <c r="A2471" s="1087"/>
      <c r="B2471" s="1072"/>
      <c r="C2471" s="1980"/>
      <c r="D2471" s="860" t="s">
        <v>10</v>
      </c>
      <c r="E2471" s="1480" t="s">
        <v>2619</v>
      </c>
      <c r="F2471" s="887"/>
      <c r="G2471" s="2017"/>
      <c r="H2471" s="1950"/>
      <c r="I2471" s="1067"/>
      <c r="J2471" s="1063"/>
      <c r="K2471" s="1452"/>
      <c r="L2471" s="866" t="n">
        <v>288029.4</v>
      </c>
      <c r="M2471" s="866" t="n">
        <v>3000</v>
      </c>
      <c r="N2471" s="866" t="n">
        <f aca="false">M2471/H2466</f>
        <v>100</v>
      </c>
      <c r="O2471" s="543" t="s">
        <v>1157</v>
      </c>
      <c r="P2471" s="1952"/>
      <c r="Q2471" s="1953"/>
      <c r="R2471" s="1954"/>
    </row>
    <row r="2472" customFormat="false" ht="14.25" hidden="false" customHeight="false" outlineLevel="0" collapsed="false">
      <c r="A2472" s="1087"/>
      <c r="B2472" s="1072"/>
      <c r="C2472" s="1980"/>
      <c r="D2472" s="887" t="s">
        <v>10</v>
      </c>
      <c r="E2472" s="1501" t="s">
        <v>2619</v>
      </c>
      <c r="F2472" s="887"/>
      <c r="G2472" s="2017"/>
      <c r="H2472" s="1950"/>
      <c r="I2472" s="1067"/>
      <c r="J2472" s="1063"/>
      <c r="K2472" s="1452"/>
      <c r="L2472" s="890" t="n">
        <v>60486.174</v>
      </c>
      <c r="M2472" s="890" t="n">
        <v>630</v>
      </c>
      <c r="N2472" s="890" t="n">
        <f aca="false">M2472/H2466</f>
        <v>21</v>
      </c>
      <c r="O2472" s="1067" t="s">
        <v>1051</v>
      </c>
      <c r="P2472" s="1952"/>
      <c r="Q2472" s="1953"/>
      <c r="R2472" s="1954"/>
    </row>
    <row r="2473" customFormat="false" ht="14.25" hidden="false" customHeight="false" outlineLevel="0" collapsed="false">
      <c r="A2473" s="903" t="n">
        <v>145</v>
      </c>
      <c r="B2473" s="903" t="n">
        <v>2025</v>
      </c>
      <c r="C2473" s="1974" t="n">
        <v>46054</v>
      </c>
      <c r="D2473" s="904" t="s">
        <v>10</v>
      </c>
      <c r="E2473" s="1351" t="s">
        <v>2619</v>
      </c>
      <c r="F2473" s="904" t="s">
        <v>3364</v>
      </c>
      <c r="G2473" s="2012" t="n">
        <v>48</v>
      </c>
      <c r="H2473" s="1940" t="n">
        <v>30</v>
      </c>
      <c r="I2473" s="1355" t="n">
        <f aca="false">G2473*H2473</f>
        <v>1440</v>
      </c>
      <c r="J2473" s="1406" t="n">
        <v>96.0098</v>
      </c>
      <c r="K2473" s="1138" t="n">
        <f aca="false">I2473*J2473</f>
        <v>138254.112</v>
      </c>
      <c r="L2473" s="891" t="n">
        <v>138254.112</v>
      </c>
      <c r="M2473" s="891" t="n">
        <v>1440</v>
      </c>
      <c r="N2473" s="891" t="n">
        <f aca="false">M2473/H2473</f>
        <v>48</v>
      </c>
      <c r="O2473" s="942" t="s">
        <v>1142</v>
      </c>
      <c r="P2473" s="1947" t="n">
        <f aca="false">K2473-L2473</f>
        <v>0</v>
      </c>
      <c r="Q2473" s="1945" t="n">
        <f aca="false">I2473-M2473</f>
        <v>0</v>
      </c>
      <c r="R2473" s="1945" t="n">
        <f aca="false">G2473-N2473</f>
        <v>0</v>
      </c>
    </row>
    <row r="2474" customFormat="false" ht="14.25" hidden="false" customHeight="false" outlineLevel="0" collapsed="false">
      <c r="A2474" s="882" t="n">
        <v>165</v>
      </c>
      <c r="B2474" s="830" t="n">
        <v>2025</v>
      </c>
      <c r="C2474" s="1965" t="n">
        <v>46054</v>
      </c>
      <c r="D2474" s="831" t="s">
        <v>10</v>
      </c>
      <c r="E2474" s="1365" t="s">
        <v>1652</v>
      </c>
      <c r="F2474" s="832" t="s">
        <v>3364</v>
      </c>
      <c r="G2474" s="2010" t="n">
        <v>666</v>
      </c>
      <c r="H2474" s="1931" t="n">
        <v>15</v>
      </c>
      <c r="I2474" s="837" t="n">
        <f aca="false">G2474*H2474</f>
        <v>9990</v>
      </c>
      <c r="J2474" s="1059" t="n">
        <v>38.6772</v>
      </c>
      <c r="K2474" s="943" t="n">
        <f aca="false">I2474*J2474</f>
        <v>386385.228</v>
      </c>
      <c r="L2474" s="840" t="n">
        <v>283697.262</v>
      </c>
      <c r="M2474" s="840" t="n">
        <v>7335</v>
      </c>
      <c r="N2474" s="886" t="n">
        <f aca="false">M2474/H2474</f>
        <v>489</v>
      </c>
      <c r="O2474" s="1114" t="s">
        <v>1003</v>
      </c>
      <c r="P2474" s="1948" t="n">
        <f aca="false">K2474-L2474-L2476-L2475</f>
        <v>0</v>
      </c>
      <c r="Q2474" s="1934" t="n">
        <f aca="false">I2474-M2474-M2476-M2475</f>
        <v>0</v>
      </c>
      <c r="R2474" s="1935" t="n">
        <f aca="false">G2474-N2474-N2476-N2475</f>
        <v>0</v>
      </c>
    </row>
    <row r="2475" customFormat="false" ht="14.25" hidden="false" customHeight="false" outlineLevel="0" collapsed="false">
      <c r="A2475" s="882"/>
      <c r="B2475" s="830"/>
      <c r="C2475" s="1965"/>
      <c r="D2475" s="848" t="s">
        <v>10</v>
      </c>
      <c r="E2475" s="1479" t="s">
        <v>1652</v>
      </c>
      <c r="F2475" s="832"/>
      <c r="G2475" s="2010"/>
      <c r="H2475" s="1931"/>
      <c r="I2475" s="837"/>
      <c r="J2475" s="1059"/>
      <c r="K2475" s="943"/>
      <c r="L2475" s="854" t="n">
        <v>45832.482</v>
      </c>
      <c r="M2475" s="854" t="n">
        <v>1185</v>
      </c>
      <c r="N2475" s="866" t="n">
        <f aca="false">M2475/H2474</f>
        <v>79</v>
      </c>
      <c r="O2475" s="537" t="s">
        <v>1202</v>
      </c>
      <c r="P2475" s="1948"/>
      <c r="Q2475" s="1934"/>
      <c r="R2475" s="1935"/>
    </row>
    <row r="2476" customFormat="false" ht="14.25" hidden="false" customHeight="false" outlineLevel="0" collapsed="false">
      <c r="A2476" s="882"/>
      <c r="B2476" s="830"/>
      <c r="C2476" s="1965"/>
      <c r="D2476" s="887" t="s">
        <v>10</v>
      </c>
      <c r="E2476" s="1501" t="s">
        <v>1652</v>
      </c>
      <c r="F2476" s="832"/>
      <c r="G2476" s="2010"/>
      <c r="H2476" s="1931"/>
      <c r="I2476" s="837"/>
      <c r="J2476" s="1059"/>
      <c r="K2476" s="943"/>
      <c r="L2476" s="890" t="n">
        <v>56855.484</v>
      </c>
      <c r="M2476" s="890" t="n">
        <v>1470</v>
      </c>
      <c r="N2476" s="890" t="n">
        <f aca="false">M2476/H2474</f>
        <v>98</v>
      </c>
      <c r="O2476" s="1067" t="s">
        <v>1004</v>
      </c>
      <c r="P2476" s="1948"/>
      <c r="Q2476" s="1934"/>
      <c r="R2476" s="1935"/>
    </row>
    <row r="2477" customFormat="false" ht="14.25" hidden="false" customHeight="false" outlineLevel="0" collapsed="false">
      <c r="A2477" s="847" t="n">
        <v>166</v>
      </c>
      <c r="B2477" s="1396" t="n">
        <v>2025</v>
      </c>
      <c r="C2477" s="1966" t="n">
        <v>46054</v>
      </c>
      <c r="D2477" s="848" t="s">
        <v>10</v>
      </c>
      <c r="E2477" s="1479" t="s">
        <v>1652</v>
      </c>
      <c r="F2477" s="848" t="s">
        <v>3364</v>
      </c>
      <c r="G2477" s="2018" t="n">
        <v>31</v>
      </c>
      <c r="H2477" s="1967" t="n">
        <v>15</v>
      </c>
      <c r="I2477" s="1380" t="n">
        <f aca="false">G2477*H2477</f>
        <v>465</v>
      </c>
      <c r="J2477" s="1544" t="n">
        <v>38.6772</v>
      </c>
      <c r="K2477" s="1144" t="n">
        <f aca="false">I2477*J2477</f>
        <v>17984.898</v>
      </c>
      <c r="L2477" s="854" t="n">
        <v>17984.898</v>
      </c>
      <c r="M2477" s="854" t="n">
        <v>465</v>
      </c>
      <c r="N2477" s="854" t="n">
        <f aca="false">M2477/H2477</f>
        <v>31</v>
      </c>
      <c r="O2477" s="537" t="s">
        <v>1202</v>
      </c>
      <c r="P2477" s="1983" t="n">
        <f aca="false">K2477-L2477</f>
        <v>0</v>
      </c>
      <c r="Q2477" s="1970" t="n">
        <f aca="false">I2477-M2477</f>
        <v>0</v>
      </c>
      <c r="R2477" s="1970" t="n">
        <f aca="false">G2477-N2477</f>
        <v>0</v>
      </c>
    </row>
    <row r="2478" customFormat="false" ht="14.25" hidden="false" customHeight="false" outlineLevel="0" collapsed="false">
      <c r="A2478" s="903" t="n">
        <v>167</v>
      </c>
      <c r="B2478" s="903" t="n">
        <v>2025</v>
      </c>
      <c r="C2478" s="1974" t="n">
        <v>46054</v>
      </c>
      <c r="D2478" s="904" t="s">
        <v>10</v>
      </c>
      <c r="E2478" s="1351" t="s">
        <v>1651</v>
      </c>
      <c r="F2478" s="904" t="s">
        <v>3364</v>
      </c>
      <c r="G2478" s="2012" t="n">
        <v>666</v>
      </c>
      <c r="H2478" s="1940" t="n">
        <v>15</v>
      </c>
      <c r="I2478" s="1355" t="n">
        <f aca="false">G2478*H2478</f>
        <v>9990</v>
      </c>
      <c r="J2478" s="1406" t="n">
        <v>27.8796</v>
      </c>
      <c r="K2478" s="1138" t="n">
        <f aca="false">I2478*J2478</f>
        <v>278517.204</v>
      </c>
      <c r="L2478" s="891" t="n">
        <v>278517.204</v>
      </c>
      <c r="M2478" s="891" t="n">
        <v>9990</v>
      </c>
      <c r="N2478" s="891" t="n">
        <f aca="false">M2478/H2478</f>
        <v>666</v>
      </c>
      <c r="O2478" s="942" t="s">
        <v>1002</v>
      </c>
      <c r="P2478" s="1947" t="n">
        <f aca="false">K2478-L2478</f>
        <v>0</v>
      </c>
      <c r="Q2478" s="1945" t="n">
        <f aca="false">I2478-M2478</f>
        <v>0</v>
      </c>
      <c r="R2478" s="1945" t="n">
        <f aca="false">G2478-N2478</f>
        <v>0</v>
      </c>
    </row>
    <row r="2479" customFormat="false" ht="14.25" hidden="false" customHeight="false" outlineLevel="0" collapsed="false">
      <c r="A2479" s="882" t="n">
        <v>168</v>
      </c>
      <c r="B2479" s="830" t="n">
        <v>2025</v>
      </c>
      <c r="C2479" s="1965" t="n">
        <v>46054</v>
      </c>
      <c r="D2479" s="831" t="s">
        <v>10</v>
      </c>
      <c r="E2479" s="1365" t="s">
        <v>1651</v>
      </c>
      <c r="F2479" s="832" t="s">
        <v>3364</v>
      </c>
      <c r="G2479" s="2010" t="n">
        <v>666</v>
      </c>
      <c r="H2479" s="1931" t="n">
        <v>15</v>
      </c>
      <c r="I2479" s="837" t="n">
        <f aca="false">G2479*H2479</f>
        <v>9990</v>
      </c>
      <c r="J2479" s="1059" t="n">
        <v>27.8796</v>
      </c>
      <c r="K2479" s="943" t="n">
        <f aca="false">I2479*J2479</f>
        <v>278517.204</v>
      </c>
      <c r="L2479" s="840" t="n">
        <v>110821.41</v>
      </c>
      <c r="M2479" s="840" t="n">
        <v>3975</v>
      </c>
      <c r="N2479" s="886" t="n">
        <f aca="false">M2479/H2479</f>
        <v>265</v>
      </c>
      <c r="O2479" s="1114" t="s">
        <v>1203</v>
      </c>
      <c r="P2479" s="1948" t="n">
        <f aca="false">K2479-L2479-L2481-L2480</f>
        <v>0</v>
      </c>
      <c r="Q2479" s="1934" t="n">
        <f aca="false">I2479-M2479-M2481-M2480</f>
        <v>0</v>
      </c>
      <c r="R2479" s="1935" t="n">
        <f aca="false">G2479-N2479-N2481-N2480</f>
        <v>0</v>
      </c>
    </row>
    <row r="2480" customFormat="false" ht="14.25" hidden="false" customHeight="false" outlineLevel="0" collapsed="false">
      <c r="A2480" s="882"/>
      <c r="B2480" s="830"/>
      <c r="C2480" s="1965"/>
      <c r="D2480" s="904" t="s">
        <v>10</v>
      </c>
      <c r="E2480" s="1351" t="s">
        <v>1651</v>
      </c>
      <c r="F2480" s="832"/>
      <c r="G2480" s="2010"/>
      <c r="H2480" s="1931"/>
      <c r="I2480" s="837"/>
      <c r="J2480" s="1059"/>
      <c r="K2480" s="943"/>
      <c r="L2480" s="891" t="n">
        <v>81129.636</v>
      </c>
      <c r="M2480" s="891" t="n">
        <v>2910</v>
      </c>
      <c r="N2480" s="866" t="n">
        <f aca="false">M2480/H2479</f>
        <v>194</v>
      </c>
      <c r="O2480" s="942" t="s">
        <v>1224</v>
      </c>
      <c r="P2480" s="1948"/>
      <c r="Q2480" s="1934"/>
      <c r="R2480" s="1935"/>
    </row>
    <row r="2481" customFormat="false" ht="14.25" hidden="false" customHeight="false" outlineLevel="0" collapsed="false">
      <c r="A2481" s="882"/>
      <c r="B2481" s="830"/>
      <c r="C2481" s="1965"/>
      <c r="D2481" s="843" t="s">
        <v>10</v>
      </c>
      <c r="E2481" s="1357" t="s">
        <v>1651</v>
      </c>
      <c r="F2481" s="832"/>
      <c r="G2481" s="2010"/>
      <c r="H2481" s="1931"/>
      <c r="I2481" s="837"/>
      <c r="J2481" s="1059"/>
      <c r="K2481" s="943"/>
      <c r="L2481" s="846" t="n">
        <v>86566.158</v>
      </c>
      <c r="M2481" s="846" t="n">
        <v>3105</v>
      </c>
      <c r="N2481" s="846" t="n">
        <f aca="false">M2481/H2479</f>
        <v>207</v>
      </c>
      <c r="O2481" s="589" t="s">
        <v>1204</v>
      </c>
      <c r="P2481" s="1948"/>
      <c r="Q2481" s="1934"/>
      <c r="R2481" s="1935"/>
    </row>
    <row r="2482" customFormat="false" ht="14.25" hidden="false" customHeight="false" outlineLevel="0" collapsed="false">
      <c r="A2482" s="1087" t="n">
        <v>169</v>
      </c>
      <c r="B2482" s="1072" t="n">
        <v>2025</v>
      </c>
      <c r="C2482" s="1980" t="n">
        <v>46054</v>
      </c>
      <c r="D2482" s="848" t="s">
        <v>10</v>
      </c>
      <c r="E2482" s="1479" t="s">
        <v>1651</v>
      </c>
      <c r="F2482" s="887" t="s">
        <v>3364</v>
      </c>
      <c r="G2482" s="2017" t="n">
        <v>281</v>
      </c>
      <c r="H2482" s="1950" t="n">
        <v>15</v>
      </c>
      <c r="I2482" s="1067" t="n">
        <f aca="false">G2482*H2482</f>
        <v>4215</v>
      </c>
      <c r="J2482" s="1063" t="n">
        <v>29.1032</v>
      </c>
      <c r="K2482" s="1452" t="n">
        <f aca="false">I2482*J2482</f>
        <v>122669.988</v>
      </c>
      <c r="L2482" s="854" t="n">
        <v>28812.168</v>
      </c>
      <c r="M2482" s="854" t="n">
        <v>990</v>
      </c>
      <c r="N2482" s="854" t="n">
        <f aca="false">M2482/H2482</f>
        <v>66</v>
      </c>
      <c r="O2482" s="537" t="s">
        <v>1203</v>
      </c>
      <c r="P2482" s="1952" t="n">
        <f aca="false">K2482-L2482-L2484-L2483</f>
        <v>0</v>
      </c>
      <c r="Q2482" s="1953" t="n">
        <f aca="false">I2482-M2482-M2484-M2483</f>
        <v>0</v>
      </c>
      <c r="R2482" s="1954" t="n">
        <f aca="false">G2482-N2482-N2484-N2483</f>
        <v>0</v>
      </c>
    </row>
    <row r="2483" customFormat="false" ht="14.25" hidden="false" customHeight="false" outlineLevel="0" collapsed="false">
      <c r="A2483" s="1087"/>
      <c r="B2483" s="1072"/>
      <c r="C2483" s="1980"/>
      <c r="D2483" s="904" t="s">
        <v>10</v>
      </c>
      <c r="E2483" s="1351" t="s">
        <v>1651</v>
      </c>
      <c r="F2483" s="887"/>
      <c r="G2483" s="2017"/>
      <c r="H2483" s="1950"/>
      <c r="I2483" s="1067"/>
      <c r="J2483" s="1063"/>
      <c r="K2483" s="1452"/>
      <c r="L2483" s="891" t="n">
        <v>53258.856</v>
      </c>
      <c r="M2483" s="891" t="n">
        <v>1830</v>
      </c>
      <c r="N2483" s="854" t="n">
        <f aca="false">M2483/H2482</f>
        <v>122</v>
      </c>
      <c r="O2483" s="942" t="s">
        <v>1068</v>
      </c>
      <c r="P2483" s="1952"/>
      <c r="Q2483" s="1953"/>
      <c r="R2483" s="1954"/>
    </row>
    <row r="2484" customFormat="false" ht="14.25" hidden="false" customHeight="false" outlineLevel="0" collapsed="false">
      <c r="A2484" s="1087"/>
      <c r="B2484" s="1072"/>
      <c r="C2484" s="1980"/>
      <c r="D2484" s="843" t="s">
        <v>10</v>
      </c>
      <c r="E2484" s="1357" t="s">
        <v>1651</v>
      </c>
      <c r="F2484" s="887"/>
      <c r="G2484" s="2017"/>
      <c r="H2484" s="1950"/>
      <c r="I2484" s="1067"/>
      <c r="J2484" s="1063"/>
      <c r="K2484" s="1452"/>
      <c r="L2484" s="846" t="n">
        <v>40598.964</v>
      </c>
      <c r="M2484" s="846" t="n">
        <v>1395</v>
      </c>
      <c r="N2484" s="846" t="n">
        <f aca="false">M2484/H2482</f>
        <v>93</v>
      </c>
      <c r="O2484" s="589" t="s">
        <v>1204</v>
      </c>
      <c r="P2484" s="1952"/>
      <c r="Q2484" s="1953"/>
      <c r="R2484" s="1954"/>
    </row>
    <row r="2485" customFormat="false" ht="14.25" hidden="false" customHeight="false" outlineLevel="0" collapsed="false">
      <c r="A2485" s="1060" t="n">
        <v>170</v>
      </c>
      <c r="B2485" s="1072" t="n">
        <v>2025</v>
      </c>
      <c r="C2485" s="1980" t="n">
        <v>46054</v>
      </c>
      <c r="D2485" s="848" t="s">
        <v>10</v>
      </c>
      <c r="E2485" s="1479" t="s">
        <v>1652</v>
      </c>
      <c r="F2485" s="887" t="s">
        <v>3364</v>
      </c>
      <c r="G2485" s="2017" t="n">
        <v>471</v>
      </c>
      <c r="H2485" s="1950" t="n">
        <v>15</v>
      </c>
      <c r="I2485" s="1067" t="n">
        <f aca="false">G2485*H2485</f>
        <v>7065</v>
      </c>
      <c r="J2485" s="1063" t="n">
        <v>38.6008</v>
      </c>
      <c r="K2485" s="1452" t="n">
        <f aca="false">I2485*J2485</f>
        <v>272714.652</v>
      </c>
      <c r="L2485" s="854" t="n">
        <v>77587.608</v>
      </c>
      <c r="M2485" s="854" t="n">
        <v>2010</v>
      </c>
      <c r="N2485" s="891" t="n">
        <f aca="false">M2485/H2485</f>
        <v>134</v>
      </c>
      <c r="O2485" s="537" t="s">
        <v>1050</v>
      </c>
      <c r="P2485" s="1952" t="n">
        <f aca="false">K2485-L2485-L2488-L2487-L2486</f>
        <v>0</v>
      </c>
      <c r="Q2485" s="1953" t="n">
        <f aca="false">I2485-M2485-M2488-M2487-M2486</f>
        <v>0</v>
      </c>
      <c r="R2485" s="1954" t="n">
        <f aca="false">G2485-N2485-N2488-N2487-N2486</f>
        <v>0</v>
      </c>
    </row>
    <row r="2486" customFormat="false" ht="14.25" hidden="false" customHeight="false" outlineLevel="0" collapsed="false">
      <c r="A2486" s="1060"/>
      <c r="B2486" s="1072"/>
      <c r="C2486" s="1980"/>
      <c r="D2486" s="848" t="s">
        <v>10</v>
      </c>
      <c r="E2486" s="1479" t="s">
        <v>1652</v>
      </c>
      <c r="F2486" s="887"/>
      <c r="G2486" s="2017"/>
      <c r="H2486" s="1950"/>
      <c r="I2486" s="1067"/>
      <c r="J2486" s="1063"/>
      <c r="K2486" s="1452"/>
      <c r="L2486" s="854" t="n">
        <v>59638.236</v>
      </c>
      <c r="M2486" s="854" t="n">
        <v>1545</v>
      </c>
      <c r="N2486" s="866" t="n">
        <f aca="false">M2486/H2485</f>
        <v>103</v>
      </c>
      <c r="O2486" s="537" t="s">
        <v>1202</v>
      </c>
      <c r="P2486" s="1952"/>
      <c r="Q2486" s="1953"/>
      <c r="R2486" s="1954"/>
    </row>
    <row r="2487" customFormat="false" ht="14.25" hidden="false" customHeight="false" outlineLevel="0" collapsed="false">
      <c r="A2487" s="1060"/>
      <c r="B2487" s="1072"/>
      <c r="C2487" s="1980"/>
      <c r="D2487" s="860" t="s">
        <v>10</v>
      </c>
      <c r="E2487" s="1480" t="s">
        <v>1652</v>
      </c>
      <c r="F2487" s="887"/>
      <c r="G2487" s="2017"/>
      <c r="H2487" s="1950"/>
      <c r="I2487" s="1067"/>
      <c r="J2487" s="1063"/>
      <c r="K2487" s="1452"/>
      <c r="L2487" s="866" t="n">
        <v>77587.608</v>
      </c>
      <c r="M2487" s="866" t="n">
        <v>2010</v>
      </c>
      <c r="N2487" s="866" t="n">
        <f aca="false">M2487/H2485</f>
        <v>134</v>
      </c>
      <c r="O2487" s="543" t="s">
        <v>1052</v>
      </c>
      <c r="P2487" s="1952"/>
      <c r="Q2487" s="1953"/>
      <c r="R2487" s="1954"/>
    </row>
    <row r="2488" customFormat="false" ht="14.25" hidden="false" customHeight="false" outlineLevel="0" collapsed="false">
      <c r="A2488" s="1060"/>
      <c r="B2488" s="1072"/>
      <c r="C2488" s="1980"/>
      <c r="D2488" s="887" t="s">
        <v>10</v>
      </c>
      <c r="E2488" s="1501" t="s">
        <v>1652</v>
      </c>
      <c r="F2488" s="887"/>
      <c r="G2488" s="2017"/>
      <c r="H2488" s="1950"/>
      <c r="I2488" s="1067"/>
      <c r="J2488" s="1063"/>
      <c r="K2488" s="1452"/>
      <c r="L2488" s="890" t="n">
        <v>57901.2</v>
      </c>
      <c r="M2488" s="890" t="n">
        <v>1500</v>
      </c>
      <c r="N2488" s="890" t="n">
        <f aca="false">M2488/H2485</f>
        <v>100</v>
      </c>
      <c r="O2488" s="1067" t="s">
        <v>1051</v>
      </c>
      <c r="P2488" s="1952"/>
      <c r="Q2488" s="1953"/>
      <c r="R2488" s="1954"/>
    </row>
    <row r="2489" customFormat="false" ht="14.25" hidden="false" customHeight="false" outlineLevel="0" collapsed="false">
      <c r="A2489" s="903" t="n">
        <v>173</v>
      </c>
      <c r="B2489" s="903" t="n">
        <v>2025</v>
      </c>
      <c r="C2489" s="1974" t="n">
        <v>46054</v>
      </c>
      <c r="D2489" s="904" t="s">
        <v>10</v>
      </c>
      <c r="E2489" s="1351" t="s">
        <v>1652</v>
      </c>
      <c r="F2489" s="904" t="s">
        <v>3364</v>
      </c>
      <c r="G2489" s="2012" t="n">
        <v>4</v>
      </c>
      <c r="H2489" s="1940" t="n">
        <v>800</v>
      </c>
      <c r="I2489" s="1355" t="n">
        <f aca="false">G2489*H2489</f>
        <v>3200</v>
      </c>
      <c r="J2489" s="1406" t="n">
        <v>38.6335</v>
      </c>
      <c r="K2489" s="1138" t="n">
        <f aca="false">I2489*J2489</f>
        <v>123627.2</v>
      </c>
      <c r="L2489" s="891" t="n">
        <v>123627.2</v>
      </c>
      <c r="M2489" s="891" t="n">
        <v>3200</v>
      </c>
      <c r="N2489" s="891" t="n">
        <f aca="false">M2489/H2489</f>
        <v>4</v>
      </c>
      <c r="O2489" s="942" t="s">
        <v>1055</v>
      </c>
      <c r="P2489" s="1947" t="n">
        <f aca="false">K2489-L2489</f>
        <v>0</v>
      </c>
      <c r="Q2489" s="1945" t="n">
        <f aca="false">I2489-M2489</f>
        <v>0</v>
      </c>
      <c r="R2489" s="1945" t="n">
        <f aca="false">G2489-N2489</f>
        <v>0</v>
      </c>
    </row>
    <row r="2490" customFormat="false" ht="14.25" hidden="false" customHeight="false" outlineLevel="0" collapsed="false">
      <c r="A2490" s="882" t="n">
        <v>174</v>
      </c>
      <c r="B2490" s="830" t="n">
        <v>2025</v>
      </c>
      <c r="C2490" s="1965" t="n">
        <v>46054</v>
      </c>
      <c r="D2490" s="831" t="s">
        <v>10</v>
      </c>
      <c r="E2490" s="1365" t="s">
        <v>1652</v>
      </c>
      <c r="F2490" s="832" t="s">
        <v>3364</v>
      </c>
      <c r="G2490" s="2010" t="n">
        <v>452</v>
      </c>
      <c r="H2490" s="1931" t="n">
        <v>15</v>
      </c>
      <c r="I2490" s="837" t="n">
        <f aca="false">G2490*H2490</f>
        <v>6780</v>
      </c>
      <c r="J2490" s="1059" t="n">
        <v>38.6335</v>
      </c>
      <c r="K2490" s="943" t="n">
        <f aca="false">I2490*J2490</f>
        <v>261935.13</v>
      </c>
      <c r="L2490" s="840" t="n">
        <v>129808.56</v>
      </c>
      <c r="M2490" s="840" t="n">
        <v>3360</v>
      </c>
      <c r="N2490" s="886" t="n">
        <f aca="false">M2490/H2490</f>
        <v>224</v>
      </c>
      <c r="O2490" s="1114" t="s">
        <v>3573</v>
      </c>
      <c r="P2490" s="1948" t="n">
        <f aca="false">K2490-L2490-L2492-L2491</f>
        <v>0</v>
      </c>
      <c r="Q2490" s="1934" t="n">
        <f aca="false">I2490-M2490-M2492-M2491</f>
        <v>0</v>
      </c>
      <c r="R2490" s="1935" t="n">
        <f aca="false">G2490-N2490-N2492-N2491</f>
        <v>0</v>
      </c>
    </row>
    <row r="2491" customFormat="false" ht="14.25" hidden="false" customHeight="false" outlineLevel="0" collapsed="false">
      <c r="A2491" s="882"/>
      <c r="B2491" s="830"/>
      <c r="C2491" s="1965"/>
      <c r="D2491" s="904" t="s">
        <v>10</v>
      </c>
      <c r="E2491" s="1351" t="s">
        <v>1652</v>
      </c>
      <c r="F2491" s="832"/>
      <c r="G2491" s="2010"/>
      <c r="H2491" s="1931"/>
      <c r="I2491" s="837"/>
      <c r="J2491" s="1059"/>
      <c r="K2491" s="943"/>
      <c r="L2491" s="891" t="n">
        <v>89243.385</v>
      </c>
      <c r="M2491" s="891" t="n">
        <v>2310</v>
      </c>
      <c r="N2491" s="866" t="n">
        <f aca="false">M2491/H2490</f>
        <v>154</v>
      </c>
      <c r="O2491" s="942" t="s">
        <v>3574</v>
      </c>
      <c r="P2491" s="1948"/>
      <c r="Q2491" s="1934"/>
      <c r="R2491" s="1935"/>
    </row>
    <row r="2492" customFormat="false" ht="14.25" hidden="false" customHeight="false" outlineLevel="0" collapsed="false">
      <c r="A2492" s="882"/>
      <c r="B2492" s="830"/>
      <c r="C2492" s="1965"/>
      <c r="D2492" s="843" t="s">
        <v>10</v>
      </c>
      <c r="E2492" s="1357" t="s">
        <v>1652</v>
      </c>
      <c r="F2492" s="832"/>
      <c r="G2492" s="2010"/>
      <c r="H2492" s="1931"/>
      <c r="I2492" s="837"/>
      <c r="J2492" s="1059"/>
      <c r="K2492" s="943"/>
      <c r="L2492" s="846" t="n">
        <v>42883.185</v>
      </c>
      <c r="M2492" s="846" t="n">
        <v>1110</v>
      </c>
      <c r="N2492" s="846" t="n">
        <f aca="false">M2492/H2490</f>
        <v>74</v>
      </c>
      <c r="O2492" s="589" t="s">
        <v>1003</v>
      </c>
      <c r="P2492" s="1948"/>
      <c r="Q2492" s="1934"/>
      <c r="R2492" s="1935"/>
    </row>
    <row r="2493" customFormat="false" ht="14.25" hidden="false" customHeight="false" outlineLevel="0" collapsed="false">
      <c r="A2493" s="1609" t="n">
        <v>175</v>
      </c>
      <c r="B2493" s="903" t="n">
        <v>2025</v>
      </c>
      <c r="C2493" s="1974" t="n">
        <v>46054</v>
      </c>
      <c r="D2493" s="848" t="s">
        <v>10</v>
      </c>
      <c r="E2493" s="1479" t="s">
        <v>1652</v>
      </c>
      <c r="F2493" s="904" t="s">
        <v>3364</v>
      </c>
      <c r="G2493" s="2012" t="n">
        <v>582</v>
      </c>
      <c r="H2493" s="1940" t="n">
        <v>15</v>
      </c>
      <c r="I2493" s="942" t="n">
        <f aca="false">G2493*H2493</f>
        <v>8730</v>
      </c>
      <c r="J2493" s="1406" t="n">
        <v>38.7792</v>
      </c>
      <c r="K2493" s="948" t="n">
        <f aca="false">I2493*J2493</f>
        <v>338542.416</v>
      </c>
      <c r="L2493" s="854" t="n">
        <v>50606.856</v>
      </c>
      <c r="M2493" s="854" t="n">
        <v>1305</v>
      </c>
      <c r="N2493" s="854" t="n">
        <f aca="false">M2493/H2493</f>
        <v>87</v>
      </c>
      <c r="O2493" s="537" t="s">
        <v>1205</v>
      </c>
      <c r="P2493" s="2000" t="n">
        <f aca="false">K2493-L2493-L2497-L2496-L2494-L2495</f>
        <v>4.72937244921923E-011</v>
      </c>
      <c r="Q2493" s="2000" t="n">
        <f aca="false">I2493-M2493-M2497-M2496-M2494-M2495</f>
        <v>0</v>
      </c>
      <c r="R2493" s="2005" t="n">
        <f aca="false">G2493-N2493-N2497-N2496-N2494-N2495</f>
        <v>0</v>
      </c>
    </row>
    <row r="2494" customFormat="false" ht="14.25" hidden="false" customHeight="false" outlineLevel="0" collapsed="false">
      <c r="A2494" s="1609"/>
      <c r="B2494" s="903"/>
      <c r="C2494" s="1974"/>
      <c r="D2494" s="848" t="s">
        <v>10</v>
      </c>
      <c r="E2494" s="1479" t="s">
        <v>1652</v>
      </c>
      <c r="F2494" s="904"/>
      <c r="G2494" s="2012"/>
      <c r="H2494" s="1940"/>
      <c r="I2494" s="942"/>
      <c r="J2494" s="1406"/>
      <c r="K2494" s="948"/>
      <c r="L2494" s="854" t="n">
        <v>59332.176</v>
      </c>
      <c r="M2494" s="854" t="n">
        <v>1530</v>
      </c>
      <c r="N2494" s="854" t="n">
        <f aca="false">M2494/H2493</f>
        <v>102</v>
      </c>
      <c r="O2494" s="537" t="s">
        <v>3574</v>
      </c>
      <c r="P2494" s="2000"/>
      <c r="Q2494" s="2000"/>
      <c r="R2494" s="2005"/>
    </row>
    <row r="2495" customFormat="false" ht="14.25" hidden="false" customHeight="false" outlineLevel="0" collapsed="false">
      <c r="A2495" s="1609"/>
      <c r="B2495" s="903"/>
      <c r="C2495" s="1974"/>
      <c r="D2495" s="848" t="s">
        <v>10</v>
      </c>
      <c r="E2495" s="1479" t="s">
        <v>1652</v>
      </c>
      <c r="F2495" s="904"/>
      <c r="G2495" s="2012"/>
      <c r="H2495" s="1940"/>
      <c r="I2495" s="942"/>
      <c r="J2495" s="1406"/>
      <c r="K2495" s="948"/>
      <c r="L2495" s="854" t="n">
        <v>20940.768</v>
      </c>
      <c r="M2495" s="854" t="n">
        <v>540</v>
      </c>
      <c r="N2495" s="854" t="n">
        <f aca="false">M2495/H2493</f>
        <v>36</v>
      </c>
      <c r="O2495" s="537" t="s">
        <v>1223</v>
      </c>
      <c r="P2495" s="2000"/>
      <c r="Q2495" s="2000"/>
      <c r="R2495" s="2005"/>
    </row>
    <row r="2496" customFormat="false" ht="14.25" hidden="false" customHeight="false" outlineLevel="0" collapsed="false">
      <c r="A2496" s="1609"/>
      <c r="B2496" s="903"/>
      <c r="C2496" s="1974"/>
      <c r="D2496" s="860" t="s">
        <v>10</v>
      </c>
      <c r="E2496" s="1480" t="s">
        <v>1652</v>
      </c>
      <c r="F2496" s="904"/>
      <c r="G2496" s="2012"/>
      <c r="H2496" s="1940"/>
      <c r="I2496" s="942"/>
      <c r="J2496" s="1406"/>
      <c r="K2496" s="948"/>
      <c r="L2496" s="866" t="n">
        <v>78527.88</v>
      </c>
      <c r="M2496" s="866" t="n">
        <v>2025</v>
      </c>
      <c r="N2496" s="854" t="n">
        <f aca="false">M2496/H2493</f>
        <v>135</v>
      </c>
      <c r="O2496" s="543" t="s">
        <v>1003</v>
      </c>
      <c r="P2496" s="2000"/>
      <c r="Q2496" s="2000"/>
      <c r="R2496" s="2005"/>
    </row>
    <row r="2497" customFormat="false" ht="14.25" hidden="false" customHeight="false" outlineLevel="0" collapsed="false">
      <c r="A2497" s="1609"/>
      <c r="B2497" s="903"/>
      <c r="C2497" s="1974"/>
      <c r="D2497" s="904" t="s">
        <v>10</v>
      </c>
      <c r="E2497" s="1351" t="s">
        <v>1652</v>
      </c>
      <c r="F2497" s="904"/>
      <c r="G2497" s="2012"/>
      <c r="H2497" s="1940"/>
      <c r="I2497" s="942"/>
      <c r="J2497" s="1406"/>
      <c r="K2497" s="948"/>
      <c r="L2497" s="891" t="n">
        <v>129134.736</v>
      </c>
      <c r="M2497" s="891" t="n">
        <v>3330</v>
      </c>
      <c r="N2497" s="891" t="n">
        <f aca="false">M2497/H2493</f>
        <v>222</v>
      </c>
      <c r="O2497" s="942" t="s">
        <v>1206</v>
      </c>
      <c r="P2497" s="2000"/>
      <c r="Q2497" s="2000"/>
      <c r="R2497" s="2005"/>
    </row>
    <row r="2498" customFormat="false" ht="14.25" hidden="false" customHeight="false" outlineLevel="0" collapsed="false">
      <c r="A2498" s="829" t="n">
        <v>177</v>
      </c>
      <c r="B2498" s="830" t="n">
        <v>2025</v>
      </c>
      <c r="C2498" s="1965" t="n">
        <v>46054</v>
      </c>
      <c r="D2498" s="831" t="s">
        <v>10</v>
      </c>
      <c r="E2498" s="1365" t="s">
        <v>1652</v>
      </c>
      <c r="F2498" s="832" t="s">
        <v>3364</v>
      </c>
      <c r="G2498" s="2010" t="n">
        <v>1275</v>
      </c>
      <c r="H2498" s="1931" t="n">
        <v>15</v>
      </c>
      <c r="I2498" s="837" t="n">
        <f aca="false">G2498*H2498</f>
        <v>19125</v>
      </c>
      <c r="J2498" s="1059" t="n">
        <v>41.279</v>
      </c>
      <c r="K2498" s="943" t="n">
        <f aca="false">I2498*J2498</f>
        <v>789460.875</v>
      </c>
      <c r="L2498" s="840" t="n">
        <v>60680.13</v>
      </c>
      <c r="M2498" s="840" t="n">
        <v>1470</v>
      </c>
      <c r="N2498" s="840" t="n">
        <f aca="false">M2498/H2498</f>
        <v>98</v>
      </c>
      <c r="O2498" s="1114" t="s">
        <v>1223</v>
      </c>
      <c r="P2498" s="1934" t="n">
        <f aca="false">K2498-L2498-L2506-L2499-L2505-L2500-L2504-L2501-L2503-L2502</f>
        <v>1.01863406598568E-010</v>
      </c>
      <c r="Q2498" s="1934" t="n">
        <f aca="false">I2498-M2498-M2506-M2499-M2505-M2500-M2504-M2501-M2503-M2502</f>
        <v>0</v>
      </c>
      <c r="R2498" s="1935" t="n">
        <f aca="false">G2498-N2498-N2506-N2499-N2505-N2500-N2504-N2501-N2503-N2502</f>
        <v>0</v>
      </c>
    </row>
    <row r="2499" customFormat="false" ht="14.25" hidden="false" customHeight="false" outlineLevel="0" collapsed="false">
      <c r="A2499" s="829"/>
      <c r="B2499" s="830"/>
      <c r="C2499" s="1965"/>
      <c r="D2499" s="860" t="s">
        <v>10</v>
      </c>
      <c r="E2499" s="1480" t="s">
        <v>1652</v>
      </c>
      <c r="F2499" s="832"/>
      <c r="G2499" s="2010"/>
      <c r="H2499" s="1931"/>
      <c r="I2499" s="837"/>
      <c r="J2499" s="1059"/>
      <c r="K2499" s="943"/>
      <c r="L2499" s="866" t="n">
        <v>313307.61</v>
      </c>
      <c r="M2499" s="866" t="n">
        <v>7590</v>
      </c>
      <c r="N2499" s="866" t="n">
        <f aca="false">M2499/H2498</f>
        <v>506</v>
      </c>
      <c r="O2499" s="543" t="s">
        <v>1050</v>
      </c>
      <c r="P2499" s="1934"/>
      <c r="Q2499" s="1934"/>
      <c r="R2499" s="1935"/>
    </row>
    <row r="2500" customFormat="false" ht="14.25" hidden="false" customHeight="false" outlineLevel="0" collapsed="false">
      <c r="A2500" s="829"/>
      <c r="B2500" s="830"/>
      <c r="C2500" s="1965"/>
      <c r="D2500" s="860" t="s">
        <v>10</v>
      </c>
      <c r="E2500" s="1480" t="s">
        <v>1652</v>
      </c>
      <c r="F2500" s="832"/>
      <c r="G2500" s="2010"/>
      <c r="H2500" s="1931"/>
      <c r="I2500" s="837"/>
      <c r="J2500" s="1059"/>
      <c r="K2500" s="943"/>
      <c r="L2500" s="866" t="n">
        <v>21052.29</v>
      </c>
      <c r="M2500" s="866" t="n">
        <v>510</v>
      </c>
      <c r="N2500" s="866" t="n">
        <f aca="false">M2500/H2498</f>
        <v>34</v>
      </c>
      <c r="O2500" s="543" t="s">
        <v>1244</v>
      </c>
      <c r="P2500" s="1934"/>
      <c r="Q2500" s="1934"/>
      <c r="R2500" s="1935"/>
    </row>
    <row r="2501" customFormat="false" ht="14.25" hidden="false" customHeight="false" outlineLevel="0" collapsed="false">
      <c r="A2501" s="829"/>
      <c r="B2501" s="830"/>
      <c r="C2501" s="1965"/>
      <c r="D2501" s="860" t="s">
        <v>10</v>
      </c>
      <c r="E2501" s="1480" t="s">
        <v>1652</v>
      </c>
      <c r="F2501" s="832"/>
      <c r="G2501" s="2010"/>
      <c r="H2501" s="1931"/>
      <c r="I2501" s="837"/>
      <c r="J2501" s="1059"/>
      <c r="K2501" s="943"/>
      <c r="L2501" s="866" t="n">
        <v>17956.365</v>
      </c>
      <c r="M2501" s="866" t="n">
        <v>435</v>
      </c>
      <c r="N2501" s="866" t="n">
        <f aca="false">M2501/H2498</f>
        <v>29</v>
      </c>
      <c r="O2501" s="543" t="s">
        <v>1172</v>
      </c>
      <c r="P2501" s="1934"/>
      <c r="Q2501" s="1934"/>
      <c r="R2501" s="1935"/>
    </row>
    <row r="2502" customFormat="false" ht="14.25" hidden="false" customHeight="false" outlineLevel="0" collapsed="false">
      <c r="A2502" s="829"/>
      <c r="B2502" s="830"/>
      <c r="C2502" s="1965"/>
      <c r="D2502" s="860" t="s">
        <v>10</v>
      </c>
      <c r="E2502" s="1480" t="s">
        <v>1652</v>
      </c>
      <c r="F2502" s="832"/>
      <c r="G2502" s="2010"/>
      <c r="H2502" s="1931"/>
      <c r="I2502" s="837"/>
      <c r="J2502" s="1059"/>
      <c r="K2502" s="943"/>
      <c r="L2502" s="866" t="n">
        <v>34055.175</v>
      </c>
      <c r="M2502" s="866" t="n">
        <v>825</v>
      </c>
      <c r="N2502" s="866" t="n">
        <f aca="false">M2502/H2498</f>
        <v>55</v>
      </c>
      <c r="O2502" s="543" t="s">
        <v>1272</v>
      </c>
      <c r="P2502" s="1934"/>
      <c r="Q2502" s="1934"/>
      <c r="R2502" s="1935"/>
    </row>
    <row r="2503" customFormat="false" ht="14.25" hidden="false" customHeight="false" outlineLevel="0" collapsed="false">
      <c r="A2503" s="829"/>
      <c r="B2503" s="830"/>
      <c r="C2503" s="1965"/>
      <c r="D2503" s="860" t="s">
        <v>10</v>
      </c>
      <c r="E2503" s="1480" t="s">
        <v>1652</v>
      </c>
      <c r="F2503" s="832"/>
      <c r="G2503" s="2010"/>
      <c r="H2503" s="1931"/>
      <c r="I2503" s="837"/>
      <c r="J2503" s="1059"/>
      <c r="K2503" s="943"/>
      <c r="L2503" s="866" t="n">
        <v>133124.775</v>
      </c>
      <c r="M2503" s="866" t="n">
        <v>3225</v>
      </c>
      <c r="N2503" s="866" t="n">
        <f aca="false">M2503/H2498</f>
        <v>215</v>
      </c>
      <c r="O2503" s="543" t="s">
        <v>1253</v>
      </c>
      <c r="P2503" s="1934"/>
      <c r="Q2503" s="1934"/>
      <c r="R2503" s="1935"/>
    </row>
    <row r="2504" customFormat="false" ht="14.25" hidden="false" customHeight="false" outlineLevel="0" collapsed="false">
      <c r="A2504" s="829"/>
      <c r="B2504" s="830"/>
      <c r="C2504" s="1965"/>
      <c r="D2504" s="860" t="s">
        <v>10</v>
      </c>
      <c r="E2504" s="1480" t="s">
        <v>1652</v>
      </c>
      <c r="F2504" s="832"/>
      <c r="G2504" s="2010"/>
      <c r="H2504" s="1931"/>
      <c r="I2504" s="837"/>
      <c r="J2504" s="1059"/>
      <c r="K2504" s="943"/>
      <c r="L2504" s="866" t="n">
        <v>12383.7</v>
      </c>
      <c r="M2504" s="866" t="n">
        <v>300</v>
      </c>
      <c r="N2504" s="866" t="n">
        <f aca="false">M2504/H2498</f>
        <v>20</v>
      </c>
      <c r="O2504" s="543" t="s">
        <v>1245</v>
      </c>
      <c r="P2504" s="1934"/>
      <c r="Q2504" s="1934"/>
      <c r="R2504" s="1935"/>
    </row>
    <row r="2505" customFormat="false" ht="14.25" hidden="false" customHeight="false" outlineLevel="0" collapsed="false">
      <c r="A2505" s="829"/>
      <c r="B2505" s="830"/>
      <c r="C2505" s="1965"/>
      <c r="D2505" s="860" t="s">
        <v>10</v>
      </c>
      <c r="E2505" s="1480" t="s">
        <v>1652</v>
      </c>
      <c r="F2505" s="832"/>
      <c r="G2505" s="2010"/>
      <c r="H2505" s="1931"/>
      <c r="I2505" s="837"/>
      <c r="J2505" s="1059"/>
      <c r="K2505" s="943"/>
      <c r="L2505" s="866" t="n">
        <v>29101.695</v>
      </c>
      <c r="M2505" s="866" t="n">
        <v>705</v>
      </c>
      <c r="N2505" s="866" t="n">
        <f aca="false">M2505/H2498</f>
        <v>47</v>
      </c>
      <c r="O2505" s="543" t="s">
        <v>1217</v>
      </c>
      <c r="P2505" s="1934"/>
      <c r="Q2505" s="1934"/>
      <c r="R2505" s="1935"/>
    </row>
    <row r="2506" customFormat="false" ht="14.25" hidden="false" customHeight="false" outlineLevel="0" collapsed="false">
      <c r="A2506" s="829"/>
      <c r="B2506" s="830"/>
      <c r="C2506" s="1965"/>
      <c r="D2506" s="843" t="s">
        <v>10</v>
      </c>
      <c r="E2506" s="1357" t="s">
        <v>1652</v>
      </c>
      <c r="F2506" s="832"/>
      <c r="G2506" s="2010"/>
      <c r="H2506" s="1931"/>
      <c r="I2506" s="837"/>
      <c r="J2506" s="1059"/>
      <c r="K2506" s="943"/>
      <c r="L2506" s="846" t="n">
        <v>167799.135</v>
      </c>
      <c r="M2506" s="846" t="n">
        <v>4065</v>
      </c>
      <c r="N2506" s="846" t="n">
        <f aca="false">M2506/H2498</f>
        <v>271</v>
      </c>
      <c r="O2506" s="589" t="s">
        <v>1051</v>
      </c>
      <c r="P2506" s="1934"/>
      <c r="Q2506" s="1934"/>
      <c r="R2506" s="1935"/>
    </row>
    <row r="2507" customFormat="false" ht="14.25" hidden="false" customHeight="false" outlineLevel="0" collapsed="false">
      <c r="A2507" s="1344" t="n">
        <v>178</v>
      </c>
      <c r="B2507" s="903" t="n">
        <v>2025</v>
      </c>
      <c r="C2507" s="1974" t="n">
        <v>46054</v>
      </c>
      <c r="D2507" s="848" t="s">
        <v>10</v>
      </c>
      <c r="E2507" s="1479" t="s">
        <v>1652</v>
      </c>
      <c r="F2507" s="904" t="s">
        <v>3364</v>
      </c>
      <c r="G2507" s="2012" t="n">
        <v>1333</v>
      </c>
      <c r="H2507" s="1351" t="n">
        <v>15</v>
      </c>
      <c r="I2507" s="942" t="n">
        <f aca="false">G2507*H2507</f>
        <v>19995</v>
      </c>
      <c r="J2507" s="1406" t="n">
        <v>36.5425</v>
      </c>
      <c r="K2507" s="948" t="n">
        <f aca="false">I2507*J2507</f>
        <v>730667.2875</v>
      </c>
      <c r="L2507" s="854" t="n">
        <v>72354.15</v>
      </c>
      <c r="M2507" s="854" t="n">
        <v>1980</v>
      </c>
      <c r="N2507" s="891" t="n">
        <f aca="false">M2507/H2507</f>
        <v>132</v>
      </c>
      <c r="O2507" s="537" t="s">
        <v>1214</v>
      </c>
      <c r="P2507" s="2009" t="n">
        <f aca="false">K2507-L2507-L2509-L2508</f>
        <v>0</v>
      </c>
      <c r="Q2507" s="2000" t="n">
        <f aca="false">I2507-M2507-M2509-M2508</f>
        <v>0</v>
      </c>
      <c r="R2507" s="2005" t="n">
        <f aca="false">G2507-N2507-N2509-N2508</f>
        <v>0</v>
      </c>
    </row>
    <row r="2508" customFormat="false" ht="14.25" hidden="false" customHeight="false" outlineLevel="0" collapsed="false">
      <c r="A2508" s="1344"/>
      <c r="B2508" s="903"/>
      <c r="C2508" s="1974"/>
      <c r="D2508" s="860" t="s">
        <v>10</v>
      </c>
      <c r="E2508" s="1480" t="s">
        <v>1652</v>
      </c>
      <c r="F2508" s="904"/>
      <c r="G2508" s="2012"/>
      <c r="H2508" s="1351"/>
      <c r="I2508" s="942"/>
      <c r="J2508" s="1406"/>
      <c r="K2508" s="948"/>
      <c r="L2508" s="866" t="n">
        <v>365607.7125</v>
      </c>
      <c r="M2508" s="866" t="n">
        <v>10005</v>
      </c>
      <c r="N2508" s="866" t="n">
        <f aca="false">M2508/H2507</f>
        <v>667</v>
      </c>
      <c r="O2508" s="543" t="s">
        <v>1222</v>
      </c>
      <c r="P2508" s="2009"/>
      <c r="Q2508" s="2000"/>
      <c r="R2508" s="2005"/>
    </row>
    <row r="2509" customFormat="false" ht="14.25" hidden="false" customHeight="false" outlineLevel="0" collapsed="false">
      <c r="A2509" s="1344"/>
      <c r="B2509" s="903"/>
      <c r="C2509" s="1974"/>
      <c r="D2509" s="904" t="s">
        <v>10</v>
      </c>
      <c r="E2509" s="1351" t="s">
        <v>1652</v>
      </c>
      <c r="F2509" s="904"/>
      <c r="G2509" s="2012"/>
      <c r="H2509" s="1351"/>
      <c r="I2509" s="942"/>
      <c r="J2509" s="1406"/>
      <c r="K2509" s="948"/>
      <c r="L2509" s="891" t="n">
        <v>292705.425</v>
      </c>
      <c r="M2509" s="891" t="n">
        <v>8010</v>
      </c>
      <c r="N2509" s="891" t="n">
        <f aca="false">M2509/H2510</f>
        <v>534</v>
      </c>
      <c r="O2509" s="942" t="s">
        <v>862</v>
      </c>
      <c r="P2509" s="2009"/>
      <c r="Q2509" s="2000"/>
      <c r="R2509" s="2005"/>
    </row>
    <row r="2510" customFormat="false" ht="14.25" hidden="false" customHeight="false" outlineLevel="0" collapsed="false">
      <c r="A2510" s="829" t="n">
        <v>179</v>
      </c>
      <c r="B2510" s="830" t="n">
        <v>2025</v>
      </c>
      <c r="C2510" s="1965" t="n">
        <v>46054</v>
      </c>
      <c r="D2510" s="831" t="s">
        <v>10</v>
      </c>
      <c r="E2510" s="1365" t="s">
        <v>1652</v>
      </c>
      <c r="F2510" s="832" t="s">
        <v>3364</v>
      </c>
      <c r="G2510" s="2010" t="n">
        <v>1066</v>
      </c>
      <c r="H2510" s="1931" t="n">
        <v>15</v>
      </c>
      <c r="I2510" s="837" t="n">
        <f aca="false">G2510*H2510</f>
        <v>15990</v>
      </c>
      <c r="J2510" s="1059" t="n">
        <v>38.6392</v>
      </c>
      <c r="K2510" s="943" t="n">
        <f aca="false">I2510*J2510</f>
        <v>617840.808</v>
      </c>
      <c r="L2510" s="840" t="n">
        <v>439327.704</v>
      </c>
      <c r="M2510" s="840" t="n">
        <v>11370</v>
      </c>
      <c r="N2510" s="840" t="n">
        <f aca="false">M2510/H2510</f>
        <v>758</v>
      </c>
      <c r="O2510" s="1114" t="s">
        <v>1003</v>
      </c>
      <c r="P2510" s="1948" t="n">
        <f aca="false">K2510-L2510-L2511</f>
        <v>0</v>
      </c>
      <c r="Q2510" s="1934" t="n">
        <f aca="false">I2510-M2510-M2511</f>
        <v>0</v>
      </c>
      <c r="R2510" s="1935" t="n">
        <f aca="false">G2510-N2510-N2511</f>
        <v>0</v>
      </c>
    </row>
    <row r="2511" customFormat="false" ht="14.25" hidden="false" customHeight="false" outlineLevel="0" collapsed="false">
      <c r="A2511" s="829"/>
      <c r="B2511" s="830"/>
      <c r="C2511" s="1965"/>
      <c r="D2511" s="843" t="s">
        <v>10</v>
      </c>
      <c r="E2511" s="1357" t="s">
        <v>1652</v>
      </c>
      <c r="F2511" s="832"/>
      <c r="G2511" s="2010"/>
      <c r="H2511" s="1931"/>
      <c r="I2511" s="837"/>
      <c r="J2511" s="1059"/>
      <c r="K2511" s="943"/>
      <c r="L2511" s="846" t="n">
        <v>178513.104</v>
      </c>
      <c r="M2511" s="846" t="n">
        <v>4620</v>
      </c>
      <c r="N2511" s="846" t="n">
        <f aca="false">M2511/H2510</f>
        <v>308</v>
      </c>
      <c r="O2511" s="589" t="s">
        <v>1003</v>
      </c>
      <c r="P2511" s="1948"/>
      <c r="Q2511" s="1934"/>
      <c r="R2511" s="1935"/>
    </row>
    <row r="2512" customFormat="false" ht="14.25" hidden="false" customHeight="false" outlineLevel="0" collapsed="false">
      <c r="A2512" s="847" t="n">
        <v>180</v>
      </c>
      <c r="B2512" s="1396" t="n">
        <v>2025</v>
      </c>
      <c r="C2512" s="1966" t="n">
        <v>46054</v>
      </c>
      <c r="D2512" s="848" t="s">
        <v>10</v>
      </c>
      <c r="E2512" s="1479" t="s">
        <v>1652</v>
      </c>
      <c r="F2512" s="848" t="s">
        <v>3364</v>
      </c>
      <c r="G2512" s="2018" t="n">
        <v>117</v>
      </c>
      <c r="H2512" s="1967" t="n">
        <v>15</v>
      </c>
      <c r="I2512" s="1380" t="n">
        <f aca="false">G2512*H2512</f>
        <v>1755</v>
      </c>
      <c r="J2512" s="1544" t="n">
        <v>36.5425</v>
      </c>
      <c r="K2512" s="1144" t="n">
        <f aca="false">I2512*J2512</f>
        <v>64132.0875</v>
      </c>
      <c r="L2512" s="854" t="n">
        <v>64132.0875</v>
      </c>
      <c r="M2512" s="854" t="n">
        <v>1755</v>
      </c>
      <c r="N2512" s="854" t="n">
        <f aca="false">M2512/H2512</f>
        <v>117</v>
      </c>
      <c r="O2512" s="537" t="s">
        <v>1003</v>
      </c>
      <c r="P2512" s="1983" t="n">
        <f aca="false">K2512-L2512</f>
        <v>0</v>
      </c>
      <c r="Q2512" s="1970" t="n">
        <f aca="false">I2512-M2512</f>
        <v>0</v>
      </c>
      <c r="R2512" s="1970" t="n">
        <f aca="false">G2512-N2512</f>
        <v>0</v>
      </c>
    </row>
    <row r="2513" customFormat="false" ht="14.25" hidden="false" customHeight="false" outlineLevel="0" collapsed="false">
      <c r="A2513" s="870" t="s">
        <v>3575</v>
      </c>
      <c r="B2513" s="1495" t="n">
        <v>2025</v>
      </c>
      <c r="C2513" s="1972" t="n">
        <v>46054</v>
      </c>
      <c r="D2513" s="871" t="s">
        <v>10</v>
      </c>
      <c r="E2513" s="1478" t="s">
        <v>1652</v>
      </c>
      <c r="F2513" s="871" t="s">
        <v>3364</v>
      </c>
      <c r="G2513" s="2024" t="n">
        <v>65</v>
      </c>
      <c r="H2513" s="1956" t="n">
        <v>15</v>
      </c>
      <c r="I2513" s="1587" t="n">
        <f aca="false">G2513*H2513</f>
        <v>975</v>
      </c>
      <c r="J2513" s="1542" t="n">
        <v>45.6452</v>
      </c>
      <c r="K2513" s="1151" t="n">
        <f aca="false">I2513*J2513</f>
        <v>44504.07</v>
      </c>
      <c r="L2513" s="877" t="n">
        <v>44504.07</v>
      </c>
      <c r="M2513" s="877" t="n">
        <v>975</v>
      </c>
      <c r="N2513" s="854" t="n">
        <f aca="false">M2513/H2513</f>
        <v>65</v>
      </c>
      <c r="O2513" s="553" t="s">
        <v>3576</v>
      </c>
      <c r="P2513" s="1959" t="n">
        <f aca="false">K2513-L2513</f>
        <v>0</v>
      </c>
      <c r="Q2513" s="1960" t="n">
        <f aca="false">I2513-M2513</f>
        <v>0</v>
      </c>
      <c r="R2513" s="1960" t="n">
        <f aca="false">G2513-N2513</f>
        <v>0</v>
      </c>
    </row>
    <row r="2514" customFormat="false" ht="14.25" hidden="false" customHeight="false" outlineLevel="0" collapsed="false">
      <c r="A2514" s="882" t="n">
        <v>181</v>
      </c>
      <c r="B2514" s="830" t="n">
        <v>2025</v>
      </c>
      <c r="C2514" s="1965" t="n">
        <v>46054</v>
      </c>
      <c r="D2514" s="831" t="s">
        <v>10</v>
      </c>
      <c r="E2514" s="1365" t="s">
        <v>1652</v>
      </c>
      <c r="F2514" s="832" t="s">
        <v>3364</v>
      </c>
      <c r="G2514" s="2010" t="n">
        <v>1333</v>
      </c>
      <c r="H2514" s="1931" t="n">
        <v>15</v>
      </c>
      <c r="I2514" s="837" t="n">
        <f aca="false">G2514*H2514</f>
        <v>19995</v>
      </c>
      <c r="J2514" s="1059" t="n">
        <v>35.5446</v>
      </c>
      <c r="K2514" s="943" t="n">
        <f aca="false">I2514*J2514</f>
        <v>710714.277</v>
      </c>
      <c r="L2514" s="840" t="n">
        <v>2132.676</v>
      </c>
      <c r="M2514" s="840" t="n">
        <v>60</v>
      </c>
      <c r="N2514" s="886" t="n">
        <f aca="false">M2514/H2514</f>
        <v>4</v>
      </c>
      <c r="O2514" s="1114" t="s">
        <v>3574</v>
      </c>
      <c r="P2514" s="1934" t="n">
        <f aca="false">K2514-L2514-L2516-L2515</f>
        <v>4.72937244921923E-011</v>
      </c>
      <c r="Q2514" s="1934" t="n">
        <f aca="false">I2514-M2514-M2516-M2515</f>
        <v>0</v>
      </c>
      <c r="R2514" s="1935" t="n">
        <f aca="false">G2514-N2514-N2516-N2515</f>
        <v>0</v>
      </c>
    </row>
    <row r="2515" customFormat="false" ht="14.25" hidden="false" customHeight="false" outlineLevel="0" collapsed="false">
      <c r="A2515" s="882"/>
      <c r="B2515" s="830"/>
      <c r="C2515" s="1965"/>
      <c r="D2515" s="860" t="s">
        <v>10</v>
      </c>
      <c r="E2515" s="1480" t="s">
        <v>1652</v>
      </c>
      <c r="F2515" s="832"/>
      <c r="G2515" s="2010"/>
      <c r="H2515" s="1931"/>
      <c r="I2515" s="837"/>
      <c r="J2515" s="1059"/>
      <c r="K2515" s="943"/>
      <c r="L2515" s="866" t="n">
        <v>28791.126</v>
      </c>
      <c r="M2515" s="866" t="n">
        <v>810</v>
      </c>
      <c r="N2515" s="866" t="n">
        <f aca="false">M2515/H2514</f>
        <v>54</v>
      </c>
      <c r="O2515" s="543" t="s">
        <v>1223</v>
      </c>
      <c r="P2515" s="1934"/>
      <c r="Q2515" s="1934"/>
      <c r="R2515" s="1935"/>
    </row>
    <row r="2516" customFormat="false" ht="14.25" hidden="false" customHeight="false" outlineLevel="0" collapsed="false">
      <c r="A2516" s="882"/>
      <c r="B2516" s="830"/>
      <c r="C2516" s="1965"/>
      <c r="D2516" s="887" t="s">
        <v>10</v>
      </c>
      <c r="E2516" s="1501" t="s">
        <v>1652</v>
      </c>
      <c r="F2516" s="832"/>
      <c r="G2516" s="2010"/>
      <c r="H2516" s="1931"/>
      <c r="I2516" s="837"/>
      <c r="J2516" s="1059"/>
      <c r="K2516" s="943"/>
      <c r="L2516" s="890" t="n">
        <v>679790.475</v>
      </c>
      <c r="M2516" s="890" t="n">
        <v>19125</v>
      </c>
      <c r="N2516" s="890" t="n">
        <f aca="false">M2516/H2514</f>
        <v>1275</v>
      </c>
      <c r="O2516" s="1067" t="s">
        <v>1003</v>
      </c>
      <c r="P2516" s="1934"/>
      <c r="Q2516" s="1934"/>
      <c r="R2516" s="1935"/>
    </row>
    <row r="2517" customFormat="false" ht="14.25" hidden="false" customHeight="false" outlineLevel="0" collapsed="false">
      <c r="A2517" s="882" t="n">
        <v>184</v>
      </c>
      <c r="B2517" s="830" t="n">
        <v>2025</v>
      </c>
      <c r="C2517" s="1965" t="n">
        <v>46054</v>
      </c>
      <c r="D2517" s="831" t="s">
        <v>10</v>
      </c>
      <c r="E2517" s="1365" t="s">
        <v>1652</v>
      </c>
      <c r="F2517" s="883" t="s">
        <v>3364</v>
      </c>
      <c r="G2517" s="2065" t="n">
        <v>1333</v>
      </c>
      <c r="H2517" s="1931" t="n">
        <v>15</v>
      </c>
      <c r="I2517" s="837" t="n">
        <f aca="false">G2517*H2517</f>
        <v>19995</v>
      </c>
      <c r="J2517" s="1059" t="n">
        <v>45.6452</v>
      </c>
      <c r="K2517" s="943" t="n">
        <f aca="false">I2517*J2517</f>
        <v>912675.774</v>
      </c>
      <c r="L2517" s="886" t="n">
        <v>36972.612</v>
      </c>
      <c r="M2517" s="886" t="n">
        <v>810</v>
      </c>
      <c r="N2517" s="886" t="n">
        <f aca="false">M2517/H2517</f>
        <v>54</v>
      </c>
      <c r="O2517" s="1036" t="s">
        <v>1247</v>
      </c>
      <c r="P2517" s="1948" t="n">
        <f aca="false">K2517-L2517-L2519-L2518</f>
        <v>0</v>
      </c>
      <c r="Q2517" s="1934" t="n">
        <f aca="false">I2517-M2517-M2519-M2518</f>
        <v>0</v>
      </c>
      <c r="R2517" s="1935" t="n">
        <f aca="false">G2517-N2517-N2519-N2518</f>
        <v>0</v>
      </c>
    </row>
    <row r="2518" customFormat="false" ht="14.25" hidden="false" customHeight="false" outlineLevel="0" collapsed="false">
      <c r="A2518" s="882"/>
      <c r="B2518" s="830"/>
      <c r="C2518" s="1965"/>
      <c r="D2518" s="860" t="s">
        <v>10</v>
      </c>
      <c r="E2518" s="1480" t="s">
        <v>1652</v>
      </c>
      <c r="F2518" s="883"/>
      <c r="G2518" s="2065"/>
      <c r="H2518" s="1931"/>
      <c r="I2518" s="837"/>
      <c r="J2518" s="1059"/>
      <c r="K2518" s="943"/>
      <c r="L2518" s="866" t="n">
        <v>729182.07</v>
      </c>
      <c r="M2518" s="866" t="n">
        <v>15975</v>
      </c>
      <c r="N2518" s="866" t="n">
        <f aca="false">M2518/H2517</f>
        <v>1065</v>
      </c>
      <c r="O2518" s="543" t="s">
        <v>1004</v>
      </c>
      <c r="P2518" s="1948"/>
      <c r="Q2518" s="1934"/>
      <c r="R2518" s="1935"/>
    </row>
    <row r="2519" customFormat="false" ht="14.25" hidden="false" customHeight="false" outlineLevel="0" collapsed="false">
      <c r="A2519" s="882"/>
      <c r="B2519" s="830"/>
      <c r="C2519" s="1965"/>
      <c r="D2519" s="887" t="s">
        <v>10</v>
      </c>
      <c r="E2519" s="1501" t="s">
        <v>1652</v>
      </c>
      <c r="F2519" s="883"/>
      <c r="G2519" s="2065"/>
      <c r="H2519" s="1931"/>
      <c r="I2519" s="837"/>
      <c r="J2519" s="1059"/>
      <c r="K2519" s="943"/>
      <c r="L2519" s="890" t="n">
        <v>146521.092</v>
      </c>
      <c r="M2519" s="890" t="n">
        <v>3210</v>
      </c>
      <c r="N2519" s="890" t="n">
        <f aca="false">M2519/H2517</f>
        <v>214</v>
      </c>
      <c r="O2519" s="1067" t="s">
        <v>1172</v>
      </c>
      <c r="P2519" s="1948"/>
      <c r="Q2519" s="1934"/>
      <c r="R2519" s="1935"/>
    </row>
    <row r="2520" customFormat="false" ht="14.25" hidden="false" customHeight="false" outlineLevel="0" collapsed="false">
      <c r="A2520" s="829" t="n">
        <v>185</v>
      </c>
      <c r="B2520" s="830" t="n">
        <v>2025</v>
      </c>
      <c r="C2520" s="1965" t="n">
        <v>46054</v>
      </c>
      <c r="D2520" s="831" t="s">
        <v>10</v>
      </c>
      <c r="E2520" s="1365" t="s">
        <v>1652</v>
      </c>
      <c r="F2520" s="832" t="s">
        <v>3364</v>
      </c>
      <c r="G2520" s="2010" t="n">
        <v>300</v>
      </c>
      <c r="H2520" s="1931" t="n">
        <v>15</v>
      </c>
      <c r="I2520" s="837" t="n">
        <f aca="false">G2520*H2520</f>
        <v>4500</v>
      </c>
      <c r="J2520" s="1059" t="n">
        <v>45.6452</v>
      </c>
      <c r="K2520" s="943" t="n">
        <f aca="false">I2520*J2520</f>
        <v>205403.4</v>
      </c>
      <c r="L2520" s="840" t="n">
        <v>16432.272</v>
      </c>
      <c r="M2520" s="840" t="n">
        <v>360</v>
      </c>
      <c r="N2520" s="886" t="n">
        <f aca="false">M2520/H2520</f>
        <v>24</v>
      </c>
      <c r="O2520" s="1036" t="s">
        <v>1172</v>
      </c>
      <c r="P2520" s="1948" t="n">
        <f aca="false">K2520-L2520-L2521</f>
        <v>0</v>
      </c>
      <c r="Q2520" s="1934" t="n">
        <f aca="false">I2520-M2520-M2521</f>
        <v>0</v>
      </c>
      <c r="R2520" s="1935" t="n">
        <f aca="false">G2520-N2520-N2521</f>
        <v>0</v>
      </c>
    </row>
    <row r="2521" customFormat="false" ht="14.25" hidden="false" customHeight="false" outlineLevel="0" collapsed="false">
      <c r="A2521" s="829"/>
      <c r="B2521" s="830"/>
      <c r="C2521" s="1965"/>
      <c r="D2521" s="887" t="s">
        <v>10</v>
      </c>
      <c r="E2521" s="1501" t="s">
        <v>1652</v>
      </c>
      <c r="F2521" s="832"/>
      <c r="G2521" s="2010"/>
      <c r="H2521" s="1931"/>
      <c r="I2521" s="837"/>
      <c r="J2521" s="1059"/>
      <c r="K2521" s="943"/>
      <c r="L2521" s="890" t="n">
        <v>188971.128</v>
      </c>
      <c r="M2521" s="890" t="n">
        <v>4140</v>
      </c>
      <c r="N2521" s="846" t="n">
        <f aca="false">M2521/H2520</f>
        <v>276</v>
      </c>
      <c r="O2521" s="589" t="s">
        <v>1003</v>
      </c>
      <c r="P2521" s="1948"/>
      <c r="Q2521" s="1934"/>
      <c r="R2521" s="1935"/>
    </row>
    <row r="2522" customFormat="false" ht="14.25" hidden="false" customHeight="false" outlineLevel="0" collapsed="false">
      <c r="A2522" s="882" t="n">
        <v>187</v>
      </c>
      <c r="B2522" s="830" t="n">
        <v>2025</v>
      </c>
      <c r="C2522" s="1965" t="n">
        <v>46054</v>
      </c>
      <c r="D2522" s="831" t="s">
        <v>10</v>
      </c>
      <c r="E2522" s="1365" t="s">
        <v>1652</v>
      </c>
      <c r="F2522" s="832" t="s">
        <v>3364</v>
      </c>
      <c r="G2522" s="2010" t="n">
        <v>170</v>
      </c>
      <c r="H2522" s="1931" t="n">
        <v>15</v>
      </c>
      <c r="I2522" s="837" t="n">
        <f aca="false">G2522*H2522</f>
        <v>2550</v>
      </c>
      <c r="J2522" s="1059" t="n">
        <v>45.6452</v>
      </c>
      <c r="K2522" s="943" t="n">
        <f aca="false">I2522*J2522</f>
        <v>116395.26</v>
      </c>
      <c r="L2522" s="840" t="n">
        <v>50666.172</v>
      </c>
      <c r="M2522" s="840" t="n">
        <v>1110</v>
      </c>
      <c r="N2522" s="886" t="n">
        <f aca="false">M2522/H2522</f>
        <v>74</v>
      </c>
      <c r="O2522" s="1114" t="s">
        <v>3577</v>
      </c>
      <c r="P2522" s="1948" t="n">
        <f aca="false">K2522-L2522-L2524-L2523</f>
        <v>0</v>
      </c>
      <c r="Q2522" s="1934" t="n">
        <f aca="false">I2522-M2522-M2524-M2523</f>
        <v>0</v>
      </c>
      <c r="R2522" s="1935" t="n">
        <f aca="false">G2522-N2522-N2524-N2523</f>
        <v>0</v>
      </c>
    </row>
    <row r="2523" customFormat="false" ht="14.25" hidden="false" customHeight="false" outlineLevel="0" collapsed="false">
      <c r="A2523" s="882"/>
      <c r="B2523" s="830"/>
      <c r="C2523" s="1965"/>
      <c r="D2523" s="860" t="s">
        <v>10</v>
      </c>
      <c r="E2523" s="1480" t="s">
        <v>1652</v>
      </c>
      <c r="F2523" s="832"/>
      <c r="G2523" s="2010"/>
      <c r="H2523" s="1931"/>
      <c r="I2523" s="837"/>
      <c r="J2523" s="1059"/>
      <c r="K2523" s="943"/>
      <c r="L2523" s="866" t="n">
        <v>28756.476</v>
      </c>
      <c r="M2523" s="866" t="n">
        <v>630</v>
      </c>
      <c r="N2523" s="866" t="n">
        <f aca="false">M2523/H2522</f>
        <v>42</v>
      </c>
      <c r="O2523" s="543" t="s">
        <v>3578</v>
      </c>
      <c r="P2523" s="1948"/>
      <c r="Q2523" s="1934"/>
      <c r="R2523" s="1935"/>
    </row>
    <row r="2524" customFormat="false" ht="14.25" hidden="false" customHeight="false" outlineLevel="0" collapsed="false">
      <c r="A2524" s="882"/>
      <c r="B2524" s="830"/>
      <c r="C2524" s="1965"/>
      <c r="D2524" s="887" t="s">
        <v>10</v>
      </c>
      <c r="E2524" s="1501" t="s">
        <v>1652</v>
      </c>
      <c r="F2524" s="832"/>
      <c r="G2524" s="2010"/>
      <c r="H2524" s="1931"/>
      <c r="I2524" s="837"/>
      <c r="J2524" s="1059"/>
      <c r="K2524" s="943"/>
      <c r="L2524" s="890" t="n">
        <v>36972.612</v>
      </c>
      <c r="M2524" s="890" t="n">
        <v>810</v>
      </c>
      <c r="N2524" s="890" t="n">
        <f aca="false">M2524/H2522</f>
        <v>54</v>
      </c>
      <c r="O2524" s="1067" t="s">
        <v>1268</v>
      </c>
      <c r="P2524" s="1948"/>
      <c r="Q2524" s="1934"/>
      <c r="R2524" s="1935"/>
    </row>
    <row r="2525" customFormat="false" ht="14.25" hidden="false" customHeight="false" outlineLevel="0" collapsed="false">
      <c r="A2525" s="847" t="n">
        <v>188</v>
      </c>
      <c r="B2525" s="1396" t="n">
        <v>2025</v>
      </c>
      <c r="C2525" s="1966" t="n">
        <v>46054</v>
      </c>
      <c r="D2525" s="848" t="s">
        <v>10</v>
      </c>
      <c r="E2525" s="1479" t="s">
        <v>1652</v>
      </c>
      <c r="F2525" s="848" t="s">
        <v>3364</v>
      </c>
      <c r="G2525" s="2018" t="n">
        <v>13</v>
      </c>
      <c r="H2525" s="1967" t="n">
        <v>799.2307</v>
      </c>
      <c r="I2525" s="537" t="n">
        <f aca="false">G2525*H2525</f>
        <v>10389.9991</v>
      </c>
      <c r="J2525" s="1544" t="n">
        <v>31.8853</v>
      </c>
      <c r="K2525" s="953" t="n">
        <f aca="false">I2525*J2525</f>
        <v>331288.23830323</v>
      </c>
      <c r="L2525" s="854" t="n">
        <v>331288.2383</v>
      </c>
      <c r="M2525" s="854" t="n">
        <v>10390</v>
      </c>
      <c r="N2525" s="854" t="n">
        <f aca="false">M2525/H2525</f>
        <v>13.0000011260829</v>
      </c>
      <c r="O2525" s="537" t="s">
        <v>1055</v>
      </c>
      <c r="P2525" s="1947" t="n">
        <f aca="false">K2525-L2525</f>
        <v>3.22994310408831E-006</v>
      </c>
      <c r="Q2525" s="1945" t="n">
        <f aca="false">I2525-M2525</f>
        <v>-0.00090000000091095</v>
      </c>
      <c r="R2525" s="1945" t="n">
        <f aca="false">G2525-N2525</f>
        <v>-1.12608286961802E-006</v>
      </c>
    </row>
    <row r="2526" customFormat="false" ht="14.25" hidden="false" customHeight="false" outlineLevel="0" collapsed="false">
      <c r="A2526" s="870" t="n">
        <v>189</v>
      </c>
      <c r="B2526" s="1495" t="n">
        <v>2025</v>
      </c>
      <c r="C2526" s="1972" t="n">
        <v>46054</v>
      </c>
      <c r="D2526" s="871" t="s">
        <v>10</v>
      </c>
      <c r="E2526" s="1478" t="s">
        <v>1652</v>
      </c>
      <c r="F2526" s="871" t="s">
        <v>3364</v>
      </c>
      <c r="G2526" s="2024" t="n">
        <v>1333</v>
      </c>
      <c r="H2526" s="1956" t="n">
        <v>15</v>
      </c>
      <c r="I2526" s="553" t="n">
        <f aca="false">G2526*H2526</f>
        <v>19995</v>
      </c>
      <c r="J2526" s="1542" t="n">
        <v>31.9092</v>
      </c>
      <c r="K2526" s="1403" t="n">
        <f aca="false">I2526*J2526</f>
        <v>638024.454</v>
      </c>
      <c r="L2526" s="877" t="n">
        <v>638024.454</v>
      </c>
      <c r="M2526" s="877" t="n">
        <v>19995</v>
      </c>
      <c r="N2526" s="891" t="n">
        <f aca="false">M2526/H2526</f>
        <v>1333</v>
      </c>
      <c r="O2526" s="553" t="s">
        <v>1003</v>
      </c>
      <c r="P2526" s="1959" t="n">
        <f aca="false">K2526-L2526</f>
        <v>0</v>
      </c>
      <c r="Q2526" s="1960" t="n">
        <f aca="false">I2526-M2526</f>
        <v>0</v>
      </c>
      <c r="R2526" s="1960" t="n">
        <f aca="false">G2526-N2526</f>
        <v>0</v>
      </c>
    </row>
    <row r="2527" customFormat="false" ht="14.25" hidden="false" customHeight="false" outlineLevel="0" collapsed="false">
      <c r="A2527" s="829" t="n">
        <v>190</v>
      </c>
      <c r="B2527" s="830" t="n">
        <v>2025</v>
      </c>
      <c r="C2527" s="1965" t="n">
        <v>46054</v>
      </c>
      <c r="D2527" s="831" t="s">
        <v>10</v>
      </c>
      <c r="E2527" s="1365" t="s">
        <v>2619</v>
      </c>
      <c r="F2527" s="832" t="s">
        <v>3364</v>
      </c>
      <c r="G2527" s="2010" t="n">
        <v>331</v>
      </c>
      <c r="H2527" s="1931" t="n">
        <v>30</v>
      </c>
      <c r="I2527" s="837" t="n">
        <f aca="false">G2527*H2527</f>
        <v>9930</v>
      </c>
      <c r="J2527" s="1059" t="n">
        <v>97.7798</v>
      </c>
      <c r="K2527" s="943" t="n">
        <f aca="false">I2527*J2527</f>
        <v>970953.414</v>
      </c>
      <c r="L2527" s="886" t="n">
        <v>481076.616</v>
      </c>
      <c r="M2527" s="886" t="n">
        <v>4920</v>
      </c>
      <c r="N2527" s="886" t="n">
        <f aca="false">M2527/H2527</f>
        <v>164</v>
      </c>
      <c r="O2527" s="1036" t="s">
        <v>1224</v>
      </c>
      <c r="P2527" s="1948" t="n">
        <f aca="false">K2527-L2527-L2530-L2529-L2528</f>
        <v>0</v>
      </c>
      <c r="Q2527" s="1934" t="n">
        <f aca="false">I2527-M2527-M2530-M2529-M2528</f>
        <v>0</v>
      </c>
      <c r="R2527" s="1935" t="n">
        <f aca="false">G2527-N2527-N2530-N2529-N2528</f>
        <v>0</v>
      </c>
    </row>
    <row r="2528" customFormat="false" ht="14.25" hidden="false" customHeight="false" outlineLevel="0" collapsed="false">
      <c r="A2528" s="829"/>
      <c r="B2528" s="830"/>
      <c r="C2528" s="1965"/>
      <c r="D2528" s="860" t="s">
        <v>10</v>
      </c>
      <c r="E2528" s="1480" t="s">
        <v>2619</v>
      </c>
      <c r="F2528" s="832"/>
      <c r="G2528" s="2010"/>
      <c r="H2528" s="1931"/>
      <c r="I2528" s="837"/>
      <c r="J2528" s="1059"/>
      <c r="K2528" s="943"/>
      <c r="L2528" s="866" t="n">
        <v>73334.85</v>
      </c>
      <c r="M2528" s="866" t="n">
        <v>750</v>
      </c>
      <c r="N2528" s="866" t="n">
        <f aca="false">M2528/H2527</f>
        <v>25</v>
      </c>
      <c r="O2528" s="543" t="s">
        <v>1283</v>
      </c>
      <c r="P2528" s="1948"/>
      <c r="Q2528" s="1934"/>
      <c r="R2528" s="1935"/>
    </row>
    <row r="2529" customFormat="false" ht="14.25" hidden="false" customHeight="false" outlineLevel="0" collapsed="false">
      <c r="A2529" s="829"/>
      <c r="B2529" s="830"/>
      <c r="C2529" s="1965"/>
      <c r="D2529" s="860" t="s">
        <v>10</v>
      </c>
      <c r="E2529" s="1480" t="s">
        <v>2619</v>
      </c>
      <c r="F2529" s="832"/>
      <c r="G2529" s="2010"/>
      <c r="H2529" s="1931"/>
      <c r="I2529" s="837"/>
      <c r="J2529" s="1059"/>
      <c r="K2529" s="943"/>
      <c r="L2529" s="866" t="n">
        <v>313873.158</v>
      </c>
      <c r="M2529" s="866" t="n">
        <v>3210</v>
      </c>
      <c r="N2529" s="866" t="n">
        <f aca="false">M2529/H2527</f>
        <v>107</v>
      </c>
      <c r="O2529" s="543" t="s">
        <v>1283</v>
      </c>
      <c r="P2529" s="1948"/>
      <c r="Q2529" s="1934"/>
      <c r="R2529" s="1935"/>
    </row>
    <row r="2530" customFormat="false" ht="14.25" hidden="false" customHeight="false" outlineLevel="0" collapsed="false">
      <c r="A2530" s="829"/>
      <c r="B2530" s="830"/>
      <c r="C2530" s="1965"/>
      <c r="D2530" s="843" t="s">
        <v>10</v>
      </c>
      <c r="E2530" s="1357" t="s">
        <v>2619</v>
      </c>
      <c r="F2530" s="832"/>
      <c r="G2530" s="2010"/>
      <c r="H2530" s="1931"/>
      <c r="I2530" s="837"/>
      <c r="J2530" s="1059"/>
      <c r="K2530" s="943"/>
      <c r="L2530" s="846" t="n">
        <v>102668.79</v>
      </c>
      <c r="M2530" s="846" t="n">
        <v>1050</v>
      </c>
      <c r="N2530" s="846" t="n">
        <f aca="false">M2530/H2527</f>
        <v>35</v>
      </c>
      <c r="O2530" s="589" t="s">
        <v>1267</v>
      </c>
      <c r="P2530" s="1948"/>
      <c r="Q2530" s="1934"/>
      <c r="R2530" s="1935"/>
    </row>
    <row r="2531" customFormat="false" ht="14.25" hidden="false" customHeight="false" outlineLevel="0" collapsed="false">
      <c r="A2531" s="1087" t="n">
        <v>191</v>
      </c>
      <c r="B2531" s="1072" t="n">
        <v>2025</v>
      </c>
      <c r="C2531" s="1980" t="n">
        <v>46054</v>
      </c>
      <c r="D2531" s="848" t="s">
        <v>10</v>
      </c>
      <c r="E2531" s="1479" t="s">
        <v>1651</v>
      </c>
      <c r="F2531" s="887" t="s">
        <v>3364</v>
      </c>
      <c r="G2531" s="2017" t="n">
        <v>1326</v>
      </c>
      <c r="H2531" s="1950" t="n">
        <v>15</v>
      </c>
      <c r="I2531" s="1067" t="n">
        <f aca="false">G2531*H2531</f>
        <v>19890</v>
      </c>
      <c r="J2531" s="1063" t="n">
        <v>29.5894</v>
      </c>
      <c r="K2531" s="1452" t="n">
        <f aca="false">I2531*J2531</f>
        <v>588533.166</v>
      </c>
      <c r="L2531" s="891" t="n">
        <v>265860.759</v>
      </c>
      <c r="M2531" s="891" t="n">
        <v>8985</v>
      </c>
      <c r="N2531" s="891" t="n">
        <f aca="false">M2531/H2531</f>
        <v>599</v>
      </c>
      <c r="O2531" s="942" t="s">
        <v>1224</v>
      </c>
      <c r="P2531" s="1952" t="n">
        <f aca="false">K2531-L2531-L2535-L2534-L2532-L2533</f>
        <v>0</v>
      </c>
      <c r="Q2531" s="1953" t="n">
        <f aca="false">I2531-M2531-M2535-M2534-M2532-M2533</f>
        <v>0</v>
      </c>
      <c r="R2531" s="1954" t="n">
        <f aca="false">G2531-N2531-N2535-N2534-N2532-N2533</f>
        <v>0</v>
      </c>
    </row>
    <row r="2532" customFormat="false" ht="14.25" hidden="false" customHeight="false" outlineLevel="0" collapsed="false">
      <c r="A2532" s="1087"/>
      <c r="B2532" s="1072"/>
      <c r="C2532" s="1980"/>
      <c r="D2532" s="860" t="s">
        <v>10</v>
      </c>
      <c r="E2532" s="1480" t="s">
        <v>1651</v>
      </c>
      <c r="F2532" s="887"/>
      <c r="G2532" s="2017"/>
      <c r="H2532" s="1950"/>
      <c r="I2532" s="1067"/>
      <c r="J2532" s="1063"/>
      <c r="K2532" s="1452"/>
      <c r="L2532" s="866" t="n">
        <v>1331.523</v>
      </c>
      <c r="M2532" s="866" t="n">
        <v>45</v>
      </c>
      <c r="N2532" s="866" t="n">
        <f aca="false">M2532/H2531</f>
        <v>3</v>
      </c>
      <c r="O2532" s="543" t="s">
        <v>1265</v>
      </c>
      <c r="P2532" s="1952"/>
      <c r="Q2532" s="1953"/>
      <c r="R2532" s="1954"/>
    </row>
    <row r="2533" customFormat="false" ht="14.25" hidden="false" customHeight="false" outlineLevel="0" collapsed="false">
      <c r="A2533" s="1087"/>
      <c r="B2533" s="1072"/>
      <c r="C2533" s="1980"/>
      <c r="D2533" s="860" t="s">
        <v>10</v>
      </c>
      <c r="E2533" s="1480" t="s">
        <v>1651</v>
      </c>
      <c r="F2533" s="887"/>
      <c r="G2533" s="2017"/>
      <c r="H2533" s="1950"/>
      <c r="I2533" s="1067"/>
      <c r="J2533" s="1063"/>
      <c r="K2533" s="1452"/>
      <c r="L2533" s="866" t="n">
        <v>51485.556</v>
      </c>
      <c r="M2533" s="866" t="n">
        <v>1740</v>
      </c>
      <c r="N2533" s="866" t="n">
        <f aca="false">M2533/H2531</f>
        <v>116</v>
      </c>
      <c r="O2533" s="543" t="s">
        <v>3579</v>
      </c>
      <c r="P2533" s="1952"/>
      <c r="Q2533" s="1953"/>
      <c r="R2533" s="1954"/>
    </row>
    <row r="2534" customFormat="false" ht="14.25" hidden="false" customHeight="false" outlineLevel="0" collapsed="false">
      <c r="A2534" s="1087"/>
      <c r="B2534" s="1072"/>
      <c r="C2534" s="1980"/>
      <c r="D2534" s="860" t="s">
        <v>10</v>
      </c>
      <c r="E2534" s="1480" t="s">
        <v>1651</v>
      </c>
      <c r="F2534" s="887"/>
      <c r="G2534" s="2017"/>
      <c r="H2534" s="1950"/>
      <c r="I2534" s="1067"/>
      <c r="J2534" s="1063"/>
      <c r="K2534" s="1452"/>
      <c r="L2534" s="866" t="n">
        <v>208605.27</v>
      </c>
      <c r="M2534" s="866" t="n">
        <v>7050</v>
      </c>
      <c r="N2534" s="866" t="n">
        <f aca="false">M2534/H2531</f>
        <v>470</v>
      </c>
      <c r="O2534" s="543" t="s">
        <v>3580</v>
      </c>
      <c r="P2534" s="1952"/>
      <c r="Q2534" s="1953"/>
      <c r="R2534" s="1954"/>
    </row>
    <row r="2535" customFormat="false" ht="14.25" hidden="false" customHeight="false" outlineLevel="0" collapsed="false">
      <c r="A2535" s="1087"/>
      <c r="B2535" s="1072"/>
      <c r="C2535" s="1980"/>
      <c r="D2535" s="843" t="s">
        <v>10</v>
      </c>
      <c r="E2535" s="1357" t="s">
        <v>1651</v>
      </c>
      <c r="F2535" s="887"/>
      <c r="G2535" s="2017"/>
      <c r="H2535" s="1950"/>
      <c r="I2535" s="1067"/>
      <c r="J2535" s="1063"/>
      <c r="K2535" s="1452"/>
      <c r="L2535" s="846" t="n">
        <v>61250.058</v>
      </c>
      <c r="M2535" s="846" t="n">
        <v>2070</v>
      </c>
      <c r="N2535" s="846" t="n">
        <f aca="false">M2535/H2531</f>
        <v>138</v>
      </c>
      <c r="O2535" s="589" t="s">
        <v>1002</v>
      </c>
      <c r="P2535" s="1952"/>
      <c r="Q2535" s="1953"/>
      <c r="R2535" s="1954"/>
    </row>
    <row r="2536" customFormat="false" ht="14.25" hidden="false" customHeight="false" outlineLevel="0" collapsed="false">
      <c r="A2536" s="1465" t="n">
        <v>192</v>
      </c>
      <c r="B2536" s="1546" t="n">
        <v>2025</v>
      </c>
      <c r="C2536" s="1975" t="n">
        <v>46054</v>
      </c>
      <c r="D2536" s="831" t="s">
        <v>10</v>
      </c>
      <c r="E2536" s="1365" t="s">
        <v>1652</v>
      </c>
      <c r="F2536" s="1328" t="s">
        <v>3364</v>
      </c>
      <c r="G2536" s="2011" t="n">
        <v>1333</v>
      </c>
      <c r="H2536" s="1976" t="n">
        <v>15</v>
      </c>
      <c r="I2536" s="1036" t="n">
        <f aca="false">G2536*H2536</f>
        <v>19995</v>
      </c>
      <c r="J2536" s="1557" t="n">
        <v>41.2473</v>
      </c>
      <c r="K2536" s="1547" t="n">
        <f aca="false">I2536*J2536</f>
        <v>824739.7635</v>
      </c>
      <c r="L2536" s="886" t="n">
        <v>225828.9675</v>
      </c>
      <c r="M2536" s="886" t="n">
        <v>5475</v>
      </c>
      <c r="N2536" s="886" t="n">
        <f aca="false">M2536/H2536</f>
        <v>365</v>
      </c>
      <c r="O2536" s="1036" t="s">
        <v>1266</v>
      </c>
      <c r="P2536" s="1984" t="n">
        <f aca="false">K2536-L2536-L2546-L2545-L2537-L2544-L2538-L2539-L2540-L2542-L2543-L2541</f>
        <v>0</v>
      </c>
      <c r="Q2536" s="1978" t="n">
        <f aca="false">I2536-M2536-M2546-M2545-M2537-M2544-M2538-M2539-M2540-M2542-M2543-M2541</f>
        <v>0</v>
      </c>
      <c r="R2536" s="1979" t="n">
        <f aca="false">G2536-N2536-N2546-N2545-N2537-N2544-N2538-N2539-N2540-N2542-N2543-N2541</f>
        <v>0</v>
      </c>
    </row>
    <row r="2537" customFormat="false" ht="14.25" hidden="false" customHeight="false" outlineLevel="0" collapsed="false">
      <c r="A2537" s="1465"/>
      <c r="B2537" s="1546"/>
      <c r="C2537" s="1975"/>
      <c r="D2537" s="848" t="s">
        <v>10</v>
      </c>
      <c r="E2537" s="1479" t="s">
        <v>1652</v>
      </c>
      <c r="F2537" s="1328"/>
      <c r="G2537" s="2011"/>
      <c r="H2537" s="1976"/>
      <c r="I2537" s="1036"/>
      <c r="J2537" s="1557"/>
      <c r="K2537" s="1547"/>
      <c r="L2537" s="866" t="n">
        <v>78576.1065</v>
      </c>
      <c r="M2537" s="866" t="n">
        <v>1905</v>
      </c>
      <c r="N2537" s="866" t="n">
        <f aca="false">M2537/H2536</f>
        <v>127</v>
      </c>
      <c r="O2537" s="543" t="s">
        <v>3581</v>
      </c>
      <c r="P2537" s="1984"/>
      <c r="Q2537" s="1978"/>
      <c r="R2537" s="1979"/>
    </row>
    <row r="2538" customFormat="false" ht="14.25" hidden="false" customHeight="false" outlineLevel="0" collapsed="false">
      <c r="A2538" s="1465"/>
      <c r="B2538" s="1546"/>
      <c r="C2538" s="1975"/>
      <c r="D2538" s="848" t="s">
        <v>10</v>
      </c>
      <c r="E2538" s="1479" t="s">
        <v>1652</v>
      </c>
      <c r="F2538" s="1328"/>
      <c r="G2538" s="2011"/>
      <c r="H2538" s="1976"/>
      <c r="I2538" s="1036"/>
      <c r="J2538" s="1557"/>
      <c r="K2538" s="1547"/>
      <c r="L2538" s="866" t="n">
        <v>38359.989</v>
      </c>
      <c r="M2538" s="866" t="n">
        <v>930</v>
      </c>
      <c r="N2538" s="866" t="n">
        <f aca="false">M2538/H2536</f>
        <v>62</v>
      </c>
      <c r="O2538" s="543" t="s">
        <v>1285</v>
      </c>
      <c r="P2538" s="1984"/>
      <c r="Q2538" s="1978"/>
      <c r="R2538" s="1979"/>
    </row>
    <row r="2539" customFormat="false" ht="14.25" hidden="false" customHeight="false" outlineLevel="0" collapsed="false">
      <c r="A2539" s="1465"/>
      <c r="B2539" s="1546"/>
      <c r="C2539" s="1975"/>
      <c r="D2539" s="848" t="s">
        <v>10</v>
      </c>
      <c r="E2539" s="1479" t="s">
        <v>1652</v>
      </c>
      <c r="F2539" s="1328"/>
      <c r="G2539" s="2011"/>
      <c r="H2539" s="1976"/>
      <c r="I2539" s="1036"/>
      <c r="J2539" s="1557"/>
      <c r="K2539" s="1547"/>
      <c r="L2539" s="866" t="n">
        <v>212217.3585</v>
      </c>
      <c r="M2539" s="866" t="n">
        <v>5145</v>
      </c>
      <c r="N2539" s="866" t="n">
        <f aca="false">M2539/H2536</f>
        <v>343</v>
      </c>
      <c r="O2539" s="543" t="s">
        <v>3582</v>
      </c>
      <c r="P2539" s="1984"/>
      <c r="Q2539" s="1978"/>
      <c r="R2539" s="1979"/>
    </row>
    <row r="2540" customFormat="false" ht="14.25" hidden="false" customHeight="false" outlineLevel="0" collapsed="false">
      <c r="A2540" s="1465"/>
      <c r="B2540" s="1546"/>
      <c r="C2540" s="1975"/>
      <c r="D2540" s="848" t="s">
        <v>10</v>
      </c>
      <c r="E2540" s="1479" t="s">
        <v>1652</v>
      </c>
      <c r="F2540" s="1328"/>
      <c r="G2540" s="2011"/>
      <c r="H2540" s="1976"/>
      <c r="I2540" s="1036"/>
      <c r="J2540" s="1557"/>
      <c r="K2540" s="1547"/>
      <c r="L2540" s="866" t="n">
        <v>20417.4135</v>
      </c>
      <c r="M2540" s="866" t="n">
        <v>495</v>
      </c>
      <c r="N2540" s="866" t="n">
        <f aca="false">M2540/H2536</f>
        <v>33</v>
      </c>
      <c r="O2540" s="543" t="s">
        <v>1323</v>
      </c>
      <c r="P2540" s="1984"/>
      <c r="Q2540" s="1978"/>
      <c r="R2540" s="1979"/>
    </row>
    <row r="2541" customFormat="false" ht="14.25" hidden="false" customHeight="false" outlineLevel="0" collapsed="false">
      <c r="A2541" s="1465"/>
      <c r="B2541" s="1546"/>
      <c r="C2541" s="1975"/>
      <c r="D2541" s="848" t="s">
        <v>10</v>
      </c>
      <c r="E2541" s="1479" t="s">
        <v>1652</v>
      </c>
      <c r="F2541" s="1328"/>
      <c r="G2541" s="2011"/>
      <c r="H2541" s="1976"/>
      <c r="I2541" s="1036"/>
      <c r="J2541" s="1557"/>
      <c r="K2541" s="1547"/>
      <c r="L2541" s="866" t="n">
        <v>41453.5365</v>
      </c>
      <c r="M2541" s="866" t="n">
        <v>1005</v>
      </c>
      <c r="N2541" s="866" t="n">
        <f aca="false">M2541/H2536</f>
        <v>67</v>
      </c>
      <c r="O2541" s="543" t="s">
        <v>1339</v>
      </c>
      <c r="P2541" s="1984"/>
      <c r="Q2541" s="1978"/>
      <c r="R2541" s="1979"/>
    </row>
    <row r="2542" customFormat="false" ht="14.25" hidden="false" customHeight="false" outlineLevel="0" collapsed="false">
      <c r="A2542" s="1465"/>
      <c r="B2542" s="1546"/>
      <c r="C2542" s="1975"/>
      <c r="D2542" s="848" t="s">
        <v>10</v>
      </c>
      <c r="E2542" s="1479" t="s">
        <v>1652</v>
      </c>
      <c r="F2542" s="1328"/>
      <c r="G2542" s="2011"/>
      <c r="H2542" s="1976"/>
      <c r="I2542" s="1036"/>
      <c r="J2542" s="1557"/>
      <c r="K2542" s="1547"/>
      <c r="L2542" s="866" t="n">
        <v>41453.5365</v>
      </c>
      <c r="M2542" s="866" t="n">
        <v>1005</v>
      </c>
      <c r="N2542" s="866" t="n">
        <f aca="false">M2542/H2536</f>
        <v>67</v>
      </c>
      <c r="O2542" s="543" t="s">
        <v>1324</v>
      </c>
      <c r="P2542" s="1984"/>
      <c r="Q2542" s="1978"/>
      <c r="R2542" s="1979"/>
    </row>
    <row r="2543" customFormat="false" ht="14.25" hidden="false" customHeight="false" outlineLevel="0" collapsed="false">
      <c r="A2543" s="1465"/>
      <c r="B2543" s="1546"/>
      <c r="C2543" s="1975"/>
      <c r="D2543" s="848" t="s">
        <v>10</v>
      </c>
      <c r="E2543" s="1479" t="s">
        <v>1652</v>
      </c>
      <c r="F2543" s="1328"/>
      <c r="G2543" s="2011"/>
      <c r="H2543" s="1976"/>
      <c r="I2543" s="1036"/>
      <c r="J2543" s="1557"/>
      <c r="K2543" s="1547"/>
      <c r="L2543" s="866" t="n">
        <v>41453.5365</v>
      </c>
      <c r="M2543" s="866" t="n">
        <v>1005</v>
      </c>
      <c r="N2543" s="866" t="n">
        <f aca="false">M2543/H2536</f>
        <v>67</v>
      </c>
      <c r="O2543" s="543" t="s">
        <v>1331</v>
      </c>
      <c r="P2543" s="1984"/>
      <c r="Q2543" s="1978"/>
      <c r="R2543" s="1979"/>
    </row>
    <row r="2544" customFormat="false" ht="14.25" hidden="false" customHeight="false" outlineLevel="0" collapsed="false">
      <c r="A2544" s="1465"/>
      <c r="B2544" s="1546"/>
      <c r="C2544" s="1975"/>
      <c r="D2544" s="848" t="s">
        <v>10</v>
      </c>
      <c r="E2544" s="1479" t="s">
        <v>1652</v>
      </c>
      <c r="F2544" s="1328"/>
      <c r="G2544" s="2011"/>
      <c r="H2544" s="1976"/>
      <c r="I2544" s="1036"/>
      <c r="J2544" s="1557"/>
      <c r="K2544" s="1547"/>
      <c r="L2544" s="866" t="n">
        <v>21036.123</v>
      </c>
      <c r="M2544" s="866" t="n">
        <v>510</v>
      </c>
      <c r="N2544" s="866" t="n">
        <f aca="false">M2544/H2536</f>
        <v>34</v>
      </c>
      <c r="O2544" s="543" t="s">
        <v>1290</v>
      </c>
      <c r="P2544" s="1984"/>
      <c r="Q2544" s="1978"/>
      <c r="R2544" s="1979"/>
    </row>
    <row r="2545" customFormat="false" ht="14.25" hidden="false" customHeight="false" outlineLevel="0" collapsed="false">
      <c r="A2545" s="1465"/>
      <c r="B2545" s="1546"/>
      <c r="C2545" s="1975"/>
      <c r="D2545" s="860" t="s">
        <v>10</v>
      </c>
      <c r="E2545" s="1480" t="s">
        <v>1652</v>
      </c>
      <c r="F2545" s="1328"/>
      <c r="G2545" s="2011"/>
      <c r="H2545" s="1976"/>
      <c r="I2545" s="1036"/>
      <c r="J2545" s="1557"/>
      <c r="K2545" s="1547"/>
      <c r="L2545" s="866" t="n">
        <v>21036.123</v>
      </c>
      <c r="M2545" s="866" t="n">
        <v>510</v>
      </c>
      <c r="N2545" s="866" t="n">
        <f aca="false">M2545/H2536</f>
        <v>34</v>
      </c>
      <c r="O2545" s="543" t="s">
        <v>1285</v>
      </c>
      <c r="P2545" s="1984"/>
      <c r="Q2545" s="1978"/>
      <c r="R2545" s="1979"/>
    </row>
    <row r="2546" customFormat="false" ht="14.25" hidden="false" customHeight="false" outlineLevel="0" collapsed="false">
      <c r="A2546" s="1465"/>
      <c r="B2546" s="1546"/>
      <c r="C2546" s="1975"/>
      <c r="D2546" s="904" t="s">
        <v>10</v>
      </c>
      <c r="E2546" s="1351" t="s">
        <v>1652</v>
      </c>
      <c r="F2546" s="1328"/>
      <c r="G2546" s="2011"/>
      <c r="H2546" s="1976"/>
      <c r="I2546" s="1036"/>
      <c r="J2546" s="1557"/>
      <c r="K2546" s="1547"/>
      <c r="L2546" s="891" t="n">
        <v>82907.073</v>
      </c>
      <c r="M2546" s="891" t="n">
        <v>2010</v>
      </c>
      <c r="N2546" s="891" t="n">
        <f aca="false">M2546/H2536</f>
        <v>134</v>
      </c>
      <c r="O2546" s="942" t="s">
        <v>1282</v>
      </c>
      <c r="P2546" s="1984"/>
      <c r="Q2546" s="1978"/>
      <c r="R2546" s="1979"/>
    </row>
    <row r="2547" customFormat="false" ht="14.25" hidden="false" customHeight="false" outlineLevel="0" collapsed="false">
      <c r="A2547" s="829" t="n">
        <v>193</v>
      </c>
      <c r="B2547" s="830" t="n">
        <v>2025</v>
      </c>
      <c r="C2547" s="1965" t="n">
        <v>46054</v>
      </c>
      <c r="D2547" s="831" t="s">
        <v>10</v>
      </c>
      <c r="E2547" s="1365" t="s">
        <v>1652</v>
      </c>
      <c r="F2547" s="832" t="s">
        <v>3364</v>
      </c>
      <c r="G2547" s="2010" t="n">
        <v>1004</v>
      </c>
      <c r="H2547" s="1931" t="n">
        <v>15</v>
      </c>
      <c r="I2547" s="837" t="n">
        <f aca="false">G2547*H2547</f>
        <v>15060</v>
      </c>
      <c r="J2547" s="1059" t="n">
        <v>42.1264</v>
      </c>
      <c r="K2547" s="943" t="n">
        <f aca="false">I2547*J2547</f>
        <v>634423.584</v>
      </c>
      <c r="L2547" s="886" t="n">
        <v>99207.672</v>
      </c>
      <c r="M2547" s="886" t="n">
        <v>2355</v>
      </c>
      <c r="N2547" s="886" t="n">
        <f aca="false">M2547/H2547</f>
        <v>157</v>
      </c>
      <c r="O2547" s="1036" t="s">
        <v>3583</v>
      </c>
      <c r="P2547" s="1948" t="n">
        <f aca="false">K2547-L2547-L2556-L2555-L2548-L2549-L2554-L2550-L2551-L2553-L2552</f>
        <v>0</v>
      </c>
      <c r="Q2547" s="1934" t="n">
        <f aca="false">I2547-M2547-M2556-M2555-M2548-M2549-M2554-M2550-M2551-M2553-M2552</f>
        <v>0</v>
      </c>
      <c r="R2547" s="1935" t="n">
        <f aca="false">G2547-N2547-N2556-N2555-N2548-N2549-N2554-N2550-N2551-N2553-N2552</f>
        <v>0</v>
      </c>
    </row>
    <row r="2548" customFormat="false" ht="14.25" hidden="false" customHeight="false" outlineLevel="0" collapsed="false">
      <c r="A2548" s="829"/>
      <c r="B2548" s="830"/>
      <c r="C2548" s="1965"/>
      <c r="D2548" s="860" t="s">
        <v>10</v>
      </c>
      <c r="E2548" s="1480" t="s">
        <v>1652</v>
      </c>
      <c r="F2548" s="832"/>
      <c r="G2548" s="2010"/>
      <c r="H2548" s="1931"/>
      <c r="I2548" s="837"/>
      <c r="J2548" s="1059"/>
      <c r="K2548" s="943"/>
      <c r="L2548" s="866" t="n">
        <v>8846.544</v>
      </c>
      <c r="M2548" s="866" t="n">
        <v>210</v>
      </c>
      <c r="N2548" s="866" t="n">
        <f aca="false">M2548/H2547</f>
        <v>14</v>
      </c>
      <c r="O2548" s="543" t="s">
        <v>1322</v>
      </c>
      <c r="P2548" s="1948"/>
      <c r="Q2548" s="1934"/>
      <c r="R2548" s="1935"/>
    </row>
    <row r="2549" customFormat="false" ht="14.25" hidden="false" customHeight="false" outlineLevel="0" collapsed="false">
      <c r="A2549" s="829"/>
      <c r="B2549" s="830"/>
      <c r="C2549" s="1965"/>
      <c r="D2549" s="860" t="s">
        <v>10</v>
      </c>
      <c r="E2549" s="1480" t="s">
        <v>1652</v>
      </c>
      <c r="F2549" s="832"/>
      <c r="G2549" s="2010"/>
      <c r="H2549" s="1931"/>
      <c r="I2549" s="837"/>
      <c r="J2549" s="1059"/>
      <c r="K2549" s="943"/>
      <c r="L2549" s="866" t="n">
        <v>10110.336</v>
      </c>
      <c r="M2549" s="866" t="n">
        <v>240</v>
      </c>
      <c r="N2549" s="866" t="n">
        <f aca="false">M2549/H2547</f>
        <v>16</v>
      </c>
      <c r="O2549" s="543" t="s">
        <v>1328</v>
      </c>
      <c r="P2549" s="1948"/>
      <c r="Q2549" s="1934"/>
      <c r="R2549" s="1935"/>
    </row>
    <row r="2550" customFormat="false" ht="14.25" hidden="false" customHeight="false" outlineLevel="0" collapsed="false">
      <c r="A2550" s="829"/>
      <c r="B2550" s="830"/>
      <c r="C2550" s="1965"/>
      <c r="D2550" s="860" t="s">
        <v>10</v>
      </c>
      <c r="E2550" s="1480" t="s">
        <v>1652</v>
      </c>
      <c r="F2550" s="832"/>
      <c r="G2550" s="2010"/>
      <c r="H2550" s="1931"/>
      <c r="I2550" s="837"/>
      <c r="J2550" s="1059"/>
      <c r="K2550" s="943"/>
      <c r="L2550" s="866" t="n">
        <v>42337.032</v>
      </c>
      <c r="M2550" s="866" t="n">
        <v>1005</v>
      </c>
      <c r="N2550" s="866" t="n">
        <f aca="false">M2550/H2547</f>
        <v>67</v>
      </c>
      <c r="O2550" s="543" t="s">
        <v>1335</v>
      </c>
      <c r="P2550" s="1948"/>
      <c r="Q2550" s="1934"/>
      <c r="R2550" s="1935"/>
    </row>
    <row r="2551" customFormat="false" ht="14.25" hidden="false" customHeight="false" outlineLevel="0" collapsed="false">
      <c r="A2551" s="829"/>
      <c r="B2551" s="830"/>
      <c r="C2551" s="1965"/>
      <c r="D2551" s="860" t="s">
        <v>10</v>
      </c>
      <c r="E2551" s="1480" t="s">
        <v>1652</v>
      </c>
      <c r="F2551" s="832"/>
      <c r="G2551" s="2010"/>
      <c r="H2551" s="1931"/>
      <c r="I2551" s="837"/>
      <c r="J2551" s="1059"/>
      <c r="K2551" s="943"/>
      <c r="L2551" s="866" t="n">
        <v>42337.032</v>
      </c>
      <c r="M2551" s="866" t="n">
        <v>1005</v>
      </c>
      <c r="N2551" s="866" t="n">
        <f aca="false">M2551/H2547</f>
        <v>67</v>
      </c>
      <c r="O2551" s="543" t="s">
        <v>1336</v>
      </c>
      <c r="P2551" s="1948"/>
      <c r="Q2551" s="1934"/>
      <c r="R2551" s="1935"/>
    </row>
    <row r="2552" customFormat="false" ht="14.25" hidden="false" customHeight="false" outlineLevel="0" collapsed="false">
      <c r="A2552" s="829"/>
      <c r="B2552" s="830"/>
      <c r="C2552" s="1965"/>
      <c r="D2552" s="860" t="s">
        <v>10</v>
      </c>
      <c r="E2552" s="1480" t="s">
        <v>1652</v>
      </c>
      <c r="F2552" s="832"/>
      <c r="G2552" s="2010"/>
      <c r="H2552" s="1931"/>
      <c r="I2552" s="837"/>
      <c r="J2552" s="1059"/>
      <c r="K2552" s="943"/>
      <c r="L2552" s="866" t="n">
        <v>211685.16</v>
      </c>
      <c r="M2552" s="866" t="n">
        <v>5025</v>
      </c>
      <c r="N2552" s="866" t="n">
        <f aca="false">M2552/H2547</f>
        <v>335</v>
      </c>
      <c r="O2552" s="543" t="s">
        <v>1351</v>
      </c>
      <c r="P2552" s="1948"/>
      <c r="Q2552" s="1934"/>
      <c r="R2552" s="1935"/>
    </row>
    <row r="2553" customFormat="false" ht="14.25" hidden="false" customHeight="false" outlineLevel="0" collapsed="false">
      <c r="A2553" s="829"/>
      <c r="B2553" s="830"/>
      <c r="C2553" s="1965"/>
      <c r="D2553" s="860" t="s">
        <v>10</v>
      </c>
      <c r="E2553" s="1480" t="s">
        <v>1652</v>
      </c>
      <c r="F2553" s="832"/>
      <c r="G2553" s="2010"/>
      <c r="H2553" s="1931"/>
      <c r="I2553" s="837"/>
      <c r="J2553" s="1059"/>
      <c r="K2553" s="943"/>
      <c r="L2553" s="866" t="n">
        <v>101103.36</v>
      </c>
      <c r="M2553" s="866" t="n">
        <v>2400</v>
      </c>
      <c r="N2553" s="866" t="n">
        <f aca="false">M2553/H2547</f>
        <v>160</v>
      </c>
      <c r="O2553" s="543" t="s">
        <v>1337</v>
      </c>
      <c r="P2553" s="1948"/>
      <c r="Q2553" s="1934"/>
      <c r="R2553" s="1935"/>
    </row>
    <row r="2554" customFormat="false" ht="14.25" hidden="false" customHeight="false" outlineLevel="0" collapsed="false">
      <c r="A2554" s="829"/>
      <c r="B2554" s="830"/>
      <c r="C2554" s="1965"/>
      <c r="D2554" s="860" t="s">
        <v>10</v>
      </c>
      <c r="E2554" s="1480" t="s">
        <v>1652</v>
      </c>
      <c r="F2554" s="832"/>
      <c r="G2554" s="2010"/>
      <c r="H2554" s="1931"/>
      <c r="I2554" s="837"/>
      <c r="J2554" s="1059"/>
      <c r="K2554" s="943"/>
      <c r="L2554" s="866" t="n">
        <v>105526.632</v>
      </c>
      <c r="M2554" s="866" t="n">
        <v>2505</v>
      </c>
      <c r="N2554" s="866" t="n">
        <f aca="false">M2554/H2547</f>
        <v>167</v>
      </c>
      <c r="O2554" s="543" t="s">
        <v>1334</v>
      </c>
      <c r="P2554" s="1948"/>
      <c r="Q2554" s="1934"/>
      <c r="R2554" s="1935"/>
    </row>
    <row r="2555" customFormat="false" ht="14.25" hidden="false" customHeight="false" outlineLevel="0" collapsed="false">
      <c r="A2555" s="829"/>
      <c r="B2555" s="830"/>
      <c r="C2555" s="1965"/>
      <c r="D2555" s="860" t="s">
        <v>10</v>
      </c>
      <c r="E2555" s="1480" t="s">
        <v>1652</v>
      </c>
      <c r="F2555" s="832"/>
      <c r="G2555" s="2010"/>
      <c r="H2555" s="1931"/>
      <c r="I2555" s="837"/>
      <c r="J2555" s="1059"/>
      <c r="K2555" s="943"/>
      <c r="L2555" s="866" t="n">
        <v>6318.96</v>
      </c>
      <c r="M2555" s="866" t="n">
        <v>150</v>
      </c>
      <c r="N2555" s="866" t="n">
        <f aca="false">M2555/H2547</f>
        <v>10</v>
      </c>
      <c r="O2555" s="543" t="s">
        <v>1320</v>
      </c>
      <c r="P2555" s="1948"/>
      <c r="Q2555" s="1934"/>
      <c r="R2555" s="1935"/>
    </row>
    <row r="2556" customFormat="false" ht="14.25" hidden="false" customHeight="false" outlineLevel="0" collapsed="false">
      <c r="A2556" s="829"/>
      <c r="B2556" s="830"/>
      <c r="C2556" s="1965"/>
      <c r="D2556" s="843" t="s">
        <v>10</v>
      </c>
      <c r="E2556" s="1357" t="s">
        <v>1652</v>
      </c>
      <c r="F2556" s="832"/>
      <c r="G2556" s="2010"/>
      <c r="H2556" s="1931"/>
      <c r="I2556" s="837"/>
      <c r="J2556" s="1059"/>
      <c r="K2556" s="943"/>
      <c r="L2556" s="846" t="n">
        <v>6950.856</v>
      </c>
      <c r="M2556" s="846" t="n">
        <v>165</v>
      </c>
      <c r="N2556" s="846" t="n">
        <f aca="false">M2556/H2547</f>
        <v>11</v>
      </c>
      <c r="O2556" s="589" t="s">
        <v>1317</v>
      </c>
      <c r="P2556" s="1948"/>
      <c r="Q2556" s="1934"/>
      <c r="R2556" s="1935"/>
    </row>
    <row r="2557" customFormat="false" ht="14.25" hidden="false" customHeight="false" outlineLevel="0" collapsed="false">
      <c r="A2557" s="1060" t="n">
        <v>200</v>
      </c>
      <c r="B2557" s="1072" t="n">
        <v>2025</v>
      </c>
      <c r="C2557" s="1980" t="n">
        <v>46054</v>
      </c>
      <c r="D2557" s="848" t="s">
        <v>10</v>
      </c>
      <c r="E2557" s="1479" t="s">
        <v>1651</v>
      </c>
      <c r="F2557" s="887" t="s">
        <v>3364</v>
      </c>
      <c r="G2557" s="2017" t="n">
        <v>366</v>
      </c>
      <c r="H2557" s="1950" t="n">
        <v>15</v>
      </c>
      <c r="I2557" s="1067" t="n">
        <f aca="false">G2557*H2557</f>
        <v>5490</v>
      </c>
      <c r="J2557" s="1063" t="n">
        <v>28.59</v>
      </c>
      <c r="K2557" s="1452" t="n">
        <f aca="false">I2557*J2557</f>
        <v>156959.1</v>
      </c>
      <c r="L2557" s="891" t="n">
        <v>36023.4</v>
      </c>
      <c r="M2557" s="891" t="n">
        <v>1260</v>
      </c>
      <c r="N2557" s="891" t="n">
        <f aca="false">M2557/H2557</f>
        <v>84</v>
      </c>
      <c r="O2557" s="942" t="s">
        <v>3579</v>
      </c>
      <c r="P2557" s="1952" t="n">
        <f aca="false">K2557-L2557-L2562-L2561-L2558-L2559-L2560</f>
        <v>36023.4</v>
      </c>
      <c r="Q2557" s="1953" t="n">
        <f aca="false">I2557-M2557-M2562-M2561-M2558-M2559-M2560</f>
        <v>1260</v>
      </c>
      <c r="R2557" s="1954" t="n">
        <f aca="false">G2557-N2557-N2562-N2561-N2558-N2559-N2560</f>
        <v>84</v>
      </c>
    </row>
    <row r="2558" customFormat="false" ht="14.25" hidden="false" customHeight="false" outlineLevel="0" collapsed="false">
      <c r="A2558" s="1060"/>
      <c r="B2558" s="1072"/>
      <c r="C2558" s="1980"/>
      <c r="D2558" s="860" t="s">
        <v>10</v>
      </c>
      <c r="E2558" s="1480" t="s">
        <v>1651</v>
      </c>
      <c r="F2558" s="887"/>
      <c r="G2558" s="2017"/>
      <c r="H2558" s="1950"/>
      <c r="I2558" s="1067"/>
      <c r="J2558" s="1063"/>
      <c r="K2558" s="1452"/>
      <c r="L2558" s="866" t="n">
        <v>7290.45</v>
      </c>
      <c r="M2558" s="866" t="n">
        <v>255</v>
      </c>
      <c r="N2558" s="866" t="n">
        <f aca="false">M2558/H2557</f>
        <v>17</v>
      </c>
      <c r="O2558" s="543" t="s">
        <v>1364</v>
      </c>
      <c r="P2558" s="1952"/>
      <c r="Q2558" s="1953"/>
      <c r="R2558" s="1954"/>
    </row>
    <row r="2559" customFormat="false" ht="14.25" hidden="false" customHeight="false" outlineLevel="0" collapsed="false">
      <c r="A2559" s="1060"/>
      <c r="B2559" s="1072"/>
      <c r="C2559" s="1980"/>
      <c r="D2559" s="860" t="s">
        <v>10</v>
      </c>
      <c r="E2559" s="1480" t="s">
        <v>1651</v>
      </c>
      <c r="F2559" s="887"/>
      <c r="G2559" s="2017"/>
      <c r="H2559" s="1950"/>
      <c r="I2559" s="1067"/>
      <c r="J2559" s="1063"/>
      <c r="K2559" s="1452"/>
      <c r="L2559" s="866" t="n">
        <v>20155.95</v>
      </c>
      <c r="M2559" s="866" t="n">
        <v>705</v>
      </c>
      <c r="N2559" s="866" t="n">
        <f aca="false">M2559/H2557</f>
        <v>47</v>
      </c>
      <c r="O2559" s="543" t="s">
        <v>1359</v>
      </c>
      <c r="P2559" s="1952"/>
      <c r="Q2559" s="1953"/>
      <c r="R2559" s="1954"/>
    </row>
    <row r="2560" customFormat="false" ht="14.25" hidden="false" customHeight="false" outlineLevel="0" collapsed="false">
      <c r="A2560" s="1060"/>
      <c r="B2560" s="1072"/>
      <c r="C2560" s="1980"/>
      <c r="D2560" s="860" t="s">
        <v>10</v>
      </c>
      <c r="E2560" s="1480" t="s">
        <v>1651</v>
      </c>
      <c r="F2560" s="887"/>
      <c r="G2560" s="2017"/>
      <c r="H2560" s="1950"/>
      <c r="I2560" s="1067"/>
      <c r="J2560" s="1063"/>
      <c r="K2560" s="1452"/>
      <c r="L2560" s="866" t="n">
        <v>14580.9</v>
      </c>
      <c r="M2560" s="866" t="n">
        <v>510</v>
      </c>
      <c r="N2560" s="866" t="n">
        <f aca="false">M2560/H2557</f>
        <v>34</v>
      </c>
      <c r="O2560" s="543" t="s">
        <v>1365</v>
      </c>
      <c r="P2560" s="1952"/>
      <c r="Q2560" s="1953"/>
      <c r="R2560" s="1954"/>
    </row>
    <row r="2561" customFormat="false" ht="14.25" hidden="false" customHeight="false" outlineLevel="0" collapsed="false">
      <c r="A2561" s="1060"/>
      <c r="B2561" s="1072"/>
      <c r="C2561" s="1980"/>
      <c r="D2561" s="860" t="s">
        <v>10</v>
      </c>
      <c r="E2561" s="1480" t="s">
        <v>1651</v>
      </c>
      <c r="F2561" s="887"/>
      <c r="G2561" s="2017"/>
      <c r="H2561" s="1950"/>
      <c r="I2561" s="1067"/>
      <c r="J2561" s="1063"/>
      <c r="K2561" s="1452"/>
      <c r="L2561" s="866" t="n">
        <v>8577</v>
      </c>
      <c r="M2561" s="866" t="n">
        <v>300</v>
      </c>
      <c r="N2561" s="866" t="n">
        <f aca="false">M2561/H2557</f>
        <v>20</v>
      </c>
      <c r="O2561" s="543" t="s">
        <v>1302</v>
      </c>
      <c r="P2561" s="1952"/>
      <c r="Q2561" s="1953"/>
      <c r="R2561" s="1954"/>
    </row>
    <row r="2562" customFormat="false" ht="14.25" hidden="false" customHeight="false" outlineLevel="0" collapsed="false">
      <c r="A2562" s="1060"/>
      <c r="B2562" s="1072"/>
      <c r="C2562" s="1980"/>
      <c r="D2562" s="843" t="s">
        <v>10</v>
      </c>
      <c r="E2562" s="1357" t="s">
        <v>1651</v>
      </c>
      <c r="F2562" s="887"/>
      <c r="G2562" s="2017"/>
      <c r="H2562" s="1950"/>
      <c r="I2562" s="1067"/>
      <c r="J2562" s="1063"/>
      <c r="K2562" s="1452"/>
      <c r="L2562" s="846" t="n">
        <v>34308</v>
      </c>
      <c r="M2562" s="846" t="n">
        <v>1200</v>
      </c>
      <c r="N2562" s="846" t="n">
        <f aca="false">M2562/H2557</f>
        <v>80</v>
      </c>
      <c r="O2562" s="589" t="s">
        <v>1068</v>
      </c>
      <c r="P2562" s="1952"/>
      <c r="Q2562" s="1953"/>
      <c r="R2562" s="1954"/>
    </row>
    <row r="2563" customFormat="false" ht="14.25" hidden="false" customHeight="false" outlineLevel="0" collapsed="false">
      <c r="A2563" s="1465" t="n">
        <v>201</v>
      </c>
      <c r="B2563" s="1546" t="n">
        <v>2025</v>
      </c>
      <c r="C2563" s="1975" t="n">
        <v>46054</v>
      </c>
      <c r="D2563" s="831" t="s">
        <v>10</v>
      </c>
      <c r="E2563" s="1365" t="s">
        <v>2619</v>
      </c>
      <c r="F2563" s="1328" t="s">
        <v>3364</v>
      </c>
      <c r="G2563" s="2011" t="n">
        <v>164</v>
      </c>
      <c r="H2563" s="1976" t="n">
        <v>30</v>
      </c>
      <c r="I2563" s="1036" t="n">
        <f aca="false">G2563*H2563</f>
        <v>4920</v>
      </c>
      <c r="J2563" s="1557" t="n">
        <v>96.4817</v>
      </c>
      <c r="K2563" s="1547" t="n">
        <f aca="false">I2563*J2563</f>
        <v>474689.964</v>
      </c>
      <c r="L2563" s="886" t="n">
        <v>23155.608</v>
      </c>
      <c r="M2563" s="886" t="n">
        <v>240</v>
      </c>
      <c r="N2563" s="886" t="n">
        <f aca="false">M2563/H2563</f>
        <v>8</v>
      </c>
      <c r="O2563" s="1036" t="s">
        <v>3584</v>
      </c>
      <c r="P2563" s="1984" t="n">
        <f aca="false">K2563-L2563-L2567-L2566-L2564-L2565</f>
        <v>0</v>
      </c>
      <c r="Q2563" s="1978" t="n">
        <f aca="false">I2563-M2563-M2567-M2566-M2564-M2565</f>
        <v>0</v>
      </c>
      <c r="R2563" s="1979" t="n">
        <f aca="false">G2563-N2563-N2567-N2566-N2564-N2565</f>
        <v>0</v>
      </c>
    </row>
    <row r="2564" customFormat="false" ht="14.25" hidden="false" customHeight="false" outlineLevel="0" collapsed="false">
      <c r="A2564" s="1465"/>
      <c r="B2564" s="1546"/>
      <c r="C2564" s="1975"/>
      <c r="D2564" s="848" t="s">
        <v>10</v>
      </c>
      <c r="E2564" s="1479" t="s">
        <v>2619</v>
      </c>
      <c r="F2564" s="1328"/>
      <c r="G2564" s="2011"/>
      <c r="H2564" s="1976"/>
      <c r="I2564" s="1036"/>
      <c r="J2564" s="1557"/>
      <c r="K2564" s="1547"/>
      <c r="L2564" s="866" t="n">
        <v>26050.059</v>
      </c>
      <c r="M2564" s="866" t="n">
        <v>270</v>
      </c>
      <c r="N2564" s="866" t="n">
        <f aca="false">M2564/H2563</f>
        <v>9</v>
      </c>
      <c r="O2564" s="543" t="s">
        <v>1149</v>
      </c>
      <c r="P2564" s="1984"/>
      <c r="Q2564" s="1978"/>
      <c r="R2564" s="1979"/>
    </row>
    <row r="2565" customFormat="false" ht="14.25" hidden="false" customHeight="false" outlineLevel="0" collapsed="false">
      <c r="A2565" s="1465"/>
      <c r="B2565" s="1546"/>
      <c r="C2565" s="1975"/>
      <c r="D2565" s="848" t="s">
        <v>10</v>
      </c>
      <c r="E2565" s="1479" t="s">
        <v>2619</v>
      </c>
      <c r="F2565" s="1328"/>
      <c r="G2565" s="2011"/>
      <c r="H2565" s="1976"/>
      <c r="I2565" s="1036"/>
      <c r="J2565" s="1557"/>
      <c r="K2565" s="1547"/>
      <c r="L2565" s="866" t="n">
        <v>257606.139</v>
      </c>
      <c r="M2565" s="866" t="n">
        <v>2670</v>
      </c>
      <c r="N2565" s="866" t="n">
        <f aca="false">M2565/H2563</f>
        <v>89</v>
      </c>
      <c r="O2565" s="543" t="s">
        <v>3585</v>
      </c>
      <c r="P2565" s="1984"/>
      <c r="Q2565" s="1978"/>
      <c r="R2565" s="1979"/>
    </row>
    <row r="2566" customFormat="false" ht="14.25" hidden="false" customHeight="false" outlineLevel="0" collapsed="false">
      <c r="A2566" s="1465"/>
      <c r="B2566" s="1546"/>
      <c r="C2566" s="1975"/>
      <c r="D2566" s="860" t="s">
        <v>10</v>
      </c>
      <c r="E2566" s="1480" t="s">
        <v>2619</v>
      </c>
      <c r="F2566" s="1328"/>
      <c r="G2566" s="2011"/>
      <c r="H2566" s="1976"/>
      <c r="I2566" s="1036"/>
      <c r="J2566" s="1557"/>
      <c r="K2566" s="1547"/>
      <c r="L2566" s="866" t="n">
        <v>98411.334</v>
      </c>
      <c r="M2566" s="866" t="n">
        <v>1020</v>
      </c>
      <c r="N2566" s="866" t="n">
        <f aca="false">M2566/H2563</f>
        <v>34</v>
      </c>
      <c r="O2566" s="543" t="s">
        <v>1305</v>
      </c>
      <c r="P2566" s="1984"/>
      <c r="Q2566" s="1978"/>
      <c r="R2566" s="1979"/>
    </row>
    <row r="2567" customFormat="false" ht="14.25" hidden="false" customHeight="false" outlineLevel="0" collapsed="false">
      <c r="A2567" s="1465"/>
      <c r="B2567" s="1546"/>
      <c r="C2567" s="1975"/>
      <c r="D2567" s="904" t="s">
        <v>10</v>
      </c>
      <c r="E2567" s="1351" t="s">
        <v>2619</v>
      </c>
      <c r="F2567" s="1328"/>
      <c r="G2567" s="2011"/>
      <c r="H2567" s="1976"/>
      <c r="I2567" s="1036"/>
      <c r="J2567" s="1557"/>
      <c r="K2567" s="1547"/>
      <c r="L2567" s="891" t="n">
        <v>69466.824</v>
      </c>
      <c r="M2567" s="891" t="n">
        <v>720</v>
      </c>
      <c r="N2567" s="891" t="n">
        <f aca="false">M2567/H2563</f>
        <v>24</v>
      </c>
      <c r="O2567" s="942" t="s">
        <v>1283</v>
      </c>
      <c r="P2567" s="1984"/>
      <c r="Q2567" s="1978"/>
      <c r="R2567" s="1979"/>
    </row>
    <row r="2568" customFormat="false" ht="14.25" hidden="false" customHeight="true" outlineLevel="0" collapsed="false">
      <c r="A2568" s="829" t="n">
        <v>202</v>
      </c>
      <c r="B2568" s="830" t="n">
        <v>2025</v>
      </c>
      <c r="C2568" s="1965" t="n">
        <v>46054</v>
      </c>
      <c r="D2568" s="831" t="s">
        <v>10</v>
      </c>
      <c r="E2568" s="1365" t="s">
        <v>1651</v>
      </c>
      <c r="F2568" s="830" t="s">
        <v>3364</v>
      </c>
      <c r="G2568" s="2010" t="n">
        <v>445</v>
      </c>
      <c r="H2568" s="1931" t="n">
        <v>15</v>
      </c>
      <c r="I2568" s="837" t="n">
        <f aca="false">G2568*H2568</f>
        <v>6675</v>
      </c>
      <c r="J2568" s="1059" t="n">
        <v>28.954</v>
      </c>
      <c r="K2568" s="943" t="n">
        <f aca="false">I2568*J2568</f>
        <v>193267.95</v>
      </c>
      <c r="L2568" s="886" t="n">
        <v>52117.2</v>
      </c>
      <c r="M2568" s="886" t="n">
        <v>1800</v>
      </c>
      <c r="N2568" s="886" t="n">
        <f aca="false">M2568/H2568</f>
        <v>120</v>
      </c>
      <c r="O2568" s="1036" t="s">
        <v>1330</v>
      </c>
      <c r="P2568" s="1948" t="n">
        <f aca="false">K2568-L2568-L2571-L2570-L2569</f>
        <v>85124.76</v>
      </c>
      <c r="Q2568" s="1934" t="n">
        <f aca="false">I2568-M2568-M2571-M2570-M2569</f>
        <v>2940</v>
      </c>
      <c r="R2568" s="1935" t="n">
        <f aca="false">G2568-N2568-N2571-N2570-N2569</f>
        <v>196</v>
      </c>
    </row>
    <row r="2569" customFormat="false" ht="14.25" hidden="false" customHeight="false" outlineLevel="0" collapsed="false">
      <c r="A2569" s="829"/>
      <c r="B2569" s="830"/>
      <c r="C2569" s="1965"/>
      <c r="D2569" s="860" t="s">
        <v>10</v>
      </c>
      <c r="E2569" s="1480" t="s">
        <v>1651</v>
      </c>
      <c r="F2569" s="830"/>
      <c r="G2569" s="2010"/>
      <c r="H2569" s="1931"/>
      <c r="I2569" s="837"/>
      <c r="J2569" s="1059"/>
      <c r="K2569" s="943"/>
      <c r="L2569" s="866" t="n">
        <v>-434.31</v>
      </c>
      <c r="M2569" s="866" t="n">
        <v>-15</v>
      </c>
      <c r="N2569" s="866" t="n">
        <f aca="false">M2569/H2568</f>
        <v>-1</v>
      </c>
      <c r="O2569" s="543" t="s">
        <v>1375</v>
      </c>
      <c r="P2569" s="1948"/>
      <c r="Q2569" s="1934"/>
      <c r="R2569" s="1935"/>
    </row>
    <row r="2570" customFormat="false" ht="14.25" hidden="false" customHeight="true" outlineLevel="0" collapsed="false">
      <c r="A2570" s="829"/>
      <c r="B2570" s="830"/>
      <c r="C2570" s="1965"/>
      <c r="D2570" s="860" t="s">
        <v>10</v>
      </c>
      <c r="E2570" s="1480" t="s">
        <v>1651</v>
      </c>
      <c r="F2570" s="830"/>
      <c r="G2570" s="2010"/>
      <c r="H2570" s="1931"/>
      <c r="I2570" s="837"/>
      <c r="J2570" s="1059"/>
      <c r="K2570" s="943"/>
      <c r="L2570" s="866" t="n">
        <v>13029.3</v>
      </c>
      <c r="M2570" s="866" t="n">
        <v>450</v>
      </c>
      <c r="N2570" s="866" t="n">
        <f aca="false">M2570/H2568</f>
        <v>30</v>
      </c>
      <c r="O2570" s="543" t="s">
        <v>1360</v>
      </c>
      <c r="P2570" s="1948"/>
      <c r="Q2570" s="1934"/>
      <c r="R2570" s="1935"/>
    </row>
    <row r="2571" customFormat="false" ht="15" hidden="false" customHeight="true" outlineLevel="0" collapsed="false">
      <c r="A2571" s="829"/>
      <c r="B2571" s="830"/>
      <c r="C2571" s="1965"/>
      <c r="D2571" s="843" t="s">
        <v>10</v>
      </c>
      <c r="E2571" s="1357" t="s">
        <v>1651</v>
      </c>
      <c r="F2571" s="830"/>
      <c r="G2571" s="2010"/>
      <c r="H2571" s="1931"/>
      <c r="I2571" s="837"/>
      <c r="J2571" s="1059"/>
      <c r="K2571" s="943"/>
      <c r="L2571" s="846" t="n">
        <v>43431</v>
      </c>
      <c r="M2571" s="846" t="n">
        <v>1500</v>
      </c>
      <c r="N2571" s="846" t="n">
        <f aca="false">M2571/H2568</f>
        <v>100</v>
      </c>
      <c r="O2571" s="589" t="s">
        <v>1332</v>
      </c>
      <c r="P2571" s="1948"/>
      <c r="Q2571" s="1934"/>
      <c r="R2571" s="1935"/>
    </row>
    <row r="2572" customFormat="false" ht="14.25" hidden="false" customHeight="false" outlineLevel="0" collapsed="false">
      <c r="A2572" s="829" t="n">
        <v>208</v>
      </c>
      <c r="B2572" s="830" t="n">
        <v>2025</v>
      </c>
      <c r="C2572" s="1965" t="n">
        <v>46082</v>
      </c>
      <c r="D2572" s="831" t="s">
        <v>10</v>
      </c>
      <c r="E2572" s="1365" t="s">
        <v>2619</v>
      </c>
      <c r="F2572" s="832" t="s">
        <v>3364</v>
      </c>
      <c r="G2572" s="2010" t="n">
        <v>100</v>
      </c>
      <c r="H2572" s="1931" t="n">
        <v>30</v>
      </c>
      <c r="I2572" s="837" t="n">
        <f aca="false">G2572*H2572</f>
        <v>3000</v>
      </c>
      <c r="J2572" s="1059" t="n">
        <v>96.4817</v>
      </c>
      <c r="K2572" s="943" t="n">
        <f aca="false">I2572*J2572</f>
        <v>289445.1</v>
      </c>
      <c r="L2572" s="840" t="n">
        <v>219978.276</v>
      </c>
      <c r="M2572" s="840" t="n">
        <v>2280</v>
      </c>
      <c r="N2572" s="886" t="n">
        <f aca="false">M2572/H2572</f>
        <v>76</v>
      </c>
      <c r="O2572" s="1114" t="s">
        <v>3586</v>
      </c>
      <c r="P2572" s="1937" t="n">
        <f aca="false">K2572-L2572-L2575-L2574-L2573</f>
        <v>0</v>
      </c>
      <c r="Q2572" s="1934" t="n">
        <f aca="false">I2572-M2572-M2574-M2575-M2573</f>
        <v>0</v>
      </c>
      <c r="R2572" s="1935" t="n">
        <f aca="false">G2572-N2572-N2575-N2574-N2573</f>
        <v>0</v>
      </c>
    </row>
    <row r="2573" customFormat="false" ht="14.25" hidden="false" customHeight="false" outlineLevel="0" collapsed="false">
      <c r="A2573" s="829"/>
      <c r="B2573" s="830"/>
      <c r="C2573" s="1965"/>
      <c r="D2573" s="848" t="s">
        <v>10</v>
      </c>
      <c r="E2573" s="1479" t="s">
        <v>2619</v>
      </c>
      <c r="F2573" s="832"/>
      <c r="G2573" s="2010"/>
      <c r="H2573" s="1931"/>
      <c r="I2573" s="837"/>
      <c r="J2573" s="1059"/>
      <c r="K2573" s="943"/>
      <c r="L2573" s="854" t="n">
        <v>28944.51</v>
      </c>
      <c r="M2573" s="854" t="n">
        <v>300</v>
      </c>
      <c r="N2573" s="866" t="n">
        <f aca="false">M2573/H2572</f>
        <v>10</v>
      </c>
      <c r="O2573" s="537" t="s">
        <v>1333</v>
      </c>
      <c r="P2573" s="1937"/>
      <c r="Q2573" s="1934"/>
      <c r="R2573" s="1935"/>
    </row>
    <row r="2574" customFormat="false" ht="14.25" hidden="false" customHeight="false" outlineLevel="0" collapsed="false">
      <c r="A2574" s="829"/>
      <c r="B2574" s="830"/>
      <c r="C2574" s="1965"/>
      <c r="D2574" s="860" t="s">
        <v>10</v>
      </c>
      <c r="E2574" s="1480" t="s">
        <v>2619</v>
      </c>
      <c r="F2574" s="832"/>
      <c r="G2574" s="2010"/>
      <c r="H2574" s="1931"/>
      <c r="I2574" s="837"/>
      <c r="J2574" s="1059"/>
      <c r="K2574" s="943"/>
      <c r="L2574" s="866" t="n">
        <v>23155.608</v>
      </c>
      <c r="M2574" s="866" t="n">
        <v>240</v>
      </c>
      <c r="N2574" s="866" t="n">
        <f aca="false">M2574/H2572</f>
        <v>8</v>
      </c>
      <c r="O2574" s="543" t="s">
        <v>1283</v>
      </c>
      <c r="P2574" s="1937"/>
      <c r="Q2574" s="1934"/>
      <c r="R2574" s="1935"/>
    </row>
    <row r="2575" customFormat="false" ht="14.25" hidden="false" customHeight="false" outlineLevel="0" collapsed="false">
      <c r="A2575" s="829"/>
      <c r="B2575" s="830"/>
      <c r="C2575" s="1965"/>
      <c r="D2575" s="887" t="s">
        <v>10</v>
      </c>
      <c r="E2575" s="1501" t="s">
        <v>2619</v>
      </c>
      <c r="F2575" s="832"/>
      <c r="G2575" s="2010"/>
      <c r="H2575" s="1931"/>
      <c r="I2575" s="837"/>
      <c r="J2575" s="1059"/>
      <c r="K2575" s="943"/>
      <c r="L2575" s="890" t="n">
        <v>17366.706</v>
      </c>
      <c r="M2575" s="890" t="n">
        <v>180</v>
      </c>
      <c r="N2575" s="890" t="n">
        <f aca="false">M2575/H2572</f>
        <v>6</v>
      </c>
      <c r="O2575" s="1067" t="s">
        <v>1327</v>
      </c>
      <c r="P2575" s="1937"/>
      <c r="Q2575" s="1934"/>
      <c r="R2575" s="1935"/>
    </row>
    <row r="2576" customFormat="false" ht="14.25" hidden="false" customHeight="false" outlineLevel="0" collapsed="false">
      <c r="A2576" s="903" t="n">
        <v>209</v>
      </c>
      <c r="B2576" s="903" t="n">
        <v>2025</v>
      </c>
      <c r="C2576" s="1974" t="n">
        <v>46082</v>
      </c>
      <c r="D2576" s="904" t="s">
        <v>10</v>
      </c>
      <c r="E2576" s="1351" t="s">
        <v>2619</v>
      </c>
      <c r="F2576" s="904" t="s">
        <v>3364</v>
      </c>
      <c r="G2576" s="2012" t="n">
        <v>200</v>
      </c>
      <c r="H2576" s="1940" t="n">
        <v>30</v>
      </c>
      <c r="I2576" s="1355" t="n">
        <f aca="false">G2576*H2576</f>
        <v>6000</v>
      </c>
      <c r="J2576" s="1406" t="n">
        <v>95.0665</v>
      </c>
      <c r="K2576" s="1138" t="n">
        <f aca="false">I2576*J2576</f>
        <v>570399</v>
      </c>
      <c r="L2576" s="891" t="n">
        <v>570399</v>
      </c>
      <c r="M2576" s="891" t="n">
        <v>6000</v>
      </c>
      <c r="N2576" s="891" t="n">
        <f aca="false">M2576/H2576</f>
        <v>200</v>
      </c>
      <c r="O2576" s="942" t="s">
        <v>1355</v>
      </c>
      <c r="P2576" s="1947" t="n">
        <f aca="false">K2576-L2576</f>
        <v>0</v>
      </c>
      <c r="Q2576" s="1945" t="n">
        <f aca="false">I2576-M2576</f>
        <v>0</v>
      </c>
      <c r="R2576" s="1945" t="n">
        <f aca="false">G2576-N2576</f>
        <v>0</v>
      </c>
    </row>
    <row r="2577" customFormat="false" ht="14.25" hidden="false" customHeight="false" outlineLevel="0" collapsed="false">
      <c r="A2577" s="859" t="n">
        <v>214</v>
      </c>
      <c r="B2577" s="2020" t="n">
        <v>2025</v>
      </c>
      <c r="C2577" s="1990" t="n">
        <v>46113</v>
      </c>
      <c r="D2577" s="860" t="s">
        <v>10</v>
      </c>
      <c r="E2577" s="1480" t="s">
        <v>2619</v>
      </c>
      <c r="F2577" s="860" t="s">
        <v>3364</v>
      </c>
      <c r="G2577" s="2021" t="n">
        <v>40</v>
      </c>
      <c r="H2577" s="2054" t="n">
        <v>30</v>
      </c>
      <c r="I2577" s="1521" t="n">
        <f aca="false">G2577*H2577</f>
        <v>1200</v>
      </c>
      <c r="J2577" s="1585" t="n">
        <v>95.0665</v>
      </c>
      <c r="K2577" s="1147" t="n">
        <f aca="false">I2577*J2577</f>
        <v>114079.8</v>
      </c>
      <c r="L2577" s="866" t="n">
        <v>88411.845</v>
      </c>
      <c r="M2577" s="866" t="n">
        <v>930</v>
      </c>
      <c r="N2577" s="866" t="n">
        <f aca="false">M2577/H2577</f>
        <v>31</v>
      </c>
      <c r="O2577" s="543" t="s">
        <v>1358</v>
      </c>
      <c r="P2577" s="2030" t="n">
        <f aca="false">K2577-L2577</f>
        <v>25667.955</v>
      </c>
      <c r="Q2577" s="1994" t="n">
        <f aca="false">I2577-M2577</f>
        <v>270</v>
      </c>
      <c r="R2577" s="1994" t="n">
        <f aca="false">G2577-N2577</f>
        <v>9</v>
      </c>
    </row>
    <row r="2578" customFormat="false" ht="14.25" hidden="false" customHeight="false" outlineLevel="0" collapsed="false">
      <c r="A2578" s="859" t="n">
        <v>215</v>
      </c>
      <c r="B2578" s="2020" t="n">
        <v>2025</v>
      </c>
      <c r="C2578" s="1990" t="n">
        <v>46113</v>
      </c>
      <c r="D2578" s="860" t="s">
        <v>10</v>
      </c>
      <c r="E2578" s="1480" t="s">
        <v>1652</v>
      </c>
      <c r="F2578" s="860" t="s">
        <v>3364</v>
      </c>
      <c r="G2578" s="2021" t="n">
        <v>414</v>
      </c>
      <c r="H2578" s="2054" t="n">
        <v>15</v>
      </c>
      <c r="I2578" s="1521" t="n">
        <f aca="false">G2578*H2578</f>
        <v>6210</v>
      </c>
      <c r="J2578" s="1585" t="n">
        <v>39.3277</v>
      </c>
      <c r="K2578" s="1147" t="n">
        <f aca="false">I2578*J2578</f>
        <v>244225.017</v>
      </c>
      <c r="L2578" s="866" t="n">
        <v>197031.777</v>
      </c>
      <c r="M2578" s="866" t="n">
        <v>5010</v>
      </c>
      <c r="N2578" s="866" t="n">
        <f aca="false">M2578/H2578</f>
        <v>334</v>
      </c>
      <c r="O2578" s="543" t="s">
        <v>1361</v>
      </c>
      <c r="P2578" s="2030" t="n">
        <f aca="false">K2578-L2578</f>
        <v>47193.24</v>
      </c>
      <c r="Q2578" s="1994" t="n">
        <f aca="false">I2578-M2578</f>
        <v>1200</v>
      </c>
      <c r="R2578" s="1994" t="n">
        <f aca="false">G2578-N2578</f>
        <v>80</v>
      </c>
    </row>
    <row r="2579" customFormat="false" ht="14.25" hidden="false" customHeight="false" outlineLevel="0" collapsed="false">
      <c r="A2579" s="859" t="n">
        <v>216</v>
      </c>
      <c r="B2579" s="2020" t="n">
        <v>2025</v>
      </c>
      <c r="C2579" s="1990" t="n">
        <v>46113</v>
      </c>
      <c r="D2579" s="860" t="s">
        <v>10</v>
      </c>
      <c r="E2579" s="1480" t="s">
        <v>2619</v>
      </c>
      <c r="F2579" s="860" t="s">
        <v>3364</v>
      </c>
      <c r="G2579" s="2021" t="n">
        <v>4</v>
      </c>
      <c r="H2579" s="2054" t="n">
        <v>600</v>
      </c>
      <c r="I2579" s="1521" t="n">
        <f aca="false">G2579*H2579</f>
        <v>2400</v>
      </c>
      <c r="J2579" s="1585" t="n">
        <v>84.1</v>
      </c>
      <c r="K2579" s="1147" t="n">
        <f aca="false">I2579*J2579</f>
        <v>201840</v>
      </c>
      <c r="L2579" s="866" t="n">
        <v>201840</v>
      </c>
      <c r="M2579" s="866" t="n">
        <v>2400</v>
      </c>
      <c r="N2579" s="866" t="n">
        <f aca="false">M2579/H2579</f>
        <v>4</v>
      </c>
      <c r="O2579" s="543" t="s">
        <v>1366</v>
      </c>
      <c r="P2579" s="2030" t="n">
        <f aca="false">K2579-L2579</f>
        <v>0</v>
      </c>
      <c r="Q2579" s="1994" t="n">
        <f aca="false">I2579-M2579</f>
        <v>0</v>
      </c>
      <c r="R2579" s="1994" t="n">
        <f aca="false">G2579-N2579</f>
        <v>0</v>
      </c>
    </row>
    <row r="2580" customFormat="false" ht="14.25" hidden="false" customHeight="false" outlineLevel="0" collapsed="false">
      <c r="A2580" s="859" t="n">
        <v>217</v>
      </c>
      <c r="B2580" s="2020" t="n">
        <v>2025</v>
      </c>
      <c r="C2580" s="1990" t="n">
        <v>46113</v>
      </c>
      <c r="D2580" s="860" t="s">
        <v>10</v>
      </c>
      <c r="E2580" s="1480" t="s">
        <v>2619</v>
      </c>
      <c r="F2580" s="860" t="s">
        <v>3364</v>
      </c>
      <c r="G2580" s="2021" t="n">
        <v>8</v>
      </c>
      <c r="H2580" s="2054" t="n">
        <v>750</v>
      </c>
      <c r="I2580" s="1521" t="n">
        <f aca="false">G2580*H2580</f>
        <v>6000</v>
      </c>
      <c r="J2580" s="1585" t="n">
        <v>95.0665</v>
      </c>
      <c r="K2580" s="1147" t="n">
        <f aca="false">I2580*J2580</f>
        <v>570399</v>
      </c>
      <c r="L2580" s="866" t="n">
        <v>570399</v>
      </c>
      <c r="M2580" s="866" t="n">
        <v>6000</v>
      </c>
      <c r="N2580" s="866" t="n">
        <f aca="false">M2580/H2580</f>
        <v>8</v>
      </c>
      <c r="O2580" s="543" t="s">
        <v>1367</v>
      </c>
      <c r="P2580" s="2030" t="n">
        <f aca="false">K2580-L2580</f>
        <v>0</v>
      </c>
      <c r="Q2580" s="1994" t="n">
        <f aca="false">I2580-M2580</f>
        <v>0</v>
      </c>
      <c r="R2580" s="1994" t="n">
        <f aca="false">G2580-N2580</f>
        <v>0</v>
      </c>
    </row>
    <row r="2581" customFormat="false" ht="14.25" hidden="false" customHeight="false" outlineLevel="0" collapsed="false">
      <c r="A2581" s="859"/>
      <c r="B2581" s="2020"/>
      <c r="C2581" s="1990"/>
      <c r="D2581" s="860"/>
      <c r="E2581" s="1480"/>
      <c r="F2581" s="859"/>
      <c r="G2581" s="2021"/>
      <c r="H2581" s="2054"/>
      <c r="I2581" s="543"/>
      <c r="J2581" s="1585"/>
      <c r="K2581" s="1449"/>
      <c r="L2581" s="866"/>
      <c r="M2581" s="866"/>
      <c r="N2581" s="866"/>
      <c r="O2581" s="543"/>
      <c r="P2581" s="2067"/>
      <c r="Q2581" s="2031"/>
      <c r="R2581" s="2031"/>
    </row>
    <row r="2582" customFormat="false" ht="14.25" hidden="false" customHeight="false" outlineLevel="0" collapsed="false">
      <c r="A2582" s="903" t="n">
        <v>619</v>
      </c>
      <c r="B2582" s="903" t="n">
        <v>2023</v>
      </c>
      <c r="C2582" s="1974" t="n">
        <v>45627</v>
      </c>
      <c r="D2582" s="904" t="s">
        <v>172</v>
      </c>
      <c r="E2582" s="1351" t="s">
        <v>3393</v>
      </c>
      <c r="F2582" s="904" t="s">
        <v>3364</v>
      </c>
      <c r="G2582" s="2012" t="n">
        <v>48</v>
      </c>
      <c r="H2582" s="1940" t="n">
        <v>10</v>
      </c>
      <c r="I2582" s="1587" t="n">
        <f aca="false">G2582*H2582</f>
        <v>480</v>
      </c>
      <c r="J2582" s="1406" t="n">
        <v>1</v>
      </c>
      <c r="K2582" s="1151" t="n">
        <f aca="false">I2582*J2582</f>
        <v>480</v>
      </c>
      <c r="L2582" s="891" t="n">
        <v>480</v>
      </c>
      <c r="M2582" s="891" t="n">
        <v>480</v>
      </c>
      <c r="N2582" s="891" t="n">
        <f aca="false">M2582/H2582</f>
        <v>48</v>
      </c>
      <c r="O2582" s="942" t="s">
        <v>3587</v>
      </c>
      <c r="P2582" s="1959" t="n">
        <f aca="false">K2582-L2582</f>
        <v>0</v>
      </c>
      <c r="Q2582" s="1960" t="n">
        <f aca="false">I2582-M2582</f>
        <v>0</v>
      </c>
      <c r="R2582" s="1960" t="n">
        <f aca="false">G2582-N2582</f>
        <v>0</v>
      </c>
    </row>
    <row r="2583" customFormat="false" ht="14.25" hidden="false" customHeight="false" outlineLevel="0" collapsed="false">
      <c r="A2583" s="882" t="n">
        <v>165</v>
      </c>
      <c r="B2583" s="830" t="n">
        <v>2024</v>
      </c>
      <c r="C2583" s="1965" t="n">
        <v>45748</v>
      </c>
      <c r="D2583" s="831" t="s">
        <v>172</v>
      </c>
      <c r="E2583" s="1365" t="s">
        <v>3393</v>
      </c>
      <c r="F2583" s="832" t="s">
        <v>3364</v>
      </c>
      <c r="G2583" s="2010" t="n">
        <v>93</v>
      </c>
      <c r="H2583" s="1931" t="n">
        <v>10</v>
      </c>
      <c r="I2583" s="837" t="n">
        <f aca="false">G2583*H2583</f>
        <v>930</v>
      </c>
      <c r="J2583" s="1059" t="n">
        <v>1</v>
      </c>
      <c r="K2583" s="943" t="n">
        <f aca="false">I2583*J2583</f>
        <v>930</v>
      </c>
      <c r="L2583" s="840" t="n">
        <v>10</v>
      </c>
      <c r="M2583" s="840" t="n">
        <v>10</v>
      </c>
      <c r="N2583" s="886" t="n">
        <f aca="false">M2583/H2583</f>
        <v>1</v>
      </c>
      <c r="O2583" s="1114" t="s">
        <v>523</v>
      </c>
      <c r="P2583" s="1948" t="n">
        <f aca="false">K2583-L2583-L2585-L2584</f>
        <v>0</v>
      </c>
      <c r="Q2583" s="1934" t="n">
        <f aca="false">I2583-M2583-M2585-M2584</f>
        <v>0</v>
      </c>
      <c r="R2583" s="1935" t="n">
        <f aca="false">G2583-N2583-N2585-N2584</f>
        <v>0</v>
      </c>
    </row>
    <row r="2584" customFormat="false" ht="14.25" hidden="false" customHeight="false" outlineLevel="0" collapsed="false">
      <c r="A2584" s="882"/>
      <c r="B2584" s="830"/>
      <c r="C2584" s="1965"/>
      <c r="D2584" s="904" t="s">
        <v>172</v>
      </c>
      <c r="E2584" s="1351" t="s">
        <v>3393</v>
      </c>
      <c r="F2584" s="832"/>
      <c r="G2584" s="2010"/>
      <c r="H2584" s="1931"/>
      <c r="I2584" s="837"/>
      <c r="J2584" s="1059"/>
      <c r="K2584" s="943"/>
      <c r="L2584" s="891" t="n">
        <v>620</v>
      </c>
      <c r="M2584" s="891" t="n">
        <v>620</v>
      </c>
      <c r="N2584" s="866" t="n">
        <f aca="false">M2584/H2583</f>
        <v>62</v>
      </c>
      <c r="O2584" s="942" t="s">
        <v>1634</v>
      </c>
      <c r="P2584" s="1948"/>
      <c r="Q2584" s="1934"/>
      <c r="R2584" s="1935"/>
    </row>
    <row r="2585" customFormat="false" ht="14.25" hidden="false" customHeight="false" outlineLevel="0" collapsed="false">
      <c r="A2585" s="882"/>
      <c r="B2585" s="830"/>
      <c r="C2585" s="1965"/>
      <c r="D2585" s="843" t="s">
        <v>172</v>
      </c>
      <c r="E2585" s="1357" t="s">
        <v>3393</v>
      </c>
      <c r="F2585" s="832"/>
      <c r="G2585" s="2010"/>
      <c r="H2585" s="1931"/>
      <c r="I2585" s="837"/>
      <c r="J2585" s="1059"/>
      <c r="K2585" s="943"/>
      <c r="L2585" s="846" t="n">
        <v>300</v>
      </c>
      <c r="M2585" s="846" t="n">
        <v>300</v>
      </c>
      <c r="N2585" s="846" t="n">
        <f aca="false">M2585/H2583</f>
        <v>30</v>
      </c>
      <c r="O2585" s="589" t="s">
        <v>595</v>
      </c>
      <c r="P2585" s="1948"/>
      <c r="Q2585" s="1934"/>
      <c r="R2585" s="1935"/>
    </row>
    <row r="2586" customFormat="false" ht="14.25" hidden="false" customHeight="false" outlineLevel="0" collapsed="false">
      <c r="A2586" s="882" t="n">
        <v>503</v>
      </c>
      <c r="B2586" s="830" t="n">
        <v>2024</v>
      </c>
      <c r="C2586" s="1965" t="n">
        <v>45931</v>
      </c>
      <c r="D2586" s="831" t="s">
        <v>172</v>
      </c>
      <c r="E2586" s="1365" t="s">
        <v>3393</v>
      </c>
      <c r="F2586" s="832" t="s">
        <v>3364</v>
      </c>
      <c r="G2586" s="2010" t="n">
        <v>32</v>
      </c>
      <c r="H2586" s="1931" t="n">
        <v>15</v>
      </c>
      <c r="I2586" s="837" t="n">
        <f aca="false">G2586*H2586</f>
        <v>480</v>
      </c>
      <c r="J2586" s="1059" t="n">
        <v>1</v>
      </c>
      <c r="K2586" s="943" t="n">
        <f aca="false">I2586*J2586</f>
        <v>480</v>
      </c>
      <c r="L2586" s="886" t="n">
        <v>75</v>
      </c>
      <c r="M2586" s="886" t="n">
        <v>75</v>
      </c>
      <c r="N2586" s="886" t="n">
        <f aca="false">M2586/H2586</f>
        <v>5</v>
      </c>
      <c r="O2586" s="1036" t="s">
        <v>3588</v>
      </c>
      <c r="P2586" s="1948" t="n">
        <f aca="false">K2586-L2586-L2588-L2587</f>
        <v>0</v>
      </c>
      <c r="Q2586" s="1934" t="n">
        <f aca="false">I2586-M2586-M2588-M2587</f>
        <v>0</v>
      </c>
      <c r="R2586" s="1935" t="n">
        <f aca="false">G2586-N2586-N2588-N2587</f>
        <v>0</v>
      </c>
    </row>
    <row r="2587" customFormat="false" ht="14.25" hidden="false" customHeight="false" outlineLevel="0" collapsed="false">
      <c r="A2587" s="882"/>
      <c r="B2587" s="830"/>
      <c r="C2587" s="1965"/>
      <c r="D2587" s="860" t="s">
        <v>172</v>
      </c>
      <c r="E2587" s="1480" t="s">
        <v>3393</v>
      </c>
      <c r="F2587" s="832"/>
      <c r="G2587" s="2010"/>
      <c r="H2587" s="1931"/>
      <c r="I2587" s="837"/>
      <c r="J2587" s="1059"/>
      <c r="K2587" s="943"/>
      <c r="L2587" s="866" t="n">
        <v>390</v>
      </c>
      <c r="M2587" s="866" t="n">
        <v>390</v>
      </c>
      <c r="N2587" s="866" t="n">
        <f aca="false">M2587/H2586</f>
        <v>26</v>
      </c>
      <c r="O2587" s="543" t="s">
        <v>1634</v>
      </c>
      <c r="P2587" s="1948"/>
      <c r="Q2587" s="1934"/>
      <c r="R2587" s="1935"/>
    </row>
    <row r="2588" customFormat="false" ht="14.25" hidden="false" customHeight="false" outlineLevel="0" collapsed="false">
      <c r="A2588" s="882"/>
      <c r="B2588" s="830"/>
      <c r="C2588" s="1965"/>
      <c r="D2588" s="887" t="s">
        <v>172</v>
      </c>
      <c r="E2588" s="1501" t="s">
        <v>3393</v>
      </c>
      <c r="F2588" s="832"/>
      <c r="G2588" s="2010"/>
      <c r="H2588" s="1931"/>
      <c r="I2588" s="837"/>
      <c r="J2588" s="1059"/>
      <c r="K2588" s="943"/>
      <c r="L2588" s="890" t="n">
        <v>15</v>
      </c>
      <c r="M2588" s="890" t="n">
        <v>15</v>
      </c>
      <c r="N2588" s="890" t="n">
        <f aca="false">M2588/H2586</f>
        <v>1</v>
      </c>
      <c r="O2588" s="1067" t="s">
        <v>594</v>
      </c>
      <c r="P2588" s="1948"/>
      <c r="Q2588" s="1934"/>
      <c r="R2588" s="1935"/>
    </row>
    <row r="2589" customFormat="false" ht="14.25" hidden="false" customHeight="false" outlineLevel="0" collapsed="false">
      <c r="A2589" s="847"/>
      <c r="B2589" s="1396"/>
      <c r="C2589" s="1966"/>
      <c r="D2589" s="848"/>
      <c r="E2589" s="1479"/>
      <c r="F2589" s="848"/>
      <c r="G2589" s="2018"/>
      <c r="H2589" s="1967"/>
      <c r="I2589" s="1380"/>
      <c r="J2589" s="1544"/>
      <c r="K2589" s="1144"/>
      <c r="L2589" s="854"/>
      <c r="M2589" s="854"/>
      <c r="N2589" s="854"/>
      <c r="O2589" s="537"/>
      <c r="P2589" s="1983"/>
      <c r="Q2589" s="1970"/>
      <c r="R2589" s="1970"/>
    </row>
    <row r="2590" customFormat="false" ht="14.25" hidden="false" customHeight="false" outlineLevel="0" collapsed="false">
      <c r="A2590" s="847" t="n">
        <v>594</v>
      </c>
      <c r="B2590" s="1396" t="n">
        <v>2024</v>
      </c>
      <c r="C2590" s="1966" t="n">
        <v>45962</v>
      </c>
      <c r="D2590" s="848" t="s">
        <v>74</v>
      </c>
      <c r="E2590" s="1479" t="s">
        <v>3393</v>
      </c>
      <c r="F2590" s="848" t="s">
        <v>3364</v>
      </c>
      <c r="G2590" s="2018" t="n">
        <v>4</v>
      </c>
      <c r="H2590" s="1967" t="n">
        <v>700</v>
      </c>
      <c r="I2590" s="1380" t="n">
        <f aca="false">G2590*H2590</f>
        <v>2800</v>
      </c>
      <c r="J2590" s="1544" t="n">
        <v>1</v>
      </c>
      <c r="K2590" s="1144" t="n">
        <f aca="false">I2590*J2590</f>
        <v>2800</v>
      </c>
      <c r="L2590" s="854" t="n">
        <v>2800</v>
      </c>
      <c r="M2590" s="854" t="n">
        <v>2800</v>
      </c>
      <c r="N2590" s="891" t="n">
        <f aca="false">M2590/H2590</f>
        <v>4</v>
      </c>
      <c r="O2590" s="537" t="s">
        <v>1634</v>
      </c>
      <c r="P2590" s="1983" t="n">
        <f aca="false">K2590-L2590</f>
        <v>0</v>
      </c>
      <c r="Q2590" s="1970" t="n">
        <f aca="false">I2590-M2590</f>
        <v>0</v>
      </c>
      <c r="R2590" s="1970" t="n">
        <f aca="false">G2590-N2590</f>
        <v>0</v>
      </c>
    </row>
    <row r="2591" customFormat="false" ht="14.25" hidden="false" customHeight="false" outlineLevel="0" collapsed="false">
      <c r="A2591" s="859"/>
      <c r="B2591" s="2020"/>
      <c r="C2591" s="1990"/>
      <c r="D2591" s="860"/>
      <c r="E2591" s="860"/>
      <c r="F2591" s="860"/>
      <c r="G2591" s="2021"/>
      <c r="H2591" s="2054"/>
      <c r="I2591" s="543"/>
      <c r="J2591" s="980"/>
      <c r="K2591" s="1147"/>
      <c r="L2591" s="866"/>
      <c r="M2591" s="866"/>
      <c r="N2591" s="866"/>
      <c r="O2591" s="543"/>
      <c r="P2591" s="1993"/>
      <c r="Q2591" s="2031"/>
      <c r="R2591" s="2031"/>
    </row>
    <row r="2592" customFormat="false" ht="14.25" hidden="false" customHeight="false" outlineLevel="0" collapsed="false">
      <c r="A2592" s="870" t="n">
        <v>174</v>
      </c>
      <c r="B2592" s="1495" t="n">
        <v>2023</v>
      </c>
      <c r="C2592" s="1972"/>
      <c r="D2592" s="1478" t="s">
        <v>19</v>
      </c>
      <c r="E2592" s="1478" t="s">
        <v>2133</v>
      </c>
      <c r="F2592" s="871" t="s">
        <v>3364</v>
      </c>
      <c r="G2592" s="2024" t="n">
        <v>8</v>
      </c>
      <c r="H2592" s="1956" t="n">
        <v>25</v>
      </c>
      <c r="I2592" s="1587" t="n">
        <f aca="false">G2592*H2592</f>
        <v>200</v>
      </c>
      <c r="J2592" s="1116" t="n">
        <v>90</v>
      </c>
      <c r="K2592" s="1151" t="n">
        <f aca="false">I2592*J2592</f>
        <v>18000</v>
      </c>
      <c r="L2592" s="877" t="n">
        <v>18000</v>
      </c>
      <c r="M2592" s="877" t="n">
        <v>200</v>
      </c>
      <c r="N2592" s="891" t="n">
        <f aca="false">M2592/H2592</f>
        <v>8</v>
      </c>
      <c r="O2592" s="553" t="s">
        <v>3373</v>
      </c>
      <c r="P2592" s="1988" t="n">
        <f aca="false">K2592-L2592</f>
        <v>0</v>
      </c>
      <c r="Q2592" s="1960" t="n">
        <f aca="false">I2592-M2592</f>
        <v>0</v>
      </c>
      <c r="R2592" s="1960" t="n">
        <f aca="false">G2592-N2592</f>
        <v>0</v>
      </c>
    </row>
    <row r="2593" customFormat="false" ht="14.25" hidden="false" customHeight="false" outlineLevel="0" collapsed="false">
      <c r="A2593" s="829" t="n">
        <v>354</v>
      </c>
      <c r="B2593" s="830" t="n">
        <v>2023</v>
      </c>
      <c r="C2593" s="1965" t="n">
        <v>45536</v>
      </c>
      <c r="D2593" s="831" t="s">
        <v>19</v>
      </c>
      <c r="E2593" s="1365" t="s">
        <v>2130</v>
      </c>
      <c r="F2593" s="832" t="s">
        <v>3364</v>
      </c>
      <c r="G2593" s="2010" t="n">
        <v>127</v>
      </c>
      <c r="H2593" s="1931" t="n">
        <v>25</v>
      </c>
      <c r="I2593" s="837" t="n">
        <f aca="false">G2593*H2593</f>
        <v>3175</v>
      </c>
      <c r="J2593" s="1932" t="n">
        <v>45.6204</v>
      </c>
      <c r="K2593" s="943" t="n">
        <f aca="false">I2593*J2593</f>
        <v>144844.77</v>
      </c>
      <c r="L2593" s="840" t="n">
        <v>136861.2</v>
      </c>
      <c r="M2593" s="840" t="n">
        <v>3000</v>
      </c>
      <c r="N2593" s="840" t="n">
        <f aca="false">M2593/H2593</f>
        <v>120</v>
      </c>
      <c r="O2593" s="1114" t="n">
        <v>85411</v>
      </c>
      <c r="P2593" s="1934" t="n">
        <f aca="false">K2593-L2593-L2594</f>
        <v>-2.18278728425503E-011</v>
      </c>
      <c r="Q2593" s="1934" t="n">
        <f aca="false">I2593-M2593-M2594</f>
        <v>0</v>
      </c>
      <c r="R2593" s="1935" t="n">
        <f aca="false">G2593-N2593-N2594</f>
        <v>0</v>
      </c>
    </row>
    <row r="2594" customFormat="false" ht="14.25" hidden="false" customHeight="false" outlineLevel="0" collapsed="false">
      <c r="A2594" s="829"/>
      <c r="B2594" s="830"/>
      <c r="C2594" s="1965"/>
      <c r="D2594" s="887" t="s">
        <v>19</v>
      </c>
      <c r="E2594" s="1501" t="s">
        <v>2130</v>
      </c>
      <c r="F2594" s="832"/>
      <c r="G2594" s="2010"/>
      <c r="H2594" s="1931"/>
      <c r="I2594" s="837"/>
      <c r="J2594" s="1932"/>
      <c r="K2594" s="943"/>
      <c r="L2594" s="890" t="n">
        <v>7983.57</v>
      </c>
      <c r="M2594" s="890" t="n">
        <v>175</v>
      </c>
      <c r="N2594" s="890" t="n">
        <f aca="false">M2594/H2593</f>
        <v>7</v>
      </c>
      <c r="O2594" s="1067" t="s">
        <v>3373</v>
      </c>
      <c r="P2594" s="1934"/>
      <c r="Q2594" s="1934"/>
      <c r="R2594" s="1935"/>
    </row>
    <row r="2595" customFormat="false" ht="14.25" hidden="false" customHeight="false" outlineLevel="0" collapsed="false">
      <c r="A2595" s="882" t="n">
        <v>3</v>
      </c>
      <c r="B2595" s="830" t="n">
        <v>2023</v>
      </c>
      <c r="C2595" s="1965" t="n">
        <v>45658</v>
      </c>
      <c r="D2595" s="831" t="s">
        <v>19</v>
      </c>
      <c r="E2595" s="1365" t="s">
        <v>1651</v>
      </c>
      <c r="F2595" s="832" t="s">
        <v>3364</v>
      </c>
      <c r="G2595" s="2010" t="n">
        <v>67</v>
      </c>
      <c r="H2595" s="1931" t="n">
        <v>15</v>
      </c>
      <c r="I2595" s="837" t="n">
        <f aca="false">G2595*H2595</f>
        <v>1005</v>
      </c>
      <c r="J2595" s="1932" t="n">
        <v>28.1</v>
      </c>
      <c r="K2595" s="943" t="n">
        <f aca="false">I2595*J2595</f>
        <v>28240.5</v>
      </c>
      <c r="L2595" s="840" t="n">
        <v>21496.5</v>
      </c>
      <c r="M2595" s="840" t="n">
        <v>765</v>
      </c>
      <c r="N2595" s="886" t="n">
        <f aca="false">M2595/H2595</f>
        <v>51</v>
      </c>
      <c r="O2595" s="1114" t="n">
        <v>86834</v>
      </c>
      <c r="P2595" s="1934" t="n">
        <f aca="false">K2595-L2595-L2597-L2596</f>
        <v>0</v>
      </c>
      <c r="Q2595" s="1934" t="n">
        <f aca="false">I2595-M2595-M2597-M2596</f>
        <v>0</v>
      </c>
      <c r="R2595" s="1935" t="n">
        <f aca="false">G2595-N2595-N2597-N2596</f>
        <v>0</v>
      </c>
    </row>
    <row r="2596" customFormat="false" ht="14.25" hidden="false" customHeight="false" outlineLevel="0" collapsed="false">
      <c r="A2596" s="882"/>
      <c r="B2596" s="830"/>
      <c r="C2596" s="1965"/>
      <c r="D2596" s="904" t="s">
        <v>19</v>
      </c>
      <c r="E2596" s="1351" t="s">
        <v>1651</v>
      </c>
      <c r="F2596" s="832"/>
      <c r="G2596" s="2010"/>
      <c r="H2596" s="1931"/>
      <c r="I2596" s="837"/>
      <c r="J2596" s="1932"/>
      <c r="K2596" s="943"/>
      <c r="L2596" s="891" t="n">
        <v>421.5</v>
      </c>
      <c r="M2596" s="891" t="n">
        <v>15</v>
      </c>
      <c r="N2596" s="866" t="n">
        <f aca="false">M2596/H2595</f>
        <v>1</v>
      </c>
      <c r="O2596" s="942" t="s">
        <v>3365</v>
      </c>
      <c r="P2596" s="1934"/>
      <c r="Q2596" s="1934"/>
      <c r="R2596" s="1935"/>
    </row>
    <row r="2597" customFormat="false" ht="14.25" hidden="false" customHeight="false" outlineLevel="0" collapsed="false">
      <c r="A2597" s="882"/>
      <c r="B2597" s="830"/>
      <c r="C2597" s="1965"/>
      <c r="D2597" s="843" t="s">
        <v>19</v>
      </c>
      <c r="E2597" s="1357" t="s">
        <v>1651</v>
      </c>
      <c r="F2597" s="832"/>
      <c r="G2597" s="2010"/>
      <c r="H2597" s="1931"/>
      <c r="I2597" s="837"/>
      <c r="J2597" s="1932"/>
      <c r="K2597" s="943"/>
      <c r="L2597" s="846" t="n">
        <v>6322.5</v>
      </c>
      <c r="M2597" s="846" t="n">
        <v>225</v>
      </c>
      <c r="N2597" s="846" t="n">
        <f aca="false">M2597/H2595</f>
        <v>15</v>
      </c>
      <c r="O2597" s="589" t="s">
        <v>3589</v>
      </c>
      <c r="P2597" s="1934"/>
      <c r="Q2597" s="1934"/>
      <c r="R2597" s="1935"/>
    </row>
    <row r="2598" customFormat="false" ht="14.25" hidden="false" customHeight="false" outlineLevel="0" collapsed="false">
      <c r="A2598" s="1087" t="n">
        <v>6</v>
      </c>
      <c r="B2598" s="1072" t="n">
        <v>2024</v>
      </c>
      <c r="C2598" s="1980" t="n">
        <v>45658</v>
      </c>
      <c r="D2598" s="848" t="s">
        <v>19</v>
      </c>
      <c r="E2598" s="1479" t="s">
        <v>1652</v>
      </c>
      <c r="F2598" s="887" t="s">
        <v>3364</v>
      </c>
      <c r="G2598" s="2017" t="n">
        <v>18</v>
      </c>
      <c r="H2598" s="1950" t="n">
        <v>15</v>
      </c>
      <c r="I2598" s="1067" t="n">
        <f aca="false">G2598*H2598</f>
        <v>270</v>
      </c>
      <c r="J2598" s="1951" t="n">
        <v>33.8</v>
      </c>
      <c r="K2598" s="1452" t="n">
        <f aca="false">I2598*J2598</f>
        <v>9126</v>
      </c>
      <c r="L2598" s="891" t="n">
        <v>5070</v>
      </c>
      <c r="M2598" s="891" t="n">
        <v>150</v>
      </c>
      <c r="N2598" s="891" t="n">
        <f aca="false">M2598/H2598</f>
        <v>10</v>
      </c>
      <c r="O2598" s="942" t="n">
        <v>86583</v>
      </c>
      <c r="P2598" s="1952" t="n">
        <f aca="false">K2598-L2598-L2604-L2603-L2599-L2600-L2602-L2601</f>
        <v>0</v>
      </c>
      <c r="Q2598" s="1953" t="n">
        <f aca="false">I2598-M2598-M2604-M2603-M2599-M2600-M2602-M2601</f>
        <v>0</v>
      </c>
      <c r="R2598" s="1954" t="n">
        <f aca="false">G2598-N2598-N2604-N2603-N2599-N2600-N2602-N2601</f>
        <v>0</v>
      </c>
    </row>
    <row r="2599" customFormat="false" ht="14.25" hidden="false" customHeight="false" outlineLevel="0" collapsed="false">
      <c r="A2599" s="1087"/>
      <c r="B2599" s="1072"/>
      <c r="C2599" s="1980"/>
      <c r="D2599" s="860" t="s">
        <v>19</v>
      </c>
      <c r="E2599" s="1480" t="s">
        <v>1652</v>
      </c>
      <c r="F2599" s="887"/>
      <c r="G2599" s="2017"/>
      <c r="H2599" s="1950"/>
      <c r="I2599" s="1067"/>
      <c r="J2599" s="1951"/>
      <c r="K2599" s="1452"/>
      <c r="L2599" s="866" t="n">
        <v>1521</v>
      </c>
      <c r="M2599" s="866" t="n">
        <v>45</v>
      </c>
      <c r="N2599" s="866" t="n">
        <f aca="false">M2599/H2598</f>
        <v>3</v>
      </c>
      <c r="O2599" s="543" t="n">
        <v>86896</v>
      </c>
      <c r="P2599" s="1952"/>
      <c r="Q2599" s="1953"/>
      <c r="R2599" s="1954"/>
    </row>
    <row r="2600" customFormat="false" ht="14.25" hidden="false" customHeight="false" outlineLevel="0" collapsed="false">
      <c r="A2600" s="1087"/>
      <c r="B2600" s="1072"/>
      <c r="C2600" s="1980"/>
      <c r="D2600" s="860" t="s">
        <v>19</v>
      </c>
      <c r="E2600" s="1480" t="s">
        <v>1652</v>
      </c>
      <c r="F2600" s="887"/>
      <c r="G2600" s="2017"/>
      <c r="H2600" s="1950"/>
      <c r="I2600" s="1067"/>
      <c r="J2600" s="1951"/>
      <c r="K2600" s="1452"/>
      <c r="L2600" s="866" t="n">
        <v>507</v>
      </c>
      <c r="M2600" s="866" t="n">
        <v>15</v>
      </c>
      <c r="N2600" s="866" t="n">
        <f aca="false">M2600/H2598</f>
        <v>1</v>
      </c>
      <c r="O2600" s="543" t="n">
        <v>86925</v>
      </c>
      <c r="P2600" s="1952"/>
      <c r="Q2600" s="1953"/>
      <c r="R2600" s="1954"/>
    </row>
    <row r="2601" customFormat="false" ht="14.25" hidden="false" customHeight="false" outlineLevel="0" collapsed="false">
      <c r="A2601" s="1087"/>
      <c r="B2601" s="1072"/>
      <c r="C2601" s="1980"/>
      <c r="D2601" s="860" t="s">
        <v>19</v>
      </c>
      <c r="E2601" s="1480" t="s">
        <v>1652</v>
      </c>
      <c r="F2601" s="887"/>
      <c r="G2601" s="2017"/>
      <c r="H2601" s="1950"/>
      <c r="I2601" s="1067"/>
      <c r="J2601" s="1951"/>
      <c r="K2601" s="1452"/>
      <c r="L2601" s="866" t="n">
        <v>507</v>
      </c>
      <c r="M2601" s="866" t="n">
        <v>15</v>
      </c>
      <c r="N2601" s="866" t="n">
        <f aca="false">M2601/H2598</f>
        <v>1</v>
      </c>
      <c r="O2601" s="543" t="s">
        <v>654</v>
      </c>
      <c r="P2601" s="1952"/>
      <c r="Q2601" s="1953"/>
      <c r="R2601" s="1954"/>
    </row>
    <row r="2602" customFormat="false" ht="14.25" hidden="false" customHeight="false" outlineLevel="0" collapsed="false">
      <c r="A2602" s="1087"/>
      <c r="B2602" s="1072"/>
      <c r="C2602" s="1980"/>
      <c r="D2602" s="860" t="s">
        <v>19</v>
      </c>
      <c r="E2602" s="1480" t="s">
        <v>1652</v>
      </c>
      <c r="F2602" s="887"/>
      <c r="G2602" s="2017"/>
      <c r="H2602" s="1950"/>
      <c r="I2602" s="1067"/>
      <c r="J2602" s="1951"/>
      <c r="K2602" s="1452"/>
      <c r="L2602" s="866" t="n">
        <v>507</v>
      </c>
      <c r="M2602" s="866" t="n">
        <v>15</v>
      </c>
      <c r="N2602" s="866" t="n">
        <f aca="false">M2602/H2598</f>
        <v>1</v>
      </c>
      <c r="O2602" s="543" t="n">
        <v>86949</v>
      </c>
      <c r="P2602" s="1952"/>
      <c r="Q2602" s="1953"/>
      <c r="R2602" s="1954"/>
    </row>
    <row r="2603" customFormat="false" ht="14.25" hidden="false" customHeight="false" outlineLevel="0" collapsed="false">
      <c r="A2603" s="1087"/>
      <c r="B2603" s="1072"/>
      <c r="C2603" s="1980"/>
      <c r="D2603" s="860" t="s">
        <v>19</v>
      </c>
      <c r="E2603" s="1480" t="s">
        <v>1652</v>
      </c>
      <c r="F2603" s="887"/>
      <c r="G2603" s="2017"/>
      <c r="H2603" s="1950"/>
      <c r="I2603" s="1067"/>
      <c r="J2603" s="1951"/>
      <c r="K2603" s="1452"/>
      <c r="L2603" s="866" t="n">
        <v>507</v>
      </c>
      <c r="M2603" s="866" t="n">
        <v>15</v>
      </c>
      <c r="N2603" s="866" t="n">
        <f aca="false">M2603/H2598</f>
        <v>1</v>
      </c>
      <c r="O2603" s="543" t="n">
        <v>86662</v>
      </c>
      <c r="P2603" s="1952"/>
      <c r="Q2603" s="1953"/>
      <c r="R2603" s="1954"/>
    </row>
    <row r="2604" customFormat="false" ht="14.25" hidden="false" customHeight="false" outlineLevel="0" collapsed="false">
      <c r="A2604" s="1087"/>
      <c r="B2604" s="1072"/>
      <c r="C2604" s="1980"/>
      <c r="D2604" s="843" t="s">
        <v>19</v>
      </c>
      <c r="E2604" s="1357" t="s">
        <v>1652</v>
      </c>
      <c r="F2604" s="887"/>
      <c r="G2604" s="2017"/>
      <c r="H2604" s="1950"/>
      <c r="I2604" s="1067"/>
      <c r="J2604" s="1951"/>
      <c r="K2604" s="1452"/>
      <c r="L2604" s="846" t="n">
        <v>507</v>
      </c>
      <c r="M2604" s="846" t="n">
        <v>15</v>
      </c>
      <c r="N2604" s="846" t="n">
        <f aca="false">M2604/H2598</f>
        <v>1</v>
      </c>
      <c r="O2604" s="589" t="n">
        <v>86619</v>
      </c>
      <c r="P2604" s="1952"/>
      <c r="Q2604" s="1953"/>
      <c r="R2604" s="1954"/>
    </row>
    <row r="2605" customFormat="false" ht="14.25" hidden="false" customHeight="false" outlineLevel="0" collapsed="false">
      <c r="A2605" s="1465" t="n">
        <v>7</v>
      </c>
      <c r="B2605" s="1546" t="n">
        <v>2024</v>
      </c>
      <c r="C2605" s="1975" t="n">
        <v>45658</v>
      </c>
      <c r="D2605" s="831" t="s">
        <v>19</v>
      </c>
      <c r="E2605" s="1365" t="s">
        <v>1652</v>
      </c>
      <c r="F2605" s="1328" t="s">
        <v>3364</v>
      </c>
      <c r="G2605" s="2011" t="n">
        <v>352</v>
      </c>
      <c r="H2605" s="1976" t="n">
        <v>15</v>
      </c>
      <c r="I2605" s="1036" t="n">
        <f aca="false">G2605*H2605</f>
        <v>5280</v>
      </c>
      <c r="J2605" s="1999" t="n">
        <v>39.2</v>
      </c>
      <c r="K2605" s="1547" t="n">
        <f aca="false">I2605*J2605</f>
        <v>206976</v>
      </c>
      <c r="L2605" s="840" t="n">
        <v>101724</v>
      </c>
      <c r="M2605" s="840" t="n">
        <v>2595</v>
      </c>
      <c r="N2605" s="840" t="n">
        <f aca="false">M2605/H2605</f>
        <v>173</v>
      </c>
      <c r="O2605" s="1114" t="n">
        <v>86375</v>
      </c>
      <c r="P2605" s="1978" t="n">
        <f aca="false">K2605-L2605-L2612-L2606-L2611-L2610-L2608-L2607-L2609</f>
        <v>62916</v>
      </c>
      <c r="Q2605" s="1978" t="n">
        <f aca="false">I2605-M2605-M2612-M2606-M2611-M2610-M2608-M2607-M2609</f>
        <v>1605</v>
      </c>
      <c r="R2605" s="1979" t="n">
        <f aca="false">G2605-N2605-N2612-N2606-N2611-N2610-N2608-N2607-N2609</f>
        <v>107</v>
      </c>
    </row>
    <row r="2606" customFormat="false" ht="14.25" hidden="false" customHeight="false" outlineLevel="0" collapsed="false">
      <c r="A2606" s="1465"/>
      <c r="B2606" s="1546"/>
      <c r="C2606" s="1975"/>
      <c r="D2606" s="860" t="s">
        <v>19</v>
      </c>
      <c r="E2606" s="1480" t="s">
        <v>1652</v>
      </c>
      <c r="F2606" s="1328"/>
      <c r="G2606" s="2011"/>
      <c r="H2606" s="1976"/>
      <c r="I2606" s="1036"/>
      <c r="J2606" s="1999"/>
      <c r="K2606" s="1547"/>
      <c r="L2606" s="866" t="n">
        <v>11760</v>
      </c>
      <c r="M2606" s="866" t="n">
        <v>300</v>
      </c>
      <c r="N2606" s="866" t="n">
        <f aca="false">M2606/H2605</f>
        <v>20</v>
      </c>
      <c r="O2606" s="543" t="n">
        <v>86892</v>
      </c>
      <c r="P2606" s="1978"/>
      <c r="Q2606" s="1978"/>
      <c r="R2606" s="1979"/>
    </row>
    <row r="2607" customFormat="false" ht="14.25" hidden="false" customHeight="false" outlineLevel="0" collapsed="false">
      <c r="A2607" s="1465"/>
      <c r="B2607" s="1546"/>
      <c r="C2607" s="1975"/>
      <c r="D2607" s="860" t="s">
        <v>19</v>
      </c>
      <c r="E2607" s="1480" t="s">
        <v>1652</v>
      </c>
      <c r="F2607" s="1328"/>
      <c r="G2607" s="2011"/>
      <c r="H2607" s="1976"/>
      <c r="I2607" s="1036"/>
      <c r="J2607" s="1999"/>
      <c r="K2607" s="1547"/>
      <c r="L2607" s="866" t="n">
        <v>5880</v>
      </c>
      <c r="M2607" s="866" t="n">
        <v>150</v>
      </c>
      <c r="N2607" s="866" t="n">
        <f aca="false">M2607/H2605</f>
        <v>10</v>
      </c>
      <c r="O2607" s="543" t="s">
        <v>1312</v>
      </c>
      <c r="P2607" s="1978"/>
      <c r="Q2607" s="1978"/>
      <c r="R2607" s="1979"/>
    </row>
    <row r="2608" customFormat="false" ht="14.25" hidden="false" customHeight="false" outlineLevel="0" collapsed="false">
      <c r="A2608" s="1465"/>
      <c r="B2608" s="1546"/>
      <c r="C2608" s="1975"/>
      <c r="D2608" s="860" t="s">
        <v>19</v>
      </c>
      <c r="E2608" s="1480" t="s">
        <v>1652</v>
      </c>
      <c r="F2608" s="1328"/>
      <c r="G2608" s="2011"/>
      <c r="H2608" s="1976"/>
      <c r="I2608" s="1036"/>
      <c r="J2608" s="1999"/>
      <c r="K2608" s="1547"/>
      <c r="L2608" s="866" t="n">
        <v>1764</v>
      </c>
      <c r="M2608" s="866" t="n">
        <v>45</v>
      </c>
      <c r="N2608" s="866" t="n">
        <f aca="false">M2608/H2605</f>
        <v>3</v>
      </c>
      <c r="O2608" s="543" t="s">
        <v>1338</v>
      </c>
      <c r="P2608" s="1978"/>
      <c r="Q2608" s="1978"/>
      <c r="R2608" s="1979"/>
    </row>
    <row r="2609" customFormat="false" ht="14.25" hidden="false" customHeight="false" outlineLevel="0" collapsed="false">
      <c r="A2609" s="1465"/>
      <c r="B2609" s="1546"/>
      <c r="C2609" s="1975"/>
      <c r="D2609" s="860" t="s">
        <v>19</v>
      </c>
      <c r="E2609" s="1480" t="s">
        <v>1652</v>
      </c>
      <c r="F2609" s="1328"/>
      <c r="G2609" s="2011"/>
      <c r="H2609" s="1976"/>
      <c r="I2609" s="1036"/>
      <c r="J2609" s="1999"/>
      <c r="K2609" s="1547"/>
      <c r="L2609" s="866" t="n">
        <v>1764</v>
      </c>
      <c r="M2609" s="866" t="n">
        <v>45</v>
      </c>
      <c r="N2609" s="866" t="n">
        <f aca="false">M2609/H2605</f>
        <v>3</v>
      </c>
      <c r="O2609" s="543" t="s">
        <v>1353</v>
      </c>
      <c r="P2609" s="1978"/>
      <c r="Q2609" s="1978"/>
      <c r="R2609" s="1979"/>
    </row>
    <row r="2610" customFormat="false" ht="14.25" hidden="false" customHeight="false" outlineLevel="0" collapsed="false">
      <c r="A2610" s="1465"/>
      <c r="B2610" s="1546"/>
      <c r="C2610" s="1975"/>
      <c r="D2610" s="860" t="s">
        <v>19</v>
      </c>
      <c r="E2610" s="1480" t="s">
        <v>1652</v>
      </c>
      <c r="F2610" s="1328"/>
      <c r="G2610" s="2011"/>
      <c r="H2610" s="1976"/>
      <c r="I2610" s="1036"/>
      <c r="J2610" s="1999"/>
      <c r="K2610" s="1547"/>
      <c r="L2610" s="866" t="n">
        <v>8820</v>
      </c>
      <c r="M2610" s="866" t="n">
        <v>225</v>
      </c>
      <c r="N2610" s="866" t="n">
        <f aca="false">M2610/H2605</f>
        <v>15</v>
      </c>
      <c r="O2610" s="543" t="s">
        <v>654</v>
      </c>
      <c r="P2610" s="1978"/>
      <c r="Q2610" s="1978"/>
      <c r="R2610" s="1979"/>
    </row>
    <row r="2611" customFormat="false" ht="14.25" hidden="false" customHeight="false" outlineLevel="0" collapsed="false">
      <c r="A2611" s="1465"/>
      <c r="B2611" s="1546"/>
      <c r="C2611" s="1975"/>
      <c r="D2611" s="860" t="s">
        <v>19</v>
      </c>
      <c r="E2611" s="1480" t="s">
        <v>1652</v>
      </c>
      <c r="F2611" s="1328"/>
      <c r="G2611" s="2011"/>
      <c r="H2611" s="1976"/>
      <c r="I2611" s="1036"/>
      <c r="J2611" s="1999"/>
      <c r="K2611" s="1547"/>
      <c r="L2611" s="866" t="n">
        <v>8232</v>
      </c>
      <c r="M2611" s="866" t="n">
        <v>210</v>
      </c>
      <c r="N2611" s="866" t="n">
        <f aca="false">M2611/H2605</f>
        <v>14</v>
      </c>
      <c r="O2611" s="543" t="s">
        <v>650</v>
      </c>
      <c r="P2611" s="1978"/>
      <c r="Q2611" s="1978"/>
      <c r="R2611" s="1979"/>
    </row>
    <row r="2612" customFormat="false" ht="14.25" hidden="false" customHeight="false" outlineLevel="0" collapsed="false">
      <c r="A2612" s="1465"/>
      <c r="B2612" s="1546"/>
      <c r="C2612" s="1975"/>
      <c r="D2612" s="871" t="s">
        <v>19</v>
      </c>
      <c r="E2612" s="1478" t="s">
        <v>1652</v>
      </c>
      <c r="F2612" s="1328"/>
      <c r="G2612" s="2011"/>
      <c r="H2612" s="1976"/>
      <c r="I2612" s="1036"/>
      <c r="J2612" s="1999"/>
      <c r="K2612" s="1547"/>
      <c r="L2612" s="877" t="n">
        <v>4116</v>
      </c>
      <c r="M2612" s="877" t="n">
        <v>105</v>
      </c>
      <c r="N2612" s="877" t="n">
        <f aca="false">M2612/H2605</f>
        <v>7</v>
      </c>
      <c r="O2612" s="553" t="n">
        <v>86413</v>
      </c>
      <c r="P2612" s="1978"/>
      <c r="Q2612" s="1978"/>
      <c r="R2612" s="1979"/>
    </row>
    <row r="2613" customFormat="false" ht="14.25" hidden="false" customHeight="false" outlineLevel="0" collapsed="false">
      <c r="A2613" s="1027" t="n">
        <v>290</v>
      </c>
      <c r="B2613" s="1546" t="n">
        <v>2024</v>
      </c>
      <c r="C2613" s="1975" t="n">
        <v>45870</v>
      </c>
      <c r="D2613" s="831" t="s">
        <v>19</v>
      </c>
      <c r="E2613" s="1365" t="s">
        <v>1651</v>
      </c>
      <c r="F2613" s="1328" t="s">
        <v>3364</v>
      </c>
      <c r="G2613" s="2011" t="n">
        <v>74</v>
      </c>
      <c r="H2613" s="1976" t="n">
        <v>15</v>
      </c>
      <c r="I2613" s="1036" t="n">
        <f aca="false">G2613*H2613</f>
        <v>1110</v>
      </c>
      <c r="J2613" s="1999" t="n">
        <v>27.2985</v>
      </c>
      <c r="K2613" s="1547" t="n">
        <f aca="false">I2613*J2613</f>
        <v>30301.335</v>
      </c>
      <c r="L2613" s="840" t="n">
        <v>27434.9925</v>
      </c>
      <c r="M2613" s="840" t="n">
        <v>1005</v>
      </c>
      <c r="N2613" s="886" t="n">
        <f aca="false">M2613/H2613</f>
        <v>67</v>
      </c>
      <c r="O2613" s="1114" t="s">
        <v>3590</v>
      </c>
      <c r="P2613" s="1977" t="n">
        <f aca="false">K2613-L2613-L2615-L2614</f>
        <v>0</v>
      </c>
      <c r="Q2613" s="1978" t="n">
        <f aca="false">I2613-M2613-M2615-M2614</f>
        <v>0</v>
      </c>
      <c r="R2613" s="1979" t="n">
        <f aca="false">G2613-N2613-N2615-N2614</f>
        <v>0</v>
      </c>
    </row>
    <row r="2614" customFormat="false" ht="14.25" hidden="false" customHeight="false" outlineLevel="0" collapsed="false">
      <c r="A2614" s="1027"/>
      <c r="B2614" s="1546"/>
      <c r="C2614" s="1975"/>
      <c r="D2614" s="904" t="s">
        <v>19</v>
      </c>
      <c r="E2614" s="1351" t="s">
        <v>1651</v>
      </c>
      <c r="F2614" s="1328"/>
      <c r="G2614" s="2011"/>
      <c r="H2614" s="1976"/>
      <c r="I2614" s="1036"/>
      <c r="J2614" s="1999"/>
      <c r="K2614" s="1547"/>
      <c r="L2614" s="891" t="n">
        <v>1228.4325</v>
      </c>
      <c r="M2614" s="891" t="n">
        <v>45</v>
      </c>
      <c r="N2614" s="866" t="n">
        <f aca="false">M2614/H2613</f>
        <v>3</v>
      </c>
      <c r="O2614" s="942" t="s">
        <v>442</v>
      </c>
      <c r="P2614" s="1977"/>
      <c r="Q2614" s="1978"/>
      <c r="R2614" s="1979"/>
    </row>
    <row r="2615" customFormat="false" ht="14.25" hidden="false" customHeight="false" outlineLevel="0" collapsed="false">
      <c r="A2615" s="1027"/>
      <c r="B2615" s="1546"/>
      <c r="C2615" s="1975"/>
      <c r="D2615" s="871" t="s">
        <v>19</v>
      </c>
      <c r="E2615" s="1478" t="s">
        <v>1651</v>
      </c>
      <c r="F2615" s="1328"/>
      <c r="G2615" s="2011"/>
      <c r="H2615" s="1976"/>
      <c r="I2615" s="1036"/>
      <c r="J2615" s="1999"/>
      <c r="K2615" s="1547"/>
      <c r="L2615" s="877" t="n">
        <v>1637.91</v>
      </c>
      <c r="M2615" s="877" t="n">
        <v>60</v>
      </c>
      <c r="N2615" s="877" t="n">
        <f aca="false">M2615/H2613</f>
        <v>4</v>
      </c>
      <c r="O2615" s="553" t="s">
        <v>435</v>
      </c>
      <c r="P2615" s="1977"/>
      <c r="Q2615" s="1978"/>
      <c r="R2615" s="1979"/>
    </row>
    <row r="2616" customFormat="false" ht="14.25" hidden="false" customHeight="false" outlineLevel="0" collapsed="false">
      <c r="A2616" s="829" t="n">
        <v>307</v>
      </c>
      <c r="B2616" s="830" t="n">
        <v>2024</v>
      </c>
      <c r="C2616" s="1965" t="n">
        <v>45870</v>
      </c>
      <c r="D2616" s="831" t="s">
        <v>19</v>
      </c>
      <c r="E2616" s="1365" t="s">
        <v>1651</v>
      </c>
      <c r="F2616" s="832" t="s">
        <v>3375</v>
      </c>
      <c r="G2616" s="2010" t="n">
        <v>211</v>
      </c>
      <c r="H2616" s="1931" t="n">
        <v>15</v>
      </c>
      <c r="I2616" s="837" t="n">
        <f aca="false">G2616*H2616</f>
        <v>3165</v>
      </c>
      <c r="J2616" s="1932" t="n">
        <v>28.4409</v>
      </c>
      <c r="K2616" s="943" t="n">
        <f aca="false">I2616*J2616</f>
        <v>90015.4485</v>
      </c>
      <c r="L2616" s="840" t="n">
        <v>17064.54</v>
      </c>
      <c r="M2616" s="840" t="n">
        <v>600</v>
      </c>
      <c r="N2616" s="886" t="n">
        <f aca="false">M2616/H2616</f>
        <v>40</v>
      </c>
      <c r="O2616" s="1114" t="s">
        <v>517</v>
      </c>
      <c r="P2616" s="1934" t="n">
        <f aca="false">K2616-L2616-L2624-L2617-L2623-L2618-L2622-L2619-L2621-L2620</f>
        <v>-1.19371179607697E-011</v>
      </c>
      <c r="Q2616" s="1934" t="n">
        <f aca="false">I2616-M2616-M2624-M2617-M2623-M2618-M2622-M2619-M2621-M2620</f>
        <v>0</v>
      </c>
      <c r="R2616" s="1935" t="n">
        <f aca="false">G2616-N2616-N2624-N2617-N2623-N2618-N2622-N2619-N2621-N2620</f>
        <v>0</v>
      </c>
    </row>
    <row r="2617" customFormat="false" ht="14.25" hidden="false" customHeight="false" outlineLevel="0" collapsed="false">
      <c r="A2617" s="829"/>
      <c r="B2617" s="830"/>
      <c r="C2617" s="1965"/>
      <c r="D2617" s="860" t="s">
        <v>19</v>
      </c>
      <c r="E2617" s="1480" t="s">
        <v>1651</v>
      </c>
      <c r="F2617" s="832"/>
      <c r="G2617" s="2010"/>
      <c r="H2617" s="1931"/>
      <c r="I2617" s="837"/>
      <c r="J2617" s="1932"/>
      <c r="K2617" s="943"/>
      <c r="L2617" s="866" t="n">
        <v>8532.27</v>
      </c>
      <c r="M2617" s="866" t="n">
        <v>300</v>
      </c>
      <c r="N2617" s="866" t="n">
        <f aca="false">M2617/H2616</f>
        <v>20</v>
      </c>
      <c r="O2617" s="543" t="s">
        <v>3408</v>
      </c>
      <c r="P2617" s="1934"/>
      <c r="Q2617" s="1934"/>
      <c r="R2617" s="1935"/>
    </row>
    <row r="2618" customFormat="false" ht="14.25" hidden="false" customHeight="false" outlineLevel="0" collapsed="false">
      <c r="A2618" s="829"/>
      <c r="B2618" s="830"/>
      <c r="C2618" s="1965"/>
      <c r="D2618" s="860" t="s">
        <v>19</v>
      </c>
      <c r="E2618" s="1480" t="s">
        <v>1651</v>
      </c>
      <c r="F2618" s="832"/>
      <c r="G2618" s="2010"/>
      <c r="H2618" s="1931"/>
      <c r="I2618" s="837"/>
      <c r="J2618" s="1932"/>
      <c r="K2618" s="943"/>
      <c r="L2618" s="866" t="n">
        <v>8532.27</v>
      </c>
      <c r="M2618" s="866" t="n">
        <v>300</v>
      </c>
      <c r="N2618" s="866" t="n">
        <f aca="false">M2618/H2616</f>
        <v>20</v>
      </c>
      <c r="O2618" s="543" t="s">
        <v>392</v>
      </c>
      <c r="P2618" s="1934"/>
      <c r="Q2618" s="1934"/>
      <c r="R2618" s="1935"/>
    </row>
    <row r="2619" customFormat="false" ht="14.25" hidden="false" customHeight="false" outlineLevel="0" collapsed="false">
      <c r="A2619" s="829"/>
      <c r="B2619" s="830"/>
      <c r="C2619" s="1965"/>
      <c r="D2619" s="860" t="s">
        <v>19</v>
      </c>
      <c r="E2619" s="1480" t="s">
        <v>1651</v>
      </c>
      <c r="F2619" s="832"/>
      <c r="G2619" s="2010"/>
      <c r="H2619" s="1931"/>
      <c r="I2619" s="837"/>
      <c r="J2619" s="1932"/>
      <c r="K2619" s="943"/>
      <c r="L2619" s="866" t="n">
        <v>5972.589</v>
      </c>
      <c r="M2619" s="866" t="n">
        <v>210</v>
      </c>
      <c r="N2619" s="866" t="n">
        <f aca="false">M2619/H2616</f>
        <v>14</v>
      </c>
      <c r="O2619" s="543" t="s">
        <v>517</v>
      </c>
      <c r="P2619" s="1934"/>
      <c r="Q2619" s="1934"/>
      <c r="R2619" s="1935"/>
    </row>
    <row r="2620" customFormat="false" ht="14.25" hidden="false" customHeight="false" outlineLevel="0" collapsed="false">
      <c r="A2620" s="829"/>
      <c r="B2620" s="830"/>
      <c r="C2620" s="1965"/>
      <c r="D2620" s="860" t="s">
        <v>19</v>
      </c>
      <c r="E2620" s="1480" t="s">
        <v>1651</v>
      </c>
      <c r="F2620" s="832"/>
      <c r="G2620" s="2010"/>
      <c r="H2620" s="1931"/>
      <c r="I2620" s="837"/>
      <c r="J2620" s="1932"/>
      <c r="K2620" s="943"/>
      <c r="L2620" s="866" t="n">
        <v>853.227</v>
      </c>
      <c r="M2620" s="866" t="n">
        <v>30</v>
      </c>
      <c r="N2620" s="866" t="n">
        <f aca="false">M2620/H2616</f>
        <v>2</v>
      </c>
      <c r="O2620" s="543" t="s">
        <v>749</v>
      </c>
      <c r="P2620" s="1934"/>
      <c r="Q2620" s="1934"/>
      <c r="R2620" s="1935"/>
    </row>
    <row r="2621" customFormat="false" ht="14.25" hidden="false" customHeight="false" outlineLevel="0" collapsed="false">
      <c r="A2621" s="829"/>
      <c r="B2621" s="830"/>
      <c r="C2621" s="1965"/>
      <c r="D2621" s="860" t="s">
        <v>19</v>
      </c>
      <c r="E2621" s="1480" t="s">
        <v>1651</v>
      </c>
      <c r="F2621" s="832"/>
      <c r="G2621" s="2010"/>
      <c r="H2621" s="1931"/>
      <c r="I2621" s="837"/>
      <c r="J2621" s="1932"/>
      <c r="K2621" s="943"/>
      <c r="L2621" s="866" t="n">
        <v>14504.859</v>
      </c>
      <c r="M2621" s="866" t="n">
        <v>510</v>
      </c>
      <c r="N2621" s="866" t="n">
        <f aca="false">M2621/H2616</f>
        <v>34</v>
      </c>
      <c r="O2621" s="543" t="s">
        <v>749</v>
      </c>
      <c r="P2621" s="1934"/>
      <c r="Q2621" s="1934"/>
      <c r="R2621" s="1935"/>
    </row>
    <row r="2622" customFormat="false" ht="14.25" hidden="false" customHeight="false" outlineLevel="0" collapsed="false">
      <c r="A2622" s="829"/>
      <c r="B2622" s="830"/>
      <c r="C2622" s="1965"/>
      <c r="D2622" s="860" t="s">
        <v>19</v>
      </c>
      <c r="E2622" s="1480" t="s">
        <v>1651</v>
      </c>
      <c r="F2622" s="832"/>
      <c r="G2622" s="2010"/>
      <c r="H2622" s="1931"/>
      <c r="I2622" s="837"/>
      <c r="J2622" s="1932"/>
      <c r="K2622" s="943"/>
      <c r="L2622" s="866" t="n">
        <v>10238.724</v>
      </c>
      <c r="M2622" s="866" t="n">
        <v>360</v>
      </c>
      <c r="N2622" s="866" t="n">
        <f aca="false">M2622/H2616</f>
        <v>24</v>
      </c>
      <c r="O2622" s="543" t="s">
        <v>392</v>
      </c>
      <c r="P2622" s="1934"/>
      <c r="Q2622" s="1934"/>
      <c r="R2622" s="1935"/>
    </row>
    <row r="2623" customFormat="false" ht="14.25" hidden="false" customHeight="false" outlineLevel="0" collapsed="false">
      <c r="A2623" s="829"/>
      <c r="B2623" s="830"/>
      <c r="C2623" s="1965"/>
      <c r="D2623" s="860" t="s">
        <v>19</v>
      </c>
      <c r="E2623" s="1480" t="s">
        <v>1651</v>
      </c>
      <c r="F2623" s="832"/>
      <c r="G2623" s="2010"/>
      <c r="H2623" s="1931"/>
      <c r="I2623" s="837"/>
      <c r="J2623" s="1932"/>
      <c r="K2623" s="943"/>
      <c r="L2623" s="866" t="n">
        <v>4266.135</v>
      </c>
      <c r="M2623" s="866" t="n">
        <v>150</v>
      </c>
      <c r="N2623" s="866" t="n">
        <f aca="false">M2623/H2616</f>
        <v>10</v>
      </c>
      <c r="O2623" s="543" t="s">
        <v>392</v>
      </c>
      <c r="P2623" s="1934"/>
      <c r="Q2623" s="1934"/>
      <c r="R2623" s="1935"/>
    </row>
    <row r="2624" customFormat="false" ht="14.25" hidden="false" customHeight="false" outlineLevel="0" collapsed="false">
      <c r="A2624" s="829"/>
      <c r="B2624" s="830"/>
      <c r="C2624" s="1965"/>
      <c r="D2624" s="843" t="s">
        <v>19</v>
      </c>
      <c r="E2624" s="1357" t="s">
        <v>1651</v>
      </c>
      <c r="F2624" s="832"/>
      <c r="G2624" s="2010"/>
      <c r="H2624" s="1931"/>
      <c r="I2624" s="837"/>
      <c r="J2624" s="1932"/>
      <c r="K2624" s="943"/>
      <c r="L2624" s="846" t="n">
        <v>20050.8345</v>
      </c>
      <c r="M2624" s="846" t="n">
        <v>705</v>
      </c>
      <c r="N2624" s="846" t="n">
        <f aca="false">M2624/H2616</f>
        <v>47</v>
      </c>
      <c r="O2624" s="589" t="s">
        <v>517</v>
      </c>
      <c r="P2624" s="1934"/>
      <c r="Q2624" s="1934"/>
      <c r="R2624" s="1935"/>
    </row>
    <row r="2625" customFormat="false" ht="14.25" hidden="false" customHeight="false" outlineLevel="0" collapsed="false">
      <c r="A2625" s="1087" t="n">
        <v>308</v>
      </c>
      <c r="B2625" s="1072" t="n">
        <v>2024</v>
      </c>
      <c r="C2625" s="1980" t="n">
        <v>45870</v>
      </c>
      <c r="D2625" s="848" t="s">
        <v>19</v>
      </c>
      <c r="E2625" s="1479" t="s">
        <v>1651</v>
      </c>
      <c r="F2625" s="887" t="s">
        <v>3364</v>
      </c>
      <c r="G2625" s="2015" t="n">
        <v>666</v>
      </c>
      <c r="H2625" s="1950" t="n">
        <v>15</v>
      </c>
      <c r="I2625" s="1067" t="n">
        <f aca="false">G2625*H2625</f>
        <v>9990</v>
      </c>
      <c r="J2625" s="1951" t="n">
        <v>28.4409</v>
      </c>
      <c r="K2625" s="1452" t="n">
        <f aca="false">I2625*J2625</f>
        <v>284124.591</v>
      </c>
      <c r="L2625" s="854" t="n">
        <v>15784.6995</v>
      </c>
      <c r="M2625" s="854" t="n">
        <v>555</v>
      </c>
      <c r="N2625" s="891" t="n">
        <f aca="false">M2625/H2625</f>
        <v>37</v>
      </c>
      <c r="O2625" s="537" t="s">
        <v>3377</v>
      </c>
      <c r="P2625" s="1953" t="n">
        <f aca="false">K2625-L2625-L2638-L2637-L2626-L2636-L2627-L2628-L2629-L2635-L2634-L2630-L2631-L2632-L2633</f>
        <v>0.000499999992428002</v>
      </c>
      <c r="Q2625" s="1953" t="n">
        <f aca="false">I2625-M2625-M2638-M2637-M2626-M2636-M2627-M2628-M2629-M2635-M2634-M2630-M2631-M2632-M2633</f>
        <v>0</v>
      </c>
      <c r="R2625" s="1954" t="n">
        <f aca="false">G2625-N2625-N2638-N2637-N2626-N2636-N2627-N2628-N2629-N2635-N2634-N2630-N2631-N2632-N2633</f>
        <v>0</v>
      </c>
    </row>
    <row r="2626" customFormat="false" ht="14.25" hidden="false" customHeight="false" outlineLevel="0" collapsed="false">
      <c r="A2626" s="1087"/>
      <c r="B2626" s="1072"/>
      <c r="C2626" s="1980"/>
      <c r="D2626" s="848" t="s">
        <v>19</v>
      </c>
      <c r="E2626" s="1479" t="s">
        <v>1651</v>
      </c>
      <c r="F2626" s="887"/>
      <c r="G2626" s="2015"/>
      <c r="H2626" s="1950"/>
      <c r="I2626" s="1067"/>
      <c r="J2626" s="1951"/>
      <c r="K2626" s="1452"/>
      <c r="L2626" s="854" t="n">
        <v>426.6135</v>
      </c>
      <c r="M2626" s="854" t="n">
        <v>15</v>
      </c>
      <c r="N2626" s="866" t="n">
        <f aca="false">M2626/H2625</f>
        <v>1</v>
      </c>
      <c r="O2626" s="537" t="s">
        <v>429</v>
      </c>
      <c r="P2626" s="1953"/>
      <c r="Q2626" s="1953"/>
      <c r="R2626" s="1954"/>
    </row>
    <row r="2627" customFormat="false" ht="14.25" hidden="false" customHeight="false" outlineLevel="0" collapsed="false">
      <c r="A2627" s="1087"/>
      <c r="B2627" s="1072"/>
      <c r="C2627" s="1980"/>
      <c r="D2627" s="848" t="s">
        <v>19</v>
      </c>
      <c r="E2627" s="1479" t="s">
        <v>1651</v>
      </c>
      <c r="F2627" s="887"/>
      <c r="G2627" s="2015"/>
      <c r="H2627" s="1950"/>
      <c r="I2627" s="1067"/>
      <c r="J2627" s="1951"/>
      <c r="K2627" s="1452"/>
      <c r="L2627" s="854" t="n">
        <v>142488.909</v>
      </c>
      <c r="M2627" s="854" t="n">
        <v>5010</v>
      </c>
      <c r="N2627" s="866" t="n">
        <f aca="false">M2627/H2625</f>
        <v>334</v>
      </c>
      <c r="O2627" s="537" t="s">
        <v>404</v>
      </c>
      <c r="P2627" s="1953"/>
      <c r="Q2627" s="1953"/>
      <c r="R2627" s="1954"/>
    </row>
    <row r="2628" customFormat="false" ht="14.25" hidden="false" customHeight="false" outlineLevel="0" collapsed="false">
      <c r="A2628" s="1087"/>
      <c r="B2628" s="1072"/>
      <c r="C2628" s="1980"/>
      <c r="D2628" s="848" t="s">
        <v>19</v>
      </c>
      <c r="E2628" s="1479" t="s">
        <v>1651</v>
      </c>
      <c r="F2628" s="887"/>
      <c r="G2628" s="2015"/>
      <c r="H2628" s="1950"/>
      <c r="I2628" s="1067"/>
      <c r="J2628" s="1951"/>
      <c r="K2628" s="1452"/>
      <c r="L2628" s="854" t="n">
        <v>5545.9755</v>
      </c>
      <c r="M2628" s="854" t="n">
        <v>195</v>
      </c>
      <c r="N2628" s="866" t="n">
        <f aca="false">M2628/H2625</f>
        <v>13</v>
      </c>
      <c r="O2628" s="537" t="s">
        <v>3591</v>
      </c>
      <c r="P2628" s="1953"/>
      <c r="Q2628" s="1953"/>
      <c r="R2628" s="1954"/>
    </row>
    <row r="2629" customFormat="false" ht="14.25" hidden="false" customHeight="false" outlineLevel="0" collapsed="false">
      <c r="A2629" s="1087"/>
      <c r="B2629" s="1072"/>
      <c r="C2629" s="1980"/>
      <c r="D2629" s="848" t="s">
        <v>19</v>
      </c>
      <c r="E2629" s="1479" t="s">
        <v>1651</v>
      </c>
      <c r="F2629" s="887"/>
      <c r="G2629" s="2015"/>
      <c r="H2629" s="1950"/>
      <c r="I2629" s="1067"/>
      <c r="J2629" s="1951"/>
      <c r="K2629" s="1452"/>
      <c r="L2629" s="854" t="n">
        <v>17064.54</v>
      </c>
      <c r="M2629" s="854" t="n">
        <v>600</v>
      </c>
      <c r="N2629" s="866" t="n">
        <f aca="false">M2629/H2625</f>
        <v>40</v>
      </c>
      <c r="O2629" s="537" t="s">
        <v>486</v>
      </c>
      <c r="P2629" s="1953"/>
      <c r="Q2629" s="1953"/>
      <c r="R2629" s="1954"/>
    </row>
    <row r="2630" customFormat="false" ht="14.25" hidden="false" customHeight="false" outlineLevel="0" collapsed="false">
      <c r="A2630" s="1087"/>
      <c r="B2630" s="1072"/>
      <c r="C2630" s="1980"/>
      <c r="D2630" s="848" t="s">
        <v>19</v>
      </c>
      <c r="E2630" s="1479" t="s">
        <v>1651</v>
      </c>
      <c r="F2630" s="887"/>
      <c r="G2630" s="2015"/>
      <c r="H2630" s="1950"/>
      <c r="I2630" s="1067"/>
      <c r="J2630" s="1951"/>
      <c r="K2630" s="1452"/>
      <c r="L2630" s="854" t="n">
        <v>14504.859</v>
      </c>
      <c r="M2630" s="854" t="n">
        <v>510</v>
      </c>
      <c r="N2630" s="866" t="n">
        <f aca="false">M2630/H2625</f>
        <v>34</v>
      </c>
      <c r="O2630" s="537" t="s">
        <v>385</v>
      </c>
      <c r="P2630" s="1953"/>
      <c r="Q2630" s="1953"/>
      <c r="R2630" s="1954"/>
    </row>
    <row r="2631" customFormat="false" ht="14.25" hidden="false" customHeight="false" outlineLevel="0" collapsed="false">
      <c r="A2631" s="1087"/>
      <c r="B2631" s="1072"/>
      <c r="C2631" s="1980"/>
      <c r="D2631" s="848" t="s">
        <v>19</v>
      </c>
      <c r="E2631" s="1479" t="s">
        <v>1651</v>
      </c>
      <c r="F2631" s="887"/>
      <c r="G2631" s="2015"/>
      <c r="H2631" s="1950"/>
      <c r="I2631" s="1067"/>
      <c r="J2631" s="1951"/>
      <c r="K2631" s="1452"/>
      <c r="L2631" s="854" t="n">
        <v>7679.043</v>
      </c>
      <c r="M2631" s="854" t="n">
        <v>270</v>
      </c>
      <c r="N2631" s="866" t="n">
        <f aca="false">M2631/H2625</f>
        <v>18</v>
      </c>
      <c r="O2631" s="537" t="s">
        <v>560</v>
      </c>
      <c r="P2631" s="1953"/>
      <c r="Q2631" s="1953"/>
      <c r="R2631" s="1954"/>
    </row>
    <row r="2632" customFormat="false" ht="14.25" hidden="false" customHeight="false" outlineLevel="0" collapsed="false">
      <c r="A2632" s="1087"/>
      <c r="B2632" s="1072"/>
      <c r="C2632" s="1980"/>
      <c r="D2632" s="848" t="s">
        <v>19</v>
      </c>
      <c r="E2632" s="1479" t="s">
        <v>1651</v>
      </c>
      <c r="F2632" s="887"/>
      <c r="G2632" s="2015"/>
      <c r="H2632" s="1950"/>
      <c r="I2632" s="1067"/>
      <c r="J2632" s="1951"/>
      <c r="K2632" s="1452"/>
      <c r="L2632" s="854" t="n">
        <v>1279.8405</v>
      </c>
      <c r="M2632" s="854" t="n">
        <v>45</v>
      </c>
      <c r="N2632" s="866" t="n">
        <f aca="false">M2632/H2625</f>
        <v>3</v>
      </c>
      <c r="O2632" s="537" t="s">
        <v>776</v>
      </c>
      <c r="P2632" s="1953"/>
      <c r="Q2632" s="1953"/>
      <c r="R2632" s="1954"/>
    </row>
    <row r="2633" customFormat="false" ht="14.25" hidden="false" customHeight="false" outlineLevel="0" collapsed="false">
      <c r="A2633" s="1087"/>
      <c r="B2633" s="1072"/>
      <c r="C2633" s="1980"/>
      <c r="D2633" s="848" t="s">
        <v>19</v>
      </c>
      <c r="E2633" s="1479" t="s">
        <v>1651</v>
      </c>
      <c r="F2633" s="887"/>
      <c r="G2633" s="2015"/>
      <c r="H2633" s="1950"/>
      <c r="I2633" s="1067"/>
      <c r="J2633" s="1951"/>
      <c r="K2633" s="1452"/>
      <c r="L2633" s="854" t="n">
        <v>426.613</v>
      </c>
      <c r="M2633" s="854" t="n">
        <v>15</v>
      </c>
      <c r="N2633" s="866" t="n">
        <f aca="false">M2633/H2625</f>
        <v>1</v>
      </c>
      <c r="O2633" s="537" t="s">
        <v>781</v>
      </c>
      <c r="P2633" s="1953"/>
      <c r="Q2633" s="1953"/>
      <c r="R2633" s="1954"/>
    </row>
    <row r="2634" customFormat="false" ht="14.25" hidden="false" customHeight="false" outlineLevel="0" collapsed="false">
      <c r="A2634" s="1087"/>
      <c r="B2634" s="1072"/>
      <c r="C2634" s="1980"/>
      <c r="D2634" s="848" t="s">
        <v>19</v>
      </c>
      <c r="E2634" s="1479" t="s">
        <v>1651</v>
      </c>
      <c r="F2634" s="887"/>
      <c r="G2634" s="2015"/>
      <c r="H2634" s="1950"/>
      <c r="I2634" s="1067"/>
      <c r="J2634" s="1951"/>
      <c r="K2634" s="1452"/>
      <c r="L2634" s="854" t="n">
        <v>4266.135</v>
      </c>
      <c r="M2634" s="854" t="n">
        <v>150</v>
      </c>
      <c r="N2634" s="866" t="n">
        <f aca="false">M2634/H2625</f>
        <v>10</v>
      </c>
      <c r="O2634" s="537" t="s">
        <v>497</v>
      </c>
      <c r="P2634" s="1953"/>
      <c r="Q2634" s="1953"/>
      <c r="R2634" s="1954"/>
    </row>
    <row r="2635" customFormat="false" ht="14.25" hidden="false" customHeight="false" outlineLevel="0" collapsed="false">
      <c r="A2635" s="1087"/>
      <c r="B2635" s="1072"/>
      <c r="C2635" s="1980"/>
      <c r="D2635" s="848" t="s">
        <v>19</v>
      </c>
      <c r="E2635" s="1479" t="s">
        <v>1651</v>
      </c>
      <c r="F2635" s="887"/>
      <c r="G2635" s="2015"/>
      <c r="H2635" s="1950"/>
      <c r="I2635" s="1067"/>
      <c r="J2635" s="1951"/>
      <c r="K2635" s="1452"/>
      <c r="L2635" s="854" t="n">
        <v>4266.135</v>
      </c>
      <c r="M2635" s="854" t="n">
        <v>150</v>
      </c>
      <c r="N2635" s="866" t="n">
        <f aca="false">M2635/H2625</f>
        <v>10</v>
      </c>
      <c r="O2635" s="537" t="s">
        <v>489</v>
      </c>
      <c r="P2635" s="1953"/>
      <c r="Q2635" s="1953"/>
      <c r="R2635" s="1954"/>
    </row>
    <row r="2636" customFormat="false" ht="14.25" hidden="false" customHeight="false" outlineLevel="0" collapsed="false">
      <c r="A2636" s="1087"/>
      <c r="B2636" s="1072"/>
      <c r="C2636" s="1980"/>
      <c r="D2636" s="848" t="s">
        <v>19</v>
      </c>
      <c r="E2636" s="1479" t="s">
        <v>1651</v>
      </c>
      <c r="F2636" s="887"/>
      <c r="G2636" s="2015"/>
      <c r="H2636" s="1950"/>
      <c r="I2636" s="1067"/>
      <c r="J2636" s="1951"/>
      <c r="K2636" s="1452"/>
      <c r="L2636" s="854" t="n">
        <v>27303.264</v>
      </c>
      <c r="M2636" s="854" t="n">
        <v>960</v>
      </c>
      <c r="N2636" s="866" t="n">
        <f aca="false">M2636/H2625</f>
        <v>64</v>
      </c>
      <c r="O2636" s="537" t="s">
        <v>442</v>
      </c>
      <c r="P2636" s="1953"/>
      <c r="Q2636" s="1953"/>
      <c r="R2636" s="1954"/>
    </row>
    <row r="2637" customFormat="false" ht="14.25" hidden="false" customHeight="false" outlineLevel="0" collapsed="false">
      <c r="A2637" s="1087"/>
      <c r="B2637" s="1072"/>
      <c r="C2637" s="1980"/>
      <c r="D2637" s="860" t="s">
        <v>19</v>
      </c>
      <c r="E2637" s="1480" t="s">
        <v>1651</v>
      </c>
      <c r="F2637" s="887"/>
      <c r="G2637" s="2015"/>
      <c r="H2637" s="1950"/>
      <c r="I2637" s="1067"/>
      <c r="J2637" s="1951"/>
      <c r="K2637" s="1452"/>
      <c r="L2637" s="866" t="n">
        <v>14504.859</v>
      </c>
      <c r="M2637" s="866" t="n">
        <v>510</v>
      </c>
      <c r="N2637" s="866" t="n">
        <f aca="false">M2637/H2625</f>
        <v>34</v>
      </c>
      <c r="O2637" s="543" t="s">
        <v>413</v>
      </c>
      <c r="P2637" s="1953"/>
      <c r="Q2637" s="1953"/>
      <c r="R2637" s="1954"/>
    </row>
    <row r="2638" customFormat="false" ht="14.25" hidden="false" customHeight="false" outlineLevel="0" collapsed="false">
      <c r="A2638" s="1087"/>
      <c r="B2638" s="1072"/>
      <c r="C2638" s="1980"/>
      <c r="D2638" s="887" t="s">
        <v>19</v>
      </c>
      <c r="E2638" s="1501" t="s">
        <v>1651</v>
      </c>
      <c r="F2638" s="887"/>
      <c r="G2638" s="2015"/>
      <c r="H2638" s="1950"/>
      <c r="I2638" s="1067"/>
      <c r="J2638" s="1951"/>
      <c r="K2638" s="1452"/>
      <c r="L2638" s="890" t="n">
        <v>28583.1045</v>
      </c>
      <c r="M2638" s="890" t="n">
        <v>1005</v>
      </c>
      <c r="N2638" s="890" t="n">
        <f aca="false">M2638/H2625</f>
        <v>67</v>
      </c>
      <c r="O2638" s="1067" t="s">
        <v>417</v>
      </c>
      <c r="P2638" s="1953"/>
      <c r="Q2638" s="1953"/>
      <c r="R2638" s="1954"/>
    </row>
    <row r="2639" customFormat="false" ht="14.25" hidden="false" customHeight="false" outlineLevel="0" collapsed="false">
      <c r="A2639" s="903" t="n">
        <v>309</v>
      </c>
      <c r="B2639" s="903" t="n">
        <v>2024</v>
      </c>
      <c r="C2639" s="1974" t="n">
        <v>45870</v>
      </c>
      <c r="D2639" s="904" t="s">
        <v>19</v>
      </c>
      <c r="E2639" s="1351" t="s">
        <v>1651</v>
      </c>
      <c r="F2639" s="904" t="s">
        <v>3364</v>
      </c>
      <c r="G2639" s="2012" t="n">
        <v>30</v>
      </c>
      <c r="H2639" s="1940" t="n">
        <v>15</v>
      </c>
      <c r="I2639" s="1355" t="n">
        <f aca="false">G2639*H2639</f>
        <v>450</v>
      </c>
      <c r="J2639" s="1941" t="n">
        <v>32.1066</v>
      </c>
      <c r="K2639" s="1942" t="n">
        <f aca="false">I2639*J2639</f>
        <v>14447.97</v>
      </c>
      <c r="L2639" s="891" t="n">
        <v>14447.97</v>
      </c>
      <c r="M2639" s="891" t="n">
        <v>450</v>
      </c>
      <c r="N2639" s="891" t="n">
        <f aca="false">M2639/H2639</f>
        <v>30</v>
      </c>
      <c r="O2639" s="942" t="s">
        <v>3377</v>
      </c>
      <c r="P2639" s="1944" t="n">
        <f aca="false">K2639-L2639</f>
        <v>0</v>
      </c>
      <c r="Q2639" s="1946" t="n">
        <f aca="false">I2639-M2639</f>
        <v>0</v>
      </c>
      <c r="R2639" s="1946" t="n">
        <f aca="false">G2639-N2639</f>
        <v>0</v>
      </c>
    </row>
    <row r="2640" customFormat="false" ht="14.25" hidden="false" customHeight="false" outlineLevel="0" collapsed="false">
      <c r="A2640" s="829" t="n">
        <v>404</v>
      </c>
      <c r="B2640" s="830" t="n">
        <v>2024</v>
      </c>
      <c r="C2640" s="1965" t="n">
        <v>45901</v>
      </c>
      <c r="D2640" s="831" t="s">
        <v>19</v>
      </c>
      <c r="E2640" s="1365" t="s">
        <v>1651</v>
      </c>
      <c r="F2640" s="832" t="s">
        <v>3367</v>
      </c>
      <c r="G2640" s="2010" t="n">
        <v>23</v>
      </c>
      <c r="H2640" s="1931" t="n">
        <v>10</v>
      </c>
      <c r="I2640" s="837" t="n">
        <f aca="false">G2640*H2640</f>
        <v>230</v>
      </c>
      <c r="J2640" s="1932" t="n">
        <v>29.2785</v>
      </c>
      <c r="K2640" s="943" t="n">
        <f aca="false">I2640*J2640</f>
        <v>6734.055</v>
      </c>
      <c r="L2640" s="840" t="n">
        <v>2342.28</v>
      </c>
      <c r="M2640" s="840" t="n">
        <v>80</v>
      </c>
      <c r="N2640" s="840" t="n">
        <f aca="false">M2640/H2640</f>
        <v>8</v>
      </c>
      <c r="O2640" s="1114" t="s">
        <v>510</v>
      </c>
      <c r="P2640" s="1937" t="n">
        <f aca="false">K2640-L2640-L2641</f>
        <v>0</v>
      </c>
      <c r="Q2640" s="1934" t="n">
        <f aca="false">I2640-M2640-M2641</f>
        <v>0</v>
      </c>
      <c r="R2640" s="1935" t="n">
        <f aca="false">G2640-N2640-N2641</f>
        <v>0</v>
      </c>
    </row>
    <row r="2641" customFormat="false" ht="14.25" hidden="false" customHeight="false" outlineLevel="0" collapsed="false">
      <c r="A2641" s="829"/>
      <c r="B2641" s="830"/>
      <c r="C2641" s="1965"/>
      <c r="D2641" s="887" t="s">
        <v>19</v>
      </c>
      <c r="E2641" s="1501" t="s">
        <v>1651</v>
      </c>
      <c r="F2641" s="832"/>
      <c r="G2641" s="2010"/>
      <c r="H2641" s="1931"/>
      <c r="I2641" s="837"/>
      <c r="J2641" s="1932"/>
      <c r="K2641" s="943"/>
      <c r="L2641" s="890" t="n">
        <v>4391.775</v>
      </c>
      <c r="M2641" s="890" t="n">
        <v>150</v>
      </c>
      <c r="N2641" s="890" t="n">
        <f aca="false">M2641/H2640</f>
        <v>15</v>
      </c>
      <c r="O2641" s="1067" t="s">
        <v>561</v>
      </c>
      <c r="P2641" s="1937"/>
      <c r="Q2641" s="1934"/>
      <c r="R2641" s="1935"/>
    </row>
    <row r="2642" customFormat="false" ht="14.25" hidden="false" customHeight="false" outlineLevel="0" collapsed="false">
      <c r="A2642" s="829" t="n">
        <v>405</v>
      </c>
      <c r="B2642" s="830" t="n">
        <v>2024</v>
      </c>
      <c r="C2642" s="1965" t="n">
        <v>45901</v>
      </c>
      <c r="D2642" s="831" t="s">
        <v>19</v>
      </c>
      <c r="E2642" s="1365" t="s">
        <v>1651</v>
      </c>
      <c r="F2642" s="832" t="s">
        <v>3364</v>
      </c>
      <c r="G2642" s="2010" t="n">
        <v>271</v>
      </c>
      <c r="H2642" s="1931" t="n">
        <v>15</v>
      </c>
      <c r="I2642" s="837" t="n">
        <f aca="false">G2642*H2642</f>
        <v>4065</v>
      </c>
      <c r="J2642" s="1932" t="n">
        <v>29.3937</v>
      </c>
      <c r="K2642" s="943" t="n">
        <f aca="false">I2642*J2642</f>
        <v>119485.3905</v>
      </c>
      <c r="L2642" s="886" t="n">
        <v>881.811</v>
      </c>
      <c r="M2642" s="886" t="n">
        <v>30</v>
      </c>
      <c r="N2642" s="886" t="n">
        <f aca="false">M2642/H2642</f>
        <v>2</v>
      </c>
      <c r="O2642" s="1036" t="s">
        <v>560</v>
      </c>
      <c r="P2642" s="1937" t="n">
        <f aca="false">K2642-L2642-L2656-L2655-L2643-L2644-L2654-L2645-L2653-L2651-L2652-L2646-L2647-L2648-L2650-L2649</f>
        <v>0</v>
      </c>
      <c r="Q2642" s="1934" t="n">
        <f aca="false">I2642-M2642-M2656-M2655-M2643-M2644-M2654-M2645-M2653-M2651-M2652-M2646-M2647-M2648-M2650-M2649</f>
        <v>0</v>
      </c>
      <c r="R2642" s="1935" t="n">
        <f aca="false">G2642-N2642-N2656-N2655-N2643-N2644-N2654-N2645-N2653-N2651-N2652-N2646-N2647-N2648-N2650-N2649</f>
        <v>0</v>
      </c>
    </row>
    <row r="2643" customFormat="false" ht="14.25" hidden="false" customHeight="false" outlineLevel="0" collapsed="false">
      <c r="A2643" s="829"/>
      <c r="B2643" s="830"/>
      <c r="C2643" s="1965"/>
      <c r="D2643" s="848" t="s">
        <v>19</v>
      </c>
      <c r="E2643" s="1479" t="s">
        <v>1651</v>
      </c>
      <c r="F2643" s="832"/>
      <c r="G2643" s="2010"/>
      <c r="H2643" s="1931"/>
      <c r="I2643" s="837"/>
      <c r="J2643" s="1932"/>
      <c r="K2643" s="943"/>
      <c r="L2643" s="866" t="n">
        <v>3527.244</v>
      </c>
      <c r="M2643" s="866" t="n">
        <v>120</v>
      </c>
      <c r="N2643" s="866" t="n">
        <f aca="false">M2643/H2642</f>
        <v>8</v>
      </c>
      <c r="O2643" s="543" t="s">
        <v>630</v>
      </c>
      <c r="P2643" s="1937"/>
      <c r="Q2643" s="1934"/>
      <c r="R2643" s="1935"/>
    </row>
    <row r="2644" customFormat="false" ht="14.25" hidden="false" customHeight="false" outlineLevel="0" collapsed="false">
      <c r="A2644" s="829"/>
      <c r="B2644" s="830"/>
      <c r="C2644" s="1965"/>
      <c r="D2644" s="848" t="s">
        <v>19</v>
      </c>
      <c r="E2644" s="1479" t="s">
        <v>1651</v>
      </c>
      <c r="F2644" s="832"/>
      <c r="G2644" s="2010"/>
      <c r="H2644" s="1931"/>
      <c r="I2644" s="837"/>
      <c r="J2644" s="1932"/>
      <c r="K2644" s="943"/>
      <c r="L2644" s="866" t="n">
        <v>1763.622</v>
      </c>
      <c r="M2644" s="866" t="n">
        <v>60</v>
      </c>
      <c r="N2644" s="866" t="n">
        <f aca="false">M2644/H2642</f>
        <v>4</v>
      </c>
      <c r="O2644" s="543" t="s">
        <v>649</v>
      </c>
      <c r="P2644" s="1937"/>
      <c r="Q2644" s="1934"/>
      <c r="R2644" s="1935"/>
    </row>
    <row r="2645" customFormat="false" ht="14.25" hidden="false" customHeight="false" outlineLevel="0" collapsed="false">
      <c r="A2645" s="829"/>
      <c r="B2645" s="830"/>
      <c r="C2645" s="1965"/>
      <c r="D2645" s="848" t="s">
        <v>19</v>
      </c>
      <c r="E2645" s="1479" t="s">
        <v>1651</v>
      </c>
      <c r="F2645" s="832"/>
      <c r="G2645" s="2010"/>
      <c r="H2645" s="1931"/>
      <c r="I2645" s="837"/>
      <c r="J2645" s="1932"/>
      <c r="K2645" s="943"/>
      <c r="L2645" s="866" t="n">
        <v>881.811</v>
      </c>
      <c r="M2645" s="866" t="n">
        <v>30</v>
      </c>
      <c r="N2645" s="866" t="n">
        <f aca="false">M2645/H2642</f>
        <v>2</v>
      </c>
      <c r="O2645" s="543" t="s">
        <v>667</v>
      </c>
      <c r="P2645" s="1937"/>
      <c r="Q2645" s="1934"/>
      <c r="R2645" s="1935"/>
    </row>
    <row r="2646" customFormat="false" ht="14.25" hidden="false" customHeight="false" outlineLevel="0" collapsed="false">
      <c r="A2646" s="829"/>
      <c r="B2646" s="830"/>
      <c r="C2646" s="1965"/>
      <c r="D2646" s="848" t="s">
        <v>19</v>
      </c>
      <c r="E2646" s="1479" t="s">
        <v>1651</v>
      </c>
      <c r="F2646" s="832"/>
      <c r="G2646" s="2010"/>
      <c r="H2646" s="1931"/>
      <c r="I2646" s="837"/>
      <c r="J2646" s="1932"/>
      <c r="K2646" s="943"/>
      <c r="L2646" s="866" t="n">
        <v>8818.11</v>
      </c>
      <c r="M2646" s="866" t="n">
        <v>300</v>
      </c>
      <c r="N2646" s="866" t="n">
        <f aca="false">M2646/H2642</f>
        <v>20</v>
      </c>
      <c r="O2646" s="543" t="s">
        <v>1183</v>
      </c>
      <c r="P2646" s="1937"/>
      <c r="Q2646" s="1934"/>
      <c r="R2646" s="1935"/>
    </row>
    <row r="2647" customFormat="false" ht="14.25" hidden="false" customHeight="false" outlineLevel="0" collapsed="false">
      <c r="A2647" s="829"/>
      <c r="B2647" s="830"/>
      <c r="C2647" s="1965"/>
      <c r="D2647" s="848" t="s">
        <v>19</v>
      </c>
      <c r="E2647" s="1479" t="s">
        <v>1651</v>
      </c>
      <c r="F2647" s="832"/>
      <c r="G2647" s="2010"/>
      <c r="H2647" s="1931"/>
      <c r="I2647" s="837"/>
      <c r="J2647" s="1932"/>
      <c r="K2647" s="943"/>
      <c r="L2647" s="866" t="n">
        <v>7054.488</v>
      </c>
      <c r="M2647" s="866" t="n">
        <v>240</v>
      </c>
      <c r="N2647" s="866" t="n">
        <f aca="false">M2647/H2642</f>
        <v>16</v>
      </c>
      <c r="O2647" s="543" t="s">
        <v>1185</v>
      </c>
      <c r="P2647" s="1937"/>
      <c r="Q2647" s="1934"/>
      <c r="R2647" s="1935"/>
    </row>
    <row r="2648" customFormat="false" ht="14.25" hidden="false" customHeight="false" outlineLevel="0" collapsed="false">
      <c r="A2648" s="829"/>
      <c r="B2648" s="830"/>
      <c r="C2648" s="1965"/>
      <c r="D2648" s="848" t="s">
        <v>19</v>
      </c>
      <c r="E2648" s="1479" t="s">
        <v>1651</v>
      </c>
      <c r="F2648" s="832"/>
      <c r="G2648" s="2010"/>
      <c r="H2648" s="1931"/>
      <c r="I2648" s="837"/>
      <c r="J2648" s="1932"/>
      <c r="K2648" s="943"/>
      <c r="L2648" s="866" t="n">
        <v>14990.787</v>
      </c>
      <c r="M2648" s="866" t="n">
        <v>510</v>
      </c>
      <c r="N2648" s="866" t="n">
        <f aca="false">M2648/H2642</f>
        <v>34</v>
      </c>
      <c r="O2648" s="543" t="s">
        <v>1213</v>
      </c>
      <c r="P2648" s="1937"/>
      <c r="Q2648" s="1934"/>
      <c r="R2648" s="1935"/>
    </row>
    <row r="2649" customFormat="false" ht="14.25" hidden="false" customHeight="false" outlineLevel="0" collapsed="false">
      <c r="A2649" s="829"/>
      <c r="B2649" s="830"/>
      <c r="C2649" s="1965"/>
      <c r="D2649" s="848" t="s">
        <v>19</v>
      </c>
      <c r="E2649" s="1479" t="s">
        <v>1651</v>
      </c>
      <c r="F2649" s="832"/>
      <c r="G2649" s="2010"/>
      <c r="H2649" s="1931"/>
      <c r="I2649" s="837"/>
      <c r="J2649" s="1932"/>
      <c r="K2649" s="943"/>
      <c r="L2649" s="866" t="n">
        <v>17195.321</v>
      </c>
      <c r="M2649" s="866" t="n">
        <v>585</v>
      </c>
      <c r="N2649" s="866" t="n">
        <f aca="false">M2649/H2642</f>
        <v>39</v>
      </c>
      <c r="O2649" s="543" t="s">
        <v>1634</v>
      </c>
      <c r="P2649" s="1937"/>
      <c r="Q2649" s="1934"/>
      <c r="R2649" s="1935"/>
    </row>
    <row r="2650" customFormat="false" ht="14.25" hidden="false" customHeight="false" outlineLevel="0" collapsed="false">
      <c r="A2650" s="829"/>
      <c r="B2650" s="830"/>
      <c r="C2650" s="1965"/>
      <c r="D2650" s="848" t="s">
        <v>19</v>
      </c>
      <c r="E2650" s="1479" t="s">
        <v>1651</v>
      </c>
      <c r="F2650" s="832"/>
      <c r="G2650" s="2010"/>
      <c r="H2650" s="1931"/>
      <c r="I2650" s="837"/>
      <c r="J2650" s="1932"/>
      <c r="K2650" s="943"/>
      <c r="L2650" s="866" t="n">
        <v>4409.055</v>
      </c>
      <c r="M2650" s="866" t="n">
        <v>150</v>
      </c>
      <c r="N2650" s="866" t="n">
        <f aca="false">M2650/H2642</f>
        <v>10</v>
      </c>
      <c r="O2650" s="543" t="s">
        <v>1288</v>
      </c>
      <c r="P2650" s="1937"/>
      <c r="Q2650" s="1934"/>
      <c r="R2650" s="1935"/>
    </row>
    <row r="2651" customFormat="false" ht="14.25" hidden="false" customHeight="false" outlineLevel="0" collapsed="false">
      <c r="A2651" s="829"/>
      <c r="B2651" s="830"/>
      <c r="C2651" s="1965"/>
      <c r="D2651" s="848" t="s">
        <v>19</v>
      </c>
      <c r="E2651" s="1479" t="s">
        <v>1651</v>
      </c>
      <c r="F2651" s="832"/>
      <c r="G2651" s="2010"/>
      <c r="H2651" s="1931"/>
      <c r="I2651" s="837"/>
      <c r="J2651" s="1932"/>
      <c r="K2651" s="943"/>
      <c r="L2651" s="866" t="n">
        <v>10140.82</v>
      </c>
      <c r="M2651" s="866" t="n">
        <v>345</v>
      </c>
      <c r="N2651" s="866" t="n">
        <f aca="false">M2651/H2642</f>
        <v>23</v>
      </c>
      <c r="O2651" s="543" t="s">
        <v>862</v>
      </c>
      <c r="P2651" s="1937"/>
      <c r="Q2651" s="1934"/>
      <c r="R2651" s="1935"/>
    </row>
    <row r="2652" customFormat="false" ht="14.25" hidden="false" customHeight="false" outlineLevel="0" collapsed="false">
      <c r="A2652" s="829"/>
      <c r="B2652" s="830"/>
      <c r="C2652" s="1965"/>
      <c r="D2652" s="848" t="s">
        <v>19</v>
      </c>
      <c r="E2652" s="1479" t="s">
        <v>1651</v>
      </c>
      <c r="F2652" s="832"/>
      <c r="G2652" s="2010"/>
      <c r="H2652" s="1931"/>
      <c r="I2652" s="837"/>
      <c r="J2652" s="1932"/>
      <c r="K2652" s="943"/>
      <c r="L2652" s="866" t="n">
        <v>29540.6685</v>
      </c>
      <c r="M2652" s="866" t="n">
        <v>1005</v>
      </c>
      <c r="N2652" s="866" t="n">
        <f aca="false">M2652/H2642</f>
        <v>67</v>
      </c>
      <c r="O2652" s="543" t="s">
        <v>862</v>
      </c>
      <c r="P2652" s="1937"/>
      <c r="Q2652" s="1934"/>
      <c r="R2652" s="1935"/>
    </row>
    <row r="2653" customFormat="false" ht="14.25" hidden="false" customHeight="false" outlineLevel="0" collapsed="false">
      <c r="A2653" s="829"/>
      <c r="B2653" s="830"/>
      <c r="C2653" s="1965"/>
      <c r="D2653" s="848" t="s">
        <v>19</v>
      </c>
      <c r="E2653" s="1479" t="s">
        <v>1651</v>
      </c>
      <c r="F2653" s="832"/>
      <c r="G2653" s="2010"/>
      <c r="H2653" s="1931"/>
      <c r="I2653" s="837"/>
      <c r="J2653" s="1932"/>
      <c r="K2653" s="943"/>
      <c r="L2653" s="866" t="n">
        <v>440.9055</v>
      </c>
      <c r="M2653" s="866" t="n">
        <v>15</v>
      </c>
      <c r="N2653" s="866" t="n">
        <f aca="false">M2653/H2642</f>
        <v>1</v>
      </c>
      <c r="O2653" s="543" t="s">
        <v>911</v>
      </c>
      <c r="P2653" s="1937"/>
      <c r="Q2653" s="1934"/>
      <c r="R2653" s="1935"/>
    </row>
    <row r="2654" customFormat="false" ht="14.25" hidden="false" customHeight="false" outlineLevel="0" collapsed="false">
      <c r="A2654" s="829"/>
      <c r="B2654" s="830"/>
      <c r="C2654" s="1965"/>
      <c r="D2654" s="848" t="s">
        <v>19</v>
      </c>
      <c r="E2654" s="1479" t="s">
        <v>1651</v>
      </c>
      <c r="F2654" s="832"/>
      <c r="G2654" s="2010"/>
      <c r="H2654" s="1931"/>
      <c r="I2654" s="837"/>
      <c r="J2654" s="1932"/>
      <c r="K2654" s="943"/>
      <c r="L2654" s="866" t="n">
        <v>1322.7165</v>
      </c>
      <c r="M2654" s="866" t="n">
        <v>45</v>
      </c>
      <c r="N2654" s="866" t="n">
        <f aca="false">M2654/H2642</f>
        <v>3</v>
      </c>
      <c r="O2654" s="543" t="s">
        <v>666</v>
      </c>
      <c r="P2654" s="1937"/>
      <c r="Q2654" s="1934"/>
      <c r="R2654" s="1935"/>
    </row>
    <row r="2655" customFormat="false" ht="14.25" hidden="false" customHeight="false" outlineLevel="0" collapsed="false">
      <c r="A2655" s="829"/>
      <c r="B2655" s="830"/>
      <c r="C2655" s="1965"/>
      <c r="D2655" s="860" t="s">
        <v>19</v>
      </c>
      <c r="E2655" s="1480" t="s">
        <v>1651</v>
      </c>
      <c r="F2655" s="832"/>
      <c r="G2655" s="2010"/>
      <c r="H2655" s="1931"/>
      <c r="I2655" s="837"/>
      <c r="J2655" s="1932"/>
      <c r="K2655" s="943"/>
      <c r="L2655" s="866" t="n">
        <v>15431.6925</v>
      </c>
      <c r="M2655" s="866" t="n">
        <v>525</v>
      </c>
      <c r="N2655" s="866" t="n">
        <f aca="false">M2655/H2642</f>
        <v>35</v>
      </c>
      <c r="O2655" s="543" t="s">
        <v>608</v>
      </c>
      <c r="P2655" s="1937"/>
      <c r="Q2655" s="1934"/>
      <c r="R2655" s="1935"/>
    </row>
    <row r="2656" customFormat="false" ht="14.25" hidden="false" customHeight="false" outlineLevel="0" collapsed="false">
      <c r="A2656" s="829"/>
      <c r="B2656" s="830"/>
      <c r="C2656" s="1965"/>
      <c r="D2656" s="887" t="s">
        <v>19</v>
      </c>
      <c r="E2656" s="1501" t="s">
        <v>1651</v>
      </c>
      <c r="F2656" s="832"/>
      <c r="G2656" s="2010"/>
      <c r="H2656" s="1931"/>
      <c r="I2656" s="837"/>
      <c r="J2656" s="1932"/>
      <c r="K2656" s="943"/>
      <c r="L2656" s="890" t="n">
        <v>3086.3385</v>
      </c>
      <c r="M2656" s="890" t="n">
        <v>105</v>
      </c>
      <c r="N2656" s="890" t="n">
        <f aca="false">M2656/H2642</f>
        <v>7</v>
      </c>
      <c r="O2656" s="1067" t="s">
        <v>570</v>
      </c>
      <c r="P2656" s="1937"/>
      <c r="Q2656" s="1934"/>
      <c r="R2656" s="1935"/>
    </row>
    <row r="2657" customFormat="false" ht="14.25" hidden="false" customHeight="false" outlineLevel="0" collapsed="false">
      <c r="A2657" s="1465" t="n">
        <v>445</v>
      </c>
      <c r="B2657" s="1546" t="n">
        <v>2024</v>
      </c>
      <c r="C2657" s="1975" t="n">
        <v>45931</v>
      </c>
      <c r="D2657" s="831" t="s">
        <v>19</v>
      </c>
      <c r="E2657" s="1365" t="s">
        <v>1651</v>
      </c>
      <c r="F2657" s="1328" t="s">
        <v>3367</v>
      </c>
      <c r="G2657" s="2068" t="n">
        <v>68</v>
      </c>
      <c r="H2657" s="1976" t="n">
        <v>10</v>
      </c>
      <c r="I2657" s="1036" t="n">
        <f aca="false">G2657*H2657</f>
        <v>680</v>
      </c>
      <c r="J2657" s="1999" t="n">
        <v>24.8184</v>
      </c>
      <c r="K2657" s="1547" t="n">
        <f aca="false">I2657*J2657</f>
        <v>16876.512</v>
      </c>
      <c r="L2657" s="840" t="n">
        <v>7445.52</v>
      </c>
      <c r="M2657" s="840" t="n">
        <v>300</v>
      </c>
      <c r="N2657" s="886" t="n">
        <f aca="false">M2657/H2657</f>
        <v>30</v>
      </c>
      <c r="O2657" s="1114" t="s">
        <v>601</v>
      </c>
      <c r="P2657" s="1978" t="n">
        <f aca="false">K2657-L2657-L2663-L2662-L2658-L2659-L2660-L2661</f>
        <v>-1.79056769411545E-012</v>
      </c>
      <c r="Q2657" s="1978" t="n">
        <f aca="false">I2657-M2657-M2663-M2662-M2658-M2659-M2660-M2661</f>
        <v>0</v>
      </c>
      <c r="R2657" s="1979" t="n">
        <f aca="false">G2657-N2657-N2663-N2662-N2658-N2659-N2660-N2661</f>
        <v>0</v>
      </c>
    </row>
    <row r="2658" customFormat="false" ht="14.25" hidden="false" customHeight="false" outlineLevel="0" collapsed="false">
      <c r="A2658" s="1465"/>
      <c r="B2658" s="1546"/>
      <c r="C2658" s="1975"/>
      <c r="D2658" s="848" t="s">
        <v>19</v>
      </c>
      <c r="E2658" s="1479" t="s">
        <v>1651</v>
      </c>
      <c r="F2658" s="1328"/>
      <c r="G2658" s="2068"/>
      <c r="H2658" s="1976"/>
      <c r="I2658" s="1036"/>
      <c r="J2658" s="1999"/>
      <c r="K2658" s="1547"/>
      <c r="L2658" s="854" t="n">
        <v>3226.392</v>
      </c>
      <c r="M2658" s="854" t="n">
        <v>130</v>
      </c>
      <c r="N2658" s="866" t="n">
        <f aca="false">M2658/H2657</f>
        <v>13</v>
      </c>
      <c r="O2658" s="537" t="s">
        <v>612</v>
      </c>
      <c r="P2658" s="1978"/>
      <c r="Q2658" s="1978"/>
      <c r="R2658" s="1979"/>
    </row>
    <row r="2659" customFormat="false" ht="14.25" hidden="false" customHeight="false" outlineLevel="0" collapsed="false">
      <c r="A2659" s="1465"/>
      <c r="B2659" s="1546"/>
      <c r="C2659" s="1975"/>
      <c r="D2659" s="848" t="s">
        <v>19</v>
      </c>
      <c r="E2659" s="1479" t="s">
        <v>1651</v>
      </c>
      <c r="F2659" s="1328"/>
      <c r="G2659" s="2068"/>
      <c r="H2659" s="1976"/>
      <c r="I2659" s="1036"/>
      <c r="J2659" s="1999"/>
      <c r="K2659" s="1547"/>
      <c r="L2659" s="854" t="n">
        <v>496.368</v>
      </c>
      <c r="M2659" s="854" t="n">
        <v>20</v>
      </c>
      <c r="N2659" s="866" t="n">
        <f aca="false">M2659/H2657</f>
        <v>2</v>
      </c>
      <c r="O2659" s="537" t="s">
        <v>1219</v>
      </c>
      <c r="P2659" s="1978"/>
      <c r="Q2659" s="1978"/>
      <c r="R2659" s="1979"/>
    </row>
    <row r="2660" customFormat="false" ht="14.25" hidden="false" customHeight="false" outlineLevel="0" collapsed="false">
      <c r="A2660" s="1465"/>
      <c r="B2660" s="1546"/>
      <c r="C2660" s="1975"/>
      <c r="D2660" s="848" t="s">
        <v>19</v>
      </c>
      <c r="E2660" s="1479" t="s">
        <v>1651</v>
      </c>
      <c r="F2660" s="1328"/>
      <c r="G2660" s="2068"/>
      <c r="H2660" s="1976"/>
      <c r="I2660" s="1036"/>
      <c r="J2660" s="1999"/>
      <c r="K2660" s="1547"/>
      <c r="L2660" s="854" t="n">
        <v>-744.552</v>
      </c>
      <c r="M2660" s="854" t="n">
        <v>-30</v>
      </c>
      <c r="N2660" s="866" t="n">
        <f aca="false">M2660/H2657</f>
        <v>-3</v>
      </c>
      <c r="O2660" s="537" t="s">
        <v>1634</v>
      </c>
      <c r="P2660" s="1978"/>
      <c r="Q2660" s="1978"/>
      <c r="R2660" s="1979"/>
    </row>
    <row r="2661" customFormat="false" ht="14.25" hidden="false" customHeight="false" outlineLevel="0" collapsed="false">
      <c r="A2661" s="1465"/>
      <c r="B2661" s="1546"/>
      <c r="C2661" s="1975"/>
      <c r="D2661" s="848" t="s">
        <v>19</v>
      </c>
      <c r="E2661" s="1479" t="s">
        <v>1651</v>
      </c>
      <c r="F2661" s="1328"/>
      <c r="G2661" s="2068"/>
      <c r="H2661" s="1976"/>
      <c r="I2661" s="1036"/>
      <c r="J2661" s="1999"/>
      <c r="K2661" s="1547"/>
      <c r="L2661" s="854" t="n">
        <v>248.184</v>
      </c>
      <c r="M2661" s="854" t="n">
        <v>10</v>
      </c>
      <c r="N2661" s="866" t="n">
        <f aca="false">M2661/H2657</f>
        <v>1</v>
      </c>
      <c r="O2661" s="537" t="s">
        <v>1375</v>
      </c>
      <c r="P2661" s="1978"/>
      <c r="Q2661" s="1978"/>
      <c r="R2661" s="1979"/>
    </row>
    <row r="2662" customFormat="false" ht="14.25" hidden="false" customHeight="false" outlineLevel="0" collapsed="false">
      <c r="A2662" s="1465"/>
      <c r="B2662" s="1546"/>
      <c r="C2662" s="1975"/>
      <c r="D2662" s="860" t="s">
        <v>19</v>
      </c>
      <c r="E2662" s="1480" t="s">
        <v>1651</v>
      </c>
      <c r="F2662" s="1328"/>
      <c r="G2662" s="2068"/>
      <c r="H2662" s="1976"/>
      <c r="I2662" s="1036"/>
      <c r="J2662" s="1999"/>
      <c r="K2662" s="1547"/>
      <c r="L2662" s="866" t="n">
        <v>4963.68</v>
      </c>
      <c r="M2662" s="866" t="n">
        <v>200</v>
      </c>
      <c r="N2662" s="866" t="n">
        <f aca="false">M2662/H2657</f>
        <v>20</v>
      </c>
      <c r="O2662" s="543" t="s">
        <v>589</v>
      </c>
      <c r="P2662" s="1978"/>
      <c r="Q2662" s="1978"/>
      <c r="R2662" s="1979"/>
    </row>
    <row r="2663" customFormat="false" ht="14.25" hidden="false" customHeight="false" outlineLevel="0" collapsed="false">
      <c r="A2663" s="1465"/>
      <c r="B2663" s="1546"/>
      <c r="C2663" s="1975"/>
      <c r="D2663" s="904" t="s">
        <v>19</v>
      </c>
      <c r="E2663" s="1351" t="s">
        <v>1651</v>
      </c>
      <c r="F2663" s="1328"/>
      <c r="G2663" s="2068"/>
      <c r="H2663" s="1976"/>
      <c r="I2663" s="1036"/>
      <c r="J2663" s="1999"/>
      <c r="K2663" s="1547"/>
      <c r="L2663" s="891" t="n">
        <v>1240.92</v>
      </c>
      <c r="M2663" s="891" t="n">
        <v>50</v>
      </c>
      <c r="N2663" s="891" t="n">
        <f aca="false">M2663/H2657</f>
        <v>5</v>
      </c>
      <c r="O2663" s="942" t="s">
        <v>561</v>
      </c>
      <c r="P2663" s="1978"/>
      <c r="Q2663" s="1978"/>
      <c r="R2663" s="1979"/>
    </row>
    <row r="2664" customFormat="false" ht="14.25" hidden="false" customHeight="false" outlineLevel="0" collapsed="false">
      <c r="A2664" s="882" t="n">
        <v>454</v>
      </c>
      <c r="B2664" s="830" t="n">
        <v>2024</v>
      </c>
      <c r="C2664" s="1965" t="n">
        <v>45931</v>
      </c>
      <c r="D2664" s="831" t="s">
        <v>19</v>
      </c>
      <c r="E2664" s="1365" t="s">
        <v>1651</v>
      </c>
      <c r="F2664" s="832" t="s">
        <v>3364</v>
      </c>
      <c r="G2664" s="2010" t="n">
        <v>369</v>
      </c>
      <c r="H2664" s="1931" t="n">
        <v>15</v>
      </c>
      <c r="I2664" s="837" t="n">
        <f aca="false">G2664*H2664</f>
        <v>5535</v>
      </c>
      <c r="J2664" s="1932" t="n">
        <v>24.9798</v>
      </c>
      <c r="K2664" s="943" t="n">
        <f aca="false">I2664*J2664</f>
        <v>138263.193</v>
      </c>
      <c r="L2664" s="840" t="n">
        <v>5245.758</v>
      </c>
      <c r="M2664" s="840" t="n">
        <v>210</v>
      </c>
      <c r="N2664" s="886" t="n">
        <f aca="false">M2664/H2664</f>
        <v>14</v>
      </c>
      <c r="O2664" s="1114" t="s">
        <v>648</v>
      </c>
      <c r="P2664" s="1937" t="n">
        <f aca="false">K2664-L2664-L2666-L2665</f>
        <v>0</v>
      </c>
      <c r="Q2664" s="1934" t="n">
        <f aca="false">I2664-M2664-M2666-M2665</f>
        <v>0</v>
      </c>
      <c r="R2664" s="1935" t="n">
        <f aca="false">G2664-N2664-N2666-N2665</f>
        <v>0</v>
      </c>
    </row>
    <row r="2665" customFormat="false" ht="14.25" hidden="false" customHeight="false" outlineLevel="0" collapsed="false">
      <c r="A2665" s="882"/>
      <c r="B2665" s="830"/>
      <c r="C2665" s="1965"/>
      <c r="D2665" s="904" t="s">
        <v>19</v>
      </c>
      <c r="E2665" s="1351" t="s">
        <v>1651</v>
      </c>
      <c r="F2665" s="832"/>
      <c r="G2665" s="2010"/>
      <c r="H2665" s="1931"/>
      <c r="I2665" s="837"/>
      <c r="J2665" s="1932"/>
      <c r="K2665" s="943"/>
      <c r="L2665" s="891" t="n">
        <v>130769.253</v>
      </c>
      <c r="M2665" s="891" t="n">
        <v>5235</v>
      </c>
      <c r="N2665" s="866" t="n">
        <f aca="false">M2665/H2664</f>
        <v>349</v>
      </c>
      <c r="O2665" s="942" t="s">
        <v>1634</v>
      </c>
      <c r="P2665" s="1937"/>
      <c r="Q2665" s="1934"/>
      <c r="R2665" s="1935"/>
    </row>
    <row r="2666" customFormat="false" ht="14.25" hidden="false" customHeight="false" outlineLevel="0" collapsed="false">
      <c r="A2666" s="882"/>
      <c r="B2666" s="830"/>
      <c r="C2666" s="1965"/>
      <c r="D2666" s="843" t="s">
        <v>19</v>
      </c>
      <c r="E2666" s="1357" t="s">
        <v>1651</v>
      </c>
      <c r="F2666" s="832"/>
      <c r="G2666" s="2010"/>
      <c r="H2666" s="1931"/>
      <c r="I2666" s="837"/>
      <c r="J2666" s="1932"/>
      <c r="K2666" s="943"/>
      <c r="L2666" s="846" t="n">
        <v>2248.182</v>
      </c>
      <c r="M2666" s="846" t="n">
        <v>90</v>
      </c>
      <c r="N2666" s="846" t="n">
        <f aca="false">M2666/H2664</f>
        <v>6</v>
      </c>
      <c r="O2666" s="589" t="s">
        <v>1213</v>
      </c>
      <c r="P2666" s="1937"/>
      <c r="Q2666" s="1934"/>
      <c r="R2666" s="1935"/>
    </row>
    <row r="2667" customFormat="false" ht="14.25" hidden="false" customHeight="false" outlineLevel="0" collapsed="false">
      <c r="A2667" s="1344" t="n">
        <v>455</v>
      </c>
      <c r="B2667" s="903" t="n">
        <v>2024</v>
      </c>
      <c r="C2667" s="1974" t="n">
        <v>45931</v>
      </c>
      <c r="D2667" s="848" t="s">
        <v>19</v>
      </c>
      <c r="E2667" s="1479" t="s">
        <v>1652</v>
      </c>
      <c r="F2667" s="904" t="s">
        <v>3364</v>
      </c>
      <c r="G2667" s="2012" t="n">
        <v>339</v>
      </c>
      <c r="H2667" s="1940" t="n">
        <v>15</v>
      </c>
      <c r="I2667" s="942" t="n">
        <f aca="false">G2667*H2667</f>
        <v>5085</v>
      </c>
      <c r="J2667" s="1941" t="n">
        <v>42.4971</v>
      </c>
      <c r="K2667" s="948" t="n">
        <f aca="false">I2667*J2667</f>
        <v>216097.7535</v>
      </c>
      <c r="L2667" s="854" t="n">
        <v>15298.956</v>
      </c>
      <c r="M2667" s="854" t="n">
        <v>360</v>
      </c>
      <c r="N2667" s="891" t="n">
        <f aca="false">M2667/H2667</f>
        <v>24</v>
      </c>
      <c r="O2667" s="537" t="s">
        <v>605</v>
      </c>
      <c r="P2667" s="2009" t="n">
        <f aca="false">K2667-L2667-L2678-L2677-L2668-L2669-L2676-L2670-L2675-L2672-L2674-L2671-L2673</f>
        <v>0</v>
      </c>
      <c r="Q2667" s="2000" t="n">
        <f aca="false">I2667-M2667-M2678-M2677-M2668-M2669-M2676-M2670-M2675-M2672-M2674-M2671-M2673</f>
        <v>0</v>
      </c>
      <c r="R2667" s="2005" t="n">
        <f aca="false">G2667-N2667-N2678-N2677-N2668-N2669-N2676-N2670-N2675-N2672-N2674-N2671-N2673</f>
        <v>0</v>
      </c>
    </row>
    <row r="2668" customFormat="false" ht="14.25" hidden="false" customHeight="false" outlineLevel="0" collapsed="false">
      <c r="A2668" s="1344"/>
      <c r="B2668" s="903"/>
      <c r="C2668" s="1974"/>
      <c r="D2668" s="848" t="s">
        <v>19</v>
      </c>
      <c r="E2668" s="1479" t="s">
        <v>1652</v>
      </c>
      <c r="F2668" s="904"/>
      <c r="G2668" s="2012"/>
      <c r="H2668" s="1940"/>
      <c r="I2668" s="942"/>
      <c r="J2668" s="1941"/>
      <c r="K2668" s="948"/>
      <c r="L2668" s="854" t="n">
        <v>11474.217</v>
      </c>
      <c r="M2668" s="854" t="n">
        <v>270</v>
      </c>
      <c r="N2668" s="866" t="n">
        <f aca="false">M2668/H2667</f>
        <v>18</v>
      </c>
      <c r="O2668" s="537" t="s">
        <v>1044</v>
      </c>
      <c r="P2668" s="2009"/>
      <c r="Q2668" s="2000"/>
      <c r="R2668" s="2005"/>
    </row>
    <row r="2669" customFormat="false" ht="14.25" hidden="false" customHeight="false" outlineLevel="0" collapsed="false">
      <c r="A2669" s="1344"/>
      <c r="B2669" s="903"/>
      <c r="C2669" s="1974"/>
      <c r="D2669" s="848" t="s">
        <v>19</v>
      </c>
      <c r="E2669" s="1479" t="s">
        <v>1652</v>
      </c>
      <c r="F2669" s="904"/>
      <c r="G2669" s="2012"/>
      <c r="H2669" s="1940"/>
      <c r="I2669" s="942"/>
      <c r="J2669" s="1941"/>
      <c r="K2669" s="948"/>
      <c r="L2669" s="854" t="n">
        <v>21673.521</v>
      </c>
      <c r="M2669" s="854" t="n">
        <v>510</v>
      </c>
      <c r="N2669" s="866" t="n">
        <f aca="false">M2669/H2667</f>
        <v>34</v>
      </c>
      <c r="O2669" s="537" t="s">
        <v>3592</v>
      </c>
      <c r="P2669" s="2009"/>
      <c r="Q2669" s="2000"/>
      <c r="R2669" s="2005"/>
    </row>
    <row r="2670" customFormat="false" ht="14.25" hidden="false" customHeight="false" outlineLevel="0" collapsed="false">
      <c r="A2670" s="1344"/>
      <c r="B2670" s="903"/>
      <c r="C2670" s="1974"/>
      <c r="D2670" s="848" t="s">
        <v>19</v>
      </c>
      <c r="E2670" s="1479" t="s">
        <v>1652</v>
      </c>
      <c r="F2670" s="904"/>
      <c r="G2670" s="2012"/>
      <c r="H2670" s="1940"/>
      <c r="I2670" s="942"/>
      <c r="J2670" s="1941"/>
      <c r="K2670" s="948"/>
      <c r="L2670" s="854" t="n">
        <v>7649.478</v>
      </c>
      <c r="M2670" s="854" t="n">
        <v>180</v>
      </c>
      <c r="N2670" s="866" t="n">
        <f aca="false">M2670/H2667</f>
        <v>12</v>
      </c>
      <c r="O2670" s="537" t="s">
        <v>1215</v>
      </c>
      <c r="P2670" s="2009"/>
      <c r="Q2670" s="2000"/>
      <c r="R2670" s="2005"/>
    </row>
    <row r="2671" customFormat="false" ht="14.25" hidden="false" customHeight="false" outlineLevel="0" collapsed="false">
      <c r="A2671" s="1344"/>
      <c r="B2671" s="903"/>
      <c r="C2671" s="1974"/>
      <c r="D2671" s="848" t="s">
        <v>19</v>
      </c>
      <c r="E2671" s="1479" t="s">
        <v>1652</v>
      </c>
      <c r="F2671" s="904"/>
      <c r="G2671" s="2012"/>
      <c r="H2671" s="1940"/>
      <c r="I2671" s="942"/>
      <c r="J2671" s="1941"/>
      <c r="K2671" s="948"/>
      <c r="L2671" s="854" t="n">
        <v>-637.4565</v>
      </c>
      <c r="M2671" s="854" t="n">
        <v>-15</v>
      </c>
      <c r="N2671" s="866" t="n">
        <f aca="false">M2671/H2667</f>
        <v>-1</v>
      </c>
      <c r="O2671" s="537" t="s">
        <v>1634</v>
      </c>
      <c r="P2671" s="2009"/>
      <c r="Q2671" s="2000"/>
      <c r="R2671" s="2005"/>
    </row>
    <row r="2672" customFormat="false" ht="14.25" hidden="false" customHeight="false" outlineLevel="0" collapsed="false">
      <c r="A2672" s="1344"/>
      <c r="B2672" s="903"/>
      <c r="C2672" s="1974"/>
      <c r="D2672" s="848" t="s">
        <v>19</v>
      </c>
      <c r="E2672" s="1479" t="s">
        <v>1652</v>
      </c>
      <c r="F2672" s="904"/>
      <c r="G2672" s="2012"/>
      <c r="H2672" s="1940"/>
      <c r="I2672" s="942"/>
      <c r="J2672" s="1941"/>
      <c r="K2672" s="948"/>
      <c r="L2672" s="854" t="n">
        <v>637.4565</v>
      </c>
      <c r="M2672" s="854" t="n">
        <v>15</v>
      </c>
      <c r="N2672" s="866" t="n">
        <f aca="false">M2672/H2667</f>
        <v>1</v>
      </c>
      <c r="O2672" s="537" t="s">
        <v>1276</v>
      </c>
      <c r="P2672" s="2009"/>
      <c r="Q2672" s="2000"/>
      <c r="R2672" s="2005"/>
    </row>
    <row r="2673" customFormat="false" ht="14.25" hidden="false" customHeight="false" outlineLevel="0" collapsed="false">
      <c r="A2673" s="1344"/>
      <c r="B2673" s="903"/>
      <c r="C2673" s="1974"/>
      <c r="D2673" s="848" t="s">
        <v>19</v>
      </c>
      <c r="E2673" s="1479" t="s">
        <v>1652</v>
      </c>
      <c r="F2673" s="904"/>
      <c r="G2673" s="2012"/>
      <c r="H2673" s="1940"/>
      <c r="I2673" s="942"/>
      <c r="J2673" s="1941"/>
      <c r="K2673" s="948"/>
      <c r="L2673" s="854" t="n">
        <v>116654.5395</v>
      </c>
      <c r="M2673" s="854" t="n">
        <v>2745</v>
      </c>
      <c r="N2673" s="866" t="n">
        <f aca="false">M2673/H2667</f>
        <v>183</v>
      </c>
      <c r="O2673" s="537" t="s">
        <v>3519</v>
      </c>
      <c r="P2673" s="2009"/>
      <c r="Q2673" s="2000"/>
      <c r="R2673" s="2005"/>
    </row>
    <row r="2674" customFormat="false" ht="14.25" hidden="false" customHeight="false" outlineLevel="0" collapsed="false">
      <c r="A2674" s="1344"/>
      <c r="B2674" s="903"/>
      <c r="C2674" s="1974"/>
      <c r="D2674" s="848" t="s">
        <v>19</v>
      </c>
      <c r="E2674" s="1479" t="s">
        <v>1652</v>
      </c>
      <c r="F2674" s="904"/>
      <c r="G2674" s="2012"/>
      <c r="H2674" s="1940"/>
      <c r="I2674" s="942"/>
      <c r="J2674" s="1941"/>
      <c r="K2674" s="948"/>
      <c r="L2674" s="854" t="n">
        <v>5737.1085</v>
      </c>
      <c r="M2674" s="854" t="n">
        <v>135</v>
      </c>
      <c r="N2674" s="866" t="n">
        <f aca="false">M2674/H2667</f>
        <v>9</v>
      </c>
      <c r="O2674" s="537" t="s">
        <v>1296</v>
      </c>
      <c r="P2674" s="2009"/>
      <c r="Q2674" s="2000"/>
      <c r="R2674" s="2005"/>
    </row>
    <row r="2675" customFormat="false" ht="14.25" hidden="false" customHeight="false" outlineLevel="0" collapsed="false">
      <c r="A2675" s="1344"/>
      <c r="B2675" s="903"/>
      <c r="C2675" s="1974"/>
      <c r="D2675" s="848" t="s">
        <v>19</v>
      </c>
      <c r="E2675" s="1479" t="s">
        <v>1652</v>
      </c>
      <c r="F2675" s="904"/>
      <c r="G2675" s="2012"/>
      <c r="H2675" s="1940"/>
      <c r="I2675" s="942"/>
      <c r="J2675" s="1941"/>
      <c r="K2675" s="948"/>
      <c r="L2675" s="854" t="n">
        <v>12749.13</v>
      </c>
      <c r="M2675" s="854" t="n">
        <v>300</v>
      </c>
      <c r="N2675" s="866" t="n">
        <f aca="false">M2675/H2667</f>
        <v>20</v>
      </c>
      <c r="O2675" s="537" t="s">
        <v>1225</v>
      </c>
      <c r="P2675" s="2009"/>
      <c r="Q2675" s="2000"/>
      <c r="R2675" s="2005"/>
    </row>
    <row r="2676" customFormat="false" ht="14.25" hidden="false" customHeight="false" outlineLevel="0" collapsed="false">
      <c r="A2676" s="1344"/>
      <c r="B2676" s="903"/>
      <c r="C2676" s="1974"/>
      <c r="D2676" s="848" t="s">
        <v>19</v>
      </c>
      <c r="E2676" s="1479" t="s">
        <v>1652</v>
      </c>
      <c r="F2676" s="904"/>
      <c r="G2676" s="2012"/>
      <c r="H2676" s="1940"/>
      <c r="I2676" s="942"/>
      <c r="J2676" s="1941"/>
      <c r="K2676" s="948"/>
      <c r="L2676" s="854" t="n">
        <v>20398.608</v>
      </c>
      <c r="M2676" s="854" t="n">
        <v>480</v>
      </c>
      <c r="N2676" s="866" t="n">
        <f aca="false">M2676/H2667</f>
        <v>32</v>
      </c>
      <c r="O2676" s="537" t="s">
        <v>1124</v>
      </c>
      <c r="P2676" s="2009"/>
      <c r="Q2676" s="2000"/>
      <c r="R2676" s="2005"/>
    </row>
    <row r="2677" customFormat="false" ht="14.25" hidden="false" customHeight="false" outlineLevel="0" collapsed="false">
      <c r="A2677" s="1344"/>
      <c r="B2677" s="903"/>
      <c r="C2677" s="1974"/>
      <c r="D2677" s="860" t="s">
        <v>19</v>
      </c>
      <c r="E2677" s="1480" t="s">
        <v>1652</v>
      </c>
      <c r="F2677" s="904"/>
      <c r="G2677" s="2012"/>
      <c r="H2677" s="1940"/>
      <c r="I2677" s="942"/>
      <c r="J2677" s="1941"/>
      <c r="K2677" s="948"/>
      <c r="L2677" s="866" t="n">
        <v>1912.3695</v>
      </c>
      <c r="M2677" s="866" t="n">
        <v>45</v>
      </c>
      <c r="N2677" s="866" t="n">
        <f aca="false">M2677/H2667</f>
        <v>3</v>
      </c>
      <c r="O2677" s="543" t="s">
        <v>888</v>
      </c>
      <c r="P2677" s="2009"/>
      <c r="Q2677" s="2000"/>
      <c r="R2677" s="2005"/>
    </row>
    <row r="2678" customFormat="false" ht="14.25" hidden="false" customHeight="false" outlineLevel="0" collapsed="false">
      <c r="A2678" s="1344"/>
      <c r="B2678" s="903"/>
      <c r="C2678" s="1974"/>
      <c r="D2678" s="904" t="s">
        <v>19</v>
      </c>
      <c r="E2678" s="1351" t="s">
        <v>1652</v>
      </c>
      <c r="F2678" s="904"/>
      <c r="G2678" s="2012"/>
      <c r="H2678" s="1940"/>
      <c r="I2678" s="942"/>
      <c r="J2678" s="1941"/>
      <c r="K2678" s="948"/>
      <c r="L2678" s="891" t="n">
        <v>2549.826</v>
      </c>
      <c r="M2678" s="891" t="n">
        <v>60</v>
      </c>
      <c r="N2678" s="891" t="n">
        <f aca="false">M2678/H2667</f>
        <v>4</v>
      </c>
      <c r="O2678" s="942" t="s">
        <v>3593</v>
      </c>
      <c r="P2678" s="2009"/>
      <c r="Q2678" s="2000"/>
      <c r="R2678" s="2005"/>
    </row>
    <row r="2679" customFormat="false" ht="14.25" hidden="false" customHeight="false" outlineLevel="0" collapsed="false">
      <c r="A2679" s="1027" t="n">
        <v>514</v>
      </c>
      <c r="B2679" s="1546" t="n">
        <v>2024</v>
      </c>
      <c r="C2679" s="1975" t="n">
        <v>45931</v>
      </c>
      <c r="D2679" s="831" t="s">
        <v>19</v>
      </c>
      <c r="E2679" s="1365" t="s">
        <v>1651</v>
      </c>
      <c r="F2679" s="1328" t="s">
        <v>3367</v>
      </c>
      <c r="G2679" s="2011" t="n">
        <v>300</v>
      </c>
      <c r="H2679" s="1976" t="n">
        <v>10</v>
      </c>
      <c r="I2679" s="1036" t="n">
        <f aca="false">G2679*H2679</f>
        <v>3000</v>
      </c>
      <c r="J2679" s="1999" t="n">
        <v>26.1412</v>
      </c>
      <c r="K2679" s="1547" t="n">
        <f aca="false">I2679*J2679</f>
        <v>78423.6</v>
      </c>
      <c r="L2679" s="886" t="n">
        <v>522.824</v>
      </c>
      <c r="M2679" s="886" t="n">
        <v>20</v>
      </c>
      <c r="N2679" s="886" t="n">
        <f aca="false">M2679/H2679</f>
        <v>2</v>
      </c>
      <c r="O2679" s="1036" t="s">
        <v>3594</v>
      </c>
      <c r="P2679" s="1977" t="n">
        <f aca="false">K2679-L2679-L2684-L2680-L2683-L2681-L2682</f>
        <v>0</v>
      </c>
      <c r="Q2679" s="1978" t="n">
        <f aca="false">I2679-M2679-M2684-M2680-M2683-M2681-M2682</f>
        <v>0</v>
      </c>
      <c r="R2679" s="1979" t="n">
        <f aca="false">G2679-N2679-N2684-N2680-N2683-N2681-N2682</f>
        <v>0</v>
      </c>
    </row>
    <row r="2680" customFormat="false" ht="14.25" hidden="false" customHeight="false" outlineLevel="0" collapsed="false">
      <c r="A2680" s="1027"/>
      <c r="B2680" s="1546"/>
      <c r="C2680" s="1975"/>
      <c r="D2680" s="860" t="s">
        <v>19</v>
      </c>
      <c r="E2680" s="1480" t="s">
        <v>1651</v>
      </c>
      <c r="F2680" s="1328"/>
      <c r="G2680" s="2011"/>
      <c r="H2680" s="1976"/>
      <c r="I2680" s="1036"/>
      <c r="J2680" s="1999"/>
      <c r="K2680" s="1547"/>
      <c r="L2680" s="866" t="n">
        <v>7842.36</v>
      </c>
      <c r="M2680" s="866" t="n">
        <v>300</v>
      </c>
      <c r="N2680" s="866" t="n">
        <f aca="false">M2680/H2679</f>
        <v>30</v>
      </c>
      <c r="O2680" s="543" t="s">
        <v>894</v>
      </c>
      <c r="P2680" s="1977"/>
      <c r="Q2680" s="1978"/>
      <c r="R2680" s="1979"/>
    </row>
    <row r="2681" customFormat="false" ht="14.25" hidden="false" customHeight="false" outlineLevel="0" collapsed="false">
      <c r="A2681" s="1027"/>
      <c r="B2681" s="1546"/>
      <c r="C2681" s="1975"/>
      <c r="D2681" s="860" t="s">
        <v>19</v>
      </c>
      <c r="E2681" s="1480" t="s">
        <v>1651</v>
      </c>
      <c r="F2681" s="1328"/>
      <c r="G2681" s="2011"/>
      <c r="H2681" s="1976"/>
      <c r="I2681" s="1036"/>
      <c r="J2681" s="1999"/>
      <c r="K2681" s="1547"/>
      <c r="L2681" s="866" t="n">
        <v>5228.24</v>
      </c>
      <c r="M2681" s="866" t="n">
        <v>200</v>
      </c>
      <c r="N2681" s="866" t="n">
        <f aca="false">M2681/H2679</f>
        <v>20</v>
      </c>
      <c r="O2681" s="543" t="s">
        <v>937</v>
      </c>
      <c r="P2681" s="1977"/>
      <c r="Q2681" s="1978"/>
      <c r="R2681" s="1979"/>
    </row>
    <row r="2682" customFormat="false" ht="14.25" hidden="false" customHeight="false" outlineLevel="0" collapsed="false">
      <c r="A2682" s="1027"/>
      <c r="B2682" s="1546"/>
      <c r="C2682" s="1975"/>
      <c r="D2682" s="860" t="s">
        <v>19</v>
      </c>
      <c r="E2682" s="1480" t="s">
        <v>1651</v>
      </c>
      <c r="F2682" s="1328"/>
      <c r="G2682" s="2011"/>
      <c r="H2682" s="1976"/>
      <c r="I2682" s="1036"/>
      <c r="J2682" s="1999"/>
      <c r="K2682" s="1547"/>
      <c r="L2682" s="866" t="n">
        <v>49145.456</v>
      </c>
      <c r="M2682" s="866" t="n">
        <v>1880</v>
      </c>
      <c r="N2682" s="866" t="n">
        <f aca="false">M2682/H2679</f>
        <v>188</v>
      </c>
      <c r="O2682" s="543" t="s">
        <v>1152</v>
      </c>
      <c r="P2682" s="1977"/>
      <c r="Q2682" s="1978"/>
      <c r="R2682" s="1979"/>
    </row>
    <row r="2683" customFormat="false" ht="14.25" hidden="false" customHeight="false" outlineLevel="0" collapsed="false">
      <c r="A2683" s="1027"/>
      <c r="B2683" s="1546"/>
      <c r="C2683" s="1975"/>
      <c r="D2683" s="860" t="s">
        <v>19</v>
      </c>
      <c r="E2683" s="1480" t="s">
        <v>1651</v>
      </c>
      <c r="F2683" s="1328"/>
      <c r="G2683" s="2011"/>
      <c r="H2683" s="1976"/>
      <c r="I2683" s="1036"/>
      <c r="J2683" s="1999"/>
      <c r="K2683" s="1547"/>
      <c r="L2683" s="866" t="n">
        <v>7842.36</v>
      </c>
      <c r="M2683" s="866" t="n">
        <v>300</v>
      </c>
      <c r="N2683" s="866" t="n">
        <f aca="false">M2683/H2679</f>
        <v>30</v>
      </c>
      <c r="O2683" s="543" t="s">
        <v>895</v>
      </c>
      <c r="P2683" s="1977"/>
      <c r="Q2683" s="1978"/>
      <c r="R2683" s="1979"/>
    </row>
    <row r="2684" customFormat="false" ht="14.25" hidden="false" customHeight="false" outlineLevel="0" collapsed="false">
      <c r="A2684" s="1027"/>
      <c r="B2684" s="1546"/>
      <c r="C2684" s="1975"/>
      <c r="D2684" s="871" t="s">
        <v>19</v>
      </c>
      <c r="E2684" s="1478" t="s">
        <v>1651</v>
      </c>
      <c r="F2684" s="1328"/>
      <c r="G2684" s="2011"/>
      <c r="H2684" s="1976"/>
      <c r="I2684" s="1036"/>
      <c r="J2684" s="1999"/>
      <c r="K2684" s="1547"/>
      <c r="L2684" s="877" t="n">
        <v>7842.36</v>
      </c>
      <c r="M2684" s="877" t="n">
        <v>300</v>
      </c>
      <c r="N2684" s="877" t="n">
        <f aca="false">M2684/H2679</f>
        <v>30</v>
      </c>
      <c r="O2684" s="553" t="s">
        <v>751</v>
      </c>
      <c r="P2684" s="1977"/>
      <c r="Q2684" s="1978"/>
      <c r="R2684" s="1979"/>
    </row>
    <row r="2685" customFormat="false" ht="14.25" hidden="false" customHeight="false" outlineLevel="0" collapsed="false">
      <c r="A2685" s="829" t="n">
        <v>515</v>
      </c>
      <c r="B2685" s="830" t="n">
        <v>2024</v>
      </c>
      <c r="C2685" s="1965" t="n">
        <v>45931</v>
      </c>
      <c r="D2685" s="831" t="s">
        <v>19</v>
      </c>
      <c r="E2685" s="1365" t="s">
        <v>1651</v>
      </c>
      <c r="F2685" s="832" t="s">
        <v>3364</v>
      </c>
      <c r="G2685" s="2010" t="n">
        <v>666</v>
      </c>
      <c r="H2685" s="1931" t="n">
        <v>15</v>
      </c>
      <c r="I2685" s="837" t="n">
        <f aca="false">G2685*H2685</f>
        <v>9990</v>
      </c>
      <c r="J2685" s="1932" t="n">
        <v>26.1412</v>
      </c>
      <c r="K2685" s="943" t="n">
        <f aca="false">I2685*J2685</f>
        <v>261150.588</v>
      </c>
      <c r="L2685" s="886" t="n">
        <v>5881.77</v>
      </c>
      <c r="M2685" s="886" t="n">
        <v>225</v>
      </c>
      <c r="N2685" s="886" t="n">
        <f aca="false">M2685/H2685</f>
        <v>15</v>
      </c>
      <c r="O2685" s="1036" t="s">
        <v>914</v>
      </c>
      <c r="P2685" s="1934" t="n">
        <f aca="false">K2685-L2685-L2717-L2716-L2686-L2687-L2715-L2688-L2690-L2714-L2689-L2713-L2711-L2695-L2712-L2691-L2710-L2693-L2701-L2702-L2698-L2709-L2708-L2705-L2696-L2694-L2707-L2706-L2692-L2699-L2704-L2697-L2700-L2703</f>
        <v>9.95896698441356E-011</v>
      </c>
      <c r="Q2685" s="1934" t="n">
        <f aca="false">I2685-M2685-M2717-M2716-M2686-M2687-M2715-M2688-M2690-M2714-M2689-M2713-M2711-M2695-M2712-M2691-M2710-M2693-M2701-M2702-M2698-M2709-M2708-M2705-M2696-M2694-M2707-M2706-M2692-M2699-M2704-M2697-M2700-M2703</f>
        <v>0</v>
      </c>
      <c r="R2685" s="1935" t="n">
        <f aca="false">G2685-N2685-N2717-N2716-N2686-N2687-N2715-N2688-N2690-N2714-N2689-N2713-N2711-N2695-N2712-N2691-N2710-N2693-N2701-N2702-N2698-N2709-N2708-N2705-N2696-N2694-N2707-N2706-N2692-N2699-N2704-N2697-N2700-N2703</f>
        <v>0</v>
      </c>
    </row>
    <row r="2686" customFormat="false" ht="14.25" hidden="false" customHeight="false" outlineLevel="0" collapsed="false">
      <c r="A2686" s="829"/>
      <c r="B2686" s="830"/>
      <c r="C2686" s="1965"/>
      <c r="D2686" s="860" t="s">
        <v>19</v>
      </c>
      <c r="E2686" s="1480" t="s">
        <v>1651</v>
      </c>
      <c r="F2686" s="832"/>
      <c r="G2686" s="2010"/>
      <c r="H2686" s="1931"/>
      <c r="I2686" s="837"/>
      <c r="J2686" s="1932"/>
      <c r="K2686" s="943"/>
      <c r="L2686" s="866" t="n">
        <v>3136.944</v>
      </c>
      <c r="M2686" s="866" t="n">
        <v>120</v>
      </c>
      <c r="N2686" s="866" t="n">
        <f aca="false">M2686/H2685</f>
        <v>8</v>
      </c>
      <c r="O2686" s="543" t="s">
        <v>908</v>
      </c>
      <c r="P2686" s="1934"/>
      <c r="Q2686" s="1934"/>
      <c r="R2686" s="1935"/>
    </row>
    <row r="2687" customFormat="false" ht="14.25" hidden="false" customHeight="false" outlineLevel="0" collapsed="false">
      <c r="A2687" s="829"/>
      <c r="B2687" s="830"/>
      <c r="C2687" s="1965"/>
      <c r="D2687" s="860" t="s">
        <v>19</v>
      </c>
      <c r="E2687" s="1480" t="s">
        <v>1651</v>
      </c>
      <c r="F2687" s="832"/>
      <c r="G2687" s="2010"/>
      <c r="H2687" s="1931"/>
      <c r="I2687" s="837"/>
      <c r="J2687" s="1932"/>
      <c r="K2687" s="943"/>
      <c r="L2687" s="866" t="n">
        <v>392.118</v>
      </c>
      <c r="M2687" s="866" t="n">
        <v>15</v>
      </c>
      <c r="N2687" s="866" t="n">
        <f aca="false">M2687/H2685</f>
        <v>1</v>
      </c>
      <c r="O2687" s="543" t="s">
        <v>905</v>
      </c>
      <c r="P2687" s="1934"/>
      <c r="Q2687" s="1934"/>
      <c r="R2687" s="1935"/>
    </row>
    <row r="2688" customFormat="false" ht="14.25" hidden="false" customHeight="false" outlineLevel="0" collapsed="false">
      <c r="A2688" s="829"/>
      <c r="B2688" s="830"/>
      <c r="C2688" s="1965"/>
      <c r="D2688" s="860" t="s">
        <v>19</v>
      </c>
      <c r="E2688" s="1480" t="s">
        <v>1651</v>
      </c>
      <c r="F2688" s="832"/>
      <c r="G2688" s="2010"/>
      <c r="H2688" s="1931"/>
      <c r="I2688" s="837"/>
      <c r="J2688" s="1932"/>
      <c r="K2688" s="943"/>
      <c r="L2688" s="866" t="n">
        <v>1568.472</v>
      </c>
      <c r="M2688" s="866" t="n">
        <v>60</v>
      </c>
      <c r="N2688" s="866" t="n">
        <f aca="false">M2688/H2685</f>
        <v>4</v>
      </c>
      <c r="O2688" s="543" t="s">
        <v>918</v>
      </c>
      <c r="P2688" s="1934"/>
      <c r="Q2688" s="1934"/>
      <c r="R2688" s="1935"/>
    </row>
    <row r="2689" customFormat="false" ht="14.25" hidden="false" customHeight="false" outlineLevel="0" collapsed="false">
      <c r="A2689" s="829"/>
      <c r="B2689" s="830"/>
      <c r="C2689" s="1965"/>
      <c r="D2689" s="860" t="s">
        <v>19</v>
      </c>
      <c r="E2689" s="1480" t="s">
        <v>1651</v>
      </c>
      <c r="F2689" s="832"/>
      <c r="G2689" s="2010"/>
      <c r="H2689" s="1931"/>
      <c r="I2689" s="837"/>
      <c r="J2689" s="1932"/>
      <c r="K2689" s="943"/>
      <c r="L2689" s="866" t="n">
        <v>392.118</v>
      </c>
      <c r="M2689" s="866" t="n">
        <v>15</v>
      </c>
      <c r="N2689" s="866" t="n">
        <f aca="false">M2689/H2685</f>
        <v>1</v>
      </c>
      <c r="O2689" s="543" t="s">
        <v>862</v>
      </c>
      <c r="P2689" s="1934"/>
      <c r="Q2689" s="1934"/>
      <c r="R2689" s="1935"/>
    </row>
    <row r="2690" customFormat="false" ht="14.25" hidden="false" customHeight="false" outlineLevel="0" collapsed="false">
      <c r="A2690" s="829"/>
      <c r="B2690" s="830"/>
      <c r="C2690" s="1965"/>
      <c r="D2690" s="860" t="s">
        <v>19</v>
      </c>
      <c r="E2690" s="1480" t="s">
        <v>1651</v>
      </c>
      <c r="F2690" s="832"/>
      <c r="G2690" s="2010"/>
      <c r="H2690" s="1931"/>
      <c r="I2690" s="837"/>
      <c r="J2690" s="1932"/>
      <c r="K2690" s="943"/>
      <c r="L2690" s="866" t="n">
        <v>21958.608</v>
      </c>
      <c r="M2690" s="866" t="n">
        <v>840</v>
      </c>
      <c r="N2690" s="866" t="n">
        <f aca="false">M2690/H2685</f>
        <v>56</v>
      </c>
      <c r="O2690" s="543" t="s">
        <v>868</v>
      </c>
      <c r="P2690" s="1934"/>
      <c r="Q2690" s="1934"/>
      <c r="R2690" s="1935"/>
    </row>
    <row r="2691" customFormat="false" ht="14.25" hidden="false" customHeight="false" outlineLevel="0" collapsed="false">
      <c r="A2691" s="829"/>
      <c r="B2691" s="830"/>
      <c r="C2691" s="1965"/>
      <c r="D2691" s="860" t="s">
        <v>19</v>
      </c>
      <c r="E2691" s="1480" t="s">
        <v>1651</v>
      </c>
      <c r="F2691" s="832"/>
      <c r="G2691" s="2010"/>
      <c r="H2691" s="1931"/>
      <c r="I2691" s="837"/>
      <c r="J2691" s="1932"/>
      <c r="K2691" s="943"/>
      <c r="L2691" s="866" t="n">
        <v>3921.18</v>
      </c>
      <c r="M2691" s="866" t="n">
        <v>150</v>
      </c>
      <c r="N2691" s="866" t="n">
        <f aca="false">M2691/H2685</f>
        <v>10</v>
      </c>
      <c r="O2691" s="543" t="s">
        <v>922</v>
      </c>
      <c r="P2691" s="1934"/>
      <c r="Q2691" s="1934"/>
      <c r="R2691" s="1935"/>
    </row>
    <row r="2692" customFormat="false" ht="14.25" hidden="false" customHeight="false" outlineLevel="0" collapsed="false">
      <c r="A2692" s="829"/>
      <c r="B2692" s="830"/>
      <c r="C2692" s="1965"/>
      <c r="D2692" s="860" t="s">
        <v>19</v>
      </c>
      <c r="E2692" s="1480" t="s">
        <v>1651</v>
      </c>
      <c r="F2692" s="832"/>
      <c r="G2692" s="2010"/>
      <c r="H2692" s="1931"/>
      <c r="I2692" s="837"/>
      <c r="J2692" s="1932"/>
      <c r="K2692" s="943"/>
      <c r="L2692" s="866" t="n">
        <v>392.118</v>
      </c>
      <c r="M2692" s="866" t="n">
        <v>15</v>
      </c>
      <c r="N2692" s="866" t="n">
        <f aca="false">M2692/H2685</f>
        <v>1</v>
      </c>
      <c r="O2692" s="543" t="s">
        <v>1148</v>
      </c>
      <c r="P2692" s="1934"/>
      <c r="Q2692" s="1934"/>
      <c r="R2692" s="1935"/>
    </row>
    <row r="2693" customFormat="false" ht="14.25" hidden="false" customHeight="false" outlineLevel="0" collapsed="false">
      <c r="A2693" s="829"/>
      <c r="B2693" s="830"/>
      <c r="C2693" s="1965"/>
      <c r="D2693" s="860" t="s">
        <v>19</v>
      </c>
      <c r="E2693" s="1480" t="s">
        <v>1651</v>
      </c>
      <c r="F2693" s="832"/>
      <c r="G2693" s="2010"/>
      <c r="H2693" s="1931"/>
      <c r="I2693" s="837"/>
      <c r="J2693" s="1932"/>
      <c r="K2693" s="943"/>
      <c r="L2693" s="866" t="n">
        <v>7842.36</v>
      </c>
      <c r="M2693" s="866" t="n">
        <v>300</v>
      </c>
      <c r="N2693" s="866" t="n">
        <f aca="false">M2693/H2685</f>
        <v>20</v>
      </c>
      <c r="O2693" s="543" t="s">
        <v>934</v>
      </c>
      <c r="P2693" s="1934"/>
      <c r="Q2693" s="1934"/>
      <c r="R2693" s="1935"/>
    </row>
    <row r="2694" customFormat="false" ht="14.25" hidden="false" customHeight="false" outlineLevel="0" collapsed="false">
      <c r="A2694" s="829"/>
      <c r="B2694" s="830"/>
      <c r="C2694" s="1965"/>
      <c r="D2694" s="860" t="s">
        <v>19</v>
      </c>
      <c r="E2694" s="1480" t="s">
        <v>1651</v>
      </c>
      <c r="F2694" s="832"/>
      <c r="G2694" s="2010"/>
      <c r="H2694" s="1931"/>
      <c r="I2694" s="837"/>
      <c r="J2694" s="1932"/>
      <c r="K2694" s="943"/>
      <c r="L2694" s="866" t="n">
        <v>17253.192</v>
      </c>
      <c r="M2694" s="866" t="n">
        <v>660</v>
      </c>
      <c r="N2694" s="866" t="n">
        <f aca="false">M2694/H2685</f>
        <v>44</v>
      </c>
      <c r="O2694" s="543" t="s">
        <v>3595</v>
      </c>
      <c r="P2694" s="1934"/>
      <c r="Q2694" s="1934"/>
      <c r="R2694" s="1935"/>
    </row>
    <row r="2695" customFormat="false" ht="14.25" hidden="false" customHeight="false" outlineLevel="0" collapsed="false">
      <c r="A2695" s="829"/>
      <c r="B2695" s="830"/>
      <c r="C2695" s="1965"/>
      <c r="D2695" s="860" t="s">
        <v>19</v>
      </c>
      <c r="E2695" s="1480" t="s">
        <v>1651</v>
      </c>
      <c r="F2695" s="832"/>
      <c r="G2695" s="2010"/>
      <c r="H2695" s="1931"/>
      <c r="I2695" s="837"/>
      <c r="J2695" s="1932"/>
      <c r="K2695" s="943"/>
      <c r="L2695" s="866" t="n">
        <v>6666.006</v>
      </c>
      <c r="M2695" s="866" t="n">
        <v>255</v>
      </c>
      <c r="N2695" s="866" t="n">
        <f aca="false">M2695/H2685</f>
        <v>17</v>
      </c>
      <c r="O2695" s="543" t="s">
        <v>832</v>
      </c>
      <c r="P2695" s="1934"/>
      <c r="Q2695" s="1934"/>
      <c r="R2695" s="1935"/>
    </row>
    <row r="2696" customFormat="false" ht="14.25" hidden="false" customHeight="false" outlineLevel="0" collapsed="false">
      <c r="A2696" s="829"/>
      <c r="B2696" s="830"/>
      <c r="C2696" s="1965"/>
      <c r="D2696" s="860" t="s">
        <v>19</v>
      </c>
      <c r="E2696" s="1480" t="s">
        <v>1651</v>
      </c>
      <c r="F2696" s="832"/>
      <c r="G2696" s="2010"/>
      <c r="H2696" s="1931"/>
      <c r="I2696" s="837"/>
      <c r="J2696" s="1932"/>
      <c r="K2696" s="943"/>
      <c r="L2696" s="866" t="n">
        <v>17253.192</v>
      </c>
      <c r="M2696" s="866" t="n">
        <v>660</v>
      </c>
      <c r="N2696" s="866" t="n">
        <f aca="false">M2696/H2685</f>
        <v>44</v>
      </c>
      <c r="O2696" s="543" t="s">
        <v>1081</v>
      </c>
      <c r="P2696" s="1934"/>
      <c r="Q2696" s="1934"/>
      <c r="R2696" s="1935"/>
    </row>
    <row r="2697" customFormat="false" ht="14.25" hidden="false" customHeight="false" outlineLevel="0" collapsed="false">
      <c r="A2697" s="829"/>
      <c r="B2697" s="830"/>
      <c r="C2697" s="1965"/>
      <c r="D2697" s="860" t="s">
        <v>19</v>
      </c>
      <c r="E2697" s="1480" t="s">
        <v>1651</v>
      </c>
      <c r="F2697" s="832"/>
      <c r="G2697" s="2010"/>
      <c r="H2697" s="1931"/>
      <c r="I2697" s="837"/>
      <c r="J2697" s="1932"/>
      <c r="K2697" s="943"/>
      <c r="L2697" s="866" t="n">
        <v>392.118</v>
      </c>
      <c r="M2697" s="866" t="n">
        <v>15</v>
      </c>
      <c r="N2697" s="866" t="n">
        <f aca="false">M2697/H2685</f>
        <v>1</v>
      </c>
      <c r="O2697" s="543" t="s">
        <v>1262</v>
      </c>
      <c r="P2697" s="1934"/>
      <c r="Q2697" s="1934"/>
      <c r="R2697" s="1935"/>
    </row>
    <row r="2698" customFormat="false" ht="14.25" hidden="false" customHeight="false" outlineLevel="0" collapsed="false">
      <c r="A2698" s="829"/>
      <c r="B2698" s="830"/>
      <c r="C2698" s="1965"/>
      <c r="D2698" s="860" t="s">
        <v>19</v>
      </c>
      <c r="E2698" s="1480" t="s">
        <v>1651</v>
      </c>
      <c r="F2698" s="832"/>
      <c r="G2698" s="2010"/>
      <c r="H2698" s="1931"/>
      <c r="I2698" s="837"/>
      <c r="J2698" s="1932"/>
      <c r="K2698" s="943"/>
      <c r="L2698" s="866" t="n">
        <v>10587.186</v>
      </c>
      <c r="M2698" s="866" t="n">
        <v>405</v>
      </c>
      <c r="N2698" s="866" t="n">
        <f aca="false">M2698/H2685</f>
        <v>27</v>
      </c>
      <c r="O2698" s="543" t="s">
        <v>1028</v>
      </c>
      <c r="P2698" s="1934"/>
      <c r="Q2698" s="1934"/>
      <c r="R2698" s="1935"/>
    </row>
    <row r="2699" customFormat="false" ht="14.25" hidden="false" customHeight="false" outlineLevel="0" collapsed="false">
      <c r="A2699" s="829"/>
      <c r="B2699" s="830"/>
      <c r="C2699" s="1965"/>
      <c r="D2699" s="860" t="s">
        <v>19</v>
      </c>
      <c r="E2699" s="1480" t="s">
        <v>1651</v>
      </c>
      <c r="F2699" s="832"/>
      <c r="G2699" s="2010"/>
      <c r="H2699" s="1931"/>
      <c r="I2699" s="837"/>
      <c r="J2699" s="1932"/>
      <c r="K2699" s="943"/>
      <c r="L2699" s="866" t="n">
        <v>8626.596</v>
      </c>
      <c r="M2699" s="866" t="n">
        <v>330</v>
      </c>
      <c r="N2699" s="866" t="n">
        <f aca="false">M2699/H2685</f>
        <v>22</v>
      </c>
      <c r="O2699" s="543" t="s">
        <v>1152</v>
      </c>
      <c r="P2699" s="1934"/>
      <c r="Q2699" s="1934"/>
      <c r="R2699" s="1935"/>
    </row>
    <row r="2700" customFormat="false" ht="14.25" hidden="false" customHeight="false" outlineLevel="0" collapsed="false">
      <c r="A2700" s="829"/>
      <c r="B2700" s="830"/>
      <c r="C2700" s="1965"/>
      <c r="D2700" s="860" t="s">
        <v>19</v>
      </c>
      <c r="E2700" s="1480" t="s">
        <v>1651</v>
      </c>
      <c r="F2700" s="832"/>
      <c r="G2700" s="2010"/>
      <c r="H2700" s="1931"/>
      <c r="I2700" s="837"/>
      <c r="J2700" s="1932"/>
      <c r="K2700" s="943"/>
      <c r="L2700" s="866" t="n">
        <v>13332.012</v>
      </c>
      <c r="M2700" s="866" t="n">
        <v>510</v>
      </c>
      <c r="N2700" s="866" t="n">
        <f aca="false">M2700/H2685</f>
        <v>34</v>
      </c>
      <c r="O2700" s="543" t="s">
        <v>1275</v>
      </c>
      <c r="P2700" s="1934"/>
      <c r="Q2700" s="1934"/>
      <c r="R2700" s="1935"/>
    </row>
    <row r="2701" customFormat="false" ht="14.25" hidden="false" customHeight="false" outlineLevel="0" collapsed="false">
      <c r="A2701" s="829"/>
      <c r="B2701" s="830"/>
      <c r="C2701" s="1965"/>
      <c r="D2701" s="860" t="s">
        <v>19</v>
      </c>
      <c r="E2701" s="1480" t="s">
        <v>1651</v>
      </c>
      <c r="F2701" s="832"/>
      <c r="G2701" s="2010"/>
      <c r="H2701" s="1931"/>
      <c r="I2701" s="837"/>
      <c r="J2701" s="1932"/>
      <c r="K2701" s="943"/>
      <c r="L2701" s="866" t="n">
        <v>2744.826</v>
      </c>
      <c r="M2701" s="866" t="n">
        <v>105</v>
      </c>
      <c r="N2701" s="866" t="n">
        <f aca="false">M2701/H2685</f>
        <v>7</v>
      </c>
      <c r="O2701" s="543" t="s">
        <v>992</v>
      </c>
      <c r="P2701" s="1934"/>
      <c r="Q2701" s="1934"/>
      <c r="R2701" s="1935"/>
    </row>
    <row r="2702" customFormat="false" ht="14.25" hidden="false" customHeight="false" outlineLevel="0" collapsed="false">
      <c r="A2702" s="829"/>
      <c r="B2702" s="830"/>
      <c r="C2702" s="1965"/>
      <c r="D2702" s="860" t="s">
        <v>19</v>
      </c>
      <c r="E2702" s="1480" t="s">
        <v>1651</v>
      </c>
      <c r="F2702" s="832"/>
      <c r="G2702" s="2010"/>
      <c r="H2702" s="1931"/>
      <c r="I2702" s="837"/>
      <c r="J2702" s="1932"/>
      <c r="K2702" s="943"/>
      <c r="L2702" s="866" t="n">
        <v>26271.906</v>
      </c>
      <c r="M2702" s="866" t="n">
        <v>1005</v>
      </c>
      <c r="N2702" s="866" t="n">
        <f aca="false">M2702/H2685</f>
        <v>67</v>
      </c>
      <c r="O2702" s="543" t="s">
        <v>1022</v>
      </c>
      <c r="P2702" s="1934"/>
      <c r="Q2702" s="1934"/>
      <c r="R2702" s="1935"/>
    </row>
    <row r="2703" customFormat="false" ht="14.25" hidden="false" customHeight="false" outlineLevel="0" collapsed="false">
      <c r="A2703" s="829"/>
      <c r="B2703" s="830"/>
      <c r="C2703" s="1965"/>
      <c r="D2703" s="860" t="s">
        <v>19</v>
      </c>
      <c r="E2703" s="1480" t="s">
        <v>1651</v>
      </c>
      <c r="F2703" s="832"/>
      <c r="G2703" s="2010"/>
      <c r="H2703" s="1931"/>
      <c r="I2703" s="837"/>
      <c r="J2703" s="1932"/>
      <c r="K2703" s="943"/>
      <c r="L2703" s="866" t="n">
        <v>-2352.708</v>
      </c>
      <c r="M2703" s="866" t="n">
        <v>-90</v>
      </c>
      <c r="N2703" s="866" t="n">
        <f aca="false">M2703/H2685</f>
        <v>-6</v>
      </c>
      <c r="O2703" s="543" t="s">
        <v>1275</v>
      </c>
      <c r="P2703" s="1934"/>
      <c r="Q2703" s="1934"/>
      <c r="R2703" s="1935"/>
    </row>
    <row r="2704" customFormat="false" ht="14.25" hidden="false" customHeight="false" outlineLevel="0" collapsed="false">
      <c r="A2704" s="829"/>
      <c r="B2704" s="830"/>
      <c r="C2704" s="1965"/>
      <c r="D2704" s="860" t="s">
        <v>19</v>
      </c>
      <c r="E2704" s="1480" t="s">
        <v>1651</v>
      </c>
      <c r="F2704" s="832"/>
      <c r="G2704" s="2010"/>
      <c r="H2704" s="1931"/>
      <c r="I2704" s="837"/>
      <c r="J2704" s="1932"/>
      <c r="K2704" s="943"/>
      <c r="L2704" s="866" t="n">
        <v>25487.67</v>
      </c>
      <c r="M2704" s="866" t="n">
        <v>975</v>
      </c>
      <c r="N2704" s="866" t="n">
        <f aca="false">M2704/H2685</f>
        <v>65</v>
      </c>
      <c r="O2704" s="543" t="s">
        <v>1243</v>
      </c>
      <c r="P2704" s="1934"/>
      <c r="Q2704" s="1934"/>
      <c r="R2704" s="1935"/>
    </row>
    <row r="2705" customFormat="false" ht="14.25" hidden="false" customHeight="false" outlineLevel="0" collapsed="false">
      <c r="A2705" s="829"/>
      <c r="B2705" s="830"/>
      <c r="C2705" s="1965"/>
      <c r="D2705" s="860" t="s">
        <v>19</v>
      </c>
      <c r="E2705" s="1480" t="s">
        <v>1651</v>
      </c>
      <c r="F2705" s="832"/>
      <c r="G2705" s="2010"/>
      <c r="H2705" s="1931"/>
      <c r="I2705" s="837"/>
      <c r="J2705" s="1932"/>
      <c r="K2705" s="943"/>
      <c r="L2705" s="866" t="n">
        <v>3921.18</v>
      </c>
      <c r="M2705" s="866" t="n">
        <v>150</v>
      </c>
      <c r="N2705" s="866" t="n">
        <f aca="false">M2705/H2685</f>
        <v>10</v>
      </c>
      <c r="O2705" s="543" t="s">
        <v>1075</v>
      </c>
      <c r="P2705" s="1934"/>
      <c r="Q2705" s="1934"/>
      <c r="R2705" s="1935"/>
    </row>
    <row r="2706" customFormat="false" ht="14.25" hidden="false" customHeight="false" outlineLevel="0" collapsed="false">
      <c r="A2706" s="829"/>
      <c r="B2706" s="830"/>
      <c r="C2706" s="1965"/>
      <c r="D2706" s="860" t="s">
        <v>19</v>
      </c>
      <c r="E2706" s="1480" t="s">
        <v>1651</v>
      </c>
      <c r="F2706" s="832"/>
      <c r="G2706" s="2010"/>
      <c r="H2706" s="1931"/>
      <c r="I2706" s="837"/>
      <c r="J2706" s="1932"/>
      <c r="K2706" s="943"/>
      <c r="L2706" s="866" t="n">
        <v>392.118</v>
      </c>
      <c r="M2706" s="866" t="n">
        <v>15</v>
      </c>
      <c r="N2706" s="866" t="n">
        <f aca="false">M2706/H2685</f>
        <v>1</v>
      </c>
      <c r="O2706" s="543" t="s">
        <v>1111</v>
      </c>
      <c r="P2706" s="1934"/>
      <c r="Q2706" s="1934"/>
      <c r="R2706" s="1935"/>
    </row>
    <row r="2707" customFormat="false" ht="14.25" hidden="false" customHeight="false" outlineLevel="0" collapsed="false">
      <c r="A2707" s="829"/>
      <c r="B2707" s="830"/>
      <c r="C2707" s="1965"/>
      <c r="D2707" s="860" t="s">
        <v>19</v>
      </c>
      <c r="E2707" s="1480" t="s">
        <v>1651</v>
      </c>
      <c r="F2707" s="832"/>
      <c r="G2707" s="2010"/>
      <c r="H2707" s="1931"/>
      <c r="I2707" s="837"/>
      <c r="J2707" s="1932"/>
      <c r="K2707" s="943"/>
      <c r="L2707" s="866" t="n">
        <v>23527.08</v>
      </c>
      <c r="M2707" s="866" t="n">
        <v>900</v>
      </c>
      <c r="N2707" s="866" t="n">
        <f aca="false">M2707/H2685</f>
        <v>60</v>
      </c>
      <c r="O2707" s="543" t="s">
        <v>1110</v>
      </c>
      <c r="P2707" s="1934"/>
      <c r="Q2707" s="1934"/>
      <c r="R2707" s="1935"/>
    </row>
    <row r="2708" customFormat="false" ht="14.25" hidden="false" customHeight="false" outlineLevel="0" collapsed="false">
      <c r="A2708" s="829"/>
      <c r="B2708" s="830"/>
      <c r="C2708" s="1965"/>
      <c r="D2708" s="860" t="s">
        <v>19</v>
      </c>
      <c r="E2708" s="1480" t="s">
        <v>1651</v>
      </c>
      <c r="F2708" s="832"/>
      <c r="G2708" s="2010"/>
      <c r="H2708" s="1931"/>
      <c r="I2708" s="837"/>
      <c r="J2708" s="1932"/>
      <c r="K2708" s="943"/>
      <c r="L2708" s="866" t="n">
        <v>392.118</v>
      </c>
      <c r="M2708" s="866" t="n">
        <v>15</v>
      </c>
      <c r="N2708" s="866" t="n">
        <f aca="false">M2708/H2685</f>
        <v>1</v>
      </c>
      <c r="O2708" s="543"/>
      <c r="P2708" s="1934"/>
      <c r="Q2708" s="1934"/>
      <c r="R2708" s="1935"/>
    </row>
    <row r="2709" customFormat="false" ht="14.25" hidden="false" customHeight="false" outlineLevel="0" collapsed="false">
      <c r="A2709" s="829"/>
      <c r="B2709" s="830"/>
      <c r="C2709" s="1965"/>
      <c r="D2709" s="860" t="s">
        <v>19</v>
      </c>
      <c r="E2709" s="1480" t="s">
        <v>1651</v>
      </c>
      <c r="F2709" s="832"/>
      <c r="G2709" s="2010"/>
      <c r="H2709" s="1931"/>
      <c r="I2709" s="837"/>
      <c r="J2709" s="1932"/>
      <c r="K2709" s="943"/>
      <c r="L2709" s="866" t="n">
        <v>1176.354</v>
      </c>
      <c r="M2709" s="866" t="n">
        <v>45</v>
      </c>
      <c r="N2709" s="866" t="n">
        <f aca="false">M2709/H2685</f>
        <v>3</v>
      </c>
      <c r="O2709" s="543" t="s">
        <v>1033</v>
      </c>
      <c r="P2709" s="1934"/>
      <c r="Q2709" s="1934"/>
      <c r="R2709" s="1935"/>
    </row>
    <row r="2710" customFormat="false" ht="14.25" hidden="false" customHeight="false" outlineLevel="0" collapsed="false">
      <c r="A2710" s="829"/>
      <c r="B2710" s="830"/>
      <c r="C2710" s="1965"/>
      <c r="D2710" s="860" t="s">
        <v>19</v>
      </c>
      <c r="E2710" s="1480" t="s">
        <v>1651</v>
      </c>
      <c r="F2710" s="832"/>
      <c r="G2710" s="2010"/>
      <c r="H2710" s="1931"/>
      <c r="I2710" s="837"/>
      <c r="J2710" s="1932"/>
      <c r="K2710" s="943"/>
      <c r="L2710" s="866" t="n">
        <v>10587.186</v>
      </c>
      <c r="M2710" s="866" t="n">
        <v>405</v>
      </c>
      <c r="N2710" s="866" t="n">
        <f aca="false">M2710/H2685</f>
        <v>27</v>
      </c>
      <c r="O2710" s="543" t="s">
        <v>931</v>
      </c>
      <c r="P2710" s="1934"/>
      <c r="Q2710" s="1934"/>
      <c r="R2710" s="1935"/>
    </row>
    <row r="2711" customFormat="false" ht="14.25" hidden="false" customHeight="false" outlineLevel="0" collapsed="false">
      <c r="A2711" s="829"/>
      <c r="B2711" s="830"/>
      <c r="C2711" s="1965"/>
      <c r="D2711" s="860" t="s">
        <v>19</v>
      </c>
      <c r="E2711" s="1480" t="s">
        <v>1651</v>
      </c>
      <c r="F2711" s="832"/>
      <c r="G2711" s="2010"/>
      <c r="H2711" s="1931"/>
      <c r="I2711" s="837"/>
      <c r="J2711" s="1932"/>
      <c r="K2711" s="943"/>
      <c r="L2711" s="866" t="n">
        <v>6666.006</v>
      </c>
      <c r="M2711" s="866" t="n">
        <v>255</v>
      </c>
      <c r="N2711" s="866" t="n">
        <f aca="false">M2711/H2685</f>
        <v>17</v>
      </c>
      <c r="O2711" s="543" t="s">
        <v>833</v>
      </c>
      <c r="P2711" s="1934"/>
      <c r="Q2711" s="1934"/>
      <c r="R2711" s="1935"/>
    </row>
    <row r="2712" customFormat="false" ht="14.25" hidden="false" customHeight="false" outlineLevel="0" collapsed="false">
      <c r="A2712" s="829"/>
      <c r="B2712" s="830"/>
      <c r="C2712" s="1965"/>
      <c r="D2712" s="860" t="s">
        <v>19</v>
      </c>
      <c r="E2712" s="1480" t="s">
        <v>1651</v>
      </c>
      <c r="F2712" s="832"/>
      <c r="G2712" s="2010"/>
      <c r="H2712" s="1931"/>
      <c r="I2712" s="837"/>
      <c r="J2712" s="1932"/>
      <c r="K2712" s="943"/>
      <c r="L2712" s="866" t="n">
        <v>6666.006</v>
      </c>
      <c r="M2712" s="866" t="n">
        <v>255</v>
      </c>
      <c r="N2712" s="866" t="n">
        <f aca="false">M2712/H2685</f>
        <v>17</v>
      </c>
      <c r="O2712" s="543" t="s">
        <v>831</v>
      </c>
      <c r="P2712" s="1934"/>
      <c r="Q2712" s="1934"/>
      <c r="R2712" s="1935"/>
    </row>
    <row r="2713" customFormat="false" ht="14.25" hidden="false" customHeight="false" outlineLevel="0" collapsed="false">
      <c r="A2713" s="829"/>
      <c r="B2713" s="830"/>
      <c r="C2713" s="1965"/>
      <c r="D2713" s="860" t="s">
        <v>19</v>
      </c>
      <c r="E2713" s="1480" t="s">
        <v>1651</v>
      </c>
      <c r="F2713" s="832"/>
      <c r="G2713" s="2010"/>
      <c r="H2713" s="1931"/>
      <c r="I2713" s="837"/>
      <c r="J2713" s="1932"/>
      <c r="K2713" s="943"/>
      <c r="L2713" s="866" t="n">
        <v>392.118</v>
      </c>
      <c r="M2713" s="866" t="n">
        <v>15</v>
      </c>
      <c r="N2713" s="866" t="n">
        <f aca="false">M2713/H2685</f>
        <v>1</v>
      </c>
      <c r="O2713" s="543" t="s">
        <v>853</v>
      </c>
      <c r="P2713" s="1934"/>
      <c r="Q2713" s="1934"/>
      <c r="R2713" s="1935"/>
    </row>
    <row r="2714" customFormat="false" ht="14.25" hidden="false" customHeight="false" outlineLevel="0" collapsed="false">
      <c r="A2714" s="829"/>
      <c r="B2714" s="830"/>
      <c r="C2714" s="1965"/>
      <c r="D2714" s="860" t="s">
        <v>19</v>
      </c>
      <c r="E2714" s="1480" t="s">
        <v>1651</v>
      </c>
      <c r="F2714" s="832"/>
      <c r="G2714" s="2010"/>
      <c r="H2714" s="1931"/>
      <c r="I2714" s="837"/>
      <c r="J2714" s="1932"/>
      <c r="K2714" s="943"/>
      <c r="L2714" s="866" t="n">
        <v>2352.708</v>
      </c>
      <c r="M2714" s="866" t="n">
        <v>90</v>
      </c>
      <c r="N2714" s="866" t="n">
        <f aca="false">M2714/H2685</f>
        <v>6</v>
      </c>
      <c r="O2714" s="543" t="s">
        <v>3418</v>
      </c>
      <c r="P2714" s="1934"/>
      <c r="Q2714" s="1934"/>
      <c r="R2714" s="1935"/>
    </row>
    <row r="2715" customFormat="false" ht="14.25" hidden="false" customHeight="false" outlineLevel="0" collapsed="false">
      <c r="A2715" s="829"/>
      <c r="B2715" s="830"/>
      <c r="C2715" s="1965"/>
      <c r="D2715" s="860" t="s">
        <v>19</v>
      </c>
      <c r="E2715" s="1480" t="s">
        <v>1651</v>
      </c>
      <c r="F2715" s="832"/>
      <c r="G2715" s="2010"/>
      <c r="H2715" s="1931"/>
      <c r="I2715" s="837"/>
      <c r="J2715" s="1932"/>
      <c r="K2715" s="943"/>
      <c r="L2715" s="866" t="n">
        <v>1568.472</v>
      </c>
      <c r="M2715" s="866" t="n">
        <v>60</v>
      </c>
      <c r="N2715" s="866" t="n">
        <f aca="false">M2715/H2685</f>
        <v>4</v>
      </c>
      <c r="O2715" s="543" t="s">
        <v>881</v>
      </c>
      <c r="P2715" s="1934"/>
      <c r="Q2715" s="1934"/>
      <c r="R2715" s="1935"/>
    </row>
    <row r="2716" customFormat="false" ht="14.25" hidden="false" customHeight="false" outlineLevel="0" collapsed="false">
      <c r="A2716" s="829"/>
      <c r="B2716" s="830"/>
      <c r="C2716" s="1965"/>
      <c r="D2716" s="860" t="s">
        <v>19</v>
      </c>
      <c r="E2716" s="1480" t="s">
        <v>1651</v>
      </c>
      <c r="F2716" s="832"/>
      <c r="G2716" s="2010"/>
      <c r="H2716" s="1931"/>
      <c r="I2716" s="837"/>
      <c r="J2716" s="1932"/>
      <c r="K2716" s="943"/>
      <c r="L2716" s="866" t="n">
        <v>5489.652</v>
      </c>
      <c r="M2716" s="866" t="n">
        <v>210</v>
      </c>
      <c r="N2716" s="866" t="n">
        <f aca="false">M2716/H2685</f>
        <v>14</v>
      </c>
      <c r="O2716" s="543" t="s">
        <v>911</v>
      </c>
      <c r="P2716" s="1934"/>
      <c r="Q2716" s="1934"/>
      <c r="R2716" s="1935"/>
    </row>
    <row r="2717" customFormat="false" ht="14.25" hidden="false" customHeight="false" outlineLevel="0" collapsed="false">
      <c r="A2717" s="829"/>
      <c r="B2717" s="830"/>
      <c r="C2717" s="1965"/>
      <c r="D2717" s="843" t="s">
        <v>19</v>
      </c>
      <c r="E2717" s="1357" t="s">
        <v>1651</v>
      </c>
      <c r="F2717" s="832"/>
      <c r="G2717" s="2010"/>
      <c r="H2717" s="1931"/>
      <c r="I2717" s="837"/>
      <c r="J2717" s="1932"/>
      <c r="K2717" s="943"/>
      <c r="L2717" s="846" t="n">
        <v>26271.906</v>
      </c>
      <c r="M2717" s="846" t="n">
        <v>1005</v>
      </c>
      <c r="N2717" s="846" t="n">
        <f aca="false">M2717/H2685</f>
        <v>67</v>
      </c>
      <c r="O2717" s="589" t="s">
        <v>913</v>
      </c>
      <c r="P2717" s="1934"/>
      <c r="Q2717" s="1934"/>
      <c r="R2717" s="1935"/>
    </row>
    <row r="2718" customFormat="false" ht="14.25" hidden="false" customHeight="false" outlineLevel="0" collapsed="false">
      <c r="A2718" s="1087" t="n">
        <v>517</v>
      </c>
      <c r="B2718" s="1072" t="n">
        <v>2024</v>
      </c>
      <c r="C2718" s="1980" t="n">
        <v>45931</v>
      </c>
      <c r="D2718" s="848" t="s">
        <v>19</v>
      </c>
      <c r="E2718" s="1479" t="s">
        <v>1651</v>
      </c>
      <c r="F2718" s="887" t="s">
        <v>3364</v>
      </c>
      <c r="G2718" s="2017" t="n">
        <v>472</v>
      </c>
      <c r="H2718" s="1950" t="n">
        <v>15</v>
      </c>
      <c r="I2718" s="1067" t="n">
        <f aca="false">G2718*H2718</f>
        <v>7080</v>
      </c>
      <c r="J2718" s="1951" t="n">
        <v>27.1215</v>
      </c>
      <c r="K2718" s="1452" t="n">
        <f aca="false">I2718*J2718</f>
        <v>192020.22</v>
      </c>
      <c r="L2718" s="854" t="n">
        <v>813.645</v>
      </c>
      <c r="M2718" s="854" t="n">
        <v>30</v>
      </c>
      <c r="N2718" s="891" t="n">
        <f aca="false">M2718/H2718</f>
        <v>2</v>
      </c>
      <c r="O2718" s="537" t="s">
        <v>692</v>
      </c>
      <c r="P2718" s="1953" t="n">
        <f aca="false">K2718-L2718-L2746-L2745-L2719-L2744-L2720-L2742-L2721-L2743-L2741-L2722-L2723-L2725-L2724-L2740-L2726-L2738-L2739-L2728-L2737-L2729-L2736-L2735-L2730-L2727-L2734-L2732-L2733-L2731</f>
        <v>-0.00049999997759187</v>
      </c>
      <c r="Q2718" s="1953" t="n">
        <f aca="false">I2718-M2718-M2746-M2745-M2719-M2744-M2720-M2742-M2721-M2743-M2741-M2722-M2723-M2725-M2724-M2740-M2726-M2738-M2739-M2728-M2737-M2729-M2736-M2735-M2730-M2727-M2734-M2732-M2733-M2731</f>
        <v>0</v>
      </c>
      <c r="R2718" s="1954" t="n">
        <f aca="false">G2718-N2718-N2746-N2745-N2719-N2744-N2720-N2742-N2721-N2743-N2741-N2722-N2723-N2725-N2724-N2740-N2726-N2738-N2739-N2728-N2737-N2729-N2736-N2735-N2730-N2727-N2734-N2732-N2733-N2731</f>
        <v>0</v>
      </c>
    </row>
    <row r="2719" customFormat="false" ht="14.25" hidden="false" customHeight="false" outlineLevel="0" collapsed="false">
      <c r="A2719" s="1087"/>
      <c r="B2719" s="1072"/>
      <c r="C2719" s="1980"/>
      <c r="D2719" s="848" t="s">
        <v>19</v>
      </c>
      <c r="E2719" s="1479" t="s">
        <v>1651</v>
      </c>
      <c r="F2719" s="887"/>
      <c r="G2719" s="2017"/>
      <c r="H2719" s="1950"/>
      <c r="I2719" s="1067"/>
      <c r="J2719" s="1951"/>
      <c r="K2719" s="1452"/>
      <c r="L2719" s="854" t="n">
        <v>27257.1075</v>
      </c>
      <c r="M2719" s="854" t="n">
        <v>1005</v>
      </c>
      <c r="N2719" s="866" t="n">
        <f aca="false">M2719/H2718</f>
        <v>67</v>
      </c>
      <c r="O2719" s="537" t="s">
        <v>709</v>
      </c>
      <c r="P2719" s="1953"/>
      <c r="Q2719" s="1953"/>
      <c r="R2719" s="1954"/>
    </row>
    <row r="2720" customFormat="false" ht="14.25" hidden="false" customHeight="false" outlineLevel="0" collapsed="false">
      <c r="A2720" s="1087"/>
      <c r="B2720" s="1072"/>
      <c r="C2720" s="1980"/>
      <c r="D2720" s="848" t="s">
        <v>19</v>
      </c>
      <c r="E2720" s="1479" t="s">
        <v>1651</v>
      </c>
      <c r="F2720" s="887"/>
      <c r="G2720" s="2017"/>
      <c r="H2720" s="1950"/>
      <c r="I2720" s="1067"/>
      <c r="J2720" s="1951"/>
      <c r="K2720" s="1452"/>
      <c r="L2720" s="854" t="n">
        <v>406.8225</v>
      </c>
      <c r="M2720" s="854" t="n">
        <v>15</v>
      </c>
      <c r="N2720" s="866" t="n">
        <f aca="false">M2720/H2718</f>
        <v>1</v>
      </c>
      <c r="O2720" s="537" t="s">
        <v>746</v>
      </c>
      <c r="P2720" s="1953"/>
      <c r="Q2720" s="1953"/>
      <c r="R2720" s="1954"/>
    </row>
    <row r="2721" customFormat="false" ht="14.25" hidden="false" customHeight="false" outlineLevel="0" collapsed="false">
      <c r="A2721" s="1087"/>
      <c r="B2721" s="1072"/>
      <c r="C2721" s="1980"/>
      <c r="D2721" s="848" t="s">
        <v>19</v>
      </c>
      <c r="E2721" s="1479" t="s">
        <v>1651</v>
      </c>
      <c r="F2721" s="887"/>
      <c r="G2721" s="2017"/>
      <c r="H2721" s="1950"/>
      <c r="I2721" s="1067"/>
      <c r="J2721" s="1951"/>
      <c r="K2721" s="1452"/>
      <c r="L2721" s="854" t="n">
        <v>813.645</v>
      </c>
      <c r="M2721" s="854" t="n">
        <v>30</v>
      </c>
      <c r="N2721" s="866" t="n">
        <f aca="false">M2721/H2718</f>
        <v>2</v>
      </c>
      <c r="O2721" s="537" t="s">
        <v>758</v>
      </c>
      <c r="P2721" s="1953"/>
      <c r="Q2721" s="1953"/>
      <c r="R2721" s="1954"/>
    </row>
    <row r="2722" customFormat="false" ht="14.25" hidden="false" customHeight="false" outlineLevel="0" collapsed="false">
      <c r="A2722" s="1087"/>
      <c r="B2722" s="1072"/>
      <c r="C2722" s="1980"/>
      <c r="D2722" s="848" t="s">
        <v>19</v>
      </c>
      <c r="E2722" s="1479" t="s">
        <v>1651</v>
      </c>
      <c r="F2722" s="887"/>
      <c r="G2722" s="2017"/>
      <c r="H2722" s="1950"/>
      <c r="I2722" s="1067"/>
      <c r="J2722" s="1951"/>
      <c r="K2722" s="1452"/>
      <c r="L2722" s="854" t="n">
        <v>4881.87</v>
      </c>
      <c r="M2722" s="854" t="n">
        <v>180</v>
      </c>
      <c r="N2722" s="866" t="n">
        <f aca="false">M2722/H2718</f>
        <v>12</v>
      </c>
      <c r="O2722" s="537" t="s">
        <v>773</v>
      </c>
      <c r="P2722" s="1953"/>
      <c r="Q2722" s="1953"/>
      <c r="R2722" s="1954"/>
    </row>
    <row r="2723" customFormat="false" ht="14.25" hidden="false" customHeight="false" outlineLevel="0" collapsed="false">
      <c r="A2723" s="1087"/>
      <c r="B2723" s="1072"/>
      <c r="C2723" s="1980"/>
      <c r="D2723" s="848" t="s">
        <v>19</v>
      </c>
      <c r="E2723" s="1479" t="s">
        <v>1651</v>
      </c>
      <c r="F2723" s="887"/>
      <c r="G2723" s="2017"/>
      <c r="H2723" s="1950"/>
      <c r="I2723" s="1067"/>
      <c r="J2723" s="1951"/>
      <c r="K2723" s="1452"/>
      <c r="L2723" s="854" t="n">
        <v>16272.9</v>
      </c>
      <c r="M2723" s="854" t="n">
        <v>600</v>
      </c>
      <c r="N2723" s="866" t="n">
        <f aca="false">M2723/H2718</f>
        <v>40</v>
      </c>
      <c r="O2723" s="537" t="s">
        <v>762</v>
      </c>
      <c r="P2723" s="1953"/>
      <c r="Q2723" s="1953"/>
      <c r="R2723" s="1954"/>
    </row>
    <row r="2724" customFormat="false" ht="14.25" hidden="false" customHeight="false" outlineLevel="0" collapsed="false">
      <c r="A2724" s="1087"/>
      <c r="B2724" s="1072"/>
      <c r="C2724" s="1980"/>
      <c r="D2724" s="848" t="s">
        <v>19</v>
      </c>
      <c r="E2724" s="1479" t="s">
        <v>1651</v>
      </c>
      <c r="F2724" s="887"/>
      <c r="G2724" s="2017"/>
      <c r="H2724" s="1950"/>
      <c r="I2724" s="1067"/>
      <c r="J2724" s="1951"/>
      <c r="K2724" s="1452"/>
      <c r="L2724" s="854" t="n">
        <v>7322.805</v>
      </c>
      <c r="M2724" s="854" t="n">
        <v>270</v>
      </c>
      <c r="N2724" s="866" t="n">
        <f aca="false">M2724/H2718</f>
        <v>18</v>
      </c>
      <c r="O2724" s="537" t="s">
        <v>749</v>
      </c>
      <c r="P2724" s="1953"/>
      <c r="Q2724" s="1953"/>
      <c r="R2724" s="1954"/>
    </row>
    <row r="2725" customFormat="false" ht="14.25" hidden="false" customHeight="false" outlineLevel="0" collapsed="false">
      <c r="A2725" s="1087"/>
      <c r="B2725" s="1072"/>
      <c r="C2725" s="1980"/>
      <c r="D2725" s="848" t="s">
        <v>19</v>
      </c>
      <c r="E2725" s="1479" t="s">
        <v>1651</v>
      </c>
      <c r="F2725" s="887"/>
      <c r="G2725" s="2017"/>
      <c r="H2725" s="1950"/>
      <c r="I2725" s="1067"/>
      <c r="J2725" s="1951"/>
      <c r="K2725" s="1452"/>
      <c r="L2725" s="854" t="n">
        <v>813.645</v>
      </c>
      <c r="M2725" s="854" t="n">
        <v>30</v>
      </c>
      <c r="N2725" s="866" t="n">
        <f aca="false">M2725/H2718</f>
        <v>2</v>
      </c>
      <c r="O2725" s="537" t="s">
        <v>829</v>
      </c>
      <c r="P2725" s="1953"/>
      <c r="Q2725" s="1953"/>
      <c r="R2725" s="1954"/>
    </row>
    <row r="2726" customFormat="false" ht="14.25" hidden="false" customHeight="false" outlineLevel="0" collapsed="false">
      <c r="A2726" s="1087"/>
      <c r="B2726" s="1072"/>
      <c r="C2726" s="1980"/>
      <c r="D2726" s="848" t="s">
        <v>19</v>
      </c>
      <c r="E2726" s="1479" t="s">
        <v>1651</v>
      </c>
      <c r="F2726" s="887"/>
      <c r="G2726" s="2017"/>
      <c r="H2726" s="1950"/>
      <c r="I2726" s="1067"/>
      <c r="J2726" s="1951"/>
      <c r="K2726" s="1452"/>
      <c r="L2726" s="854" t="n">
        <v>3254.58</v>
      </c>
      <c r="M2726" s="854" t="n">
        <v>120</v>
      </c>
      <c r="N2726" s="866" t="n">
        <f aca="false">M2726/H2718</f>
        <v>8</v>
      </c>
      <c r="O2726" s="537" t="s">
        <v>802</v>
      </c>
      <c r="P2726" s="1953"/>
      <c r="Q2726" s="1953"/>
      <c r="R2726" s="1954"/>
    </row>
    <row r="2727" customFormat="false" ht="14.25" hidden="false" customHeight="false" outlineLevel="0" collapsed="false">
      <c r="A2727" s="1087"/>
      <c r="B2727" s="1072"/>
      <c r="C2727" s="1980"/>
      <c r="D2727" s="848" t="s">
        <v>19</v>
      </c>
      <c r="E2727" s="1479" t="s">
        <v>1651</v>
      </c>
      <c r="F2727" s="887"/>
      <c r="G2727" s="2017"/>
      <c r="H2727" s="1950"/>
      <c r="I2727" s="1067"/>
      <c r="J2727" s="1951"/>
      <c r="K2727" s="1452"/>
      <c r="L2727" s="854" t="n">
        <v>7322.805</v>
      </c>
      <c r="M2727" s="854" t="n">
        <v>270</v>
      </c>
      <c r="N2727" s="866" t="n">
        <f aca="false">M2727/H2718</f>
        <v>18</v>
      </c>
      <c r="O2727" s="537" t="s">
        <v>1219</v>
      </c>
      <c r="P2727" s="1953"/>
      <c r="Q2727" s="1953"/>
      <c r="R2727" s="1954"/>
    </row>
    <row r="2728" customFormat="false" ht="14.25" hidden="false" customHeight="false" outlineLevel="0" collapsed="false">
      <c r="A2728" s="1087"/>
      <c r="B2728" s="1072"/>
      <c r="C2728" s="1980"/>
      <c r="D2728" s="848" t="s">
        <v>19</v>
      </c>
      <c r="E2728" s="1479" t="s">
        <v>1651</v>
      </c>
      <c r="F2728" s="887"/>
      <c r="G2728" s="2017"/>
      <c r="H2728" s="1950"/>
      <c r="I2728" s="1067"/>
      <c r="J2728" s="1951"/>
      <c r="K2728" s="1452"/>
      <c r="L2728" s="854" t="n">
        <v>13831.965</v>
      </c>
      <c r="M2728" s="854" t="n">
        <v>510</v>
      </c>
      <c r="N2728" s="866" t="n">
        <f aca="false">M2728/H2718</f>
        <v>34</v>
      </c>
      <c r="O2728" s="537" t="s">
        <v>762</v>
      </c>
      <c r="P2728" s="1953"/>
      <c r="Q2728" s="1953"/>
      <c r="R2728" s="1954"/>
    </row>
    <row r="2729" customFormat="false" ht="14.25" hidden="false" customHeight="false" outlineLevel="0" collapsed="false">
      <c r="A2729" s="1087"/>
      <c r="B2729" s="1072"/>
      <c r="C2729" s="1980"/>
      <c r="D2729" s="848" t="s">
        <v>19</v>
      </c>
      <c r="E2729" s="1479" t="s">
        <v>1651</v>
      </c>
      <c r="F2729" s="887"/>
      <c r="G2729" s="2017"/>
      <c r="H2729" s="1950"/>
      <c r="I2729" s="1067"/>
      <c r="J2729" s="1951"/>
      <c r="K2729" s="1452"/>
      <c r="L2729" s="854" t="n">
        <v>13831.965</v>
      </c>
      <c r="M2729" s="854" t="n">
        <v>510</v>
      </c>
      <c r="N2729" s="866" t="n">
        <f aca="false">M2729/H2718</f>
        <v>34</v>
      </c>
      <c r="O2729" s="537" t="s">
        <v>762</v>
      </c>
      <c r="P2729" s="1953"/>
      <c r="Q2729" s="1953"/>
      <c r="R2729" s="1954"/>
    </row>
    <row r="2730" customFormat="false" ht="14.25" hidden="false" customHeight="false" outlineLevel="0" collapsed="false">
      <c r="A2730" s="1087"/>
      <c r="B2730" s="1072"/>
      <c r="C2730" s="1980"/>
      <c r="D2730" s="848" t="s">
        <v>19</v>
      </c>
      <c r="E2730" s="1479" t="s">
        <v>1651</v>
      </c>
      <c r="F2730" s="887"/>
      <c r="G2730" s="2017"/>
      <c r="H2730" s="1950"/>
      <c r="I2730" s="1067"/>
      <c r="J2730" s="1951"/>
      <c r="K2730" s="1452"/>
      <c r="L2730" s="854" t="n">
        <v>813.645</v>
      </c>
      <c r="M2730" s="854" t="n">
        <v>30</v>
      </c>
      <c r="N2730" s="866" t="n">
        <f aca="false">M2730/H2718</f>
        <v>2</v>
      </c>
      <c r="O2730" s="537" t="s">
        <v>1243</v>
      </c>
      <c r="P2730" s="1953"/>
      <c r="Q2730" s="1953"/>
      <c r="R2730" s="1954"/>
    </row>
    <row r="2731" customFormat="false" ht="14.25" hidden="false" customHeight="false" outlineLevel="0" collapsed="false">
      <c r="A2731" s="1087"/>
      <c r="B2731" s="1072"/>
      <c r="C2731" s="1980"/>
      <c r="D2731" s="848" t="s">
        <v>19</v>
      </c>
      <c r="E2731" s="1479" t="s">
        <v>1651</v>
      </c>
      <c r="F2731" s="887"/>
      <c r="G2731" s="2017"/>
      <c r="H2731" s="1950"/>
      <c r="I2731" s="1067"/>
      <c r="J2731" s="1951"/>
      <c r="K2731" s="1452"/>
      <c r="L2731" s="854" t="n">
        <v>1220.468</v>
      </c>
      <c r="M2731" s="854" t="n">
        <v>45</v>
      </c>
      <c r="N2731" s="866" t="n">
        <f aca="false">M2731/H2718</f>
        <v>3</v>
      </c>
      <c r="O2731" s="537" t="s">
        <v>1318</v>
      </c>
      <c r="P2731" s="1953"/>
      <c r="Q2731" s="1953"/>
      <c r="R2731" s="1954"/>
    </row>
    <row r="2732" customFormat="false" ht="14.25" hidden="false" customHeight="false" outlineLevel="0" collapsed="false">
      <c r="A2732" s="1087"/>
      <c r="B2732" s="1072"/>
      <c r="C2732" s="1980"/>
      <c r="D2732" s="848" t="s">
        <v>19</v>
      </c>
      <c r="E2732" s="1479" t="s">
        <v>1651</v>
      </c>
      <c r="F2732" s="887"/>
      <c r="G2732" s="2017"/>
      <c r="H2732" s="1950"/>
      <c r="I2732" s="1067"/>
      <c r="J2732" s="1951"/>
      <c r="K2732" s="1452"/>
      <c r="L2732" s="854" t="n">
        <v>2440.935</v>
      </c>
      <c r="M2732" s="854" t="n">
        <v>90</v>
      </c>
      <c r="N2732" s="866" t="n">
        <f aca="false">M2732/H2718</f>
        <v>6</v>
      </c>
      <c r="O2732" s="537" t="s">
        <v>1634</v>
      </c>
      <c r="P2732" s="1953"/>
      <c r="Q2732" s="1953"/>
      <c r="R2732" s="1954"/>
    </row>
    <row r="2733" customFormat="false" ht="14.25" hidden="false" customHeight="false" outlineLevel="0" collapsed="false">
      <c r="A2733" s="1087"/>
      <c r="B2733" s="1072"/>
      <c r="C2733" s="1980"/>
      <c r="D2733" s="848" t="s">
        <v>19</v>
      </c>
      <c r="E2733" s="1479" t="s">
        <v>1651</v>
      </c>
      <c r="F2733" s="887"/>
      <c r="G2733" s="2017"/>
      <c r="H2733" s="1950"/>
      <c r="I2733" s="1067"/>
      <c r="J2733" s="1951"/>
      <c r="K2733" s="1452"/>
      <c r="L2733" s="854" t="n">
        <v>6915.9825</v>
      </c>
      <c r="M2733" s="854" t="n">
        <v>255</v>
      </c>
      <c r="N2733" s="866" t="n">
        <f aca="false">M2733/H2718</f>
        <v>17</v>
      </c>
      <c r="O2733" s="537" t="s">
        <v>3519</v>
      </c>
      <c r="P2733" s="1953"/>
      <c r="Q2733" s="1953"/>
      <c r="R2733" s="1954"/>
    </row>
    <row r="2734" customFormat="false" ht="14.25" hidden="false" customHeight="false" outlineLevel="0" collapsed="false">
      <c r="A2734" s="1087"/>
      <c r="B2734" s="1072"/>
      <c r="C2734" s="1980"/>
      <c r="D2734" s="848" t="s">
        <v>19</v>
      </c>
      <c r="E2734" s="1479" t="s">
        <v>1651</v>
      </c>
      <c r="F2734" s="887"/>
      <c r="G2734" s="2017"/>
      <c r="H2734" s="1950"/>
      <c r="I2734" s="1067"/>
      <c r="J2734" s="1951"/>
      <c r="K2734" s="1452"/>
      <c r="L2734" s="854" t="n">
        <v>4068.225</v>
      </c>
      <c r="M2734" s="854" t="n">
        <v>150</v>
      </c>
      <c r="N2734" s="866" t="n">
        <f aca="false">M2734/H2718</f>
        <v>10</v>
      </c>
      <c r="O2734" s="537" t="s">
        <v>1289</v>
      </c>
      <c r="P2734" s="1953"/>
      <c r="Q2734" s="1953"/>
      <c r="R2734" s="1954"/>
    </row>
    <row r="2735" customFormat="false" ht="14.25" hidden="false" customHeight="false" outlineLevel="0" collapsed="false">
      <c r="A2735" s="1087"/>
      <c r="B2735" s="1072"/>
      <c r="C2735" s="1980"/>
      <c r="D2735" s="848" t="s">
        <v>19</v>
      </c>
      <c r="E2735" s="1479" t="s">
        <v>1651</v>
      </c>
      <c r="F2735" s="887"/>
      <c r="G2735" s="2017"/>
      <c r="H2735" s="1950"/>
      <c r="I2735" s="1067"/>
      <c r="J2735" s="1951"/>
      <c r="K2735" s="1452"/>
      <c r="L2735" s="854" t="n">
        <v>10984.2075</v>
      </c>
      <c r="M2735" s="854" t="n">
        <v>405</v>
      </c>
      <c r="N2735" s="866" t="n">
        <f aca="false">M2735/H2718</f>
        <v>27</v>
      </c>
      <c r="O2735" s="537" t="s">
        <v>762</v>
      </c>
      <c r="P2735" s="1953"/>
      <c r="Q2735" s="1953"/>
      <c r="R2735" s="1954"/>
    </row>
    <row r="2736" customFormat="false" ht="14.25" hidden="false" customHeight="false" outlineLevel="0" collapsed="false">
      <c r="A2736" s="1087"/>
      <c r="B2736" s="1072"/>
      <c r="C2736" s="1980"/>
      <c r="D2736" s="848" t="s">
        <v>19</v>
      </c>
      <c r="E2736" s="1479" t="s">
        <v>1651</v>
      </c>
      <c r="F2736" s="887"/>
      <c r="G2736" s="2017"/>
      <c r="H2736" s="1950"/>
      <c r="I2736" s="1067"/>
      <c r="J2736" s="1951"/>
      <c r="K2736" s="1452"/>
      <c r="L2736" s="854" t="n">
        <v>21968.415</v>
      </c>
      <c r="M2736" s="854" t="n">
        <v>810</v>
      </c>
      <c r="N2736" s="866" t="n">
        <f aca="false">M2736/H2718</f>
        <v>54</v>
      </c>
      <c r="O2736" s="537" t="s">
        <v>762</v>
      </c>
      <c r="P2736" s="1953"/>
      <c r="Q2736" s="1953"/>
      <c r="R2736" s="1954"/>
    </row>
    <row r="2737" customFormat="false" ht="14.25" hidden="false" customHeight="false" outlineLevel="0" collapsed="false">
      <c r="A2737" s="1087"/>
      <c r="B2737" s="1072"/>
      <c r="C2737" s="1980"/>
      <c r="D2737" s="848" t="s">
        <v>19</v>
      </c>
      <c r="E2737" s="1479" t="s">
        <v>1651</v>
      </c>
      <c r="F2737" s="887"/>
      <c r="G2737" s="2017"/>
      <c r="H2737" s="1950"/>
      <c r="I2737" s="1067"/>
      <c r="J2737" s="1951"/>
      <c r="K2737" s="1452"/>
      <c r="L2737" s="854" t="n">
        <v>5695.515</v>
      </c>
      <c r="M2737" s="854" t="n">
        <v>210</v>
      </c>
      <c r="N2737" s="866" t="n">
        <f aca="false">M2737/H2718</f>
        <v>14</v>
      </c>
      <c r="O2737" s="537" t="s">
        <v>762</v>
      </c>
      <c r="P2737" s="1953"/>
      <c r="Q2737" s="1953"/>
      <c r="R2737" s="1954"/>
    </row>
    <row r="2738" customFormat="false" ht="14.25" hidden="false" customHeight="false" outlineLevel="0" collapsed="false">
      <c r="A2738" s="1087"/>
      <c r="B2738" s="1072"/>
      <c r="C2738" s="1980"/>
      <c r="D2738" s="848" t="s">
        <v>19</v>
      </c>
      <c r="E2738" s="1479" t="s">
        <v>1651</v>
      </c>
      <c r="F2738" s="887"/>
      <c r="G2738" s="2017"/>
      <c r="H2738" s="1950"/>
      <c r="I2738" s="1067"/>
      <c r="J2738" s="1951"/>
      <c r="K2738" s="1452"/>
      <c r="L2738" s="854" t="n">
        <v>13831.965</v>
      </c>
      <c r="M2738" s="854" t="n">
        <v>510</v>
      </c>
      <c r="N2738" s="866" t="n">
        <f aca="false">M2738/H2718</f>
        <v>34</v>
      </c>
      <c r="O2738" s="537" t="s">
        <v>762</v>
      </c>
      <c r="P2738" s="1953"/>
      <c r="Q2738" s="1953"/>
      <c r="R2738" s="1954"/>
    </row>
    <row r="2739" customFormat="false" ht="14.25" hidden="false" customHeight="false" outlineLevel="0" collapsed="false">
      <c r="A2739" s="1087"/>
      <c r="B2739" s="1072"/>
      <c r="C2739" s="1980"/>
      <c r="D2739" s="848" t="s">
        <v>19</v>
      </c>
      <c r="E2739" s="1479" t="s">
        <v>1651</v>
      </c>
      <c r="F2739" s="887"/>
      <c r="G2739" s="2017"/>
      <c r="H2739" s="1950"/>
      <c r="I2739" s="1067"/>
      <c r="J2739" s="1951"/>
      <c r="K2739" s="1452"/>
      <c r="L2739" s="854" t="n">
        <v>10984.2075</v>
      </c>
      <c r="M2739" s="854" t="n">
        <v>405</v>
      </c>
      <c r="N2739" s="866" t="n">
        <f aca="false">M2739/H2718</f>
        <v>27</v>
      </c>
      <c r="O2739" s="537" t="s">
        <v>762</v>
      </c>
      <c r="P2739" s="1953"/>
      <c r="Q2739" s="1953"/>
      <c r="R2739" s="1954"/>
    </row>
    <row r="2740" customFormat="false" ht="14.25" hidden="false" customHeight="false" outlineLevel="0" collapsed="false">
      <c r="A2740" s="1087"/>
      <c r="B2740" s="1072"/>
      <c r="C2740" s="1980"/>
      <c r="D2740" s="848" t="s">
        <v>19</v>
      </c>
      <c r="E2740" s="1479" t="s">
        <v>1651</v>
      </c>
      <c r="F2740" s="887"/>
      <c r="G2740" s="2017"/>
      <c r="H2740" s="1950"/>
      <c r="I2740" s="1067"/>
      <c r="J2740" s="1951"/>
      <c r="K2740" s="1452"/>
      <c r="L2740" s="854" t="n">
        <v>1627.29</v>
      </c>
      <c r="M2740" s="854" t="n">
        <v>60</v>
      </c>
      <c r="N2740" s="866" t="n">
        <f aca="false">M2740/H2718</f>
        <v>4</v>
      </c>
      <c r="O2740" s="537" t="s">
        <v>811</v>
      </c>
      <c r="P2740" s="1953"/>
      <c r="Q2740" s="1953"/>
      <c r="R2740" s="1954"/>
    </row>
    <row r="2741" customFormat="false" ht="14.25" hidden="false" customHeight="false" outlineLevel="0" collapsed="false">
      <c r="A2741" s="1087"/>
      <c r="B2741" s="1072"/>
      <c r="C2741" s="1980"/>
      <c r="D2741" s="848" t="s">
        <v>19</v>
      </c>
      <c r="E2741" s="1479" t="s">
        <v>1651</v>
      </c>
      <c r="F2741" s="887"/>
      <c r="G2741" s="2017"/>
      <c r="H2741" s="1950"/>
      <c r="I2741" s="1067"/>
      <c r="J2741" s="1951"/>
      <c r="K2741" s="1452"/>
      <c r="L2741" s="854" t="n">
        <v>1627.29</v>
      </c>
      <c r="M2741" s="854" t="n">
        <v>60</v>
      </c>
      <c r="N2741" s="866" t="n">
        <f aca="false">M2741/H2718</f>
        <v>4</v>
      </c>
      <c r="O2741" s="537" t="s">
        <v>772</v>
      </c>
      <c r="P2741" s="1953"/>
      <c r="Q2741" s="1953"/>
      <c r="R2741" s="1954"/>
    </row>
    <row r="2742" customFormat="false" ht="14.25" hidden="false" customHeight="false" outlineLevel="0" collapsed="false">
      <c r="A2742" s="1087"/>
      <c r="B2742" s="1072"/>
      <c r="C2742" s="1980"/>
      <c r="D2742" s="848" t="s">
        <v>19</v>
      </c>
      <c r="E2742" s="1479" t="s">
        <v>1651</v>
      </c>
      <c r="F2742" s="887"/>
      <c r="G2742" s="2017"/>
      <c r="H2742" s="1950"/>
      <c r="I2742" s="1067"/>
      <c r="J2742" s="1951"/>
      <c r="K2742" s="1452"/>
      <c r="L2742" s="854" t="n">
        <v>5695.515</v>
      </c>
      <c r="M2742" s="854" t="n">
        <v>210</v>
      </c>
      <c r="N2742" s="866" t="n">
        <f aca="false">M2742/H2718</f>
        <v>14</v>
      </c>
      <c r="O2742" s="537" t="s">
        <v>747</v>
      </c>
      <c r="P2742" s="1953"/>
      <c r="Q2742" s="1953"/>
      <c r="R2742" s="1954"/>
    </row>
    <row r="2743" customFormat="false" ht="14.25" hidden="false" customHeight="false" outlineLevel="0" collapsed="false">
      <c r="A2743" s="1087"/>
      <c r="B2743" s="1072"/>
      <c r="C2743" s="1980"/>
      <c r="D2743" s="848" t="s">
        <v>19</v>
      </c>
      <c r="E2743" s="1479" t="s">
        <v>1651</v>
      </c>
      <c r="F2743" s="887"/>
      <c r="G2743" s="2017"/>
      <c r="H2743" s="1950"/>
      <c r="I2743" s="1067"/>
      <c r="J2743" s="1951"/>
      <c r="K2743" s="1452"/>
      <c r="L2743" s="854" t="n">
        <v>813.645</v>
      </c>
      <c r="M2743" s="854" t="n">
        <v>30</v>
      </c>
      <c r="N2743" s="866" t="n">
        <f aca="false">M2743/H2718</f>
        <v>2</v>
      </c>
      <c r="O2743" s="537" t="s">
        <v>770</v>
      </c>
      <c r="P2743" s="1953"/>
      <c r="Q2743" s="1953"/>
      <c r="R2743" s="1954"/>
    </row>
    <row r="2744" customFormat="false" ht="14.25" hidden="false" customHeight="false" outlineLevel="0" collapsed="false">
      <c r="A2744" s="1087"/>
      <c r="B2744" s="1072"/>
      <c r="C2744" s="1980"/>
      <c r="D2744" s="848" t="s">
        <v>19</v>
      </c>
      <c r="E2744" s="1479" t="s">
        <v>1651</v>
      </c>
      <c r="F2744" s="887"/>
      <c r="G2744" s="2017"/>
      <c r="H2744" s="1950"/>
      <c r="I2744" s="1067"/>
      <c r="J2744" s="1951"/>
      <c r="K2744" s="1452"/>
      <c r="L2744" s="854" t="n">
        <v>1627.29</v>
      </c>
      <c r="M2744" s="854" t="n">
        <v>60</v>
      </c>
      <c r="N2744" s="866" t="n">
        <f aca="false">M2744/H2718</f>
        <v>4</v>
      </c>
      <c r="O2744" s="537" t="s">
        <v>744</v>
      </c>
      <c r="P2744" s="1953"/>
      <c r="Q2744" s="1953"/>
      <c r="R2744" s="1954"/>
    </row>
    <row r="2745" customFormat="false" ht="14.25" hidden="false" customHeight="false" outlineLevel="0" collapsed="false">
      <c r="A2745" s="1087"/>
      <c r="B2745" s="1072"/>
      <c r="C2745" s="1980"/>
      <c r="D2745" s="860" t="s">
        <v>19</v>
      </c>
      <c r="E2745" s="1480" t="s">
        <v>1651</v>
      </c>
      <c r="F2745" s="887"/>
      <c r="G2745" s="2017"/>
      <c r="H2745" s="1950"/>
      <c r="I2745" s="1067"/>
      <c r="J2745" s="1951"/>
      <c r="K2745" s="1452"/>
      <c r="L2745" s="866" t="n">
        <v>813.645</v>
      </c>
      <c r="M2745" s="866" t="n">
        <v>30</v>
      </c>
      <c r="N2745" s="866" t="n">
        <f aca="false">M2745/H2718</f>
        <v>2</v>
      </c>
      <c r="O2745" s="543" t="s">
        <v>702</v>
      </c>
      <c r="P2745" s="1953"/>
      <c r="Q2745" s="1953"/>
      <c r="R2745" s="1954"/>
    </row>
    <row r="2746" customFormat="false" ht="14.25" hidden="false" customHeight="false" outlineLevel="0" collapsed="false">
      <c r="A2746" s="1087"/>
      <c r="B2746" s="1072"/>
      <c r="C2746" s="1980"/>
      <c r="D2746" s="887" t="s">
        <v>19</v>
      </c>
      <c r="E2746" s="1501" t="s">
        <v>1651</v>
      </c>
      <c r="F2746" s="887"/>
      <c r="G2746" s="2017"/>
      <c r="H2746" s="1950"/>
      <c r="I2746" s="1067"/>
      <c r="J2746" s="1951"/>
      <c r="K2746" s="1452"/>
      <c r="L2746" s="890" t="n">
        <v>4068.225</v>
      </c>
      <c r="M2746" s="890" t="n">
        <v>150</v>
      </c>
      <c r="N2746" s="890" t="n">
        <f aca="false">M2746/H2718</f>
        <v>10</v>
      </c>
      <c r="O2746" s="1067" t="s">
        <v>699</v>
      </c>
      <c r="P2746" s="1953"/>
      <c r="Q2746" s="1953"/>
      <c r="R2746" s="1954"/>
    </row>
    <row r="2747" customFormat="false" ht="14.25" hidden="false" customHeight="false" outlineLevel="0" collapsed="false">
      <c r="A2747" s="847" t="n">
        <v>647</v>
      </c>
      <c r="B2747" s="1396" t="n">
        <v>2024</v>
      </c>
      <c r="C2747" s="1966" t="n">
        <v>45992</v>
      </c>
      <c r="D2747" s="848" t="s">
        <v>19</v>
      </c>
      <c r="E2747" s="1479" t="s">
        <v>2619</v>
      </c>
      <c r="F2747" s="848" t="s">
        <v>3364</v>
      </c>
      <c r="G2747" s="2018" t="n">
        <v>45</v>
      </c>
      <c r="H2747" s="1967" t="n">
        <v>30</v>
      </c>
      <c r="I2747" s="1380" t="n">
        <f aca="false">G2747*H2747</f>
        <v>1350</v>
      </c>
      <c r="J2747" s="1989" t="n">
        <v>91.9</v>
      </c>
      <c r="K2747" s="1968" t="n">
        <f aca="false">I2747*J2747</f>
        <v>124065</v>
      </c>
      <c r="L2747" s="854" t="n">
        <v>124065</v>
      </c>
      <c r="M2747" s="854" t="n">
        <v>1350</v>
      </c>
      <c r="N2747" s="866" t="n">
        <f aca="false">M2747/H2747</f>
        <v>45</v>
      </c>
      <c r="O2747" s="537" t="s">
        <v>907</v>
      </c>
      <c r="P2747" s="1986" t="n">
        <f aca="false">K2747-L2747</f>
        <v>0</v>
      </c>
      <c r="Q2747" s="1971" t="n">
        <f aca="false">I2747-M2747</f>
        <v>0</v>
      </c>
      <c r="R2747" s="1971" t="n">
        <f aca="false">G2747-N2747</f>
        <v>0</v>
      </c>
    </row>
    <row r="2748" customFormat="false" ht="14.25" hidden="false" customHeight="false" outlineLevel="0" collapsed="false">
      <c r="A2748" s="903" t="n">
        <v>702</v>
      </c>
      <c r="B2748" s="903" t="n">
        <v>2024</v>
      </c>
      <c r="C2748" s="1974" t="n">
        <v>45992</v>
      </c>
      <c r="D2748" s="904" t="s">
        <v>19</v>
      </c>
      <c r="E2748" s="1351" t="s">
        <v>1651</v>
      </c>
      <c r="F2748" s="904" t="s">
        <v>3364</v>
      </c>
      <c r="G2748" s="2012" t="n">
        <v>3</v>
      </c>
      <c r="H2748" s="1940" t="n">
        <v>15</v>
      </c>
      <c r="I2748" s="1380" t="n">
        <f aca="false">G2748*H2748</f>
        <v>45</v>
      </c>
      <c r="J2748" s="1941" t="n">
        <v>22.5</v>
      </c>
      <c r="K2748" s="1968" t="n">
        <f aca="false">I2748*J2748</f>
        <v>1012.5</v>
      </c>
      <c r="L2748" s="891" t="n">
        <v>1012.5</v>
      </c>
      <c r="M2748" s="891" t="n">
        <v>45</v>
      </c>
      <c r="N2748" s="866" t="n">
        <f aca="false">M2748/H2748</f>
        <v>3</v>
      </c>
      <c r="O2748" s="942" t="s">
        <v>1375</v>
      </c>
      <c r="P2748" s="2037" t="n">
        <f aca="false">K2748-L2748</f>
        <v>0</v>
      </c>
      <c r="Q2748" s="1971" t="n">
        <f aca="false">I2748-M2748</f>
        <v>0</v>
      </c>
      <c r="R2748" s="1971" t="n">
        <f aca="false">G2748-N2748</f>
        <v>0</v>
      </c>
    </row>
    <row r="2749" customFormat="false" ht="14.25" hidden="false" customHeight="false" outlineLevel="0" collapsed="false">
      <c r="A2749" s="870"/>
      <c r="B2749" s="1495"/>
      <c r="C2749" s="1972"/>
      <c r="D2749" s="871"/>
      <c r="E2749" s="871"/>
      <c r="F2749" s="871"/>
      <c r="G2749" s="2024"/>
      <c r="H2749" s="1956"/>
      <c r="I2749" s="877"/>
      <c r="J2749" s="2036"/>
      <c r="K2749" s="1151"/>
      <c r="L2749" s="877"/>
      <c r="M2749" s="877"/>
      <c r="N2749" s="877"/>
      <c r="O2749" s="553"/>
      <c r="P2749" s="1988"/>
      <c r="Q2749" s="1961"/>
      <c r="R2749" s="1961"/>
    </row>
    <row r="2750" customFormat="false" ht="14.25" hidden="false" customHeight="false" outlineLevel="0" collapsed="false">
      <c r="A2750" s="829" t="n">
        <v>316</v>
      </c>
      <c r="B2750" s="830" t="n">
        <v>2022</v>
      </c>
      <c r="C2750" s="1965"/>
      <c r="D2750" s="831" t="s">
        <v>8</v>
      </c>
      <c r="E2750" s="831" t="s">
        <v>1651</v>
      </c>
      <c r="F2750" s="832" t="s">
        <v>3375</v>
      </c>
      <c r="G2750" s="2010" t="n">
        <v>8</v>
      </c>
      <c r="H2750" s="1931" t="n">
        <v>15</v>
      </c>
      <c r="I2750" s="837" t="n">
        <f aca="false">G2750*H2750</f>
        <v>120</v>
      </c>
      <c r="J2750" s="1932" t="n">
        <v>30</v>
      </c>
      <c r="K2750" s="943" t="n">
        <f aca="false">I2750*J2750</f>
        <v>3600</v>
      </c>
      <c r="L2750" s="840" t="n">
        <v>450</v>
      </c>
      <c r="M2750" s="840" t="n">
        <v>15</v>
      </c>
      <c r="N2750" s="840" t="n">
        <f aca="false">M2750/H2750</f>
        <v>1</v>
      </c>
      <c r="O2750" s="1114" t="n">
        <v>85159</v>
      </c>
      <c r="P2750" s="1934" t="n">
        <f aca="false">K2750-L2750-L2751</f>
        <v>0</v>
      </c>
      <c r="Q2750" s="1934" t="n">
        <f aca="false">I2750-M2750-M2751</f>
        <v>0</v>
      </c>
      <c r="R2750" s="1935" t="n">
        <f aca="false">G2750-N2750-N2751</f>
        <v>0</v>
      </c>
    </row>
    <row r="2751" customFormat="false" ht="14.25" hidden="false" customHeight="false" outlineLevel="0" collapsed="false">
      <c r="A2751" s="829"/>
      <c r="B2751" s="830"/>
      <c r="C2751" s="1965"/>
      <c r="D2751" s="843" t="s">
        <v>8</v>
      </c>
      <c r="E2751" s="843" t="s">
        <v>1651</v>
      </c>
      <c r="F2751" s="832"/>
      <c r="G2751" s="2010"/>
      <c r="H2751" s="1931"/>
      <c r="I2751" s="837"/>
      <c r="J2751" s="1932"/>
      <c r="K2751" s="943"/>
      <c r="L2751" s="846" t="n">
        <v>3150</v>
      </c>
      <c r="M2751" s="846" t="n">
        <v>105</v>
      </c>
      <c r="N2751" s="846" t="n">
        <f aca="false">M2751/H2750</f>
        <v>7</v>
      </c>
      <c r="O2751" s="589" t="s">
        <v>1634</v>
      </c>
      <c r="P2751" s="1934"/>
      <c r="Q2751" s="1934"/>
      <c r="R2751" s="1935"/>
    </row>
    <row r="2752" customFormat="false" ht="14.25" hidden="false" customHeight="false" outlineLevel="0" collapsed="false">
      <c r="A2752" s="1087" t="n">
        <v>420</v>
      </c>
      <c r="B2752" s="1072" t="n">
        <v>2023</v>
      </c>
      <c r="C2752" s="1980" t="n">
        <v>45566</v>
      </c>
      <c r="D2752" s="848" t="s">
        <v>8</v>
      </c>
      <c r="E2752" s="1479" t="s">
        <v>1651</v>
      </c>
      <c r="F2752" s="887" t="s">
        <v>3364</v>
      </c>
      <c r="G2752" s="2017" t="n">
        <v>230</v>
      </c>
      <c r="H2752" s="1067" t="n">
        <v>15</v>
      </c>
      <c r="I2752" s="1067" t="n">
        <f aca="false">G2752*H2752</f>
        <v>3450</v>
      </c>
      <c r="J2752" s="1063" t="n">
        <v>32.5</v>
      </c>
      <c r="K2752" s="1452" t="n">
        <f aca="false">I2752*J2752</f>
        <v>112125</v>
      </c>
      <c r="L2752" s="891" t="n">
        <v>41437.5</v>
      </c>
      <c r="M2752" s="891" t="n">
        <v>1275</v>
      </c>
      <c r="N2752" s="891" t="n">
        <f aca="false">M2752/H2752</f>
        <v>85</v>
      </c>
      <c r="O2752" s="942" t="n">
        <v>85595</v>
      </c>
      <c r="P2752" s="1953" t="n">
        <f aca="false">K2752-L2752-L2759-L2758-L2753-L2757-L2754-L2755-L2756</f>
        <v>0</v>
      </c>
      <c r="Q2752" s="1953" t="n">
        <f aca="false">I2752-M2752-M2759-M2758-M2753-M2757-M2754-M2755-M2756</f>
        <v>0</v>
      </c>
      <c r="R2752" s="1954" t="n">
        <f aca="false">G2752-N2752-N2759-N2758-N2753-N2757-N2754-N2755-N2756</f>
        <v>0</v>
      </c>
    </row>
    <row r="2753" customFormat="false" ht="14.25" hidden="false" customHeight="false" outlineLevel="0" collapsed="false">
      <c r="A2753" s="1087"/>
      <c r="B2753" s="1072"/>
      <c r="C2753" s="1980"/>
      <c r="D2753" s="860" t="s">
        <v>8</v>
      </c>
      <c r="E2753" s="1480" t="s">
        <v>1651</v>
      </c>
      <c r="F2753" s="887"/>
      <c r="G2753" s="2017"/>
      <c r="H2753" s="1067"/>
      <c r="I2753" s="1067"/>
      <c r="J2753" s="1063"/>
      <c r="K2753" s="1452"/>
      <c r="L2753" s="866" t="n">
        <v>487.5</v>
      </c>
      <c r="M2753" s="866" t="n">
        <v>15</v>
      </c>
      <c r="N2753" s="866" t="n">
        <f aca="false">M2753/H2752</f>
        <v>1</v>
      </c>
      <c r="O2753" s="543" t="n">
        <v>85691</v>
      </c>
      <c r="P2753" s="1953"/>
      <c r="Q2753" s="1953"/>
      <c r="R2753" s="1954"/>
    </row>
    <row r="2754" customFormat="false" ht="14.25" hidden="false" customHeight="false" outlineLevel="0" collapsed="false">
      <c r="A2754" s="1087"/>
      <c r="B2754" s="1072"/>
      <c r="C2754" s="1980"/>
      <c r="D2754" s="860" t="s">
        <v>8</v>
      </c>
      <c r="E2754" s="1480" t="s">
        <v>1651</v>
      </c>
      <c r="F2754" s="887"/>
      <c r="G2754" s="2017"/>
      <c r="H2754" s="1067"/>
      <c r="I2754" s="1067"/>
      <c r="J2754" s="1063"/>
      <c r="K2754" s="1452"/>
      <c r="L2754" s="866" t="n">
        <v>487.5</v>
      </c>
      <c r="M2754" s="866" t="n">
        <v>15</v>
      </c>
      <c r="N2754" s="866" t="n">
        <f aca="false">M2754/H2752</f>
        <v>1</v>
      </c>
      <c r="O2754" s="543" t="n">
        <v>85955</v>
      </c>
      <c r="P2754" s="1953"/>
      <c r="Q2754" s="1953"/>
      <c r="R2754" s="1954"/>
    </row>
    <row r="2755" customFormat="false" ht="14.25" hidden="false" customHeight="false" outlineLevel="0" collapsed="false">
      <c r="A2755" s="1087"/>
      <c r="B2755" s="1072"/>
      <c r="C2755" s="1980"/>
      <c r="D2755" s="860" t="s">
        <v>8</v>
      </c>
      <c r="E2755" s="1480" t="s">
        <v>1651</v>
      </c>
      <c r="F2755" s="887"/>
      <c r="G2755" s="2017"/>
      <c r="H2755" s="1067"/>
      <c r="I2755" s="1067"/>
      <c r="J2755" s="1063"/>
      <c r="K2755" s="1452"/>
      <c r="L2755" s="866" t="n">
        <v>487.5</v>
      </c>
      <c r="M2755" s="866" t="n">
        <v>15</v>
      </c>
      <c r="N2755" s="866" t="n">
        <f aca="false">M2755/H2752</f>
        <v>1</v>
      </c>
      <c r="O2755" s="543" t="n">
        <v>86431</v>
      </c>
      <c r="P2755" s="1953"/>
      <c r="Q2755" s="1953"/>
      <c r="R2755" s="1954"/>
    </row>
    <row r="2756" customFormat="false" ht="14.25" hidden="false" customHeight="false" outlineLevel="0" collapsed="false">
      <c r="A2756" s="1087"/>
      <c r="B2756" s="1072"/>
      <c r="C2756" s="1980"/>
      <c r="D2756" s="860" t="s">
        <v>8</v>
      </c>
      <c r="E2756" s="1480" t="s">
        <v>1651</v>
      </c>
      <c r="F2756" s="887"/>
      <c r="G2756" s="2017"/>
      <c r="H2756" s="1067"/>
      <c r="I2756" s="1067"/>
      <c r="J2756" s="1063"/>
      <c r="K2756" s="1452"/>
      <c r="L2756" s="866" t="n">
        <v>487.5</v>
      </c>
      <c r="M2756" s="866" t="n">
        <v>15</v>
      </c>
      <c r="N2756" s="866" t="n">
        <f aca="false">M2756/H2752</f>
        <v>1</v>
      </c>
      <c r="O2756" s="543" t="s">
        <v>3365</v>
      </c>
      <c r="P2756" s="1953"/>
      <c r="Q2756" s="1953"/>
      <c r="R2756" s="1954"/>
    </row>
    <row r="2757" customFormat="false" ht="14.25" hidden="false" customHeight="false" outlineLevel="0" collapsed="false">
      <c r="A2757" s="1087"/>
      <c r="B2757" s="1072"/>
      <c r="C2757" s="1980"/>
      <c r="D2757" s="860" t="s">
        <v>8</v>
      </c>
      <c r="E2757" s="1480" t="s">
        <v>1651</v>
      </c>
      <c r="F2757" s="887"/>
      <c r="G2757" s="2017"/>
      <c r="H2757" s="1067"/>
      <c r="I2757" s="1067"/>
      <c r="J2757" s="1063"/>
      <c r="K2757" s="1452"/>
      <c r="L2757" s="866" t="n">
        <v>487.5</v>
      </c>
      <c r="M2757" s="866" t="n">
        <v>15</v>
      </c>
      <c r="N2757" s="866" t="n">
        <f aca="false">M2757/H2752</f>
        <v>1</v>
      </c>
      <c r="O2757" s="543" t="n">
        <v>86111</v>
      </c>
      <c r="P2757" s="1953"/>
      <c r="Q2757" s="1953"/>
      <c r="R2757" s="1954"/>
    </row>
    <row r="2758" customFormat="false" ht="14.25" hidden="false" customHeight="false" outlineLevel="0" collapsed="false">
      <c r="A2758" s="1087"/>
      <c r="B2758" s="1072"/>
      <c r="C2758" s="1980"/>
      <c r="D2758" s="860" t="s">
        <v>8</v>
      </c>
      <c r="E2758" s="1480" t="s">
        <v>1651</v>
      </c>
      <c r="F2758" s="887"/>
      <c r="G2758" s="2017"/>
      <c r="H2758" s="1067"/>
      <c r="I2758" s="1067"/>
      <c r="J2758" s="1063"/>
      <c r="K2758" s="1452"/>
      <c r="L2758" s="866" t="n">
        <v>2925</v>
      </c>
      <c r="M2758" s="866" t="n">
        <v>90</v>
      </c>
      <c r="N2758" s="866" t="n">
        <f aca="false">M2758/H2752</f>
        <v>6</v>
      </c>
      <c r="O2758" s="543" t="n">
        <v>85665</v>
      </c>
      <c r="P2758" s="1953"/>
      <c r="Q2758" s="1953"/>
      <c r="R2758" s="1954"/>
    </row>
    <row r="2759" customFormat="false" ht="14.25" hidden="false" customHeight="false" outlineLevel="0" collapsed="false">
      <c r="A2759" s="1087"/>
      <c r="B2759" s="1072"/>
      <c r="C2759" s="1980"/>
      <c r="D2759" s="843" t="s">
        <v>8</v>
      </c>
      <c r="E2759" s="1357" t="s">
        <v>1651</v>
      </c>
      <c r="F2759" s="887"/>
      <c r="G2759" s="2017"/>
      <c r="H2759" s="1067"/>
      <c r="I2759" s="1067"/>
      <c r="J2759" s="1063"/>
      <c r="K2759" s="1452"/>
      <c r="L2759" s="846" t="n">
        <v>65325</v>
      </c>
      <c r="M2759" s="846" t="n">
        <v>2010</v>
      </c>
      <c r="N2759" s="846" t="n">
        <f aca="false">M2759/H2752</f>
        <v>134</v>
      </c>
      <c r="O2759" s="589" t="n">
        <v>85624</v>
      </c>
      <c r="P2759" s="1953"/>
      <c r="Q2759" s="1953"/>
      <c r="R2759" s="1954"/>
    </row>
    <row r="2760" customFormat="false" ht="14.25" hidden="false" customHeight="false" outlineLevel="0" collapsed="false">
      <c r="A2760" s="882" t="n">
        <v>488</v>
      </c>
      <c r="B2760" s="830" t="n">
        <v>2023</v>
      </c>
      <c r="C2760" s="1965" t="n">
        <v>45597</v>
      </c>
      <c r="D2760" s="831" t="s">
        <v>8</v>
      </c>
      <c r="E2760" s="1365" t="s">
        <v>2131</v>
      </c>
      <c r="F2760" s="832" t="s">
        <v>3364</v>
      </c>
      <c r="G2760" s="2010" t="n">
        <v>351</v>
      </c>
      <c r="H2760" s="837" t="n">
        <v>25</v>
      </c>
      <c r="I2760" s="837" t="n">
        <f aca="false">G2760*H2760</f>
        <v>8775</v>
      </c>
      <c r="J2760" s="1059" t="n">
        <v>67.0083</v>
      </c>
      <c r="K2760" s="943" t="n">
        <f aca="false">I2760*J2760</f>
        <v>587997.8325</v>
      </c>
      <c r="L2760" s="840" t="n">
        <v>67008.3</v>
      </c>
      <c r="M2760" s="840" t="n">
        <v>1000</v>
      </c>
      <c r="N2760" s="886" t="n">
        <f aca="false">M2760/H2760</f>
        <v>40</v>
      </c>
      <c r="O2760" s="1114" t="n">
        <v>85816</v>
      </c>
      <c r="P2760" s="1948" t="n">
        <f aca="false">K2760-L2760-L2765-L2761-L2764-L2762-L2763</f>
        <v>0</v>
      </c>
      <c r="Q2760" s="1934" t="n">
        <f aca="false">I2760-M2760-M2765-M2761-M2764-M2762-M2763</f>
        <v>0</v>
      </c>
      <c r="R2760" s="1935" t="n">
        <f aca="false">G2760-N2760-N2765-N2761-N2764-N2762-N2763</f>
        <v>0</v>
      </c>
    </row>
    <row r="2761" customFormat="false" ht="14.25" hidden="false" customHeight="false" outlineLevel="0" collapsed="false">
      <c r="A2761" s="882"/>
      <c r="B2761" s="830"/>
      <c r="C2761" s="1965"/>
      <c r="D2761" s="860" t="s">
        <v>8</v>
      </c>
      <c r="E2761" s="1480" t="s">
        <v>2131</v>
      </c>
      <c r="F2761" s="832"/>
      <c r="G2761" s="2010"/>
      <c r="H2761" s="837"/>
      <c r="I2761" s="837"/>
      <c r="J2761" s="1059"/>
      <c r="K2761" s="943"/>
      <c r="L2761" s="866" t="n">
        <v>134016.6</v>
      </c>
      <c r="M2761" s="866" t="n">
        <v>2000</v>
      </c>
      <c r="N2761" s="866" t="n">
        <f aca="false">M2761/H2760</f>
        <v>80</v>
      </c>
      <c r="O2761" s="543" t="n">
        <v>85820</v>
      </c>
      <c r="P2761" s="1948"/>
      <c r="Q2761" s="1934"/>
      <c r="R2761" s="1935"/>
    </row>
    <row r="2762" customFormat="false" ht="14.25" hidden="false" customHeight="false" outlineLevel="0" collapsed="false">
      <c r="A2762" s="882"/>
      <c r="B2762" s="830"/>
      <c r="C2762" s="1965"/>
      <c r="D2762" s="860" t="s">
        <v>8</v>
      </c>
      <c r="E2762" s="1480" t="s">
        <v>2131</v>
      </c>
      <c r="F2762" s="832"/>
      <c r="G2762" s="2010"/>
      <c r="H2762" s="837"/>
      <c r="I2762" s="837"/>
      <c r="J2762" s="1059"/>
      <c r="K2762" s="943"/>
      <c r="L2762" s="866" t="n">
        <v>67008.3</v>
      </c>
      <c r="M2762" s="866" t="n">
        <v>1000</v>
      </c>
      <c r="N2762" s="866" t="n">
        <f aca="false">M2762/H2760</f>
        <v>40</v>
      </c>
      <c r="O2762" s="543" t="n">
        <v>85937</v>
      </c>
      <c r="P2762" s="1948"/>
      <c r="Q2762" s="1934"/>
      <c r="R2762" s="1935"/>
    </row>
    <row r="2763" customFormat="false" ht="14.25" hidden="false" customHeight="false" outlineLevel="0" collapsed="false">
      <c r="A2763" s="882"/>
      <c r="B2763" s="830"/>
      <c r="C2763" s="1965"/>
      <c r="D2763" s="860" t="s">
        <v>8</v>
      </c>
      <c r="E2763" s="1480" t="s">
        <v>2131</v>
      </c>
      <c r="F2763" s="832"/>
      <c r="G2763" s="2010"/>
      <c r="H2763" s="837"/>
      <c r="I2763" s="837"/>
      <c r="J2763" s="1059"/>
      <c r="K2763" s="943"/>
      <c r="L2763" s="866" t="n">
        <v>222802.5975</v>
      </c>
      <c r="M2763" s="866" t="n">
        <v>3325</v>
      </c>
      <c r="N2763" s="866" t="n">
        <f aca="false">M2763/H2760</f>
        <v>133</v>
      </c>
      <c r="O2763" s="543" t="s">
        <v>1634</v>
      </c>
      <c r="P2763" s="1948"/>
      <c r="Q2763" s="1934"/>
      <c r="R2763" s="1935"/>
    </row>
    <row r="2764" customFormat="false" ht="14.25" hidden="false" customHeight="false" outlineLevel="0" collapsed="false">
      <c r="A2764" s="882"/>
      <c r="B2764" s="830"/>
      <c r="C2764" s="1965"/>
      <c r="D2764" s="860" t="s">
        <v>8</v>
      </c>
      <c r="E2764" s="1480" t="s">
        <v>2131</v>
      </c>
      <c r="F2764" s="832"/>
      <c r="G2764" s="2010"/>
      <c r="H2764" s="837"/>
      <c r="I2764" s="837"/>
      <c r="J2764" s="1059"/>
      <c r="K2764" s="943"/>
      <c r="L2764" s="866" t="n">
        <v>83760.375</v>
      </c>
      <c r="M2764" s="866" t="n">
        <v>1250</v>
      </c>
      <c r="N2764" s="866" t="n">
        <f aca="false">M2764/H2760</f>
        <v>50</v>
      </c>
      <c r="O2764" s="543" t="n">
        <v>85875</v>
      </c>
      <c r="P2764" s="1948"/>
      <c r="Q2764" s="1934"/>
      <c r="R2764" s="1935"/>
    </row>
    <row r="2765" customFormat="false" ht="14.25" hidden="false" customHeight="false" outlineLevel="0" collapsed="false">
      <c r="A2765" s="882"/>
      <c r="B2765" s="830"/>
      <c r="C2765" s="1965"/>
      <c r="D2765" s="887" t="s">
        <v>8</v>
      </c>
      <c r="E2765" s="1501" t="s">
        <v>2131</v>
      </c>
      <c r="F2765" s="832"/>
      <c r="G2765" s="2010"/>
      <c r="H2765" s="837"/>
      <c r="I2765" s="837"/>
      <c r="J2765" s="1059"/>
      <c r="K2765" s="943"/>
      <c r="L2765" s="890" t="n">
        <v>13401.66</v>
      </c>
      <c r="M2765" s="890" t="n">
        <v>200</v>
      </c>
      <c r="N2765" s="890" t="n">
        <f aca="false">M2765/H2760</f>
        <v>8</v>
      </c>
      <c r="O2765" s="1067" t="n">
        <v>85818</v>
      </c>
      <c r="P2765" s="1948"/>
      <c r="Q2765" s="1934"/>
      <c r="R2765" s="1935"/>
    </row>
    <row r="2766" customFormat="false" ht="14.25" hidden="false" customHeight="false" outlineLevel="0" collapsed="false">
      <c r="A2766" s="1027" t="n">
        <v>495</v>
      </c>
      <c r="B2766" s="1546" t="n">
        <v>2023</v>
      </c>
      <c r="C2766" s="1975" t="n">
        <v>45597</v>
      </c>
      <c r="D2766" s="831" t="s">
        <v>8</v>
      </c>
      <c r="E2766" s="1365" t="s">
        <v>2131</v>
      </c>
      <c r="F2766" s="1328" t="s">
        <v>3375</v>
      </c>
      <c r="G2766" s="2011" t="n">
        <v>180</v>
      </c>
      <c r="H2766" s="1036" t="n">
        <v>25</v>
      </c>
      <c r="I2766" s="1036" t="n">
        <f aca="false">G2766*H2766</f>
        <v>4500</v>
      </c>
      <c r="J2766" s="1557" t="n">
        <v>67.3148</v>
      </c>
      <c r="K2766" s="1547" t="n">
        <f aca="false">I2766*J2766</f>
        <v>302916.6</v>
      </c>
      <c r="L2766" s="840" t="n">
        <v>87509.24</v>
      </c>
      <c r="M2766" s="840" t="n">
        <v>1300</v>
      </c>
      <c r="N2766" s="886" t="n">
        <f aca="false">M2766/H2766</f>
        <v>52</v>
      </c>
      <c r="O2766" s="1114" t="n">
        <v>85792</v>
      </c>
      <c r="P2766" s="1978" t="n">
        <f aca="false">K2766-L2766-L2771-L2770-L2767-L2769-L2768</f>
        <v>0</v>
      </c>
      <c r="Q2766" s="1978" t="n">
        <f aca="false">I2766-M2766-M2771-M2770-M2767-M2769-M2768</f>
        <v>0</v>
      </c>
      <c r="R2766" s="1979" t="n">
        <f aca="false">G2766-N2766-N2771-N2770-N2767-N2769-N2768</f>
        <v>0</v>
      </c>
    </row>
    <row r="2767" customFormat="false" ht="14.25" hidden="false" customHeight="false" outlineLevel="0" collapsed="false">
      <c r="A2767" s="1027"/>
      <c r="B2767" s="1546"/>
      <c r="C2767" s="1975"/>
      <c r="D2767" s="848" t="s">
        <v>8</v>
      </c>
      <c r="E2767" s="1479" t="s">
        <v>2131</v>
      </c>
      <c r="F2767" s="1328"/>
      <c r="G2767" s="2011"/>
      <c r="H2767" s="1036"/>
      <c r="I2767" s="1036"/>
      <c r="J2767" s="1557"/>
      <c r="K2767" s="1547"/>
      <c r="L2767" s="854" t="n">
        <v>13462.96</v>
      </c>
      <c r="M2767" s="854" t="n">
        <v>200</v>
      </c>
      <c r="N2767" s="866" t="n">
        <f aca="false">M2767/H2766</f>
        <v>8</v>
      </c>
      <c r="O2767" s="537" t="n">
        <v>86554</v>
      </c>
      <c r="P2767" s="1978"/>
      <c r="Q2767" s="1978"/>
      <c r="R2767" s="1979"/>
    </row>
    <row r="2768" customFormat="false" ht="14.25" hidden="false" customHeight="false" outlineLevel="0" collapsed="false">
      <c r="A2768" s="1027"/>
      <c r="B2768" s="1546"/>
      <c r="C2768" s="1975"/>
      <c r="D2768" s="848" t="s">
        <v>8</v>
      </c>
      <c r="E2768" s="1479" t="s">
        <v>2131</v>
      </c>
      <c r="F2768" s="1328"/>
      <c r="G2768" s="2011"/>
      <c r="H2768" s="1036"/>
      <c r="I2768" s="1036"/>
      <c r="J2768" s="1557"/>
      <c r="K2768" s="1547"/>
      <c r="L2768" s="854" t="n">
        <v>67314.8</v>
      </c>
      <c r="M2768" s="854" t="n">
        <v>1000</v>
      </c>
      <c r="N2768" s="866" t="n">
        <f aca="false">M2768/H2766</f>
        <v>40</v>
      </c>
      <c r="O2768" s="537" t="s">
        <v>1634</v>
      </c>
      <c r="P2768" s="1978"/>
      <c r="Q2768" s="1978"/>
      <c r="R2768" s="1979"/>
    </row>
    <row r="2769" customFormat="false" ht="14.25" hidden="false" customHeight="false" outlineLevel="0" collapsed="false">
      <c r="A2769" s="1027"/>
      <c r="B2769" s="1546"/>
      <c r="C2769" s="1975"/>
      <c r="D2769" s="848" t="s">
        <v>8</v>
      </c>
      <c r="E2769" s="1479" t="s">
        <v>2131</v>
      </c>
      <c r="F2769" s="1328"/>
      <c r="G2769" s="2011"/>
      <c r="H2769" s="1036"/>
      <c r="I2769" s="1036"/>
      <c r="J2769" s="1557"/>
      <c r="K2769" s="1547"/>
      <c r="L2769" s="854" t="n">
        <v>40388.88</v>
      </c>
      <c r="M2769" s="854" t="n">
        <v>600</v>
      </c>
      <c r="N2769" s="866" t="n">
        <f aca="false">M2769/H2766</f>
        <v>24</v>
      </c>
      <c r="O2769" s="537" t="n">
        <v>86724</v>
      </c>
      <c r="P2769" s="1978"/>
      <c r="Q2769" s="1978"/>
      <c r="R2769" s="1979"/>
    </row>
    <row r="2770" customFormat="false" ht="14.25" hidden="false" customHeight="false" outlineLevel="0" collapsed="false">
      <c r="A2770" s="1027"/>
      <c r="B2770" s="1546"/>
      <c r="C2770" s="1975"/>
      <c r="D2770" s="860" t="s">
        <v>8</v>
      </c>
      <c r="E2770" s="1480" t="s">
        <v>2131</v>
      </c>
      <c r="F2770" s="1328"/>
      <c r="G2770" s="2011"/>
      <c r="H2770" s="1036"/>
      <c r="I2770" s="1036"/>
      <c r="J2770" s="1557"/>
      <c r="K2770" s="1547"/>
      <c r="L2770" s="866" t="n">
        <v>60583.32</v>
      </c>
      <c r="M2770" s="866" t="n">
        <v>900</v>
      </c>
      <c r="N2770" s="866" t="n">
        <f aca="false">M2770/H2766</f>
        <v>36</v>
      </c>
      <c r="O2770" s="543" t="n">
        <v>85970</v>
      </c>
      <c r="P2770" s="1978"/>
      <c r="Q2770" s="1978"/>
      <c r="R2770" s="1979"/>
    </row>
    <row r="2771" customFormat="false" ht="14.25" hidden="false" customHeight="false" outlineLevel="0" collapsed="false">
      <c r="A2771" s="1027"/>
      <c r="B2771" s="1546"/>
      <c r="C2771" s="1975"/>
      <c r="D2771" s="904" t="s">
        <v>8</v>
      </c>
      <c r="E2771" s="1351" t="s">
        <v>2131</v>
      </c>
      <c r="F2771" s="1328"/>
      <c r="G2771" s="2011"/>
      <c r="H2771" s="1036"/>
      <c r="I2771" s="1036"/>
      <c r="J2771" s="1557"/>
      <c r="K2771" s="1547"/>
      <c r="L2771" s="891" t="n">
        <v>33657.4</v>
      </c>
      <c r="M2771" s="891" t="n">
        <v>500</v>
      </c>
      <c r="N2771" s="891" t="n">
        <f aca="false">M2771/H2766</f>
        <v>20</v>
      </c>
      <c r="O2771" s="942" t="n">
        <v>85833</v>
      </c>
      <c r="P2771" s="1978"/>
      <c r="Q2771" s="1978"/>
      <c r="R2771" s="1979"/>
    </row>
    <row r="2772" customFormat="false" ht="14.25" hidden="false" customHeight="false" outlineLevel="0" collapsed="false">
      <c r="A2772" s="1465" t="n">
        <v>564</v>
      </c>
      <c r="B2772" s="1546" t="n">
        <v>2023</v>
      </c>
      <c r="C2772" s="1975" t="n">
        <v>45627</v>
      </c>
      <c r="D2772" s="831" t="s">
        <v>8</v>
      </c>
      <c r="E2772" s="1365" t="s">
        <v>1651</v>
      </c>
      <c r="F2772" s="1328" t="s">
        <v>3364</v>
      </c>
      <c r="G2772" s="2011" t="n">
        <v>69</v>
      </c>
      <c r="H2772" s="1036" t="n">
        <v>15</v>
      </c>
      <c r="I2772" s="1036" t="n">
        <f aca="false">G2772*H2772</f>
        <v>1035</v>
      </c>
      <c r="J2772" s="1557" t="n">
        <v>32.1</v>
      </c>
      <c r="K2772" s="1547" t="n">
        <f aca="false">I2772*J2772</f>
        <v>33223.5</v>
      </c>
      <c r="L2772" s="840" t="n">
        <v>19260</v>
      </c>
      <c r="M2772" s="840" t="n">
        <v>600</v>
      </c>
      <c r="N2772" s="886" t="n">
        <f aca="false">M2772/H2772</f>
        <v>40</v>
      </c>
      <c r="O2772" s="1114" t="n">
        <v>86004</v>
      </c>
      <c r="P2772" s="1978" t="n">
        <f aca="false">K2772-L2772-L2779-L2773-L2778-L2777-L2774-L2775-L2776</f>
        <v>0</v>
      </c>
      <c r="Q2772" s="1978" t="n">
        <f aca="false">I2772-M2772-M2779-M2773-M2778-M2777-M2774-M2775-M2776</f>
        <v>0</v>
      </c>
      <c r="R2772" s="1979" t="n">
        <f aca="false">G2772-N2772-N2779-N2773-N2778-N2777-N2774-N2775-N2776</f>
        <v>0</v>
      </c>
    </row>
    <row r="2773" customFormat="false" ht="14.25" hidden="false" customHeight="false" outlineLevel="0" collapsed="false">
      <c r="A2773" s="1465"/>
      <c r="B2773" s="1546"/>
      <c r="C2773" s="1975"/>
      <c r="D2773" s="860" t="s">
        <v>8</v>
      </c>
      <c r="E2773" s="1480" t="s">
        <v>1651</v>
      </c>
      <c r="F2773" s="1328"/>
      <c r="G2773" s="2011"/>
      <c r="H2773" s="1036"/>
      <c r="I2773" s="1036"/>
      <c r="J2773" s="1557"/>
      <c r="K2773" s="1547"/>
      <c r="L2773" s="866" t="n">
        <v>321</v>
      </c>
      <c r="M2773" s="866" t="n">
        <v>10</v>
      </c>
      <c r="N2773" s="1383" t="n">
        <f aca="false">M2773/H2772</f>
        <v>0.666666666666667</v>
      </c>
      <c r="O2773" s="543" t="n">
        <v>86079</v>
      </c>
      <c r="P2773" s="1978"/>
      <c r="Q2773" s="1978"/>
      <c r="R2773" s="1979"/>
    </row>
    <row r="2774" customFormat="false" ht="14.25" hidden="false" customHeight="false" outlineLevel="0" collapsed="false">
      <c r="A2774" s="1465"/>
      <c r="B2774" s="1546"/>
      <c r="C2774" s="1975"/>
      <c r="D2774" s="860" t="s">
        <v>8</v>
      </c>
      <c r="E2774" s="1480" t="s">
        <v>1651</v>
      </c>
      <c r="F2774" s="1328"/>
      <c r="G2774" s="2011"/>
      <c r="H2774" s="1036"/>
      <c r="I2774" s="1036"/>
      <c r="J2774" s="1557"/>
      <c r="K2774" s="1547"/>
      <c r="L2774" s="866" t="n">
        <v>1926</v>
      </c>
      <c r="M2774" s="866" t="n">
        <v>60</v>
      </c>
      <c r="N2774" s="866" t="n">
        <f aca="false">M2774/H2772</f>
        <v>4</v>
      </c>
      <c r="O2774" s="543" t="n">
        <v>86255</v>
      </c>
      <c r="P2774" s="1978"/>
      <c r="Q2774" s="1978"/>
      <c r="R2774" s="1979"/>
    </row>
    <row r="2775" customFormat="false" ht="14.25" hidden="false" customHeight="false" outlineLevel="0" collapsed="false">
      <c r="A2775" s="1465"/>
      <c r="B2775" s="1546"/>
      <c r="C2775" s="1975"/>
      <c r="D2775" s="860" t="s">
        <v>8</v>
      </c>
      <c r="E2775" s="1480" t="s">
        <v>1651</v>
      </c>
      <c r="F2775" s="1328"/>
      <c r="G2775" s="2011"/>
      <c r="H2775" s="1036"/>
      <c r="I2775" s="1036"/>
      <c r="J2775" s="1557"/>
      <c r="K2775" s="1547"/>
      <c r="L2775" s="866" t="n">
        <v>-1926</v>
      </c>
      <c r="M2775" s="866" t="n">
        <v>-60</v>
      </c>
      <c r="N2775" s="866" t="n">
        <f aca="false">M2775/H2772</f>
        <v>-4</v>
      </c>
      <c r="O2775" s="543" t="s">
        <v>2240</v>
      </c>
      <c r="P2775" s="1978"/>
      <c r="Q2775" s="1978"/>
      <c r="R2775" s="1979"/>
    </row>
    <row r="2776" customFormat="false" ht="14.25" hidden="false" customHeight="false" outlineLevel="0" collapsed="false">
      <c r="A2776" s="1465"/>
      <c r="B2776" s="1546"/>
      <c r="C2776" s="1975"/>
      <c r="D2776" s="860" t="s">
        <v>8</v>
      </c>
      <c r="E2776" s="1480" t="s">
        <v>1651</v>
      </c>
      <c r="F2776" s="1328"/>
      <c r="G2776" s="2011"/>
      <c r="H2776" s="1036"/>
      <c r="I2776" s="1036"/>
      <c r="J2776" s="1557"/>
      <c r="K2776" s="1547"/>
      <c r="L2776" s="866" t="n">
        <v>1926</v>
      </c>
      <c r="M2776" s="866" t="n">
        <v>60</v>
      </c>
      <c r="N2776" s="866" t="n">
        <f aca="false">M2776/H2772</f>
        <v>4</v>
      </c>
      <c r="O2776" s="543" t="s">
        <v>3373</v>
      </c>
      <c r="P2776" s="1978"/>
      <c r="Q2776" s="1978"/>
      <c r="R2776" s="1979"/>
    </row>
    <row r="2777" customFormat="false" ht="14.25" hidden="false" customHeight="false" outlineLevel="0" collapsed="false">
      <c r="A2777" s="1465"/>
      <c r="B2777" s="1546"/>
      <c r="C2777" s="1975"/>
      <c r="D2777" s="860" t="s">
        <v>8</v>
      </c>
      <c r="E2777" s="1480" t="s">
        <v>1651</v>
      </c>
      <c r="F2777" s="1328"/>
      <c r="G2777" s="2011"/>
      <c r="H2777" s="1036"/>
      <c r="I2777" s="1036"/>
      <c r="J2777" s="1557"/>
      <c r="K2777" s="1547"/>
      <c r="L2777" s="866" t="n">
        <v>2407.5</v>
      </c>
      <c r="M2777" s="866" t="n">
        <v>75</v>
      </c>
      <c r="N2777" s="866" t="n">
        <f aca="false">M2777/H2772</f>
        <v>5</v>
      </c>
      <c r="O2777" s="543" t="n">
        <v>86152</v>
      </c>
      <c r="P2777" s="1978"/>
      <c r="Q2777" s="1978"/>
      <c r="R2777" s="1979"/>
    </row>
    <row r="2778" customFormat="false" ht="14.25" hidden="false" customHeight="false" outlineLevel="0" collapsed="false">
      <c r="A2778" s="1465"/>
      <c r="B2778" s="1546"/>
      <c r="C2778" s="1975"/>
      <c r="D2778" s="860" t="s">
        <v>8</v>
      </c>
      <c r="E2778" s="1480" t="s">
        <v>1651</v>
      </c>
      <c r="F2778" s="1328"/>
      <c r="G2778" s="2011"/>
      <c r="H2778" s="1036"/>
      <c r="I2778" s="1036"/>
      <c r="J2778" s="1557"/>
      <c r="K2778" s="1547"/>
      <c r="L2778" s="866" t="n">
        <v>9148.5</v>
      </c>
      <c r="M2778" s="866" t="n">
        <v>285</v>
      </c>
      <c r="N2778" s="866" t="n">
        <f aca="false">M2778/H2772</f>
        <v>19</v>
      </c>
      <c r="O2778" s="543" t="n">
        <v>86103</v>
      </c>
      <c r="P2778" s="1978"/>
      <c r="Q2778" s="1978"/>
      <c r="R2778" s="1979"/>
    </row>
    <row r="2779" customFormat="false" ht="14.25" hidden="false" customHeight="false" outlineLevel="0" collapsed="false">
      <c r="A2779" s="1465"/>
      <c r="B2779" s="1546"/>
      <c r="C2779" s="1975"/>
      <c r="D2779" s="871" t="s">
        <v>8</v>
      </c>
      <c r="E2779" s="1478" t="s">
        <v>1651</v>
      </c>
      <c r="F2779" s="1328"/>
      <c r="G2779" s="2011"/>
      <c r="H2779" s="1036"/>
      <c r="I2779" s="1036"/>
      <c r="J2779" s="1557"/>
      <c r="K2779" s="1547"/>
      <c r="L2779" s="2069" t="n">
        <v>160.5</v>
      </c>
      <c r="M2779" s="877" t="n">
        <v>5</v>
      </c>
      <c r="N2779" s="1543" t="n">
        <f aca="false">M2779/H2772</f>
        <v>0.333333333333333</v>
      </c>
      <c r="O2779" s="553" t="n">
        <v>86078</v>
      </c>
      <c r="P2779" s="1978"/>
      <c r="Q2779" s="1978"/>
      <c r="R2779" s="1979"/>
    </row>
    <row r="2780" customFormat="false" ht="14.25" hidden="false" customHeight="false" outlineLevel="0" collapsed="false">
      <c r="A2780" s="829" t="n">
        <v>600</v>
      </c>
      <c r="B2780" s="830" t="n">
        <v>2023</v>
      </c>
      <c r="C2780" s="1965" t="n">
        <v>45627</v>
      </c>
      <c r="D2780" s="831" t="s">
        <v>8</v>
      </c>
      <c r="E2780" s="1365" t="s">
        <v>1652</v>
      </c>
      <c r="F2780" s="832" t="s">
        <v>3375</v>
      </c>
      <c r="G2780" s="2010" t="n">
        <v>222</v>
      </c>
      <c r="H2780" s="837" t="n">
        <v>15</v>
      </c>
      <c r="I2780" s="837" t="n">
        <f aca="false">G2780*H2780</f>
        <v>3330</v>
      </c>
      <c r="J2780" s="1059" t="n">
        <v>47.5</v>
      </c>
      <c r="K2780" s="943" t="n">
        <f aca="false">I2780*J2780</f>
        <v>158175</v>
      </c>
      <c r="L2780" s="840" t="n">
        <v>91200</v>
      </c>
      <c r="M2780" s="840" t="n">
        <v>1920</v>
      </c>
      <c r="N2780" s="840" t="n">
        <f aca="false">M2780/H2780</f>
        <v>128</v>
      </c>
      <c r="O2780" s="1114" t="n">
        <v>86943</v>
      </c>
      <c r="P2780" s="1934" t="n">
        <f aca="false">K2780-L2780-L2781</f>
        <v>0</v>
      </c>
      <c r="Q2780" s="1934" t="n">
        <f aca="false">I2780-M2780-M2781</f>
        <v>0</v>
      </c>
      <c r="R2780" s="1935" t="n">
        <f aca="false">G2780-N2780-N2781</f>
        <v>0</v>
      </c>
    </row>
    <row r="2781" customFormat="false" ht="14.25" hidden="false" customHeight="false" outlineLevel="0" collapsed="false">
      <c r="A2781" s="829"/>
      <c r="B2781" s="830"/>
      <c r="C2781" s="1965"/>
      <c r="D2781" s="843" t="s">
        <v>8</v>
      </c>
      <c r="E2781" s="1357" t="s">
        <v>1652</v>
      </c>
      <c r="F2781" s="832"/>
      <c r="G2781" s="2010"/>
      <c r="H2781" s="837"/>
      <c r="I2781" s="837"/>
      <c r="J2781" s="1059"/>
      <c r="K2781" s="943"/>
      <c r="L2781" s="846" t="n">
        <v>66975</v>
      </c>
      <c r="M2781" s="846" t="n">
        <v>1410</v>
      </c>
      <c r="N2781" s="846" t="n">
        <f aca="false">M2781/H2780</f>
        <v>94</v>
      </c>
      <c r="O2781" s="589" t="s">
        <v>1634</v>
      </c>
      <c r="P2781" s="1934"/>
      <c r="Q2781" s="1934"/>
      <c r="R2781" s="1935"/>
    </row>
    <row r="2782" customFormat="false" ht="14.25" hidden="false" customHeight="false" outlineLevel="0" collapsed="false">
      <c r="A2782" s="1087" t="n">
        <v>602</v>
      </c>
      <c r="B2782" s="1072" t="n">
        <v>2023</v>
      </c>
      <c r="C2782" s="1980" t="n">
        <v>45627</v>
      </c>
      <c r="D2782" s="848" t="s">
        <v>8</v>
      </c>
      <c r="E2782" s="1479" t="s">
        <v>1651</v>
      </c>
      <c r="F2782" s="887" t="s">
        <v>3364</v>
      </c>
      <c r="G2782" s="2017" t="n">
        <v>603</v>
      </c>
      <c r="H2782" s="1067" t="n">
        <v>15</v>
      </c>
      <c r="I2782" s="1067" t="n">
        <f aca="false">G2782*H2782</f>
        <v>9045</v>
      </c>
      <c r="J2782" s="1063" t="n">
        <v>31.9</v>
      </c>
      <c r="K2782" s="1452" t="n">
        <f aca="false">I2782*J2782</f>
        <v>288535.5</v>
      </c>
      <c r="L2782" s="854" t="n">
        <v>25839</v>
      </c>
      <c r="M2782" s="854" t="n">
        <v>810</v>
      </c>
      <c r="N2782" s="854" t="n">
        <f aca="false">M2782/H2782</f>
        <v>54</v>
      </c>
      <c r="O2782" s="537" t="n">
        <v>86151</v>
      </c>
      <c r="P2782" s="1953" t="n">
        <f aca="false">K2782-L2782-L2790-L2783-L2789-L2788-L2784-L2785-L2786-L2787</f>
        <v>0</v>
      </c>
      <c r="Q2782" s="1953" t="n">
        <f aca="false">I2782-M2782-M2790-M2783-M2789-M2788-M2784-M2785-M2786-M2787</f>
        <v>0</v>
      </c>
      <c r="R2782" s="1954" t="n">
        <f aca="false">G2782-N2782-N2790-N2783-N2789-N2788-N2784-N2785-N2786-N2787</f>
        <v>0</v>
      </c>
    </row>
    <row r="2783" customFormat="false" ht="14.25" hidden="false" customHeight="false" outlineLevel="0" collapsed="false">
      <c r="A2783" s="1087"/>
      <c r="B2783" s="1072"/>
      <c r="C2783" s="1980"/>
      <c r="D2783" s="860" t="s">
        <v>8</v>
      </c>
      <c r="E2783" s="1480" t="s">
        <v>1651</v>
      </c>
      <c r="F2783" s="887"/>
      <c r="G2783" s="2017"/>
      <c r="H2783" s="1067"/>
      <c r="I2783" s="1067"/>
      <c r="J2783" s="1063"/>
      <c r="K2783" s="1452"/>
      <c r="L2783" s="866" t="n">
        <v>14355</v>
      </c>
      <c r="M2783" s="866" t="n">
        <v>450</v>
      </c>
      <c r="N2783" s="866" t="n">
        <f aca="false">M2783/H2782</f>
        <v>30</v>
      </c>
      <c r="O2783" s="543" t="n">
        <v>86179</v>
      </c>
      <c r="P2783" s="1953"/>
      <c r="Q2783" s="1953"/>
      <c r="R2783" s="1954"/>
    </row>
    <row r="2784" customFormat="false" ht="14.25" hidden="false" customHeight="false" outlineLevel="0" collapsed="false">
      <c r="A2784" s="1087"/>
      <c r="B2784" s="1072"/>
      <c r="C2784" s="1980"/>
      <c r="D2784" s="860" t="s">
        <v>8</v>
      </c>
      <c r="E2784" s="1480" t="s">
        <v>1651</v>
      </c>
      <c r="F2784" s="887"/>
      <c r="G2784" s="2017"/>
      <c r="H2784" s="1067"/>
      <c r="I2784" s="1067"/>
      <c r="J2784" s="1063"/>
      <c r="K2784" s="1452"/>
      <c r="L2784" s="866" t="n">
        <v>175609.5</v>
      </c>
      <c r="M2784" s="866" t="n">
        <v>5505</v>
      </c>
      <c r="N2784" s="866" t="n">
        <f aca="false">M2784/H2782</f>
        <v>367</v>
      </c>
      <c r="O2784" s="543" t="n">
        <v>86215</v>
      </c>
      <c r="P2784" s="1953"/>
      <c r="Q2784" s="1953"/>
      <c r="R2784" s="1954"/>
    </row>
    <row r="2785" customFormat="false" ht="14.25" hidden="false" customHeight="false" outlineLevel="0" collapsed="false">
      <c r="A2785" s="1087"/>
      <c r="B2785" s="1072"/>
      <c r="C2785" s="1980"/>
      <c r="D2785" s="860" t="s">
        <v>8</v>
      </c>
      <c r="E2785" s="1480" t="s">
        <v>1651</v>
      </c>
      <c r="F2785" s="887"/>
      <c r="G2785" s="2017"/>
      <c r="H2785" s="1067"/>
      <c r="I2785" s="1067"/>
      <c r="J2785" s="1063"/>
      <c r="K2785" s="1452"/>
      <c r="L2785" s="866" t="n">
        <v>3349.5</v>
      </c>
      <c r="M2785" s="866" t="n">
        <v>105</v>
      </c>
      <c r="N2785" s="866" t="n">
        <f aca="false">M2785/H2782</f>
        <v>7</v>
      </c>
      <c r="O2785" s="543" t="n">
        <v>86255</v>
      </c>
      <c r="P2785" s="1953"/>
      <c r="Q2785" s="1953"/>
      <c r="R2785" s="1954"/>
    </row>
    <row r="2786" customFormat="false" ht="14.25" hidden="false" customHeight="false" outlineLevel="0" collapsed="false">
      <c r="A2786" s="1087"/>
      <c r="B2786" s="1072"/>
      <c r="C2786" s="1980"/>
      <c r="D2786" s="860" t="s">
        <v>8</v>
      </c>
      <c r="E2786" s="1480" t="s">
        <v>1651</v>
      </c>
      <c r="F2786" s="887"/>
      <c r="G2786" s="2017"/>
      <c r="H2786" s="1067"/>
      <c r="I2786" s="1067"/>
      <c r="J2786" s="1063"/>
      <c r="K2786" s="1452"/>
      <c r="L2786" s="866" t="n">
        <v>-3349.5</v>
      </c>
      <c r="M2786" s="866" t="n">
        <v>-105</v>
      </c>
      <c r="N2786" s="866" t="n">
        <f aca="false">M2786/H2782</f>
        <v>-7</v>
      </c>
      <c r="O2786" s="543" t="s">
        <v>2240</v>
      </c>
      <c r="P2786" s="1953"/>
      <c r="Q2786" s="1953"/>
      <c r="R2786" s="1954"/>
    </row>
    <row r="2787" customFormat="false" ht="14.25" hidden="false" customHeight="false" outlineLevel="0" collapsed="false">
      <c r="A2787" s="1087"/>
      <c r="B2787" s="1072"/>
      <c r="C2787" s="1980"/>
      <c r="D2787" s="860" t="s">
        <v>8</v>
      </c>
      <c r="E2787" s="1480" t="s">
        <v>1651</v>
      </c>
      <c r="F2787" s="887"/>
      <c r="G2787" s="2017"/>
      <c r="H2787" s="1067"/>
      <c r="I2787" s="1067"/>
      <c r="J2787" s="1063"/>
      <c r="K2787" s="1452"/>
      <c r="L2787" s="866" t="n">
        <v>3349.5</v>
      </c>
      <c r="M2787" s="866" t="n">
        <v>105</v>
      </c>
      <c r="N2787" s="866" t="n">
        <f aca="false">M2787/H2782</f>
        <v>7</v>
      </c>
      <c r="O2787" s="543" t="s">
        <v>3373</v>
      </c>
      <c r="P2787" s="1953"/>
      <c r="Q2787" s="1953"/>
      <c r="R2787" s="1954"/>
    </row>
    <row r="2788" customFormat="false" ht="14.25" hidden="false" customHeight="false" outlineLevel="0" collapsed="false">
      <c r="A2788" s="1087"/>
      <c r="B2788" s="1072"/>
      <c r="C2788" s="1980"/>
      <c r="D2788" s="860" t="s">
        <v>8</v>
      </c>
      <c r="E2788" s="1480" t="s">
        <v>1651</v>
      </c>
      <c r="F2788" s="887"/>
      <c r="G2788" s="2017"/>
      <c r="H2788" s="1067"/>
      <c r="I2788" s="1067"/>
      <c r="J2788" s="1063"/>
      <c r="K2788" s="1452"/>
      <c r="L2788" s="866" t="n">
        <v>34452</v>
      </c>
      <c r="M2788" s="866" t="n">
        <v>1080</v>
      </c>
      <c r="N2788" s="866" t="n">
        <f aca="false">M2788/H2782</f>
        <v>72</v>
      </c>
      <c r="O2788" s="543" t="n">
        <v>86214</v>
      </c>
      <c r="P2788" s="1953"/>
      <c r="Q2788" s="1953"/>
      <c r="R2788" s="1954"/>
    </row>
    <row r="2789" customFormat="false" ht="14.25" hidden="false" customHeight="false" outlineLevel="0" collapsed="false">
      <c r="A2789" s="1087"/>
      <c r="B2789" s="1072"/>
      <c r="C2789" s="1980"/>
      <c r="D2789" s="860" t="s">
        <v>8</v>
      </c>
      <c r="E2789" s="1480" t="s">
        <v>1651</v>
      </c>
      <c r="F2789" s="887"/>
      <c r="G2789" s="2017"/>
      <c r="H2789" s="1067"/>
      <c r="I2789" s="1067"/>
      <c r="J2789" s="1063"/>
      <c r="K2789" s="1452"/>
      <c r="L2789" s="866" t="n">
        <v>23925</v>
      </c>
      <c r="M2789" s="866" t="n">
        <v>750</v>
      </c>
      <c r="N2789" s="866" t="n">
        <f aca="false">M2789/H2782</f>
        <v>50</v>
      </c>
      <c r="O2789" s="543" t="n">
        <v>86190</v>
      </c>
      <c r="P2789" s="1953"/>
      <c r="Q2789" s="1953"/>
      <c r="R2789" s="1954"/>
    </row>
    <row r="2790" customFormat="false" ht="14.25" hidden="false" customHeight="false" outlineLevel="0" collapsed="false">
      <c r="A2790" s="1087"/>
      <c r="B2790" s="1072"/>
      <c r="C2790" s="1980"/>
      <c r="D2790" s="843" t="s">
        <v>8</v>
      </c>
      <c r="E2790" s="1357" t="s">
        <v>1651</v>
      </c>
      <c r="F2790" s="887"/>
      <c r="G2790" s="2017"/>
      <c r="H2790" s="1067"/>
      <c r="I2790" s="1067"/>
      <c r="J2790" s="1063"/>
      <c r="K2790" s="1452"/>
      <c r="L2790" s="846" t="n">
        <v>11005.5</v>
      </c>
      <c r="M2790" s="846" t="n">
        <v>345</v>
      </c>
      <c r="N2790" s="846" t="n">
        <f aca="false">M2790/H2782</f>
        <v>23</v>
      </c>
      <c r="O2790" s="589" t="n">
        <v>86157</v>
      </c>
      <c r="P2790" s="1953"/>
      <c r="Q2790" s="1953"/>
      <c r="R2790" s="1954"/>
    </row>
    <row r="2791" customFormat="false" ht="14.25" hidden="false" customHeight="false" outlineLevel="0" collapsed="false">
      <c r="A2791" s="1087" t="n">
        <v>86</v>
      </c>
      <c r="B2791" s="1072" t="n">
        <v>2024</v>
      </c>
      <c r="C2791" s="1980" t="n">
        <v>45689</v>
      </c>
      <c r="D2791" s="848" t="s">
        <v>8</v>
      </c>
      <c r="E2791" s="1479" t="s">
        <v>1651</v>
      </c>
      <c r="F2791" s="887" t="s">
        <v>3375</v>
      </c>
      <c r="G2791" s="2017" t="n">
        <v>400</v>
      </c>
      <c r="H2791" s="1067" t="n">
        <v>15</v>
      </c>
      <c r="I2791" s="1067" t="n">
        <f aca="false">G2791*H2791</f>
        <v>6000</v>
      </c>
      <c r="J2791" s="1063" t="n">
        <v>31.3104</v>
      </c>
      <c r="K2791" s="1452" t="n">
        <f aca="false">I2791*J2791</f>
        <v>187862.4</v>
      </c>
      <c r="L2791" s="854" t="n">
        <v>11271.744</v>
      </c>
      <c r="M2791" s="854" t="n">
        <v>360</v>
      </c>
      <c r="N2791" s="891" t="n">
        <f aca="false">M2791/H2791</f>
        <v>24</v>
      </c>
      <c r="O2791" s="537" t="n">
        <v>86565</v>
      </c>
      <c r="P2791" s="1953" t="n">
        <f aca="false">K2791-L2791-L2800-L2792-L2799-L2793-L2794-L2798-L2797-L2795-L2796</f>
        <v>-2.91038304567337E-011</v>
      </c>
      <c r="Q2791" s="1953" t="n">
        <f aca="false">I2791-M2791-M2800-M2792-M2799-M2793-M2794-M2798-M2797-M2795-M2796</f>
        <v>0</v>
      </c>
      <c r="R2791" s="1954" t="n">
        <f aca="false">G2791-N2791-N2800-N2792-N2799-N2793-N2794-N2798-N2797-N2795-N2796</f>
        <v>0</v>
      </c>
    </row>
    <row r="2792" customFormat="false" ht="14.25" hidden="false" customHeight="false" outlineLevel="0" collapsed="false">
      <c r="A2792" s="1087"/>
      <c r="B2792" s="1072"/>
      <c r="C2792" s="1980"/>
      <c r="D2792" s="860" t="s">
        <v>8</v>
      </c>
      <c r="E2792" s="1480" t="s">
        <v>1651</v>
      </c>
      <c r="F2792" s="887"/>
      <c r="G2792" s="2017"/>
      <c r="H2792" s="1067"/>
      <c r="I2792" s="1067"/>
      <c r="J2792" s="1063"/>
      <c r="K2792" s="1452"/>
      <c r="L2792" s="866" t="n">
        <v>46965.6</v>
      </c>
      <c r="M2792" s="866" t="n">
        <v>1500</v>
      </c>
      <c r="N2792" s="866" t="n">
        <f aca="false">M2792/H2791</f>
        <v>100</v>
      </c>
      <c r="O2792" s="543" t="n">
        <v>86590</v>
      </c>
      <c r="P2792" s="1953"/>
      <c r="Q2792" s="1953"/>
      <c r="R2792" s="1954"/>
    </row>
    <row r="2793" customFormat="false" ht="14.25" hidden="false" customHeight="false" outlineLevel="0" collapsed="false">
      <c r="A2793" s="1087"/>
      <c r="B2793" s="1072"/>
      <c r="C2793" s="1980"/>
      <c r="D2793" s="860" t="s">
        <v>8</v>
      </c>
      <c r="E2793" s="1480" t="s">
        <v>1651</v>
      </c>
      <c r="F2793" s="887"/>
      <c r="G2793" s="2017"/>
      <c r="H2793" s="1067"/>
      <c r="I2793" s="1067"/>
      <c r="J2793" s="1063"/>
      <c r="K2793" s="1452"/>
      <c r="L2793" s="866" t="n">
        <v>6105.528</v>
      </c>
      <c r="M2793" s="866" t="n">
        <v>195</v>
      </c>
      <c r="N2793" s="866" t="n">
        <f aca="false">M2793/H2791</f>
        <v>13</v>
      </c>
      <c r="O2793" s="543" t="n">
        <v>86645</v>
      </c>
      <c r="P2793" s="1953"/>
      <c r="Q2793" s="1953"/>
      <c r="R2793" s="1954"/>
    </row>
    <row r="2794" customFormat="false" ht="14.25" hidden="false" customHeight="false" outlineLevel="0" collapsed="false">
      <c r="A2794" s="1087"/>
      <c r="B2794" s="1072"/>
      <c r="C2794" s="1980"/>
      <c r="D2794" s="860" t="s">
        <v>8</v>
      </c>
      <c r="E2794" s="1480" t="s">
        <v>1651</v>
      </c>
      <c r="F2794" s="887"/>
      <c r="G2794" s="2017"/>
      <c r="H2794" s="1067"/>
      <c r="I2794" s="1067"/>
      <c r="J2794" s="1063"/>
      <c r="K2794" s="1452"/>
      <c r="L2794" s="866" t="n">
        <v>1878.624</v>
      </c>
      <c r="M2794" s="866" t="n">
        <v>60</v>
      </c>
      <c r="N2794" s="866" t="n">
        <f aca="false">M2794/H2791</f>
        <v>4</v>
      </c>
      <c r="O2794" s="543" t="n">
        <v>86646</v>
      </c>
      <c r="P2794" s="1953"/>
      <c r="Q2794" s="1953"/>
      <c r="R2794" s="1954"/>
    </row>
    <row r="2795" customFormat="false" ht="14.25" hidden="false" customHeight="false" outlineLevel="0" collapsed="false">
      <c r="A2795" s="1087"/>
      <c r="B2795" s="1072"/>
      <c r="C2795" s="1980"/>
      <c r="D2795" s="860" t="s">
        <v>8</v>
      </c>
      <c r="E2795" s="1480" t="s">
        <v>1651</v>
      </c>
      <c r="F2795" s="887"/>
      <c r="G2795" s="2017"/>
      <c r="H2795" s="1067"/>
      <c r="I2795" s="1067"/>
      <c r="J2795" s="1063"/>
      <c r="K2795" s="1452"/>
      <c r="L2795" s="866" t="n">
        <v>6575.184</v>
      </c>
      <c r="M2795" s="866" t="n">
        <v>210</v>
      </c>
      <c r="N2795" s="866" t="n">
        <f aca="false">M2795/H2791</f>
        <v>14</v>
      </c>
      <c r="O2795" s="543" t="n">
        <v>86826</v>
      </c>
      <c r="P2795" s="1953"/>
      <c r="Q2795" s="1953"/>
      <c r="R2795" s="1954"/>
    </row>
    <row r="2796" customFormat="false" ht="14.25" hidden="false" customHeight="false" outlineLevel="0" collapsed="false">
      <c r="A2796" s="1087"/>
      <c r="B2796" s="1072"/>
      <c r="C2796" s="1980"/>
      <c r="D2796" s="860" t="s">
        <v>8</v>
      </c>
      <c r="E2796" s="1480" t="s">
        <v>1651</v>
      </c>
      <c r="F2796" s="887"/>
      <c r="G2796" s="2017"/>
      <c r="H2796" s="1067"/>
      <c r="I2796" s="1067"/>
      <c r="J2796" s="1063"/>
      <c r="K2796" s="1452"/>
      <c r="L2796" s="866" t="n">
        <v>8923.464</v>
      </c>
      <c r="M2796" s="866" t="n">
        <v>285</v>
      </c>
      <c r="N2796" s="866" t="n">
        <f aca="false">M2796/H2791</f>
        <v>19</v>
      </c>
      <c r="O2796" s="543" t="s">
        <v>3596</v>
      </c>
      <c r="P2796" s="1953"/>
      <c r="Q2796" s="1953"/>
      <c r="R2796" s="1954"/>
    </row>
    <row r="2797" customFormat="false" ht="14.25" hidden="false" customHeight="false" outlineLevel="0" collapsed="false">
      <c r="A2797" s="1087"/>
      <c r="B2797" s="1072"/>
      <c r="C2797" s="1980"/>
      <c r="D2797" s="860" t="s">
        <v>8</v>
      </c>
      <c r="E2797" s="1480" t="s">
        <v>1651</v>
      </c>
      <c r="F2797" s="887"/>
      <c r="G2797" s="2017"/>
      <c r="H2797" s="1067"/>
      <c r="I2797" s="1067"/>
      <c r="J2797" s="1063"/>
      <c r="K2797" s="1452"/>
      <c r="L2797" s="866" t="n">
        <v>4696.56</v>
      </c>
      <c r="M2797" s="866" t="n">
        <v>150</v>
      </c>
      <c r="N2797" s="866" t="n">
        <f aca="false">M2797/H2791</f>
        <v>10</v>
      </c>
      <c r="O2797" s="543" t="n">
        <v>86805</v>
      </c>
      <c r="P2797" s="1953"/>
      <c r="Q2797" s="1953"/>
      <c r="R2797" s="1954"/>
    </row>
    <row r="2798" customFormat="false" ht="14.25" hidden="false" customHeight="false" outlineLevel="0" collapsed="false">
      <c r="A2798" s="1087"/>
      <c r="B2798" s="1072"/>
      <c r="C2798" s="1980"/>
      <c r="D2798" s="860" t="s">
        <v>8</v>
      </c>
      <c r="E2798" s="1480" t="s">
        <v>1651</v>
      </c>
      <c r="F2798" s="887"/>
      <c r="G2798" s="2017"/>
      <c r="H2798" s="1067"/>
      <c r="I2798" s="1067"/>
      <c r="J2798" s="1063"/>
      <c r="K2798" s="1452"/>
      <c r="L2798" s="866" t="n">
        <v>24891.768</v>
      </c>
      <c r="M2798" s="866" t="n">
        <v>795</v>
      </c>
      <c r="N2798" s="866" t="n">
        <f aca="false">M2798/H2791</f>
        <v>53</v>
      </c>
      <c r="O2798" s="543" t="n">
        <v>86787</v>
      </c>
      <c r="P2798" s="1953"/>
      <c r="Q2798" s="1953"/>
      <c r="R2798" s="1954"/>
    </row>
    <row r="2799" customFormat="false" ht="14.25" hidden="false" customHeight="false" outlineLevel="0" collapsed="false">
      <c r="A2799" s="1087"/>
      <c r="B2799" s="1072"/>
      <c r="C2799" s="1980"/>
      <c r="D2799" s="860" t="s">
        <v>8</v>
      </c>
      <c r="E2799" s="1480" t="s">
        <v>1651</v>
      </c>
      <c r="F2799" s="887"/>
      <c r="G2799" s="2017"/>
      <c r="H2799" s="1067"/>
      <c r="I2799" s="1067"/>
      <c r="J2799" s="1063"/>
      <c r="K2799" s="1452"/>
      <c r="L2799" s="866" t="n">
        <v>37572.48</v>
      </c>
      <c r="M2799" s="866" t="n">
        <v>1200</v>
      </c>
      <c r="N2799" s="866" t="n">
        <f aca="false">M2799/H2791</f>
        <v>80</v>
      </c>
      <c r="O2799" s="543" t="n">
        <v>86629</v>
      </c>
      <c r="P2799" s="1953"/>
      <c r="Q2799" s="1953"/>
      <c r="R2799" s="1954"/>
    </row>
    <row r="2800" customFormat="false" ht="14.25" hidden="false" customHeight="false" outlineLevel="0" collapsed="false">
      <c r="A2800" s="1087"/>
      <c r="B2800" s="1072"/>
      <c r="C2800" s="1980"/>
      <c r="D2800" s="843" t="s">
        <v>8</v>
      </c>
      <c r="E2800" s="1357" t="s">
        <v>1651</v>
      </c>
      <c r="F2800" s="887"/>
      <c r="G2800" s="2017"/>
      <c r="H2800" s="1067"/>
      <c r="I2800" s="1067"/>
      <c r="J2800" s="1063"/>
      <c r="K2800" s="1452"/>
      <c r="L2800" s="846" t="n">
        <v>38981.448</v>
      </c>
      <c r="M2800" s="846" t="n">
        <v>1245</v>
      </c>
      <c r="N2800" s="846" t="n">
        <f aca="false">M2800/H2791</f>
        <v>83</v>
      </c>
      <c r="O2800" s="589" t="n">
        <v>86580</v>
      </c>
      <c r="P2800" s="1953"/>
      <c r="Q2800" s="1953"/>
      <c r="R2800" s="1954"/>
    </row>
    <row r="2801" customFormat="false" ht="14.25" hidden="false" customHeight="false" outlineLevel="0" collapsed="false">
      <c r="A2801" s="1344" t="n">
        <v>87</v>
      </c>
      <c r="B2801" s="903" t="n">
        <v>2024</v>
      </c>
      <c r="C2801" s="1974" t="n">
        <v>45689</v>
      </c>
      <c r="D2801" s="848" t="s">
        <v>8</v>
      </c>
      <c r="E2801" s="1479" t="s">
        <v>1651</v>
      </c>
      <c r="F2801" s="904" t="s">
        <v>3364</v>
      </c>
      <c r="G2801" s="2012" t="n">
        <v>666</v>
      </c>
      <c r="H2801" s="942" t="n">
        <v>15</v>
      </c>
      <c r="I2801" s="942" t="n">
        <f aca="false">G2801*H2801</f>
        <v>9990</v>
      </c>
      <c r="J2801" s="1406" t="n">
        <v>31.3104</v>
      </c>
      <c r="K2801" s="948" t="n">
        <f aca="false">I2801*J2801</f>
        <v>312790.896</v>
      </c>
      <c r="L2801" s="891" t="n">
        <v>72327.024</v>
      </c>
      <c r="M2801" s="891" t="n">
        <v>2310</v>
      </c>
      <c r="N2801" s="891" t="n">
        <f aca="false">M2801/H2801</f>
        <v>154</v>
      </c>
      <c r="O2801" s="942" t="n">
        <v>86544</v>
      </c>
      <c r="P2801" s="2000" t="n">
        <f aca="false">K2801-L2801-L2813-L2812-L2802-L2803-L2804-L2806-L2805-L2811-L2808-L2810-L2807-L2809</f>
        <v>0</v>
      </c>
      <c r="Q2801" s="2000" t="n">
        <f aca="false">I2801-M2801-M2813-M2812-M2802-M2803-M2804-M2806-M2805-M2811-M2808-M2810-M2807-M2809</f>
        <v>0</v>
      </c>
      <c r="R2801" s="2005" t="n">
        <f aca="false">G2801-N2801-N2813-N2812-N2802-N2803-N2804-N2806-N2805-N2811-N2808-N2810-N2807-N2809</f>
        <v>0</v>
      </c>
    </row>
    <row r="2802" customFormat="false" ht="14.25" hidden="false" customHeight="false" outlineLevel="0" collapsed="false">
      <c r="A2802" s="1344"/>
      <c r="B2802" s="903"/>
      <c r="C2802" s="1974"/>
      <c r="D2802" s="860" t="s">
        <v>8</v>
      </c>
      <c r="E2802" s="1480" t="s">
        <v>1651</v>
      </c>
      <c r="F2802" s="904"/>
      <c r="G2802" s="2012"/>
      <c r="H2802" s="942"/>
      <c r="I2802" s="942"/>
      <c r="J2802" s="1406"/>
      <c r="K2802" s="948"/>
      <c r="L2802" s="866" t="n">
        <v>22073.832</v>
      </c>
      <c r="M2802" s="866" t="n">
        <v>705</v>
      </c>
      <c r="N2802" s="866" t="n">
        <f aca="false">M2802/H2801</f>
        <v>47</v>
      </c>
      <c r="O2802" s="543" t="n">
        <v>86611</v>
      </c>
      <c r="P2802" s="2000"/>
      <c r="Q2802" s="2000"/>
      <c r="R2802" s="2005"/>
    </row>
    <row r="2803" customFormat="false" ht="14.25" hidden="false" customHeight="false" outlineLevel="0" collapsed="false">
      <c r="A2803" s="1344"/>
      <c r="B2803" s="903"/>
      <c r="C2803" s="1974"/>
      <c r="D2803" s="860" t="s">
        <v>8</v>
      </c>
      <c r="E2803" s="1480" t="s">
        <v>1651</v>
      </c>
      <c r="F2803" s="904"/>
      <c r="G2803" s="2012"/>
      <c r="H2803" s="942"/>
      <c r="I2803" s="942"/>
      <c r="J2803" s="1406"/>
      <c r="K2803" s="948"/>
      <c r="L2803" s="866" t="n">
        <v>7044.84</v>
      </c>
      <c r="M2803" s="866" t="n">
        <v>225</v>
      </c>
      <c r="N2803" s="866" t="n">
        <f aca="false">M2803/H2801</f>
        <v>15</v>
      </c>
      <c r="O2803" s="543" t="n">
        <v>86671</v>
      </c>
      <c r="P2803" s="2000"/>
      <c r="Q2803" s="2000"/>
      <c r="R2803" s="2005"/>
    </row>
    <row r="2804" customFormat="false" ht="14.25" hidden="false" customHeight="false" outlineLevel="0" collapsed="false">
      <c r="A2804" s="1344"/>
      <c r="B2804" s="903"/>
      <c r="C2804" s="1974"/>
      <c r="D2804" s="860" t="s">
        <v>8</v>
      </c>
      <c r="E2804" s="1480" t="s">
        <v>1651</v>
      </c>
      <c r="F2804" s="904"/>
      <c r="G2804" s="2012"/>
      <c r="H2804" s="942"/>
      <c r="I2804" s="942"/>
      <c r="J2804" s="1406"/>
      <c r="K2804" s="948"/>
      <c r="L2804" s="866" t="n">
        <v>29118.672</v>
      </c>
      <c r="M2804" s="866" t="n">
        <v>930</v>
      </c>
      <c r="N2804" s="866" t="n">
        <f aca="false">M2804/H2801</f>
        <v>62</v>
      </c>
      <c r="O2804" s="543" t="n">
        <v>86834</v>
      </c>
      <c r="P2804" s="2000"/>
      <c r="Q2804" s="2000"/>
      <c r="R2804" s="2005"/>
    </row>
    <row r="2805" customFormat="false" ht="14.25" hidden="false" customHeight="false" outlineLevel="0" collapsed="false">
      <c r="A2805" s="1344"/>
      <c r="B2805" s="903"/>
      <c r="C2805" s="1974"/>
      <c r="D2805" s="860" t="s">
        <v>8</v>
      </c>
      <c r="E2805" s="1480" t="s">
        <v>1651</v>
      </c>
      <c r="F2805" s="904"/>
      <c r="G2805" s="2012"/>
      <c r="H2805" s="942"/>
      <c r="I2805" s="942"/>
      <c r="J2805" s="1406"/>
      <c r="K2805" s="948"/>
      <c r="L2805" s="866" t="n">
        <v>6105.528</v>
      </c>
      <c r="M2805" s="866" t="n">
        <v>195</v>
      </c>
      <c r="N2805" s="866" t="n">
        <f aca="false">M2805/H2801</f>
        <v>13</v>
      </c>
      <c r="O2805" s="543" t="s">
        <v>372</v>
      </c>
      <c r="P2805" s="2000"/>
      <c r="Q2805" s="2000"/>
      <c r="R2805" s="2005"/>
    </row>
    <row r="2806" customFormat="false" ht="14.25" hidden="false" customHeight="false" outlineLevel="0" collapsed="false">
      <c r="A2806" s="1344"/>
      <c r="B2806" s="903"/>
      <c r="C2806" s="1974"/>
      <c r="D2806" s="860" t="s">
        <v>8</v>
      </c>
      <c r="E2806" s="1480" t="s">
        <v>1651</v>
      </c>
      <c r="F2806" s="904"/>
      <c r="G2806" s="2012"/>
      <c r="H2806" s="942"/>
      <c r="I2806" s="942"/>
      <c r="J2806" s="1406"/>
      <c r="K2806" s="948"/>
      <c r="L2806" s="866" t="n">
        <v>18786.24</v>
      </c>
      <c r="M2806" s="866" t="n">
        <v>600</v>
      </c>
      <c r="N2806" s="866" t="n">
        <f aca="false">M2806/H2801</f>
        <v>40</v>
      </c>
      <c r="O2806" s="543" t="n">
        <v>86954</v>
      </c>
      <c r="P2806" s="2000"/>
      <c r="Q2806" s="2000"/>
      <c r="R2806" s="2005"/>
    </row>
    <row r="2807" customFormat="false" ht="14.25" hidden="false" customHeight="false" outlineLevel="0" collapsed="false">
      <c r="A2807" s="1344"/>
      <c r="B2807" s="903"/>
      <c r="C2807" s="1974"/>
      <c r="D2807" s="860" t="s">
        <v>8</v>
      </c>
      <c r="E2807" s="1480" t="s">
        <v>1651</v>
      </c>
      <c r="F2807" s="904"/>
      <c r="G2807" s="2012"/>
      <c r="H2807" s="942"/>
      <c r="I2807" s="942"/>
      <c r="J2807" s="1406"/>
      <c r="K2807" s="948"/>
      <c r="L2807" s="866" t="n">
        <v>11271.744</v>
      </c>
      <c r="M2807" s="866" t="n">
        <v>360</v>
      </c>
      <c r="N2807" s="866" t="n">
        <f aca="false">M2807/H2801</f>
        <v>24</v>
      </c>
      <c r="O2807" s="543" t="s">
        <v>382</v>
      </c>
      <c r="P2807" s="2000"/>
      <c r="Q2807" s="2000"/>
      <c r="R2807" s="2005"/>
    </row>
    <row r="2808" customFormat="false" ht="14.25" hidden="false" customHeight="false" outlineLevel="0" collapsed="false">
      <c r="A2808" s="1344"/>
      <c r="B2808" s="903"/>
      <c r="C2808" s="1974"/>
      <c r="D2808" s="860" t="s">
        <v>8</v>
      </c>
      <c r="E2808" s="1480" t="s">
        <v>1651</v>
      </c>
      <c r="F2808" s="904"/>
      <c r="G2808" s="2012"/>
      <c r="H2808" s="942"/>
      <c r="I2808" s="942"/>
      <c r="J2808" s="1406"/>
      <c r="K2808" s="948"/>
      <c r="L2808" s="866" t="n">
        <v>18786.24</v>
      </c>
      <c r="M2808" s="866" t="n">
        <v>600</v>
      </c>
      <c r="N2808" s="866" t="n">
        <f aca="false">M2808/H2801</f>
        <v>40</v>
      </c>
      <c r="O2808" s="543" t="s">
        <v>378</v>
      </c>
      <c r="P2808" s="2000"/>
      <c r="Q2808" s="2000"/>
      <c r="R2808" s="2005"/>
    </row>
    <row r="2809" customFormat="false" ht="14.25" hidden="false" customHeight="false" outlineLevel="0" collapsed="false">
      <c r="A2809" s="1344"/>
      <c r="B2809" s="903"/>
      <c r="C2809" s="1974"/>
      <c r="D2809" s="860" t="s">
        <v>8</v>
      </c>
      <c r="E2809" s="1480" t="s">
        <v>1651</v>
      </c>
      <c r="F2809" s="904"/>
      <c r="G2809" s="2012"/>
      <c r="H2809" s="942"/>
      <c r="I2809" s="942"/>
      <c r="J2809" s="1406"/>
      <c r="K2809" s="948"/>
      <c r="L2809" s="866" t="n">
        <v>49313.88</v>
      </c>
      <c r="M2809" s="866" t="n">
        <v>1575</v>
      </c>
      <c r="N2809" s="866" t="n">
        <f aca="false">M2809/H2801</f>
        <v>105</v>
      </c>
      <c r="O2809" s="543" t="s">
        <v>3436</v>
      </c>
      <c r="P2809" s="2000"/>
      <c r="Q2809" s="2000"/>
      <c r="R2809" s="2005"/>
    </row>
    <row r="2810" customFormat="false" ht="14.25" hidden="false" customHeight="false" outlineLevel="0" collapsed="false">
      <c r="A2810" s="1344"/>
      <c r="B2810" s="903"/>
      <c r="C2810" s="1974"/>
      <c r="D2810" s="860" t="s">
        <v>8</v>
      </c>
      <c r="E2810" s="1480" t="s">
        <v>1651</v>
      </c>
      <c r="F2810" s="904"/>
      <c r="G2810" s="2012"/>
      <c r="H2810" s="942"/>
      <c r="I2810" s="942"/>
      <c r="J2810" s="1406"/>
      <c r="K2810" s="948"/>
      <c r="L2810" s="866" t="n">
        <v>9393.12</v>
      </c>
      <c r="M2810" s="866" t="n">
        <v>300</v>
      </c>
      <c r="N2810" s="866" t="n">
        <f aca="false">M2810/H2801</f>
        <v>20</v>
      </c>
      <c r="O2810" s="543" t="s">
        <v>379</v>
      </c>
      <c r="P2810" s="2000"/>
      <c r="Q2810" s="2000"/>
      <c r="R2810" s="2005"/>
    </row>
    <row r="2811" customFormat="false" ht="14.25" hidden="false" customHeight="false" outlineLevel="0" collapsed="false">
      <c r="A2811" s="1344"/>
      <c r="B2811" s="903"/>
      <c r="C2811" s="1974"/>
      <c r="D2811" s="860" t="s">
        <v>8</v>
      </c>
      <c r="E2811" s="1480" t="s">
        <v>1651</v>
      </c>
      <c r="F2811" s="904"/>
      <c r="G2811" s="2012"/>
      <c r="H2811" s="942"/>
      <c r="I2811" s="942"/>
      <c r="J2811" s="1406"/>
      <c r="K2811" s="948"/>
      <c r="L2811" s="866" t="n">
        <v>9393.12</v>
      </c>
      <c r="M2811" s="866" t="n">
        <v>300</v>
      </c>
      <c r="N2811" s="866" t="n">
        <f aca="false">M2811/H2801</f>
        <v>20</v>
      </c>
      <c r="O2811" s="543" t="s">
        <v>376</v>
      </c>
      <c r="P2811" s="2000"/>
      <c r="Q2811" s="2000"/>
      <c r="R2811" s="2005"/>
    </row>
    <row r="2812" customFormat="false" ht="14.25" hidden="false" customHeight="false" outlineLevel="0" collapsed="false">
      <c r="A2812" s="1344"/>
      <c r="B2812" s="903"/>
      <c r="C2812" s="1974"/>
      <c r="D2812" s="860" t="s">
        <v>8</v>
      </c>
      <c r="E2812" s="1480" t="s">
        <v>1651</v>
      </c>
      <c r="F2812" s="904"/>
      <c r="G2812" s="2012"/>
      <c r="H2812" s="942"/>
      <c r="I2812" s="942"/>
      <c r="J2812" s="1406"/>
      <c r="K2812" s="948"/>
      <c r="L2812" s="866" t="n">
        <v>31466.952</v>
      </c>
      <c r="M2812" s="866" t="n">
        <v>1005</v>
      </c>
      <c r="N2812" s="866" t="n">
        <f aca="false">M2812/H2801</f>
        <v>67</v>
      </c>
      <c r="O2812" s="543" t="n">
        <v>86551</v>
      </c>
      <c r="P2812" s="2000"/>
      <c r="Q2812" s="2000"/>
      <c r="R2812" s="2005"/>
    </row>
    <row r="2813" customFormat="false" ht="14.25" hidden="false" customHeight="false" outlineLevel="0" collapsed="false">
      <c r="A2813" s="1344"/>
      <c r="B2813" s="903"/>
      <c r="C2813" s="1974"/>
      <c r="D2813" s="871" t="s">
        <v>8</v>
      </c>
      <c r="E2813" s="1478" t="s">
        <v>1651</v>
      </c>
      <c r="F2813" s="904"/>
      <c r="G2813" s="2012"/>
      <c r="H2813" s="942"/>
      <c r="I2813" s="942"/>
      <c r="J2813" s="1406"/>
      <c r="K2813" s="948"/>
      <c r="L2813" s="877" t="n">
        <v>27709.704</v>
      </c>
      <c r="M2813" s="877" t="n">
        <v>885</v>
      </c>
      <c r="N2813" s="877" t="n">
        <f aca="false">M2813/H2801</f>
        <v>59</v>
      </c>
      <c r="O2813" s="553" t="n">
        <v>86549</v>
      </c>
      <c r="P2813" s="2000"/>
      <c r="Q2813" s="2000"/>
      <c r="R2813" s="2005"/>
    </row>
    <row r="2814" customFormat="false" ht="14.25" hidden="false" customHeight="false" outlineLevel="0" collapsed="false">
      <c r="A2814" s="882" t="n">
        <v>88</v>
      </c>
      <c r="B2814" s="830" t="n">
        <v>2024</v>
      </c>
      <c r="C2814" s="1965" t="n">
        <v>45689</v>
      </c>
      <c r="D2814" s="831" t="s">
        <v>8</v>
      </c>
      <c r="E2814" s="1365" t="s">
        <v>1651</v>
      </c>
      <c r="F2814" s="832" t="s">
        <v>3364</v>
      </c>
      <c r="G2814" s="2010" t="n">
        <v>292</v>
      </c>
      <c r="H2814" s="837" t="n">
        <v>15</v>
      </c>
      <c r="I2814" s="837" t="n">
        <f aca="false">G2814*H2814</f>
        <v>4380</v>
      </c>
      <c r="J2814" s="1059" t="n">
        <v>31.3104</v>
      </c>
      <c r="K2814" s="943" t="n">
        <f aca="false">I2814*J2814</f>
        <v>137139.552</v>
      </c>
      <c r="L2814" s="886" t="n">
        <v>45086.976</v>
      </c>
      <c r="M2814" s="886" t="n">
        <v>1440</v>
      </c>
      <c r="N2814" s="886" t="n">
        <f aca="false">M2814/H2814</f>
        <v>96</v>
      </c>
      <c r="O2814" s="1036" t="n">
        <v>86677</v>
      </c>
      <c r="P2814" s="1934" t="n">
        <f aca="false">K2814-L2814-L2819-L2818-L2815-L2816-L2817</f>
        <v>-1.00044417195022E-011</v>
      </c>
      <c r="Q2814" s="1934" t="n">
        <f aca="false">I2814-M2814-M2819-M2818-M2815-M2816-M2817</f>
        <v>0</v>
      </c>
      <c r="R2814" s="1935" t="n">
        <f aca="false">G2814-N2814-N2819-N2818-N2815-N2816-N2817</f>
        <v>0</v>
      </c>
    </row>
    <row r="2815" customFormat="false" ht="14.25" hidden="false" customHeight="false" outlineLevel="0" collapsed="false">
      <c r="A2815" s="882"/>
      <c r="B2815" s="830"/>
      <c r="C2815" s="1965"/>
      <c r="D2815" s="860" t="s">
        <v>8</v>
      </c>
      <c r="E2815" s="1480" t="s">
        <v>1651</v>
      </c>
      <c r="F2815" s="832"/>
      <c r="G2815" s="2010"/>
      <c r="H2815" s="837"/>
      <c r="I2815" s="837"/>
      <c r="J2815" s="1059"/>
      <c r="K2815" s="943"/>
      <c r="L2815" s="866" t="n">
        <v>62933.904</v>
      </c>
      <c r="M2815" s="866" t="n">
        <v>2010</v>
      </c>
      <c r="N2815" s="866" t="n">
        <f aca="false">M2815/H2814</f>
        <v>134</v>
      </c>
      <c r="O2815" s="543" t="n">
        <v>86890</v>
      </c>
      <c r="P2815" s="1934"/>
      <c r="Q2815" s="1934"/>
      <c r="R2815" s="1935"/>
    </row>
    <row r="2816" customFormat="false" ht="14.25" hidden="false" customHeight="false" outlineLevel="0" collapsed="false">
      <c r="A2816" s="882"/>
      <c r="B2816" s="830"/>
      <c r="C2816" s="1965"/>
      <c r="D2816" s="860" t="s">
        <v>8</v>
      </c>
      <c r="E2816" s="1480" t="s">
        <v>1651</v>
      </c>
      <c r="F2816" s="832"/>
      <c r="G2816" s="2010"/>
      <c r="H2816" s="837"/>
      <c r="I2816" s="837"/>
      <c r="J2816" s="1059"/>
      <c r="K2816" s="943"/>
      <c r="L2816" s="866" t="n">
        <v>11741.4</v>
      </c>
      <c r="M2816" s="866" t="n">
        <v>375</v>
      </c>
      <c r="N2816" s="866" t="n">
        <f aca="false">M2816/H2814</f>
        <v>25</v>
      </c>
      <c r="O2816" s="543" t="s">
        <v>381</v>
      </c>
      <c r="P2816" s="1934"/>
      <c r="Q2816" s="1934"/>
      <c r="R2816" s="1935"/>
    </row>
    <row r="2817" customFormat="false" ht="14.25" hidden="false" customHeight="false" outlineLevel="0" collapsed="false">
      <c r="A2817" s="882"/>
      <c r="B2817" s="830"/>
      <c r="C2817" s="1965"/>
      <c r="D2817" s="860" t="s">
        <v>8</v>
      </c>
      <c r="E2817" s="1480" t="s">
        <v>1651</v>
      </c>
      <c r="F2817" s="832"/>
      <c r="G2817" s="2010"/>
      <c r="H2817" s="837"/>
      <c r="I2817" s="837"/>
      <c r="J2817" s="1059"/>
      <c r="K2817" s="943"/>
      <c r="L2817" s="866" t="n">
        <v>5635.872</v>
      </c>
      <c r="M2817" s="866" t="n">
        <v>180</v>
      </c>
      <c r="N2817" s="866" t="n">
        <f aca="false">M2817/H2814</f>
        <v>12</v>
      </c>
      <c r="O2817" s="543" t="s">
        <v>3436</v>
      </c>
      <c r="P2817" s="1934"/>
      <c r="Q2817" s="1934"/>
      <c r="R2817" s="1935"/>
    </row>
    <row r="2818" customFormat="false" ht="14.25" hidden="false" customHeight="false" outlineLevel="0" collapsed="false">
      <c r="A2818" s="882"/>
      <c r="B2818" s="830"/>
      <c r="C2818" s="1965"/>
      <c r="D2818" s="860" t="s">
        <v>8</v>
      </c>
      <c r="E2818" s="1480" t="s">
        <v>1651</v>
      </c>
      <c r="F2818" s="832"/>
      <c r="G2818" s="2010"/>
      <c r="H2818" s="837"/>
      <c r="I2818" s="837"/>
      <c r="J2818" s="1059"/>
      <c r="K2818" s="943"/>
      <c r="L2818" s="866" t="n">
        <v>7984.152</v>
      </c>
      <c r="M2818" s="866" t="n">
        <v>255</v>
      </c>
      <c r="N2818" s="866" t="n">
        <f aca="false">M2818/H2814</f>
        <v>17</v>
      </c>
      <c r="O2818" s="543" t="n">
        <v>86706</v>
      </c>
      <c r="P2818" s="1934"/>
      <c r="Q2818" s="1934"/>
      <c r="R2818" s="1935"/>
    </row>
    <row r="2819" customFormat="false" ht="14.25" hidden="false" customHeight="false" outlineLevel="0" collapsed="false">
      <c r="A2819" s="882"/>
      <c r="B2819" s="830"/>
      <c r="C2819" s="1965"/>
      <c r="D2819" s="843" t="s">
        <v>8</v>
      </c>
      <c r="E2819" s="1357" t="s">
        <v>1651</v>
      </c>
      <c r="F2819" s="832"/>
      <c r="G2819" s="2010"/>
      <c r="H2819" s="837"/>
      <c r="I2819" s="837"/>
      <c r="J2819" s="1059"/>
      <c r="K2819" s="943"/>
      <c r="L2819" s="846" t="n">
        <v>3757.248</v>
      </c>
      <c r="M2819" s="846" t="n">
        <v>120</v>
      </c>
      <c r="N2819" s="846" t="n">
        <f aca="false">M2819/H2814</f>
        <v>8</v>
      </c>
      <c r="O2819" s="589" t="n">
        <v>86690</v>
      </c>
      <c r="P2819" s="1934"/>
      <c r="Q2819" s="1934"/>
      <c r="R2819" s="1935"/>
    </row>
    <row r="2820" customFormat="false" ht="14.25" hidden="false" customHeight="false" outlineLevel="0" collapsed="false">
      <c r="A2820" s="829" t="n">
        <v>128</v>
      </c>
      <c r="B2820" s="830" t="n">
        <v>2024</v>
      </c>
      <c r="C2820" s="1965" t="n">
        <v>45689</v>
      </c>
      <c r="D2820" s="1328" t="s">
        <v>8</v>
      </c>
      <c r="E2820" s="1607" t="s">
        <v>1652</v>
      </c>
      <c r="F2820" s="832" t="s">
        <v>3364</v>
      </c>
      <c r="G2820" s="2010" t="n">
        <v>391</v>
      </c>
      <c r="H2820" s="837" t="n">
        <v>15</v>
      </c>
      <c r="I2820" s="837" t="n">
        <f aca="false">G2820*H2820</f>
        <v>5865</v>
      </c>
      <c r="J2820" s="1059" t="n">
        <v>46.9011</v>
      </c>
      <c r="K2820" s="943" t="n">
        <f aca="false">I2820*J2820</f>
        <v>275074.9515</v>
      </c>
      <c r="L2820" s="886" t="n">
        <v>61205.9355</v>
      </c>
      <c r="M2820" s="886" t="n">
        <v>1305</v>
      </c>
      <c r="N2820" s="886" t="n">
        <f aca="false">M2820/H2820</f>
        <v>87</v>
      </c>
      <c r="O2820" s="1036" t="n">
        <v>86656</v>
      </c>
      <c r="P2820" s="1937" t="n">
        <f aca="false">K2820-L2820-L2824-L2823-L2821-L2822</f>
        <v>0</v>
      </c>
      <c r="Q2820" s="1934" t="n">
        <f aca="false">I2820-M2820-M2824-M2823-M2821-M2822</f>
        <v>0</v>
      </c>
      <c r="R2820" s="1935" t="n">
        <f aca="false">G2820-N2820-N2824-N2823-N2821-N2822</f>
        <v>0</v>
      </c>
    </row>
    <row r="2821" customFormat="false" ht="14.25" hidden="false" customHeight="false" outlineLevel="0" collapsed="false">
      <c r="A2821" s="829"/>
      <c r="B2821" s="830"/>
      <c r="C2821" s="1965"/>
      <c r="D2821" s="860" t="s">
        <v>8</v>
      </c>
      <c r="E2821" s="1480" t="s">
        <v>1652</v>
      </c>
      <c r="F2821" s="832"/>
      <c r="G2821" s="2010"/>
      <c r="H2821" s="837"/>
      <c r="I2821" s="837"/>
      <c r="J2821" s="1059"/>
      <c r="K2821" s="943"/>
      <c r="L2821" s="866" t="n">
        <v>14070.33</v>
      </c>
      <c r="M2821" s="866" t="n">
        <v>300</v>
      </c>
      <c r="N2821" s="866" t="n">
        <f aca="false">M2821/H2820</f>
        <v>20</v>
      </c>
      <c r="O2821" s="543" t="n">
        <v>86767</v>
      </c>
      <c r="P2821" s="1937"/>
      <c r="Q2821" s="1934"/>
      <c r="R2821" s="1935"/>
    </row>
    <row r="2822" customFormat="false" ht="14.25" hidden="false" customHeight="false" outlineLevel="0" collapsed="false">
      <c r="A2822" s="829"/>
      <c r="B2822" s="830"/>
      <c r="C2822" s="1965"/>
      <c r="D2822" s="860" t="s">
        <v>8</v>
      </c>
      <c r="E2822" s="1480" t="s">
        <v>1652</v>
      </c>
      <c r="F2822" s="832"/>
      <c r="G2822" s="2010"/>
      <c r="H2822" s="837"/>
      <c r="I2822" s="837"/>
      <c r="J2822" s="1059"/>
      <c r="K2822" s="943"/>
      <c r="L2822" s="866" t="n">
        <v>50653.188</v>
      </c>
      <c r="M2822" s="866" t="n">
        <v>1080</v>
      </c>
      <c r="N2822" s="866" t="n">
        <f aca="false">M2822/H2820</f>
        <v>72</v>
      </c>
      <c r="O2822" s="543" t="n">
        <v>86943</v>
      </c>
      <c r="P2822" s="1937"/>
      <c r="Q2822" s="1934"/>
      <c r="R2822" s="1935"/>
    </row>
    <row r="2823" customFormat="false" ht="14.25" hidden="false" customHeight="false" outlineLevel="0" collapsed="false">
      <c r="A2823" s="829"/>
      <c r="B2823" s="830"/>
      <c r="C2823" s="1965"/>
      <c r="D2823" s="860" t="s">
        <v>8</v>
      </c>
      <c r="E2823" s="1480" t="s">
        <v>1652</v>
      </c>
      <c r="F2823" s="832"/>
      <c r="G2823" s="2010"/>
      <c r="H2823" s="837"/>
      <c r="I2823" s="837"/>
      <c r="J2823" s="1059"/>
      <c r="K2823" s="943"/>
      <c r="L2823" s="866" t="n">
        <v>8442.198</v>
      </c>
      <c r="M2823" s="866" t="n">
        <v>180</v>
      </c>
      <c r="N2823" s="866" t="n">
        <f aca="false">M2823/H2820</f>
        <v>12</v>
      </c>
      <c r="O2823" s="543" t="n">
        <v>86726</v>
      </c>
      <c r="P2823" s="1937"/>
      <c r="Q2823" s="1934"/>
      <c r="R2823" s="1935"/>
    </row>
    <row r="2824" customFormat="false" ht="14.25" hidden="false" customHeight="false" outlineLevel="0" collapsed="false">
      <c r="A2824" s="829"/>
      <c r="B2824" s="830"/>
      <c r="C2824" s="1965"/>
      <c r="D2824" s="843" t="s">
        <v>8</v>
      </c>
      <c r="E2824" s="1357" t="s">
        <v>1652</v>
      </c>
      <c r="F2824" s="832"/>
      <c r="G2824" s="2010"/>
      <c r="H2824" s="837"/>
      <c r="I2824" s="837"/>
      <c r="J2824" s="1059"/>
      <c r="K2824" s="943"/>
      <c r="L2824" s="846" t="n">
        <v>140703.3</v>
      </c>
      <c r="M2824" s="846" t="n">
        <v>3000</v>
      </c>
      <c r="N2824" s="846" t="n">
        <f aca="false">M2824/H2820</f>
        <v>200</v>
      </c>
      <c r="O2824" s="589" t="n">
        <v>86660</v>
      </c>
      <c r="P2824" s="1937"/>
      <c r="Q2824" s="1934"/>
      <c r="R2824" s="1935"/>
    </row>
    <row r="2825" customFormat="false" ht="14.25" hidden="false" customHeight="false" outlineLevel="0" collapsed="false">
      <c r="A2825" s="903" t="n">
        <v>178</v>
      </c>
      <c r="B2825" s="903" t="n">
        <v>2024</v>
      </c>
      <c r="C2825" s="1974" t="n">
        <v>45809</v>
      </c>
      <c r="D2825" s="904" t="s">
        <v>8</v>
      </c>
      <c r="E2825" s="1351" t="s">
        <v>1651</v>
      </c>
      <c r="F2825" s="904" t="s">
        <v>3364</v>
      </c>
      <c r="G2825" s="2012" t="n">
        <v>50</v>
      </c>
      <c r="H2825" s="942" t="n">
        <v>10</v>
      </c>
      <c r="I2825" s="1355" t="n">
        <f aca="false">G2825*H2825</f>
        <v>500</v>
      </c>
      <c r="J2825" s="1406" t="n">
        <v>33.0746</v>
      </c>
      <c r="K2825" s="1942" t="n">
        <f aca="false">I2825*J2825</f>
        <v>16537.3</v>
      </c>
      <c r="L2825" s="891" t="n">
        <v>16537.3</v>
      </c>
      <c r="M2825" s="891" t="n">
        <v>500</v>
      </c>
      <c r="N2825" s="891" t="n">
        <f aca="false">M2825/H2825</f>
        <v>50</v>
      </c>
      <c r="O2825" s="942" t="n">
        <v>86959</v>
      </c>
      <c r="P2825" s="2038" t="n">
        <f aca="false">K2825-L2825</f>
        <v>0</v>
      </c>
      <c r="Q2825" s="1946" t="n">
        <f aca="false">I2825-M2825</f>
        <v>0</v>
      </c>
      <c r="R2825" s="1946" t="n">
        <f aca="false">G2825-N2825</f>
        <v>0</v>
      </c>
    </row>
    <row r="2826" customFormat="false" ht="14.25" hidden="false" customHeight="false" outlineLevel="0" collapsed="false">
      <c r="A2826" s="829" t="n">
        <v>179</v>
      </c>
      <c r="B2826" s="830" t="n">
        <v>2024</v>
      </c>
      <c r="C2826" s="1965" t="n">
        <v>45809</v>
      </c>
      <c r="D2826" s="831" t="s">
        <v>8</v>
      </c>
      <c r="E2826" s="1365" t="s">
        <v>1651</v>
      </c>
      <c r="F2826" s="832" t="s">
        <v>3367</v>
      </c>
      <c r="G2826" s="2010" t="n">
        <v>360</v>
      </c>
      <c r="H2826" s="837" t="n">
        <v>10</v>
      </c>
      <c r="I2826" s="837" t="n">
        <f aca="false">G2826*H2826</f>
        <v>3600</v>
      </c>
      <c r="J2826" s="1059" t="n">
        <v>33.0746</v>
      </c>
      <c r="K2826" s="943" t="n">
        <f aca="false">I2826*J2826</f>
        <v>119068.56</v>
      </c>
      <c r="L2826" s="840" t="n">
        <v>19844.76</v>
      </c>
      <c r="M2826" s="840" t="n">
        <v>600</v>
      </c>
      <c r="N2826" s="840" t="n">
        <f aca="false">M2826/H2826</f>
        <v>60</v>
      </c>
      <c r="O2826" s="1114" t="n">
        <v>86957</v>
      </c>
      <c r="P2826" s="1982" t="n">
        <f aca="false">K2826-L2826-L2827</f>
        <v>0</v>
      </c>
      <c r="Q2826" s="1934" t="n">
        <f aca="false">I2826-M2826-M2827</f>
        <v>0</v>
      </c>
      <c r="R2826" s="1935" t="n">
        <f aca="false">G2826-N2826-N2827</f>
        <v>0</v>
      </c>
    </row>
    <row r="2827" customFormat="false" ht="14.25" hidden="false" customHeight="false" outlineLevel="0" collapsed="false">
      <c r="A2827" s="829"/>
      <c r="B2827" s="830"/>
      <c r="C2827" s="1965"/>
      <c r="D2827" s="887" t="s">
        <v>8</v>
      </c>
      <c r="E2827" s="1501" t="s">
        <v>1651</v>
      </c>
      <c r="F2827" s="832"/>
      <c r="G2827" s="2010"/>
      <c r="H2827" s="837"/>
      <c r="I2827" s="837"/>
      <c r="J2827" s="1059"/>
      <c r="K2827" s="943"/>
      <c r="L2827" s="890" t="n">
        <v>99223.8</v>
      </c>
      <c r="M2827" s="890" t="n">
        <v>3000</v>
      </c>
      <c r="N2827" s="890" t="n">
        <f aca="false">M2827/H2826</f>
        <v>300</v>
      </c>
      <c r="O2827" s="1067" t="n">
        <v>86960</v>
      </c>
      <c r="P2827" s="1982"/>
      <c r="Q2827" s="1934"/>
      <c r="R2827" s="1935"/>
    </row>
    <row r="2828" customFormat="false" ht="14.25" hidden="false" customHeight="false" outlineLevel="0" collapsed="false">
      <c r="A2828" s="829" t="n">
        <v>180</v>
      </c>
      <c r="B2828" s="830" t="n">
        <v>2024</v>
      </c>
      <c r="C2828" s="1965" t="n">
        <v>45809</v>
      </c>
      <c r="D2828" s="831" t="s">
        <v>8</v>
      </c>
      <c r="E2828" s="1365" t="s">
        <v>1651</v>
      </c>
      <c r="F2828" s="832" t="s">
        <v>3367</v>
      </c>
      <c r="G2828" s="2010" t="n">
        <v>300</v>
      </c>
      <c r="H2828" s="837" t="n">
        <v>15</v>
      </c>
      <c r="I2828" s="837" t="n">
        <f aca="false">G2828*H2828</f>
        <v>4500</v>
      </c>
      <c r="J2828" s="1059" t="n">
        <v>33.0746</v>
      </c>
      <c r="K2828" s="943" t="n">
        <f aca="false">I2828*J2828</f>
        <v>148835.7</v>
      </c>
      <c r="L2828" s="840" t="n">
        <v>74417.85</v>
      </c>
      <c r="M2828" s="840" t="n">
        <v>2250</v>
      </c>
      <c r="N2828" s="886" t="n">
        <f aca="false">M2828/H2828</f>
        <v>150</v>
      </c>
      <c r="O2828" s="1114" t="s">
        <v>367</v>
      </c>
      <c r="P2828" s="1934" t="n">
        <f aca="false">K2828-L2828-L2832-L2831-L2829-L2830</f>
        <v>0.000999999982013833</v>
      </c>
      <c r="Q2828" s="1934" t="n">
        <f aca="false">I2828-M2828-M2832-M2831-M2829-M2830</f>
        <v>0</v>
      </c>
      <c r="R2828" s="1935" t="n">
        <f aca="false">G2828-N2828-N2832-N2831-N2829-N2830</f>
        <v>0</v>
      </c>
    </row>
    <row r="2829" customFormat="false" ht="14.25" hidden="false" customHeight="false" outlineLevel="0" collapsed="false">
      <c r="A2829" s="829"/>
      <c r="B2829" s="830"/>
      <c r="C2829" s="1965"/>
      <c r="D2829" s="848" t="s">
        <v>8</v>
      </c>
      <c r="E2829" s="1479" t="s">
        <v>1651</v>
      </c>
      <c r="F2829" s="832"/>
      <c r="G2829" s="2010"/>
      <c r="H2829" s="837"/>
      <c r="I2829" s="837"/>
      <c r="J2829" s="1059"/>
      <c r="K2829" s="943"/>
      <c r="L2829" s="854" t="n">
        <v>2976.714</v>
      </c>
      <c r="M2829" s="854" t="n">
        <v>90</v>
      </c>
      <c r="N2829" s="866" t="n">
        <f aca="false">M2829/H2828</f>
        <v>6</v>
      </c>
      <c r="O2829" s="537" t="s">
        <v>3495</v>
      </c>
      <c r="P2829" s="1934"/>
      <c r="Q2829" s="1934"/>
      <c r="R2829" s="1935"/>
    </row>
    <row r="2830" customFormat="false" ht="14.25" hidden="false" customHeight="false" outlineLevel="0" collapsed="false">
      <c r="A2830" s="829"/>
      <c r="B2830" s="830"/>
      <c r="C2830" s="1965"/>
      <c r="D2830" s="848" t="s">
        <v>8</v>
      </c>
      <c r="E2830" s="1479" t="s">
        <v>1651</v>
      </c>
      <c r="F2830" s="832"/>
      <c r="G2830" s="2010"/>
      <c r="H2830" s="837"/>
      <c r="I2830" s="837"/>
      <c r="J2830" s="1059"/>
      <c r="K2830" s="943"/>
      <c r="L2830" s="854" t="n">
        <v>44154.59</v>
      </c>
      <c r="M2830" s="854" t="n">
        <v>1335</v>
      </c>
      <c r="N2830" s="866" t="n">
        <f aca="false">M2830/H2828</f>
        <v>89</v>
      </c>
      <c r="O2830" s="537" t="s">
        <v>538</v>
      </c>
      <c r="P2830" s="1934"/>
      <c r="Q2830" s="1934"/>
      <c r="R2830" s="1935"/>
    </row>
    <row r="2831" customFormat="false" ht="14.25" hidden="false" customHeight="false" outlineLevel="0" collapsed="false">
      <c r="A2831" s="829"/>
      <c r="B2831" s="830"/>
      <c r="C2831" s="1965"/>
      <c r="D2831" s="860" t="s">
        <v>8</v>
      </c>
      <c r="E2831" s="1480" t="s">
        <v>1651</v>
      </c>
      <c r="F2831" s="832"/>
      <c r="G2831" s="2010"/>
      <c r="H2831" s="837"/>
      <c r="I2831" s="837"/>
      <c r="J2831" s="1059"/>
      <c r="K2831" s="943"/>
      <c r="L2831" s="866" t="n">
        <v>7441.785</v>
      </c>
      <c r="M2831" s="866" t="n">
        <v>225</v>
      </c>
      <c r="N2831" s="866" t="n">
        <f aca="false">M2831/H2828</f>
        <v>15</v>
      </c>
      <c r="O2831" s="543" t="s">
        <v>510</v>
      </c>
      <c r="P2831" s="1934"/>
      <c r="Q2831" s="1934"/>
      <c r="R2831" s="1935"/>
    </row>
    <row r="2832" customFormat="false" ht="14.25" hidden="false" customHeight="false" outlineLevel="0" collapsed="false">
      <c r="A2832" s="829"/>
      <c r="B2832" s="830"/>
      <c r="C2832" s="1965"/>
      <c r="D2832" s="887" t="s">
        <v>8</v>
      </c>
      <c r="E2832" s="1501" t="s">
        <v>1651</v>
      </c>
      <c r="F2832" s="832"/>
      <c r="G2832" s="2010"/>
      <c r="H2832" s="837"/>
      <c r="I2832" s="837"/>
      <c r="J2832" s="1059"/>
      <c r="K2832" s="943"/>
      <c r="L2832" s="890" t="n">
        <v>19844.76</v>
      </c>
      <c r="M2832" s="890" t="n">
        <v>600</v>
      </c>
      <c r="N2832" s="890" t="n">
        <f aca="false">M2832/H2828</f>
        <v>40</v>
      </c>
      <c r="O2832" s="1067" t="s">
        <v>398</v>
      </c>
      <c r="P2832" s="1934"/>
      <c r="Q2832" s="1934"/>
      <c r="R2832" s="1935"/>
    </row>
    <row r="2833" customFormat="false" ht="14.25" hidden="false" customHeight="false" outlineLevel="0" collapsed="false">
      <c r="A2833" s="847" t="n">
        <v>183</v>
      </c>
      <c r="B2833" s="1396" t="n">
        <v>2024</v>
      </c>
      <c r="C2833" s="1966" t="n">
        <v>45809</v>
      </c>
      <c r="D2833" s="848" t="s">
        <v>8</v>
      </c>
      <c r="E2833" s="1479" t="s">
        <v>1651</v>
      </c>
      <c r="F2833" s="848" t="s">
        <v>3364</v>
      </c>
      <c r="G2833" s="2018" t="n">
        <v>106</v>
      </c>
      <c r="H2833" s="537" t="n">
        <v>15</v>
      </c>
      <c r="I2833" s="1380" t="n">
        <f aca="false">G2833*H2833</f>
        <v>1590</v>
      </c>
      <c r="J2833" s="1544" t="n">
        <v>34.5931</v>
      </c>
      <c r="K2833" s="1968" t="n">
        <f aca="false">I2833*J2833</f>
        <v>55003.029</v>
      </c>
      <c r="L2833" s="854" t="n">
        <v>55003.029</v>
      </c>
      <c r="M2833" s="854" t="n">
        <v>1590</v>
      </c>
      <c r="N2833" s="854" t="n">
        <f aca="false">M2833/H2833</f>
        <v>106</v>
      </c>
      <c r="O2833" s="537" t="s">
        <v>364</v>
      </c>
      <c r="P2833" s="1969" t="n">
        <f aca="false">K2833-L2833</f>
        <v>0</v>
      </c>
      <c r="Q2833" s="1971" t="n">
        <f aca="false">I2833-M2833</f>
        <v>0</v>
      </c>
      <c r="R2833" s="1971" t="n">
        <f aca="false">G2833-N2833</f>
        <v>0</v>
      </c>
    </row>
    <row r="2834" customFormat="false" ht="14.25" hidden="false" customHeight="false" outlineLevel="0" collapsed="false">
      <c r="A2834" s="903" t="n">
        <v>198</v>
      </c>
      <c r="B2834" s="903" t="n">
        <v>2024</v>
      </c>
      <c r="C2834" s="1974" t="n">
        <v>45809</v>
      </c>
      <c r="D2834" s="904" t="s">
        <v>8</v>
      </c>
      <c r="E2834" s="1351" t="s">
        <v>1651</v>
      </c>
      <c r="F2834" s="904" t="s">
        <v>3374</v>
      </c>
      <c r="G2834" s="2012" t="n">
        <v>50</v>
      </c>
      <c r="H2834" s="942" t="n">
        <v>10</v>
      </c>
      <c r="I2834" s="1355" t="n">
        <f aca="false">G2834*H2834</f>
        <v>500</v>
      </c>
      <c r="J2834" s="1406" t="n">
        <v>33.1584</v>
      </c>
      <c r="K2834" s="1942" t="n">
        <f aca="false">I2834*J2834</f>
        <v>16579.2</v>
      </c>
      <c r="L2834" s="891" t="n">
        <v>16579.2</v>
      </c>
      <c r="M2834" s="891" t="n">
        <v>500</v>
      </c>
      <c r="N2834" s="891" t="n">
        <f aca="false">M2834/H2834</f>
        <v>50</v>
      </c>
      <c r="O2834" s="942" t="n">
        <v>86953</v>
      </c>
      <c r="P2834" s="1944" t="n">
        <f aca="false">K2834-L2834</f>
        <v>0</v>
      </c>
      <c r="Q2834" s="1946" t="n">
        <f aca="false">I2834-M2834</f>
        <v>0</v>
      </c>
      <c r="R2834" s="1946" t="n">
        <f aca="false">G2834-N2834</f>
        <v>0</v>
      </c>
    </row>
    <row r="2835" customFormat="false" ht="14.25" hidden="false" customHeight="false" outlineLevel="0" collapsed="false">
      <c r="A2835" s="829" t="n">
        <v>199</v>
      </c>
      <c r="B2835" s="830" t="n">
        <v>2024</v>
      </c>
      <c r="C2835" s="1965" t="n">
        <v>45809</v>
      </c>
      <c r="D2835" s="831" t="s">
        <v>8</v>
      </c>
      <c r="E2835" s="1365" t="s">
        <v>1651</v>
      </c>
      <c r="F2835" s="832" t="s">
        <v>3367</v>
      </c>
      <c r="G2835" s="2010" t="n">
        <v>92</v>
      </c>
      <c r="H2835" s="837" t="n">
        <v>10</v>
      </c>
      <c r="I2835" s="837" t="n">
        <f aca="false">G2835*H2835</f>
        <v>920</v>
      </c>
      <c r="J2835" s="1059" t="n">
        <v>33.8071</v>
      </c>
      <c r="K2835" s="943" t="n">
        <f aca="false">I2835*J2835</f>
        <v>31102.532</v>
      </c>
      <c r="L2835" s="840" t="n">
        <v>30426.39</v>
      </c>
      <c r="M2835" s="840" t="n">
        <v>900</v>
      </c>
      <c r="N2835" s="840" t="n">
        <f aca="false">M2835/H2835</f>
        <v>90</v>
      </c>
      <c r="O2835" s="1114" t="n">
        <v>86957</v>
      </c>
      <c r="P2835" s="1937" t="n">
        <f aca="false">K2835-L2835-L2836</f>
        <v>0</v>
      </c>
      <c r="Q2835" s="1934" t="n">
        <f aca="false">I2835-M2835-M2836</f>
        <v>0</v>
      </c>
      <c r="R2835" s="1935" t="n">
        <f aca="false">G2835-N2835-N2836</f>
        <v>0</v>
      </c>
    </row>
    <row r="2836" customFormat="false" ht="14.25" hidden="false" customHeight="false" outlineLevel="0" collapsed="false">
      <c r="A2836" s="829"/>
      <c r="B2836" s="830"/>
      <c r="C2836" s="1965"/>
      <c r="D2836" s="887" t="s">
        <v>8</v>
      </c>
      <c r="E2836" s="1501" t="s">
        <v>1651</v>
      </c>
      <c r="F2836" s="832"/>
      <c r="G2836" s="2010"/>
      <c r="H2836" s="837"/>
      <c r="I2836" s="837"/>
      <c r="J2836" s="1059"/>
      <c r="K2836" s="943"/>
      <c r="L2836" s="890" t="n">
        <v>676.142</v>
      </c>
      <c r="M2836" s="890" t="n">
        <v>20</v>
      </c>
      <c r="N2836" s="890" t="n">
        <f aca="false">M2836/H2835</f>
        <v>2</v>
      </c>
      <c r="O2836" s="1067" t="s">
        <v>369</v>
      </c>
      <c r="P2836" s="1937"/>
      <c r="Q2836" s="1934"/>
      <c r="R2836" s="1935"/>
    </row>
    <row r="2837" customFormat="false" ht="14.25" hidden="false" customHeight="false" outlineLevel="0" collapsed="false">
      <c r="A2837" s="882" t="n">
        <v>205</v>
      </c>
      <c r="B2837" s="830" t="n">
        <v>2024</v>
      </c>
      <c r="C2837" s="1965" t="n">
        <v>45839</v>
      </c>
      <c r="D2837" s="831" t="s">
        <v>8</v>
      </c>
      <c r="E2837" s="1365" t="s">
        <v>1651</v>
      </c>
      <c r="F2837" s="832" t="s">
        <v>3367</v>
      </c>
      <c r="G2837" s="2010" t="n">
        <v>400</v>
      </c>
      <c r="H2837" s="837" t="n">
        <v>10</v>
      </c>
      <c r="I2837" s="837" t="n">
        <f aca="false">G2837*H2837</f>
        <v>4000</v>
      </c>
      <c r="J2837" s="1059" t="n">
        <v>33.0962</v>
      </c>
      <c r="K2837" s="943" t="n">
        <f aca="false">I2837*J2837</f>
        <v>132384.8</v>
      </c>
      <c r="L2837" s="840" t="n">
        <v>32434.276</v>
      </c>
      <c r="M2837" s="840" t="n">
        <v>980</v>
      </c>
      <c r="N2837" s="886" t="n">
        <f aca="false">M2837/H2837</f>
        <v>98</v>
      </c>
      <c r="O2837" s="1114" t="s">
        <v>369</v>
      </c>
      <c r="P2837" s="1934" t="n">
        <f aca="false">K2837-L2837-L2839-L2838</f>
        <v>1.36424205265939E-011</v>
      </c>
      <c r="Q2837" s="1934" t="n">
        <f aca="false">I2837-M2837-M2839-M2838</f>
        <v>0</v>
      </c>
      <c r="R2837" s="1935" t="n">
        <f aca="false">G2837-N2837-N2839-N2838</f>
        <v>0</v>
      </c>
    </row>
    <row r="2838" customFormat="false" ht="14.25" hidden="false" customHeight="false" outlineLevel="0" collapsed="false">
      <c r="A2838" s="882"/>
      <c r="B2838" s="830"/>
      <c r="C2838" s="1965"/>
      <c r="D2838" s="860" t="s">
        <v>8</v>
      </c>
      <c r="E2838" s="1480" t="s">
        <v>1651</v>
      </c>
      <c r="F2838" s="832"/>
      <c r="G2838" s="2010"/>
      <c r="H2838" s="837"/>
      <c r="I2838" s="837"/>
      <c r="J2838" s="1059"/>
      <c r="K2838" s="943"/>
      <c r="L2838" s="866" t="n">
        <v>661.924</v>
      </c>
      <c r="M2838" s="866" t="n">
        <v>20</v>
      </c>
      <c r="N2838" s="866" t="n">
        <f aca="false">M2838/H2837</f>
        <v>2</v>
      </c>
      <c r="O2838" s="543" t="s">
        <v>467</v>
      </c>
      <c r="P2838" s="1934"/>
      <c r="Q2838" s="1934"/>
      <c r="R2838" s="1935"/>
    </row>
    <row r="2839" customFormat="false" ht="14.25" hidden="false" customHeight="false" outlineLevel="0" collapsed="false">
      <c r="A2839" s="882"/>
      <c r="B2839" s="830"/>
      <c r="C2839" s="1965"/>
      <c r="D2839" s="887" t="s">
        <v>8</v>
      </c>
      <c r="E2839" s="1501" t="s">
        <v>1651</v>
      </c>
      <c r="F2839" s="832"/>
      <c r="G2839" s="2010"/>
      <c r="H2839" s="837"/>
      <c r="I2839" s="837"/>
      <c r="J2839" s="1059"/>
      <c r="K2839" s="943"/>
      <c r="L2839" s="890" t="n">
        <v>99288.6</v>
      </c>
      <c r="M2839" s="890" t="n">
        <v>3000</v>
      </c>
      <c r="N2839" s="890" t="n">
        <f aca="false">M2839/H2837</f>
        <v>300</v>
      </c>
      <c r="O2839" s="1067" t="s">
        <v>370</v>
      </c>
      <c r="P2839" s="1934"/>
      <c r="Q2839" s="1934"/>
      <c r="R2839" s="1935"/>
    </row>
    <row r="2840" customFormat="false" ht="14.25" hidden="false" customHeight="false" outlineLevel="0" collapsed="false">
      <c r="A2840" s="903" t="n">
        <v>206</v>
      </c>
      <c r="B2840" s="903" t="n">
        <v>2024</v>
      </c>
      <c r="C2840" s="1974" t="n">
        <v>45839</v>
      </c>
      <c r="D2840" s="904" t="s">
        <v>8</v>
      </c>
      <c r="E2840" s="1351" t="s">
        <v>1651</v>
      </c>
      <c r="F2840" s="904" t="s">
        <v>3364</v>
      </c>
      <c r="G2840" s="2012" t="n">
        <v>1000</v>
      </c>
      <c r="H2840" s="942" t="n">
        <v>10</v>
      </c>
      <c r="I2840" s="1355" t="n">
        <f aca="false">G2840*H2840</f>
        <v>10000</v>
      </c>
      <c r="J2840" s="1406" t="n">
        <v>33.0962</v>
      </c>
      <c r="K2840" s="1942" t="n">
        <f aca="false">I2840*J2840</f>
        <v>330962</v>
      </c>
      <c r="L2840" s="891" t="n">
        <v>330962</v>
      </c>
      <c r="M2840" s="891" t="n">
        <v>10000</v>
      </c>
      <c r="N2840" s="891" t="n">
        <f aca="false">M2840/H2840</f>
        <v>1000</v>
      </c>
      <c r="O2840" s="942" t="s">
        <v>364</v>
      </c>
      <c r="P2840" s="1944" t="n">
        <f aca="false">K2840-L2840</f>
        <v>0</v>
      </c>
      <c r="Q2840" s="1946" t="n">
        <f aca="false">I2840-M2840</f>
        <v>0</v>
      </c>
      <c r="R2840" s="1946" t="n">
        <f aca="false">G2840-N2840</f>
        <v>0</v>
      </c>
    </row>
    <row r="2841" customFormat="false" ht="14.25" hidden="false" customHeight="false" outlineLevel="0" collapsed="false">
      <c r="A2841" s="882" t="n">
        <v>207</v>
      </c>
      <c r="B2841" s="830" t="n">
        <v>2024</v>
      </c>
      <c r="C2841" s="1965" t="n">
        <v>45839</v>
      </c>
      <c r="D2841" s="831" t="s">
        <v>8</v>
      </c>
      <c r="E2841" s="1365" t="s">
        <v>1651</v>
      </c>
      <c r="F2841" s="832" t="s">
        <v>3364</v>
      </c>
      <c r="G2841" s="2010" t="n">
        <v>400</v>
      </c>
      <c r="H2841" s="837" t="n">
        <v>10</v>
      </c>
      <c r="I2841" s="837" t="n">
        <f aca="false">G2841*H2841</f>
        <v>4000</v>
      </c>
      <c r="J2841" s="1059" t="n">
        <v>33.0962</v>
      </c>
      <c r="K2841" s="943" t="n">
        <f aca="false">I2841*J2841</f>
        <v>132384.8</v>
      </c>
      <c r="L2841" s="840" t="n">
        <v>112858.042</v>
      </c>
      <c r="M2841" s="840" t="n">
        <v>3410</v>
      </c>
      <c r="N2841" s="886" t="n">
        <f aca="false">M2841/H2841</f>
        <v>341</v>
      </c>
      <c r="O2841" s="1114" t="s">
        <v>364</v>
      </c>
      <c r="P2841" s="1934" t="n">
        <f aca="false">K2841-L2841-L2843-L2842</f>
        <v>1.63709046319127E-011</v>
      </c>
      <c r="Q2841" s="1934" t="n">
        <f aca="false">I2841-M2841-M2843-M2842</f>
        <v>0</v>
      </c>
      <c r="R2841" s="1935" t="n">
        <f aca="false">G2841-N2841-N2843-N2842</f>
        <v>0</v>
      </c>
    </row>
    <row r="2842" customFormat="false" ht="14.25" hidden="false" customHeight="false" outlineLevel="0" collapsed="false">
      <c r="A2842" s="882"/>
      <c r="B2842" s="830"/>
      <c r="C2842" s="1965"/>
      <c r="D2842" s="860" t="s">
        <v>8</v>
      </c>
      <c r="E2842" s="1480" t="s">
        <v>1651</v>
      </c>
      <c r="F2842" s="832"/>
      <c r="G2842" s="2010"/>
      <c r="H2842" s="837"/>
      <c r="I2842" s="837"/>
      <c r="J2842" s="1059"/>
      <c r="K2842" s="943"/>
      <c r="L2842" s="866" t="n">
        <v>6288.278</v>
      </c>
      <c r="M2842" s="866" t="n">
        <v>190</v>
      </c>
      <c r="N2842" s="866" t="n">
        <f aca="false">M2842/H2841</f>
        <v>19</v>
      </c>
      <c r="O2842" s="543" t="s">
        <v>377</v>
      </c>
      <c r="P2842" s="1934"/>
      <c r="Q2842" s="1934"/>
      <c r="R2842" s="1935"/>
    </row>
    <row r="2843" customFormat="false" ht="14.25" hidden="false" customHeight="false" outlineLevel="0" collapsed="false">
      <c r="A2843" s="882"/>
      <c r="B2843" s="830"/>
      <c r="C2843" s="1965"/>
      <c r="D2843" s="887" t="s">
        <v>8</v>
      </c>
      <c r="E2843" s="1501" t="s">
        <v>1651</v>
      </c>
      <c r="F2843" s="832"/>
      <c r="G2843" s="2010"/>
      <c r="H2843" s="837"/>
      <c r="I2843" s="837"/>
      <c r="J2843" s="1059"/>
      <c r="K2843" s="943"/>
      <c r="L2843" s="890" t="n">
        <v>13238.48</v>
      </c>
      <c r="M2843" s="890" t="n">
        <v>400</v>
      </c>
      <c r="N2843" s="890" t="n">
        <f aca="false">M2843/H2841</f>
        <v>40</v>
      </c>
      <c r="O2843" s="1067" t="s">
        <v>374</v>
      </c>
      <c r="P2843" s="1934"/>
      <c r="Q2843" s="1934"/>
      <c r="R2843" s="1935"/>
    </row>
    <row r="2844" customFormat="false" ht="14.25" hidden="false" customHeight="false" outlineLevel="0" collapsed="false">
      <c r="A2844" s="847" t="n">
        <v>211</v>
      </c>
      <c r="B2844" s="1396" t="n">
        <v>2024</v>
      </c>
      <c r="C2844" s="1966" t="n">
        <v>45839</v>
      </c>
      <c r="D2844" s="848" t="s">
        <v>8</v>
      </c>
      <c r="E2844" s="1479" t="s">
        <v>1651</v>
      </c>
      <c r="F2844" s="848" t="s">
        <v>3364</v>
      </c>
      <c r="G2844" s="2018" t="n">
        <v>40</v>
      </c>
      <c r="H2844" s="537" t="n">
        <v>15</v>
      </c>
      <c r="I2844" s="1380" t="n">
        <f aca="false">G2844*H2844</f>
        <v>600</v>
      </c>
      <c r="J2844" s="1544" t="n">
        <v>33.0962</v>
      </c>
      <c r="K2844" s="1968" t="n">
        <f aca="false">I2844*J2844</f>
        <v>19857.72</v>
      </c>
      <c r="L2844" s="854" t="n">
        <v>19857.72</v>
      </c>
      <c r="M2844" s="854" t="n">
        <v>600</v>
      </c>
      <c r="N2844" s="854" t="n">
        <f aca="false">M2844/H2844</f>
        <v>40</v>
      </c>
      <c r="O2844" s="537" t="s">
        <v>3436</v>
      </c>
      <c r="P2844" s="1969" t="n">
        <f aca="false">K2844-L2844</f>
        <v>0</v>
      </c>
      <c r="Q2844" s="1971" t="n">
        <f aca="false">I2844-M2844</f>
        <v>0</v>
      </c>
      <c r="R2844" s="1971" t="n">
        <f aca="false">G2844-N2844</f>
        <v>0</v>
      </c>
    </row>
    <row r="2845" customFormat="false" ht="14.25" hidden="false" customHeight="false" outlineLevel="0" collapsed="false">
      <c r="A2845" s="903" t="n">
        <v>212</v>
      </c>
      <c r="B2845" s="903" t="n">
        <v>2024</v>
      </c>
      <c r="C2845" s="1974" t="n">
        <v>45839</v>
      </c>
      <c r="D2845" s="904" t="s">
        <v>8</v>
      </c>
      <c r="E2845" s="1351" t="s">
        <v>1651</v>
      </c>
      <c r="F2845" s="904" t="s">
        <v>3364</v>
      </c>
      <c r="G2845" s="2012" t="n">
        <v>16</v>
      </c>
      <c r="H2845" s="942" t="n">
        <v>10</v>
      </c>
      <c r="I2845" s="1355" t="n">
        <f aca="false">G2845*H2845</f>
        <v>160</v>
      </c>
      <c r="J2845" s="1406" t="n">
        <v>33.0962</v>
      </c>
      <c r="K2845" s="1942" t="n">
        <f aca="false">I2845*J2845</f>
        <v>5295.392</v>
      </c>
      <c r="L2845" s="891" t="n">
        <v>5295.392</v>
      </c>
      <c r="M2845" s="891" t="n">
        <v>160</v>
      </c>
      <c r="N2845" s="891" t="n">
        <f aca="false">M2845/H2845</f>
        <v>16</v>
      </c>
      <c r="O2845" s="942" t="s">
        <v>371</v>
      </c>
      <c r="P2845" s="1944" t="n">
        <f aca="false">K2845-L2845</f>
        <v>0</v>
      </c>
      <c r="Q2845" s="1946" t="n">
        <f aca="false">I2845-M2845</f>
        <v>0</v>
      </c>
      <c r="R2845" s="1946" t="n">
        <f aca="false">G2845-N2845</f>
        <v>0</v>
      </c>
    </row>
    <row r="2846" customFormat="false" ht="14.25" hidden="false" customHeight="false" outlineLevel="0" collapsed="false">
      <c r="A2846" s="829" t="n">
        <v>213</v>
      </c>
      <c r="B2846" s="830" t="n">
        <v>2024</v>
      </c>
      <c r="C2846" s="1965" t="n">
        <v>45839</v>
      </c>
      <c r="D2846" s="831" t="s">
        <v>8</v>
      </c>
      <c r="E2846" s="1365" t="s">
        <v>1651</v>
      </c>
      <c r="F2846" s="832" t="s">
        <v>3367</v>
      </c>
      <c r="G2846" s="2010" t="n">
        <v>253</v>
      </c>
      <c r="H2846" s="837" t="n">
        <v>10</v>
      </c>
      <c r="I2846" s="837" t="n">
        <f aca="false">G2846*H2846</f>
        <v>2530</v>
      </c>
      <c r="J2846" s="1059" t="n">
        <v>34.836</v>
      </c>
      <c r="K2846" s="943" t="n">
        <f aca="false">I2846*J2846</f>
        <v>88135.08</v>
      </c>
      <c r="L2846" s="840" t="n">
        <v>8012.28</v>
      </c>
      <c r="M2846" s="840" t="n">
        <v>230</v>
      </c>
      <c r="N2846" s="886" t="n">
        <f aca="false">M2846/H2846</f>
        <v>23</v>
      </c>
      <c r="O2846" s="1114" t="s">
        <v>456</v>
      </c>
      <c r="P2846" s="1934" t="n">
        <f aca="false">K2846-L2846-L2850-L2849-L2847-L2848</f>
        <v>2.95585778076202E-012</v>
      </c>
      <c r="Q2846" s="1934" t="n">
        <f aca="false">I2846-M2846-M2850-M2849-M2847-M2848</f>
        <v>0</v>
      </c>
      <c r="R2846" s="1935" t="n">
        <f aca="false">G2846-N2846-N2850-N2849-N2847-N2848</f>
        <v>0</v>
      </c>
    </row>
    <row r="2847" customFormat="false" ht="14.25" hidden="false" customHeight="false" outlineLevel="0" collapsed="false">
      <c r="A2847" s="829"/>
      <c r="B2847" s="830"/>
      <c r="C2847" s="1965"/>
      <c r="D2847" s="848" t="s">
        <v>8</v>
      </c>
      <c r="E2847" s="1479" t="s">
        <v>1651</v>
      </c>
      <c r="F2847" s="832"/>
      <c r="G2847" s="2010"/>
      <c r="H2847" s="837"/>
      <c r="I2847" s="837"/>
      <c r="J2847" s="1059"/>
      <c r="K2847" s="943"/>
      <c r="L2847" s="854" t="n">
        <v>68278.56</v>
      </c>
      <c r="M2847" s="854" t="n">
        <v>1960</v>
      </c>
      <c r="N2847" s="866" t="n">
        <f aca="false">M2847/H2846</f>
        <v>196</v>
      </c>
      <c r="O2847" s="537" t="s">
        <v>467</v>
      </c>
      <c r="P2847" s="1934"/>
      <c r="Q2847" s="1934"/>
      <c r="R2847" s="1935"/>
    </row>
    <row r="2848" customFormat="false" ht="14.25" hidden="false" customHeight="false" outlineLevel="0" collapsed="false">
      <c r="A2848" s="829"/>
      <c r="B2848" s="830"/>
      <c r="C2848" s="1965"/>
      <c r="D2848" s="848" t="s">
        <v>8</v>
      </c>
      <c r="E2848" s="1479" t="s">
        <v>1651</v>
      </c>
      <c r="F2848" s="832"/>
      <c r="G2848" s="2010"/>
      <c r="H2848" s="837"/>
      <c r="I2848" s="837"/>
      <c r="J2848" s="1059"/>
      <c r="K2848" s="943"/>
      <c r="L2848" s="854" t="n">
        <v>1741.8</v>
      </c>
      <c r="M2848" s="854" t="n">
        <v>50</v>
      </c>
      <c r="N2848" s="866" t="n">
        <f aca="false">M2848/H2846</f>
        <v>5</v>
      </c>
      <c r="O2848" s="537" t="s">
        <v>602</v>
      </c>
      <c r="P2848" s="1934"/>
      <c r="Q2848" s="1934"/>
      <c r="R2848" s="1935"/>
    </row>
    <row r="2849" customFormat="false" ht="14.25" hidden="false" customHeight="false" outlineLevel="0" collapsed="false">
      <c r="A2849" s="829"/>
      <c r="B2849" s="830"/>
      <c r="C2849" s="1965"/>
      <c r="D2849" s="860" t="s">
        <v>8</v>
      </c>
      <c r="E2849" s="1480" t="s">
        <v>1651</v>
      </c>
      <c r="F2849" s="832"/>
      <c r="G2849" s="2010"/>
      <c r="H2849" s="837"/>
      <c r="I2849" s="837"/>
      <c r="J2849" s="1059"/>
      <c r="K2849" s="943"/>
      <c r="L2849" s="866" t="n">
        <v>6967.2</v>
      </c>
      <c r="M2849" s="866" t="n">
        <v>200</v>
      </c>
      <c r="N2849" s="866" t="n">
        <f aca="false">M2849/H2846</f>
        <v>20</v>
      </c>
      <c r="O2849" s="543" t="s">
        <v>460</v>
      </c>
      <c r="P2849" s="1934"/>
      <c r="Q2849" s="1934"/>
      <c r="R2849" s="1935"/>
    </row>
    <row r="2850" customFormat="false" ht="14.25" hidden="false" customHeight="false" outlineLevel="0" collapsed="false">
      <c r="A2850" s="829"/>
      <c r="B2850" s="830"/>
      <c r="C2850" s="1965"/>
      <c r="D2850" s="887" t="s">
        <v>8</v>
      </c>
      <c r="E2850" s="1501" t="s">
        <v>1651</v>
      </c>
      <c r="F2850" s="832"/>
      <c r="G2850" s="2010"/>
      <c r="H2850" s="837"/>
      <c r="I2850" s="837"/>
      <c r="J2850" s="1059"/>
      <c r="K2850" s="943"/>
      <c r="L2850" s="890" t="n">
        <v>3135.24</v>
      </c>
      <c r="M2850" s="890" t="n">
        <v>90</v>
      </c>
      <c r="N2850" s="890" t="n">
        <f aca="false">M2850/H2846</f>
        <v>9</v>
      </c>
      <c r="O2850" s="1067" t="s">
        <v>457</v>
      </c>
      <c r="P2850" s="1934"/>
      <c r="Q2850" s="1934"/>
      <c r="R2850" s="1935"/>
    </row>
    <row r="2851" customFormat="false" ht="14.25" hidden="false" customHeight="false" outlineLevel="0" collapsed="false">
      <c r="A2851" s="882" t="n">
        <v>244</v>
      </c>
      <c r="B2851" s="830" t="n">
        <v>2024</v>
      </c>
      <c r="C2851" s="1965" t="n">
        <v>45839</v>
      </c>
      <c r="D2851" s="831" t="s">
        <v>8</v>
      </c>
      <c r="E2851" s="1365" t="s">
        <v>1651</v>
      </c>
      <c r="F2851" s="832" t="s">
        <v>3367</v>
      </c>
      <c r="G2851" s="2010" t="n">
        <v>290</v>
      </c>
      <c r="H2851" s="837" t="n">
        <v>15</v>
      </c>
      <c r="I2851" s="837" t="n">
        <f aca="false">G2851*H2851</f>
        <v>4350</v>
      </c>
      <c r="J2851" s="1059" t="n">
        <v>31.317</v>
      </c>
      <c r="K2851" s="943" t="n">
        <f aca="false">I2851*J2851</f>
        <v>136228.95</v>
      </c>
      <c r="L2851" s="840" t="n">
        <v>117438.75</v>
      </c>
      <c r="M2851" s="840" t="n">
        <v>3750</v>
      </c>
      <c r="N2851" s="886" t="n">
        <f aca="false">M2851/H2851</f>
        <v>250</v>
      </c>
      <c r="O2851" s="1114" t="s">
        <v>400</v>
      </c>
      <c r="P2851" s="1937" t="n">
        <f aca="false">K2851-L2851-L2853-L2852</f>
        <v>0</v>
      </c>
      <c r="Q2851" s="1934" t="n">
        <f aca="false">I2851-M2851-M2853-M2852</f>
        <v>0</v>
      </c>
      <c r="R2851" s="1935" t="n">
        <f aca="false">G2851-N2851-N2853-N2852</f>
        <v>0</v>
      </c>
    </row>
    <row r="2852" customFormat="false" ht="14.25" hidden="false" customHeight="false" outlineLevel="0" collapsed="false">
      <c r="A2852" s="882"/>
      <c r="B2852" s="830"/>
      <c r="C2852" s="1965"/>
      <c r="D2852" s="904" t="s">
        <v>8</v>
      </c>
      <c r="E2852" s="1351" t="s">
        <v>1651</v>
      </c>
      <c r="F2852" s="832"/>
      <c r="G2852" s="2010"/>
      <c r="H2852" s="837"/>
      <c r="I2852" s="837"/>
      <c r="J2852" s="1059"/>
      <c r="K2852" s="943"/>
      <c r="L2852" s="891" t="n">
        <v>13622.895</v>
      </c>
      <c r="M2852" s="891" t="n">
        <v>435</v>
      </c>
      <c r="N2852" s="866" t="n">
        <f aca="false">M2852/H2851</f>
        <v>29</v>
      </c>
      <c r="O2852" s="942" t="s">
        <v>578</v>
      </c>
      <c r="P2852" s="1937"/>
      <c r="Q2852" s="1934"/>
      <c r="R2852" s="1935"/>
    </row>
    <row r="2853" customFormat="false" ht="14.25" hidden="false" customHeight="false" outlineLevel="0" collapsed="false">
      <c r="A2853" s="882"/>
      <c r="B2853" s="830"/>
      <c r="C2853" s="1965"/>
      <c r="D2853" s="843" t="s">
        <v>8</v>
      </c>
      <c r="E2853" s="1357" t="s">
        <v>1651</v>
      </c>
      <c r="F2853" s="832"/>
      <c r="G2853" s="2010"/>
      <c r="H2853" s="837"/>
      <c r="I2853" s="837"/>
      <c r="J2853" s="1059"/>
      <c r="K2853" s="943"/>
      <c r="L2853" s="846" t="n">
        <v>5167.305</v>
      </c>
      <c r="M2853" s="846" t="n">
        <v>165</v>
      </c>
      <c r="N2853" s="890" t="n">
        <f aca="false">M2853/H2851</f>
        <v>11</v>
      </c>
      <c r="O2853" s="589" t="s">
        <v>538</v>
      </c>
      <c r="P2853" s="1937"/>
      <c r="Q2853" s="1934"/>
      <c r="R2853" s="1935"/>
    </row>
    <row r="2854" customFormat="false" ht="14.25" hidden="false" customHeight="false" outlineLevel="0" collapsed="false">
      <c r="A2854" s="903" t="n">
        <v>245</v>
      </c>
      <c r="B2854" s="903" t="n">
        <v>2024</v>
      </c>
      <c r="C2854" s="1974" t="n">
        <v>45839</v>
      </c>
      <c r="D2854" s="904" t="s">
        <v>8</v>
      </c>
      <c r="E2854" s="1351" t="s">
        <v>1651</v>
      </c>
      <c r="F2854" s="904" t="s">
        <v>3364</v>
      </c>
      <c r="G2854" s="2012" t="n">
        <v>81</v>
      </c>
      <c r="H2854" s="942" t="n">
        <v>10</v>
      </c>
      <c r="I2854" s="1355" t="n">
        <f aca="false">G2854*H2854</f>
        <v>810</v>
      </c>
      <c r="J2854" s="1406" t="n">
        <v>31.317</v>
      </c>
      <c r="K2854" s="1942" t="n">
        <f aca="false">I2854*J2854</f>
        <v>25366.77</v>
      </c>
      <c r="L2854" s="891" t="n">
        <v>25366.77</v>
      </c>
      <c r="M2854" s="891" t="n">
        <v>810</v>
      </c>
      <c r="N2854" s="891" t="n">
        <f aca="false">M2854/H2854</f>
        <v>81</v>
      </c>
      <c r="O2854" s="942" t="s">
        <v>377</v>
      </c>
      <c r="P2854" s="1944" t="n">
        <f aca="false">K2854-L2854</f>
        <v>0</v>
      </c>
      <c r="Q2854" s="1946" t="n">
        <f aca="false">I2854-M2854</f>
        <v>0</v>
      </c>
      <c r="R2854" s="1946" t="n">
        <f aca="false">G2854-N2854</f>
        <v>0</v>
      </c>
    </row>
    <row r="2855" customFormat="false" ht="14.25" hidden="false" customHeight="false" outlineLevel="0" collapsed="false">
      <c r="A2855" s="882" t="n">
        <v>246</v>
      </c>
      <c r="B2855" s="830" t="n">
        <v>2024</v>
      </c>
      <c r="C2855" s="1965" t="n">
        <v>45839</v>
      </c>
      <c r="D2855" s="831" t="s">
        <v>8</v>
      </c>
      <c r="E2855" s="1365" t="s">
        <v>1651</v>
      </c>
      <c r="F2855" s="832" t="s">
        <v>3364</v>
      </c>
      <c r="G2855" s="2010" t="n">
        <v>473</v>
      </c>
      <c r="H2855" s="837" t="n">
        <v>15</v>
      </c>
      <c r="I2855" s="837" t="n">
        <f aca="false">G2855*H2855</f>
        <v>7095</v>
      </c>
      <c r="J2855" s="1059" t="n">
        <v>31.5156</v>
      </c>
      <c r="K2855" s="943" t="n">
        <f aca="false">I2855*J2855</f>
        <v>223603.182</v>
      </c>
      <c r="L2855" s="840" t="n">
        <v>36400.518</v>
      </c>
      <c r="M2855" s="840" t="n">
        <v>1155</v>
      </c>
      <c r="N2855" s="886" t="n">
        <f aca="false">M2855/H2855</f>
        <v>77</v>
      </c>
      <c r="O2855" s="1114" t="s">
        <v>3436</v>
      </c>
      <c r="P2855" s="1937" t="n">
        <f aca="false">K2855-L2855-L2857-L2856</f>
        <v>0</v>
      </c>
      <c r="Q2855" s="1934" t="n">
        <f aca="false">I2855-M2855-M2857-M2856</f>
        <v>0</v>
      </c>
      <c r="R2855" s="1935" t="n">
        <f aca="false">G2855-N2855-N2857-N2856</f>
        <v>0</v>
      </c>
    </row>
    <row r="2856" customFormat="false" ht="14.25" hidden="false" customHeight="false" outlineLevel="0" collapsed="false">
      <c r="A2856" s="882"/>
      <c r="B2856" s="830"/>
      <c r="C2856" s="1965"/>
      <c r="D2856" s="860" t="s">
        <v>8</v>
      </c>
      <c r="E2856" s="1480" t="s">
        <v>1651</v>
      </c>
      <c r="F2856" s="832"/>
      <c r="G2856" s="2010"/>
      <c r="H2856" s="837"/>
      <c r="I2856" s="837"/>
      <c r="J2856" s="1059"/>
      <c r="K2856" s="943"/>
      <c r="L2856" s="866" t="n">
        <v>76582.908</v>
      </c>
      <c r="M2856" s="866" t="n">
        <v>2430</v>
      </c>
      <c r="N2856" s="866" t="n">
        <f aca="false">M2856/H2855</f>
        <v>162</v>
      </c>
      <c r="O2856" s="543" t="s">
        <v>404</v>
      </c>
      <c r="P2856" s="1937"/>
      <c r="Q2856" s="1934"/>
      <c r="R2856" s="1935"/>
    </row>
    <row r="2857" customFormat="false" ht="14.25" hidden="false" customHeight="false" outlineLevel="0" collapsed="false">
      <c r="A2857" s="882"/>
      <c r="B2857" s="830"/>
      <c r="C2857" s="1965"/>
      <c r="D2857" s="887" t="s">
        <v>8</v>
      </c>
      <c r="E2857" s="1501" t="s">
        <v>1651</v>
      </c>
      <c r="F2857" s="832"/>
      <c r="G2857" s="2010"/>
      <c r="H2857" s="837"/>
      <c r="I2857" s="837"/>
      <c r="J2857" s="1059"/>
      <c r="K2857" s="943"/>
      <c r="L2857" s="890" t="n">
        <v>110619.756</v>
      </c>
      <c r="M2857" s="890" t="n">
        <v>3510</v>
      </c>
      <c r="N2857" s="890" t="n">
        <f aca="false">M2857/H2855</f>
        <v>234</v>
      </c>
      <c r="O2857" s="1067" t="s">
        <v>390</v>
      </c>
      <c r="P2857" s="1937"/>
      <c r="Q2857" s="1934"/>
      <c r="R2857" s="1935"/>
    </row>
    <row r="2858" customFormat="false" ht="14.25" hidden="false" customHeight="false" outlineLevel="0" collapsed="false">
      <c r="A2858" s="903" t="n">
        <v>272</v>
      </c>
      <c r="B2858" s="903" t="n">
        <v>2024</v>
      </c>
      <c r="C2858" s="1974" t="n">
        <v>45870</v>
      </c>
      <c r="D2858" s="904" t="s">
        <v>8</v>
      </c>
      <c r="E2858" s="1351" t="s">
        <v>2619</v>
      </c>
      <c r="F2858" s="904" t="s">
        <v>3364</v>
      </c>
      <c r="G2858" s="2012" t="n">
        <v>14</v>
      </c>
      <c r="H2858" s="942" t="n">
        <v>30</v>
      </c>
      <c r="I2858" s="1355" t="n">
        <f aca="false">G2858*H2858</f>
        <v>420</v>
      </c>
      <c r="J2858" s="1406" t="n">
        <v>89.32</v>
      </c>
      <c r="K2858" s="1942" t="n">
        <f aca="false">I2858*J2858</f>
        <v>37514.4</v>
      </c>
      <c r="L2858" s="891" t="n">
        <v>37514.4</v>
      </c>
      <c r="M2858" s="891" t="n">
        <v>420</v>
      </c>
      <c r="N2858" s="891" t="n">
        <f aca="false">M2858/H2858</f>
        <v>14</v>
      </c>
      <c r="O2858" s="942" t="s">
        <v>384</v>
      </c>
      <c r="P2858" s="1944" t="n">
        <f aca="false">K2858-L2858</f>
        <v>0</v>
      </c>
      <c r="Q2858" s="1946" t="n">
        <f aca="false">I2858-M2858</f>
        <v>0</v>
      </c>
      <c r="R2858" s="1946" t="n">
        <f aca="false">G2858-N2858</f>
        <v>0</v>
      </c>
    </row>
    <row r="2859" customFormat="false" ht="14.25" hidden="false" customHeight="false" outlineLevel="0" collapsed="false">
      <c r="A2859" s="882" t="n">
        <v>293</v>
      </c>
      <c r="B2859" s="830" t="n">
        <v>2024</v>
      </c>
      <c r="C2859" s="1965" t="n">
        <v>45870</v>
      </c>
      <c r="D2859" s="831" t="s">
        <v>8</v>
      </c>
      <c r="E2859" s="1365" t="s">
        <v>1651</v>
      </c>
      <c r="F2859" s="832" t="s">
        <v>3364</v>
      </c>
      <c r="G2859" s="2010" t="n">
        <v>410</v>
      </c>
      <c r="H2859" s="837" t="n">
        <v>15</v>
      </c>
      <c r="I2859" s="837" t="n">
        <f aca="false">G2859*H2859</f>
        <v>6150</v>
      </c>
      <c r="J2859" s="1059" t="n">
        <v>30.4389</v>
      </c>
      <c r="K2859" s="943" t="n">
        <f aca="false">I2859*J2859</f>
        <v>187199.235</v>
      </c>
      <c r="L2859" s="840" t="n">
        <v>91316.7</v>
      </c>
      <c r="M2859" s="886" t="n">
        <v>3000</v>
      </c>
      <c r="N2859" s="886" t="n">
        <f aca="false">M2859/H2859</f>
        <v>200</v>
      </c>
      <c r="O2859" s="1114" t="s">
        <v>406</v>
      </c>
      <c r="P2859" s="1937" t="n">
        <f aca="false">K2859-L2859-L2861-L2860</f>
        <v>0</v>
      </c>
      <c r="Q2859" s="1934" t="n">
        <f aca="false">I2859-M2859-M2861-M2860</f>
        <v>0</v>
      </c>
      <c r="R2859" s="1935" t="n">
        <f aca="false">G2859-N2859-N2861-N2860</f>
        <v>0</v>
      </c>
    </row>
    <row r="2860" customFormat="false" ht="14.25" hidden="false" customHeight="false" outlineLevel="0" collapsed="false">
      <c r="A2860" s="882"/>
      <c r="B2860" s="830"/>
      <c r="C2860" s="1965"/>
      <c r="D2860" s="860" t="s">
        <v>8</v>
      </c>
      <c r="E2860" s="1480" t="s">
        <v>1651</v>
      </c>
      <c r="F2860" s="832"/>
      <c r="G2860" s="2010"/>
      <c r="H2860" s="837"/>
      <c r="I2860" s="837"/>
      <c r="J2860" s="1059"/>
      <c r="K2860" s="943"/>
      <c r="L2860" s="866" t="n">
        <v>31960.845</v>
      </c>
      <c r="M2860" s="866" t="n">
        <v>1050</v>
      </c>
      <c r="N2860" s="866" t="n">
        <f aca="false">M2860/H2859</f>
        <v>70</v>
      </c>
      <c r="O2860" s="543" t="s">
        <v>418</v>
      </c>
      <c r="P2860" s="1937"/>
      <c r="Q2860" s="1934"/>
      <c r="R2860" s="1935"/>
    </row>
    <row r="2861" customFormat="false" ht="14.25" hidden="false" customHeight="false" outlineLevel="0" collapsed="false">
      <c r="A2861" s="882"/>
      <c r="B2861" s="830"/>
      <c r="C2861" s="1965"/>
      <c r="D2861" s="887" t="s">
        <v>8</v>
      </c>
      <c r="E2861" s="1501" t="s">
        <v>1651</v>
      </c>
      <c r="F2861" s="832"/>
      <c r="G2861" s="2010"/>
      <c r="H2861" s="837"/>
      <c r="I2861" s="837"/>
      <c r="J2861" s="1059"/>
      <c r="K2861" s="943"/>
      <c r="L2861" s="890" t="n">
        <v>63921.69</v>
      </c>
      <c r="M2861" s="890" t="n">
        <v>2100</v>
      </c>
      <c r="N2861" s="890" t="n">
        <f aca="false">M2861/H2859</f>
        <v>140</v>
      </c>
      <c r="O2861" s="1067" t="s">
        <v>3377</v>
      </c>
      <c r="P2861" s="1937"/>
      <c r="Q2861" s="1934"/>
      <c r="R2861" s="1935"/>
    </row>
    <row r="2862" customFormat="false" ht="14.25" hidden="false" customHeight="false" outlineLevel="0" collapsed="false">
      <c r="A2862" s="882" t="n">
        <v>294</v>
      </c>
      <c r="B2862" s="830" t="n">
        <v>2024</v>
      </c>
      <c r="C2862" s="1965" t="n">
        <v>45870</v>
      </c>
      <c r="D2862" s="831" t="s">
        <v>8</v>
      </c>
      <c r="E2862" s="1365" t="s">
        <v>1652</v>
      </c>
      <c r="F2862" s="832" t="s">
        <v>3364</v>
      </c>
      <c r="G2862" s="2010" t="n">
        <v>666</v>
      </c>
      <c r="H2862" s="837" t="n">
        <v>15</v>
      </c>
      <c r="I2862" s="837" t="n">
        <f aca="false">G2862*H2862</f>
        <v>9990</v>
      </c>
      <c r="J2862" s="1059" t="n">
        <v>39.7058</v>
      </c>
      <c r="K2862" s="943" t="n">
        <f aca="false">I2862*J2862</f>
        <v>396660.942</v>
      </c>
      <c r="L2862" s="840" t="n">
        <v>382962.441</v>
      </c>
      <c r="M2862" s="840" t="n">
        <v>9645</v>
      </c>
      <c r="N2862" s="886" t="n">
        <f aca="false">M2862/H2862</f>
        <v>643</v>
      </c>
      <c r="O2862" s="1114" t="s">
        <v>404</v>
      </c>
      <c r="P2862" s="1948" t="n">
        <f aca="false">K2862-L2862-L2868-L2867-L2863-L2866-L2864-L2865</f>
        <v>67301.3310000001</v>
      </c>
      <c r="Q2862" s="1934" t="n">
        <f aca="false">I2862-M2862-M2868-M2867-M2863-M2866-M2864-M2865</f>
        <v>1695</v>
      </c>
      <c r="R2862" s="1935" t="n">
        <f aca="false">G2862-N2862-N2868-N2867-N2863-N2866-N2864-N2865</f>
        <v>113</v>
      </c>
    </row>
    <row r="2863" customFormat="false" ht="14.25" hidden="false" customHeight="false" outlineLevel="0" collapsed="false">
      <c r="A2863" s="882"/>
      <c r="B2863" s="830"/>
      <c r="C2863" s="1965"/>
      <c r="D2863" s="848" t="s">
        <v>8</v>
      </c>
      <c r="E2863" s="1479" t="s">
        <v>1652</v>
      </c>
      <c r="F2863" s="832"/>
      <c r="G2863" s="2010"/>
      <c r="H2863" s="837"/>
      <c r="I2863" s="837"/>
      <c r="J2863" s="1059"/>
      <c r="K2863" s="943"/>
      <c r="L2863" s="854" t="n">
        <v>29779.35</v>
      </c>
      <c r="M2863" s="854" t="n">
        <v>750</v>
      </c>
      <c r="N2863" s="866" t="n">
        <f aca="false">M2863/H2862</f>
        <v>50</v>
      </c>
      <c r="O2863" s="537" t="s">
        <v>3597</v>
      </c>
      <c r="P2863" s="1948"/>
      <c r="Q2863" s="1934"/>
      <c r="R2863" s="1935"/>
    </row>
    <row r="2864" customFormat="false" ht="14.25" hidden="false" customHeight="false" outlineLevel="0" collapsed="false">
      <c r="A2864" s="882"/>
      <c r="B2864" s="830"/>
      <c r="C2864" s="1965"/>
      <c r="D2864" s="848" t="s">
        <v>8</v>
      </c>
      <c r="E2864" s="1479" t="s">
        <v>1652</v>
      </c>
      <c r="F2864" s="832"/>
      <c r="G2864" s="2010"/>
      <c r="H2864" s="837"/>
      <c r="I2864" s="837"/>
      <c r="J2864" s="1059"/>
      <c r="K2864" s="943"/>
      <c r="L2864" s="854" t="n">
        <v>8933.805</v>
      </c>
      <c r="M2864" s="854" t="n">
        <v>225</v>
      </c>
      <c r="N2864" s="866" t="n">
        <f aca="false">M2864/H2862</f>
        <v>15</v>
      </c>
      <c r="O2864" s="537" t="s">
        <v>1242</v>
      </c>
      <c r="P2864" s="1948"/>
      <c r="Q2864" s="1934"/>
      <c r="R2864" s="1935"/>
    </row>
    <row r="2865" customFormat="false" ht="14.25" hidden="false" customHeight="false" outlineLevel="0" collapsed="false">
      <c r="A2865" s="882"/>
      <c r="B2865" s="830"/>
      <c r="C2865" s="1965"/>
      <c r="D2865" s="848" t="s">
        <v>8</v>
      </c>
      <c r="E2865" s="1479" t="s">
        <v>1652</v>
      </c>
      <c r="F2865" s="832"/>
      <c r="G2865" s="2010"/>
      <c r="H2865" s="837"/>
      <c r="I2865" s="837"/>
      <c r="J2865" s="1059"/>
      <c r="K2865" s="943"/>
      <c r="L2865" s="854" t="n">
        <v>-227514.234</v>
      </c>
      <c r="M2865" s="854" t="n">
        <v>-5730</v>
      </c>
      <c r="N2865" s="866" t="n">
        <f aca="false">M2865/H2862</f>
        <v>-382</v>
      </c>
      <c r="O2865" s="537" t="s">
        <v>1634</v>
      </c>
      <c r="P2865" s="1948"/>
      <c r="Q2865" s="1934"/>
      <c r="R2865" s="1935"/>
    </row>
    <row r="2866" customFormat="false" ht="14.25" hidden="false" customHeight="false" outlineLevel="0" collapsed="false">
      <c r="A2866" s="882"/>
      <c r="B2866" s="830"/>
      <c r="C2866" s="1965"/>
      <c r="D2866" s="848" t="s">
        <v>8</v>
      </c>
      <c r="E2866" s="1479" t="s">
        <v>1652</v>
      </c>
      <c r="F2866" s="832"/>
      <c r="G2866" s="2010"/>
      <c r="H2866" s="837"/>
      <c r="I2866" s="837"/>
      <c r="J2866" s="1059"/>
      <c r="K2866" s="943"/>
      <c r="L2866" s="854" t="n">
        <v>2382.348</v>
      </c>
      <c r="M2866" s="854" t="n">
        <v>60</v>
      </c>
      <c r="N2866" s="866" t="n">
        <f aca="false">M2866/H2862</f>
        <v>4</v>
      </c>
      <c r="O2866" s="537" t="s">
        <v>1239</v>
      </c>
      <c r="P2866" s="1948"/>
      <c r="Q2866" s="1934"/>
      <c r="R2866" s="1935"/>
    </row>
    <row r="2867" customFormat="false" ht="14.25" hidden="false" customHeight="false" outlineLevel="0" collapsed="false">
      <c r="A2867" s="882"/>
      <c r="B2867" s="830"/>
      <c r="C2867" s="1965"/>
      <c r="D2867" s="860" t="s">
        <v>8</v>
      </c>
      <c r="E2867" s="1480" t="s">
        <v>1652</v>
      </c>
      <c r="F2867" s="832"/>
      <c r="G2867" s="2010"/>
      <c r="H2867" s="837"/>
      <c r="I2867" s="837"/>
      <c r="J2867" s="1059"/>
      <c r="K2867" s="943"/>
      <c r="L2867" s="866" t="n">
        <v>119117.4</v>
      </c>
      <c r="M2867" s="866" t="n">
        <v>3000</v>
      </c>
      <c r="N2867" s="866" t="n">
        <f aca="false">M2867/H2862</f>
        <v>200</v>
      </c>
      <c r="O2867" s="543" t="s">
        <v>1207</v>
      </c>
      <c r="P2867" s="1948"/>
      <c r="Q2867" s="1934"/>
      <c r="R2867" s="1935"/>
    </row>
    <row r="2868" customFormat="false" ht="14.25" hidden="false" customHeight="false" outlineLevel="0" collapsed="false">
      <c r="A2868" s="882"/>
      <c r="B2868" s="830"/>
      <c r="C2868" s="1965"/>
      <c r="D2868" s="887" t="s">
        <v>8</v>
      </c>
      <c r="E2868" s="1501" t="s">
        <v>1652</v>
      </c>
      <c r="F2868" s="832"/>
      <c r="G2868" s="2010"/>
      <c r="H2868" s="837"/>
      <c r="I2868" s="837"/>
      <c r="J2868" s="1059"/>
      <c r="K2868" s="943"/>
      <c r="L2868" s="890" t="n">
        <v>13698.501</v>
      </c>
      <c r="M2868" s="890" t="n">
        <v>345</v>
      </c>
      <c r="N2868" s="890" t="n">
        <f aca="false">M2868/H2862</f>
        <v>23</v>
      </c>
      <c r="O2868" s="1067" t="s">
        <v>440</v>
      </c>
      <c r="P2868" s="1948"/>
      <c r="Q2868" s="1934"/>
      <c r="R2868" s="1935"/>
    </row>
    <row r="2869" customFormat="false" ht="14.25" hidden="false" customHeight="false" outlineLevel="0" collapsed="false">
      <c r="A2869" s="882" t="n">
        <v>295</v>
      </c>
      <c r="B2869" s="830" t="n">
        <v>2024</v>
      </c>
      <c r="C2869" s="1965" t="n">
        <v>45870</v>
      </c>
      <c r="D2869" s="831" t="s">
        <v>8</v>
      </c>
      <c r="E2869" s="1365" t="s">
        <v>1652</v>
      </c>
      <c r="F2869" s="832" t="s">
        <v>3364</v>
      </c>
      <c r="G2869" s="2010" t="n">
        <v>132</v>
      </c>
      <c r="H2869" s="837" t="n">
        <v>15</v>
      </c>
      <c r="I2869" s="837" t="n">
        <f aca="false">G2869*H2869</f>
        <v>1980</v>
      </c>
      <c r="J2869" s="1059" t="n">
        <v>39.9397</v>
      </c>
      <c r="K2869" s="943" t="n">
        <f aca="false">I2869*J2869</f>
        <v>79080.606</v>
      </c>
      <c r="L2869" s="840" t="n">
        <v>14378.292</v>
      </c>
      <c r="M2869" s="840" t="n">
        <v>360</v>
      </c>
      <c r="N2869" s="886" t="n">
        <f aca="false">M2869/H2869</f>
        <v>24</v>
      </c>
      <c r="O2869" s="1114" t="s">
        <v>404</v>
      </c>
      <c r="P2869" s="1937" t="n">
        <f aca="false">K2869-L2869-L2871-L2870</f>
        <v>0</v>
      </c>
      <c r="Q2869" s="1934" t="n">
        <f aca="false">I2869-M2869-M2871-M2870</f>
        <v>0</v>
      </c>
      <c r="R2869" s="1935" t="n">
        <f aca="false">G2869-N2869-N2871-N2870</f>
        <v>0</v>
      </c>
    </row>
    <row r="2870" customFormat="false" ht="14.25" hidden="false" customHeight="false" outlineLevel="0" collapsed="false">
      <c r="A2870" s="882"/>
      <c r="B2870" s="830"/>
      <c r="C2870" s="1965"/>
      <c r="D2870" s="860" t="s">
        <v>8</v>
      </c>
      <c r="E2870" s="1480" t="s">
        <v>1652</v>
      </c>
      <c r="F2870" s="832"/>
      <c r="G2870" s="2010"/>
      <c r="H2870" s="837"/>
      <c r="I2870" s="837"/>
      <c r="J2870" s="1059"/>
      <c r="K2870" s="943"/>
      <c r="L2870" s="866" t="n">
        <v>23963.82</v>
      </c>
      <c r="M2870" s="866" t="n">
        <v>600</v>
      </c>
      <c r="N2870" s="866" t="n">
        <f aca="false">M2870/H2869</f>
        <v>40</v>
      </c>
      <c r="O2870" s="543" t="s">
        <v>585</v>
      </c>
      <c r="P2870" s="1937"/>
      <c r="Q2870" s="1934"/>
      <c r="R2870" s="1935"/>
    </row>
    <row r="2871" customFormat="false" ht="14.25" hidden="false" customHeight="false" outlineLevel="0" collapsed="false">
      <c r="A2871" s="882"/>
      <c r="B2871" s="830"/>
      <c r="C2871" s="1965"/>
      <c r="D2871" s="887" t="s">
        <v>8</v>
      </c>
      <c r="E2871" s="1501" t="s">
        <v>1652</v>
      </c>
      <c r="F2871" s="832"/>
      <c r="G2871" s="2010"/>
      <c r="H2871" s="837"/>
      <c r="I2871" s="837"/>
      <c r="J2871" s="1059"/>
      <c r="K2871" s="943"/>
      <c r="L2871" s="890" t="n">
        <v>40738.494</v>
      </c>
      <c r="M2871" s="890" t="n">
        <v>1020</v>
      </c>
      <c r="N2871" s="890" t="n">
        <f aca="false">M2871/H2869</f>
        <v>68</v>
      </c>
      <c r="O2871" s="1067" t="s">
        <v>3378</v>
      </c>
      <c r="P2871" s="1937"/>
      <c r="Q2871" s="1934"/>
      <c r="R2871" s="1935"/>
    </row>
    <row r="2872" customFormat="false" ht="14.25" hidden="false" customHeight="false" outlineLevel="0" collapsed="false">
      <c r="A2872" s="903" t="n">
        <v>305</v>
      </c>
      <c r="B2872" s="903" t="n">
        <v>2024</v>
      </c>
      <c r="C2872" s="1974" t="n">
        <v>45870</v>
      </c>
      <c r="D2872" s="904" t="s">
        <v>8</v>
      </c>
      <c r="E2872" s="1351" t="s">
        <v>2619</v>
      </c>
      <c r="F2872" s="904" t="s">
        <v>3364</v>
      </c>
      <c r="G2872" s="2012" t="n">
        <v>14</v>
      </c>
      <c r="H2872" s="942" t="n">
        <v>30</v>
      </c>
      <c r="I2872" s="1355" t="n">
        <f aca="false">G2872*H2872</f>
        <v>420</v>
      </c>
      <c r="J2872" s="1406" t="n">
        <v>89.8921</v>
      </c>
      <c r="K2872" s="1942" t="n">
        <f aca="false">I2872*J2872</f>
        <v>37754.682</v>
      </c>
      <c r="L2872" s="891" t="n">
        <v>37754.682</v>
      </c>
      <c r="M2872" s="891" t="n">
        <v>420</v>
      </c>
      <c r="N2872" s="891" t="n">
        <f aca="false">M2872/H2872</f>
        <v>14</v>
      </c>
      <c r="O2872" s="942"/>
      <c r="P2872" s="1944" t="n">
        <f aca="false">K2872-L2872</f>
        <v>0</v>
      </c>
      <c r="Q2872" s="1946" t="n">
        <f aca="false">I2872-M2872</f>
        <v>0</v>
      </c>
      <c r="R2872" s="1946" t="n">
        <f aca="false">G2872-N2872</f>
        <v>0</v>
      </c>
    </row>
    <row r="2873" customFormat="false" ht="14.25" hidden="false" customHeight="false" outlineLevel="0" collapsed="false">
      <c r="A2873" s="1027" t="n">
        <v>328</v>
      </c>
      <c r="B2873" s="1546" t="n">
        <v>2024</v>
      </c>
      <c r="C2873" s="1975" t="n">
        <v>45870</v>
      </c>
      <c r="D2873" s="831" t="s">
        <v>8</v>
      </c>
      <c r="E2873" s="1365" t="s">
        <v>2619</v>
      </c>
      <c r="F2873" s="1328" t="s">
        <v>3364</v>
      </c>
      <c r="G2873" s="2011" t="n">
        <v>28</v>
      </c>
      <c r="H2873" s="1036" t="n">
        <v>30</v>
      </c>
      <c r="I2873" s="1036" t="n">
        <f aca="false">G2873*H2873</f>
        <v>840</v>
      </c>
      <c r="J2873" s="1557" t="n">
        <v>90.0833</v>
      </c>
      <c r="K2873" s="1547" t="n">
        <f aca="false">I2873*J2873</f>
        <v>75669.972</v>
      </c>
      <c r="L2873" s="840" t="n">
        <v>37834.986</v>
      </c>
      <c r="M2873" s="840" t="n">
        <v>420</v>
      </c>
      <c r="N2873" s="840" t="n">
        <f aca="false">M2873/H2873</f>
        <v>14</v>
      </c>
      <c r="O2873" s="1114" t="s">
        <v>474</v>
      </c>
      <c r="P2873" s="1984" t="n">
        <f aca="false">K2873-L2873-L2874</f>
        <v>0</v>
      </c>
      <c r="Q2873" s="1978" t="n">
        <f aca="false">I2873-M2873-M2874</f>
        <v>0</v>
      </c>
      <c r="R2873" s="1979" t="n">
        <f aca="false">G2873-N2873-N2874</f>
        <v>0</v>
      </c>
    </row>
    <row r="2874" customFormat="false" ht="14.25" hidden="false" customHeight="false" outlineLevel="0" collapsed="false">
      <c r="A2874" s="1027"/>
      <c r="B2874" s="1546"/>
      <c r="C2874" s="1975"/>
      <c r="D2874" s="871" t="s">
        <v>8</v>
      </c>
      <c r="E2874" s="1478" t="s">
        <v>2619</v>
      </c>
      <c r="F2874" s="1328"/>
      <c r="G2874" s="2011"/>
      <c r="H2874" s="1036"/>
      <c r="I2874" s="1036"/>
      <c r="J2874" s="1557"/>
      <c r="K2874" s="1547"/>
      <c r="L2874" s="877" t="n">
        <v>37834.986</v>
      </c>
      <c r="M2874" s="877" t="n">
        <v>420</v>
      </c>
      <c r="N2874" s="877" t="n">
        <f aca="false">M2874/H2873</f>
        <v>14</v>
      </c>
      <c r="O2874" s="553" t="s">
        <v>515</v>
      </c>
      <c r="P2874" s="1984"/>
      <c r="Q2874" s="1978"/>
      <c r="R2874" s="1979"/>
    </row>
    <row r="2875" customFormat="false" ht="14.25" hidden="false" customHeight="false" outlineLevel="0" collapsed="false">
      <c r="A2875" s="829" t="n">
        <v>329</v>
      </c>
      <c r="B2875" s="830" t="n">
        <v>2024</v>
      </c>
      <c r="C2875" s="1965" t="n">
        <v>45870</v>
      </c>
      <c r="D2875" s="831" t="s">
        <v>8</v>
      </c>
      <c r="E2875" s="1365" t="s">
        <v>2131</v>
      </c>
      <c r="F2875" s="832" t="s">
        <v>3364</v>
      </c>
      <c r="G2875" s="2010" t="n">
        <v>32</v>
      </c>
      <c r="H2875" s="837" t="n">
        <v>25</v>
      </c>
      <c r="I2875" s="837" t="n">
        <f aca="false">G2875*H2875</f>
        <v>800</v>
      </c>
      <c r="J2875" s="1059" t="n">
        <v>63.13</v>
      </c>
      <c r="K2875" s="943" t="n">
        <f aca="false">I2875*J2875</f>
        <v>50504</v>
      </c>
      <c r="L2875" s="886" t="n">
        <v>28408.5</v>
      </c>
      <c r="M2875" s="886" t="n">
        <v>450</v>
      </c>
      <c r="N2875" s="886" t="n">
        <f aca="false">M2875/H2875</f>
        <v>18</v>
      </c>
      <c r="O2875" s="1036" t="s">
        <v>814</v>
      </c>
      <c r="P2875" s="1937" t="n">
        <f aca="false">K2875-L2875-L2878-L2877-L2876</f>
        <v>0</v>
      </c>
      <c r="Q2875" s="1934" t="n">
        <f aca="false">I2875-M2875-M2878-M2877-M2876</f>
        <v>0</v>
      </c>
      <c r="R2875" s="1935" t="n">
        <f aca="false">G2875-N2875-N2878-N2877-N2876</f>
        <v>0</v>
      </c>
    </row>
    <row r="2876" customFormat="false" ht="14.25" hidden="false" customHeight="false" outlineLevel="0" collapsed="false">
      <c r="A2876" s="829"/>
      <c r="B2876" s="830"/>
      <c r="C2876" s="1965"/>
      <c r="D2876" s="860" t="s">
        <v>8</v>
      </c>
      <c r="E2876" s="1480" t="s">
        <v>2131</v>
      </c>
      <c r="F2876" s="832"/>
      <c r="G2876" s="2010"/>
      <c r="H2876" s="837"/>
      <c r="I2876" s="837"/>
      <c r="J2876" s="1059"/>
      <c r="K2876" s="943"/>
      <c r="L2876" s="866" t="n">
        <v>1578.25</v>
      </c>
      <c r="M2876" s="866" t="n">
        <v>25</v>
      </c>
      <c r="N2876" s="866" t="n">
        <f aca="false">M2876/H2875</f>
        <v>1</v>
      </c>
      <c r="O2876" s="543" t="s">
        <v>1375</v>
      </c>
      <c r="P2876" s="1937"/>
      <c r="Q2876" s="1934"/>
      <c r="R2876" s="1935"/>
    </row>
    <row r="2877" customFormat="false" ht="14.25" hidden="false" customHeight="false" outlineLevel="0" collapsed="false">
      <c r="A2877" s="829"/>
      <c r="B2877" s="830"/>
      <c r="C2877" s="1965"/>
      <c r="D2877" s="860" t="s">
        <v>8</v>
      </c>
      <c r="E2877" s="1480" t="s">
        <v>2131</v>
      </c>
      <c r="F2877" s="832"/>
      <c r="G2877" s="2010"/>
      <c r="H2877" s="837"/>
      <c r="I2877" s="837"/>
      <c r="J2877" s="1059"/>
      <c r="K2877" s="943"/>
      <c r="L2877" s="866" t="n">
        <v>9469.5</v>
      </c>
      <c r="M2877" s="866" t="n">
        <v>150</v>
      </c>
      <c r="N2877" s="866" t="n">
        <f aca="false">M2877/H2875</f>
        <v>6</v>
      </c>
      <c r="O2877" s="543" t="s">
        <v>618</v>
      </c>
      <c r="P2877" s="1937"/>
      <c r="Q2877" s="1934"/>
      <c r="R2877" s="1935"/>
    </row>
    <row r="2878" customFormat="false" ht="14.25" hidden="false" customHeight="false" outlineLevel="0" collapsed="false">
      <c r="A2878" s="829"/>
      <c r="B2878" s="830"/>
      <c r="C2878" s="1965"/>
      <c r="D2878" s="843" t="s">
        <v>8</v>
      </c>
      <c r="E2878" s="1357" t="s">
        <v>2131</v>
      </c>
      <c r="F2878" s="832"/>
      <c r="G2878" s="2010"/>
      <c r="H2878" s="837"/>
      <c r="I2878" s="837"/>
      <c r="J2878" s="1059"/>
      <c r="K2878" s="943"/>
      <c r="L2878" s="846" t="n">
        <v>11047.75</v>
      </c>
      <c r="M2878" s="846" t="n">
        <v>175</v>
      </c>
      <c r="N2878" s="846" t="n">
        <f aca="false">M2878/H2875</f>
        <v>7</v>
      </c>
      <c r="O2878" s="589" t="s">
        <v>814</v>
      </c>
      <c r="P2878" s="1937"/>
      <c r="Q2878" s="1934"/>
      <c r="R2878" s="1935"/>
    </row>
    <row r="2879" customFormat="false" ht="14.25" hidden="false" customHeight="false" outlineLevel="0" collapsed="false">
      <c r="A2879" s="1060" t="n">
        <v>338</v>
      </c>
      <c r="B2879" s="1072" t="n">
        <v>2024</v>
      </c>
      <c r="C2879" s="1980" t="n">
        <v>45901</v>
      </c>
      <c r="D2879" s="848" t="s">
        <v>8</v>
      </c>
      <c r="E2879" s="1479" t="s">
        <v>1651</v>
      </c>
      <c r="F2879" s="887" t="s">
        <v>3364</v>
      </c>
      <c r="G2879" s="2017" t="n">
        <v>100</v>
      </c>
      <c r="H2879" s="1067" t="n">
        <v>15</v>
      </c>
      <c r="I2879" s="1067" t="n">
        <f aca="false">G2879*H2879</f>
        <v>1500</v>
      </c>
      <c r="J2879" s="1063" t="n">
        <v>30.954</v>
      </c>
      <c r="K2879" s="1452" t="n">
        <f aca="false">I2879*J2879</f>
        <v>46431</v>
      </c>
      <c r="L2879" s="854" t="n">
        <v>5571.72</v>
      </c>
      <c r="M2879" s="854" t="n">
        <v>180</v>
      </c>
      <c r="N2879" s="891" t="n">
        <f aca="false">M2879/H2879</f>
        <v>12</v>
      </c>
      <c r="O2879" s="537" t="s">
        <v>426</v>
      </c>
      <c r="P2879" s="2056" t="n">
        <f aca="false">K2879-L2879-L2884-L2883-L2880-L2881-L2882</f>
        <v>0</v>
      </c>
      <c r="Q2879" s="1953" t="n">
        <f aca="false">I2879-M2879-M2884-M2883-M2880-M2881-M2882</f>
        <v>0</v>
      </c>
      <c r="R2879" s="1954" t="n">
        <f aca="false">G2879-N2879-N2884-N2883-N2880-N2881-N2882</f>
        <v>0</v>
      </c>
    </row>
    <row r="2880" customFormat="false" ht="14.25" hidden="false" customHeight="false" outlineLevel="0" collapsed="false">
      <c r="A2880" s="1060"/>
      <c r="B2880" s="1072"/>
      <c r="C2880" s="1980"/>
      <c r="D2880" s="848" t="s">
        <v>8</v>
      </c>
      <c r="E2880" s="1479" t="s">
        <v>1651</v>
      </c>
      <c r="F2880" s="887"/>
      <c r="G2880" s="2017"/>
      <c r="H2880" s="1067"/>
      <c r="I2880" s="1067"/>
      <c r="J2880" s="1063"/>
      <c r="K2880" s="1452"/>
      <c r="L2880" s="854" t="n">
        <v>6500.34</v>
      </c>
      <c r="M2880" s="854" t="n">
        <v>210</v>
      </c>
      <c r="N2880" s="866" t="n">
        <f aca="false">M2880/H2879</f>
        <v>14</v>
      </c>
      <c r="O2880" s="537" t="s">
        <v>445</v>
      </c>
      <c r="P2880" s="2056"/>
      <c r="Q2880" s="1953"/>
      <c r="R2880" s="1954"/>
    </row>
    <row r="2881" customFormat="false" ht="14.25" hidden="false" customHeight="false" outlineLevel="0" collapsed="false">
      <c r="A2881" s="1060"/>
      <c r="B2881" s="1072"/>
      <c r="C2881" s="1980"/>
      <c r="D2881" s="848" t="s">
        <v>8</v>
      </c>
      <c r="E2881" s="1479" t="s">
        <v>1651</v>
      </c>
      <c r="F2881" s="887"/>
      <c r="G2881" s="2017"/>
      <c r="H2881" s="1067"/>
      <c r="I2881" s="1067"/>
      <c r="J2881" s="1063"/>
      <c r="K2881" s="1452"/>
      <c r="L2881" s="854" t="n">
        <v>3250.17</v>
      </c>
      <c r="M2881" s="854" t="n">
        <v>105</v>
      </c>
      <c r="N2881" s="866" t="n">
        <f aca="false">M2881/H2879</f>
        <v>7</v>
      </c>
      <c r="O2881" s="537" t="s">
        <v>480</v>
      </c>
      <c r="P2881" s="2056"/>
      <c r="Q2881" s="1953"/>
      <c r="R2881" s="1954"/>
    </row>
    <row r="2882" customFormat="false" ht="14.25" hidden="false" customHeight="false" outlineLevel="0" collapsed="false">
      <c r="A2882" s="1060"/>
      <c r="B2882" s="1072"/>
      <c r="C2882" s="1980"/>
      <c r="D2882" s="848" t="s">
        <v>8</v>
      </c>
      <c r="E2882" s="1479" t="s">
        <v>1651</v>
      </c>
      <c r="F2882" s="887"/>
      <c r="G2882" s="2017"/>
      <c r="H2882" s="1067"/>
      <c r="I2882" s="1067"/>
      <c r="J2882" s="1063"/>
      <c r="K2882" s="1452"/>
      <c r="L2882" s="854" t="n">
        <v>6036.03</v>
      </c>
      <c r="M2882" s="854" t="n">
        <v>195</v>
      </c>
      <c r="N2882" s="866" t="n">
        <f aca="false">M2882/H2879</f>
        <v>13</v>
      </c>
      <c r="O2882" s="537" t="s">
        <v>483</v>
      </c>
      <c r="P2882" s="2056"/>
      <c r="Q2882" s="1953"/>
      <c r="R2882" s="1954"/>
    </row>
    <row r="2883" customFormat="false" ht="14.25" hidden="false" customHeight="false" outlineLevel="0" collapsed="false">
      <c r="A2883" s="1060"/>
      <c r="B2883" s="1072"/>
      <c r="C2883" s="1980"/>
      <c r="D2883" s="860" t="s">
        <v>8</v>
      </c>
      <c r="E2883" s="1480" t="s">
        <v>1651</v>
      </c>
      <c r="F2883" s="887"/>
      <c r="G2883" s="2017"/>
      <c r="H2883" s="1067"/>
      <c r="I2883" s="1067"/>
      <c r="J2883" s="1063"/>
      <c r="K2883" s="1452"/>
      <c r="L2883" s="866" t="n">
        <v>11143.44</v>
      </c>
      <c r="M2883" s="866" t="n">
        <v>360</v>
      </c>
      <c r="N2883" s="866" t="n">
        <f aca="false">M2883/H2879</f>
        <v>24</v>
      </c>
      <c r="O2883" s="543" t="s">
        <v>445</v>
      </c>
      <c r="P2883" s="2056"/>
      <c r="Q2883" s="1953"/>
      <c r="R2883" s="1954"/>
    </row>
    <row r="2884" customFormat="false" ht="14.25" hidden="false" customHeight="false" outlineLevel="0" collapsed="false">
      <c r="A2884" s="1060"/>
      <c r="B2884" s="1072"/>
      <c r="C2884" s="1980"/>
      <c r="D2884" s="887" t="s">
        <v>8</v>
      </c>
      <c r="E2884" s="1501" t="s">
        <v>1651</v>
      </c>
      <c r="F2884" s="887"/>
      <c r="G2884" s="2017"/>
      <c r="H2884" s="1067"/>
      <c r="I2884" s="1067"/>
      <c r="J2884" s="1063"/>
      <c r="K2884" s="1452"/>
      <c r="L2884" s="890" t="n">
        <v>13929.3</v>
      </c>
      <c r="M2884" s="890" t="n">
        <v>450</v>
      </c>
      <c r="N2884" s="890" t="n">
        <f aca="false">M2884/H2879</f>
        <v>30</v>
      </c>
      <c r="O2884" s="1067" t="s">
        <v>445</v>
      </c>
      <c r="P2884" s="2056"/>
      <c r="Q2884" s="1953"/>
      <c r="R2884" s="1954"/>
    </row>
    <row r="2885" customFormat="false" ht="14.25" hidden="false" customHeight="false" outlineLevel="0" collapsed="false">
      <c r="A2885" s="1027" t="n">
        <v>339</v>
      </c>
      <c r="B2885" s="1546" t="n">
        <v>2024</v>
      </c>
      <c r="C2885" s="1975" t="n">
        <v>45901</v>
      </c>
      <c r="D2885" s="831" t="s">
        <v>8</v>
      </c>
      <c r="E2885" s="1365" t="s">
        <v>1651</v>
      </c>
      <c r="F2885" s="1328" t="s">
        <v>3364</v>
      </c>
      <c r="G2885" s="2011" t="n">
        <v>108</v>
      </c>
      <c r="H2885" s="1036" t="n">
        <v>10</v>
      </c>
      <c r="I2885" s="1036" t="n">
        <f aca="false">G2885*H2885</f>
        <v>1080</v>
      </c>
      <c r="J2885" s="1557" t="n">
        <v>30.954</v>
      </c>
      <c r="K2885" s="1547" t="n">
        <f aca="false">I2885*J2885</f>
        <v>33430.32</v>
      </c>
      <c r="L2885" s="840" t="n">
        <v>30954</v>
      </c>
      <c r="M2885" s="840" t="n">
        <v>1000</v>
      </c>
      <c r="N2885" s="840" t="n">
        <f aca="false">M2885/H2885</f>
        <v>100</v>
      </c>
      <c r="O2885" s="1114"/>
      <c r="P2885" s="1977" t="n">
        <f aca="false">K2885-L2885-L2886</f>
        <v>0</v>
      </c>
      <c r="Q2885" s="1978" t="n">
        <f aca="false">I2885-M2885-M2886</f>
        <v>0</v>
      </c>
      <c r="R2885" s="1979" t="n">
        <f aca="false">G2885-N2885-N2886</f>
        <v>0</v>
      </c>
    </row>
    <row r="2886" customFormat="false" ht="14.25" hidden="false" customHeight="false" outlineLevel="0" collapsed="false">
      <c r="A2886" s="1027"/>
      <c r="B2886" s="1546"/>
      <c r="C2886" s="1975"/>
      <c r="D2886" s="904" t="s">
        <v>8</v>
      </c>
      <c r="E2886" s="1351" t="s">
        <v>1651</v>
      </c>
      <c r="F2886" s="1328"/>
      <c r="G2886" s="2011"/>
      <c r="H2886" s="1036"/>
      <c r="I2886" s="1036"/>
      <c r="J2886" s="1557"/>
      <c r="K2886" s="1547"/>
      <c r="L2886" s="891" t="n">
        <v>2476.32</v>
      </c>
      <c r="M2886" s="891" t="n">
        <v>80</v>
      </c>
      <c r="N2886" s="891" t="n">
        <f aca="false">M2886/H2885</f>
        <v>8</v>
      </c>
      <c r="O2886" s="942" t="s">
        <v>466</v>
      </c>
      <c r="P2886" s="1977"/>
      <c r="Q2886" s="1978"/>
      <c r="R2886" s="1979"/>
    </row>
    <row r="2887" customFormat="false" ht="14.25" hidden="false" customHeight="false" outlineLevel="0" collapsed="false">
      <c r="A2887" s="882" t="n">
        <v>346</v>
      </c>
      <c r="B2887" s="830" t="n">
        <v>2024</v>
      </c>
      <c r="C2887" s="1965" t="n">
        <v>45901</v>
      </c>
      <c r="D2887" s="831" t="s">
        <v>8</v>
      </c>
      <c r="E2887" s="1365" t="s">
        <v>2131</v>
      </c>
      <c r="F2887" s="832" t="s">
        <v>3364</v>
      </c>
      <c r="G2887" s="2010" t="n">
        <v>150</v>
      </c>
      <c r="H2887" s="837" t="n">
        <v>25</v>
      </c>
      <c r="I2887" s="837" t="n">
        <f aca="false">G2887*H2887</f>
        <v>3750</v>
      </c>
      <c r="J2887" s="1059" t="n">
        <v>60.1114</v>
      </c>
      <c r="K2887" s="943" t="n">
        <f aca="false">I2887*J2887</f>
        <v>225417.75</v>
      </c>
      <c r="L2887" s="840" t="n">
        <v>121725.585</v>
      </c>
      <c r="M2887" s="840" t="n">
        <v>2025</v>
      </c>
      <c r="N2887" s="886" t="n">
        <f aca="false">M2887/H2887</f>
        <v>81</v>
      </c>
      <c r="O2887" s="1114" t="s">
        <v>406</v>
      </c>
      <c r="P2887" s="1937" t="n">
        <f aca="false">K2887-L2887-L2889-L2888</f>
        <v>43580.765</v>
      </c>
      <c r="Q2887" s="1934" t="n">
        <f aca="false">I2887-M2887-M2889-M2888</f>
        <v>725</v>
      </c>
      <c r="R2887" s="1935" t="n">
        <f aca="false">G2887-N2887-N2889-N2888</f>
        <v>29</v>
      </c>
    </row>
    <row r="2888" customFormat="false" ht="14.25" hidden="false" customHeight="false" outlineLevel="0" collapsed="false">
      <c r="A2888" s="882"/>
      <c r="B2888" s="830"/>
      <c r="C2888" s="1965"/>
      <c r="D2888" s="904" t="s">
        <v>8</v>
      </c>
      <c r="E2888" s="1351" t="s">
        <v>2131</v>
      </c>
      <c r="F2888" s="832"/>
      <c r="G2888" s="2010"/>
      <c r="H2888" s="837"/>
      <c r="I2888" s="837"/>
      <c r="J2888" s="1059"/>
      <c r="K2888" s="943"/>
      <c r="L2888" s="891" t="n">
        <v>-43580.765</v>
      </c>
      <c r="M2888" s="891" t="n">
        <v>-725</v>
      </c>
      <c r="N2888" s="866" t="n">
        <f aca="false">M2888/H2887</f>
        <v>-29</v>
      </c>
      <c r="O2888" s="942" t="s">
        <v>1634</v>
      </c>
      <c r="P2888" s="1937"/>
      <c r="Q2888" s="1934"/>
      <c r="R2888" s="1935"/>
    </row>
    <row r="2889" customFormat="false" ht="14.25" hidden="false" customHeight="false" outlineLevel="0" collapsed="false">
      <c r="A2889" s="882"/>
      <c r="B2889" s="830"/>
      <c r="C2889" s="1965"/>
      <c r="D2889" s="843" t="s">
        <v>8</v>
      </c>
      <c r="E2889" s="1357" t="s">
        <v>2131</v>
      </c>
      <c r="F2889" s="832"/>
      <c r="G2889" s="2010"/>
      <c r="H2889" s="837"/>
      <c r="I2889" s="837"/>
      <c r="J2889" s="1059"/>
      <c r="K2889" s="943"/>
      <c r="L2889" s="846" t="n">
        <v>103692.165</v>
      </c>
      <c r="M2889" s="846" t="n">
        <v>1725</v>
      </c>
      <c r="N2889" s="846" t="n">
        <f aca="false">M2889/H2887</f>
        <v>69</v>
      </c>
      <c r="O2889" s="589" t="s">
        <v>404</v>
      </c>
      <c r="P2889" s="1937"/>
      <c r="Q2889" s="1934"/>
      <c r="R2889" s="1935"/>
    </row>
    <row r="2890" customFormat="false" ht="14.25" hidden="false" customHeight="false" outlineLevel="0" collapsed="false">
      <c r="A2890" s="1087" t="n">
        <v>371</v>
      </c>
      <c r="B2890" s="1072" t="n">
        <v>2024</v>
      </c>
      <c r="C2890" s="1980" t="n">
        <v>45901</v>
      </c>
      <c r="D2890" s="848" t="s">
        <v>8</v>
      </c>
      <c r="E2890" s="1479" t="s">
        <v>1651</v>
      </c>
      <c r="F2890" s="887" t="s">
        <v>3364</v>
      </c>
      <c r="G2890" s="2017" t="n">
        <v>666</v>
      </c>
      <c r="H2890" s="1067" t="n">
        <v>15</v>
      </c>
      <c r="I2890" s="1067" t="n">
        <f aca="false">G2890*H2890</f>
        <v>9990</v>
      </c>
      <c r="J2890" s="1063" t="n">
        <v>30.954</v>
      </c>
      <c r="K2890" s="1452" t="n">
        <f aca="false">I2890*J2890</f>
        <v>309230.46</v>
      </c>
      <c r="L2890" s="854" t="n">
        <v>18572.4</v>
      </c>
      <c r="M2890" s="854" t="n">
        <v>600</v>
      </c>
      <c r="N2890" s="891" t="n">
        <f aca="false">M2890/H2890</f>
        <v>40</v>
      </c>
      <c r="O2890" s="537" t="s">
        <v>445</v>
      </c>
      <c r="P2890" s="1953" t="n">
        <f aca="false">K2890-L2890-L2901-L2900-L2891-L2892-L2899-L2893-L2898-L2897-L2896-L2894-L2895</f>
        <v>-3.27418092638254E-011</v>
      </c>
      <c r="Q2890" s="1953" t="n">
        <f aca="false">I2890-M2890-M2901-M2900-M2891-M2892-M2899-M2893-M2898-M2897-M2896-M2894-M2895</f>
        <v>0</v>
      </c>
      <c r="R2890" s="1954" t="n">
        <f aca="false">G2890-N2890-N2901-N2900-N2891-N2892-N2899-N2893-N2898-N2897-N2896-N2894-N2895</f>
        <v>0</v>
      </c>
    </row>
    <row r="2891" customFormat="false" ht="14.25" hidden="false" customHeight="false" outlineLevel="0" collapsed="false">
      <c r="A2891" s="1087"/>
      <c r="B2891" s="1072"/>
      <c r="C2891" s="1980"/>
      <c r="D2891" s="848" t="s">
        <v>8</v>
      </c>
      <c r="E2891" s="1479" t="s">
        <v>1651</v>
      </c>
      <c r="F2891" s="887"/>
      <c r="G2891" s="2017"/>
      <c r="H2891" s="1067"/>
      <c r="I2891" s="1067"/>
      <c r="J2891" s="1063"/>
      <c r="K2891" s="1452"/>
      <c r="L2891" s="854" t="n">
        <v>18572.4</v>
      </c>
      <c r="M2891" s="854" t="n">
        <v>600</v>
      </c>
      <c r="N2891" s="866" t="n">
        <f aca="false">M2891/H2890</f>
        <v>40</v>
      </c>
      <c r="O2891" s="537" t="s">
        <v>486</v>
      </c>
      <c r="P2891" s="1953"/>
      <c r="Q2891" s="1953"/>
      <c r="R2891" s="1954"/>
    </row>
    <row r="2892" customFormat="false" ht="14.25" hidden="false" customHeight="false" outlineLevel="0" collapsed="false">
      <c r="A2892" s="1087"/>
      <c r="B2892" s="1072"/>
      <c r="C2892" s="1980"/>
      <c r="D2892" s="848" t="s">
        <v>8</v>
      </c>
      <c r="E2892" s="1479" t="s">
        <v>1651</v>
      </c>
      <c r="F2892" s="887"/>
      <c r="G2892" s="2017"/>
      <c r="H2892" s="1067"/>
      <c r="I2892" s="1067"/>
      <c r="J2892" s="1063"/>
      <c r="K2892" s="1452"/>
      <c r="L2892" s="854" t="n">
        <v>62217.54</v>
      </c>
      <c r="M2892" s="854" t="n">
        <v>2010</v>
      </c>
      <c r="N2892" s="866" t="n">
        <f aca="false">M2892/H2890</f>
        <v>134</v>
      </c>
      <c r="O2892" s="537" t="s">
        <v>442</v>
      </c>
      <c r="P2892" s="1953"/>
      <c r="Q2892" s="1953"/>
      <c r="R2892" s="1954"/>
    </row>
    <row r="2893" customFormat="false" ht="14.25" hidden="false" customHeight="false" outlineLevel="0" collapsed="false">
      <c r="A2893" s="1087"/>
      <c r="B2893" s="1072"/>
      <c r="C2893" s="1980"/>
      <c r="D2893" s="848" t="s">
        <v>8</v>
      </c>
      <c r="E2893" s="1479" t="s">
        <v>1651</v>
      </c>
      <c r="F2893" s="887"/>
      <c r="G2893" s="2017"/>
      <c r="H2893" s="1067"/>
      <c r="I2893" s="1067"/>
      <c r="J2893" s="1063"/>
      <c r="K2893" s="1452"/>
      <c r="L2893" s="854" t="n">
        <v>62217.54</v>
      </c>
      <c r="M2893" s="854" t="n">
        <v>2010</v>
      </c>
      <c r="N2893" s="866" t="n">
        <f aca="false">M2893/H2890</f>
        <v>134</v>
      </c>
      <c r="O2893" s="537" t="s">
        <v>457</v>
      </c>
      <c r="P2893" s="1953"/>
      <c r="Q2893" s="1953"/>
      <c r="R2893" s="1954"/>
    </row>
    <row r="2894" customFormat="false" ht="14.25" hidden="false" customHeight="false" outlineLevel="0" collapsed="false">
      <c r="A2894" s="1087"/>
      <c r="B2894" s="1072"/>
      <c r="C2894" s="1980"/>
      <c r="D2894" s="848" t="s">
        <v>8</v>
      </c>
      <c r="E2894" s="1479" t="s">
        <v>1651</v>
      </c>
      <c r="F2894" s="887"/>
      <c r="G2894" s="2017"/>
      <c r="H2894" s="1067"/>
      <c r="I2894" s="1067"/>
      <c r="J2894" s="1063"/>
      <c r="K2894" s="1452"/>
      <c r="L2894" s="854" t="n">
        <v>4643.1</v>
      </c>
      <c r="M2894" s="854" t="n">
        <v>150</v>
      </c>
      <c r="N2894" s="866" t="n">
        <f aca="false">M2894/H2890</f>
        <v>10</v>
      </c>
      <c r="O2894" s="537" t="s">
        <v>518</v>
      </c>
      <c r="P2894" s="1953"/>
      <c r="Q2894" s="1953"/>
      <c r="R2894" s="1954"/>
    </row>
    <row r="2895" customFormat="false" ht="14.25" hidden="false" customHeight="false" outlineLevel="0" collapsed="false">
      <c r="A2895" s="1087"/>
      <c r="B2895" s="1072"/>
      <c r="C2895" s="1980"/>
      <c r="D2895" s="848" t="s">
        <v>8</v>
      </c>
      <c r="E2895" s="1479" t="s">
        <v>1651</v>
      </c>
      <c r="F2895" s="887"/>
      <c r="G2895" s="2017"/>
      <c r="H2895" s="1067"/>
      <c r="I2895" s="1067"/>
      <c r="J2895" s="1063"/>
      <c r="K2895" s="1452"/>
      <c r="L2895" s="854" t="n">
        <v>13464.99</v>
      </c>
      <c r="M2895" s="854" t="n">
        <v>435</v>
      </c>
      <c r="N2895" s="866" t="n">
        <f aca="false">M2895/H2890</f>
        <v>29</v>
      </c>
      <c r="O2895" s="537" t="s">
        <v>404</v>
      </c>
      <c r="P2895" s="1953"/>
      <c r="Q2895" s="1953"/>
      <c r="R2895" s="1954"/>
    </row>
    <row r="2896" customFormat="false" ht="14.25" hidden="false" customHeight="false" outlineLevel="0" collapsed="false">
      <c r="A2896" s="1087"/>
      <c r="B2896" s="1072"/>
      <c r="C2896" s="1980"/>
      <c r="D2896" s="848" t="s">
        <v>8</v>
      </c>
      <c r="E2896" s="1479" t="s">
        <v>1651</v>
      </c>
      <c r="F2896" s="887"/>
      <c r="G2896" s="2017"/>
      <c r="H2896" s="1067"/>
      <c r="I2896" s="1067"/>
      <c r="J2896" s="1063"/>
      <c r="K2896" s="1452"/>
      <c r="L2896" s="854" t="n">
        <v>6036.03</v>
      </c>
      <c r="M2896" s="854" t="n">
        <v>195</v>
      </c>
      <c r="N2896" s="866" t="n">
        <f aca="false">M2896/H2890</f>
        <v>13</v>
      </c>
      <c r="O2896" s="537" t="s">
        <v>509</v>
      </c>
      <c r="P2896" s="1953"/>
      <c r="Q2896" s="1953"/>
      <c r="R2896" s="1954"/>
    </row>
    <row r="2897" customFormat="false" ht="14.25" hidden="false" customHeight="false" outlineLevel="0" collapsed="false">
      <c r="A2897" s="1087"/>
      <c r="B2897" s="1072"/>
      <c r="C2897" s="1980"/>
      <c r="D2897" s="848" t="s">
        <v>8</v>
      </c>
      <c r="E2897" s="1479" t="s">
        <v>1651</v>
      </c>
      <c r="F2897" s="887"/>
      <c r="G2897" s="2017"/>
      <c r="H2897" s="1067"/>
      <c r="I2897" s="1067"/>
      <c r="J2897" s="1063"/>
      <c r="K2897" s="1452"/>
      <c r="L2897" s="854" t="n">
        <v>68253.57</v>
      </c>
      <c r="M2897" s="854" t="n">
        <v>2205</v>
      </c>
      <c r="N2897" s="866" t="n">
        <f aca="false">M2897/H2890</f>
        <v>147</v>
      </c>
      <c r="O2897" s="537" t="s">
        <v>453</v>
      </c>
      <c r="P2897" s="1953"/>
      <c r="Q2897" s="1953"/>
      <c r="R2897" s="1954"/>
    </row>
    <row r="2898" customFormat="false" ht="14.25" hidden="false" customHeight="false" outlineLevel="0" collapsed="false">
      <c r="A2898" s="1087"/>
      <c r="B2898" s="1072"/>
      <c r="C2898" s="1980"/>
      <c r="D2898" s="848" t="s">
        <v>8</v>
      </c>
      <c r="E2898" s="1479" t="s">
        <v>1651</v>
      </c>
      <c r="F2898" s="887"/>
      <c r="G2898" s="2017"/>
      <c r="H2898" s="1067"/>
      <c r="I2898" s="1067"/>
      <c r="J2898" s="1063"/>
      <c r="K2898" s="1452"/>
      <c r="L2898" s="854" t="n">
        <v>21822.57</v>
      </c>
      <c r="M2898" s="854" t="n">
        <v>705</v>
      </c>
      <c r="N2898" s="866" t="n">
        <f aca="false">M2898/H2890</f>
        <v>47</v>
      </c>
      <c r="O2898" s="537" t="s">
        <v>491</v>
      </c>
      <c r="P2898" s="1953"/>
      <c r="Q2898" s="1953"/>
      <c r="R2898" s="1954"/>
    </row>
    <row r="2899" customFormat="false" ht="14.25" hidden="false" customHeight="false" outlineLevel="0" collapsed="false">
      <c r="A2899" s="1087"/>
      <c r="B2899" s="1072"/>
      <c r="C2899" s="1980"/>
      <c r="D2899" s="848" t="s">
        <v>8</v>
      </c>
      <c r="E2899" s="1479" t="s">
        <v>1651</v>
      </c>
      <c r="F2899" s="887"/>
      <c r="G2899" s="2017"/>
      <c r="H2899" s="1067"/>
      <c r="I2899" s="1067"/>
      <c r="J2899" s="1063"/>
      <c r="K2899" s="1452"/>
      <c r="L2899" s="854" t="n">
        <v>27858.6</v>
      </c>
      <c r="M2899" s="854" t="n">
        <v>900</v>
      </c>
      <c r="N2899" s="866" t="n">
        <f aca="false">M2899/H2890</f>
        <v>60</v>
      </c>
      <c r="O2899" s="537" t="s">
        <v>409</v>
      </c>
      <c r="P2899" s="1953"/>
      <c r="Q2899" s="1953"/>
      <c r="R2899" s="1954"/>
    </row>
    <row r="2900" customFormat="false" ht="14.25" hidden="false" customHeight="false" outlineLevel="0" collapsed="false">
      <c r="A2900" s="1087"/>
      <c r="B2900" s="1072"/>
      <c r="C2900" s="1980"/>
      <c r="D2900" s="860" t="s">
        <v>8</v>
      </c>
      <c r="E2900" s="1480" t="s">
        <v>1651</v>
      </c>
      <c r="F2900" s="887"/>
      <c r="G2900" s="2017"/>
      <c r="H2900" s="1067"/>
      <c r="I2900" s="1067"/>
      <c r="J2900" s="1063"/>
      <c r="K2900" s="1452"/>
      <c r="L2900" s="866" t="n">
        <v>3250.17</v>
      </c>
      <c r="M2900" s="866" t="n">
        <v>105</v>
      </c>
      <c r="N2900" s="866" t="n">
        <f aca="false">M2900/H2890</f>
        <v>7</v>
      </c>
      <c r="O2900" s="543" t="s">
        <v>483</v>
      </c>
      <c r="P2900" s="1953"/>
      <c r="Q2900" s="1953"/>
      <c r="R2900" s="1954"/>
    </row>
    <row r="2901" customFormat="false" ht="14.25" hidden="false" customHeight="false" outlineLevel="0" collapsed="false">
      <c r="A2901" s="1087"/>
      <c r="B2901" s="1072"/>
      <c r="C2901" s="1980"/>
      <c r="D2901" s="887" t="s">
        <v>8</v>
      </c>
      <c r="E2901" s="1501" t="s">
        <v>1651</v>
      </c>
      <c r="F2901" s="887"/>
      <c r="G2901" s="2017"/>
      <c r="H2901" s="1067"/>
      <c r="I2901" s="1067"/>
      <c r="J2901" s="1063"/>
      <c r="K2901" s="1452"/>
      <c r="L2901" s="890" t="n">
        <v>2321.55</v>
      </c>
      <c r="M2901" s="890" t="n">
        <v>75</v>
      </c>
      <c r="N2901" s="890" t="n">
        <f aca="false">M2901/H2890</f>
        <v>5</v>
      </c>
      <c r="O2901" s="1067" t="s">
        <v>478</v>
      </c>
      <c r="P2901" s="1953"/>
      <c r="Q2901" s="1953"/>
      <c r="R2901" s="1954"/>
    </row>
    <row r="2902" customFormat="false" ht="14.25" hidden="false" customHeight="false" outlineLevel="0" collapsed="false">
      <c r="A2902" s="829" t="n">
        <v>372</v>
      </c>
      <c r="B2902" s="830" t="n">
        <v>2024</v>
      </c>
      <c r="C2902" s="1965" t="n">
        <v>45901</v>
      </c>
      <c r="D2902" s="831" t="s">
        <v>8</v>
      </c>
      <c r="E2902" s="1365" t="s">
        <v>1651</v>
      </c>
      <c r="F2902" s="832" t="s">
        <v>3364</v>
      </c>
      <c r="G2902" s="2010" t="n">
        <v>666</v>
      </c>
      <c r="H2902" s="837" t="n">
        <v>15</v>
      </c>
      <c r="I2902" s="837" t="n">
        <f aca="false">G2902*H2902</f>
        <v>9990</v>
      </c>
      <c r="J2902" s="1059" t="n">
        <v>30.954</v>
      </c>
      <c r="K2902" s="943" t="n">
        <f aca="false">I2902*J2902</f>
        <v>309230.46</v>
      </c>
      <c r="L2902" s="840" t="n">
        <v>11143.44</v>
      </c>
      <c r="M2902" s="840" t="n">
        <v>360</v>
      </c>
      <c r="N2902" s="886" t="n">
        <f aca="false">M2902/H2902</f>
        <v>24</v>
      </c>
      <c r="O2902" s="1114" t="s">
        <v>488</v>
      </c>
      <c r="P2902" s="1937" t="n">
        <f aca="false">K2902-L2902-L2909-L2908-L2903-L2904-L2907-L2905-L2906</f>
        <v>0</v>
      </c>
      <c r="Q2902" s="1934" t="n">
        <f aca="false">I2902-M2902-M2909-M2908-M2903-M2904-M2907-M2905-M2906</f>
        <v>0</v>
      </c>
      <c r="R2902" s="1935" t="n">
        <f aca="false">G2902-N2902-N2909-N2908-N2903-N2904-N2907-N2905-N2906</f>
        <v>0</v>
      </c>
    </row>
    <row r="2903" customFormat="false" ht="14.25" hidden="false" customHeight="false" outlineLevel="0" collapsed="false">
      <c r="A2903" s="829"/>
      <c r="B2903" s="830"/>
      <c r="C2903" s="1965"/>
      <c r="D2903" s="848" t="s">
        <v>8</v>
      </c>
      <c r="E2903" s="1479" t="s">
        <v>1651</v>
      </c>
      <c r="F2903" s="832"/>
      <c r="G2903" s="2010"/>
      <c r="H2903" s="837"/>
      <c r="I2903" s="837"/>
      <c r="J2903" s="1059"/>
      <c r="K2903" s="943"/>
      <c r="L2903" s="854" t="n">
        <v>93790.62</v>
      </c>
      <c r="M2903" s="854" t="n">
        <v>3030</v>
      </c>
      <c r="N2903" s="866" t="n">
        <f aca="false">M2903/H2902</f>
        <v>202</v>
      </c>
      <c r="O2903" s="537" t="s">
        <v>404</v>
      </c>
      <c r="P2903" s="1937"/>
      <c r="Q2903" s="1934"/>
      <c r="R2903" s="1935"/>
    </row>
    <row r="2904" customFormat="false" ht="14.25" hidden="false" customHeight="false" outlineLevel="0" collapsed="false">
      <c r="A2904" s="829"/>
      <c r="B2904" s="830"/>
      <c r="C2904" s="1965"/>
      <c r="D2904" s="848" t="s">
        <v>8</v>
      </c>
      <c r="E2904" s="1479" t="s">
        <v>1651</v>
      </c>
      <c r="F2904" s="832"/>
      <c r="G2904" s="2010"/>
      <c r="H2904" s="837"/>
      <c r="I2904" s="837"/>
      <c r="J2904" s="1059"/>
      <c r="K2904" s="943"/>
      <c r="L2904" s="854" t="n">
        <v>18572.4</v>
      </c>
      <c r="M2904" s="854" t="n">
        <v>600</v>
      </c>
      <c r="N2904" s="866" t="n">
        <f aca="false">M2904/H2902</f>
        <v>40</v>
      </c>
      <c r="O2904" s="537" t="s">
        <v>527</v>
      </c>
      <c r="P2904" s="1937"/>
      <c r="Q2904" s="1934"/>
      <c r="R2904" s="1935"/>
    </row>
    <row r="2905" customFormat="false" ht="14.25" hidden="false" customHeight="false" outlineLevel="0" collapsed="false">
      <c r="A2905" s="829"/>
      <c r="B2905" s="830"/>
      <c r="C2905" s="1965"/>
      <c r="D2905" s="848" t="s">
        <v>8</v>
      </c>
      <c r="E2905" s="1479" t="s">
        <v>1651</v>
      </c>
      <c r="F2905" s="832"/>
      <c r="G2905" s="2010"/>
      <c r="H2905" s="837"/>
      <c r="I2905" s="837"/>
      <c r="J2905" s="1059"/>
      <c r="K2905" s="943"/>
      <c r="L2905" s="854" t="n">
        <v>18572.4</v>
      </c>
      <c r="M2905" s="854" t="n">
        <v>600</v>
      </c>
      <c r="N2905" s="866" t="n">
        <f aca="false">M2905/H2902</f>
        <v>40</v>
      </c>
      <c r="O2905" s="537" t="s">
        <v>585</v>
      </c>
      <c r="P2905" s="1937"/>
      <c r="Q2905" s="1934"/>
      <c r="R2905" s="1935"/>
    </row>
    <row r="2906" customFormat="false" ht="14.25" hidden="false" customHeight="false" outlineLevel="0" collapsed="false">
      <c r="A2906" s="829"/>
      <c r="B2906" s="830"/>
      <c r="C2906" s="1965"/>
      <c r="D2906" s="848" t="s">
        <v>8</v>
      </c>
      <c r="E2906" s="1479" t="s">
        <v>1651</v>
      </c>
      <c r="F2906" s="832"/>
      <c r="G2906" s="2010"/>
      <c r="H2906" s="837"/>
      <c r="I2906" s="837"/>
      <c r="J2906" s="1059"/>
      <c r="K2906" s="943"/>
      <c r="L2906" s="854" t="n">
        <v>49681.17</v>
      </c>
      <c r="M2906" s="854" t="n">
        <v>1605</v>
      </c>
      <c r="N2906" s="866" t="n">
        <f aca="false">M2906/H2902</f>
        <v>107</v>
      </c>
      <c r="O2906" s="537" t="s">
        <v>530</v>
      </c>
      <c r="P2906" s="1937"/>
      <c r="Q2906" s="1934"/>
      <c r="R2906" s="1935"/>
    </row>
    <row r="2907" customFormat="false" ht="14.25" hidden="false" customHeight="false" outlineLevel="0" collapsed="false">
      <c r="A2907" s="829"/>
      <c r="B2907" s="830"/>
      <c r="C2907" s="1965"/>
      <c r="D2907" s="848" t="s">
        <v>8</v>
      </c>
      <c r="E2907" s="1479" t="s">
        <v>1651</v>
      </c>
      <c r="F2907" s="832"/>
      <c r="G2907" s="2010"/>
      <c r="H2907" s="837"/>
      <c r="I2907" s="837"/>
      <c r="J2907" s="1059"/>
      <c r="K2907" s="943"/>
      <c r="L2907" s="854" t="n">
        <v>62217.54</v>
      </c>
      <c r="M2907" s="854" t="n">
        <v>2010</v>
      </c>
      <c r="N2907" s="866" t="n">
        <f aca="false">M2907/H2902</f>
        <v>134</v>
      </c>
      <c r="O2907" s="537" t="s">
        <v>528</v>
      </c>
      <c r="P2907" s="1937"/>
      <c r="Q2907" s="1934"/>
      <c r="R2907" s="1935"/>
    </row>
    <row r="2908" customFormat="false" ht="14.25" hidden="false" customHeight="false" outlineLevel="0" collapsed="false">
      <c r="A2908" s="829"/>
      <c r="B2908" s="830"/>
      <c r="C2908" s="1965"/>
      <c r="D2908" s="860" t="s">
        <v>8</v>
      </c>
      <c r="E2908" s="1480" t="s">
        <v>1651</v>
      </c>
      <c r="F2908" s="832"/>
      <c r="G2908" s="2010"/>
      <c r="H2908" s="837"/>
      <c r="I2908" s="837"/>
      <c r="J2908" s="1059"/>
      <c r="K2908" s="943"/>
      <c r="L2908" s="866" t="n">
        <v>51538.41</v>
      </c>
      <c r="M2908" s="866" t="n">
        <v>1665</v>
      </c>
      <c r="N2908" s="866" t="n">
        <f aca="false">M2908/H2902</f>
        <v>111</v>
      </c>
      <c r="O2908" s="543" t="s">
        <v>404</v>
      </c>
      <c r="P2908" s="1937"/>
      <c r="Q2908" s="1934"/>
      <c r="R2908" s="1935"/>
    </row>
    <row r="2909" customFormat="false" ht="14.25" hidden="false" customHeight="false" outlineLevel="0" collapsed="false">
      <c r="A2909" s="829"/>
      <c r="B2909" s="830"/>
      <c r="C2909" s="1965"/>
      <c r="D2909" s="887" t="s">
        <v>8</v>
      </c>
      <c r="E2909" s="1501" t="s">
        <v>1651</v>
      </c>
      <c r="F2909" s="832"/>
      <c r="G2909" s="2010"/>
      <c r="H2909" s="837"/>
      <c r="I2909" s="837"/>
      <c r="J2909" s="1059"/>
      <c r="K2909" s="943"/>
      <c r="L2909" s="890" t="n">
        <v>3714.48</v>
      </c>
      <c r="M2909" s="890" t="n">
        <v>120</v>
      </c>
      <c r="N2909" s="890" t="n">
        <f aca="false">M2909/H2902</f>
        <v>8</v>
      </c>
      <c r="O2909" s="1067" t="s">
        <v>3598</v>
      </c>
      <c r="P2909" s="1937"/>
      <c r="Q2909" s="1934"/>
      <c r="R2909" s="1935"/>
    </row>
    <row r="2910" customFormat="false" ht="14.25" hidden="false" customHeight="false" outlineLevel="0" collapsed="false">
      <c r="A2910" s="847" t="n">
        <v>373</v>
      </c>
      <c r="B2910" s="1396" t="n">
        <v>2024</v>
      </c>
      <c r="C2910" s="1966" t="n">
        <v>45901</v>
      </c>
      <c r="D2910" s="848" t="s">
        <v>8</v>
      </c>
      <c r="E2910" s="1479" t="s">
        <v>1651</v>
      </c>
      <c r="F2910" s="848" t="s">
        <v>3367</v>
      </c>
      <c r="G2910" s="2018" t="n">
        <v>502</v>
      </c>
      <c r="H2910" s="537" t="n">
        <v>10</v>
      </c>
      <c r="I2910" s="1380" t="n">
        <f aca="false">G2910*H2910</f>
        <v>5020</v>
      </c>
      <c r="J2910" s="1544" t="n">
        <v>30.954</v>
      </c>
      <c r="K2910" s="1968" t="n">
        <f aca="false">I2910*J2910</f>
        <v>155389.08</v>
      </c>
      <c r="L2910" s="854" t="n">
        <v>155389.08</v>
      </c>
      <c r="M2910" s="854" t="n">
        <v>5020</v>
      </c>
      <c r="N2910" s="854" t="n">
        <f aca="false">M2910/H2910</f>
        <v>502</v>
      </c>
      <c r="O2910" s="537"/>
      <c r="P2910" s="1969" t="n">
        <f aca="false">K2910-L2910</f>
        <v>0</v>
      </c>
      <c r="Q2910" s="1971" t="n">
        <f aca="false">I2910-M2910</f>
        <v>0</v>
      </c>
      <c r="R2910" s="1971" t="n">
        <f aca="false">G2910-N2910</f>
        <v>0</v>
      </c>
    </row>
    <row r="2911" customFormat="false" ht="14.25" hidden="false" customHeight="false" outlineLevel="0" collapsed="false">
      <c r="A2911" s="903" t="n">
        <v>374</v>
      </c>
      <c r="B2911" s="903" t="n">
        <v>2024</v>
      </c>
      <c r="C2911" s="1974" t="n">
        <v>45901</v>
      </c>
      <c r="D2911" s="904" t="s">
        <v>8</v>
      </c>
      <c r="E2911" s="1351" t="s">
        <v>1651</v>
      </c>
      <c r="F2911" s="904" t="s">
        <v>3364</v>
      </c>
      <c r="G2911" s="2012" t="n">
        <v>603</v>
      </c>
      <c r="H2911" s="942" t="n">
        <v>15</v>
      </c>
      <c r="I2911" s="1355" t="n">
        <f aca="false">G2911*H2911</f>
        <v>9045</v>
      </c>
      <c r="J2911" s="1406" t="n">
        <v>34.3933</v>
      </c>
      <c r="K2911" s="1942" t="n">
        <f aca="false">I2911*J2911</f>
        <v>311087.3985</v>
      </c>
      <c r="L2911" s="891" t="n">
        <v>311087.399</v>
      </c>
      <c r="M2911" s="891" t="n">
        <v>9045</v>
      </c>
      <c r="N2911" s="891" t="n">
        <f aca="false">M2911/H2911</f>
        <v>603</v>
      </c>
      <c r="O2911" s="942" t="s">
        <v>404</v>
      </c>
      <c r="P2911" s="1964" t="n">
        <f aca="false">K2911-L2911</f>
        <v>-0.000499999965541065</v>
      </c>
      <c r="Q2911" s="1946" t="n">
        <f aca="false">I2911-M2911</f>
        <v>0</v>
      </c>
      <c r="R2911" s="1946" t="n">
        <f aca="false">G2911-N2911</f>
        <v>0</v>
      </c>
    </row>
    <row r="2912" customFormat="false" ht="14.25" hidden="false" customHeight="false" outlineLevel="0" collapsed="false">
      <c r="A2912" s="882" t="n">
        <v>422</v>
      </c>
      <c r="B2912" s="830" t="n">
        <v>2024</v>
      </c>
      <c r="C2912" s="1965" t="n">
        <v>45931</v>
      </c>
      <c r="D2912" s="831" t="s">
        <v>8</v>
      </c>
      <c r="E2912" s="1365" t="s">
        <v>1651</v>
      </c>
      <c r="F2912" s="832" t="s">
        <v>3367</v>
      </c>
      <c r="G2912" s="2010" t="n">
        <v>109</v>
      </c>
      <c r="H2912" s="837" t="n">
        <v>10</v>
      </c>
      <c r="I2912" s="837" t="n">
        <f aca="false">G2912*H2912</f>
        <v>1090</v>
      </c>
      <c r="J2912" s="1059" t="n">
        <v>32.0517</v>
      </c>
      <c r="K2912" s="943" t="n">
        <f aca="false">I2912*J2912</f>
        <v>34936.353</v>
      </c>
      <c r="L2912" s="840" t="n">
        <v>19872.054</v>
      </c>
      <c r="M2912" s="840" t="n">
        <v>620</v>
      </c>
      <c r="N2912" s="886" t="n">
        <f aca="false">M2912/H2912</f>
        <v>62</v>
      </c>
      <c r="O2912" s="1114" t="s">
        <v>3599</v>
      </c>
      <c r="P2912" s="1934" t="n">
        <f aca="false">K2912-L2912-L2914-L2913</f>
        <v>0</v>
      </c>
      <c r="Q2912" s="1934" t="n">
        <f aca="false">I2912-M2912-M2914-M2913</f>
        <v>0</v>
      </c>
      <c r="R2912" s="1935" t="n">
        <f aca="false">G2912-N2912-N2914-N2913</f>
        <v>0</v>
      </c>
    </row>
    <row r="2913" customFormat="false" ht="14.25" hidden="false" customHeight="false" outlineLevel="0" collapsed="false">
      <c r="A2913" s="882"/>
      <c r="B2913" s="830"/>
      <c r="C2913" s="1965"/>
      <c r="D2913" s="904" t="s">
        <v>8</v>
      </c>
      <c r="E2913" s="1351" t="s">
        <v>1651</v>
      </c>
      <c r="F2913" s="832"/>
      <c r="G2913" s="2010"/>
      <c r="H2913" s="837"/>
      <c r="I2913" s="837"/>
      <c r="J2913" s="1059"/>
      <c r="K2913" s="943"/>
      <c r="L2913" s="891" t="n">
        <v>6410.34</v>
      </c>
      <c r="M2913" s="891" t="n">
        <v>200</v>
      </c>
      <c r="N2913" s="866" t="n">
        <f aca="false">M2913/H2912</f>
        <v>20</v>
      </c>
      <c r="O2913" s="942" t="s">
        <v>566</v>
      </c>
      <c r="P2913" s="1934"/>
      <c r="Q2913" s="1934"/>
      <c r="R2913" s="1935"/>
    </row>
    <row r="2914" customFormat="false" ht="14.25" hidden="false" customHeight="false" outlineLevel="0" collapsed="false">
      <c r="A2914" s="882"/>
      <c r="B2914" s="830"/>
      <c r="C2914" s="1965"/>
      <c r="D2914" s="843" t="s">
        <v>8</v>
      </c>
      <c r="E2914" s="1357" t="s">
        <v>1651</v>
      </c>
      <c r="F2914" s="832"/>
      <c r="G2914" s="2010"/>
      <c r="H2914" s="837"/>
      <c r="I2914" s="837"/>
      <c r="J2914" s="1059"/>
      <c r="K2914" s="943"/>
      <c r="L2914" s="846" t="n">
        <v>8653.959</v>
      </c>
      <c r="M2914" s="846" t="n">
        <v>270</v>
      </c>
      <c r="N2914" s="890" t="n">
        <f aca="false">M2914/H2912</f>
        <v>27</v>
      </c>
      <c r="O2914" s="589" t="s">
        <v>3600</v>
      </c>
      <c r="P2914" s="1934"/>
      <c r="Q2914" s="1934"/>
      <c r="R2914" s="1935"/>
    </row>
    <row r="2915" customFormat="false" ht="14.25" hidden="false" customHeight="false" outlineLevel="0" collapsed="false">
      <c r="A2915" s="903" t="n">
        <v>423</v>
      </c>
      <c r="B2915" s="903" t="n">
        <v>2024</v>
      </c>
      <c r="C2915" s="1974" t="n">
        <v>45931</v>
      </c>
      <c r="D2915" s="904" t="s">
        <v>8</v>
      </c>
      <c r="E2915" s="1351" t="s">
        <v>1651</v>
      </c>
      <c r="F2915" s="904" t="s">
        <v>3364</v>
      </c>
      <c r="G2915" s="2012" t="n">
        <v>666</v>
      </c>
      <c r="H2915" s="942" t="n">
        <v>15</v>
      </c>
      <c r="I2915" s="1355" t="n">
        <f aca="false">G2915*H2915</f>
        <v>9990</v>
      </c>
      <c r="J2915" s="1406" t="n">
        <v>32.0517</v>
      </c>
      <c r="K2915" s="1942" t="n">
        <f aca="false">I2915*J2915</f>
        <v>320196.483</v>
      </c>
      <c r="L2915" s="891" t="n">
        <v>320196.483</v>
      </c>
      <c r="M2915" s="891" t="n">
        <v>9990</v>
      </c>
      <c r="N2915" s="891" t="n">
        <f aca="false">M2915/H2915</f>
        <v>666</v>
      </c>
      <c r="O2915" s="942" t="s">
        <v>404</v>
      </c>
      <c r="P2915" s="1964" t="n">
        <f aca="false">K2915-L2915</f>
        <v>0</v>
      </c>
      <c r="Q2915" s="1946" t="n">
        <f aca="false">I2915-M2915</f>
        <v>0</v>
      </c>
      <c r="R2915" s="1946" t="n">
        <f aca="false">G2915-N2915</f>
        <v>0</v>
      </c>
    </row>
    <row r="2916" customFormat="false" ht="14.25" hidden="false" customHeight="false" outlineLevel="0" collapsed="false">
      <c r="A2916" s="829" t="n">
        <v>424</v>
      </c>
      <c r="B2916" s="830" t="n">
        <v>2024</v>
      </c>
      <c r="C2916" s="1965" t="n">
        <v>45931</v>
      </c>
      <c r="D2916" s="831" t="s">
        <v>8</v>
      </c>
      <c r="E2916" s="1365" t="s">
        <v>1651</v>
      </c>
      <c r="F2916" s="832" t="s">
        <v>3364</v>
      </c>
      <c r="G2916" s="2014" t="n">
        <v>666</v>
      </c>
      <c r="H2916" s="837" t="n">
        <v>15</v>
      </c>
      <c r="I2916" s="837" t="n">
        <f aca="false">G2916*H2916</f>
        <v>9990</v>
      </c>
      <c r="J2916" s="1059" t="n">
        <v>32.0517</v>
      </c>
      <c r="K2916" s="943" t="n">
        <f aca="false">I2916*J2916</f>
        <v>320196.483</v>
      </c>
      <c r="L2916" s="840" t="n">
        <v>109136.0385</v>
      </c>
      <c r="M2916" s="840" t="n">
        <v>3405</v>
      </c>
      <c r="N2916" s="886" t="n">
        <f aca="false">M2916/H2916</f>
        <v>227</v>
      </c>
      <c r="O2916" s="1114" t="s">
        <v>404</v>
      </c>
      <c r="P2916" s="1934" t="n">
        <f aca="false">K2916-L2916-L2920-L2919-L2917-L2918</f>
        <v>-4.36557456851006E-011</v>
      </c>
      <c r="Q2916" s="1934" t="n">
        <f aca="false">I2916-M2916-M2920-M2919-M2917-M2918</f>
        <v>0</v>
      </c>
      <c r="R2916" s="1935" t="n">
        <f aca="false">G2916-N2916-N2920-N2919-N2917-N2918</f>
        <v>0</v>
      </c>
    </row>
    <row r="2917" customFormat="false" ht="14.25" hidden="false" customHeight="false" outlineLevel="0" collapsed="false">
      <c r="A2917" s="829"/>
      <c r="B2917" s="830"/>
      <c r="C2917" s="1965"/>
      <c r="D2917" s="848" t="s">
        <v>8</v>
      </c>
      <c r="E2917" s="1479" t="s">
        <v>1651</v>
      </c>
      <c r="F2917" s="832"/>
      <c r="G2917" s="2014"/>
      <c r="H2917" s="837"/>
      <c r="I2917" s="837"/>
      <c r="J2917" s="1059"/>
      <c r="K2917" s="943"/>
      <c r="L2917" s="854" t="n">
        <v>19231.02</v>
      </c>
      <c r="M2917" s="854" t="n">
        <v>600</v>
      </c>
      <c r="N2917" s="866" t="n">
        <f aca="false">M2917/H2916</f>
        <v>40</v>
      </c>
      <c r="O2917" s="537" t="s">
        <v>540</v>
      </c>
      <c r="P2917" s="1934"/>
      <c r="Q2917" s="1934"/>
      <c r="R2917" s="1935"/>
    </row>
    <row r="2918" customFormat="false" ht="14.25" hidden="false" customHeight="false" outlineLevel="0" collapsed="false">
      <c r="A2918" s="829"/>
      <c r="B2918" s="830"/>
      <c r="C2918" s="1965"/>
      <c r="D2918" s="848" t="s">
        <v>8</v>
      </c>
      <c r="E2918" s="1479" t="s">
        <v>1651</v>
      </c>
      <c r="F2918" s="832"/>
      <c r="G2918" s="2014"/>
      <c r="H2918" s="837"/>
      <c r="I2918" s="837"/>
      <c r="J2918" s="1059"/>
      <c r="K2918" s="943"/>
      <c r="L2918" s="854" t="n">
        <v>24519.5505</v>
      </c>
      <c r="M2918" s="854" t="n">
        <v>765</v>
      </c>
      <c r="N2918" s="866" t="n">
        <f aca="false">M2918/H2916</f>
        <v>51</v>
      </c>
      <c r="O2918" s="537" t="s">
        <v>550</v>
      </c>
      <c r="P2918" s="1934"/>
      <c r="Q2918" s="1934"/>
      <c r="R2918" s="1935"/>
    </row>
    <row r="2919" customFormat="false" ht="14.25" hidden="false" customHeight="false" outlineLevel="0" collapsed="false">
      <c r="A2919" s="829"/>
      <c r="B2919" s="830"/>
      <c r="C2919" s="1965"/>
      <c r="D2919" s="860" t="s">
        <v>8</v>
      </c>
      <c r="E2919" s="1480" t="s">
        <v>1651</v>
      </c>
      <c r="F2919" s="832"/>
      <c r="G2919" s="2014"/>
      <c r="H2919" s="837"/>
      <c r="I2919" s="837"/>
      <c r="J2919" s="1059"/>
      <c r="K2919" s="943"/>
      <c r="L2919" s="866" t="n">
        <v>6730.857</v>
      </c>
      <c r="M2919" s="866" t="n">
        <v>210</v>
      </c>
      <c r="N2919" s="866" t="n">
        <f aca="false">M2919/H2916</f>
        <v>14</v>
      </c>
      <c r="O2919" s="543" t="s">
        <v>537</v>
      </c>
      <c r="P2919" s="1934"/>
      <c r="Q2919" s="1934"/>
      <c r="R2919" s="1935"/>
    </row>
    <row r="2920" customFormat="false" ht="14.25" hidden="false" customHeight="false" outlineLevel="0" collapsed="false">
      <c r="A2920" s="829"/>
      <c r="B2920" s="830"/>
      <c r="C2920" s="1965"/>
      <c r="D2920" s="887" t="s">
        <v>8</v>
      </c>
      <c r="E2920" s="1501" t="s">
        <v>1651</v>
      </c>
      <c r="F2920" s="832"/>
      <c r="G2920" s="2014"/>
      <c r="H2920" s="837"/>
      <c r="I2920" s="837"/>
      <c r="J2920" s="1059"/>
      <c r="K2920" s="943"/>
      <c r="L2920" s="890" t="n">
        <v>160579.017</v>
      </c>
      <c r="M2920" s="890" t="n">
        <v>5010</v>
      </c>
      <c r="N2920" s="890" t="n">
        <f aca="false">M2920/H2916</f>
        <v>334</v>
      </c>
      <c r="O2920" s="1067" t="s">
        <v>3601</v>
      </c>
      <c r="P2920" s="1934"/>
      <c r="Q2920" s="1934"/>
      <c r="R2920" s="1935"/>
    </row>
    <row r="2921" customFormat="false" ht="14.25" hidden="false" customHeight="false" outlineLevel="0" collapsed="false">
      <c r="A2921" s="903" t="n">
        <v>425</v>
      </c>
      <c r="B2921" s="903" t="n">
        <v>2024</v>
      </c>
      <c r="C2921" s="1974" t="n">
        <v>45931</v>
      </c>
      <c r="D2921" s="904" t="s">
        <v>8</v>
      </c>
      <c r="E2921" s="1351" t="s">
        <v>1651</v>
      </c>
      <c r="F2921" s="904" t="s">
        <v>3364</v>
      </c>
      <c r="G2921" s="2012" t="n">
        <v>666</v>
      </c>
      <c r="H2921" s="942" t="n">
        <v>15</v>
      </c>
      <c r="I2921" s="1355" t="n">
        <f aca="false">G2921*H2921</f>
        <v>9990</v>
      </c>
      <c r="J2921" s="1406" t="n">
        <v>32.0517</v>
      </c>
      <c r="K2921" s="1942" t="n">
        <f aca="false">I2921*J2921</f>
        <v>320196.483</v>
      </c>
      <c r="L2921" s="891" t="n">
        <v>320196.483</v>
      </c>
      <c r="M2921" s="891" t="n">
        <v>9990</v>
      </c>
      <c r="N2921" s="891" t="n">
        <f aca="false">M2921/H2921</f>
        <v>666</v>
      </c>
      <c r="O2921" s="942" t="s">
        <v>3601</v>
      </c>
      <c r="P2921" s="1964" t="n">
        <f aca="false">K2921-L2921</f>
        <v>0</v>
      </c>
      <c r="Q2921" s="1946" t="n">
        <f aca="false">I2921-M2921</f>
        <v>0</v>
      </c>
      <c r="R2921" s="1946" t="n">
        <f aca="false">G2921-N2921</f>
        <v>0</v>
      </c>
    </row>
    <row r="2922" customFormat="false" ht="14.25" hidden="false" customHeight="false" outlineLevel="0" collapsed="false">
      <c r="A2922" s="882" t="n">
        <v>426</v>
      </c>
      <c r="B2922" s="830" t="n">
        <v>2024</v>
      </c>
      <c r="C2922" s="1965" t="n">
        <v>45931</v>
      </c>
      <c r="D2922" s="831" t="s">
        <v>8</v>
      </c>
      <c r="E2922" s="1365" t="s">
        <v>1651</v>
      </c>
      <c r="F2922" s="832" t="s">
        <v>3364</v>
      </c>
      <c r="G2922" s="2010" t="n">
        <v>666</v>
      </c>
      <c r="H2922" s="837" t="n">
        <v>15</v>
      </c>
      <c r="I2922" s="837" t="n">
        <f aca="false">G2922*H2922</f>
        <v>9990</v>
      </c>
      <c r="J2922" s="1059" t="n">
        <v>32.0517</v>
      </c>
      <c r="K2922" s="943" t="n">
        <f aca="false">I2922*J2922</f>
        <v>320196.483</v>
      </c>
      <c r="L2922" s="840" t="n">
        <v>16346.367</v>
      </c>
      <c r="M2922" s="840" t="n">
        <v>510</v>
      </c>
      <c r="N2922" s="886" t="n">
        <f aca="false">M2922/H2922</f>
        <v>34</v>
      </c>
      <c r="O2922" s="1114" t="s">
        <v>539</v>
      </c>
      <c r="P2922" s="1934" t="n">
        <f aca="false">K2922-L2922-L2928-L2927-L2923-L2926-L2925-L2924</f>
        <v>-1.38243194669485E-010</v>
      </c>
      <c r="Q2922" s="1934" t="n">
        <f aca="false">I2922-M2922-M2928-M2927-M2923-M2926-M2925-M2924</f>
        <v>0</v>
      </c>
      <c r="R2922" s="1935" t="n">
        <f aca="false">G2922-N2922-N2928-N2927-N2923-N2926-N2925-N2924</f>
        <v>0</v>
      </c>
    </row>
    <row r="2923" customFormat="false" ht="14.25" hidden="false" customHeight="false" outlineLevel="0" collapsed="false">
      <c r="A2923" s="882"/>
      <c r="B2923" s="830"/>
      <c r="C2923" s="1965"/>
      <c r="D2923" s="848" t="s">
        <v>8</v>
      </c>
      <c r="E2923" s="1479" t="s">
        <v>1651</v>
      </c>
      <c r="F2923" s="832"/>
      <c r="G2923" s="2010"/>
      <c r="H2923" s="837"/>
      <c r="I2923" s="837"/>
      <c r="J2923" s="1059"/>
      <c r="K2923" s="943"/>
      <c r="L2923" s="854" t="n">
        <v>14423.265</v>
      </c>
      <c r="M2923" s="854" t="n">
        <v>450</v>
      </c>
      <c r="N2923" s="866" t="n">
        <f aca="false">M2923/H2922</f>
        <v>30</v>
      </c>
      <c r="O2923" s="537" t="s">
        <v>552</v>
      </c>
      <c r="P2923" s="1934"/>
      <c r="Q2923" s="1934"/>
      <c r="R2923" s="1935"/>
    </row>
    <row r="2924" customFormat="false" ht="14.25" hidden="false" customHeight="false" outlineLevel="0" collapsed="false">
      <c r="A2924" s="882"/>
      <c r="B2924" s="830"/>
      <c r="C2924" s="1965"/>
      <c r="D2924" s="848" t="s">
        <v>8</v>
      </c>
      <c r="E2924" s="1479" t="s">
        <v>1651</v>
      </c>
      <c r="F2924" s="832"/>
      <c r="G2924" s="2010"/>
      <c r="H2924" s="837"/>
      <c r="I2924" s="837"/>
      <c r="J2924" s="1059"/>
      <c r="K2924" s="943"/>
      <c r="L2924" s="854" t="n">
        <v>6250.0815</v>
      </c>
      <c r="M2924" s="854" t="n">
        <v>195</v>
      </c>
      <c r="N2924" s="866" t="n">
        <f aca="false">M2924/H2922</f>
        <v>13</v>
      </c>
      <c r="O2924" s="537" t="s">
        <v>572</v>
      </c>
      <c r="P2924" s="1934"/>
      <c r="Q2924" s="1934"/>
      <c r="R2924" s="1935"/>
    </row>
    <row r="2925" customFormat="false" ht="14.25" hidden="false" customHeight="false" outlineLevel="0" collapsed="false">
      <c r="A2925" s="882"/>
      <c r="B2925" s="830"/>
      <c r="C2925" s="1965"/>
      <c r="D2925" s="848" t="s">
        <v>8</v>
      </c>
      <c r="E2925" s="1479" t="s">
        <v>1651</v>
      </c>
      <c r="F2925" s="832"/>
      <c r="G2925" s="2010"/>
      <c r="H2925" s="837"/>
      <c r="I2925" s="837"/>
      <c r="J2925" s="1059"/>
      <c r="K2925" s="943"/>
      <c r="L2925" s="854" t="n">
        <v>32211.9585</v>
      </c>
      <c r="M2925" s="854" t="n">
        <v>1005</v>
      </c>
      <c r="N2925" s="866" t="n">
        <f aca="false">M2925/H2922</f>
        <v>67</v>
      </c>
      <c r="O2925" s="537" t="s">
        <v>567</v>
      </c>
      <c r="P2925" s="1934"/>
      <c r="Q2925" s="1934"/>
      <c r="R2925" s="1935"/>
    </row>
    <row r="2926" customFormat="false" ht="14.25" hidden="false" customHeight="false" outlineLevel="0" collapsed="false">
      <c r="A2926" s="882"/>
      <c r="B2926" s="830"/>
      <c r="C2926" s="1965"/>
      <c r="D2926" s="848" t="s">
        <v>8</v>
      </c>
      <c r="E2926" s="1479" t="s">
        <v>1651</v>
      </c>
      <c r="F2926" s="832"/>
      <c r="G2926" s="2010"/>
      <c r="H2926" s="837"/>
      <c r="I2926" s="837"/>
      <c r="J2926" s="1059"/>
      <c r="K2926" s="943"/>
      <c r="L2926" s="854" t="n">
        <v>227406.8115</v>
      </c>
      <c r="M2926" s="854" t="n">
        <v>7095</v>
      </c>
      <c r="N2926" s="866" t="n">
        <f aca="false">M2926/H2922</f>
        <v>473</v>
      </c>
      <c r="O2926" s="537" t="s">
        <v>565</v>
      </c>
      <c r="P2926" s="1934"/>
      <c r="Q2926" s="1934"/>
      <c r="R2926" s="1935"/>
    </row>
    <row r="2927" customFormat="false" ht="14.25" hidden="false" customHeight="false" outlineLevel="0" collapsed="false">
      <c r="A2927" s="882"/>
      <c r="B2927" s="830"/>
      <c r="C2927" s="1965"/>
      <c r="D2927" s="860" t="s">
        <v>8</v>
      </c>
      <c r="E2927" s="1480" t="s">
        <v>1651</v>
      </c>
      <c r="F2927" s="832"/>
      <c r="G2927" s="2010"/>
      <c r="H2927" s="837"/>
      <c r="I2927" s="837"/>
      <c r="J2927" s="1059"/>
      <c r="K2927" s="943"/>
      <c r="L2927" s="866" t="n">
        <v>13942.4895</v>
      </c>
      <c r="M2927" s="866" t="n">
        <v>435</v>
      </c>
      <c r="N2927" s="866" t="n">
        <f aca="false">M2927/H2922</f>
        <v>29</v>
      </c>
      <c r="O2927" s="543" t="s">
        <v>550</v>
      </c>
      <c r="P2927" s="1934"/>
      <c r="Q2927" s="1934"/>
      <c r="R2927" s="1935"/>
    </row>
    <row r="2928" customFormat="false" ht="14.25" hidden="false" customHeight="false" outlineLevel="0" collapsed="false">
      <c r="A2928" s="882"/>
      <c r="B2928" s="830"/>
      <c r="C2928" s="1965"/>
      <c r="D2928" s="887" t="s">
        <v>8</v>
      </c>
      <c r="E2928" s="1501" t="s">
        <v>1651</v>
      </c>
      <c r="F2928" s="832"/>
      <c r="G2928" s="2010"/>
      <c r="H2928" s="837"/>
      <c r="I2928" s="837"/>
      <c r="J2928" s="1059"/>
      <c r="K2928" s="943"/>
      <c r="L2928" s="890" t="n">
        <v>9615.51</v>
      </c>
      <c r="M2928" s="890" t="n">
        <v>300</v>
      </c>
      <c r="N2928" s="890" t="n">
        <f aca="false">M2928/H2922</f>
        <v>20</v>
      </c>
      <c r="O2928" s="1067" t="s">
        <v>541</v>
      </c>
      <c r="P2928" s="1934"/>
      <c r="Q2928" s="1934"/>
      <c r="R2928" s="1935"/>
    </row>
    <row r="2929" customFormat="false" ht="14.25" hidden="false" customHeight="false" outlineLevel="0" collapsed="false">
      <c r="A2929" s="903" t="n">
        <v>427</v>
      </c>
      <c r="B2929" s="903" t="n">
        <v>2024</v>
      </c>
      <c r="C2929" s="1974" t="n">
        <v>45931</v>
      </c>
      <c r="D2929" s="904" t="s">
        <v>8</v>
      </c>
      <c r="E2929" s="1351" t="s">
        <v>1651</v>
      </c>
      <c r="F2929" s="904" t="s">
        <v>3364</v>
      </c>
      <c r="G2929" s="2012" t="n">
        <v>300</v>
      </c>
      <c r="H2929" s="942" t="n">
        <v>15</v>
      </c>
      <c r="I2929" s="1355" t="n">
        <f aca="false">G2929*H2929</f>
        <v>4500</v>
      </c>
      <c r="J2929" s="1406" t="n">
        <v>39.9506</v>
      </c>
      <c r="K2929" s="1942" t="n">
        <f aca="false">I2929*J2929</f>
        <v>179777.7</v>
      </c>
      <c r="L2929" s="891" t="n">
        <v>179777.7</v>
      </c>
      <c r="M2929" s="891" t="n">
        <v>4500</v>
      </c>
      <c r="N2929" s="891" t="n">
        <f aca="false">M2929/H2929</f>
        <v>300</v>
      </c>
      <c r="O2929" s="942" t="s">
        <v>465</v>
      </c>
      <c r="P2929" s="1964" t="n">
        <f aca="false">K2929-L2929</f>
        <v>0</v>
      </c>
      <c r="Q2929" s="1946" t="n">
        <f aca="false">I2929-M2929</f>
        <v>0</v>
      </c>
      <c r="R2929" s="1946" t="n">
        <f aca="false">G2929-N2929</f>
        <v>0</v>
      </c>
    </row>
    <row r="2930" customFormat="false" ht="14.25" hidden="false" customHeight="false" outlineLevel="0" collapsed="false">
      <c r="A2930" s="1465" t="n">
        <v>468</v>
      </c>
      <c r="B2930" s="1546" t="n">
        <v>2024</v>
      </c>
      <c r="C2930" s="1975" t="n">
        <v>45931</v>
      </c>
      <c r="D2930" s="831" t="s">
        <v>8</v>
      </c>
      <c r="E2930" s="1365" t="s">
        <v>2131</v>
      </c>
      <c r="F2930" s="1328" t="s">
        <v>3364</v>
      </c>
      <c r="G2930" s="2011" t="n">
        <v>281</v>
      </c>
      <c r="H2930" s="1036" t="n">
        <v>25</v>
      </c>
      <c r="I2930" s="1036" t="n">
        <f aca="false">G2930*H2930</f>
        <v>7025</v>
      </c>
      <c r="J2930" s="1557" t="n">
        <v>65.4124</v>
      </c>
      <c r="K2930" s="1547" t="n">
        <f aca="false">I2930*J2930</f>
        <v>459522.11</v>
      </c>
      <c r="L2930" s="840" t="n">
        <v>55600.54</v>
      </c>
      <c r="M2930" s="840" t="n">
        <v>850</v>
      </c>
      <c r="N2930" s="886" t="n">
        <f aca="false">M2930/H2930</f>
        <v>34</v>
      </c>
      <c r="O2930" s="1114" t="s">
        <v>620</v>
      </c>
      <c r="P2930" s="1977" t="n">
        <f aca="false">K2930-L2930-L2933-L2932-L2931</f>
        <v>0</v>
      </c>
      <c r="Q2930" s="1978" t="n">
        <f aca="false">I2930-M2930-M2933-M2932-M2931</f>
        <v>0</v>
      </c>
      <c r="R2930" s="1979" t="n">
        <f aca="false">G2930-N2930-N2933-N2932-N2931</f>
        <v>0</v>
      </c>
    </row>
    <row r="2931" customFormat="false" ht="14.25" hidden="false" customHeight="false" outlineLevel="0" collapsed="false">
      <c r="A2931" s="1465"/>
      <c r="B2931" s="1546"/>
      <c r="C2931" s="1975"/>
      <c r="D2931" s="848" t="s">
        <v>8</v>
      </c>
      <c r="E2931" s="1479" t="s">
        <v>2131</v>
      </c>
      <c r="F2931" s="1328"/>
      <c r="G2931" s="2011"/>
      <c r="H2931" s="1036"/>
      <c r="I2931" s="1036"/>
      <c r="J2931" s="1557"/>
      <c r="K2931" s="1547"/>
      <c r="L2931" s="854" t="n">
        <v>139001.35</v>
      </c>
      <c r="M2931" s="854" t="n">
        <v>2125</v>
      </c>
      <c r="N2931" s="866" t="n">
        <f aca="false">M2931/H2930</f>
        <v>85</v>
      </c>
      <c r="O2931" s="537" t="s">
        <v>618</v>
      </c>
      <c r="P2931" s="1977"/>
      <c r="Q2931" s="1978"/>
      <c r="R2931" s="1979"/>
    </row>
    <row r="2932" customFormat="false" ht="14.25" hidden="false" customHeight="false" outlineLevel="0" collapsed="false">
      <c r="A2932" s="1465"/>
      <c r="B2932" s="1546"/>
      <c r="C2932" s="1975"/>
      <c r="D2932" s="860" t="s">
        <v>8</v>
      </c>
      <c r="E2932" s="1480" t="s">
        <v>2131</v>
      </c>
      <c r="F2932" s="1328"/>
      <c r="G2932" s="2011"/>
      <c r="H2932" s="1036"/>
      <c r="I2932" s="1036"/>
      <c r="J2932" s="1557"/>
      <c r="K2932" s="1547"/>
      <c r="L2932" s="866" t="n">
        <v>132460.11</v>
      </c>
      <c r="M2932" s="866" t="n">
        <v>2025</v>
      </c>
      <c r="N2932" s="866" t="n">
        <f aca="false">M2932/H2930</f>
        <v>81</v>
      </c>
      <c r="O2932" s="543" t="s">
        <v>457</v>
      </c>
      <c r="P2932" s="1977"/>
      <c r="Q2932" s="1978"/>
      <c r="R2932" s="1979"/>
    </row>
    <row r="2933" customFormat="false" ht="14.25" hidden="false" customHeight="false" outlineLevel="0" collapsed="false">
      <c r="A2933" s="1465"/>
      <c r="B2933" s="1546"/>
      <c r="C2933" s="1975"/>
      <c r="D2933" s="871" t="s">
        <v>8</v>
      </c>
      <c r="E2933" s="1478" t="s">
        <v>2131</v>
      </c>
      <c r="F2933" s="1328"/>
      <c r="G2933" s="2011"/>
      <c r="H2933" s="1036"/>
      <c r="I2933" s="1036"/>
      <c r="J2933" s="1557"/>
      <c r="K2933" s="1547"/>
      <c r="L2933" s="891" t="n">
        <v>132460.11</v>
      </c>
      <c r="M2933" s="891" t="n">
        <v>2025</v>
      </c>
      <c r="N2933" s="891" t="n">
        <f aca="false">M2933/H2930</f>
        <v>81</v>
      </c>
      <c r="O2933" s="942" t="s">
        <v>409</v>
      </c>
      <c r="P2933" s="1977"/>
      <c r="Q2933" s="1978"/>
      <c r="R2933" s="1979"/>
    </row>
    <row r="2934" customFormat="false" ht="14.25" hidden="false" customHeight="false" outlineLevel="0" collapsed="false">
      <c r="A2934" s="829" t="n">
        <v>507</v>
      </c>
      <c r="B2934" s="830" t="n">
        <v>2024</v>
      </c>
      <c r="C2934" s="1965" t="n">
        <v>45931</v>
      </c>
      <c r="D2934" s="831" t="s">
        <v>8</v>
      </c>
      <c r="E2934" s="1365" t="s">
        <v>1651</v>
      </c>
      <c r="F2934" s="832" t="s">
        <v>3375</v>
      </c>
      <c r="G2934" s="2010" t="n">
        <v>542</v>
      </c>
      <c r="H2934" s="837" t="n">
        <v>15</v>
      </c>
      <c r="I2934" s="837" t="n">
        <f aca="false">G2934*H2934</f>
        <v>8130</v>
      </c>
      <c r="J2934" s="1059" t="n">
        <v>28.9193</v>
      </c>
      <c r="K2934" s="943" t="n">
        <f aca="false">I2934*J2934</f>
        <v>235113.909</v>
      </c>
      <c r="L2934" s="886" t="n">
        <v>86757.9</v>
      </c>
      <c r="M2934" s="886" t="n">
        <v>3000</v>
      </c>
      <c r="N2934" s="886" t="n">
        <f aca="false">M2934/H2934</f>
        <v>200</v>
      </c>
      <c r="O2934" s="1036" t="s">
        <v>3602</v>
      </c>
      <c r="P2934" s="1934" t="n">
        <f aca="false">K2934-L2934-L2943-L2942-L2935-L2936-L2937-L2941-L2939-L2940-L2938</f>
        <v>-2.64890331891365E-011</v>
      </c>
      <c r="Q2934" s="1934" t="n">
        <f aca="false">I2934-M2934-M2943-M2942-M2935-M2936-M2937-M2941-M2939-M2940-M2938</f>
        <v>0</v>
      </c>
      <c r="R2934" s="1935" t="n">
        <f aca="false">G2934-N2934-N2943-N2942-N2935-N2936-N2937-N2941-N2939-N2940-N2938</f>
        <v>0</v>
      </c>
    </row>
    <row r="2935" customFormat="false" ht="14.25" hidden="false" customHeight="false" outlineLevel="0" collapsed="false">
      <c r="A2935" s="829"/>
      <c r="B2935" s="830"/>
      <c r="C2935" s="1965"/>
      <c r="D2935" s="860" t="s">
        <v>8</v>
      </c>
      <c r="E2935" s="1480" t="s">
        <v>1651</v>
      </c>
      <c r="F2935" s="832"/>
      <c r="G2935" s="2010"/>
      <c r="H2935" s="837"/>
      <c r="I2935" s="837"/>
      <c r="J2935" s="1059"/>
      <c r="K2935" s="943"/>
      <c r="L2935" s="866" t="n">
        <v>3904.1055</v>
      </c>
      <c r="M2935" s="866" t="n">
        <v>135</v>
      </c>
      <c r="N2935" s="866" t="n">
        <f aca="false">M2935/H2934</f>
        <v>9</v>
      </c>
      <c r="O2935" s="543" t="s">
        <v>700</v>
      </c>
      <c r="P2935" s="1934"/>
      <c r="Q2935" s="1934"/>
      <c r="R2935" s="1935"/>
    </row>
    <row r="2936" customFormat="false" ht="14.25" hidden="false" customHeight="false" outlineLevel="0" collapsed="false">
      <c r="A2936" s="829"/>
      <c r="B2936" s="830"/>
      <c r="C2936" s="1965"/>
      <c r="D2936" s="860" t="s">
        <v>8</v>
      </c>
      <c r="E2936" s="1480" t="s">
        <v>1651</v>
      </c>
      <c r="F2936" s="832"/>
      <c r="G2936" s="2010"/>
      <c r="H2936" s="837"/>
      <c r="I2936" s="837"/>
      <c r="J2936" s="1059"/>
      <c r="K2936" s="943"/>
      <c r="L2936" s="866" t="n">
        <v>14748.843</v>
      </c>
      <c r="M2936" s="866" t="n">
        <v>510</v>
      </c>
      <c r="N2936" s="866" t="n">
        <f aca="false">M2936/H2934</f>
        <v>34</v>
      </c>
      <c r="O2936" s="543" t="s">
        <v>732</v>
      </c>
      <c r="P2936" s="1934"/>
      <c r="Q2936" s="1934"/>
      <c r="R2936" s="1935"/>
    </row>
    <row r="2937" customFormat="false" ht="14.25" hidden="false" customHeight="false" outlineLevel="0" collapsed="false">
      <c r="A2937" s="829"/>
      <c r="B2937" s="830"/>
      <c r="C2937" s="1965"/>
      <c r="D2937" s="860" t="s">
        <v>8</v>
      </c>
      <c r="E2937" s="1480" t="s">
        <v>1651</v>
      </c>
      <c r="F2937" s="832"/>
      <c r="G2937" s="2010"/>
      <c r="H2937" s="837"/>
      <c r="I2937" s="837"/>
      <c r="J2937" s="1059"/>
      <c r="K2937" s="943"/>
      <c r="L2937" s="866" t="n">
        <v>17351.58</v>
      </c>
      <c r="M2937" s="866" t="n">
        <v>600</v>
      </c>
      <c r="N2937" s="866" t="n">
        <f aca="false">M2937/H2934</f>
        <v>40</v>
      </c>
      <c r="O2937" s="543" t="s">
        <v>517</v>
      </c>
      <c r="P2937" s="1934"/>
      <c r="Q2937" s="1934"/>
      <c r="R2937" s="1935"/>
    </row>
    <row r="2938" customFormat="false" ht="14.25" hidden="false" customHeight="false" outlineLevel="0" collapsed="false">
      <c r="A2938" s="829"/>
      <c r="B2938" s="830"/>
      <c r="C2938" s="1965"/>
      <c r="D2938" s="860" t="s">
        <v>8</v>
      </c>
      <c r="E2938" s="1480" t="s">
        <v>1651</v>
      </c>
      <c r="F2938" s="832"/>
      <c r="G2938" s="2010"/>
      <c r="H2938" s="837"/>
      <c r="I2938" s="837"/>
      <c r="J2938" s="1059"/>
      <c r="K2938" s="943"/>
      <c r="L2938" s="866" t="n">
        <v>433.7895</v>
      </c>
      <c r="M2938" s="866" t="n">
        <v>15</v>
      </c>
      <c r="N2938" s="866" t="n">
        <f aca="false">M2938/H2934</f>
        <v>1</v>
      </c>
      <c r="O2938" s="543" t="s">
        <v>1634</v>
      </c>
      <c r="P2938" s="1934"/>
      <c r="Q2938" s="1934"/>
      <c r="R2938" s="1935"/>
    </row>
    <row r="2939" customFormat="false" ht="14.25" hidden="false" customHeight="false" outlineLevel="0" collapsed="false">
      <c r="A2939" s="829"/>
      <c r="B2939" s="830"/>
      <c r="C2939" s="1965"/>
      <c r="D2939" s="860" t="s">
        <v>8</v>
      </c>
      <c r="E2939" s="1480" t="s">
        <v>1651</v>
      </c>
      <c r="F2939" s="832"/>
      <c r="G2939" s="2010"/>
      <c r="H2939" s="837"/>
      <c r="I2939" s="837"/>
      <c r="J2939" s="1059"/>
      <c r="K2939" s="943"/>
      <c r="L2939" s="866" t="n">
        <v>43378.95</v>
      </c>
      <c r="M2939" s="866" t="n">
        <v>1500</v>
      </c>
      <c r="N2939" s="866" t="n">
        <f aca="false">M2939/H2934</f>
        <v>100</v>
      </c>
      <c r="O2939" s="543" t="s">
        <v>445</v>
      </c>
      <c r="P2939" s="1934"/>
      <c r="Q2939" s="1934"/>
      <c r="R2939" s="1935"/>
    </row>
    <row r="2940" customFormat="false" ht="14.25" hidden="false" customHeight="false" outlineLevel="0" collapsed="false">
      <c r="A2940" s="829"/>
      <c r="B2940" s="830"/>
      <c r="C2940" s="1965"/>
      <c r="D2940" s="860" t="s">
        <v>8</v>
      </c>
      <c r="E2940" s="1480" t="s">
        <v>1651</v>
      </c>
      <c r="F2940" s="832"/>
      <c r="G2940" s="2010"/>
      <c r="H2940" s="837"/>
      <c r="I2940" s="837"/>
      <c r="J2940" s="1059"/>
      <c r="K2940" s="943"/>
      <c r="L2940" s="866" t="n">
        <v>29063.8965</v>
      </c>
      <c r="M2940" s="866" t="n">
        <v>1005</v>
      </c>
      <c r="N2940" s="866" t="n">
        <f aca="false">M2940/H2934</f>
        <v>67</v>
      </c>
      <c r="O2940" s="543" t="s">
        <v>805</v>
      </c>
      <c r="P2940" s="1934"/>
      <c r="Q2940" s="1934"/>
      <c r="R2940" s="1935"/>
    </row>
    <row r="2941" customFormat="false" ht="14.25" hidden="false" customHeight="false" outlineLevel="0" collapsed="false">
      <c r="A2941" s="829"/>
      <c r="B2941" s="830"/>
      <c r="C2941" s="1965"/>
      <c r="D2941" s="860" t="s">
        <v>8</v>
      </c>
      <c r="E2941" s="1480" t="s">
        <v>1651</v>
      </c>
      <c r="F2941" s="832"/>
      <c r="G2941" s="2010"/>
      <c r="H2941" s="837"/>
      <c r="I2941" s="837"/>
      <c r="J2941" s="1059"/>
      <c r="K2941" s="943"/>
      <c r="L2941" s="866" t="n">
        <v>33401.7915</v>
      </c>
      <c r="M2941" s="866" t="n">
        <v>1155</v>
      </c>
      <c r="N2941" s="866" t="n">
        <f aca="false">M2941/H2934</f>
        <v>77</v>
      </c>
      <c r="O2941" s="543" t="s">
        <v>743</v>
      </c>
      <c r="P2941" s="1934"/>
      <c r="Q2941" s="1934"/>
      <c r="R2941" s="1935"/>
    </row>
    <row r="2942" customFormat="false" ht="14.25" hidden="false" customHeight="false" outlineLevel="0" collapsed="false">
      <c r="A2942" s="829"/>
      <c r="B2942" s="830"/>
      <c r="C2942" s="1965"/>
      <c r="D2942" s="860" t="s">
        <v>8</v>
      </c>
      <c r="E2942" s="1480" t="s">
        <v>1651</v>
      </c>
      <c r="F2942" s="832"/>
      <c r="G2942" s="2010"/>
      <c r="H2942" s="837"/>
      <c r="I2942" s="837"/>
      <c r="J2942" s="1059"/>
      <c r="K2942" s="943"/>
      <c r="L2942" s="866" t="n">
        <v>2168.9475</v>
      </c>
      <c r="M2942" s="866" t="n">
        <v>75</v>
      </c>
      <c r="N2942" s="866" t="n">
        <f aca="false">M2942/H2934</f>
        <v>5</v>
      </c>
      <c r="O2942" s="543" t="s">
        <v>719</v>
      </c>
      <c r="P2942" s="1934"/>
      <c r="Q2942" s="1934"/>
      <c r="R2942" s="1935"/>
    </row>
    <row r="2943" customFormat="false" ht="14.25" hidden="false" customHeight="false" outlineLevel="0" collapsed="false">
      <c r="A2943" s="829"/>
      <c r="B2943" s="830"/>
      <c r="C2943" s="1965"/>
      <c r="D2943" s="843" t="s">
        <v>8</v>
      </c>
      <c r="E2943" s="1357" t="s">
        <v>1651</v>
      </c>
      <c r="F2943" s="832"/>
      <c r="G2943" s="2010"/>
      <c r="H2943" s="837"/>
      <c r="I2943" s="837"/>
      <c r="J2943" s="1059"/>
      <c r="K2943" s="943"/>
      <c r="L2943" s="846" t="n">
        <v>3904.1055</v>
      </c>
      <c r="M2943" s="846" t="n">
        <v>135</v>
      </c>
      <c r="N2943" s="846" t="n">
        <f aca="false">M2943/H2934</f>
        <v>9</v>
      </c>
      <c r="O2943" s="589" t="s">
        <v>718</v>
      </c>
      <c r="P2943" s="1934"/>
      <c r="Q2943" s="1934"/>
      <c r="R2943" s="1935"/>
    </row>
    <row r="2944" customFormat="false" ht="14.25" hidden="false" customHeight="false" outlineLevel="0" collapsed="false">
      <c r="A2944" s="1060" t="n">
        <v>508</v>
      </c>
      <c r="B2944" s="1072" t="n">
        <v>2024</v>
      </c>
      <c r="C2944" s="1980" t="n">
        <v>45931</v>
      </c>
      <c r="D2944" s="848" t="s">
        <v>8</v>
      </c>
      <c r="E2944" s="1479" t="s">
        <v>1651</v>
      </c>
      <c r="F2944" s="887" t="s">
        <v>3364</v>
      </c>
      <c r="G2944" s="2017" t="n">
        <v>230</v>
      </c>
      <c r="H2944" s="1067" t="n">
        <v>15</v>
      </c>
      <c r="I2944" s="1067" t="n">
        <f aca="false">G2944*H2944</f>
        <v>3450</v>
      </c>
      <c r="J2944" s="1063" t="n">
        <v>28.7187</v>
      </c>
      <c r="K2944" s="1452" t="n">
        <f aca="false">I2944*J2944</f>
        <v>99079.515</v>
      </c>
      <c r="L2944" s="854" t="n">
        <v>3015.4635</v>
      </c>
      <c r="M2944" s="854" t="n">
        <v>105</v>
      </c>
      <c r="N2944" s="891" t="n">
        <f aca="false">M2944/H2944</f>
        <v>7</v>
      </c>
      <c r="O2944" s="537" t="s">
        <v>623</v>
      </c>
      <c r="P2944" s="1981" t="n">
        <f aca="false">K2944-L2944-L2949-L2948-L2945-L2947-L2946</f>
        <v>0</v>
      </c>
      <c r="Q2944" s="1953" t="n">
        <f aca="false">I2944-M2944-M2949-M2948-M2945-M2947-M2946</f>
        <v>0</v>
      </c>
      <c r="R2944" s="1954" t="n">
        <f aca="false">G2944-N2944-N2949-N2948-N2945-N2947-N2946</f>
        <v>0</v>
      </c>
    </row>
    <row r="2945" customFormat="false" ht="14.25" hidden="false" customHeight="false" outlineLevel="0" collapsed="false">
      <c r="A2945" s="1060"/>
      <c r="B2945" s="1072"/>
      <c r="C2945" s="1980"/>
      <c r="D2945" s="848" t="s">
        <v>8</v>
      </c>
      <c r="E2945" s="1479" t="s">
        <v>1651</v>
      </c>
      <c r="F2945" s="887"/>
      <c r="G2945" s="2017"/>
      <c r="H2945" s="1067"/>
      <c r="I2945" s="1067"/>
      <c r="J2945" s="1063"/>
      <c r="K2945" s="1452"/>
      <c r="L2945" s="854" t="n">
        <v>43508.8305</v>
      </c>
      <c r="M2945" s="854" t="n">
        <v>1515</v>
      </c>
      <c r="N2945" s="866" t="n">
        <f aca="false">M2945/H2944</f>
        <v>101</v>
      </c>
      <c r="O2945" s="537" t="s">
        <v>581</v>
      </c>
      <c r="P2945" s="1981"/>
      <c r="Q2945" s="1953"/>
      <c r="R2945" s="1954"/>
    </row>
    <row r="2946" customFormat="false" ht="14.25" hidden="false" customHeight="false" outlineLevel="0" collapsed="false">
      <c r="A2946" s="1060"/>
      <c r="B2946" s="1072"/>
      <c r="C2946" s="1980"/>
      <c r="D2946" s="848" t="s">
        <v>8</v>
      </c>
      <c r="E2946" s="1479" t="s">
        <v>1651</v>
      </c>
      <c r="F2946" s="887"/>
      <c r="G2946" s="2017"/>
      <c r="H2946" s="1067"/>
      <c r="I2946" s="1067"/>
      <c r="J2946" s="1063"/>
      <c r="K2946" s="1452"/>
      <c r="L2946" s="854" t="n">
        <v>25846.83</v>
      </c>
      <c r="M2946" s="854" t="n">
        <v>900</v>
      </c>
      <c r="N2946" s="866" t="n">
        <f aca="false">M2946/H2944</f>
        <v>60</v>
      </c>
      <c r="O2946" s="537" t="s">
        <v>755</v>
      </c>
      <c r="P2946" s="1981"/>
      <c r="Q2946" s="1953"/>
      <c r="R2946" s="1954"/>
    </row>
    <row r="2947" customFormat="false" ht="14.25" hidden="false" customHeight="false" outlineLevel="0" collapsed="false">
      <c r="A2947" s="1060"/>
      <c r="B2947" s="1072"/>
      <c r="C2947" s="1980"/>
      <c r="D2947" s="848" t="s">
        <v>8</v>
      </c>
      <c r="E2947" s="1479" t="s">
        <v>1651</v>
      </c>
      <c r="F2947" s="887"/>
      <c r="G2947" s="2017"/>
      <c r="H2947" s="1067"/>
      <c r="I2947" s="1067"/>
      <c r="J2947" s="1063"/>
      <c r="K2947" s="1452"/>
      <c r="L2947" s="854" t="n">
        <v>8615.61</v>
      </c>
      <c r="M2947" s="854" t="n">
        <v>300</v>
      </c>
      <c r="N2947" s="866" t="n">
        <f aca="false">M2947/H2944</f>
        <v>20</v>
      </c>
      <c r="O2947" s="537" t="s">
        <v>637</v>
      </c>
      <c r="P2947" s="1981"/>
      <c r="Q2947" s="1953"/>
      <c r="R2947" s="1954"/>
    </row>
    <row r="2948" customFormat="false" ht="14.25" hidden="false" customHeight="false" outlineLevel="0" collapsed="false">
      <c r="A2948" s="1060"/>
      <c r="B2948" s="1072"/>
      <c r="C2948" s="1980"/>
      <c r="D2948" s="860" t="s">
        <v>8</v>
      </c>
      <c r="E2948" s="1480" t="s">
        <v>1651</v>
      </c>
      <c r="F2948" s="887"/>
      <c r="G2948" s="2017"/>
      <c r="H2948" s="1067"/>
      <c r="I2948" s="1067"/>
      <c r="J2948" s="1063"/>
      <c r="K2948" s="1452"/>
      <c r="L2948" s="866" t="n">
        <v>3015.4635</v>
      </c>
      <c r="M2948" s="866" t="n">
        <v>105</v>
      </c>
      <c r="N2948" s="866" t="n">
        <f aca="false">M2948/H2944</f>
        <v>7</v>
      </c>
      <c r="O2948" s="543" t="s">
        <v>627</v>
      </c>
      <c r="P2948" s="1981"/>
      <c r="Q2948" s="1953"/>
      <c r="R2948" s="1954"/>
    </row>
    <row r="2949" customFormat="false" ht="14.25" hidden="false" customHeight="false" outlineLevel="0" collapsed="false">
      <c r="A2949" s="1060"/>
      <c r="B2949" s="1072"/>
      <c r="C2949" s="1980"/>
      <c r="D2949" s="887" t="s">
        <v>8</v>
      </c>
      <c r="E2949" s="1501" t="s">
        <v>1651</v>
      </c>
      <c r="F2949" s="887"/>
      <c r="G2949" s="2017"/>
      <c r="H2949" s="1067"/>
      <c r="I2949" s="1067"/>
      <c r="J2949" s="1063"/>
      <c r="K2949" s="1452"/>
      <c r="L2949" s="890" t="n">
        <v>15077.3175</v>
      </c>
      <c r="M2949" s="890" t="n">
        <v>525</v>
      </c>
      <c r="N2949" s="890" t="n">
        <f aca="false">M2949/H2944</f>
        <v>35</v>
      </c>
      <c r="O2949" s="1067" t="s">
        <v>626</v>
      </c>
      <c r="P2949" s="1981"/>
      <c r="Q2949" s="1953"/>
      <c r="R2949" s="1954"/>
    </row>
    <row r="2950" customFormat="false" ht="14.25" hidden="false" customHeight="false" outlineLevel="0" collapsed="false">
      <c r="A2950" s="829" t="n">
        <v>509</v>
      </c>
      <c r="B2950" s="830" t="n">
        <v>2024</v>
      </c>
      <c r="C2950" s="1965" t="n">
        <v>45931</v>
      </c>
      <c r="D2950" s="831" t="s">
        <v>8</v>
      </c>
      <c r="E2950" s="1365" t="s">
        <v>1651</v>
      </c>
      <c r="F2950" s="832" t="s">
        <v>3367</v>
      </c>
      <c r="G2950" s="2010" t="n">
        <v>625</v>
      </c>
      <c r="H2950" s="837" t="n">
        <v>10</v>
      </c>
      <c r="I2950" s="837" t="n">
        <f aca="false">G2950*H2950</f>
        <v>6250</v>
      </c>
      <c r="J2950" s="1059" t="n">
        <v>29.1781</v>
      </c>
      <c r="K2950" s="943" t="n">
        <f aca="false">I2950*J2950</f>
        <v>182363.125</v>
      </c>
      <c r="L2950" s="840" t="n">
        <v>43767.15</v>
      </c>
      <c r="M2950" s="840" t="n">
        <v>1500</v>
      </c>
      <c r="N2950" s="886" t="n">
        <f aca="false">M2950/H2950</f>
        <v>150</v>
      </c>
      <c r="O2950" s="1114" t="s">
        <v>624</v>
      </c>
      <c r="P2950" s="1934" t="n">
        <f aca="false">K2950-L2950-L2957-L2956-L2951-L2955-L2952-L2953-L2954</f>
        <v>-9.2086338554509E-012</v>
      </c>
      <c r="Q2950" s="1934" t="n">
        <f aca="false">I2950-M2950-M2957-M2956-M2951-M2955-M2952-M2953-M2954</f>
        <v>0</v>
      </c>
      <c r="R2950" s="1935" t="n">
        <f aca="false">G2950-N2950-N2957-N2956-N2951-N2955-N2952-N2953-N2954</f>
        <v>0</v>
      </c>
    </row>
    <row r="2951" customFormat="false" ht="14.25" hidden="false" customHeight="false" outlineLevel="0" collapsed="false">
      <c r="A2951" s="829"/>
      <c r="B2951" s="830"/>
      <c r="C2951" s="1965"/>
      <c r="D2951" s="848" t="s">
        <v>8</v>
      </c>
      <c r="E2951" s="1479" t="s">
        <v>1651</v>
      </c>
      <c r="F2951" s="832"/>
      <c r="G2951" s="2010"/>
      <c r="H2951" s="837"/>
      <c r="I2951" s="837"/>
      <c r="J2951" s="1059"/>
      <c r="K2951" s="943"/>
      <c r="L2951" s="854" t="n">
        <v>13130.145</v>
      </c>
      <c r="M2951" s="854" t="n">
        <v>450</v>
      </c>
      <c r="N2951" s="866" t="n">
        <f aca="false">M2951/H2950</f>
        <v>45</v>
      </c>
      <c r="O2951" s="537" t="s">
        <v>640</v>
      </c>
      <c r="P2951" s="1934"/>
      <c r="Q2951" s="1934"/>
      <c r="R2951" s="1935"/>
    </row>
    <row r="2952" customFormat="false" ht="14.25" hidden="false" customHeight="false" outlineLevel="0" collapsed="false">
      <c r="A2952" s="829"/>
      <c r="B2952" s="830"/>
      <c r="C2952" s="1965"/>
      <c r="D2952" s="848" t="s">
        <v>8</v>
      </c>
      <c r="E2952" s="1479" t="s">
        <v>1651</v>
      </c>
      <c r="F2952" s="832"/>
      <c r="G2952" s="2010"/>
      <c r="H2952" s="837"/>
      <c r="I2952" s="837"/>
      <c r="J2952" s="1059"/>
      <c r="K2952" s="943"/>
      <c r="L2952" s="854" t="n">
        <v>33554.815</v>
      </c>
      <c r="M2952" s="854" t="n">
        <v>1150</v>
      </c>
      <c r="N2952" s="866" t="n">
        <f aca="false">M2952/H2950</f>
        <v>115</v>
      </c>
      <c r="O2952" s="537" t="s">
        <v>544</v>
      </c>
      <c r="P2952" s="1934"/>
      <c r="Q2952" s="1934"/>
      <c r="R2952" s="1935"/>
    </row>
    <row r="2953" customFormat="false" ht="14.25" hidden="false" customHeight="false" outlineLevel="0" collapsed="false">
      <c r="A2953" s="829"/>
      <c r="B2953" s="830"/>
      <c r="C2953" s="1965"/>
      <c r="D2953" s="848" t="s">
        <v>8</v>
      </c>
      <c r="E2953" s="1479" t="s">
        <v>1651</v>
      </c>
      <c r="F2953" s="832"/>
      <c r="G2953" s="2010"/>
      <c r="H2953" s="837"/>
      <c r="I2953" s="837"/>
      <c r="J2953" s="1059"/>
      <c r="K2953" s="943"/>
      <c r="L2953" s="854" t="n">
        <v>291.781</v>
      </c>
      <c r="M2953" s="854" t="n">
        <v>10</v>
      </c>
      <c r="N2953" s="866" t="n">
        <f aca="false">M2953/H2950</f>
        <v>1</v>
      </c>
      <c r="O2953" s="537" t="s">
        <v>746</v>
      </c>
      <c r="P2953" s="1934"/>
      <c r="Q2953" s="1934"/>
      <c r="R2953" s="1935"/>
    </row>
    <row r="2954" customFormat="false" ht="14.25" hidden="false" customHeight="false" outlineLevel="0" collapsed="false">
      <c r="A2954" s="829"/>
      <c r="B2954" s="830"/>
      <c r="C2954" s="1965"/>
      <c r="D2954" s="848" t="s">
        <v>8</v>
      </c>
      <c r="E2954" s="1479" t="s">
        <v>1651</v>
      </c>
      <c r="F2954" s="832"/>
      <c r="G2954" s="2010"/>
      <c r="H2954" s="837"/>
      <c r="I2954" s="837"/>
      <c r="J2954" s="1059"/>
      <c r="K2954" s="943"/>
      <c r="L2954" s="854" t="n">
        <v>291.781</v>
      </c>
      <c r="M2954" s="854" t="n">
        <v>10</v>
      </c>
      <c r="N2954" s="866" t="n">
        <f aca="false">M2954/H2950</f>
        <v>1</v>
      </c>
      <c r="O2954" s="537" t="s">
        <v>867</v>
      </c>
      <c r="P2954" s="1934"/>
      <c r="Q2954" s="1934"/>
      <c r="R2954" s="1935"/>
    </row>
    <row r="2955" customFormat="false" ht="14.25" hidden="false" customHeight="false" outlineLevel="0" collapsed="false">
      <c r="A2955" s="829"/>
      <c r="B2955" s="830"/>
      <c r="C2955" s="1965"/>
      <c r="D2955" s="848" t="s">
        <v>8</v>
      </c>
      <c r="E2955" s="1479" t="s">
        <v>1651</v>
      </c>
      <c r="F2955" s="832"/>
      <c r="G2955" s="2010"/>
      <c r="H2955" s="837"/>
      <c r="I2955" s="837"/>
      <c r="J2955" s="1059"/>
      <c r="K2955" s="943"/>
      <c r="L2955" s="854" t="n">
        <v>23634.261</v>
      </c>
      <c r="M2955" s="854" t="n">
        <v>810</v>
      </c>
      <c r="N2955" s="866" t="n">
        <f aca="false">M2955/H2950</f>
        <v>81</v>
      </c>
      <c r="O2955" s="537" t="s">
        <v>675</v>
      </c>
      <c r="P2955" s="1934"/>
      <c r="Q2955" s="1934"/>
      <c r="R2955" s="1935"/>
    </row>
    <row r="2956" customFormat="false" ht="14.25" hidden="false" customHeight="false" outlineLevel="0" collapsed="false">
      <c r="A2956" s="829"/>
      <c r="B2956" s="830"/>
      <c r="C2956" s="1965"/>
      <c r="D2956" s="860" t="s">
        <v>8</v>
      </c>
      <c r="E2956" s="1480" t="s">
        <v>1651</v>
      </c>
      <c r="F2956" s="832"/>
      <c r="G2956" s="2010"/>
      <c r="H2956" s="837"/>
      <c r="I2956" s="837"/>
      <c r="J2956" s="1059"/>
      <c r="K2956" s="943"/>
      <c r="L2956" s="866" t="n">
        <v>53104.142</v>
      </c>
      <c r="M2956" s="866" t="n">
        <v>1820</v>
      </c>
      <c r="N2956" s="866" t="n">
        <f aca="false">M2956/H2950</f>
        <v>182</v>
      </c>
      <c r="O2956" s="543" t="s">
        <v>625</v>
      </c>
      <c r="P2956" s="1934"/>
      <c r="Q2956" s="1934"/>
      <c r="R2956" s="1935"/>
    </row>
    <row r="2957" customFormat="false" ht="14.25" hidden="false" customHeight="false" outlineLevel="0" collapsed="false">
      <c r="A2957" s="829"/>
      <c r="B2957" s="830"/>
      <c r="C2957" s="1965"/>
      <c r="D2957" s="887" t="s">
        <v>8</v>
      </c>
      <c r="E2957" s="1501" t="s">
        <v>1651</v>
      </c>
      <c r="F2957" s="832"/>
      <c r="G2957" s="2010"/>
      <c r="H2957" s="837"/>
      <c r="I2957" s="837"/>
      <c r="J2957" s="1059"/>
      <c r="K2957" s="943"/>
      <c r="L2957" s="890" t="n">
        <v>14589.05</v>
      </c>
      <c r="M2957" s="890" t="n">
        <v>500</v>
      </c>
      <c r="N2957" s="890" t="n">
        <f aca="false">M2957/H2950</f>
        <v>50</v>
      </c>
      <c r="O2957" s="1067" t="s">
        <v>589</v>
      </c>
      <c r="P2957" s="1934"/>
      <c r="Q2957" s="1934"/>
      <c r="R2957" s="1935"/>
    </row>
    <row r="2958" customFormat="false" ht="14.25" hidden="false" customHeight="false" outlineLevel="0" collapsed="false">
      <c r="A2958" s="903" t="s">
        <v>3603</v>
      </c>
      <c r="B2958" s="903" t="n">
        <v>2024</v>
      </c>
      <c r="C2958" s="1974" t="n">
        <v>45931</v>
      </c>
      <c r="D2958" s="904" t="s">
        <v>8</v>
      </c>
      <c r="E2958" s="1351" t="s">
        <v>2619</v>
      </c>
      <c r="F2958" s="904" t="s">
        <v>3364</v>
      </c>
      <c r="G2958" s="2012" t="n">
        <v>3</v>
      </c>
      <c r="H2958" s="942" t="n">
        <v>800</v>
      </c>
      <c r="I2958" s="1355" t="n">
        <f aca="false">G2958*H2958</f>
        <v>2400</v>
      </c>
      <c r="J2958" s="1406" t="n">
        <v>91</v>
      </c>
      <c r="K2958" s="1942" t="n">
        <f aca="false">I2958*J2958</f>
        <v>218400</v>
      </c>
      <c r="L2958" s="891" t="n">
        <v>218400</v>
      </c>
      <c r="M2958" s="891" t="n">
        <v>2400</v>
      </c>
      <c r="N2958" s="891" t="n">
        <f aca="false">M2958/H2958</f>
        <v>3</v>
      </c>
      <c r="O2958" s="942" t="s">
        <v>655</v>
      </c>
      <c r="P2958" s="1944" t="n">
        <f aca="false">K2958-L2958</f>
        <v>0</v>
      </c>
      <c r="Q2958" s="1946" t="n">
        <f aca="false">I2958-M2958</f>
        <v>0</v>
      </c>
      <c r="R2958" s="1946" t="n">
        <f aca="false">G2958-N2958</f>
        <v>0</v>
      </c>
    </row>
    <row r="2959" customFormat="false" ht="14.25" hidden="false" customHeight="false" outlineLevel="0" collapsed="false">
      <c r="A2959" s="1465" t="n">
        <v>527</v>
      </c>
      <c r="B2959" s="1546" t="n">
        <v>2024</v>
      </c>
      <c r="C2959" s="1975" t="n">
        <v>45931</v>
      </c>
      <c r="D2959" s="831" t="s">
        <v>8</v>
      </c>
      <c r="E2959" s="1365" t="s">
        <v>1651</v>
      </c>
      <c r="F2959" s="1328" t="s">
        <v>3367</v>
      </c>
      <c r="G2959" s="2011" t="n">
        <v>700</v>
      </c>
      <c r="H2959" s="1036" t="n">
        <v>10</v>
      </c>
      <c r="I2959" s="1036" t="n">
        <f aca="false">G2959*H2959</f>
        <v>7000</v>
      </c>
      <c r="J2959" s="1557" t="n">
        <v>30.2055</v>
      </c>
      <c r="K2959" s="1547" t="n">
        <f aca="false">I2959*J2959</f>
        <v>211438.5</v>
      </c>
      <c r="L2959" s="840" t="n">
        <v>45308.25</v>
      </c>
      <c r="M2959" s="840" t="n">
        <v>1500</v>
      </c>
      <c r="N2959" s="886" t="n">
        <f aca="false">M2959/H2959</f>
        <v>150</v>
      </c>
      <c r="O2959" s="1114" t="s">
        <v>657</v>
      </c>
      <c r="P2959" s="1977" t="n">
        <f aca="false">K2959-L2959-L2968-L2967-L2960-L2961-L2966-L2962-L2965-L2963-L2964</f>
        <v>0</v>
      </c>
      <c r="Q2959" s="1978" t="n">
        <f aca="false">I2959-M2959-M2968-M2967-M2960-M2961-M2966-M2962-M2965-M2963-M2964</f>
        <v>0</v>
      </c>
      <c r="R2959" s="1979" t="n">
        <f aca="false">G2959-N2959-N2968-N2967-N2960-N2961-N2966-N2962-N2965-N2963-N2964</f>
        <v>0</v>
      </c>
    </row>
    <row r="2960" customFormat="false" ht="14.25" hidden="false" customHeight="false" outlineLevel="0" collapsed="false">
      <c r="A2960" s="1465"/>
      <c r="B2960" s="1546"/>
      <c r="C2960" s="1975"/>
      <c r="D2960" s="848" t="s">
        <v>8</v>
      </c>
      <c r="E2960" s="1479" t="s">
        <v>1651</v>
      </c>
      <c r="F2960" s="1328"/>
      <c r="G2960" s="2011"/>
      <c r="H2960" s="1036"/>
      <c r="I2960" s="1036"/>
      <c r="J2960" s="1557"/>
      <c r="K2960" s="1547"/>
      <c r="L2960" s="854" t="n">
        <v>604.11</v>
      </c>
      <c r="M2960" s="854" t="n">
        <v>20</v>
      </c>
      <c r="N2960" s="866" t="n">
        <f aca="false">M2960/H2959</f>
        <v>2</v>
      </c>
      <c r="O2960" s="537" t="s">
        <v>705</v>
      </c>
      <c r="P2960" s="1977"/>
      <c r="Q2960" s="1978"/>
      <c r="R2960" s="1979"/>
    </row>
    <row r="2961" customFormat="false" ht="14.25" hidden="false" customHeight="false" outlineLevel="0" collapsed="false">
      <c r="A2961" s="1465"/>
      <c r="B2961" s="1546"/>
      <c r="C2961" s="1975"/>
      <c r="D2961" s="848" t="s">
        <v>8</v>
      </c>
      <c r="E2961" s="1479" t="s">
        <v>1651</v>
      </c>
      <c r="F2961" s="1328"/>
      <c r="G2961" s="2011"/>
      <c r="H2961" s="1036"/>
      <c r="I2961" s="1036"/>
      <c r="J2961" s="1557"/>
      <c r="K2961" s="1547"/>
      <c r="L2961" s="854" t="n">
        <v>5134.935</v>
      </c>
      <c r="M2961" s="854" t="n">
        <v>170</v>
      </c>
      <c r="N2961" s="866" t="n">
        <f aca="false">M2961/H2959</f>
        <v>17</v>
      </c>
      <c r="O2961" s="537" t="s">
        <v>879</v>
      </c>
      <c r="P2961" s="1977"/>
      <c r="Q2961" s="1978"/>
      <c r="R2961" s="1979"/>
    </row>
    <row r="2962" customFormat="false" ht="14.25" hidden="false" customHeight="false" outlineLevel="0" collapsed="false">
      <c r="A2962" s="1465"/>
      <c r="B2962" s="1546"/>
      <c r="C2962" s="1975"/>
      <c r="D2962" s="848" t="s">
        <v>8</v>
      </c>
      <c r="E2962" s="1479" t="s">
        <v>1651</v>
      </c>
      <c r="F2962" s="1328"/>
      <c r="G2962" s="2011"/>
      <c r="H2962" s="1036"/>
      <c r="I2962" s="1036"/>
      <c r="J2962" s="1557"/>
      <c r="K2962" s="1547"/>
      <c r="L2962" s="854" t="n">
        <v>13290.42</v>
      </c>
      <c r="M2962" s="854" t="n">
        <v>440</v>
      </c>
      <c r="N2962" s="866" t="n">
        <f aca="false">M2962/H2959</f>
        <v>44</v>
      </c>
      <c r="O2962" s="537" t="s">
        <v>803</v>
      </c>
      <c r="P2962" s="1977"/>
      <c r="Q2962" s="1978"/>
      <c r="R2962" s="1979"/>
    </row>
    <row r="2963" customFormat="false" ht="14.25" hidden="false" customHeight="false" outlineLevel="0" collapsed="false">
      <c r="A2963" s="1465"/>
      <c r="B2963" s="1546"/>
      <c r="C2963" s="1975"/>
      <c r="D2963" s="848" t="s">
        <v>8</v>
      </c>
      <c r="E2963" s="1479" t="s">
        <v>1651</v>
      </c>
      <c r="F2963" s="1328"/>
      <c r="G2963" s="2011"/>
      <c r="H2963" s="1036"/>
      <c r="I2963" s="1036"/>
      <c r="J2963" s="1557"/>
      <c r="K2963" s="1547"/>
      <c r="L2963" s="854" t="n">
        <v>-22956.18</v>
      </c>
      <c r="M2963" s="854" t="n">
        <v>-760</v>
      </c>
      <c r="N2963" s="866" t="n">
        <f aca="false">M2963/H2959</f>
        <v>-76</v>
      </c>
      <c r="O2963" s="537" t="s">
        <v>1634</v>
      </c>
      <c r="P2963" s="1977"/>
      <c r="Q2963" s="1978"/>
      <c r="R2963" s="1979"/>
    </row>
    <row r="2964" customFormat="false" ht="14.25" hidden="false" customHeight="false" outlineLevel="0" collapsed="false">
      <c r="A2964" s="1465"/>
      <c r="B2964" s="1546"/>
      <c r="C2964" s="1975"/>
      <c r="D2964" s="848" t="s">
        <v>8</v>
      </c>
      <c r="E2964" s="1479" t="s">
        <v>1651</v>
      </c>
      <c r="F2964" s="1328"/>
      <c r="G2964" s="2011"/>
      <c r="H2964" s="1036"/>
      <c r="I2964" s="1036"/>
      <c r="J2964" s="1557"/>
      <c r="K2964" s="1547"/>
      <c r="L2964" s="854" t="n">
        <v>22956.18</v>
      </c>
      <c r="M2964" s="854" t="n">
        <v>760</v>
      </c>
      <c r="N2964" s="866" t="n">
        <f aca="false">M2964/H2959</f>
        <v>76</v>
      </c>
      <c r="O2964" s="537" t="s">
        <v>1375</v>
      </c>
      <c r="P2964" s="1977"/>
      <c r="Q2964" s="1978"/>
      <c r="R2964" s="1979"/>
    </row>
    <row r="2965" customFormat="false" ht="14.25" hidden="false" customHeight="false" outlineLevel="0" collapsed="false">
      <c r="A2965" s="1465"/>
      <c r="B2965" s="1546"/>
      <c r="C2965" s="1975"/>
      <c r="D2965" s="848" t="s">
        <v>8</v>
      </c>
      <c r="E2965" s="1479" t="s">
        <v>1651</v>
      </c>
      <c r="F2965" s="1328"/>
      <c r="G2965" s="2011"/>
      <c r="H2965" s="1036"/>
      <c r="I2965" s="1036"/>
      <c r="J2965" s="1557"/>
      <c r="K2965" s="1547"/>
      <c r="L2965" s="854" t="n">
        <v>9061.65</v>
      </c>
      <c r="M2965" s="854" t="n">
        <v>300</v>
      </c>
      <c r="N2965" s="866" t="n">
        <f aca="false">M2965/H2959</f>
        <v>30</v>
      </c>
      <c r="O2965" s="537" t="s">
        <v>801</v>
      </c>
      <c r="P2965" s="1977"/>
      <c r="Q2965" s="1978"/>
      <c r="R2965" s="1979"/>
    </row>
    <row r="2966" customFormat="false" ht="14.25" hidden="false" customHeight="false" outlineLevel="0" collapsed="false">
      <c r="A2966" s="1465"/>
      <c r="B2966" s="1546"/>
      <c r="C2966" s="1975"/>
      <c r="D2966" s="848" t="s">
        <v>8</v>
      </c>
      <c r="E2966" s="1479" t="s">
        <v>1651</v>
      </c>
      <c r="F2966" s="1328"/>
      <c r="G2966" s="2011"/>
      <c r="H2966" s="1036"/>
      <c r="I2966" s="1036"/>
      <c r="J2966" s="1557"/>
      <c r="K2966" s="1547"/>
      <c r="L2966" s="854" t="n">
        <v>9061.65</v>
      </c>
      <c r="M2966" s="854" t="n">
        <v>300</v>
      </c>
      <c r="N2966" s="866" t="n">
        <f aca="false">M2966/H2959</f>
        <v>30</v>
      </c>
      <c r="O2966" s="537" t="s">
        <v>867</v>
      </c>
      <c r="P2966" s="1977"/>
      <c r="Q2966" s="1978"/>
      <c r="R2966" s="1979"/>
    </row>
    <row r="2967" customFormat="false" ht="14.25" hidden="false" customHeight="false" outlineLevel="0" collapsed="false">
      <c r="A2967" s="1465"/>
      <c r="B2967" s="1546"/>
      <c r="C2967" s="1975"/>
      <c r="D2967" s="860" t="s">
        <v>8</v>
      </c>
      <c r="E2967" s="1480" t="s">
        <v>1651</v>
      </c>
      <c r="F2967" s="1328"/>
      <c r="G2967" s="2011"/>
      <c r="H2967" s="1036"/>
      <c r="I2967" s="1036"/>
      <c r="J2967" s="1557"/>
      <c r="K2967" s="1547"/>
      <c r="L2967" s="866" t="n">
        <v>2114.385</v>
      </c>
      <c r="M2967" s="866" t="n">
        <v>70</v>
      </c>
      <c r="N2967" s="866" t="n">
        <f aca="false">M2967/H2959</f>
        <v>7</v>
      </c>
      <c r="O2967" s="543" t="s">
        <v>544</v>
      </c>
      <c r="P2967" s="1977"/>
      <c r="Q2967" s="1978"/>
      <c r="R2967" s="1979"/>
    </row>
    <row r="2968" customFormat="false" ht="14.25" hidden="false" customHeight="false" outlineLevel="0" collapsed="false">
      <c r="A2968" s="1465"/>
      <c r="B2968" s="1546"/>
      <c r="C2968" s="1975"/>
      <c r="D2968" s="904" t="s">
        <v>8</v>
      </c>
      <c r="E2968" s="1351" t="s">
        <v>1651</v>
      </c>
      <c r="F2968" s="1328"/>
      <c r="G2968" s="2011"/>
      <c r="H2968" s="1036"/>
      <c r="I2968" s="1036"/>
      <c r="J2968" s="1557"/>
      <c r="K2968" s="1547"/>
      <c r="L2968" s="891" t="n">
        <v>126863.1</v>
      </c>
      <c r="M2968" s="891" t="n">
        <v>4200</v>
      </c>
      <c r="N2968" s="891" t="n">
        <f aca="false">M2968/H2959</f>
        <v>420</v>
      </c>
      <c r="O2968" s="942" t="s">
        <v>675</v>
      </c>
      <c r="P2968" s="1977"/>
      <c r="Q2968" s="1978"/>
      <c r="R2968" s="1979"/>
    </row>
    <row r="2969" customFormat="false" ht="14.25" hidden="false" customHeight="false" outlineLevel="0" collapsed="false">
      <c r="A2969" s="1027" t="n">
        <v>528</v>
      </c>
      <c r="B2969" s="1546" t="n">
        <v>2024</v>
      </c>
      <c r="C2969" s="1975" t="n">
        <v>45931</v>
      </c>
      <c r="D2969" s="831" t="s">
        <v>8</v>
      </c>
      <c r="E2969" s="1365" t="s">
        <v>1651</v>
      </c>
      <c r="F2969" s="1328" t="s">
        <v>3364</v>
      </c>
      <c r="G2969" s="2011" t="n">
        <v>666</v>
      </c>
      <c r="H2969" s="1036" t="n">
        <v>15</v>
      </c>
      <c r="I2969" s="1036" t="n">
        <f aca="false">G2969*H2969</f>
        <v>9990</v>
      </c>
      <c r="J2969" s="1557" t="n">
        <v>30.2055</v>
      </c>
      <c r="K2969" s="1547" t="n">
        <f aca="false">I2969*J2969</f>
        <v>301752.945</v>
      </c>
      <c r="L2969" s="840" t="n">
        <v>163562.7825</v>
      </c>
      <c r="M2969" s="840" t="n">
        <v>5415</v>
      </c>
      <c r="N2969" s="840" t="n">
        <f aca="false">M2969/H2969</f>
        <v>361</v>
      </c>
      <c r="O2969" s="1114" t="s">
        <v>659</v>
      </c>
      <c r="P2969" s="1978" t="n">
        <f aca="false">K2969-L2969-L2970</f>
        <v>-0.000499999994644895</v>
      </c>
      <c r="Q2969" s="1978" t="n">
        <f aca="false">I2969-M2969-M2970</f>
        <v>0</v>
      </c>
      <c r="R2969" s="1979" t="n">
        <f aca="false">G2969-N2969-N2970</f>
        <v>0</v>
      </c>
    </row>
    <row r="2970" customFormat="false" ht="14.25" hidden="false" customHeight="false" outlineLevel="0" collapsed="false">
      <c r="A2970" s="1027"/>
      <c r="B2970" s="1546"/>
      <c r="C2970" s="1975"/>
      <c r="D2970" s="871" t="s">
        <v>8</v>
      </c>
      <c r="E2970" s="1478" t="s">
        <v>1651</v>
      </c>
      <c r="F2970" s="1328"/>
      <c r="G2970" s="2011"/>
      <c r="H2970" s="1036"/>
      <c r="I2970" s="1036"/>
      <c r="J2970" s="1557"/>
      <c r="K2970" s="1547"/>
      <c r="L2970" s="877" t="n">
        <v>138190.163</v>
      </c>
      <c r="M2970" s="877" t="n">
        <v>4575</v>
      </c>
      <c r="N2970" s="877" t="n">
        <f aca="false">M2970/H2969</f>
        <v>305</v>
      </c>
      <c r="O2970" s="553" t="s">
        <v>581</v>
      </c>
      <c r="P2970" s="1978"/>
      <c r="Q2970" s="1978"/>
      <c r="R2970" s="1979"/>
    </row>
    <row r="2971" customFormat="false" ht="14.25" hidden="false" customHeight="false" outlineLevel="0" collapsed="false">
      <c r="A2971" s="829" t="n">
        <v>529</v>
      </c>
      <c r="B2971" s="830" t="n">
        <v>2024</v>
      </c>
      <c r="C2971" s="1965" t="n">
        <v>45931</v>
      </c>
      <c r="D2971" s="831" t="s">
        <v>8</v>
      </c>
      <c r="E2971" s="1365" t="s">
        <v>1651</v>
      </c>
      <c r="F2971" s="832" t="s">
        <v>3364</v>
      </c>
      <c r="G2971" s="2010" t="n">
        <v>206</v>
      </c>
      <c r="H2971" s="837" t="n">
        <v>15</v>
      </c>
      <c r="I2971" s="837" t="n">
        <f aca="false">G2971*H2971</f>
        <v>3090</v>
      </c>
      <c r="J2971" s="1059" t="n">
        <v>31.2319</v>
      </c>
      <c r="K2971" s="943" t="n">
        <f aca="false">I2971*J2971</f>
        <v>96506.571</v>
      </c>
      <c r="L2971" s="886" t="n">
        <v>15459.7905</v>
      </c>
      <c r="M2971" s="886" t="n">
        <v>495</v>
      </c>
      <c r="N2971" s="886" t="n">
        <f aca="false">M2971/H2971</f>
        <v>33</v>
      </c>
      <c r="O2971" s="1036" t="s">
        <v>674</v>
      </c>
      <c r="P2971" s="1937" t="n">
        <f aca="false">K2971-L2971-L2974-L2973-L2972</f>
        <v>0</v>
      </c>
      <c r="Q2971" s="1934" t="n">
        <f aca="false">I2971-M2971-M2974-M2973-M2972</f>
        <v>0</v>
      </c>
      <c r="R2971" s="1935" t="n">
        <f aca="false">G2971-N2971-N2974-N2973-N2972</f>
        <v>0</v>
      </c>
    </row>
    <row r="2972" customFormat="false" ht="14.25" hidden="false" customHeight="false" outlineLevel="0" collapsed="false">
      <c r="A2972" s="829"/>
      <c r="B2972" s="830"/>
      <c r="C2972" s="1965"/>
      <c r="D2972" s="860" t="s">
        <v>8</v>
      </c>
      <c r="E2972" s="1480" t="s">
        <v>1651</v>
      </c>
      <c r="F2972" s="832"/>
      <c r="G2972" s="2010"/>
      <c r="H2972" s="837"/>
      <c r="I2972" s="837"/>
      <c r="J2972" s="1059"/>
      <c r="K2972" s="943"/>
      <c r="L2972" s="866" t="n">
        <v>5153.2635</v>
      </c>
      <c r="M2972" s="866" t="n">
        <v>165</v>
      </c>
      <c r="N2972" s="866" t="n">
        <f aca="false">M2972/H2971</f>
        <v>11</v>
      </c>
      <c r="O2972" s="543" t="s">
        <v>700</v>
      </c>
      <c r="P2972" s="1937"/>
      <c r="Q2972" s="1934"/>
      <c r="R2972" s="1935"/>
    </row>
    <row r="2973" customFormat="false" ht="14.25" hidden="false" customHeight="false" outlineLevel="0" collapsed="false">
      <c r="A2973" s="829"/>
      <c r="B2973" s="830"/>
      <c r="C2973" s="1965"/>
      <c r="D2973" s="860" t="s">
        <v>8</v>
      </c>
      <c r="E2973" s="1480" t="s">
        <v>1651</v>
      </c>
      <c r="F2973" s="832"/>
      <c r="G2973" s="2010"/>
      <c r="H2973" s="837"/>
      <c r="I2973" s="837"/>
      <c r="J2973" s="1059"/>
      <c r="K2973" s="943"/>
      <c r="L2973" s="866" t="n">
        <v>31388.0595</v>
      </c>
      <c r="M2973" s="866" t="n">
        <v>1005</v>
      </c>
      <c r="N2973" s="866" t="n">
        <f aca="false">M2973/H2971</f>
        <v>67</v>
      </c>
      <c r="O2973" s="543" t="s">
        <v>572</v>
      </c>
      <c r="P2973" s="1937"/>
      <c r="Q2973" s="1934"/>
      <c r="R2973" s="1935"/>
    </row>
    <row r="2974" customFormat="false" ht="14.25" hidden="false" customHeight="false" outlineLevel="0" collapsed="false">
      <c r="A2974" s="829"/>
      <c r="B2974" s="830"/>
      <c r="C2974" s="1965"/>
      <c r="D2974" s="843" t="s">
        <v>8</v>
      </c>
      <c r="E2974" s="1357" t="s">
        <v>1651</v>
      </c>
      <c r="F2974" s="832"/>
      <c r="G2974" s="2010"/>
      <c r="H2974" s="837"/>
      <c r="I2974" s="837"/>
      <c r="J2974" s="1059"/>
      <c r="K2974" s="943"/>
      <c r="L2974" s="846" t="n">
        <v>44505.4575</v>
      </c>
      <c r="M2974" s="846" t="n">
        <v>1425</v>
      </c>
      <c r="N2974" s="846" t="n">
        <f aca="false">M2974/H2971</f>
        <v>95</v>
      </c>
      <c r="O2974" s="589" t="s">
        <v>581</v>
      </c>
      <c r="P2974" s="1937"/>
      <c r="Q2974" s="1934"/>
      <c r="R2974" s="1935"/>
    </row>
    <row r="2975" customFormat="false" ht="14.25" hidden="false" customHeight="false" outlineLevel="0" collapsed="false">
      <c r="A2975" s="829" t="n">
        <v>530</v>
      </c>
      <c r="B2975" s="830" t="n">
        <v>2024</v>
      </c>
      <c r="C2975" s="1965" t="n">
        <v>45931</v>
      </c>
      <c r="D2975" s="831" t="s">
        <v>8</v>
      </c>
      <c r="E2975" s="1365" t="s">
        <v>1652</v>
      </c>
      <c r="F2975" s="832" t="s">
        <v>3364</v>
      </c>
      <c r="G2975" s="2010" t="n">
        <v>64</v>
      </c>
      <c r="H2975" s="837" t="n">
        <v>15</v>
      </c>
      <c r="I2975" s="837" t="n">
        <f aca="false">G2975*H2975</f>
        <v>960</v>
      </c>
      <c r="J2975" s="1059" t="n">
        <v>54.9791</v>
      </c>
      <c r="K2975" s="943" t="n">
        <f aca="false">I2975*J2975</f>
        <v>52779.936</v>
      </c>
      <c r="L2975" s="840" t="n">
        <v>22266.5355</v>
      </c>
      <c r="M2975" s="840" t="n">
        <v>405</v>
      </c>
      <c r="N2975" s="840" t="n">
        <f aca="false">M2975/H2975</f>
        <v>27</v>
      </c>
      <c r="O2975" s="1114" t="s">
        <v>619</v>
      </c>
      <c r="P2975" s="1937" t="n">
        <f aca="false">K2975-L2975-L2976</f>
        <v>0</v>
      </c>
      <c r="Q2975" s="1934" t="n">
        <f aca="false">I2975-M2975-M2976</f>
        <v>0</v>
      </c>
      <c r="R2975" s="1935" t="n">
        <f aca="false">G2975-N2975-N2976</f>
        <v>0</v>
      </c>
    </row>
    <row r="2976" customFormat="false" ht="14.25" hidden="false" customHeight="false" outlineLevel="0" collapsed="false">
      <c r="A2976" s="829"/>
      <c r="B2976" s="830"/>
      <c r="C2976" s="1965"/>
      <c r="D2976" s="887" t="s">
        <v>8</v>
      </c>
      <c r="E2976" s="1501" t="s">
        <v>1652</v>
      </c>
      <c r="F2976" s="832"/>
      <c r="G2976" s="2010"/>
      <c r="H2976" s="837"/>
      <c r="I2976" s="837"/>
      <c r="J2976" s="1059"/>
      <c r="K2976" s="943"/>
      <c r="L2976" s="890" t="n">
        <v>30513.4005</v>
      </c>
      <c r="M2976" s="890" t="n">
        <v>555</v>
      </c>
      <c r="N2976" s="890" t="n">
        <f aca="false">M2976/H2975</f>
        <v>37</v>
      </c>
      <c r="O2976" s="1067" t="s">
        <v>670</v>
      </c>
      <c r="P2976" s="1937"/>
      <c r="Q2976" s="1934"/>
      <c r="R2976" s="1935"/>
    </row>
    <row r="2977" customFormat="false" ht="14.25" hidden="false" customHeight="false" outlineLevel="0" collapsed="false">
      <c r="A2977" s="847" t="n">
        <v>568</v>
      </c>
      <c r="B2977" s="1396" t="n">
        <v>2024</v>
      </c>
      <c r="C2977" s="1966" t="n">
        <v>45962</v>
      </c>
      <c r="D2977" s="848" t="s">
        <v>8</v>
      </c>
      <c r="E2977" s="1479" t="s">
        <v>2619</v>
      </c>
      <c r="F2977" s="848" t="s">
        <v>3364</v>
      </c>
      <c r="G2977" s="2018" t="n">
        <v>1</v>
      </c>
      <c r="H2977" s="537" t="n">
        <v>418</v>
      </c>
      <c r="I2977" s="1380" t="n">
        <f aca="false">G2977*H2977</f>
        <v>418</v>
      </c>
      <c r="J2977" s="1544" t="n">
        <v>92.9593</v>
      </c>
      <c r="K2977" s="1968" t="n">
        <f aca="false">I2977*J2977</f>
        <v>38856.9874</v>
      </c>
      <c r="L2977" s="854" t="n">
        <v>38856.9874</v>
      </c>
      <c r="M2977" s="854" t="n">
        <v>418</v>
      </c>
      <c r="N2977" s="854" t="n">
        <f aca="false">M2977/H2977</f>
        <v>1</v>
      </c>
      <c r="O2977" s="537" t="s">
        <v>724</v>
      </c>
      <c r="P2977" s="1983" t="n">
        <f aca="false">K2977-L2977</f>
        <v>0</v>
      </c>
      <c r="Q2977" s="1971" t="n">
        <f aca="false">I2977-M2977</f>
        <v>0</v>
      </c>
      <c r="R2977" s="1971" t="n">
        <f aca="false">G2977-N2977</f>
        <v>0</v>
      </c>
    </row>
    <row r="2978" customFormat="false" ht="14.25" hidden="false" customHeight="false" outlineLevel="0" collapsed="false">
      <c r="A2978" s="903" t="n">
        <v>580</v>
      </c>
      <c r="B2978" s="903" t="n">
        <v>2024</v>
      </c>
      <c r="C2978" s="1974" t="n">
        <v>45962</v>
      </c>
      <c r="D2978" s="904" t="s">
        <v>8</v>
      </c>
      <c r="E2978" s="1351" t="s">
        <v>1651</v>
      </c>
      <c r="F2978" s="904" t="s">
        <v>3364</v>
      </c>
      <c r="G2978" s="2012" t="n">
        <v>200</v>
      </c>
      <c r="H2978" s="942" t="n">
        <v>15</v>
      </c>
      <c r="I2978" s="1355" t="n">
        <f aca="false">G2978*H2978</f>
        <v>3000</v>
      </c>
      <c r="J2978" s="1406" t="n">
        <v>28.9193</v>
      </c>
      <c r="K2978" s="1942" t="n">
        <f aca="false">I2978*J2978</f>
        <v>86757.9</v>
      </c>
      <c r="L2978" s="891" t="n">
        <v>86757.9</v>
      </c>
      <c r="M2978" s="891" t="n">
        <v>3000</v>
      </c>
      <c r="N2978" s="891" t="n">
        <f aca="false">M2978/H2978</f>
        <v>200</v>
      </c>
      <c r="O2978" s="942" t="s">
        <v>866</v>
      </c>
      <c r="P2978" s="1947" t="n">
        <f aca="false">K2978-L2978</f>
        <v>0</v>
      </c>
      <c r="Q2978" s="1946" t="n">
        <f aca="false">I2978-M2978</f>
        <v>0</v>
      </c>
      <c r="R2978" s="1946" t="n">
        <f aca="false">G2978-N2978</f>
        <v>0</v>
      </c>
    </row>
    <row r="2979" customFormat="false" ht="14.25" hidden="false" customHeight="false" outlineLevel="0" collapsed="false">
      <c r="A2979" s="829" t="n">
        <v>581</v>
      </c>
      <c r="B2979" s="830" t="n">
        <v>2024</v>
      </c>
      <c r="C2979" s="1965" t="n">
        <v>45962</v>
      </c>
      <c r="D2979" s="831" t="s">
        <v>8</v>
      </c>
      <c r="E2979" s="1365" t="s">
        <v>2131</v>
      </c>
      <c r="F2979" s="832" t="s">
        <v>3364</v>
      </c>
      <c r="G2979" s="2010" t="n">
        <v>92</v>
      </c>
      <c r="H2979" s="837" t="n">
        <v>25</v>
      </c>
      <c r="I2979" s="837" t="n">
        <f aca="false">G2979*H2979</f>
        <v>2300</v>
      </c>
      <c r="J2979" s="1059" t="n">
        <v>63.1807</v>
      </c>
      <c r="K2979" s="943" t="n">
        <f aca="false">I2979*J2979</f>
        <v>145315.61</v>
      </c>
      <c r="L2979" s="840" t="n">
        <v>126361.4</v>
      </c>
      <c r="M2979" s="840" t="n">
        <v>2000</v>
      </c>
      <c r="N2979" s="840" t="n">
        <f aca="false">M2979/H2979</f>
        <v>80</v>
      </c>
      <c r="O2979" s="1114" t="s">
        <v>740</v>
      </c>
      <c r="P2979" s="1948" t="n">
        <f aca="false">K2979-L2979-L2980</f>
        <v>0</v>
      </c>
      <c r="Q2979" s="1934" t="n">
        <f aca="false">I2979-M2979-M2980</f>
        <v>0</v>
      </c>
      <c r="R2979" s="1935" t="n">
        <f aca="false">G2979-N2979-N2980</f>
        <v>0</v>
      </c>
    </row>
    <row r="2980" customFormat="false" ht="14.25" hidden="false" customHeight="false" outlineLevel="0" collapsed="false">
      <c r="A2980" s="829"/>
      <c r="B2980" s="830"/>
      <c r="C2980" s="1965"/>
      <c r="D2980" s="843" t="s">
        <v>8</v>
      </c>
      <c r="E2980" s="1357" t="s">
        <v>2131</v>
      </c>
      <c r="F2980" s="832"/>
      <c r="G2980" s="2010"/>
      <c r="H2980" s="837"/>
      <c r="I2980" s="837"/>
      <c r="J2980" s="1059"/>
      <c r="K2980" s="943"/>
      <c r="L2980" s="846" t="n">
        <v>18954.21</v>
      </c>
      <c r="M2980" s="846" t="n">
        <v>300</v>
      </c>
      <c r="N2980" s="846" t="n">
        <f aca="false">M2980/H2979</f>
        <v>12</v>
      </c>
      <c r="O2980" s="589" t="s">
        <v>618</v>
      </c>
      <c r="P2980" s="1948"/>
      <c r="Q2980" s="1934"/>
      <c r="R2980" s="1935"/>
    </row>
    <row r="2981" customFormat="false" ht="14.25" hidden="false" customHeight="false" outlineLevel="0" collapsed="false">
      <c r="A2981" s="1344" t="n">
        <v>616</v>
      </c>
      <c r="B2981" s="903" t="n">
        <v>2024</v>
      </c>
      <c r="C2981" s="1974" t="n">
        <v>45962</v>
      </c>
      <c r="D2981" s="848" t="s">
        <v>8</v>
      </c>
      <c r="E2981" s="1479" t="s">
        <v>1651</v>
      </c>
      <c r="F2981" s="904" t="s">
        <v>3364</v>
      </c>
      <c r="G2981" s="2012" t="n">
        <v>89</v>
      </c>
      <c r="H2981" s="942" t="n">
        <v>15</v>
      </c>
      <c r="I2981" s="942" t="n">
        <f aca="false">G2981*H2981</f>
        <v>1335</v>
      </c>
      <c r="J2981" s="1406" t="n">
        <v>35.3182</v>
      </c>
      <c r="K2981" s="948" t="n">
        <f aca="false">I2981*J2981</f>
        <v>47149.797</v>
      </c>
      <c r="L2981" s="854" t="n">
        <v>46090.251</v>
      </c>
      <c r="M2981" s="854" t="n">
        <v>1305</v>
      </c>
      <c r="N2981" s="891" t="n">
        <f aca="false">M2981/H2981</f>
        <v>87</v>
      </c>
      <c r="O2981" s="537" t="s">
        <v>721</v>
      </c>
      <c r="P2981" s="2000" t="n">
        <f aca="false">K2981-L2981-L2983-L2982</f>
        <v>2.04636307898909E-012</v>
      </c>
      <c r="Q2981" s="2000" t="n">
        <f aca="false">I2981-M2981-M2983-M2982</f>
        <v>0</v>
      </c>
      <c r="R2981" s="2005" t="n">
        <f aca="false">G2981-N2981-N2983-N2982</f>
        <v>0</v>
      </c>
    </row>
    <row r="2982" customFormat="false" ht="14.25" hidden="false" customHeight="false" outlineLevel="0" collapsed="false">
      <c r="A2982" s="1344"/>
      <c r="B2982" s="903"/>
      <c r="C2982" s="1974"/>
      <c r="D2982" s="860" t="s">
        <v>8</v>
      </c>
      <c r="E2982" s="1480" t="s">
        <v>1651</v>
      </c>
      <c r="F2982" s="904"/>
      <c r="G2982" s="2012"/>
      <c r="H2982" s="942"/>
      <c r="I2982" s="942"/>
      <c r="J2982" s="1406"/>
      <c r="K2982" s="948"/>
      <c r="L2982" s="866" t="n">
        <v>529.773</v>
      </c>
      <c r="M2982" s="866" t="n">
        <v>15</v>
      </c>
      <c r="N2982" s="866" t="n">
        <f aca="false">M2982/H2981</f>
        <v>1</v>
      </c>
      <c r="O2982" s="543" t="s">
        <v>854</v>
      </c>
      <c r="P2982" s="2000"/>
      <c r="Q2982" s="2000"/>
      <c r="R2982" s="2005"/>
    </row>
    <row r="2983" customFormat="false" ht="14.25" hidden="false" customHeight="false" outlineLevel="0" collapsed="false">
      <c r="A2983" s="1344"/>
      <c r="B2983" s="903"/>
      <c r="C2983" s="1974"/>
      <c r="D2983" s="904" t="s">
        <v>8</v>
      </c>
      <c r="E2983" s="1351" t="s">
        <v>1651</v>
      </c>
      <c r="F2983" s="904"/>
      <c r="G2983" s="2012"/>
      <c r="H2983" s="942"/>
      <c r="I2983" s="942"/>
      <c r="J2983" s="1406"/>
      <c r="K2983" s="948"/>
      <c r="L2983" s="891" t="n">
        <v>529.773</v>
      </c>
      <c r="M2983" s="891" t="n">
        <v>15</v>
      </c>
      <c r="N2983" s="891" t="n">
        <f aca="false">M2983/H2981</f>
        <v>1</v>
      </c>
      <c r="O2983" s="942" t="s">
        <v>855</v>
      </c>
      <c r="P2983" s="2000"/>
      <c r="Q2983" s="2000"/>
      <c r="R2983" s="2005"/>
    </row>
    <row r="2984" customFormat="false" ht="14.25" hidden="false" customHeight="false" outlineLevel="0" collapsed="false">
      <c r="A2984" s="882" t="n">
        <v>687</v>
      </c>
      <c r="B2984" s="830" t="n">
        <v>2024</v>
      </c>
      <c r="C2984" s="1965" t="n">
        <v>45992</v>
      </c>
      <c r="D2984" s="831" t="s">
        <v>8</v>
      </c>
      <c r="E2984" s="1365" t="s">
        <v>2619</v>
      </c>
      <c r="F2984" s="832" t="s">
        <v>3364</v>
      </c>
      <c r="G2984" s="2010" t="n">
        <v>60</v>
      </c>
      <c r="H2984" s="837" t="n">
        <v>30</v>
      </c>
      <c r="I2984" s="837" t="n">
        <f aca="false">G2984*H2984</f>
        <v>1800</v>
      </c>
      <c r="J2984" s="1059" t="n">
        <v>90.9</v>
      </c>
      <c r="K2984" s="943" t="n">
        <f aca="false">I2984*J2984</f>
        <v>163620</v>
      </c>
      <c r="L2984" s="840" t="n">
        <v>163620</v>
      </c>
      <c r="M2984" s="840" t="n">
        <v>1800</v>
      </c>
      <c r="N2984" s="886" t="n">
        <f aca="false">M2984/H2984</f>
        <v>60</v>
      </c>
      <c r="O2984" s="1114" t="s">
        <v>934</v>
      </c>
      <c r="P2984" s="1948" t="n">
        <f aca="false">K2984-L2984-L2986-L2985</f>
        <v>155439</v>
      </c>
      <c r="Q2984" s="1934" t="n">
        <f aca="false">I2984-M2984-M2986-M2985</f>
        <v>1710</v>
      </c>
      <c r="R2984" s="1935" t="n">
        <f aca="false">G2984-N2984-N2986-N2985</f>
        <v>57</v>
      </c>
    </row>
    <row r="2985" customFormat="false" ht="14.25" hidden="false" customHeight="false" outlineLevel="0" collapsed="false">
      <c r="A2985" s="882"/>
      <c r="B2985" s="830"/>
      <c r="C2985" s="1965"/>
      <c r="D2985" s="904" t="s">
        <v>8</v>
      </c>
      <c r="E2985" s="1351" t="s">
        <v>2619</v>
      </c>
      <c r="F2985" s="832"/>
      <c r="G2985" s="2010"/>
      <c r="H2985" s="837"/>
      <c r="I2985" s="837"/>
      <c r="J2985" s="1059"/>
      <c r="K2985" s="943"/>
      <c r="L2985" s="891" t="n">
        <v>-158166</v>
      </c>
      <c r="M2985" s="891" t="n">
        <v>-1740</v>
      </c>
      <c r="N2985" s="866" t="n">
        <f aca="false">M2985/H2984</f>
        <v>-58</v>
      </c>
      <c r="O2985" s="942" t="s">
        <v>1634</v>
      </c>
      <c r="P2985" s="1948"/>
      <c r="Q2985" s="1934"/>
      <c r="R2985" s="1935"/>
    </row>
    <row r="2986" customFormat="false" ht="14.25" hidden="false" customHeight="false" outlineLevel="0" collapsed="false">
      <c r="A2986" s="882"/>
      <c r="B2986" s="830"/>
      <c r="C2986" s="1965"/>
      <c r="D2986" s="843" t="s">
        <v>8</v>
      </c>
      <c r="E2986" s="1357" t="s">
        <v>2619</v>
      </c>
      <c r="F2986" s="832"/>
      <c r="G2986" s="2010"/>
      <c r="H2986" s="837"/>
      <c r="I2986" s="837"/>
      <c r="J2986" s="1059"/>
      <c r="K2986" s="943"/>
      <c r="L2986" s="846" t="n">
        <v>2727</v>
      </c>
      <c r="M2986" s="846" t="n">
        <v>30</v>
      </c>
      <c r="N2986" s="846" t="n">
        <f aca="false">M2986/H2984</f>
        <v>1</v>
      </c>
      <c r="O2986" s="589" t="s">
        <v>1227</v>
      </c>
      <c r="P2986" s="1948"/>
      <c r="Q2986" s="1934"/>
      <c r="R2986" s="1935"/>
    </row>
    <row r="2987" customFormat="false" ht="14.25" hidden="false" customHeight="false" outlineLevel="0" collapsed="false">
      <c r="A2987" s="903" t="n">
        <v>699</v>
      </c>
      <c r="B2987" s="903" t="n">
        <v>2024</v>
      </c>
      <c r="C2987" s="1974" t="n">
        <v>45992</v>
      </c>
      <c r="D2987" s="904" t="s">
        <v>8</v>
      </c>
      <c r="E2987" s="1351" t="s">
        <v>1651</v>
      </c>
      <c r="F2987" s="904" t="s">
        <v>3364</v>
      </c>
      <c r="G2987" s="2012" t="n">
        <v>130</v>
      </c>
      <c r="H2987" s="942" t="n">
        <v>15</v>
      </c>
      <c r="I2987" s="1355" t="n">
        <f aca="false">G2987*H2987</f>
        <v>1950</v>
      </c>
      <c r="J2987" s="1406" t="n">
        <v>31.744</v>
      </c>
      <c r="K2987" s="1942" t="n">
        <f aca="false">I2987*J2987</f>
        <v>61900.8</v>
      </c>
      <c r="L2987" s="891" t="n">
        <v>61900.8</v>
      </c>
      <c r="M2987" s="891" t="n">
        <v>1950</v>
      </c>
      <c r="N2987" s="891" t="n">
        <f aca="false">M2987/H2987</f>
        <v>130</v>
      </c>
      <c r="O2987" s="942" t="s">
        <v>936</v>
      </c>
      <c r="P2987" s="1947" t="n">
        <f aca="false">K2987-L2987</f>
        <v>0</v>
      </c>
      <c r="Q2987" s="1946" t="n">
        <f aca="false">I2987-M2987</f>
        <v>0</v>
      </c>
      <c r="R2987" s="1946" t="n">
        <f aca="false">G2987-N2987</f>
        <v>0</v>
      </c>
    </row>
    <row r="2988" customFormat="false" ht="14.25" hidden="false" customHeight="false" outlineLevel="0" collapsed="false">
      <c r="A2988" s="1465" t="n">
        <v>700</v>
      </c>
      <c r="B2988" s="1546" t="n">
        <v>2024</v>
      </c>
      <c r="C2988" s="1975" t="n">
        <v>45992</v>
      </c>
      <c r="D2988" s="831" t="s">
        <v>8</v>
      </c>
      <c r="E2988" s="1365" t="s">
        <v>1651</v>
      </c>
      <c r="F2988" s="1328" t="s">
        <v>3364</v>
      </c>
      <c r="G2988" s="2011" t="n">
        <v>31</v>
      </c>
      <c r="H2988" s="1036" t="n">
        <v>15</v>
      </c>
      <c r="I2988" s="1036" t="n">
        <f aca="false">G2988*H2988</f>
        <v>465</v>
      </c>
      <c r="J2988" s="1557" t="n">
        <v>33.041</v>
      </c>
      <c r="K2988" s="1547" t="n">
        <f aca="false">I2988*J2988</f>
        <v>15364.065</v>
      </c>
      <c r="L2988" s="840" t="n">
        <v>9912.3</v>
      </c>
      <c r="M2988" s="840" t="n">
        <v>300</v>
      </c>
      <c r="N2988" s="886" t="n">
        <f aca="false">M2988/H2988</f>
        <v>20</v>
      </c>
      <c r="O2988" s="1114" t="s">
        <v>958</v>
      </c>
      <c r="P2988" s="1984" t="n">
        <f aca="false">K2988-L2988-L2991-L2990-L2989</f>
        <v>0</v>
      </c>
      <c r="Q2988" s="1978" t="n">
        <f aca="false">I2988-M2988-M2991-M2990-M2989</f>
        <v>0</v>
      </c>
      <c r="R2988" s="1979" t="n">
        <f aca="false">G2988-N2988-N2991-N2990-N2989</f>
        <v>0</v>
      </c>
    </row>
    <row r="2989" customFormat="false" ht="14.25" hidden="false" customHeight="false" outlineLevel="0" collapsed="false">
      <c r="A2989" s="1465"/>
      <c r="B2989" s="1546"/>
      <c r="C2989" s="1975"/>
      <c r="D2989" s="848" t="s">
        <v>8</v>
      </c>
      <c r="E2989" s="1479" t="s">
        <v>1651</v>
      </c>
      <c r="F2989" s="1328"/>
      <c r="G2989" s="2011"/>
      <c r="H2989" s="1036"/>
      <c r="I2989" s="1036"/>
      <c r="J2989" s="1557"/>
      <c r="K2989" s="1547"/>
      <c r="L2989" s="854" t="n">
        <v>2478.075</v>
      </c>
      <c r="M2989" s="854" t="n">
        <v>75</v>
      </c>
      <c r="N2989" s="866" t="n">
        <f aca="false">M2989/H2988</f>
        <v>5</v>
      </c>
      <c r="O2989" s="537" t="s">
        <v>961</v>
      </c>
      <c r="P2989" s="1984"/>
      <c r="Q2989" s="1978"/>
      <c r="R2989" s="1979"/>
    </row>
    <row r="2990" customFormat="false" ht="14.25" hidden="false" customHeight="false" outlineLevel="0" collapsed="false">
      <c r="A2990" s="1465"/>
      <c r="B2990" s="1546"/>
      <c r="C2990" s="1975"/>
      <c r="D2990" s="860" t="s">
        <v>8</v>
      </c>
      <c r="E2990" s="1480" t="s">
        <v>1651</v>
      </c>
      <c r="F2990" s="1328"/>
      <c r="G2990" s="2011"/>
      <c r="H2990" s="1036"/>
      <c r="I2990" s="1036"/>
      <c r="J2990" s="1557"/>
      <c r="K2990" s="1547"/>
      <c r="L2990" s="866" t="n">
        <v>991.23</v>
      </c>
      <c r="M2990" s="866" t="n">
        <v>30</v>
      </c>
      <c r="N2990" s="866" t="n">
        <f aca="false">M2990/H2988</f>
        <v>2</v>
      </c>
      <c r="O2990" s="543" t="s">
        <v>3604</v>
      </c>
      <c r="P2990" s="1984"/>
      <c r="Q2990" s="1978"/>
      <c r="R2990" s="1979"/>
    </row>
    <row r="2991" customFormat="false" ht="14.25" hidden="false" customHeight="false" outlineLevel="0" collapsed="false">
      <c r="A2991" s="1465"/>
      <c r="B2991" s="1546"/>
      <c r="C2991" s="1975"/>
      <c r="D2991" s="904" t="s">
        <v>8</v>
      </c>
      <c r="E2991" s="1351" t="s">
        <v>1651</v>
      </c>
      <c r="F2991" s="1328"/>
      <c r="G2991" s="2011"/>
      <c r="H2991" s="1036"/>
      <c r="I2991" s="1036"/>
      <c r="J2991" s="1557"/>
      <c r="K2991" s="1547"/>
      <c r="L2991" s="891" t="n">
        <v>1982.46</v>
      </c>
      <c r="M2991" s="891" t="n">
        <v>60</v>
      </c>
      <c r="N2991" s="891" t="n">
        <f aca="false">M2991/H2988</f>
        <v>4</v>
      </c>
      <c r="O2991" s="942" t="s">
        <v>959</v>
      </c>
      <c r="P2991" s="1984"/>
      <c r="Q2991" s="1978"/>
      <c r="R2991" s="1979"/>
    </row>
    <row r="2992" customFormat="false" ht="14.25" hidden="false" customHeight="false" outlineLevel="0" collapsed="false">
      <c r="A2992" s="882" t="n">
        <v>715</v>
      </c>
      <c r="B2992" s="830" t="n">
        <v>2024</v>
      </c>
      <c r="C2992" s="1965" t="n">
        <v>45992</v>
      </c>
      <c r="D2992" s="831" t="s">
        <v>8</v>
      </c>
      <c r="E2992" s="1365" t="s">
        <v>1651</v>
      </c>
      <c r="F2992" s="832" t="s">
        <v>3375</v>
      </c>
      <c r="G2992" s="2010" t="n">
        <v>200</v>
      </c>
      <c r="H2992" s="837" t="n">
        <v>15</v>
      </c>
      <c r="I2992" s="837" t="n">
        <f aca="false">G2992*H2992</f>
        <v>3000</v>
      </c>
      <c r="J2992" s="1059" t="n">
        <v>27.4947</v>
      </c>
      <c r="K2992" s="943" t="n">
        <f aca="false">I2992*J2992</f>
        <v>82484.1</v>
      </c>
      <c r="L2992" s="840" t="n">
        <v>19383.7635</v>
      </c>
      <c r="M2992" s="840" t="n">
        <v>705</v>
      </c>
      <c r="N2992" s="886" t="n">
        <f aca="false">M2992/H2992</f>
        <v>47</v>
      </c>
      <c r="O2992" s="1114" t="s">
        <v>445</v>
      </c>
      <c r="P2992" s="1948" t="n">
        <f aca="false">K2992-L2992-L2994-L2993</f>
        <v>0</v>
      </c>
      <c r="Q2992" s="1934" t="n">
        <f aca="false">I2992-M2992-M2994-M2993</f>
        <v>0</v>
      </c>
      <c r="R2992" s="1935" t="n">
        <f aca="false">G2992-N2992-N2994-N2993</f>
        <v>0</v>
      </c>
    </row>
    <row r="2993" customFormat="false" ht="14.25" hidden="false" customHeight="false" outlineLevel="0" collapsed="false">
      <c r="A2993" s="882"/>
      <c r="B2993" s="830"/>
      <c r="C2993" s="1965"/>
      <c r="D2993" s="904" t="s">
        <v>8</v>
      </c>
      <c r="E2993" s="1351" t="s">
        <v>1651</v>
      </c>
      <c r="F2993" s="832"/>
      <c r="G2993" s="2010"/>
      <c r="H2993" s="837"/>
      <c r="I2993" s="837"/>
      <c r="J2993" s="1059"/>
      <c r="K2993" s="943"/>
      <c r="L2993" s="891" t="n">
        <v>49180.0395</v>
      </c>
      <c r="M2993" s="891" t="n">
        <v>1785</v>
      </c>
      <c r="N2993" s="866" t="n">
        <f aca="false">M2993/H2992</f>
        <v>119</v>
      </c>
      <c r="O2993" s="942" t="s">
        <v>445</v>
      </c>
      <c r="P2993" s="1948"/>
      <c r="Q2993" s="1934"/>
      <c r="R2993" s="1935"/>
    </row>
    <row r="2994" customFormat="false" ht="14.25" hidden="false" customHeight="false" outlineLevel="0" collapsed="false">
      <c r="A2994" s="882"/>
      <c r="B2994" s="830"/>
      <c r="C2994" s="1965"/>
      <c r="D2994" s="843" t="s">
        <v>8</v>
      </c>
      <c r="E2994" s="1357" t="s">
        <v>1651</v>
      </c>
      <c r="F2994" s="832"/>
      <c r="G2994" s="2010"/>
      <c r="H2994" s="837"/>
      <c r="I2994" s="837"/>
      <c r="J2994" s="1059"/>
      <c r="K2994" s="943"/>
      <c r="L2994" s="846" t="n">
        <v>13920.297</v>
      </c>
      <c r="M2994" s="846" t="n">
        <v>510</v>
      </c>
      <c r="N2994" s="846" t="n">
        <f aca="false">M2994/H2992</f>
        <v>34</v>
      </c>
      <c r="O2994" s="589" t="s">
        <v>445</v>
      </c>
      <c r="P2994" s="1948"/>
      <c r="Q2994" s="1934"/>
      <c r="R2994" s="1935"/>
    </row>
    <row r="2995" customFormat="false" ht="14.25" hidden="false" customHeight="false" outlineLevel="0" collapsed="false">
      <c r="A2995" s="1087" t="n">
        <v>716</v>
      </c>
      <c r="B2995" s="1072" t="n">
        <v>2024</v>
      </c>
      <c r="C2995" s="1980" t="n">
        <v>45992</v>
      </c>
      <c r="D2995" s="848" t="s">
        <v>8</v>
      </c>
      <c r="E2995" s="1479" t="s">
        <v>1651</v>
      </c>
      <c r="F2995" s="887" t="s">
        <v>3367</v>
      </c>
      <c r="G2995" s="2015" t="n">
        <v>200</v>
      </c>
      <c r="H2995" s="1067" t="n">
        <v>15</v>
      </c>
      <c r="I2995" s="1067" t="n">
        <f aca="false">G2995*H2995</f>
        <v>3000</v>
      </c>
      <c r="J2995" s="1063" t="n">
        <v>27.4947</v>
      </c>
      <c r="K2995" s="1452" t="n">
        <f aca="false">I2995*J2995</f>
        <v>82484.1</v>
      </c>
      <c r="L2995" s="891" t="n">
        <v>824.841</v>
      </c>
      <c r="M2995" s="891" t="n">
        <v>30</v>
      </c>
      <c r="N2995" s="891" t="n">
        <f aca="false">M2995/H2995</f>
        <v>2</v>
      </c>
      <c r="O2995" s="942" t="s">
        <v>3605</v>
      </c>
      <c r="P2995" s="1952" t="n">
        <f aca="false">K2995-L2995-L3002-L3001-L2996-L2997-L3000-L2999-L2998</f>
        <v>5361.4665</v>
      </c>
      <c r="Q2995" s="1953" t="n">
        <f aca="false">I2995-M2995-M3002-M3001-M2996-M2997-M3000-M2999-M2998</f>
        <v>195</v>
      </c>
      <c r="R2995" s="1954" t="n">
        <f aca="false">G2995-N2995-N3002-N3001-N2996-N2997-N3000-N2999-N2998</f>
        <v>13</v>
      </c>
    </row>
    <row r="2996" customFormat="false" ht="14.25" hidden="false" customHeight="false" outlineLevel="0" collapsed="false">
      <c r="A2996" s="1087"/>
      <c r="B2996" s="1072"/>
      <c r="C2996" s="1980"/>
      <c r="D2996" s="860" t="s">
        <v>8</v>
      </c>
      <c r="E2996" s="1480" t="s">
        <v>1651</v>
      </c>
      <c r="F2996" s="887"/>
      <c r="G2996" s="2015"/>
      <c r="H2996" s="1067"/>
      <c r="I2996" s="1067"/>
      <c r="J2996" s="1063"/>
      <c r="K2996" s="1452"/>
      <c r="L2996" s="866" t="n">
        <v>5498.94</v>
      </c>
      <c r="M2996" s="866" t="n">
        <v>200</v>
      </c>
      <c r="N2996" s="1147" t="n">
        <f aca="false">M2996/H2995</f>
        <v>13.3333333333333</v>
      </c>
      <c r="O2996" s="543" t="s">
        <v>889</v>
      </c>
      <c r="P2996" s="1952"/>
      <c r="Q2996" s="1953"/>
      <c r="R2996" s="1954"/>
    </row>
    <row r="2997" customFormat="false" ht="14.25" hidden="false" customHeight="false" outlineLevel="0" collapsed="false">
      <c r="A2997" s="1087"/>
      <c r="B2997" s="1072"/>
      <c r="C2997" s="1980"/>
      <c r="D2997" s="860" t="s">
        <v>8</v>
      </c>
      <c r="E2997" s="1480" t="s">
        <v>1651</v>
      </c>
      <c r="F2997" s="887"/>
      <c r="G2997" s="2015"/>
      <c r="H2997" s="1067"/>
      <c r="I2997" s="1067"/>
      <c r="J2997" s="1063"/>
      <c r="K2997" s="1452"/>
      <c r="L2997" s="866" t="n">
        <v>54989.4</v>
      </c>
      <c r="M2997" s="866" t="n">
        <v>2000</v>
      </c>
      <c r="N2997" s="1383" t="n">
        <f aca="false">M2997/H2995</f>
        <v>133.333333333333</v>
      </c>
      <c r="O2997" s="543" t="s">
        <v>894</v>
      </c>
      <c r="P2997" s="1952"/>
      <c r="Q2997" s="1953"/>
      <c r="R2997" s="1954"/>
    </row>
    <row r="2998" customFormat="false" ht="14.25" hidden="false" customHeight="false" outlineLevel="0" collapsed="false">
      <c r="A2998" s="1087"/>
      <c r="B2998" s="1072"/>
      <c r="C2998" s="1980"/>
      <c r="D2998" s="860" t="s">
        <v>8</v>
      </c>
      <c r="E2998" s="1480" t="s">
        <v>1651</v>
      </c>
      <c r="F2998" s="887"/>
      <c r="G2998" s="2015"/>
      <c r="H2998" s="1067"/>
      <c r="I2998" s="1067"/>
      <c r="J2998" s="1063"/>
      <c r="K2998" s="1452"/>
      <c r="L2998" s="866" t="n">
        <v>-1237.2615</v>
      </c>
      <c r="M2998" s="866" t="n">
        <v>-45</v>
      </c>
      <c r="N2998" s="866" t="n">
        <f aca="false">M2998/H2995</f>
        <v>-3</v>
      </c>
      <c r="O2998" s="543" t="s">
        <v>1375</v>
      </c>
      <c r="P2998" s="1952"/>
      <c r="Q2998" s="1953"/>
      <c r="R2998" s="1954"/>
    </row>
    <row r="2999" customFormat="false" ht="14.25" hidden="false" customHeight="false" outlineLevel="0" collapsed="false">
      <c r="A2999" s="1087"/>
      <c r="B2999" s="1072"/>
      <c r="C2999" s="1980"/>
      <c r="D2999" s="860" t="s">
        <v>8</v>
      </c>
      <c r="E2999" s="1480" t="s">
        <v>1651</v>
      </c>
      <c r="F2999" s="887"/>
      <c r="G2999" s="2015"/>
      <c r="H2999" s="1067"/>
      <c r="I2999" s="1067"/>
      <c r="J2999" s="1063"/>
      <c r="K2999" s="1452"/>
      <c r="L2999" s="866" t="n">
        <v>-549.894</v>
      </c>
      <c r="M2999" s="866" t="n">
        <v>-20</v>
      </c>
      <c r="N2999" s="1383" t="n">
        <f aca="false">M2999/H2995</f>
        <v>-1.33333333333333</v>
      </c>
      <c r="O2999" s="543" t="s">
        <v>1634</v>
      </c>
      <c r="P2999" s="1952"/>
      <c r="Q2999" s="1953"/>
      <c r="R2999" s="1954"/>
    </row>
    <row r="3000" customFormat="false" ht="14.25" hidden="false" customHeight="false" outlineLevel="0" collapsed="false">
      <c r="A3000" s="1087"/>
      <c r="B3000" s="1072"/>
      <c r="C3000" s="1980"/>
      <c r="D3000" s="860" t="s">
        <v>8</v>
      </c>
      <c r="E3000" s="1480" t="s">
        <v>1651</v>
      </c>
      <c r="F3000" s="887"/>
      <c r="G3000" s="2015"/>
      <c r="H3000" s="1067"/>
      <c r="I3000" s="1067"/>
      <c r="J3000" s="1063"/>
      <c r="K3000" s="1452"/>
      <c r="L3000" s="866" t="n">
        <v>274.947</v>
      </c>
      <c r="M3000" s="866" t="n">
        <v>10</v>
      </c>
      <c r="N3000" s="1383" t="n">
        <f aca="false">M3000/H2995</f>
        <v>0.666666666666667</v>
      </c>
      <c r="O3000" s="543" t="s">
        <v>1150</v>
      </c>
      <c r="P3000" s="1952"/>
      <c r="Q3000" s="1953"/>
      <c r="R3000" s="1954"/>
    </row>
    <row r="3001" customFormat="false" ht="14.25" hidden="false" customHeight="false" outlineLevel="0" collapsed="false">
      <c r="A3001" s="1087"/>
      <c r="B3001" s="1072"/>
      <c r="C3001" s="1980"/>
      <c r="D3001" s="860" t="s">
        <v>8</v>
      </c>
      <c r="E3001" s="1480" t="s">
        <v>1651</v>
      </c>
      <c r="F3001" s="887"/>
      <c r="G3001" s="2015"/>
      <c r="H3001" s="1067"/>
      <c r="I3001" s="1067"/>
      <c r="J3001" s="1063"/>
      <c r="K3001" s="1452"/>
      <c r="L3001" s="866" t="n">
        <v>3574.311</v>
      </c>
      <c r="M3001" s="866" t="n">
        <v>130</v>
      </c>
      <c r="N3001" s="1147" t="n">
        <f aca="false">M3001/H2995</f>
        <v>8.66666666666667</v>
      </c>
      <c r="O3001" s="543" t="s">
        <v>879</v>
      </c>
      <c r="P3001" s="1952"/>
      <c r="Q3001" s="1953"/>
      <c r="R3001" s="1954"/>
    </row>
    <row r="3002" customFormat="false" ht="14.25" hidden="false" customHeight="false" outlineLevel="0" collapsed="false">
      <c r="A3002" s="1087"/>
      <c r="B3002" s="1072"/>
      <c r="C3002" s="1980"/>
      <c r="D3002" s="843" t="s">
        <v>8</v>
      </c>
      <c r="E3002" s="1357" t="s">
        <v>1651</v>
      </c>
      <c r="F3002" s="887"/>
      <c r="G3002" s="2015"/>
      <c r="H3002" s="1067"/>
      <c r="I3002" s="1067"/>
      <c r="J3002" s="1063"/>
      <c r="K3002" s="1452"/>
      <c r="L3002" s="846" t="n">
        <v>13747.35</v>
      </c>
      <c r="M3002" s="846" t="n">
        <v>500</v>
      </c>
      <c r="N3002" s="1136" t="n">
        <f aca="false">M3002/H2995</f>
        <v>33.3333333333333</v>
      </c>
      <c r="O3002" s="589" t="s">
        <v>921</v>
      </c>
      <c r="P3002" s="1952"/>
      <c r="Q3002" s="1953"/>
      <c r="R3002" s="1954"/>
    </row>
    <row r="3003" customFormat="false" ht="14.25" hidden="false" customHeight="false" outlineLevel="0" collapsed="false">
      <c r="A3003" s="1060" t="n">
        <v>717</v>
      </c>
      <c r="B3003" s="1072" t="n">
        <v>2024</v>
      </c>
      <c r="C3003" s="1980" t="n">
        <v>45992</v>
      </c>
      <c r="D3003" s="848" t="s">
        <v>8</v>
      </c>
      <c r="E3003" s="1479" t="s">
        <v>1651</v>
      </c>
      <c r="F3003" s="887" t="s">
        <v>3364</v>
      </c>
      <c r="G3003" s="2017" t="n">
        <v>350</v>
      </c>
      <c r="H3003" s="1067" t="n">
        <v>15</v>
      </c>
      <c r="I3003" s="1067" t="n">
        <f aca="false">G3003*H3003</f>
        <v>5250</v>
      </c>
      <c r="J3003" s="1063" t="n">
        <v>28.3116</v>
      </c>
      <c r="K3003" s="1452" t="n">
        <f aca="false">I3003*J3003</f>
        <v>148635.9</v>
      </c>
      <c r="L3003" s="854" t="n">
        <v>33973.92</v>
      </c>
      <c r="M3003" s="854" t="n">
        <v>1200</v>
      </c>
      <c r="N3003" s="891" t="n">
        <f aca="false">M3003/H3003</f>
        <v>80</v>
      </c>
      <c r="O3003" s="537" t="s">
        <v>721</v>
      </c>
      <c r="P3003" s="1952" t="n">
        <f aca="false">K3003-L3003-L3008-L3007-L3004-L3005-L3006</f>
        <v>0</v>
      </c>
      <c r="Q3003" s="1953" t="n">
        <f aca="false">I3003-M3003-M3008-M3007-M3004-M3005-M3006</f>
        <v>0</v>
      </c>
      <c r="R3003" s="1954" t="n">
        <f aca="false">G3003-N3003-N3008-N3007-N3004-N3005-N3006</f>
        <v>0</v>
      </c>
    </row>
    <row r="3004" customFormat="false" ht="14.25" hidden="false" customHeight="false" outlineLevel="0" collapsed="false">
      <c r="A3004" s="1060"/>
      <c r="B3004" s="1072"/>
      <c r="C3004" s="1980"/>
      <c r="D3004" s="848" t="s">
        <v>8</v>
      </c>
      <c r="E3004" s="1479" t="s">
        <v>1651</v>
      </c>
      <c r="F3004" s="887"/>
      <c r="G3004" s="2017"/>
      <c r="H3004" s="1067"/>
      <c r="I3004" s="1067"/>
      <c r="J3004" s="1063"/>
      <c r="K3004" s="1452"/>
      <c r="L3004" s="854" t="n">
        <v>7219.458</v>
      </c>
      <c r="M3004" s="854" t="n">
        <v>255</v>
      </c>
      <c r="N3004" s="866" t="n">
        <f aca="false">M3004/H3003</f>
        <v>17</v>
      </c>
      <c r="O3004" s="537" t="s">
        <v>974</v>
      </c>
      <c r="P3004" s="1952"/>
      <c r="Q3004" s="1953"/>
      <c r="R3004" s="1954"/>
    </row>
    <row r="3005" customFormat="false" ht="14.25" hidden="false" customHeight="false" outlineLevel="0" collapsed="false">
      <c r="A3005" s="1060"/>
      <c r="B3005" s="1072"/>
      <c r="C3005" s="1980"/>
      <c r="D3005" s="848" t="s">
        <v>8</v>
      </c>
      <c r="E3005" s="1479" t="s">
        <v>1651</v>
      </c>
      <c r="F3005" s="887"/>
      <c r="G3005" s="2017"/>
      <c r="H3005" s="1067"/>
      <c r="I3005" s="1067"/>
      <c r="J3005" s="1063"/>
      <c r="K3005" s="1452"/>
      <c r="L3005" s="854" t="n">
        <v>10616.85</v>
      </c>
      <c r="M3005" s="854" t="n">
        <v>375</v>
      </c>
      <c r="N3005" s="866" t="n">
        <f aca="false">M3005/H3003</f>
        <v>25</v>
      </c>
      <c r="O3005" s="537" t="s">
        <v>3606</v>
      </c>
      <c r="P3005" s="1952"/>
      <c r="Q3005" s="1953"/>
      <c r="R3005" s="1954"/>
    </row>
    <row r="3006" customFormat="false" ht="14.25" hidden="false" customHeight="false" outlineLevel="0" collapsed="false">
      <c r="A3006" s="1060"/>
      <c r="B3006" s="1072"/>
      <c r="C3006" s="1980"/>
      <c r="D3006" s="848" t="s">
        <v>8</v>
      </c>
      <c r="E3006" s="1479" t="s">
        <v>1651</v>
      </c>
      <c r="F3006" s="887"/>
      <c r="G3006" s="2017"/>
      <c r="H3006" s="1067"/>
      <c r="I3006" s="1067"/>
      <c r="J3006" s="1063"/>
      <c r="K3006" s="1452"/>
      <c r="L3006" s="854" t="n">
        <v>59454.36</v>
      </c>
      <c r="M3006" s="854" t="n">
        <v>2100</v>
      </c>
      <c r="N3006" s="866" t="n">
        <f aca="false">M3006/H3003</f>
        <v>140</v>
      </c>
      <c r="O3006" s="537" t="s">
        <v>989</v>
      </c>
      <c r="P3006" s="1952"/>
      <c r="Q3006" s="1953"/>
      <c r="R3006" s="1954"/>
    </row>
    <row r="3007" customFormat="false" ht="14.25" hidden="false" customHeight="false" outlineLevel="0" collapsed="false">
      <c r="A3007" s="1060"/>
      <c r="B3007" s="1072"/>
      <c r="C3007" s="1980"/>
      <c r="D3007" s="860" t="s">
        <v>8</v>
      </c>
      <c r="E3007" s="1480" t="s">
        <v>1651</v>
      </c>
      <c r="F3007" s="887"/>
      <c r="G3007" s="2017"/>
      <c r="H3007" s="1067"/>
      <c r="I3007" s="1067"/>
      <c r="J3007" s="1063"/>
      <c r="K3007" s="1452"/>
      <c r="L3007" s="866" t="n">
        <v>27603.81</v>
      </c>
      <c r="M3007" s="866" t="n">
        <v>975</v>
      </c>
      <c r="N3007" s="866" t="n">
        <f aca="false">M3007/H3003</f>
        <v>65</v>
      </c>
      <c r="O3007" s="543" t="s">
        <v>878</v>
      </c>
      <c r="P3007" s="1952"/>
      <c r="Q3007" s="1953"/>
      <c r="R3007" s="1954"/>
    </row>
    <row r="3008" customFormat="false" ht="14.25" hidden="false" customHeight="false" outlineLevel="0" collapsed="false">
      <c r="A3008" s="1060"/>
      <c r="B3008" s="1072"/>
      <c r="C3008" s="1980"/>
      <c r="D3008" s="887" t="s">
        <v>8</v>
      </c>
      <c r="E3008" s="1501" t="s">
        <v>1651</v>
      </c>
      <c r="F3008" s="887"/>
      <c r="G3008" s="2017"/>
      <c r="H3008" s="1067"/>
      <c r="I3008" s="1067"/>
      <c r="J3008" s="1063"/>
      <c r="K3008" s="1452"/>
      <c r="L3008" s="890" t="n">
        <v>9767.502</v>
      </c>
      <c r="M3008" s="890" t="n">
        <v>345</v>
      </c>
      <c r="N3008" s="890" t="n">
        <f aca="false">M3008/H3003</f>
        <v>23</v>
      </c>
      <c r="O3008" s="1067" t="s">
        <v>968</v>
      </c>
      <c r="P3008" s="1952"/>
      <c r="Q3008" s="1953"/>
      <c r="R3008" s="1954"/>
    </row>
    <row r="3009" customFormat="false" ht="14.25" hidden="false" customHeight="false" outlineLevel="0" collapsed="false">
      <c r="A3009" s="882" t="n">
        <v>724</v>
      </c>
      <c r="B3009" s="830" t="n">
        <v>2024</v>
      </c>
      <c r="C3009" s="1965" t="n">
        <v>45992</v>
      </c>
      <c r="D3009" s="831" t="s">
        <v>8</v>
      </c>
      <c r="E3009" s="1365" t="s">
        <v>1652</v>
      </c>
      <c r="F3009" s="1119" t="s">
        <v>3364</v>
      </c>
      <c r="G3009" s="2010" t="n">
        <v>129</v>
      </c>
      <c r="H3009" s="837" t="n">
        <v>15</v>
      </c>
      <c r="I3009" s="837" t="n">
        <f aca="false">G3009*H3009</f>
        <v>1935</v>
      </c>
      <c r="J3009" s="1059" t="n">
        <v>44.6278</v>
      </c>
      <c r="K3009" s="943" t="n">
        <f aca="false">I3009*J3009</f>
        <v>86354.793</v>
      </c>
      <c r="L3009" s="840" t="n">
        <v>5355.336</v>
      </c>
      <c r="M3009" s="840" t="n">
        <v>120</v>
      </c>
      <c r="N3009" s="886" t="n">
        <f aca="false">M3009/H3009</f>
        <v>8</v>
      </c>
      <c r="O3009" s="1114" t="s">
        <v>977</v>
      </c>
      <c r="P3009" s="1934" t="n">
        <f aca="false">K3009-L3009-L3014-L3010-L3013-L3011-L3012</f>
        <v>1.94404492503963E-011</v>
      </c>
      <c r="Q3009" s="1934" t="n">
        <f aca="false">I3009-M3009-M3014-M3010-M3013-M3011-M3012</f>
        <v>0</v>
      </c>
      <c r="R3009" s="1935" t="n">
        <f aca="false">G3009-N3009-N3014-N3010-N3013-N3011-N3012</f>
        <v>0</v>
      </c>
    </row>
    <row r="3010" customFormat="false" ht="14.25" hidden="false" customHeight="false" outlineLevel="0" collapsed="false">
      <c r="A3010" s="882"/>
      <c r="B3010" s="830"/>
      <c r="C3010" s="1965"/>
      <c r="D3010" s="860" t="s">
        <v>8</v>
      </c>
      <c r="E3010" s="1480" t="s">
        <v>1652</v>
      </c>
      <c r="F3010" s="1119"/>
      <c r="G3010" s="2010"/>
      <c r="H3010" s="837"/>
      <c r="I3010" s="837"/>
      <c r="J3010" s="1059"/>
      <c r="K3010" s="943"/>
      <c r="L3010" s="866" t="n">
        <v>13388.34</v>
      </c>
      <c r="M3010" s="866" t="n">
        <v>300</v>
      </c>
      <c r="N3010" s="866" t="n">
        <f aca="false">M3010/H3009</f>
        <v>20</v>
      </c>
      <c r="O3010" s="543" t="s">
        <v>3607</v>
      </c>
      <c r="P3010" s="1934"/>
      <c r="Q3010" s="1934"/>
      <c r="R3010" s="1935"/>
    </row>
    <row r="3011" customFormat="false" ht="14.25" hidden="false" customHeight="false" outlineLevel="0" collapsed="false">
      <c r="A3011" s="882"/>
      <c r="B3011" s="830"/>
      <c r="C3011" s="1965"/>
      <c r="D3011" s="860" t="s">
        <v>8</v>
      </c>
      <c r="E3011" s="1480" t="s">
        <v>1652</v>
      </c>
      <c r="F3011" s="1119"/>
      <c r="G3011" s="2010"/>
      <c r="H3011" s="837"/>
      <c r="I3011" s="837"/>
      <c r="J3011" s="1059"/>
      <c r="K3011" s="943"/>
      <c r="L3011" s="866" t="n">
        <v>24768.429</v>
      </c>
      <c r="M3011" s="866" t="n">
        <v>555</v>
      </c>
      <c r="N3011" s="866" t="n">
        <f aca="false">M3011/H3009</f>
        <v>37</v>
      </c>
      <c r="O3011" s="543" t="s">
        <v>1259</v>
      </c>
      <c r="P3011" s="1934"/>
      <c r="Q3011" s="1934"/>
      <c r="R3011" s="1935"/>
    </row>
    <row r="3012" customFormat="false" ht="14.25" hidden="false" customHeight="false" outlineLevel="0" collapsed="false">
      <c r="A3012" s="882"/>
      <c r="B3012" s="830"/>
      <c r="C3012" s="1965"/>
      <c r="D3012" s="860" t="s">
        <v>8</v>
      </c>
      <c r="E3012" s="1480" t="s">
        <v>1652</v>
      </c>
      <c r="F3012" s="1119"/>
      <c r="G3012" s="2010"/>
      <c r="H3012" s="837"/>
      <c r="I3012" s="837"/>
      <c r="J3012" s="1059"/>
      <c r="K3012" s="943"/>
      <c r="L3012" s="866" t="n">
        <v>669.417</v>
      </c>
      <c r="M3012" s="866" t="n">
        <v>15</v>
      </c>
      <c r="N3012" s="866" t="n">
        <f aca="false">M3012/H3009</f>
        <v>1</v>
      </c>
      <c r="O3012" s="543" t="s">
        <v>1634</v>
      </c>
      <c r="P3012" s="1934"/>
      <c r="Q3012" s="1934"/>
      <c r="R3012" s="1935"/>
    </row>
    <row r="3013" customFormat="false" ht="14.25" hidden="false" customHeight="false" outlineLevel="0" collapsed="false">
      <c r="A3013" s="882"/>
      <c r="B3013" s="830"/>
      <c r="C3013" s="1965"/>
      <c r="D3013" s="860" t="s">
        <v>8</v>
      </c>
      <c r="E3013" s="1480" t="s">
        <v>1652</v>
      </c>
      <c r="F3013" s="1119"/>
      <c r="G3013" s="2010"/>
      <c r="H3013" s="837"/>
      <c r="I3013" s="837"/>
      <c r="J3013" s="1059"/>
      <c r="K3013" s="943"/>
      <c r="L3013" s="866" t="n">
        <v>22090.761</v>
      </c>
      <c r="M3013" s="866" t="n">
        <v>495</v>
      </c>
      <c r="N3013" s="866" t="n">
        <f aca="false">M3013/H3009</f>
        <v>33</v>
      </c>
      <c r="O3013" s="543" t="s">
        <v>1043</v>
      </c>
      <c r="P3013" s="1934"/>
      <c r="Q3013" s="1934"/>
      <c r="R3013" s="1935"/>
    </row>
    <row r="3014" customFormat="false" ht="14.25" hidden="false" customHeight="false" outlineLevel="0" collapsed="false">
      <c r="A3014" s="882"/>
      <c r="B3014" s="830"/>
      <c r="C3014" s="1965"/>
      <c r="D3014" s="887" t="s">
        <v>8</v>
      </c>
      <c r="E3014" s="1501" t="s">
        <v>1652</v>
      </c>
      <c r="F3014" s="1119"/>
      <c r="G3014" s="2010"/>
      <c r="H3014" s="837"/>
      <c r="I3014" s="837"/>
      <c r="J3014" s="1059"/>
      <c r="K3014" s="943"/>
      <c r="L3014" s="890" t="n">
        <v>20082.51</v>
      </c>
      <c r="M3014" s="890" t="n">
        <v>450</v>
      </c>
      <c r="N3014" s="890" t="n">
        <f aca="false">M3014/H3009</f>
        <v>30</v>
      </c>
      <c r="O3014" s="1067" t="s">
        <v>670</v>
      </c>
      <c r="P3014" s="1934"/>
      <c r="Q3014" s="1934"/>
      <c r="R3014" s="1935"/>
    </row>
    <row r="3015" customFormat="false" ht="14.25" hidden="false" customHeight="false" outlineLevel="0" collapsed="false">
      <c r="A3015" s="903" t="n">
        <v>725</v>
      </c>
      <c r="B3015" s="903" t="n">
        <v>2024</v>
      </c>
      <c r="C3015" s="1974" t="n">
        <v>45992</v>
      </c>
      <c r="D3015" s="904" t="s">
        <v>8</v>
      </c>
      <c r="E3015" s="1351" t="s">
        <v>1651</v>
      </c>
      <c r="F3015" s="904" t="s">
        <v>3375</v>
      </c>
      <c r="G3015" s="2012" t="n">
        <v>101</v>
      </c>
      <c r="H3015" s="942" t="n">
        <v>15</v>
      </c>
      <c r="I3015" s="1355" t="n">
        <f aca="false">G3015*H3015</f>
        <v>1515</v>
      </c>
      <c r="J3015" s="1406" t="n">
        <v>28.8777</v>
      </c>
      <c r="K3015" s="1942" t="n">
        <f aca="false">I3015*J3015</f>
        <v>43749.7155</v>
      </c>
      <c r="L3015" s="891" t="n">
        <v>43749.7155</v>
      </c>
      <c r="M3015" s="891" t="n">
        <v>1515</v>
      </c>
      <c r="N3015" s="891" t="n">
        <f aca="false">M3015/H3015</f>
        <v>101</v>
      </c>
      <c r="O3015" s="942" t="s">
        <v>445</v>
      </c>
      <c r="P3015" s="1947" t="n">
        <f aca="false">K3015-L3015</f>
        <v>0</v>
      </c>
      <c r="Q3015" s="1946" t="n">
        <f aca="false">I3015-M3015</f>
        <v>0</v>
      </c>
      <c r="R3015" s="1946" t="n">
        <f aca="false">G3015-N3015</f>
        <v>0</v>
      </c>
    </row>
    <row r="3016" customFormat="false" ht="14.25" hidden="false" customHeight="false" outlineLevel="0" collapsed="false">
      <c r="A3016" s="882" t="n">
        <v>726</v>
      </c>
      <c r="B3016" s="830" t="n">
        <v>2024</v>
      </c>
      <c r="C3016" s="1965" t="n">
        <v>45992</v>
      </c>
      <c r="D3016" s="831" t="s">
        <v>8</v>
      </c>
      <c r="E3016" s="1365" t="s">
        <v>1651</v>
      </c>
      <c r="F3016" s="832" t="s">
        <v>3364</v>
      </c>
      <c r="G3016" s="2010" t="n">
        <v>666</v>
      </c>
      <c r="H3016" s="837" t="n">
        <v>15</v>
      </c>
      <c r="I3016" s="837" t="n">
        <f aca="false">G3016*H3016</f>
        <v>9990</v>
      </c>
      <c r="J3016" s="1059" t="n">
        <v>28.8777</v>
      </c>
      <c r="K3016" s="943" t="n">
        <f aca="false">I3016*J3016</f>
        <v>288488.223</v>
      </c>
      <c r="L3016" s="840" t="n">
        <v>57177.846</v>
      </c>
      <c r="M3016" s="840" t="n">
        <v>1980</v>
      </c>
      <c r="N3016" s="886" t="n">
        <f aca="false">M3016/H3016</f>
        <v>132</v>
      </c>
      <c r="O3016" s="1114" t="s">
        <v>3605</v>
      </c>
      <c r="P3016" s="1934" t="n">
        <f aca="false">K3016-L3016-L3026-L3025-L3017-L3018-L3024-L3020-L3019-L3023-L3021-L3022</f>
        <v>1.63709046319127E-011</v>
      </c>
      <c r="Q3016" s="1934" t="n">
        <f aca="false">I3016-M3016-M3026-M3025-M3017-M3018-M3024-M3020-M3019-M3023-M3021-M3022</f>
        <v>0</v>
      </c>
      <c r="R3016" s="1935" t="n">
        <f aca="false">G3016-N3016-N3026-N3025-N3017-N3018-N3024-N3020-N3019-N3023-N3021-N3022</f>
        <v>0</v>
      </c>
    </row>
    <row r="3017" customFormat="false" ht="14.25" hidden="false" customHeight="false" outlineLevel="0" collapsed="false">
      <c r="A3017" s="882"/>
      <c r="B3017" s="830"/>
      <c r="C3017" s="1965"/>
      <c r="D3017" s="848" t="s">
        <v>8</v>
      </c>
      <c r="E3017" s="1479" t="s">
        <v>1651</v>
      </c>
      <c r="F3017" s="832"/>
      <c r="G3017" s="2010"/>
      <c r="H3017" s="837"/>
      <c r="I3017" s="837"/>
      <c r="J3017" s="1059"/>
      <c r="K3017" s="943"/>
      <c r="L3017" s="854" t="n">
        <v>16460.289</v>
      </c>
      <c r="M3017" s="854" t="n">
        <v>570</v>
      </c>
      <c r="N3017" s="866" t="n">
        <f aca="false">M3017/H3016</f>
        <v>38</v>
      </c>
      <c r="O3017" s="537" t="s">
        <v>960</v>
      </c>
      <c r="P3017" s="1934"/>
      <c r="Q3017" s="1934"/>
      <c r="R3017" s="1935"/>
    </row>
    <row r="3018" customFormat="false" ht="14.25" hidden="false" customHeight="false" outlineLevel="0" collapsed="false">
      <c r="A3018" s="882"/>
      <c r="B3018" s="830"/>
      <c r="C3018" s="1965"/>
      <c r="D3018" s="848" t="s">
        <v>8</v>
      </c>
      <c r="E3018" s="1479" t="s">
        <v>1651</v>
      </c>
      <c r="F3018" s="832"/>
      <c r="G3018" s="2010"/>
      <c r="H3018" s="837"/>
      <c r="I3018" s="837"/>
      <c r="J3018" s="1059"/>
      <c r="K3018" s="943"/>
      <c r="L3018" s="854" t="n">
        <v>15160.7925</v>
      </c>
      <c r="M3018" s="854" t="n">
        <v>525</v>
      </c>
      <c r="N3018" s="866" t="n">
        <f aca="false">M3018/H3016</f>
        <v>35</v>
      </c>
      <c r="O3018" s="537" t="s">
        <v>3606</v>
      </c>
      <c r="P3018" s="1934"/>
      <c r="Q3018" s="1934"/>
      <c r="R3018" s="1935"/>
    </row>
    <row r="3019" customFormat="false" ht="14.25" hidden="false" customHeight="false" outlineLevel="0" collapsed="false">
      <c r="A3019" s="882"/>
      <c r="B3019" s="830"/>
      <c r="C3019" s="1965"/>
      <c r="D3019" s="848" t="s">
        <v>8</v>
      </c>
      <c r="E3019" s="1479" t="s">
        <v>1651</v>
      </c>
      <c r="F3019" s="832"/>
      <c r="G3019" s="2010"/>
      <c r="H3019" s="837"/>
      <c r="I3019" s="837"/>
      <c r="J3019" s="1059"/>
      <c r="K3019" s="943"/>
      <c r="L3019" s="854" t="n">
        <v>11695.4685</v>
      </c>
      <c r="M3019" s="854" t="n">
        <v>405</v>
      </c>
      <c r="N3019" s="866" t="n">
        <f aca="false">M3019/H3016</f>
        <v>27</v>
      </c>
      <c r="O3019" s="537" t="s">
        <v>530</v>
      </c>
      <c r="P3019" s="1934"/>
      <c r="Q3019" s="1934"/>
      <c r="R3019" s="1935"/>
    </row>
    <row r="3020" customFormat="false" ht="14.25" hidden="false" customHeight="false" outlineLevel="0" collapsed="false">
      <c r="A3020" s="882"/>
      <c r="B3020" s="830"/>
      <c r="C3020" s="1965"/>
      <c r="D3020" s="848" t="s">
        <v>8</v>
      </c>
      <c r="E3020" s="1479" t="s">
        <v>1651</v>
      </c>
      <c r="F3020" s="832"/>
      <c r="G3020" s="2010"/>
      <c r="H3020" s="837"/>
      <c r="I3020" s="837"/>
      <c r="J3020" s="1059"/>
      <c r="K3020" s="943"/>
      <c r="L3020" s="854" t="n">
        <v>17326.62</v>
      </c>
      <c r="M3020" s="854" t="n">
        <v>600</v>
      </c>
      <c r="N3020" s="866" t="n">
        <f aca="false">M3020/H3016</f>
        <v>40</v>
      </c>
      <c r="O3020" s="537" t="s">
        <v>915</v>
      </c>
      <c r="P3020" s="1934"/>
      <c r="Q3020" s="1934"/>
      <c r="R3020" s="1935"/>
    </row>
    <row r="3021" customFormat="false" ht="14.25" hidden="false" customHeight="false" outlineLevel="0" collapsed="false">
      <c r="A3021" s="882"/>
      <c r="B3021" s="830"/>
      <c r="C3021" s="1965"/>
      <c r="D3021" s="848" t="s">
        <v>8</v>
      </c>
      <c r="E3021" s="1479" t="s">
        <v>1651</v>
      </c>
      <c r="F3021" s="832"/>
      <c r="G3021" s="2010"/>
      <c r="H3021" s="837"/>
      <c r="I3021" s="837"/>
      <c r="J3021" s="1059"/>
      <c r="K3021" s="943"/>
      <c r="L3021" s="854" t="n">
        <v>29022.0885</v>
      </c>
      <c r="M3021" s="854" t="n">
        <v>1005</v>
      </c>
      <c r="N3021" s="866" t="n">
        <f aca="false">M3021/H3016</f>
        <v>67</v>
      </c>
      <c r="O3021" s="537" t="s">
        <v>955</v>
      </c>
      <c r="P3021" s="1934"/>
      <c r="Q3021" s="1934"/>
      <c r="R3021" s="1935"/>
    </row>
    <row r="3022" customFormat="false" ht="14.25" hidden="false" customHeight="false" outlineLevel="0" collapsed="false">
      <c r="A3022" s="882"/>
      <c r="B3022" s="830"/>
      <c r="C3022" s="1965"/>
      <c r="D3022" s="848" t="s">
        <v>8</v>
      </c>
      <c r="E3022" s="1479" t="s">
        <v>1651</v>
      </c>
      <c r="F3022" s="832"/>
      <c r="G3022" s="2010"/>
      <c r="H3022" s="837"/>
      <c r="I3022" s="837"/>
      <c r="J3022" s="1059"/>
      <c r="K3022" s="943"/>
      <c r="L3022" s="854" t="n">
        <v>8663.2743</v>
      </c>
      <c r="M3022" s="854" t="n">
        <v>300</v>
      </c>
      <c r="N3022" s="866" t="n">
        <f aca="false">M3022/H3016</f>
        <v>20</v>
      </c>
      <c r="O3022" s="537" t="s">
        <v>3607</v>
      </c>
      <c r="P3022" s="1934"/>
      <c r="Q3022" s="1934"/>
      <c r="R3022" s="1935"/>
    </row>
    <row r="3023" customFormat="false" ht="14.25" hidden="false" customHeight="false" outlineLevel="0" collapsed="false">
      <c r="A3023" s="882"/>
      <c r="B3023" s="830"/>
      <c r="C3023" s="1965"/>
      <c r="D3023" s="848" t="s">
        <v>8</v>
      </c>
      <c r="E3023" s="1479" t="s">
        <v>1651</v>
      </c>
      <c r="F3023" s="832"/>
      <c r="G3023" s="2010"/>
      <c r="H3023" s="837"/>
      <c r="I3023" s="837"/>
      <c r="J3023" s="1059"/>
      <c r="K3023" s="943"/>
      <c r="L3023" s="854" t="n">
        <v>2165.8275</v>
      </c>
      <c r="M3023" s="854" t="n">
        <v>75</v>
      </c>
      <c r="N3023" s="866" t="n">
        <f aca="false">M3023/H3016</f>
        <v>5</v>
      </c>
      <c r="O3023" s="537" t="s">
        <v>844</v>
      </c>
      <c r="P3023" s="1934"/>
      <c r="Q3023" s="1934"/>
      <c r="R3023" s="1935"/>
    </row>
    <row r="3024" customFormat="false" ht="14.25" hidden="false" customHeight="false" outlineLevel="0" collapsed="false">
      <c r="A3024" s="882"/>
      <c r="B3024" s="830"/>
      <c r="C3024" s="1965"/>
      <c r="D3024" s="848" t="s">
        <v>8</v>
      </c>
      <c r="E3024" s="1479" t="s">
        <v>1651</v>
      </c>
      <c r="F3024" s="832"/>
      <c r="G3024" s="2010"/>
      <c r="H3024" s="837"/>
      <c r="I3024" s="837"/>
      <c r="J3024" s="1059"/>
      <c r="K3024" s="943"/>
      <c r="L3024" s="854" t="n">
        <v>14727.6627</v>
      </c>
      <c r="M3024" s="854" t="n">
        <v>510</v>
      </c>
      <c r="N3024" s="866" t="n">
        <f aca="false">M3024/H3016</f>
        <v>34</v>
      </c>
      <c r="O3024" s="537" t="s">
        <v>992</v>
      </c>
      <c r="P3024" s="1934"/>
      <c r="Q3024" s="1934"/>
      <c r="R3024" s="1935"/>
    </row>
    <row r="3025" customFormat="false" ht="14.25" hidden="false" customHeight="false" outlineLevel="0" collapsed="false">
      <c r="A3025" s="882"/>
      <c r="B3025" s="830"/>
      <c r="C3025" s="1965"/>
      <c r="D3025" s="860" t="s">
        <v>8</v>
      </c>
      <c r="E3025" s="1480" t="s">
        <v>1651</v>
      </c>
      <c r="F3025" s="832"/>
      <c r="G3025" s="2010"/>
      <c r="H3025" s="837"/>
      <c r="I3025" s="837"/>
      <c r="J3025" s="1059"/>
      <c r="K3025" s="943"/>
      <c r="L3025" s="866" t="n">
        <v>58044.177</v>
      </c>
      <c r="M3025" s="866" t="n">
        <v>2010</v>
      </c>
      <c r="N3025" s="866" t="n">
        <f aca="false">M3025/H3016</f>
        <v>134</v>
      </c>
      <c r="O3025" s="543" t="s">
        <v>845</v>
      </c>
      <c r="P3025" s="1934"/>
      <c r="Q3025" s="1934"/>
      <c r="R3025" s="1935"/>
    </row>
    <row r="3026" customFormat="false" ht="14.25" hidden="false" customHeight="false" outlineLevel="0" collapsed="false">
      <c r="A3026" s="882"/>
      <c r="B3026" s="830"/>
      <c r="C3026" s="1965"/>
      <c r="D3026" s="887" t="s">
        <v>8</v>
      </c>
      <c r="E3026" s="1501" t="s">
        <v>1651</v>
      </c>
      <c r="F3026" s="832"/>
      <c r="G3026" s="2010"/>
      <c r="H3026" s="837"/>
      <c r="I3026" s="837"/>
      <c r="J3026" s="1059"/>
      <c r="K3026" s="943"/>
      <c r="L3026" s="890" t="n">
        <v>58044.177</v>
      </c>
      <c r="M3026" s="890" t="n">
        <v>2010</v>
      </c>
      <c r="N3026" s="890" t="n">
        <f aca="false">M3026/H3016</f>
        <v>134</v>
      </c>
      <c r="O3026" s="1067" t="s">
        <v>847</v>
      </c>
      <c r="P3026" s="1934"/>
      <c r="Q3026" s="1934"/>
      <c r="R3026" s="1935"/>
    </row>
    <row r="3027" customFormat="false" ht="14.25" hidden="false" customHeight="false" outlineLevel="0" collapsed="false">
      <c r="A3027" s="847" t="n">
        <v>727</v>
      </c>
      <c r="B3027" s="1396" t="n">
        <v>2024</v>
      </c>
      <c r="C3027" s="1966" t="n">
        <v>45992</v>
      </c>
      <c r="D3027" s="848" t="s">
        <v>8</v>
      </c>
      <c r="E3027" s="1479" t="s">
        <v>1651</v>
      </c>
      <c r="F3027" s="848" t="s">
        <v>3364</v>
      </c>
      <c r="G3027" s="2018" t="n">
        <v>262</v>
      </c>
      <c r="H3027" s="537" t="n">
        <v>15</v>
      </c>
      <c r="I3027" s="1380" t="n">
        <f aca="false">G3027*H3027</f>
        <v>3930</v>
      </c>
      <c r="J3027" s="1544" t="n">
        <v>23.4769</v>
      </c>
      <c r="K3027" s="1968" t="n">
        <f aca="false">I3027*J3027</f>
        <v>92264.217</v>
      </c>
      <c r="L3027" s="854" t="n">
        <v>92264.217</v>
      </c>
      <c r="M3027" s="854" t="n">
        <v>3930</v>
      </c>
      <c r="N3027" s="886" t="n">
        <f aca="false">M3027/H3027</f>
        <v>262</v>
      </c>
      <c r="O3027" s="537" t="s">
        <v>844</v>
      </c>
      <c r="P3027" s="1983" t="n">
        <f aca="false">K3027-L3027</f>
        <v>0</v>
      </c>
      <c r="Q3027" s="1971" t="n">
        <f aca="false">I3027-M3027</f>
        <v>0</v>
      </c>
      <c r="R3027" s="1971" t="n">
        <f aca="false">G3027-N3027</f>
        <v>0</v>
      </c>
    </row>
    <row r="3028" customFormat="false" ht="14.25" hidden="false" customHeight="false" outlineLevel="0" collapsed="false">
      <c r="A3028" s="847" t="n">
        <v>35</v>
      </c>
      <c r="B3028" s="1396" t="n">
        <v>2025</v>
      </c>
      <c r="C3028" s="1966" t="n">
        <v>46023</v>
      </c>
      <c r="D3028" s="848" t="s">
        <v>8</v>
      </c>
      <c r="E3028" s="1479" t="s">
        <v>2619</v>
      </c>
      <c r="F3028" s="848" t="s">
        <v>3364</v>
      </c>
      <c r="G3028" s="2018" t="n">
        <v>20</v>
      </c>
      <c r="H3028" s="537" t="n">
        <v>30</v>
      </c>
      <c r="I3028" s="1380" t="n">
        <f aca="false">G3028*H3028</f>
        <v>600</v>
      </c>
      <c r="J3028" s="1544" t="n">
        <v>90.9</v>
      </c>
      <c r="K3028" s="1968" t="n">
        <f aca="false">I3028*J3028</f>
        <v>54540</v>
      </c>
      <c r="L3028" s="854" t="n">
        <v>54540</v>
      </c>
      <c r="M3028" s="854" t="n">
        <v>600</v>
      </c>
      <c r="N3028" s="866" t="n">
        <f aca="false">M3028/H3028</f>
        <v>20</v>
      </c>
      <c r="O3028" s="537" t="s">
        <v>872</v>
      </c>
      <c r="P3028" s="1983" t="n">
        <f aca="false">K3028-L3028</f>
        <v>0</v>
      </c>
      <c r="Q3028" s="1971" t="n">
        <f aca="false">I3028-M3028</f>
        <v>0</v>
      </c>
      <c r="R3028" s="1971" t="n">
        <f aca="false">G3028-N3028</f>
        <v>0</v>
      </c>
    </row>
    <row r="3029" customFormat="false" ht="14.25" hidden="false" customHeight="false" outlineLevel="0" collapsed="false">
      <c r="A3029" s="847" t="n">
        <v>40</v>
      </c>
      <c r="B3029" s="1396" t="n">
        <v>2025</v>
      </c>
      <c r="C3029" s="1966" t="n">
        <v>46023</v>
      </c>
      <c r="D3029" s="848" t="s">
        <v>8</v>
      </c>
      <c r="E3029" s="1479" t="s">
        <v>1651</v>
      </c>
      <c r="F3029" s="848" t="s">
        <v>3371</v>
      </c>
      <c r="G3029" s="2018" t="n">
        <v>167</v>
      </c>
      <c r="H3029" s="537" t="n">
        <v>12</v>
      </c>
      <c r="I3029" s="1380" t="n">
        <f aca="false">G3029*H3029</f>
        <v>2004</v>
      </c>
      <c r="J3029" s="1544" t="n">
        <v>28.9434</v>
      </c>
      <c r="K3029" s="1968" t="n">
        <f aca="false">I3029*J3029</f>
        <v>58002.5736</v>
      </c>
      <c r="L3029" s="854" t="n">
        <v>58002.5736</v>
      </c>
      <c r="M3029" s="854" t="n">
        <v>2004</v>
      </c>
      <c r="N3029" s="866" t="n">
        <f aca="false">M3029/H3029</f>
        <v>167</v>
      </c>
      <c r="O3029" s="537" t="s">
        <v>1022</v>
      </c>
      <c r="P3029" s="1983" t="n">
        <f aca="false">K3029-L3029</f>
        <v>0</v>
      </c>
      <c r="Q3029" s="1971" t="n">
        <f aca="false">I3029-M3029</f>
        <v>0</v>
      </c>
      <c r="R3029" s="1971" t="n">
        <f aca="false">G3029-N3029</f>
        <v>0</v>
      </c>
    </row>
    <row r="3030" customFormat="false" ht="14.25" hidden="false" customHeight="false" outlineLevel="0" collapsed="false">
      <c r="A3030" s="903" t="n">
        <v>47</v>
      </c>
      <c r="B3030" s="903" t="n">
        <v>2025</v>
      </c>
      <c r="C3030" s="1974" t="n">
        <v>46023</v>
      </c>
      <c r="D3030" s="904" t="s">
        <v>8</v>
      </c>
      <c r="E3030" s="1351" t="s">
        <v>1651</v>
      </c>
      <c r="F3030" s="904" t="s">
        <v>3367</v>
      </c>
      <c r="G3030" s="2012" t="n">
        <v>123</v>
      </c>
      <c r="H3030" s="942" t="n">
        <v>15</v>
      </c>
      <c r="I3030" s="1355" t="n">
        <f aca="false">G3030*H3030</f>
        <v>1845</v>
      </c>
      <c r="J3030" s="1406" t="n">
        <v>25.5693</v>
      </c>
      <c r="K3030" s="1942" t="n">
        <f aca="false">I3030*J3030</f>
        <v>47175.3585</v>
      </c>
      <c r="L3030" s="891" t="n">
        <v>26847.765</v>
      </c>
      <c r="M3030" s="891" t="n">
        <v>1050</v>
      </c>
      <c r="N3030" s="877" t="n">
        <f aca="false">M3030/H3030</f>
        <v>70</v>
      </c>
      <c r="O3030" s="942" t="s">
        <v>3466</v>
      </c>
      <c r="P3030" s="1947" t="n">
        <f aca="false">K3030-L3030</f>
        <v>20327.5935</v>
      </c>
      <c r="Q3030" s="1946" t="n">
        <f aca="false">I3030-M3030</f>
        <v>795</v>
      </c>
      <c r="R3030" s="1946" t="n">
        <f aca="false">G3030-N3030</f>
        <v>53</v>
      </c>
    </row>
    <row r="3031" customFormat="false" ht="14.25" hidden="false" customHeight="false" outlineLevel="0" collapsed="false">
      <c r="A3031" s="829" t="n">
        <v>48</v>
      </c>
      <c r="B3031" s="830" t="n">
        <v>2025</v>
      </c>
      <c r="C3031" s="1965" t="n">
        <v>46023</v>
      </c>
      <c r="D3031" s="831" t="s">
        <v>8</v>
      </c>
      <c r="E3031" s="1365" t="s">
        <v>1651</v>
      </c>
      <c r="F3031" s="830" t="s">
        <v>3364</v>
      </c>
      <c r="G3031" s="2010" t="n">
        <v>177</v>
      </c>
      <c r="H3031" s="837" t="n">
        <v>15</v>
      </c>
      <c r="I3031" s="837" t="n">
        <f aca="false">G3031*H3031</f>
        <v>2655</v>
      </c>
      <c r="J3031" s="1059" t="n">
        <v>25.7811</v>
      </c>
      <c r="K3031" s="943" t="n">
        <f aca="false">I3031*J3031</f>
        <v>68448.8205</v>
      </c>
      <c r="L3031" s="840" t="n">
        <v>68062.104</v>
      </c>
      <c r="M3031" s="840" t="n">
        <v>2640</v>
      </c>
      <c r="N3031" s="840" t="n">
        <f aca="false">M3031/H3031</f>
        <v>176</v>
      </c>
      <c r="O3031" s="1114" t="s">
        <v>1059</v>
      </c>
      <c r="P3031" s="1934" t="n">
        <f aca="false">K3031-L3031-L3032</f>
        <v>-5.00222085975111E-012</v>
      </c>
      <c r="Q3031" s="1934" t="n">
        <f aca="false">I3031-M3031-M3032</f>
        <v>0</v>
      </c>
      <c r="R3031" s="1935" t="n">
        <f aca="false">G3031-N3031-N3032</f>
        <v>0</v>
      </c>
    </row>
    <row r="3032" customFormat="false" ht="14.25" hidden="false" customHeight="false" outlineLevel="0" collapsed="false">
      <c r="A3032" s="829"/>
      <c r="B3032" s="830"/>
      <c r="C3032" s="1965"/>
      <c r="D3032" s="843" t="s">
        <v>8</v>
      </c>
      <c r="E3032" s="1357" t="s">
        <v>1651</v>
      </c>
      <c r="F3032" s="830"/>
      <c r="G3032" s="2010"/>
      <c r="H3032" s="837"/>
      <c r="I3032" s="837"/>
      <c r="J3032" s="1059"/>
      <c r="K3032" s="943"/>
      <c r="L3032" s="846" t="n">
        <v>386.7165</v>
      </c>
      <c r="M3032" s="846" t="n">
        <v>15</v>
      </c>
      <c r="N3032" s="846" t="n">
        <f aca="false">M3032/H3031</f>
        <v>1</v>
      </c>
      <c r="O3032" s="589" t="s">
        <v>1634</v>
      </c>
      <c r="P3032" s="1934"/>
      <c r="Q3032" s="1934"/>
      <c r="R3032" s="1935"/>
    </row>
    <row r="3033" customFormat="false" ht="14.25" hidden="false" customHeight="false" outlineLevel="0" collapsed="false">
      <c r="A3033" s="903" t="n">
        <v>78</v>
      </c>
      <c r="B3033" s="903" t="n">
        <v>2025</v>
      </c>
      <c r="C3033" s="1974" t="n">
        <v>46023</v>
      </c>
      <c r="D3033" s="904" t="s">
        <v>8</v>
      </c>
      <c r="E3033" s="1351" t="s">
        <v>1651</v>
      </c>
      <c r="F3033" s="904" t="s">
        <v>3364</v>
      </c>
      <c r="G3033" s="2012" t="n">
        <v>12</v>
      </c>
      <c r="H3033" s="942" t="n">
        <v>800</v>
      </c>
      <c r="I3033" s="1355" t="n">
        <f aca="false">G3033*H3033</f>
        <v>9600</v>
      </c>
      <c r="J3033" s="1406" t="n">
        <v>28.0985</v>
      </c>
      <c r="K3033" s="1942" t="n">
        <f aca="false">I3033*J3033</f>
        <v>269745.6</v>
      </c>
      <c r="L3033" s="891" t="n">
        <v>269745.6</v>
      </c>
      <c r="M3033" s="891" t="n">
        <v>9600</v>
      </c>
      <c r="N3033" s="891" t="n">
        <f aca="false">M3033/H3033</f>
        <v>12</v>
      </c>
      <c r="O3033" s="942" t="s">
        <v>1012</v>
      </c>
      <c r="P3033" s="1947" t="n">
        <f aca="false">K3033-L3033</f>
        <v>0</v>
      </c>
      <c r="Q3033" s="1946" t="n">
        <f aca="false">I3033-M3033</f>
        <v>0</v>
      </c>
      <c r="R3033" s="1946" t="n">
        <f aca="false">G3033-N3033</f>
        <v>0</v>
      </c>
    </row>
    <row r="3034" customFormat="false" ht="14.25" hidden="false" customHeight="false" outlineLevel="0" collapsed="false">
      <c r="A3034" s="829" t="n">
        <v>79</v>
      </c>
      <c r="B3034" s="830" t="n">
        <v>2025</v>
      </c>
      <c r="C3034" s="1965" t="n">
        <v>46023</v>
      </c>
      <c r="D3034" s="1365" t="s">
        <v>8</v>
      </c>
      <c r="E3034" s="1365" t="s">
        <v>1651</v>
      </c>
      <c r="F3034" s="832" t="s">
        <v>3364</v>
      </c>
      <c r="G3034" s="2010" t="n">
        <v>11</v>
      </c>
      <c r="H3034" s="837" t="n">
        <v>800</v>
      </c>
      <c r="I3034" s="837" t="n">
        <f aca="false">G3034*H3034</f>
        <v>8800</v>
      </c>
      <c r="J3034" s="1059" t="n">
        <v>28.0985</v>
      </c>
      <c r="K3034" s="943" t="n">
        <f aca="false">I3034*J3034</f>
        <v>247266.8</v>
      </c>
      <c r="L3034" s="840" t="n">
        <v>179830.4</v>
      </c>
      <c r="M3034" s="840" t="n">
        <v>6400</v>
      </c>
      <c r="N3034" s="840" t="n">
        <f aca="false">M3034/H3034</f>
        <v>8</v>
      </c>
      <c r="O3034" s="1114" t="s">
        <v>1012</v>
      </c>
      <c r="P3034" s="1948" t="n">
        <f aca="false">K3034-L3034-L3035</f>
        <v>0</v>
      </c>
      <c r="Q3034" s="1934" t="n">
        <f aca="false">I3034-M3034-M3035</f>
        <v>0</v>
      </c>
      <c r="R3034" s="1935" t="n">
        <f aca="false">G3034-N3034-N3035</f>
        <v>0</v>
      </c>
    </row>
    <row r="3035" customFormat="false" ht="14.25" hidden="false" customHeight="false" outlineLevel="0" collapsed="false">
      <c r="A3035" s="829"/>
      <c r="B3035" s="830"/>
      <c r="C3035" s="1965"/>
      <c r="D3035" s="1357" t="s">
        <v>8</v>
      </c>
      <c r="E3035" s="1357" t="s">
        <v>1651</v>
      </c>
      <c r="F3035" s="832"/>
      <c r="G3035" s="2010"/>
      <c r="H3035" s="837"/>
      <c r="I3035" s="837"/>
      <c r="J3035" s="1059"/>
      <c r="K3035" s="943"/>
      <c r="L3035" s="890" t="n">
        <v>67436.4</v>
      </c>
      <c r="M3035" s="890" t="n">
        <v>2400</v>
      </c>
      <c r="N3035" s="846" t="n">
        <f aca="false">M3035/H3034</f>
        <v>3</v>
      </c>
      <c r="O3035" s="1067" t="s">
        <v>1012</v>
      </c>
      <c r="P3035" s="1948"/>
      <c r="Q3035" s="1934"/>
      <c r="R3035" s="1935"/>
    </row>
    <row r="3036" customFormat="false" ht="14.25" hidden="false" customHeight="false" outlineLevel="0" collapsed="false">
      <c r="A3036" s="903" t="n">
        <v>80</v>
      </c>
      <c r="B3036" s="903" t="n">
        <v>2025</v>
      </c>
      <c r="C3036" s="1974" t="n">
        <v>46023</v>
      </c>
      <c r="D3036" s="904" t="s">
        <v>8</v>
      </c>
      <c r="E3036" s="1351" t="s">
        <v>1651</v>
      </c>
      <c r="F3036" s="904" t="s">
        <v>3364</v>
      </c>
      <c r="G3036" s="2012" t="n">
        <v>12</v>
      </c>
      <c r="H3036" s="942" t="n">
        <v>800</v>
      </c>
      <c r="I3036" s="1355" t="n">
        <f aca="false">G3036*H3036</f>
        <v>9600</v>
      </c>
      <c r="J3036" s="1406" t="n">
        <v>28.0985</v>
      </c>
      <c r="K3036" s="1942" t="n">
        <f aca="false">I3036*J3036</f>
        <v>269745.6</v>
      </c>
      <c r="L3036" s="891" t="n">
        <v>269745.6</v>
      </c>
      <c r="M3036" s="891" t="n">
        <v>9600</v>
      </c>
      <c r="N3036" s="891" t="n">
        <f aca="false">M3036/H3036</f>
        <v>12</v>
      </c>
      <c r="O3036" s="942" t="s">
        <v>3608</v>
      </c>
      <c r="P3036" s="1947" t="n">
        <f aca="false">K3036-L3036</f>
        <v>0</v>
      </c>
      <c r="Q3036" s="1946" t="n">
        <f aca="false">I3036-M3036</f>
        <v>0</v>
      </c>
      <c r="R3036" s="1946" t="n">
        <f aca="false">G3036-N3036</f>
        <v>0</v>
      </c>
    </row>
    <row r="3037" customFormat="false" ht="14.25" hidden="false" customHeight="false" outlineLevel="0" collapsed="false">
      <c r="A3037" s="829" t="n">
        <v>81</v>
      </c>
      <c r="B3037" s="830" t="n">
        <v>2025</v>
      </c>
      <c r="C3037" s="1965" t="n">
        <v>46023</v>
      </c>
      <c r="D3037" s="831" t="s">
        <v>8</v>
      </c>
      <c r="E3037" s="1365" t="s">
        <v>1651</v>
      </c>
      <c r="F3037" s="830" t="s">
        <v>3364</v>
      </c>
      <c r="G3037" s="2010" t="n">
        <v>12</v>
      </c>
      <c r="H3037" s="837" t="n">
        <v>800</v>
      </c>
      <c r="I3037" s="837" t="n">
        <f aca="false">G3037*H3037</f>
        <v>9600</v>
      </c>
      <c r="J3037" s="1059" t="n">
        <v>28.0985</v>
      </c>
      <c r="K3037" s="943" t="n">
        <f aca="false">I3037*J3037</f>
        <v>269745.6</v>
      </c>
      <c r="L3037" s="840" t="n">
        <v>112394</v>
      </c>
      <c r="M3037" s="840" t="n">
        <v>4000</v>
      </c>
      <c r="N3037" s="840" t="n">
        <f aca="false">M3037/H3037</f>
        <v>5</v>
      </c>
      <c r="O3037" s="1114" t="s">
        <v>1012</v>
      </c>
      <c r="P3037" s="1948" t="n">
        <f aca="false">K3037-L3037-L3038</f>
        <v>0</v>
      </c>
      <c r="Q3037" s="1934" t="n">
        <f aca="false">I3037-M3037-M3038</f>
        <v>0</v>
      </c>
      <c r="R3037" s="1935" t="n">
        <f aca="false">G3037-N3037-N3038</f>
        <v>0</v>
      </c>
    </row>
    <row r="3038" customFormat="false" ht="14.25" hidden="false" customHeight="false" outlineLevel="0" collapsed="false">
      <c r="A3038" s="829"/>
      <c r="B3038" s="830"/>
      <c r="C3038" s="1965"/>
      <c r="D3038" s="887" t="s">
        <v>8</v>
      </c>
      <c r="E3038" s="1501" t="s">
        <v>1651</v>
      </c>
      <c r="F3038" s="830"/>
      <c r="G3038" s="2010"/>
      <c r="H3038" s="837"/>
      <c r="I3038" s="837"/>
      <c r="J3038" s="1059"/>
      <c r="K3038" s="943"/>
      <c r="L3038" s="890" t="n">
        <v>157351.6</v>
      </c>
      <c r="M3038" s="890" t="n">
        <v>5600</v>
      </c>
      <c r="N3038" s="890" t="n">
        <f aca="false">M3038/H3037</f>
        <v>7</v>
      </c>
      <c r="O3038" s="1067" t="s">
        <v>1012</v>
      </c>
      <c r="P3038" s="1948"/>
      <c r="Q3038" s="1934"/>
      <c r="R3038" s="1935"/>
    </row>
    <row r="3039" customFormat="false" ht="14.25" hidden="false" customHeight="false" outlineLevel="0" collapsed="false">
      <c r="A3039" s="847" t="n">
        <v>82</v>
      </c>
      <c r="B3039" s="1396" t="n">
        <v>2025</v>
      </c>
      <c r="C3039" s="1966" t="n">
        <v>46023</v>
      </c>
      <c r="D3039" s="848" t="s">
        <v>8</v>
      </c>
      <c r="E3039" s="1479" t="s">
        <v>1651</v>
      </c>
      <c r="F3039" s="848" t="s">
        <v>3364</v>
      </c>
      <c r="G3039" s="2018" t="n">
        <v>4</v>
      </c>
      <c r="H3039" s="537" t="n">
        <v>800</v>
      </c>
      <c r="I3039" s="1380" t="n">
        <f aca="false">G3039*H3039</f>
        <v>3200</v>
      </c>
      <c r="J3039" s="1544" t="n">
        <v>28.0985</v>
      </c>
      <c r="K3039" s="1968" t="n">
        <f aca="false">I3039*J3039</f>
        <v>89915.2</v>
      </c>
      <c r="L3039" s="854" t="n">
        <v>89915.2</v>
      </c>
      <c r="M3039" s="854" t="n">
        <v>3200</v>
      </c>
      <c r="N3039" s="854" t="n">
        <f aca="false">M3039/H3039</f>
        <v>4</v>
      </c>
      <c r="O3039" s="537" t="s">
        <v>1012</v>
      </c>
      <c r="P3039" s="1983" t="n">
        <f aca="false">K3039-L3039</f>
        <v>0</v>
      </c>
      <c r="Q3039" s="1971" t="n">
        <f aca="false">I3039-M3039</f>
        <v>0</v>
      </c>
      <c r="R3039" s="1971" t="n">
        <f aca="false">G3039-N3039</f>
        <v>0</v>
      </c>
    </row>
    <row r="3040" customFormat="false" ht="14.25" hidden="false" customHeight="false" outlineLevel="0" collapsed="false">
      <c r="A3040" s="847" t="n">
        <v>93</v>
      </c>
      <c r="B3040" s="1396" t="n">
        <v>2025</v>
      </c>
      <c r="C3040" s="1966" t="n">
        <v>46023</v>
      </c>
      <c r="D3040" s="848" t="s">
        <v>8</v>
      </c>
      <c r="E3040" s="1479" t="s">
        <v>1651</v>
      </c>
      <c r="F3040" s="848" t="s">
        <v>3364</v>
      </c>
      <c r="G3040" s="2018" t="n">
        <v>12</v>
      </c>
      <c r="H3040" s="537" t="n">
        <v>800</v>
      </c>
      <c r="I3040" s="1380" t="n">
        <f aca="false">G3040*H3040</f>
        <v>9600</v>
      </c>
      <c r="J3040" s="1544" t="n">
        <v>21.8335</v>
      </c>
      <c r="K3040" s="1968" t="n">
        <f aca="false">I3040*J3040</f>
        <v>209601.6</v>
      </c>
      <c r="L3040" s="854" t="n">
        <v>209601.6</v>
      </c>
      <c r="M3040" s="854" t="n">
        <v>9600</v>
      </c>
      <c r="N3040" s="854" t="n">
        <f aca="false">M3040/H3040</f>
        <v>12</v>
      </c>
      <c r="O3040" s="537" t="s">
        <v>1012</v>
      </c>
      <c r="P3040" s="1983" t="n">
        <f aca="false">K3040-L3040</f>
        <v>0</v>
      </c>
      <c r="Q3040" s="1971" t="n">
        <f aca="false">I3040-M3040</f>
        <v>0</v>
      </c>
      <c r="R3040" s="1971" t="n">
        <f aca="false">G3040-N3040</f>
        <v>0</v>
      </c>
    </row>
    <row r="3041" customFormat="false" ht="14.25" hidden="false" customHeight="false" outlineLevel="0" collapsed="false">
      <c r="A3041" s="847" t="n">
        <v>94</v>
      </c>
      <c r="B3041" s="1396" t="n">
        <v>2025</v>
      </c>
      <c r="C3041" s="1966" t="n">
        <v>46023</v>
      </c>
      <c r="D3041" s="848" t="s">
        <v>8</v>
      </c>
      <c r="E3041" s="1479" t="s">
        <v>1651</v>
      </c>
      <c r="F3041" s="848" t="s">
        <v>3364</v>
      </c>
      <c r="G3041" s="2018" t="n">
        <v>3</v>
      </c>
      <c r="H3041" s="537" t="n">
        <v>780</v>
      </c>
      <c r="I3041" s="1380" t="n">
        <f aca="false">G3041*H3041</f>
        <v>2340</v>
      </c>
      <c r="J3041" s="1544" t="n">
        <v>21.8335</v>
      </c>
      <c r="K3041" s="1968" t="n">
        <f aca="false">I3041*J3041</f>
        <v>51090.39</v>
      </c>
      <c r="L3041" s="854" t="n">
        <v>51090.39</v>
      </c>
      <c r="M3041" s="854" t="n">
        <v>2340</v>
      </c>
      <c r="N3041" s="854" t="n">
        <f aca="false">M3041/H3041</f>
        <v>3</v>
      </c>
      <c r="O3041" s="537" t="s">
        <v>1012</v>
      </c>
      <c r="P3041" s="1983" t="n">
        <f aca="false">K3041-L3041</f>
        <v>0</v>
      </c>
      <c r="Q3041" s="1971" t="n">
        <f aca="false">I3041-M3041</f>
        <v>0</v>
      </c>
      <c r="R3041" s="1971" t="n">
        <f aca="false">G3041-N3041</f>
        <v>0</v>
      </c>
    </row>
    <row r="3042" customFormat="false" ht="14.25" hidden="false" customHeight="false" outlineLevel="0" collapsed="false">
      <c r="A3042" s="903" t="n">
        <v>95</v>
      </c>
      <c r="B3042" s="903" t="n">
        <v>2025</v>
      </c>
      <c r="C3042" s="1974" t="n">
        <v>46023</v>
      </c>
      <c r="D3042" s="904" t="s">
        <v>8</v>
      </c>
      <c r="E3042" s="1351" t="s">
        <v>1651</v>
      </c>
      <c r="F3042" s="904" t="s">
        <v>3367</v>
      </c>
      <c r="G3042" s="2012" t="n">
        <v>48</v>
      </c>
      <c r="H3042" s="942" t="n">
        <v>15</v>
      </c>
      <c r="I3042" s="1355" t="n">
        <f aca="false">G3042*H3042</f>
        <v>720</v>
      </c>
      <c r="J3042" s="1406" t="n">
        <v>21.8335</v>
      </c>
      <c r="K3042" s="1942" t="n">
        <f aca="false">I3042*J3042</f>
        <v>15720.12</v>
      </c>
      <c r="L3042" s="891" t="n">
        <v>15720.12</v>
      </c>
      <c r="M3042" s="891" t="n">
        <v>720</v>
      </c>
      <c r="N3042" s="891" t="n">
        <f aca="false">M3042/H3042</f>
        <v>48</v>
      </c>
      <c r="O3042" s="942" t="s">
        <v>1104</v>
      </c>
      <c r="P3042" s="1947" t="n">
        <f aca="false">K3042-L3042</f>
        <v>0</v>
      </c>
      <c r="Q3042" s="1946" t="n">
        <f aca="false">I3042-M3042</f>
        <v>0</v>
      </c>
      <c r="R3042" s="1946" t="n">
        <f aca="false">G3042-N3042</f>
        <v>0</v>
      </c>
    </row>
    <row r="3043" customFormat="false" ht="14.25" hidden="false" customHeight="false" outlineLevel="0" collapsed="false">
      <c r="A3043" s="882" t="n">
        <v>96</v>
      </c>
      <c r="B3043" s="830" t="n">
        <v>2025</v>
      </c>
      <c r="C3043" s="1965" t="n">
        <v>46023</v>
      </c>
      <c r="D3043" s="831" t="s">
        <v>8</v>
      </c>
      <c r="E3043" s="1365" t="s">
        <v>1651</v>
      </c>
      <c r="F3043" s="832" t="s">
        <v>3364</v>
      </c>
      <c r="G3043" s="2010" t="n">
        <v>462</v>
      </c>
      <c r="H3043" s="837" t="n">
        <v>15</v>
      </c>
      <c r="I3043" s="837" t="n">
        <f aca="false">G3043*H3043</f>
        <v>6930</v>
      </c>
      <c r="J3043" s="1059" t="n">
        <v>22.4604</v>
      </c>
      <c r="K3043" s="943" t="n">
        <f aca="false">I3043*J3043</f>
        <v>155650.572</v>
      </c>
      <c r="L3043" s="886" t="n">
        <v>112526.604</v>
      </c>
      <c r="M3043" s="886" t="n">
        <v>5010</v>
      </c>
      <c r="N3043" s="886" t="n">
        <f aca="false">M3043/H3043</f>
        <v>334</v>
      </c>
      <c r="O3043" s="1036" t="s">
        <v>3609</v>
      </c>
      <c r="P3043" s="1948" t="n">
        <f aca="false">K3043-L3043-L3048-L3047-L3044-L3046-L3045</f>
        <v>9770.27399999998</v>
      </c>
      <c r="Q3043" s="1934" t="n">
        <f aca="false">I3043-M3043-M3048-M3047-M3044-M3046-M3045</f>
        <v>435</v>
      </c>
      <c r="R3043" s="1935" t="n">
        <f aca="false">G3043-N3043-N3048-N3047-N3044-N3046-N3045</f>
        <v>29</v>
      </c>
    </row>
    <row r="3044" customFormat="false" ht="14.25" hidden="false" customHeight="false" outlineLevel="0" collapsed="false">
      <c r="A3044" s="882"/>
      <c r="B3044" s="830"/>
      <c r="C3044" s="1965"/>
      <c r="D3044" s="848" t="s">
        <v>8</v>
      </c>
      <c r="E3044" s="1479" t="s">
        <v>1651</v>
      </c>
      <c r="F3044" s="832"/>
      <c r="G3044" s="2010"/>
      <c r="H3044" s="837"/>
      <c r="I3044" s="837"/>
      <c r="J3044" s="1059"/>
      <c r="K3044" s="943"/>
      <c r="L3044" s="866" t="n">
        <v>5727.402</v>
      </c>
      <c r="M3044" s="866" t="n">
        <v>255</v>
      </c>
      <c r="N3044" s="866" t="n">
        <f aca="false">M3044/H3043</f>
        <v>17</v>
      </c>
      <c r="O3044" s="543" t="s">
        <v>1318</v>
      </c>
      <c r="P3044" s="1948"/>
      <c r="Q3044" s="1934"/>
      <c r="R3044" s="1935"/>
    </row>
    <row r="3045" customFormat="false" ht="14.25" hidden="false" customHeight="false" outlineLevel="0" collapsed="false">
      <c r="A3045" s="882"/>
      <c r="B3045" s="830"/>
      <c r="C3045" s="1965"/>
      <c r="D3045" s="848" t="s">
        <v>8</v>
      </c>
      <c r="E3045" s="1479" t="s">
        <v>1651</v>
      </c>
      <c r="F3045" s="832"/>
      <c r="G3045" s="2010"/>
      <c r="H3045" s="837"/>
      <c r="I3045" s="837"/>
      <c r="J3045" s="1059"/>
      <c r="K3045" s="943"/>
      <c r="L3045" s="866" t="n">
        <v>1347.624</v>
      </c>
      <c r="M3045" s="866" t="n">
        <v>60</v>
      </c>
      <c r="N3045" s="866" t="n">
        <f aca="false">M3045/H3043</f>
        <v>4</v>
      </c>
      <c r="O3045" s="543" t="s">
        <v>1363</v>
      </c>
      <c r="P3045" s="1948"/>
      <c r="Q3045" s="1934"/>
      <c r="R3045" s="1935"/>
    </row>
    <row r="3046" customFormat="false" ht="14.25" hidden="false" customHeight="false" outlineLevel="0" collapsed="false">
      <c r="A3046" s="882"/>
      <c r="B3046" s="830"/>
      <c r="C3046" s="1965"/>
      <c r="D3046" s="848" t="s">
        <v>8</v>
      </c>
      <c r="E3046" s="1479" t="s">
        <v>1651</v>
      </c>
      <c r="F3046" s="832"/>
      <c r="G3046" s="2010"/>
      <c r="H3046" s="837"/>
      <c r="I3046" s="837"/>
      <c r="J3046" s="1059"/>
      <c r="K3046" s="943"/>
      <c r="L3046" s="866" t="n">
        <v>11454.804</v>
      </c>
      <c r="M3046" s="866" t="n">
        <v>510</v>
      </c>
      <c r="N3046" s="866" t="n">
        <f aca="false">M3046/H3043</f>
        <v>34</v>
      </c>
      <c r="O3046" s="543" t="s">
        <v>1283</v>
      </c>
      <c r="P3046" s="1948"/>
      <c r="Q3046" s="1934"/>
      <c r="R3046" s="1935"/>
    </row>
    <row r="3047" customFormat="false" ht="14.25" hidden="false" customHeight="false" outlineLevel="0" collapsed="false">
      <c r="A3047" s="882"/>
      <c r="B3047" s="830"/>
      <c r="C3047" s="1965"/>
      <c r="D3047" s="860" t="s">
        <v>8</v>
      </c>
      <c r="E3047" s="1480" t="s">
        <v>1651</v>
      </c>
      <c r="F3047" s="832"/>
      <c r="G3047" s="2010"/>
      <c r="H3047" s="837"/>
      <c r="I3047" s="837"/>
      <c r="J3047" s="1059"/>
      <c r="K3047" s="943"/>
      <c r="L3047" s="866" t="n">
        <v>3705.966</v>
      </c>
      <c r="M3047" s="866" t="n">
        <v>165</v>
      </c>
      <c r="N3047" s="1448" t="n">
        <f aca="false">M3047/H3043</f>
        <v>11</v>
      </c>
      <c r="O3047" s="543" t="s">
        <v>1375</v>
      </c>
      <c r="P3047" s="1948"/>
      <c r="Q3047" s="1934"/>
      <c r="R3047" s="1935"/>
    </row>
    <row r="3048" customFormat="false" ht="14.25" hidden="false" customHeight="false" outlineLevel="0" collapsed="false">
      <c r="A3048" s="882"/>
      <c r="B3048" s="830"/>
      <c r="C3048" s="1965"/>
      <c r="D3048" s="887" t="s">
        <v>8</v>
      </c>
      <c r="E3048" s="1501" t="s">
        <v>1651</v>
      </c>
      <c r="F3048" s="832"/>
      <c r="G3048" s="2010"/>
      <c r="H3048" s="837"/>
      <c r="I3048" s="837"/>
      <c r="J3048" s="1059"/>
      <c r="K3048" s="943"/>
      <c r="L3048" s="890" t="n">
        <v>11117.898</v>
      </c>
      <c r="M3048" s="890" t="n">
        <v>495</v>
      </c>
      <c r="N3048" s="890" t="n">
        <f aca="false">M3048/H3043</f>
        <v>33</v>
      </c>
      <c r="O3048" s="1067" t="s">
        <v>3610</v>
      </c>
      <c r="P3048" s="1948"/>
      <c r="Q3048" s="1934"/>
      <c r="R3048" s="1935"/>
    </row>
    <row r="3049" customFormat="false" ht="14.25" hidden="false" customHeight="false" outlineLevel="0" collapsed="false">
      <c r="A3049" s="847" t="s">
        <v>3611</v>
      </c>
      <c r="B3049" s="1396" t="n">
        <v>2025</v>
      </c>
      <c r="C3049" s="1966" t="n">
        <v>46023</v>
      </c>
      <c r="D3049" s="848" t="s">
        <v>8</v>
      </c>
      <c r="E3049" s="1479" t="s">
        <v>1651</v>
      </c>
      <c r="F3049" s="848" t="s">
        <v>3371</v>
      </c>
      <c r="G3049" s="2018" t="n">
        <v>417</v>
      </c>
      <c r="H3049" s="537" t="n">
        <v>12</v>
      </c>
      <c r="I3049" s="1380" t="n">
        <f aca="false">G3049*H3049</f>
        <v>5004</v>
      </c>
      <c r="J3049" s="1544" t="n">
        <v>22.4873</v>
      </c>
      <c r="K3049" s="1968" t="n">
        <f aca="false">I3049*J3049</f>
        <v>112526.4492</v>
      </c>
      <c r="L3049" s="854" t="n">
        <v>112526.4492</v>
      </c>
      <c r="M3049" s="854" t="n">
        <v>5004</v>
      </c>
      <c r="N3049" s="854" t="n">
        <f aca="false">M3049/H3049</f>
        <v>417</v>
      </c>
      <c r="O3049" s="537" t="s">
        <v>1188</v>
      </c>
      <c r="P3049" s="1983" t="n">
        <f aca="false">K3049-L3049</f>
        <v>0</v>
      </c>
      <c r="Q3049" s="1971" t="n">
        <f aca="false">I3049-M3049</f>
        <v>0</v>
      </c>
      <c r="R3049" s="1971" t="n">
        <f aca="false">G3049-N3049</f>
        <v>0</v>
      </c>
    </row>
    <row r="3050" customFormat="false" ht="14.25" hidden="false" customHeight="false" outlineLevel="0" collapsed="false">
      <c r="A3050" s="847" t="n">
        <v>101</v>
      </c>
      <c r="B3050" s="1396" t="n">
        <v>2025</v>
      </c>
      <c r="C3050" s="1966" t="n">
        <v>46023</v>
      </c>
      <c r="D3050" s="848" t="s">
        <v>8</v>
      </c>
      <c r="E3050" s="1479" t="s">
        <v>1651</v>
      </c>
      <c r="F3050" s="848" t="s">
        <v>3364</v>
      </c>
      <c r="G3050" s="2018" t="n">
        <v>666</v>
      </c>
      <c r="H3050" s="537" t="n">
        <v>15</v>
      </c>
      <c r="I3050" s="1380" t="n">
        <f aca="false">G3050*H3050</f>
        <v>9990</v>
      </c>
      <c r="J3050" s="1544" t="n">
        <v>39.3818</v>
      </c>
      <c r="K3050" s="1968" t="n">
        <f aca="false">I3050*J3050</f>
        <v>393424.182</v>
      </c>
      <c r="L3050" s="854"/>
      <c r="M3050" s="854"/>
      <c r="N3050" s="854"/>
      <c r="O3050" s="537"/>
      <c r="P3050" s="1983" t="n">
        <f aca="false">K3050-L3050</f>
        <v>393424.182</v>
      </c>
      <c r="Q3050" s="1971" t="n">
        <f aca="false">I3050-M3050</f>
        <v>9990</v>
      </c>
      <c r="R3050" s="1971" t="n">
        <f aca="false">G3050-N3050</f>
        <v>666</v>
      </c>
    </row>
    <row r="3051" customFormat="false" ht="14.25" hidden="false" customHeight="false" outlineLevel="0" collapsed="false">
      <c r="A3051" s="847" t="n">
        <v>143</v>
      </c>
      <c r="B3051" s="1396" t="n">
        <v>2025</v>
      </c>
      <c r="C3051" s="1966" t="n">
        <v>46054</v>
      </c>
      <c r="D3051" s="848" t="s">
        <v>8</v>
      </c>
      <c r="E3051" s="1479" t="s">
        <v>1651</v>
      </c>
      <c r="F3051" s="848" t="s">
        <v>3364</v>
      </c>
      <c r="G3051" s="2018" t="n">
        <v>652</v>
      </c>
      <c r="H3051" s="537" t="n">
        <v>15</v>
      </c>
      <c r="I3051" s="1380" t="n">
        <f aca="false">G3051*H3051</f>
        <v>9780</v>
      </c>
      <c r="J3051" s="1544" t="n">
        <v>42.9938</v>
      </c>
      <c r="K3051" s="1968" t="n">
        <f aca="false">I3051*J3051</f>
        <v>420479.364</v>
      </c>
      <c r="L3051" s="854" t="n">
        <v>79968.468</v>
      </c>
      <c r="M3051" s="854" t="n">
        <v>1860</v>
      </c>
      <c r="N3051" s="854" t="n">
        <f aca="false">M3051/H3051</f>
        <v>124</v>
      </c>
      <c r="O3051" s="537" t="s">
        <v>1059</v>
      </c>
      <c r="P3051" s="1983" t="n">
        <f aca="false">K3051-L3051</f>
        <v>340510.896</v>
      </c>
      <c r="Q3051" s="1971" t="n">
        <f aca="false">I3051-M3051</f>
        <v>7920</v>
      </c>
      <c r="R3051" s="1971" t="n">
        <f aca="false">G3051-N3051</f>
        <v>528</v>
      </c>
    </row>
    <row r="3052" customFormat="false" ht="14.25" hidden="false" customHeight="false" outlineLevel="0" collapsed="false">
      <c r="A3052" s="847" t="n">
        <v>182</v>
      </c>
      <c r="B3052" s="1396" t="n">
        <v>2025</v>
      </c>
      <c r="C3052" s="1966" t="n">
        <v>46054</v>
      </c>
      <c r="D3052" s="848" t="s">
        <v>8</v>
      </c>
      <c r="E3052" s="1479" t="s">
        <v>2131</v>
      </c>
      <c r="F3052" s="848" t="s">
        <v>3364</v>
      </c>
      <c r="G3052" s="2018" t="n">
        <v>64</v>
      </c>
      <c r="H3052" s="537" t="n">
        <v>25</v>
      </c>
      <c r="I3052" s="1380" t="n">
        <f aca="false">G3052*H3052</f>
        <v>1600</v>
      </c>
      <c r="J3052" s="1544" t="n">
        <v>78.174</v>
      </c>
      <c r="K3052" s="1968" t="n">
        <f aca="false">I3052*J3052</f>
        <v>125078.4</v>
      </c>
      <c r="L3052" s="854" t="n">
        <v>125078.4</v>
      </c>
      <c r="M3052" s="854" t="n">
        <v>1600</v>
      </c>
      <c r="N3052" s="854" t="n">
        <f aca="false">M3052/H3052</f>
        <v>64</v>
      </c>
      <c r="O3052" s="537" t="s">
        <v>618</v>
      </c>
      <c r="P3052" s="1983" t="n">
        <f aca="false">K3052-L3052</f>
        <v>0</v>
      </c>
      <c r="Q3052" s="1971" t="n">
        <f aca="false">I3052-M3052</f>
        <v>0</v>
      </c>
      <c r="R3052" s="1971" t="n">
        <f aca="false">G3052-N3052</f>
        <v>0</v>
      </c>
    </row>
    <row r="3053" customFormat="false" ht="14.25" hidden="false" customHeight="false" outlineLevel="0" collapsed="false">
      <c r="A3053" s="847" t="n">
        <v>203</v>
      </c>
      <c r="B3053" s="1396" t="n">
        <v>2025</v>
      </c>
      <c r="C3053" s="1966" t="n">
        <v>46082</v>
      </c>
      <c r="D3053" s="848" t="s">
        <v>8</v>
      </c>
      <c r="E3053" s="1479" t="s">
        <v>2131</v>
      </c>
      <c r="F3053" s="848" t="s">
        <v>3364</v>
      </c>
      <c r="G3053" s="2018" t="n">
        <v>42</v>
      </c>
      <c r="H3053" s="537" t="n">
        <v>25</v>
      </c>
      <c r="I3053" s="1380" t="n">
        <f aca="false">G3053*H3053</f>
        <v>1050</v>
      </c>
      <c r="J3053" s="1544" t="n">
        <v>75.9485</v>
      </c>
      <c r="K3053" s="1968" t="n">
        <f aca="false">I3053*J3053</f>
        <v>79745.925</v>
      </c>
      <c r="L3053" s="854" t="n">
        <v>75948.5</v>
      </c>
      <c r="M3053" s="854" t="n">
        <v>1000</v>
      </c>
      <c r="N3053" s="854" t="n">
        <f aca="false">M3053/H3053</f>
        <v>40</v>
      </c>
      <c r="O3053" s="537" t="s">
        <v>1306</v>
      </c>
      <c r="P3053" s="1983" t="n">
        <f aca="false">K3053-L3053</f>
        <v>3797.42499999999</v>
      </c>
      <c r="Q3053" s="1971" t="n">
        <f aca="false">I3053-M3053</f>
        <v>50</v>
      </c>
      <c r="R3053" s="1971" t="n">
        <f aca="false">G3053-N3053</f>
        <v>2</v>
      </c>
    </row>
    <row r="3054" customFormat="false" ht="14.25" hidden="false" customHeight="false" outlineLevel="0" collapsed="false">
      <c r="A3054" s="859"/>
      <c r="B3054" s="2020"/>
      <c r="C3054" s="1990"/>
      <c r="D3054" s="860"/>
      <c r="E3054" s="1480"/>
      <c r="F3054" s="1480"/>
      <c r="G3054" s="2070"/>
      <c r="H3054" s="1521"/>
      <c r="I3054" s="1521"/>
      <c r="J3054" s="1451"/>
      <c r="K3054" s="1992"/>
      <c r="L3054" s="866"/>
      <c r="M3054" s="866"/>
      <c r="N3054" s="866"/>
      <c r="O3054" s="543"/>
      <c r="P3054" s="1993"/>
      <c r="Q3054" s="1995"/>
      <c r="R3054" s="1995"/>
    </row>
    <row r="3055" customFormat="false" ht="14.25" hidden="false" customHeight="false" outlineLevel="0" collapsed="false">
      <c r="A3055" s="847" t="n">
        <v>345</v>
      </c>
      <c r="B3055" s="1396" t="n">
        <v>2022</v>
      </c>
      <c r="C3055" s="1966"/>
      <c r="D3055" s="848" t="s">
        <v>17</v>
      </c>
      <c r="E3055" s="848" t="s">
        <v>2131</v>
      </c>
      <c r="F3055" s="848" t="s">
        <v>3364</v>
      </c>
      <c r="G3055" s="2018" t="n">
        <v>1</v>
      </c>
      <c r="H3055" s="537" t="n">
        <v>25</v>
      </c>
      <c r="I3055" s="1380" t="n">
        <f aca="false">G3055*H3055</f>
        <v>25</v>
      </c>
      <c r="J3055" s="1989" t="n">
        <v>60</v>
      </c>
      <c r="K3055" s="1968" t="n">
        <f aca="false">I3055*J3055</f>
        <v>1500</v>
      </c>
      <c r="L3055" s="854" t="n">
        <v>1500</v>
      </c>
      <c r="M3055" s="854" t="n">
        <v>25</v>
      </c>
      <c r="N3055" s="854" t="n">
        <f aca="false">M3055/H3055</f>
        <v>1</v>
      </c>
      <c r="O3055" s="537" t="s">
        <v>3373</v>
      </c>
      <c r="P3055" s="1986" t="n">
        <f aca="false">K3055-L3055</f>
        <v>0</v>
      </c>
      <c r="Q3055" s="1971" t="n">
        <f aca="false">I3055-M3055</f>
        <v>0</v>
      </c>
      <c r="R3055" s="1971" t="n">
        <f aca="false">G3055-N3055</f>
        <v>0</v>
      </c>
    </row>
    <row r="3056" customFormat="false" ht="14.25" hidden="false" customHeight="false" outlineLevel="0" collapsed="false">
      <c r="A3056" s="859" t="n">
        <v>397</v>
      </c>
      <c r="B3056" s="2020" t="n">
        <v>2022</v>
      </c>
      <c r="C3056" s="1990"/>
      <c r="D3056" s="860" t="s">
        <v>17</v>
      </c>
      <c r="E3056" s="860" t="s">
        <v>2130</v>
      </c>
      <c r="F3056" s="860" t="s">
        <v>3364</v>
      </c>
      <c r="G3056" s="2021" t="n">
        <v>173</v>
      </c>
      <c r="H3056" s="543" t="n">
        <v>25</v>
      </c>
      <c r="I3056" s="1521" t="n">
        <f aca="false">G3056*H3056</f>
        <v>4325</v>
      </c>
      <c r="J3056" s="2071" t="n">
        <v>40</v>
      </c>
      <c r="K3056" s="1992" t="n">
        <f aca="false">I3056*J3056</f>
        <v>173000</v>
      </c>
      <c r="L3056" s="866" t="n">
        <v>173000</v>
      </c>
      <c r="M3056" s="866" t="n">
        <v>4325</v>
      </c>
      <c r="N3056" s="854" t="n">
        <f aca="false">M3056/H3056</f>
        <v>173</v>
      </c>
      <c r="O3056" s="543" t="s">
        <v>3373</v>
      </c>
      <c r="P3056" s="1993" t="n">
        <f aca="false">K3056-L3056</f>
        <v>0</v>
      </c>
      <c r="Q3056" s="1995" t="n">
        <f aca="false">I3056-M3056</f>
        <v>0</v>
      </c>
      <c r="R3056" s="1995" t="n">
        <f aca="false">G3056-N3056</f>
        <v>0</v>
      </c>
    </row>
    <row r="3057" customFormat="false" ht="14.25" hidden="false" customHeight="false" outlineLevel="0" collapsed="false">
      <c r="A3057" s="870" t="n">
        <v>446</v>
      </c>
      <c r="B3057" s="1495" t="n">
        <v>2022</v>
      </c>
      <c r="C3057" s="1972"/>
      <c r="D3057" s="871" t="s">
        <v>17</v>
      </c>
      <c r="E3057" s="871" t="s">
        <v>2131</v>
      </c>
      <c r="F3057" s="871" t="s">
        <v>3364</v>
      </c>
      <c r="G3057" s="2024" t="n">
        <v>62</v>
      </c>
      <c r="H3057" s="553" t="n">
        <v>25</v>
      </c>
      <c r="I3057" s="1587" t="n">
        <f aca="false">G3057*H3057</f>
        <v>1550</v>
      </c>
      <c r="J3057" s="1957" t="n">
        <v>60</v>
      </c>
      <c r="K3057" s="1958" t="n">
        <f aca="false">I3057*J3057</f>
        <v>93000</v>
      </c>
      <c r="L3057" s="877" t="n">
        <v>93000</v>
      </c>
      <c r="M3057" s="877" t="n">
        <v>1550</v>
      </c>
      <c r="N3057" s="891" t="n">
        <f aca="false">M3057/H3057</f>
        <v>62</v>
      </c>
      <c r="O3057" s="553" t="s">
        <v>3373</v>
      </c>
      <c r="P3057" s="1988" t="n">
        <f aca="false">K3057-L3057</f>
        <v>0</v>
      </c>
      <c r="Q3057" s="1961" t="n">
        <f aca="false">I3057-M3057</f>
        <v>0</v>
      </c>
      <c r="R3057" s="1961" t="n">
        <f aca="false">G3057-N3057</f>
        <v>0</v>
      </c>
    </row>
    <row r="3058" customFormat="false" ht="14.25" hidden="false" customHeight="false" outlineLevel="0" collapsed="false">
      <c r="A3058" s="829" t="n">
        <v>157</v>
      </c>
      <c r="B3058" s="830" t="n">
        <v>2023</v>
      </c>
      <c r="C3058" s="1965"/>
      <c r="D3058" s="831" t="s">
        <v>17</v>
      </c>
      <c r="E3058" s="831" t="s">
        <v>2130</v>
      </c>
      <c r="F3058" s="832" t="s">
        <v>3364</v>
      </c>
      <c r="G3058" s="2010" t="n">
        <v>40</v>
      </c>
      <c r="H3058" s="837" t="n">
        <v>25</v>
      </c>
      <c r="I3058" s="837" t="n">
        <f aca="false">G3058*H3058</f>
        <v>1000</v>
      </c>
      <c r="J3058" s="1932" t="n">
        <v>40</v>
      </c>
      <c r="K3058" s="943" t="n">
        <f aca="false">I3058*J3058</f>
        <v>40000</v>
      </c>
      <c r="L3058" s="840" t="n">
        <v>3000</v>
      </c>
      <c r="M3058" s="840" t="n">
        <v>75</v>
      </c>
      <c r="N3058" s="840" t="n">
        <f aca="false">M3058/H3058</f>
        <v>3</v>
      </c>
      <c r="O3058" s="1114" t="n">
        <v>85797</v>
      </c>
      <c r="P3058" s="1934" t="n">
        <f aca="false">K3058-L3058-L3059</f>
        <v>0</v>
      </c>
      <c r="Q3058" s="1934" t="n">
        <f aca="false">I3058-M3058-M3059</f>
        <v>0</v>
      </c>
      <c r="R3058" s="1935" t="n">
        <f aca="false">G3058-N3058-N3059</f>
        <v>0</v>
      </c>
    </row>
    <row r="3059" customFormat="false" ht="14.25" hidden="false" customHeight="false" outlineLevel="0" collapsed="false">
      <c r="A3059" s="829"/>
      <c r="B3059" s="830"/>
      <c r="C3059" s="1965"/>
      <c r="D3059" s="887" t="s">
        <v>17</v>
      </c>
      <c r="E3059" s="887" t="s">
        <v>2130</v>
      </c>
      <c r="F3059" s="832"/>
      <c r="G3059" s="2010"/>
      <c r="H3059" s="837"/>
      <c r="I3059" s="837"/>
      <c r="J3059" s="1932"/>
      <c r="K3059" s="943"/>
      <c r="L3059" s="890" t="n">
        <v>37000</v>
      </c>
      <c r="M3059" s="890" t="n">
        <v>925</v>
      </c>
      <c r="N3059" s="890" t="n">
        <f aca="false">M3059/H3058</f>
        <v>37</v>
      </c>
      <c r="O3059" s="1067" t="s">
        <v>3373</v>
      </c>
      <c r="P3059" s="1934"/>
      <c r="Q3059" s="1934"/>
      <c r="R3059" s="1935"/>
    </row>
    <row r="3060" customFormat="false" ht="14.25" hidden="false" customHeight="false" outlineLevel="0" collapsed="false">
      <c r="A3060" s="1465" t="n">
        <v>587</v>
      </c>
      <c r="B3060" s="1546" t="n">
        <v>2023</v>
      </c>
      <c r="C3060" s="1975" t="n">
        <v>45627</v>
      </c>
      <c r="D3060" s="2072" t="s">
        <v>17</v>
      </c>
      <c r="E3060" s="1607" t="s">
        <v>1652</v>
      </c>
      <c r="F3060" s="1328" t="s">
        <v>3364</v>
      </c>
      <c r="G3060" s="2011" t="n">
        <v>480</v>
      </c>
      <c r="H3060" s="1976" t="n">
        <v>15</v>
      </c>
      <c r="I3060" s="1036" t="n">
        <f aca="false">G3060*H3060</f>
        <v>7200</v>
      </c>
      <c r="J3060" s="1999" t="n">
        <v>38.6</v>
      </c>
      <c r="K3060" s="1547" t="n">
        <f aca="false">I3060*J3060</f>
        <v>277920</v>
      </c>
      <c r="L3060" s="886" t="n">
        <v>38793</v>
      </c>
      <c r="M3060" s="886" t="n">
        <v>1005</v>
      </c>
      <c r="N3060" s="886" t="n">
        <f aca="false">M3060/H3060</f>
        <v>67</v>
      </c>
      <c r="O3060" s="1036" t="n">
        <v>86095</v>
      </c>
      <c r="P3060" s="1978" t="n">
        <f aca="false">K3060-L3060-L3074-L3073-L3061-L3062-L3072-L3063-L3067-L3071-L3064-L3065-L3066-L3069-L3070-L3068</f>
        <v>0</v>
      </c>
      <c r="Q3060" s="1978" t="n">
        <f aca="false">I3060-M3060-M3074-M3073-M3061-M3062-M3072-M3063-M3067-M3071-M3064-M3065-M3066-M3069-M3070-M3068</f>
        <v>0</v>
      </c>
      <c r="R3060" s="1979" t="n">
        <f aca="false">G3060-N3060-N3074-N3073-N3061-N3062-N3072-N3063-N3067-N3071-N3064-N3065-N3066-N3069-N3070-N3068</f>
        <v>0</v>
      </c>
    </row>
    <row r="3061" customFormat="false" ht="14.25" hidden="false" customHeight="false" outlineLevel="0" collapsed="false">
      <c r="A3061" s="1465"/>
      <c r="B3061" s="1546"/>
      <c r="C3061" s="1975"/>
      <c r="D3061" s="2073" t="s">
        <v>17</v>
      </c>
      <c r="E3061" s="1480" t="s">
        <v>1652</v>
      </c>
      <c r="F3061" s="1328"/>
      <c r="G3061" s="2011"/>
      <c r="H3061" s="1976"/>
      <c r="I3061" s="1036"/>
      <c r="J3061" s="1999"/>
      <c r="K3061" s="1547"/>
      <c r="L3061" s="866" t="n">
        <v>17370</v>
      </c>
      <c r="M3061" s="866" t="n">
        <v>450</v>
      </c>
      <c r="N3061" s="866" t="n">
        <f aca="false">M3061/H3060</f>
        <v>30</v>
      </c>
      <c r="O3061" s="543" t="n">
        <v>86098</v>
      </c>
      <c r="P3061" s="1978"/>
      <c r="Q3061" s="1978"/>
      <c r="R3061" s="1979"/>
    </row>
    <row r="3062" customFormat="false" ht="14.25" hidden="false" customHeight="false" outlineLevel="0" collapsed="false">
      <c r="A3062" s="1465"/>
      <c r="B3062" s="1546"/>
      <c r="C3062" s="1975"/>
      <c r="D3062" s="2073" t="s">
        <v>17</v>
      </c>
      <c r="E3062" s="1480" t="s">
        <v>1652</v>
      </c>
      <c r="F3062" s="1328"/>
      <c r="G3062" s="2011"/>
      <c r="H3062" s="1976"/>
      <c r="I3062" s="1036"/>
      <c r="J3062" s="1999"/>
      <c r="K3062" s="1547"/>
      <c r="L3062" s="866" t="n">
        <v>34740</v>
      </c>
      <c r="M3062" s="866" t="n">
        <v>900</v>
      </c>
      <c r="N3062" s="866" t="n">
        <f aca="false">M3062/H3060</f>
        <v>60</v>
      </c>
      <c r="O3062" s="543" t="n">
        <v>86099</v>
      </c>
      <c r="P3062" s="1978"/>
      <c r="Q3062" s="1978"/>
      <c r="R3062" s="1979"/>
    </row>
    <row r="3063" customFormat="false" ht="14.25" hidden="false" customHeight="false" outlineLevel="0" collapsed="false">
      <c r="A3063" s="1465"/>
      <c r="B3063" s="1546"/>
      <c r="C3063" s="1975"/>
      <c r="D3063" s="2073" t="s">
        <v>17</v>
      </c>
      <c r="E3063" s="1480" t="s">
        <v>1652</v>
      </c>
      <c r="F3063" s="1328"/>
      <c r="G3063" s="2011"/>
      <c r="H3063" s="1976"/>
      <c r="I3063" s="1036"/>
      <c r="J3063" s="1999"/>
      <c r="K3063" s="1547"/>
      <c r="L3063" s="866" t="n">
        <v>28950</v>
      </c>
      <c r="M3063" s="866" t="n">
        <v>750</v>
      </c>
      <c r="N3063" s="866" t="n">
        <f aca="false">M3063/H3060</f>
        <v>50</v>
      </c>
      <c r="O3063" s="543" t="n">
        <v>86126</v>
      </c>
      <c r="P3063" s="1978"/>
      <c r="Q3063" s="1978"/>
      <c r="R3063" s="1979"/>
    </row>
    <row r="3064" customFormat="false" ht="14.25" hidden="false" customHeight="false" outlineLevel="0" collapsed="false">
      <c r="A3064" s="1465"/>
      <c r="B3064" s="1546"/>
      <c r="C3064" s="1975"/>
      <c r="D3064" s="2073" t="s">
        <v>17</v>
      </c>
      <c r="E3064" s="1480" t="s">
        <v>1652</v>
      </c>
      <c r="F3064" s="1328"/>
      <c r="G3064" s="2011"/>
      <c r="H3064" s="1976"/>
      <c r="I3064" s="1036"/>
      <c r="J3064" s="1999"/>
      <c r="K3064" s="1547"/>
      <c r="L3064" s="866" t="n">
        <v>1158</v>
      </c>
      <c r="M3064" s="866" t="n">
        <v>30</v>
      </c>
      <c r="N3064" s="866" t="n">
        <f aca="false">M3064/H3060</f>
        <v>2</v>
      </c>
      <c r="O3064" s="543" t="n">
        <v>86385</v>
      </c>
      <c r="P3064" s="1978"/>
      <c r="Q3064" s="1978"/>
      <c r="R3064" s="1979"/>
    </row>
    <row r="3065" customFormat="false" ht="14.25" hidden="false" customHeight="false" outlineLevel="0" collapsed="false">
      <c r="A3065" s="1465"/>
      <c r="B3065" s="1546"/>
      <c r="C3065" s="1975"/>
      <c r="D3065" s="2073" t="s">
        <v>17</v>
      </c>
      <c r="E3065" s="1480" t="s">
        <v>1652</v>
      </c>
      <c r="F3065" s="1328"/>
      <c r="G3065" s="2011"/>
      <c r="H3065" s="1976"/>
      <c r="I3065" s="1036"/>
      <c r="J3065" s="1999"/>
      <c r="K3065" s="1547"/>
      <c r="L3065" s="866" t="n">
        <v>11580</v>
      </c>
      <c r="M3065" s="866" t="n">
        <v>300</v>
      </c>
      <c r="N3065" s="866" t="n">
        <f aca="false">M3065/H3060</f>
        <v>20</v>
      </c>
      <c r="O3065" s="543" t="n">
        <v>86413</v>
      </c>
      <c r="P3065" s="1978"/>
      <c r="Q3065" s="1978"/>
      <c r="R3065" s="1979"/>
    </row>
    <row r="3066" customFormat="false" ht="14.25" hidden="false" customHeight="false" outlineLevel="0" collapsed="false">
      <c r="A3066" s="1465"/>
      <c r="B3066" s="1546"/>
      <c r="C3066" s="1975"/>
      <c r="D3066" s="2073" t="s">
        <v>17</v>
      </c>
      <c r="E3066" s="1480" t="s">
        <v>1652</v>
      </c>
      <c r="F3066" s="1328"/>
      <c r="G3066" s="2011"/>
      <c r="H3066" s="1976"/>
      <c r="I3066" s="1036"/>
      <c r="J3066" s="1999"/>
      <c r="K3066" s="1547"/>
      <c r="L3066" s="866" t="n">
        <v>579</v>
      </c>
      <c r="M3066" s="866" t="n">
        <v>15</v>
      </c>
      <c r="N3066" s="866" t="n">
        <f aca="false">M3066/H3060</f>
        <v>1</v>
      </c>
      <c r="O3066" s="543" t="n">
        <v>86662</v>
      </c>
      <c r="P3066" s="1978"/>
      <c r="Q3066" s="1978"/>
      <c r="R3066" s="1979"/>
    </row>
    <row r="3067" customFormat="false" ht="14.25" hidden="false" customHeight="false" outlineLevel="0" collapsed="false">
      <c r="A3067" s="1465"/>
      <c r="B3067" s="1546"/>
      <c r="C3067" s="1975"/>
      <c r="D3067" s="2073" t="s">
        <v>17</v>
      </c>
      <c r="E3067" s="1480" t="s">
        <v>1652</v>
      </c>
      <c r="F3067" s="1328"/>
      <c r="G3067" s="2011"/>
      <c r="H3067" s="1976"/>
      <c r="I3067" s="1036"/>
      <c r="J3067" s="1999"/>
      <c r="K3067" s="1547"/>
      <c r="L3067" s="866" t="n">
        <v>44583</v>
      </c>
      <c r="M3067" s="866" t="n">
        <v>1155</v>
      </c>
      <c r="N3067" s="866" t="n">
        <f aca="false">M3067/H3060</f>
        <v>77</v>
      </c>
      <c r="O3067" s="543" t="n">
        <v>86243</v>
      </c>
      <c r="P3067" s="1978"/>
      <c r="Q3067" s="1978"/>
      <c r="R3067" s="1979"/>
    </row>
    <row r="3068" customFormat="false" ht="14.25" hidden="false" customHeight="false" outlineLevel="0" collapsed="false">
      <c r="A3068" s="1465"/>
      <c r="B3068" s="1546"/>
      <c r="C3068" s="1975"/>
      <c r="D3068" s="2073" t="s">
        <v>17</v>
      </c>
      <c r="E3068" s="1480" t="s">
        <v>1652</v>
      </c>
      <c r="F3068" s="1328"/>
      <c r="G3068" s="2011"/>
      <c r="H3068" s="1976"/>
      <c r="I3068" s="1036"/>
      <c r="J3068" s="1999"/>
      <c r="K3068" s="1547"/>
      <c r="L3068" s="866" t="n">
        <v>2316</v>
      </c>
      <c r="M3068" s="866" t="n">
        <v>60</v>
      </c>
      <c r="N3068" s="866" t="n">
        <f aca="false">M3068/H3060</f>
        <v>4</v>
      </c>
      <c r="O3068" s="543" t="s">
        <v>3373</v>
      </c>
      <c r="P3068" s="1978"/>
      <c r="Q3068" s="1978"/>
      <c r="R3068" s="1979"/>
    </row>
    <row r="3069" customFormat="false" ht="14.25" hidden="false" customHeight="false" outlineLevel="0" collapsed="false">
      <c r="A3069" s="1465"/>
      <c r="B3069" s="1546"/>
      <c r="C3069" s="1975"/>
      <c r="D3069" s="2073" t="s">
        <v>17</v>
      </c>
      <c r="E3069" s="1480" t="s">
        <v>1652</v>
      </c>
      <c r="F3069" s="1328"/>
      <c r="G3069" s="2011"/>
      <c r="H3069" s="1976"/>
      <c r="I3069" s="1036"/>
      <c r="J3069" s="1999"/>
      <c r="K3069" s="1547"/>
      <c r="L3069" s="866" t="n">
        <v>579</v>
      </c>
      <c r="M3069" s="866" t="n">
        <v>15</v>
      </c>
      <c r="N3069" s="866" t="n">
        <f aca="false">M3069/H3060</f>
        <v>1</v>
      </c>
      <c r="O3069" s="543" t="n">
        <v>86764</v>
      </c>
      <c r="P3069" s="1978"/>
      <c r="Q3069" s="1978"/>
      <c r="R3069" s="1979"/>
    </row>
    <row r="3070" customFormat="false" ht="14.25" hidden="false" customHeight="false" outlineLevel="0" collapsed="false">
      <c r="A3070" s="1465"/>
      <c r="B3070" s="1546"/>
      <c r="C3070" s="1975"/>
      <c r="D3070" s="2073" t="s">
        <v>17</v>
      </c>
      <c r="E3070" s="1480" t="s">
        <v>1652</v>
      </c>
      <c r="F3070" s="1328"/>
      <c r="G3070" s="2011"/>
      <c r="H3070" s="1976"/>
      <c r="I3070" s="1036"/>
      <c r="J3070" s="1999"/>
      <c r="K3070" s="1547"/>
      <c r="L3070" s="866" t="n">
        <v>9264</v>
      </c>
      <c r="M3070" s="866" t="n">
        <v>240</v>
      </c>
      <c r="N3070" s="866" t="n">
        <f aca="false">M3070/H3060</f>
        <v>16</v>
      </c>
      <c r="O3070" s="543" t="s">
        <v>2240</v>
      </c>
      <c r="P3070" s="1978"/>
      <c r="Q3070" s="1978"/>
      <c r="R3070" s="1979"/>
    </row>
    <row r="3071" customFormat="false" ht="14.25" hidden="false" customHeight="false" outlineLevel="0" collapsed="false">
      <c r="A3071" s="1465"/>
      <c r="B3071" s="1546"/>
      <c r="C3071" s="1975"/>
      <c r="D3071" s="2073" t="s">
        <v>17</v>
      </c>
      <c r="E3071" s="1480" t="s">
        <v>1652</v>
      </c>
      <c r="F3071" s="1328"/>
      <c r="G3071" s="2011"/>
      <c r="H3071" s="1976"/>
      <c r="I3071" s="1036"/>
      <c r="J3071" s="1999"/>
      <c r="K3071" s="1547"/>
      <c r="L3071" s="866" t="n">
        <v>4632</v>
      </c>
      <c r="M3071" s="866" t="n">
        <v>120</v>
      </c>
      <c r="N3071" s="866" t="n">
        <f aca="false">M3071/H3060</f>
        <v>8</v>
      </c>
      <c r="O3071" s="543" t="n">
        <v>86269</v>
      </c>
      <c r="P3071" s="1978"/>
      <c r="Q3071" s="1978"/>
      <c r="R3071" s="1979"/>
    </row>
    <row r="3072" customFormat="false" ht="14.25" hidden="false" customHeight="false" outlineLevel="0" collapsed="false">
      <c r="A3072" s="1465"/>
      <c r="B3072" s="1546"/>
      <c r="C3072" s="1975"/>
      <c r="D3072" s="2073" t="s">
        <v>17</v>
      </c>
      <c r="E3072" s="1480" t="s">
        <v>1652</v>
      </c>
      <c r="F3072" s="1328"/>
      <c r="G3072" s="2011"/>
      <c r="H3072" s="1976"/>
      <c r="I3072" s="1036"/>
      <c r="J3072" s="1999"/>
      <c r="K3072" s="1547"/>
      <c r="L3072" s="866" t="n">
        <v>2316</v>
      </c>
      <c r="M3072" s="866" t="n">
        <v>60</v>
      </c>
      <c r="N3072" s="866" t="n">
        <f aca="false">M3072/H3060</f>
        <v>4</v>
      </c>
      <c r="O3072" s="543" t="n">
        <v>86100</v>
      </c>
      <c r="P3072" s="1978"/>
      <c r="Q3072" s="1978"/>
      <c r="R3072" s="1979"/>
    </row>
    <row r="3073" customFormat="false" ht="14.25" hidden="false" customHeight="false" outlineLevel="0" collapsed="false">
      <c r="A3073" s="1465"/>
      <c r="B3073" s="1546"/>
      <c r="C3073" s="1975"/>
      <c r="D3073" s="2073" t="s">
        <v>17</v>
      </c>
      <c r="E3073" s="1480" t="s">
        <v>1652</v>
      </c>
      <c r="F3073" s="1328"/>
      <c r="G3073" s="2011"/>
      <c r="H3073" s="1976"/>
      <c r="I3073" s="1036"/>
      <c r="J3073" s="1999"/>
      <c r="K3073" s="1547"/>
      <c r="L3073" s="866" t="n">
        <v>34740</v>
      </c>
      <c r="M3073" s="866" t="n">
        <v>900</v>
      </c>
      <c r="N3073" s="866" t="n">
        <f aca="false">M3073/H3060</f>
        <v>60</v>
      </c>
      <c r="O3073" s="543" t="n">
        <v>86097</v>
      </c>
      <c r="P3073" s="1978"/>
      <c r="Q3073" s="1978"/>
      <c r="R3073" s="1979"/>
    </row>
    <row r="3074" customFormat="false" ht="14.25" hidden="false" customHeight="false" outlineLevel="0" collapsed="false">
      <c r="A3074" s="1465"/>
      <c r="B3074" s="1546"/>
      <c r="C3074" s="1975"/>
      <c r="D3074" s="2074" t="s">
        <v>17</v>
      </c>
      <c r="E3074" s="1478" t="s">
        <v>1652</v>
      </c>
      <c r="F3074" s="1328"/>
      <c r="G3074" s="2011"/>
      <c r="H3074" s="1976"/>
      <c r="I3074" s="1036"/>
      <c r="J3074" s="1999"/>
      <c r="K3074" s="1547"/>
      <c r="L3074" s="877" t="n">
        <v>46320</v>
      </c>
      <c r="M3074" s="877" t="n">
        <v>1200</v>
      </c>
      <c r="N3074" s="877" t="n">
        <f aca="false">M3074/H3060</f>
        <v>80</v>
      </c>
      <c r="O3074" s="553" t="n">
        <v>86096</v>
      </c>
      <c r="P3074" s="1978"/>
      <c r="Q3074" s="1978"/>
      <c r="R3074" s="1979"/>
    </row>
    <row r="3075" customFormat="false" ht="14.25" hidden="false" customHeight="false" outlineLevel="0" collapsed="false">
      <c r="A3075" s="1465" t="n">
        <v>615</v>
      </c>
      <c r="B3075" s="1546" t="n">
        <v>2023</v>
      </c>
      <c r="C3075" s="1975" t="n">
        <v>45627</v>
      </c>
      <c r="D3075" s="2072" t="s">
        <v>17</v>
      </c>
      <c r="E3075" s="1607" t="s">
        <v>1651</v>
      </c>
      <c r="F3075" s="1328" t="s">
        <v>3364</v>
      </c>
      <c r="G3075" s="2011" t="n">
        <v>502</v>
      </c>
      <c r="H3075" s="1976" t="n">
        <v>15</v>
      </c>
      <c r="I3075" s="1036" t="n">
        <f aca="false">G3075*H3075</f>
        <v>7530</v>
      </c>
      <c r="J3075" s="1999" t="n">
        <v>27.7</v>
      </c>
      <c r="K3075" s="1547" t="n">
        <f aca="false">I3075*J3075</f>
        <v>208581</v>
      </c>
      <c r="L3075" s="886" t="n">
        <v>27838.5</v>
      </c>
      <c r="M3075" s="886" t="n">
        <v>1005</v>
      </c>
      <c r="N3075" s="886" t="n">
        <f aca="false">M3075/H3075</f>
        <v>67</v>
      </c>
      <c r="O3075" s="1036" t="n">
        <v>86197</v>
      </c>
      <c r="P3075" s="1978" t="n">
        <f aca="false">K3075-L3075-L3104-L3103-L3076-L3078-L3102-L3077-L3101-L3079-L3100-L3082-L3096-L3080-L3099-L3081-L3085-L3098-L3097-L3083-L3084-L3094-L3090-L3088-L3089-L3095-L3087-L3092-L3091-L3086-L3093</f>
        <v>0</v>
      </c>
      <c r="Q3075" s="1978" t="n">
        <f aca="false">I3075-M3075-M3104-M3103-M3076-M3078-M3102-M3077-M3101-M3079-M3100-M3082-M3096-M3080-M3099-M3081-M3085-M3098-M3097-M3083-M3084-M3094-M3090-M3088-M3089-M3095-M3087-M3092-M3091-M3086-M3093</f>
        <v>0</v>
      </c>
      <c r="R3075" s="1979" t="n">
        <f aca="false">G3075-N3075-N3104-N3103-N3076-N3078-N3102-N3077-N3101-N3079-N3100-N3082-N3096-N3080-N3099-N3081-N3085-N3098-N3097-N3083-N3084-N3094-N3090-N3088-N3089-N3095-N3087-N3092-N3091-N3086-N3093</f>
        <v>0</v>
      </c>
    </row>
    <row r="3076" customFormat="false" ht="14.25" hidden="false" customHeight="false" outlineLevel="0" collapsed="false">
      <c r="A3076" s="1465"/>
      <c r="B3076" s="1546"/>
      <c r="C3076" s="1975"/>
      <c r="D3076" s="2073" t="s">
        <v>17</v>
      </c>
      <c r="E3076" s="1480" t="s">
        <v>1651</v>
      </c>
      <c r="F3076" s="1328"/>
      <c r="G3076" s="2011"/>
      <c r="H3076" s="1976"/>
      <c r="I3076" s="1036"/>
      <c r="J3076" s="1999"/>
      <c r="K3076" s="1547"/>
      <c r="L3076" s="866" t="n">
        <v>24930</v>
      </c>
      <c r="M3076" s="866" t="n">
        <v>900</v>
      </c>
      <c r="N3076" s="866" t="n">
        <f aca="false">M3076/H3075</f>
        <v>60</v>
      </c>
      <c r="O3076" s="543" t="n">
        <v>86402</v>
      </c>
      <c r="P3076" s="1978"/>
      <c r="Q3076" s="1978"/>
      <c r="R3076" s="1979"/>
    </row>
    <row r="3077" customFormat="false" ht="14.25" hidden="false" customHeight="false" outlineLevel="0" collapsed="false">
      <c r="A3077" s="1465"/>
      <c r="B3077" s="1546"/>
      <c r="C3077" s="1975"/>
      <c r="D3077" s="2073" t="s">
        <v>17</v>
      </c>
      <c r="E3077" s="1480" t="s">
        <v>1651</v>
      </c>
      <c r="F3077" s="1328"/>
      <c r="G3077" s="2011"/>
      <c r="H3077" s="1976"/>
      <c r="I3077" s="1036"/>
      <c r="J3077" s="1999"/>
      <c r="K3077" s="1547"/>
      <c r="L3077" s="866" t="n">
        <v>831</v>
      </c>
      <c r="M3077" s="866" t="n">
        <v>30</v>
      </c>
      <c r="N3077" s="866" t="n">
        <f aca="false">M3077/H3075</f>
        <v>2</v>
      </c>
      <c r="O3077" s="543" t="n">
        <v>86582</v>
      </c>
      <c r="P3077" s="1978"/>
      <c r="Q3077" s="1978"/>
      <c r="R3077" s="1979"/>
    </row>
    <row r="3078" customFormat="false" ht="14.25" hidden="false" customHeight="false" outlineLevel="0" collapsed="false">
      <c r="A3078" s="1465"/>
      <c r="B3078" s="1546"/>
      <c r="C3078" s="1975"/>
      <c r="D3078" s="2073" t="s">
        <v>17</v>
      </c>
      <c r="E3078" s="1480" t="s">
        <v>1651</v>
      </c>
      <c r="F3078" s="1328"/>
      <c r="G3078" s="2011"/>
      <c r="H3078" s="1976"/>
      <c r="I3078" s="1036"/>
      <c r="J3078" s="1999"/>
      <c r="K3078" s="1547"/>
      <c r="L3078" s="866" t="n">
        <v>2908.5</v>
      </c>
      <c r="M3078" s="866" t="n">
        <v>105</v>
      </c>
      <c r="N3078" s="866" t="n">
        <f aca="false">M3078/H3075</f>
        <v>7</v>
      </c>
      <c r="O3078" s="543" t="n">
        <v>86413</v>
      </c>
      <c r="P3078" s="1978"/>
      <c r="Q3078" s="1978"/>
      <c r="R3078" s="1979"/>
    </row>
    <row r="3079" customFormat="false" ht="14.25" hidden="false" customHeight="false" outlineLevel="0" collapsed="false">
      <c r="A3079" s="1465"/>
      <c r="B3079" s="1546"/>
      <c r="C3079" s="1975"/>
      <c r="D3079" s="2073" t="s">
        <v>17</v>
      </c>
      <c r="E3079" s="1480" t="s">
        <v>1651</v>
      </c>
      <c r="F3079" s="1328"/>
      <c r="G3079" s="2011"/>
      <c r="H3079" s="1976"/>
      <c r="I3079" s="1036"/>
      <c r="J3079" s="1999"/>
      <c r="K3079" s="1547"/>
      <c r="L3079" s="866" t="n">
        <v>415.5</v>
      </c>
      <c r="M3079" s="866" t="n">
        <v>15</v>
      </c>
      <c r="N3079" s="866" t="n">
        <f aca="false">M3079/H3075</f>
        <v>1</v>
      </c>
      <c r="O3079" s="543" t="n">
        <v>86605</v>
      </c>
      <c r="P3079" s="1978"/>
      <c r="Q3079" s="1978"/>
      <c r="R3079" s="1979"/>
    </row>
    <row r="3080" customFormat="false" ht="14.25" hidden="false" customHeight="false" outlineLevel="0" collapsed="false">
      <c r="A3080" s="1465"/>
      <c r="B3080" s="1546"/>
      <c r="C3080" s="1975"/>
      <c r="D3080" s="2073" t="s">
        <v>17</v>
      </c>
      <c r="E3080" s="1480" t="s">
        <v>1651</v>
      </c>
      <c r="F3080" s="1328"/>
      <c r="G3080" s="2011"/>
      <c r="H3080" s="1976"/>
      <c r="I3080" s="1036"/>
      <c r="J3080" s="1999"/>
      <c r="K3080" s="1547"/>
      <c r="L3080" s="866" t="n">
        <v>8310</v>
      </c>
      <c r="M3080" s="866" t="n">
        <v>300</v>
      </c>
      <c r="N3080" s="866" t="n">
        <f aca="false">M3080/H3075</f>
        <v>20</v>
      </c>
      <c r="O3080" s="543" t="n">
        <v>86653</v>
      </c>
      <c r="P3080" s="1978"/>
      <c r="Q3080" s="1978"/>
      <c r="R3080" s="1979"/>
    </row>
    <row r="3081" customFormat="false" ht="14.25" hidden="false" customHeight="false" outlineLevel="0" collapsed="false">
      <c r="A3081" s="1465"/>
      <c r="B3081" s="1546"/>
      <c r="C3081" s="1975"/>
      <c r="D3081" s="2073" t="s">
        <v>17</v>
      </c>
      <c r="E3081" s="1480" t="s">
        <v>1651</v>
      </c>
      <c r="F3081" s="1328"/>
      <c r="G3081" s="2011"/>
      <c r="H3081" s="1976"/>
      <c r="I3081" s="1036"/>
      <c r="J3081" s="1999"/>
      <c r="K3081" s="1547"/>
      <c r="L3081" s="866" t="n">
        <v>831</v>
      </c>
      <c r="M3081" s="866" t="n">
        <v>30</v>
      </c>
      <c r="N3081" s="866" t="n">
        <f aca="false">M3081/H3075</f>
        <v>2</v>
      </c>
      <c r="O3081" s="543" t="n">
        <v>86747</v>
      </c>
      <c r="P3081" s="1978"/>
      <c r="Q3081" s="1978"/>
      <c r="R3081" s="1979"/>
    </row>
    <row r="3082" customFormat="false" ht="14.25" hidden="false" customHeight="false" outlineLevel="0" collapsed="false">
      <c r="A3082" s="1465"/>
      <c r="B3082" s="1546"/>
      <c r="C3082" s="1975"/>
      <c r="D3082" s="2073" t="s">
        <v>17</v>
      </c>
      <c r="E3082" s="1480" t="s">
        <v>1651</v>
      </c>
      <c r="F3082" s="1328"/>
      <c r="G3082" s="2011"/>
      <c r="H3082" s="1976"/>
      <c r="I3082" s="1036"/>
      <c r="J3082" s="1999"/>
      <c r="K3082" s="1547"/>
      <c r="L3082" s="866" t="n">
        <v>14127</v>
      </c>
      <c r="M3082" s="866" t="n">
        <v>510</v>
      </c>
      <c r="N3082" s="866" t="n">
        <f aca="false">M3082/H3075</f>
        <v>34</v>
      </c>
      <c r="O3082" s="543" t="n">
        <v>86638</v>
      </c>
      <c r="P3082" s="1978"/>
      <c r="Q3082" s="1978"/>
      <c r="R3082" s="1979"/>
    </row>
    <row r="3083" customFormat="false" ht="14.25" hidden="false" customHeight="false" outlineLevel="0" collapsed="false">
      <c r="A3083" s="1465"/>
      <c r="B3083" s="1546"/>
      <c r="C3083" s="1975"/>
      <c r="D3083" s="2073" t="s">
        <v>17</v>
      </c>
      <c r="E3083" s="1480" t="s">
        <v>1651</v>
      </c>
      <c r="F3083" s="1328"/>
      <c r="G3083" s="2011"/>
      <c r="H3083" s="1976"/>
      <c r="I3083" s="1036"/>
      <c r="J3083" s="1999"/>
      <c r="K3083" s="1547"/>
      <c r="L3083" s="866" t="n">
        <v>1246.5</v>
      </c>
      <c r="M3083" s="866" t="n">
        <v>45</v>
      </c>
      <c r="N3083" s="866" t="n">
        <f aca="false">M3083/H3075</f>
        <v>3</v>
      </c>
      <c r="O3083" s="543" t="n">
        <v>86796</v>
      </c>
      <c r="P3083" s="1978"/>
      <c r="Q3083" s="1978"/>
      <c r="R3083" s="1979"/>
    </row>
    <row r="3084" customFormat="false" ht="14.25" hidden="false" customHeight="false" outlineLevel="0" collapsed="false">
      <c r="A3084" s="1465"/>
      <c r="B3084" s="1546"/>
      <c r="C3084" s="1975"/>
      <c r="D3084" s="2073" t="s">
        <v>17</v>
      </c>
      <c r="E3084" s="1480" t="s">
        <v>1651</v>
      </c>
      <c r="F3084" s="1328"/>
      <c r="G3084" s="2011"/>
      <c r="H3084" s="1976"/>
      <c r="I3084" s="1036"/>
      <c r="J3084" s="1999"/>
      <c r="K3084" s="1547"/>
      <c r="L3084" s="866" t="n">
        <v>831</v>
      </c>
      <c r="M3084" s="866" t="n">
        <v>30</v>
      </c>
      <c r="N3084" s="866" t="n">
        <f aca="false">M3084/H3075</f>
        <v>2</v>
      </c>
      <c r="O3084" s="543" t="n">
        <v>86829</v>
      </c>
      <c r="P3084" s="1978"/>
      <c r="Q3084" s="1978"/>
      <c r="R3084" s="1979"/>
    </row>
    <row r="3085" customFormat="false" ht="14.25" hidden="false" customHeight="false" outlineLevel="0" collapsed="false">
      <c r="A3085" s="1465"/>
      <c r="B3085" s="1546"/>
      <c r="C3085" s="1975"/>
      <c r="D3085" s="2073" t="s">
        <v>17</v>
      </c>
      <c r="E3085" s="1480" t="s">
        <v>1651</v>
      </c>
      <c r="F3085" s="1328"/>
      <c r="G3085" s="2011"/>
      <c r="H3085" s="1976"/>
      <c r="I3085" s="1036"/>
      <c r="J3085" s="1999"/>
      <c r="K3085" s="1547"/>
      <c r="L3085" s="866" t="n">
        <v>2493</v>
      </c>
      <c r="M3085" s="866" t="n">
        <v>90</v>
      </c>
      <c r="N3085" s="866" t="n">
        <f aca="false">M3085/H3075</f>
        <v>6</v>
      </c>
      <c r="O3085" s="543" t="n">
        <v>86769</v>
      </c>
      <c r="P3085" s="1978"/>
      <c r="Q3085" s="1978"/>
      <c r="R3085" s="1979"/>
    </row>
    <row r="3086" customFormat="false" ht="14.25" hidden="false" customHeight="false" outlineLevel="0" collapsed="false">
      <c r="A3086" s="1465"/>
      <c r="B3086" s="1546"/>
      <c r="C3086" s="1975"/>
      <c r="D3086" s="2073" t="s">
        <v>17</v>
      </c>
      <c r="E3086" s="1480" t="s">
        <v>1651</v>
      </c>
      <c r="F3086" s="1328"/>
      <c r="G3086" s="2011"/>
      <c r="H3086" s="1976"/>
      <c r="I3086" s="1036"/>
      <c r="J3086" s="1999"/>
      <c r="K3086" s="1547"/>
      <c r="L3086" s="866" t="n">
        <v>2077.5</v>
      </c>
      <c r="M3086" s="866" t="n">
        <v>75</v>
      </c>
      <c r="N3086" s="866" t="n">
        <f aca="false">M3086/H3075</f>
        <v>5</v>
      </c>
      <c r="O3086" s="543" t="s">
        <v>381</v>
      </c>
      <c r="P3086" s="1978"/>
      <c r="Q3086" s="1978"/>
      <c r="R3086" s="1979"/>
    </row>
    <row r="3087" customFormat="false" ht="14.25" hidden="false" customHeight="false" outlineLevel="0" collapsed="false">
      <c r="A3087" s="1465"/>
      <c r="B3087" s="1546"/>
      <c r="C3087" s="1975"/>
      <c r="D3087" s="2073" t="s">
        <v>17</v>
      </c>
      <c r="E3087" s="1480" t="s">
        <v>1651</v>
      </c>
      <c r="F3087" s="1328"/>
      <c r="G3087" s="2011"/>
      <c r="H3087" s="1976"/>
      <c r="I3087" s="1036"/>
      <c r="J3087" s="1999"/>
      <c r="K3087" s="1547"/>
      <c r="L3087" s="866" t="n">
        <v>415.5</v>
      </c>
      <c r="M3087" s="866" t="n">
        <v>15</v>
      </c>
      <c r="N3087" s="866" t="n">
        <f aca="false">M3087/H3075</f>
        <v>1</v>
      </c>
      <c r="O3087" s="543" t="n">
        <v>86933</v>
      </c>
      <c r="P3087" s="1978"/>
      <c r="Q3087" s="1978"/>
      <c r="R3087" s="1979"/>
    </row>
    <row r="3088" customFormat="false" ht="14.25" hidden="false" customHeight="false" outlineLevel="0" collapsed="false">
      <c r="A3088" s="1465"/>
      <c r="B3088" s="1546"/>
      <c r="C3088" s="1975"/>
      <c r="D3088" s="2073" t="s">
        <v>17</v>
      </c>
      <c r="E3088" s="1480" t="s">
        <v>1651</v>
      </c>
      <c r="F3088" s="1328"/>
      <c r="G3088" s="2011"/>
      <c r="H3088" s="1976"/>
      <c r="I3088" s="1036"/>
      <c r="J3088" s="1999"/>
      <c r="K3088" s="1547"/>
      <c r="L3088" s="866" t="n">
        <v>831</v>
      </c>
      <c r="M3088" s="866" t="n">
        <v>30</v>
      </c>
      <c r="N3088" s="866" t="n">
        <f aca="false">M3088/H3075</f>
        <v>2</v>
      </c>
      <c r="O3088" s="543" t="n">
        <v>86888</v>
      </c>
      <c r="P3088" s="1978"/>
      <c r="Q3088" s="1978"/>
      <c r="R3088" s="1979"/>
    </row>
    <row r="3089" customFormat="false" ht="14.25" hidden="false" customHeight="false" outlineLevel="0" collapsed="false">
      <c r="A3089" s="1465"/>
      <c r="B3089" s="1546"/>
      <c r="C3089" s="1975"/>
      <c r="D3089" s="2073" t="s">
        <v>17</v>
      </c>
      <c r="E3089" s="1480" t="s">
        <v>1651</v>
      </c>
      <c r="F3089" s="1328"/>
      <c r="G3089" s="2011"/>
      <c r="H3089" s="1976"/>
      <c r="I3089" s="1036"/>
      <c r="J3089" s="1999"/>
      <c r="K3089" s="1547"/>
      <c r="L3089" s="866" t="n">
        <v>8310</v>
      </c>
      <c r="M3089" s="866" t="n">
        <v>300</v>
      </c>
      <c r="N3089" s="866" t="n">
        <f aca="false">M3089/H3075</f>
        <v>20</v>
      </c>
      <c r="O3089" s="543" t="n">
        <v>13481</v>
      </c>
      <c r="P3089" s="1978"/>
      <c r="Q3089" s="1978"/>
      <c r="R3089" s="1979"/>
    </row>
    <row r="3090" customFormat="false" ht="14.25" hidden="false" customHeight="false" outlineLevel="0" collapsed="false">
      <c r="A3090" s="1465"/>
      <c r="B3090" s="1546"/>
      <c r="C3090" s="1975"/>
      <c r="D3090" s="2073" t="s">
        <v>17</v>
      </c>
      <c r="E3090" s="1480" t="s">
        <v>1651</v>
      </c>
      <c r="F3090" s="1328"/>
      <c r="G3090" s="2011"/>
      <c r="H3090" s="1976"/>
      <c r="I3090" s="1036"/>
      <c r="J3090" s="1999"/>
      <c r="K3090" s="1547"/>
      <c r="L3090" s="866" t="n">
        <v>24930</v>
      </c>
      <c r="M3090" s="866" t="n">
        <v>900</v>
      </c>
      <c r="N3090" s="866" t="n">
        <f aca="false">M3090/H3075</f>
        <v>60</v>
      </c>
      <c r="O3090" s="543" t="s">
        <v>2240</v>
      </c>
      <c r="P3090" s="1978"/>
      <c r="Q3090" s="1978"/>
      <c r="R3090" s="1979"/>
    </row>
    <row r="3091" customFormat="false" ht="14.25" hidden="false" customHeight="false" outlineLevel="0" collapsed="false">
      <c r="A3091" s="1465"/>
      <c r="B3091" s="1546"/>
      <c r="C3091" s="1975"/>
      <c r="D3091" s="2073" t="s">
        <v>17</v>
      </c>
      <c r="E3091" s="1480" t="s">
        <v>1651</v>
      </c>
      <c r="F3091" s="1328"/>
      <c r="G3091" s="2011"/>
      <c r="H3091" s="1976"/>
      <c r="I3091" s="1036"/>
      <c r="J3091" s="1999"/>
      <c r="K3091" s="1547"/>
      <c r="L3091" s="866" t="n">
        <v>5817</v>
      </c>
      <c r="M3091" s="866" t="n">
        <v>210</v>
      </c>
      <c r="N3091" s="866" t="n">
        <f aca="false">M3091/H3075</f>
        <v>14</v>
      </c>
      <c r="O3091" s="543" t="n">
        <v>86948</v>
      </c>
      <c r="P3091" s="1978"/>
      <c r="Q3091" s="1978"/>
      <c r="R3091" s="1979"/>
    </row>
    <row r="3092" customFormat="false" ht="14.25" hidden="false" customHeight="false" outlineLevel="0" collapsed="false">
      <c r="A3092" s="1465"/>
      <c r="B3092" s="1546"/>
      <c r="C3092" s="1975"/>
      <c r="D3092" s="2073" t="s">
        <v>17</v>
      </c>
      <c r="E3092" s="1480" t="s">
        <v>1651</v>
      </c>
      <c r="F3092" s="1328"/>
      <c r="G3092" s="2011"/>
      <c r="H3092" s="1976"/>
      <c r="I3092" s="1036"/>
      <c r="J3092" s="1999"/>
      <c r="K3092" s="1547"/>
      <c r="L3092" s="866" t="n">
        <v>415.5</v>
      </c>
      <c r="M3092" s="866" t="n">
        <v>15</v>
      </c>
      <c r="N3092" s="866" t="n">
        <f aca="false">M3092/H3075</f>
        <v>1</v>
      </c>
      <c r="O3092" s="543" t="s">
        <v>3365</v>
      </c>
      <c r="P3092" s="1978"/>
      <c r="Q3092" s="1978"/>
      <c r="R3092" s="1979"/>
    </row>
    <row r="3093" customFormat="false" ht="14.25" hidden="false" customHeight="false" outlineLevel="0" collapsed="false">
      <c r="A3093" s="1465"/>
      <c r="B3093" s="1546"/>
      <c r="C3093" s="1975"/>
      <c r="D3093" s="2073" t="s">
        <v>17</v>
      </c>
      <c r="E3093" s="1480" t="s">
        <v>1651</v>
      </c>
      <c r="F3093" s="1328"/>
      <c r="G3093" s="2011"/>
      <c r="H3093" s="1976"/>
      <c r="I3093" s="1036"/>
      <c r="J3093" s="1999"/>
      <c r="K3093" s="1547"/>
      <c r="L3093" s="866" t="n">
        <v>8310</v>
      </c>
      <c r="M3093" s="866" t="n">
        <v>300</v>
      </c>
      <c r="N3093" s="866" t="n">
        <f aca="false">M3093/H3075</f>
        <v>20</v>
      </c>
      <c r="O3093" s="543" t="s">
        <v>1634</v>
      </c>
      <c r="P3093" s="1978"/>
      <c r="Q3093" s="1978"/>
      <c r="R3093" s="1979"/>
    </row>
    <row r="3094" customFormat="false" ht="14.25" hidden="false" customHeight="false" outlineLevel="0" collapsed="false">
      <c r="A3094" s="1465"/>
      <c r="B3094" s="1546"/>
      <c r="C3094" s="1975"/>
      <c r="D3094" s="2073" t="s">
        <v>17</v>
      </c>
      <c r="E3094" s="1480" t="s">
        <v>1651</v>
      </c>
      <c r="F3094" s="1328"/>
      <c r="G3094" s="2011"/>
      <c r="H3094" s="1976"/>
      <c r="I3094" s="1036"/>
      <c r="J3094" s="1999"/>
      <c r="K3094" s="1547"/>
      <c r="L3094" s="866" t="n">
        <v>5817</v>
      </c>
      <c r="M3094" s="866" t="n">
        <v>210</v>
      </c>
      <c r="N3094" s="866" t="n">
        <f aca="false">M3094/H3075</f>
        <v>14</v>
      </c>
      <c r="O3094" s="543" t="n">
        <v>86843</v>
      </c>
      <c r="P3094" s="1978"/>
      <c r="Q3094" s="1978"/>
      <c r="R3094" s="1979"/>
    </row>
    <row r="3095" customFormat="false" ht="14.25" hidden="false" customHeight="false" outlineLevel="0" collapsed="false">
      <c r="A3095" s="1465"/>
      <c r="B3095" s="1546"/>
      <c r="C3095" s="1975"/>
      <c r="D3095" s="2073" t="s">
        <v>17</v>
      </c>
      <c r="E3095" s="1480" t="s">
        <v>1651</v>
      </c>
      <c r="F3095" s="1328"/>
      <c r="G3095" s="2011"/>
      <c r="H3095" s="1976"/>
      <c r="I3095" s="1036"/>
      <c r="J3095" s="1999"/>
      <c r="K3095" s="1547"/>
      <c r="L3095" s="866" t="n">
        <v>831</v>
      </c>
      <c r="M3095" s="866" t="n">
        <v>30</v>
      </c>
      <c r="N3095" s="866" t="n">
        <f aca="false">M3095/H3075</f>
        <v>2</v>
      </c>
      <c r="O3095" s="543" t="n">
        <v>86899</v>
      </c>
      <c r="P3095" s="1978"/>
      <c r="Q3095" s="1978"/>
      <c r="R3095" s="1979"/>
    </row>
    <row r="3096" customFormat="false" ht="14.25" hidden="false" customHeight="false" outlineLevel="0" collapsed="false">
      <c r="A3096" s="1465"/>
      <c r="B3096" s="1546"/>
      <c r="C3096" s="1975"/>
      <c r="D3096" s="2073" t="s">
        <v>17</v>
      </c>
      <c r="E3096" s="1480" t="s">
        <v>1651</v>
      </c>
      <c r="F3096" s="1328"/>
      <c r="G3096" s="2011"/>
      <c r="H3096" s="1976"/>
      <c r="I3096" s="1036"/>
      <c r="J3096" s="1999"/>
      <c r="K3096" s="1547"/>
      <c r="L3096" s="866" t="n">
        <v>4155</v>
      </c>
      <c r="M3096" s="866" t="n">
        <v>150</v>
      </c>
      <c r="N3096" s="866" t="n">
        <f aca="false">M3096/H3075</f>
        <v>10</v>
      </c>
      <c r="O3096" s="543" t="n">
        <v>86642</v>
      </c>
      <c r="P3096" s="1978"/>
      <c r="Q3096" s="1978"/>
      <c r="R3096" s="1979"/>
    </row>
    <row r="3097" customFormat="false" ht="14.25" hidden="false" customHeight="false" outlineLevel="0" collapsed="false">
      <c r="A3097" s="1465"/>
      <c r="B3097" s="1546"/>
      <c r="C3097" s="1975"/>
      <c r="D3097" s="2073" t="s">
        <v>17</v>
      </c>
      <c r="E3097" s="1480" t="s">
        <v>1651</v>
      </c>
      <c r="F3097" s="1328"/>
      <c r="G3097" s="2011"/>
      <c r="H3097" s="1976"/>
      <c r="I3097" s="1036"/>
      <c r="J3097" s="1999"/>
      <c r="K3097" s="1547"/>
      <c r="L3097" s="866" t="n">
        <v>831</v>
      </c>
      <c r="M3097" s="866" t="n">
        <v>30</v>
      </c>
      <c r="N3097" s="866" t="n">
        <f aca="false">M3097/H3075</f>
        <v>2</v>
      </c>
      <c r="O3097" s="543" t="n">
        <v>86789</v>
      </c>
      <c r="P3097" s="1978"/>
      <c r="Q3097" s="1978"/>
      <c r="R3097" s="1979"/>
    </row>
    <row r="3098" customFormat="false" ht="14.25" hidden="false" customHeight="false" outlineLevel="0" collapsed="false">
      <c r="A3098" s="1465"/>
      <c r="B3098" s="1546"/>
      <c r="C3098" s="1975"/>
      <c r="D3098" s="2073" t="s">
        <v>17</v>
      </c>
      <c r="E3098" s="1480" t="s">
        <v>1651</v>
      </c>
      <c r="F3098" s="1328"/>
      <c r="G3098" s="2011"/>
      <c r="H3098" s="1976"/>
      <c r="I3098" s="1036"/>
      <c r="J3098" s="1999"/>
      <c r="K3098" s="1547"/>
      <c r="L3098" s="866" t="n">
        <v>2908.5</v>
      </c>
      <c r="M3098" s="866" t="n">
        <v>105</v>
      </c>
      <c r="N3098" s="866" t="n">
        <f aca="false">M3098/H3075</f>
        <v>7</v>
      </c>
      <c r="O3098" s="543" t="n">
        <v>86779</v>
      </c>
      <c r="P3098" s="1978"/>
      <c r="Q3098" s="1978"/>
      <c r="R3098" s="1979"/>
    </row>
    <row r="3099" customFormat="false" ht="14.25" hidden="false" customHeight="false" outlineLevel="0" collapsed="false">
      <c r="A3099" s="1465"/>
      <c r="B3099" s="1546"/>
      <c r="C3099" s="1975"/>
      <c r="D3099" s="2073" t="s">
        <v>17</v>
      </c>
      <c r="E3099" s="1480" t="s">
        <v>1651</v>
      </c>
      <c r="F3099" s="1328"/>
      <c r="G3099" s="2011"/>
      <c r="H3099" s="1976"/>
      <c r="I3099" s="1036"/>
      <c r="J3099" s="1999"/>
      <c r="K3099" s="1547"/>
      <c r="L3099" s="866" t="n">
        <v>12880.5</v>
      </c>
      <c r="M3099" s="866" t="n">
        <v>465</v>
      </c>
      <c r="N3099" s="866" t="n">
        <f aca="false">M3099/H3075</f>
        <v>31</v>
      </c>
      <c r="O3099" s="543" t="n">
        <v>86672</v>
      </c>
      <c r="P3099" s="1978"/>
      <c r="Q3099" s="1978"/>
      <c r="R3099" s="1979"/>
    </row>
    <row r="3100" customFormat="false" ht="14.25" hidden="false" customHeight="false" outlineLevel="0" collapsed="false">
      <c r="A3100" s="1465"/>
      <c r="B3100" s="1546"/>
      <c r="C3100" s="1975"/>
      <c r="D3100" s="2073" t="s">
        <v>17</v>
      </c>
      <c r="E3100" s="1480" t="s">
        <v>1651</v>
      </c>
      <c r="F3100" s="1328"/>
      <c r="G3100" s="2011"/>
      <c r="H3100" s="1976"/>
      <c r="I3100" s="1036"/>
      <c r="J3100" s="1999"/>
      <c r="K3100" s="1547"/>
      <c r="L3100" s="866" t="n">
        <v>4155</v>
      </c>
      <c r="M3100" s="866" t="n">
        <v>150</v>
      </c>
      <c r="N3100" s="866" t="n">
        <f aca="false">M3100/H3075</f>
        <v>10</v>
      </c>
      <c r="O3100" s="543" t="n">
        <v>86628</v>
      </c>
      <c r="P3100" s="1978"/>
      <c r="Q3100" s="1978"/>
      <c r="R3100" s="1979"/>
    </row>
    <row r="3101" customFormat="false" ht="14.25" hidden="false" customHeight="false" outlineLevel="0" collapsed="false">
      <c r="A3101" s="1465"/>
      <c r="B3101" s="1546"/>
      <c r="C3101" s="1975"/>
      <c r="D3101" s="2073" t="s">
        <v>17</v>
      </c>
      <c r="E3101" s="1480" t="s">
        <v>1651</v>
      </c>
      <c r="F3101" s="1328"/>
      <c r="G3101" s="2011"/>
      <c r="H3101" s="1976"/>
      <c r="I3101" s="1036"/>
      <c r="J3101" s="1999"/>
      <c r="K3101" s="1547"/>
      <c r="L3101" s="866" t="n">
        <v>2493</v>
      </c>
      <c r="M3101" s="866" t="n">
        <v>90</v>
      </c>
      <c r="N3101" s="866" t="n">
        <f aca="false">M3101/H3075</f>
        <v>6</v>
      </c>
      <c r="O3101" s="543" t="n">
        <v>86594</v>
      </c>
      <c r="P3101" s="1978"/>
      <c r="Q3101" s="1978"/>
      <c r="R3101" s="1979"/>
    </row>
    <row r="3102" customFormat="false" ht="14.25" hidden="false" customHeight="false" outlineLevel="0" collapsed="false">
      <c r="A3102" s="1465"/>
      <c r="B3102" s="1546"/>
      <c r="C3102" s="1975"/>
      <c r="D3102" s="2073" t="s">
        <v>17</v>
      </c>
      <c r="E3102" s="1480" t="s">
        <v>1651</v>
      </c>
      <c r="F3102" s="1328"/>
      <c r="G3102" s="2011"/>
      <c r="H3102" s="1976"/>
      <c r="I3102" s="1036"/>
      <c r="J3102" s="1999"/>
      <c r="K3102" s="1547"/>
      <c r="L3102" s="866" t="n">
        <v>12465</v>
      </c>
      <c r="M3102" s="866" t="n">
        <v>450</v>
      </c>
      <c r="N3102" s="866" t="n">
        <f aca="false">M3102/H3075</f>
        <v>30</v>
      </c>
      <c r="O3102" s="543" t="n">
        <v>86560</v>
      </c>
      <c r="P3102" s="1978"/>
      <c r="Q3102" s="1978"/>
      <c r="R3102" s="1979"/>
    </row>
    <row r="3103" customFormat="false" ht="14.25" hidden="false" customHeight="false" outlineLevel="0" collapsed="false">
      <c r="A3103" s="1465"/>
      <c r="B3103" s="1546"/>
      <c r="C3103" s="1975"/>
      <c r="D3103" s="2073" t="s">
        <v>17</v>
      </c>
      <c r="E3103" s="1480" t="s">
        <v>1651</v>
      </c>
      <c r="F3103" s="1328"/>
      <c r="G3103" s="2011"/>
      <c r="H3103" s="1976"/>
      <c r="I3103" s="1036"/>
      <c r="J3103" s="1999"/>
      <c r="K3103" s="1547"/>
      <c r="L3103" s="866" t="n">
        <v>5401.5</v>
      </c>
      <c r="M3103" s="866" t="n">
        <v>195</v>
      </c>
      <c r="N3103" s="866" t="n">
        <f aca="false">M3103/H3075</f>
        <v>13</v>
      </c>
      <c r="O3103" s="543" t="n">
        <v>86214</v>
      </c>
      <c r="P3103" s="1978"/>
      <c r="Q3103" s="1978"/>
      <c r="R3103" s="1979"/>
    </row>
    <row r="3104" customFormat="false" ht="14.25" hidden="false" customHeight="false" outlineLevel="0" collapsed="false">
      <c r="A3104" s="1465"/>
      <c r="B3104" s="1546"/>
      <c r="C3104" s="1975"/>
      <c r="D3104" s="2074" t="s">
        <v>17</v>
      </c>
      <c r="E3104" s="1478" t="s">
        <v>1651</v>
      </c>
      <c r="F3104" s="1328"/>
      <c r="G3104" s="2011"/>
      <c r="H3104" s="1976"/>
      <c r="I3104" s="1036"/>
      <c r="J3104" s="1999"/>
      <c r="K3104" s="1547"/>
      <c r="L3104" s="877" t="n">
        <v>20775</v>
      </c>
      <c r="M3104" s="877" t="n">
        <v>750</v>
      </c>
      <c r="N3104" s="877" t="n">
        <f aca="false">M3104/H3075</f>
        <v>50</v>
      </c>
      <c r="O3104" s="553" t="n">
        <v>86203</v>
      </c>
      <c r="P3104" s="1978"/>
      <c r="Q3104" s="1978"/>
      <c r="R3104" s="1979"/>
    </row>
    <row r="3105" customFormat="false" ht="14.25" hidden="false" customHeight="false" outlineLevel="0" collapsed="false">
      <c r="A3105" s="882" t="n">
        <v>631</v>
      </c>
      <c r="B3105" s="830" t="n">
        <v>2023</v>
      </c>
      <c r="C3105" s="1965" t="n">
        <v>45627</v>
      </c>
      <c r="D3105" s="2075" t="s">
        <v>17</v>
      </c>
      <c r="E3105" s="1365" t="s">
        <v>2130</v>
      </c>
      <c r="F3105" s="832" t="s">
        <v>3364</v>
      </c>
      <c r="G3105" s="2076" t="n">
        <v>141</v>
      </c>
      <c r="H3105" s="1931" t="n">
        <v>30</v>
      </c>
      <c r="I3105" s="837" t="n">
        <f aca="false">G3105*H3105</f>
        <v>4230</v>
      </c>
      <c r="J3105" s="1932" t="n">
        <v>63.8073</v>
      </c>
      <c r="K3105" s="943" t="n">
        <f aca="false">I3105*J3105</f>
        <v>269904.879</v>
      </c>
      <c r="L3105" s="886" t="n">
        <v>63807.3</v>
      </c>
      <c r="M3105" s="886" t="n">
        <v>1000</v>
      </c>
      <c r="N3105" s="1545" t="n">
        <f aca="false">M3105/H3105</f>
        <v>33.3333333333333</v>
      </c>
      <c r="O3105" s="1036" t="n">
        <v>86240</v>
      </c>
      <c r="P3105" s="1934" t="n">
        <f aca="false">K3105-L3105-L3110-L3109-L3106-L3107-L3108</f>
        <v>0.0638000000326429</v>
      </c>
      <c r="Q3105" s="1934" t="n">
        <f aca="false">I3105-M3105-M3110-M3109-M3106-M3107-M3108</f>
        <v>0</v>
      </c>
      <c r="R3105" s="2053" t="n">
        <f aca="false">G3105-N3105-N3110-N3109-N3106-N3107-N3108</f>
        <v>0</v>
      </c>
    </row>
    <row r="3106" customFormat="false" ht="14.25" hidden="false" customHeight="false" outlineLevel="0" collapsed="false">
      <c r="A3106" s="882"/>
      <c r="B3106" s="830"/>
      <c r="C3106" s="1965"/>
      <c r="D3106" s="2073" t="s">
        <v>17</v>
      </c>
      <c r="E3106" s="1480" t="s">
        <v>2130</v>
      </c>
      <c r="F3106" s="832"/>
      <c r="G3106" s="2076"/>
      <c r="H3106" s="1931"/>
      <c r="I3106" s="837"/>
      <c r="J3106" s="1932"/>
      <c r="K3106" s="943"/>
      <c r="L3106" s="866" t="n">
        <v>1595.1825</v>
      </c>
      <c r="M3106" s="866" t="n">
        <v>25</v>
      </c>
      <c r="N3106" s="1147" t="n">
        <f aca="false">M3106/H3105</f>
        <v>0.833333333333333</v>
      </c>
      <c r="O3106" s="543" t="s">
        <v>789</v>
      </c>
      <c r="P3106" s="1934"/>
      <c r="Q3106" s="1934"/>
      <c r="R3106" s="2053"/>
    </row>
    <row r="3107" customFormat="false" ht="14.25" hidden="false" customHeight="false" outlineLevel="0" collapsed="false">
      <c r="A3107" s="882"/>
      <c r="B3107" s="830"/>
      <c r="C3107" s="1965"/>
      <c r="D3107" s="2073" t="s">
        <v>17</v>
      </c>
      <c r="E3107" s="1480" t="s">
        <v>2130</v>
      </c>
      <c r="F3107" s="832"/>
      <c r="G3107" s="2076"/>
      <c r="H3107" s="1931"/>
      <c r="I3107" s="837"/>
      <c r="J3107" s="1932"/>
      <c r="K3107" s="943"/>
      <c r="L3107" s="866" t="n">
        <v>41474.745</v>
      </c>
      <c r="M3107" s="866" t="n">
        <v>650</v>
      </c>
      <c r="N3107" s="1147" t="n">
        <f aca="false">M3107/H3105</f>
        <v>21.6666666666667</v>
      </c>
      <c r="O3107" s="543" t="s">
        <v>799</v>
      </c>
      <c r="P3107" s="1934"/>
      <c r="Q3107" s="1934"/>
      <c r="R3107" s="2053"/>
    </row>
    <row r="3108" customFormat="false" ht="14.25" hidden="false" customHeight="false" outlineLevel="0" collapsed="false">
      <c r="A3108" s="882"/>
      <c r="B3108" s="830"/>
      <c r="C3108" s="1965"/>
      <c r="D3108" s="2073" t="s">
        <v>17</v>
      </c>
      <c r="E3108" s="1480" t="s">
        <v>2130</v>
      </c>
      <c r="F3108" s="832"/>
      <c r="G3108" s="2076"/>
      <c r="H3108" s="1931"/>
      <c r="I3108" s="837"/>
      <c r="J3108" s="1932"/>
      <c r="K3108" s="943"/>
      <c r="L3108" s="866" t="n">
        <v>84863.6452</v>
      </c>
      <c r="M3108" s="866" t="n">
        <v>1330</v>
      </c>
      <c r="N3108" s="1147" t="n">
        <f aca="false">M3108/H3105</f>
        <v>44.3333333333333</v>
      </c>
      <c r="O3108" s="543" t="s">
        <v>1634</v>
      </c>
      <c r="P3108" s="1934"/>
      <c r="Q3108" s="1934"/>
      <c r="R3108" s="2053"/>
    </row>
    <row r="3109" customFormat="false" ht="14.25" hidden="false" customHeight="false" outlineLevel="0" collapsed="false">
      <c r="A3109" s="882"/>
      <c r="B3109" s="830"/>
      <c r="C3109" s="1965"/>
      <c r="D3109" s="2073" t="s">
        <v>17</v>
      </c>
      <c r="E3109" s="1480" t="s">
        <v>2130</v>
      </c>
      <c r="F3109" s="832"/>
      <c r="G3109" s="2076"/>
      <c r="H3109" s="1931"/>
      <c r="I3109" s="837"/>
      <c r="J3109" s="1932"/>
      <c r="K3109" s="943"/>
      <c r="L3109" s="866" t="n">
        <v>65402.4825</v>
      </c>
      <c r="M3109" s="866" t="n">
        <v>1025</v>
      </c>
      <c r="N3109" s="1147" t="n">
        <f aca="false">M3109/H3105</f>
        <v>34.1666666666667</v>
      </c>
      <c r="O3109" s="543" t="s">
        <v>3377</v>
      </c>
      <c r="P3109" s="1934"/>
      <c r="Q3109" s="1934"/>
      <c r="R3109" s="2053"/>
    </row>
    <row r="3110" customFormat="false" ht="14.25" hidden="false" customHeight="false" outlineLevel="0" collapsed="false">
      <c r="A3110" s="882"/>
      <c r="B3110" s="830"/>
      <c r="C3110" s="1965"/>
      <c r="D3110" s="2077" t="s">
        <v>17</v>
      </c>
      <c r="E3110" s="1357" t="s">
        <v>2130</v>
      </c>
      <c r="F3110" s="832"/>
      <c r="G3110" s="2076"/>
      <c r="H3110" s="1931"/>
      <c r="I3110" s="837"/>
      <c r="J3110" s="1932"/>
      <c r="K3110" s="943"/>
      <c r="L3110" s="846" t="n">
        <v>12761.46</v>
      </c>
      <c r="M3110" s="846" t="n">
        <v>200</v>
      </c>
      <c r="N3110" s="2078" t="n">
        <f aca="false">M3110/H3105</f>
        <v>6.66666666666667</v>
      </c>
      <c r="O3110" s="589" t="s">
        <v>2240</v>
      </c>
      <c r="P3110" s="1934"/>
      <c r="Q3110" s="1934"/>
      <c r="R3110" s="2053"/>
    </row>
    <row r="3111" customFormat="false" ht="14.25" hidden="false" customHeight="false" outlineLevel="0" collapsed="false">
      <c r="A3111" s="829" t="n">
        <v>191</v>
      </c>
      <c r="B3111" s="830" t="n">
        <v>2024</v>
      </c>
      <c r="C3111" s="1965" t="n">
        <v>45809</v>
      </c>
      <c r="D3111" s="2075" t="s">
        <v>17</v>
      </c>
      <c r="E3111" s="1365" t="s">
        <v>1651</v>
      </c>
      <c r="F3111" s="830" t="s">
        <v>3364</v>
      </c>
      <c r="G3111" s="2076" t="n">
        <v>304</v>
      </c>
      <c r="H3111" s="1931" t="n">
        <v>10</v>
      </c>
      <c r="I3111" s="837" t="n">
        <f aca="false">G3111*H3111</f>
        <v>3040</v>
      </c>
      <c r="J3111" s="1932" t="n">
        <v>27.7722</v>
      </c>
      <c r="K3111" s="943" t="n">
        <f aca="false">I3111*J3111</f>
        <v>84427.488</v>
      </c>
      <c r="L3111" s="840" t="n">
        <v>1110.888</v>
      </c>
      <c r="M3111" s="840" t="n">
        <v>40</v>
      </c>
      <c r="N3111" s="840" t="n">
        <f aca="false">M3111/H3111</f>
        <v>4</v>
      </c>
      <c r="O3111" s="1114" t="n">
        <v>86952</v>
      </c>
      <c r="P3111" s="1937" t="n">
        <f aca="false">K3111-L3111-L3112</f>
        <v>0</v>
      </c>
      <c r="Q3111" s="1934" t="n">
        <f aca="false">I3111-M3111-M3112</f>
        <v>0</v>
      </c>
      <c r="R3111" s="1935" t="n">
        <f aca="false">G3111-N3111-N3112</f>
        <v>0</v>
      </c>
    </row>
    <row r="3112" customFormat="false" ht="14.25" hidden="false" customHeight="false" outlineLevel="0" collapsed="false">
      <c r="A3112" s="829"/>
      <c r="B3112" s="830"/>
      <c r="C3112" s="1965"/>
      <c r="D3112" s="2079" t="s">
        <v>17</v>
      </c>
      <c r="E3112" s="1501" t="s">
        <v>1651</v>
      </c>
      <c r="F3112" s="830"/>
      <c r="G3112" s="2076"/>
      <c r="H3112" s="1931"/>
      <c r="I3112" s="837"/>
      <c r="J3112" s="1932"/>
      <c r="K3112" s="943"/>
      <c r="L3112" s="890" t="n">
        <v>83316.6</v>
      </c>
      <c r="M3112" s="890" t="n">
        <v>3000</v>
      </c>
      <c r="N3112" s="890" t="n">
        <f aca="false">M3112/H3111</f>
        <v>300</v>
      </c>
      <c r="O3112" s="1067" t="s">
        <v>364</v>
      </c>
      <c r="P3112" s="1937"/>
      <c r="Q3112" s="1934"/>
      <c r="R3112" s="1935"/>
    </row>
    <row r="3113" customFormat="false" ht="16.4" hidden="false" customHeight="false" outlineLevel="0" collapsed="false">
      <c r="A3113" s="847" t="n">
        <v>192</v>
      </c>
      <c r="B3113" s="1396" t="n">
        <v>2024</v>
      </c>
      <c r="C3113" s="1966" t="n">
        <v>45809</v>
      </c>
      <c r="D3113" s="2080" t="s">
        <v>17</v>
      </c>
      <c r="E3113" s="1479" t="s">
        <v>1651</v>
      </c>
      <c r="F3113" s="848" t="s">
        <v>3367</v>
      </c>
      <c r="G3113" s="2081" t="n">
        <v>35</v>
      </c>
      <c r="H3113" s="1967" t="n">
        <v>15</v>
      </c>
      <c r="I3113" s="1380" t="n">
        <f aca="false">G3113*H3113</f>
        <v>525</v>
      </c>
      <c r="J3113" s="1989" t="n">
        <v>29.6236</v>
      </c>
      <c r="K3113" s="1968" t="n">
        <f aca="false">I3113*J3113</f>
        <v>15552.39</v>
      </c>
      <c r="L3113" s="854" t="n">
        <v>15552.39</v>
      </c>
      <c r="M3113" s="854" t="n">
        <v>525</v>
      </c>
      <c r="N3113" s="854" t="n">
        <f aca="false">M3113/H3113</f>
        <v>35</v>
      </c>
      <c r="O3113" s="537" t="s">
        <v>367</v>
      </c>
      <c r="P3113" s="1969" t="n">
        <f aca="false">K3113-L3113</f>
        <v>0</v>
      </c>
      <c r="Q3113" s="1971" t="n">
        <f aca="false">I3113-M3113</f>
        <v>0</v>
      </c>
      <c r="R3113" s="1971" t="n">
        <f aca="false">G3113-N3113</f>
        <v>0</v>
      </c>
    </row>
    <row r="3114" customFormat="false" ht="16.4" hidden="false" customHeight="false" outlineLevel="0" collapsed="false">
      <c r="A3114" s="870" t="n">
        <v>225</v>
      </c>
      <c r="B3114" s="1495" t="n">
        <v>2024</v>
      </c>
      <c r="C3114" s="1972" t="n">
        <v>45839</v>
      </c>
      <c r="D3114" s="2074" t="s">
        <v>17</v>
      </c>
      <c r="E3114" s="1478" t="s">
        <v>1651</v>
      </c>
      <c r="F3114" s="871" t="s">
        <v>3364</v>
      </c>
      <c r="G3114" s="2082" t="n">
        <v>151</v>
      </c>
      <c r="H3114" s="1956" t="n">
        <v>15</v>
      </c>
      <c r="I3114" s="1587" t="n">
        <f aca="false">G3114*H3114</f>
        <v>2265</v>
      </c>
      <c r="J3114" s="1957" t="n">
        <v>25.8932</v>
      </c>
      <c r="K3114" s="1958" t="n">
        <f aca="false">I3114*J3114</f>
        <v>58648.098</v>
      </c>
      <c r="L3114" s="877" t="n">
        <v>58648.098</v>
      </c>
      <c r="M3114" s="877" t="n">
        <v>2265</v>
      </c>
      <c r="N3114" s="877" t="n">
        <f aca="false">M3114/H3114</f>
        <v>151</v>
      </c>
      <c r="O3114" s="553" t="s">
        <v>366</v>
      </c>
      <c r="P3114" s="2028" t="n">
        <f aca="false">K3114-L3114</f>
        <v>0</v>
      </c>
      <c r="Q3114" s="1961" t="n">
        <f aca="false">I3114-M3114</f>
        <v>0</v>
      </c>
      <c r="R3114" s="1961" t="n">
        <f aca="false">G3114-N3114</f>
        <v>0</v>
      </c>
    </row>
    <row r="3115" customFormat="false" ht="14.25" hidden="false" customHeight="false" outlineLevel="0" collapsed="false">
      <c r="A3115" s="882" t="n">
        <v>226</v>
      </c>
      <c r="B3115" s="830" t="n">
        <v>2024</v>
      </c>
      <c r="C3115" s="1965" t="n">
        <v>45839</v>
      </c>
      <c r="D3115" s="2075" t="s">
        <v>17</v>
      </c>
      <c r="E3115" s="1365" t="s">
        <v>1651</v>
      </c>
      <c r="F3115" s="832" t="s">
        <v>3367</v>
      </c>
      <c r="G3115" s="2076" t="n">
        <v>465</v>
      </c>
      <c r="H3115" s="1931" t="n">
        <v>15</v>
      </c>
      <c r="I3115" s="837" t="n">
        <f aca="false">G3115*H3115</f>
        <v>6975</v>
      </c>
      <c r="J3115" s="1932" t="n">
        <v>25.8932</v>
      </c>
      <c r="K3115" s="943" t="n">
        <f aca="false">I3115*J3115</f>
        <v>180605.07</v>
      </c>
      <c r="L3115" s="840" t="n">
        <v>38839.8</v>
      </c>
      <c r="M3115" s="840" t="n">
        <v>1500</v>
      </c>
      <c r="N3115" s="886" t="n">
        <f aca="false">M3115/H3115</f>
        <v>100</v>
      </c>
      <c r="O3115" s="1114" t="s">
        <v>393</v>
      </c>
      <c r="P3115" s="1934" t="n">
        <f aca="false">K3115-L3115-L3121-L3116-L3120-L3119-L3117-L3118</f>
        <v>2.22826201934367E-011</v>
      </c>
      <c r="Q3115" s="1934" t="n">
        <f aca="false">I3115-M3115-M3121-M3116-M3120-M3119-M3117-M3118</f>
        <v>0</v>
      </c>
      <c r="R3115" s="1935" t="n">
        <f aca="false">G3115-N3115-N3121-N3116-N3120-N3119-N3117-N3118</f>
        <v>0</v>
      </c>
    </row>
    <row r="3116" customFormat="false" ht="14.25" hidden="false" customHeight="false" outlineLevel="0" collapsed="false">
      <c r="A3116" s="882"/>
      <c r="B3116" s="830"/>
      <c r="C3116" s="1965"/>
      <c r="D3116" s="2073" t="s">
        <v>17</v>
      </c>
      <c r="E3116" s="1480" t="s">
        <v>1651</v>
      </c>
      <c r="F3116" s="832"/>
      <c r="G3116" s="2076"/>
      <c r="H3116" s="1931"/>
      <c r="I3116" s="837"/>
      <c r="J3116" s="1932"/>
      <c r="K3116" s="943"/>
      <c r="L3116" s="866" t="n">
        <v>116519.4</v>
      </c>
      <c r="M3116" s="866" t="n">
        <v>4500</v>
      </c>
      <c r="N3116" s="866" t="n">
        <f aca="false">M3116/H3115</f>
        <v>300</v>
      </c>
      <c r="O3116" s="543" t="s">
        <v>400</v>
      </c>
      <c r="P3116" s="1934"/>
      <c r="Q3116" s="1934"/>
      <c r="R3116" s="1935"/>
    </row>
    <row r="3117" customFormat="false" ht="14.25" hidden="false" customHeight="false" outlineLevel="0" collapsed="false">
      <c r="A3117" s="882"/>
      <c r="B3117" s="830"/>
      <c r="C3117" s="1965"/>
      <c r="D3117" s="2073" t="s">
        <v>17</v>
      </c>
      <c r="E3117" s="1480" t="s">
        <v>1651</v>
      </c>
      <c r="F3117" s="832"/>
      <c r="G3117" s="2076"/>
      <c r="H3117" s="1931"/>
      <c r="I3117" s="837"/>
      <c r="J3117" s="1932"/>
      <c r="K3117" s="943"/>
      <c r="L3117" s="866" t="n">
        <v>776.796</v>
      </c>
      <c r="M3117" s="866" t="n">
        <v>30</v>
      </c>
      <c r="N3117" s="866" t="n">
        <f aca="false">M3117/H3115</f>
        <v>2</v>
      </c>
      <c r="O3117" s="543" t="s">
        <v>3495</v>
      </c>
      <c r="P3117" s="1934"/>
      <c r="Q3117" s="1934"/>
      <c r="R3117" s="1935"/>
    </row>
    <row r="3118" customFormat="false" ht="14.25" hidden="false" customHeight="false" outlineLevel="0" collapsed="false">
      <c r="A3118" s="882"/>
      <c r="B3118" s="830"/>
      <c r="C3118" s="1965"/>
      <c r="D3118" s="2073" t="s">
        <v>17</v>
      </c>
      <c r="E3118" s="1480" t="s">
        <v>1651</v>
      </c>
      <c r="F3118" s="832"/>
      <c r="G3118" s="2076"/>
      <c r="H3118" s="1931"/>
      <c r="I3118" s="837"/>
      <c r="J3118" s="1932"/>
      <c r="K3118" s="943"/>
      <c r="L3118" s="866" t="n">
        <v>3495.582</v>
      </c>
      <c r="M3118" s="866" t="n">
        <v>135</v>
      </c>
      <c r="N3118" s="866" t="n">
        <f aca="false">M3118/H3115</f>
        <v>9</v>
      </c>
      <c r="O3118" s="543" t="s">
        <v>578</v>
      </c>
      <c r="P3118" s="1934"/>
      <c r="Q3118" s="1934"/>
      <c r="R3118" s="1935"/>
    </row>
    <row r="3119" customFormat="false" ht="14.25" hidden="false" customHeight="false" outlineLevel="0" collapsed="false">
      <c r="A3119" s="882"/>
      <c r="B3119" s="830"/>
      <c r="C3119" s="1965"/>
      <c r="D3119" s="2073" t="s">
        <v>17</v>
      </c>
      <c r="E3119" s="1480" t="s">
        <v>1651</v>
      </c>
      <c r="F3119" s="832"/>
      <c r="G3119" s="2076"/>
      <c r="H3119" s="1931"/>
      <c r="I3119" s="837"/>
      <c r="J3119" s="1932"/>
      <c r="K3119" s="943"/>
      <c r="L3119" s="866" t="n">
        <v>8933.154</v>
      </c>
      <c r="M3119" s="866" t="n">
        <v>345</v>
      </c>
      <c r="N3119" s="866" t="n">
        <f aca="false">M3119/H3115</f>
        <v>23</v>
      </c>
      <c r="O3119" s="543" t="s">
        <v>456</v>
      </c>
      <c r="P3119" s="1934"/>
      <c r="Q3119" s="1934"/>
      <c r="R3119" s="1935"/>
    </row>
    <row r="3120" customFormat="false" ht="14.25" hidden="false" customHeight="false" outlineLevel="0" collapsed="false">
      <c r="A3120" s="882"/>
      <c r="B3120" s="830"/>
      <c r="C3120" s="1965"/>
      <c r="D3120" s="2073" t="s">
        <v>17</v>
      </c>
      <c r="E3120" s="1480" t="s">
        <v>1651</v>
      </c>
      <c r="F3120" s="832"/>
      <c r="G3120" s="2076"/>
      <c r="H3120" s="1931"/>
      <c r="I3120" s="837"/>
      <c r="J3120" s="1932"/>
      <c r="K3120" s="943"/>
      <c r="L3120" s="866" t="n">
        <v>388.398</v>
      </c>
      <c r="M3120" s="866" t="n">
        <v>15</v>
      </c>
      <c r="N3120" s="866" t="n">
        <f aca="false">M3120/H3115</f>
        <v>1</v>
      </c>
      <c r="O3120" s="543" t="s">
        <v>433</v>
      </c>
      <c r="P3120" s="1934"/>
      <c r="Q3120" s="1934"/>
      <c r="R3120" s="1935"/>
    </row>
    <row r="3121" customFormat="false" ht="14.25" hidden="false" customHeight="false" outlineLevel="0" collapsed="false">
      <c r="A3121" s="882"/>
      <c r="B3121" s="830"/>
      <c r="C3121" s="1965"/>
      <c r="D3121" s="2077" t="s">
        <v>17</v>
      </c>
      <c r="E3121" s="1357" t="s">
        <v>1651</v>
      </c>
      <c r="F3121" s="832"/>
      <c r="G3121" s="2076"/>
      <c r="H3121" s="1931"/>
      <c r="I3121" s="837"/>
      <c r="J3121" s="1932"/>
      <c r="K3121" s="943"/>
      <c r="L3121" s="846" t="n">
        <v>11651.94</v>
      </c>
      <c r="M3121" s="846" t="n">
        <v>450</v>
      </c>
      <c r="N3121" s="846" t="n">
        <f aca="false">M3121/H3115</f>
        <v>30</v>
      </c>
      <c r="O3121" s="589" t="s">
        <v>398</v>
      </c>
      <c r="P3121" s="1934"/>
      <c r="Q3121" s="1934"/>
      <c r="R3121" s="1935"/>
    </row>
    <row r="3122" customFormat="false" ht="16.4" hidden="false" customHeight="false" outlineLevel="0" collapsed="false">
      <c r="A3122" s="903" t="n">
        <v>227</v>
      </c>
      <c r="B3122" s="903" t="n">
        <v>2024</v>
      </c>
      <c r="C3122" s="1974" t="n">
        <v>45839</v>
      </c>
      <c r="D3122" s="2083" t="s">
        <v>17</v>
      </c>
      <c r="E3122" s="1351" t="s">
        <v>1651</v>
      </c>
      <c r="F3122" s="904" t="s">
        <v>3364</v>
      </c>
      <c r="G3122" s="2084" t="n">
        <v>20</v>
      </c>
      <c r="H3122" s="1940" t="n">
        <v>10</v>
      </c>
      <c r="I3122" s="1355" t="n">
        <f aca="false">G3122*H3122</f>
        <v>200</v>
      </c>
      <c r="J3122" s="1941" t="n">
        <v>25.8932</v>
      </c>
      <c r="K3122" s="1942" t="n">
        <f aca="false">I3122*J3122</f>
        <v>5178.64</v>
      </c>
      <c r="L3122" s="891" t="n">
        <v>5178.64</v>
      </c>
      <c r="M3122" s="891" t="n">
        <v>200</v>
      </c>
      <c r="N3122" s="891" t="n">
        <f aca="false">M3122/H3122</f>
        <v>20</v>
      </c>
      <c r="O3122" s="942" t="s">
        <v>377</v>
      </c>
      <c r="P3122" s="1944" t="n">
        <f aca="false">K3122-L3122</f>
        <v>0</v>
      </c>
      <c r="Q3122" s="1946" t="n">
        <f aca="false">I3122-M3122</f>
        <v>0</v>
      </c>
      <c r="R3122" s="1946" t="n">
        <f aca="false">G3122-N3122</f>
        <v>0</v>
      </c>
    </row>
    <row r="3123" customFormat="false" ht="14.25" hidden="false" customHeight="false" outlineLevel="0" collapsed="false">
      <c r="A3123" s="1465" t="n">
        <v>228</v>
      </c>
      <c r="B3123" s="1546" t="n">
        <v>2024</v>
      </c>
      <c r="C3123" s="1975" t="n">
        <v>45839</v>
      </c>
      <c r="D3123" s="2075" t="s">
        <v>17</v>
      </c>
      <c r="E3123" s="1365" t="s">
        <v>1651</v>
      </c>
      <c r="F3123" s="1328" t="s">
        <v>3364</v>
      </c>
      <c r="G3123" s="2085" t="n">
        <v>590</v>
      </c>
      <c r="H3123" s="1976" t="n">
        <v>15</v>
      </c>
      <c r="I3123" s="1036" t="n">
        <f aca="false">G3123*H3123</f>
        <v>8850</v>
      </c>
      <c r="J3123" s="1999" t="n">
        <v>26.0219</v>
      </c>
      <c r="K3123" s="1547" t="n">
        <f aca="false">I3123*J3123</f>
        <v>230293.815</v>
      </c>
      <c r="L3123" s="886" t="n">
        <v>1561.314</v>
      </c>
      <c r="M3123" s="886" t="n">
        <v>60</v>
      </c>
      <c r="N3123" s="886" t="n">
        <f aca="false">M3123/H3123</f>
        <v>4</v>
      </c>
      <c r="O3123" s="1036" t="s">
        <v>376</v>
      </c>
      <c r="P3123" s="1978" t="n">
        <f aca="false">K3123-L3123-L3133-L3132-L3124-L3131-L3125-L3127-L3126-L3130-L3129-L3128</f>
        <v>0.000500000000101863</v>
      </c>
      <c r="Q3123" s="1978" t="n">
        <f aca="false">I3123-M3123-M3133-M3132-M3124-M3131-M3125-M3127-M3126-M3130-M3129-M3128</f>
        <v>0</v>
      </c>
      <c r="R3123" s="1979" t="n">
        <f aca="false">G3123-N3123-N3133-N3132-N3124-N3131-N3125-N3127-N3126-N3130-N3129-N3128</f>
        <v>0</v>
      </c>
    </row>
    <row r="3124" customFormat="false" ht="14.25" hidden="false" customHeight="false" outlineLevel="0" collapsed="false">
      <c r="A3124" s="1465"/>
      <c r="B3124" s="1546"/>
      <c r="C3124" s="1975"/>
      <c r="D3124" s="2073" t="s">
        <v>17</v>
      </c>
      <c r="E3124" s="1480" t="s">
        <v>1651</v>
      </c>
      <c r="F3124" s="1328"/>
      <c r="G3124" s="2085"/>
      <c r="H3124" s="1976"/>
      <c r="I3124" s="1036"/>
      <c r="J3124" s="1999"/>
      <c r="K3124" s="1547"/>
      <c r="L3124" s="866" t="n">
        <v>39032.85</v>
      </c>
      <c r="M3124" s="866" t="n">
        <v>1500</v>
      </c>
      <c r="N3124" s="866" t="n">
        <f aca="false">M3124/H3123</f>
        <v>100</v>
      </c>
      <c r="O3124" s="543" t="s">
        <v>3377</v>
      </c>
      <c r="P3124" s="1978"/>
      <c r="Q3124" s="1978"/>
      <c r="R3124" s="1979"/>
    </row>
    <row r="3125" customFormat="false" ht="14.25" hidden="false" customHeight="false" outlineLevel="0" collapsed="false">
      <c r="A3125" s="1465"/>
      <c r="B3125" s="1546"/>
      <c r="C3125" s="1975"/>
      <c r="D3125" s="2073" t="s">
        <v>17</v>
      </c>
      <c r="E3125" s="1480" t="s">
        <v>1651</v>
      </c>
      <c r="F3125" s="1328"/>
      <c r="G3125" s="2085"/>
      <c r="H3125" s="1976"/>
      <c r="I3125" s="1036"/>
      <c r="J3125" s="1999"/>
      <c r="K3125" s="1547"/>
      <c r="L3125" s="866" t="n">
        <v>13271.169</v>
      </c>
      <c r="M3125" s="866" t="n">
        <v>510</v>
      </c>
      <c r="N3125" s="866" t="n">
        <f aca="false">M3125/H3123</f>
        <v>34</v>
      </c>
      <c r="O3125" s="543" t="s">
        <v>3377</v>
      </c>
      <c r="P3125" s="1978"/>
      <c r="Q3125" s="1978"/>
      <c r="R3125" s="1979"/>
    </row>
    <row r="3126" customFormat="false" ht="14.25" hidden="false" customHeight="false" outlineLevel="0" collapsed="false">
      <c r="A3126" s="1465"/>
      <c r="B3126" s="1546"/>
      <c r="C3126" s="1975"/>
      <c r="D3126" s="2073" t="s">
        <v>17</v>
      </c>
      <c r="E3126" s="1480" t="s">
        <v>1651</v>
      </c>
      <c r="F3126" s="1328"/>
      <c r="G3126" s="2085"/>
      <c r="H3126" s="1976"/>
      <c r="I3126" s="1036"/>
      <c r="J3126" s="1999"/>
      <c r="K3126" s="1547"/>
      <c r="L3126" s="866" t="n">
        <v>28103.652</v>
      </c>
      <c r="M3126" s="866" t="n">
        <v>1080</v>
      </c>
      <c r="N3126" s="866" t="n">
        <f aca="false">M3126/H3123</f>
        <v>72</v>
      </c>
      <c r="O3126" s="543" t="s">
        <v>413</v>
      </c>
      <c r="P3126" s="1978"/>
      <c r="Q3126" s="1978"/>
      <c r="R3126" s="1979"/>
    </row>
    <row r="3127" customFormat="false" ht="14.25" hidden="false" customHeight="false" outlineLevel="0" collapsed="false">
      <c r="A3127" s="1465"/>
      <c r="B3127" s="1546"/>
      <c r="C3127" s="1975"/>
      <c r="D3127" s="2073" t="s">
        <v>17</v>
      </c>
      <c r="E3127" s="1480" t="s">
        <v>1651</v>
      </c>
      <c r="F3127" s="1328"/>
      <c r="G3127" s="2085"/>
      <c r="H3127" s="1976"/>
      <c r="I3127" s="1036"/>
      <c r="J3127" s="1999"/>
      <c r="K3127" s="1547"/>
      <c r="L3127" s="866" t="n">
        <v>52304.019</v>
      </c>
      <c r="M3127" s="866" t="n">
        <v>2010</v>
      </c>
      <c r="N3127" s="866" t="n">
        <f aca="false">M3127/H3123</f>
        <v>134</v>
      </c>
      <c r="O3127" s="543" t="s">
        <v>412</v>
      </c>
      <c r="P3127" s="1978"/>
      <c r="Q3127" s="1978"/>
      <c r="R3127" s="1979"/>
    </row>
    <row r="3128" customFormat="false" ht="14.25" hidden="false" customHeight="false" outlineLevel="0" collapsed="false">
      <c r="A3128" s="1465"/>
      <c r="B3128" s="1546"/>
      <c r="C3128" s="1975"/>
      <c r="D3128" s="2073" t="s">
        <v>17</v>
      </c>
      <c r="E3128" s="1480" t="s">
        <v>1651</v>
      </c>
      <c r="F3128" s="1328"/>
      <c r="G3128" s="2085"/>
      <c r="H3128" s="1976"/>
      <c r="I3128" s="1036"/>
      <c r="J3128" s="1999"/>
      <c r="K3128" s="1547"/>
      <c r="L3128" s="866" t="n">
        <v>14442.154</v>
      </c>
      <c r="M3128" s="866" t="n">
        <v>555</v>
      </c>
      <c r="N3128" s="866" t="n">
        <f aca="false">M3128/H3123</f>
        <v>37</v>
      </c>
      <c r="O3128" s="543" t="s">
        <v>1350</v>
      </c>
      <c r="P3128" s="1978"/>
      <c r="Q3128" s="1978"/>
      <c r="R3128" s="1979"/>
    </row>
    <row r="3129" customFormat="false" ht="14.25" hidden="false" customHeight="false" outlineLevel="0" collapsed="false">
      <c r="A3129" s="1465"/>
      <c r="B3129" s="1546"/>
      <c r="C3129" s="1975"/>
      <c r="D3129" s="2073" t="s">
        <v>17</v>
      </c>
      <c r="E3129" s="1480" t="s">
        <v>1651</v>
      </c>
      <c r="F3129" s="1328"/>
      <c r="G3129" s="2085"/>
      <c r="H3129" s="1976"/>
      <c r="I3129" s="1036"/>
      <c r="J3129" s="1999"/>
      <c r="K3129" s="1547"/>
      <c r="L3129" s="866" t="n">
        <v>-31616.6085</v>
      </c>
      <c r="M3129" s="866" t="n">
        <v>-1215</v>
      </c>
      <c r="N3129" s="866" t="n">
        <f aca="false">M3129/H3123</f>
        <v>-81</v>
      </c>
      <c r="O3129" s="543" t="s">
        <v>1634</v>
      </c>
      <c r="P3129" s="1978"/>
      <c r="Q3129" s="1978"/>
      <c r="R3129" s="1979"/>
    </row>
    <row r="3130" customFormat="false" ht="14.25" hidden="false" customHeight="false" outlineLevel="0" collapsed="false">
      <c r="A3130" s="1465"/>
      <c r="B3130" s="1546"/>
      <c r="C3130" s="1975"/>
      <c r="D3130" s="2073" t="s">
        <v>17</v>
      </c>
      <c r="E3130" s="1480" t="s">
        <v>1651</v>
      </c>
      <c r="F3130" s="1328"/>
      <c r="G3130" s="2085"/>
      <c r="H3130" s="1976"/>
      <c r="I3130" s="1036"/>
      <c r="J3130" s="1999"/>
      <c r="K3130" s="1547"/>
      <c r="L3130" s="866" t="n">
        <v>17174.454</v>
      </c>
      <c r="M3130" s="866" t="n">
        <v>660</v>
      </c>
      <c r="N3130" s="866" t="n">
        <f aca="false">M3130/H3123</f>
        <v>44</v>
      </c>
      <c r="O3130" s="543" t="s">
        <v>1252</v>
      </c>
      <c r="P3130" s="1978"/>
      <c r="Q3130" s="1978"/>
      <c r="R3130" s="1979"/>
    </row>
    <row r="3131" customFormat="false" ht="14.25" hidden="false" customHeight="false" outlineLevel="0" collapsed="false">
      <c r="A3131" s="1465"/>
      <c r="B3131" s="1546"/>
      <c r="C3131" s="1975"/>
      <c r="D3131" s="2073" t="s">
        <v>17</v>
      </c>
      <c r="E3131" s="1480" t="s">
        <v>1651</v>
      </c>
      <c r="F3131" s="1328"/>
      <c r="G3131" s="2085"/>
      <c r="H3131" s="1976"/>
      <c r="I3131" s="1036"/>
      <c r="J3131" s="1999"/>
      <c r="K3131" s="1547"/>
      <c r="L3131" s="866" t="n">
        <v>13271.169</v>
      </c>
      <c r="M3131" s="866" t="n">
        <v>510</v>
      </c>
      <c r="N3131" s="866" t="n">
        <f aca="false">M3131/H3123</f>
        <v>34</v>
      </c>
      <c r="O3131" s="543" t="s">
        <v>3377</v>
      </c>
      <c r="P3131" s="1978"/>
      <c r="Q3131" s="1978"/>
      <c r="R3131" s="1979"/>
    </row>
    <row r="3132" customFormat="false" ht="14.25" hidden="false" customHeight="false" outlineLevel="0" collapsed="false">
      <c r="A3132" s="1465"/>
      <c r="B3132" s="1546"/>
      <c r="C3132" s="1975"/>
      <c r="D3132" s="2073" t="s">
        <v>17</v>
      </c>
      <c r="E3132" s="1480" t="s">
        <v>1651</v>
      </c>
      <c r="F3132" s="1328"/>
      <c r="G3132" s="2085"/>
      <c r="H3132" s="1976"/>
      <c r="I3132" s="1036"/>
      <c r="J3132" s="1999"/>
      <c r="K3132" s="1547"/>
      <c r="L3132" s="866" t="n">
        <v>65184.8595</v>
      </c>
      <c r="M3132" s="866" t="n">
        <v>2505</v>
      </c>
      <c r="N3132" s="866" t="n">
        <f aca="false">M3132/H3123</f>
        <v>167</v>
      </c>
      <c r="O3132" s="543" t="s">
        <v>404</v>
      </c>
      <c r="P3132" s="1978"/>
      <c r="Q3132" s="1978"/>
      <c r="R3132" s="1979"/>
    </row>
    <row r="3133" customFormat="false" ht="14.25" hidden="false" customHeight="false" outlineLevel="0" collapsed="false">
      <c r="A3133" s="1465"/>
      <c r="B3133" s="1546"/>
      <c r="C3133" s="1975"/>
      <c r="D3133" s="2074" t="s">
        <v>17</v>
      </c>
      <c r="E3133" s="1478" t="s">
        <v>1651</v>
      </c>
      <c r="F3133" s="1328"/>
      <c r="G3133" s="2085"/>
      <c r="H3133" s="1976"/>
      <c r="I3133" s="1036"/>
      <c r="J3133" s="1999"/>
      <c r="K3133" s="1547"/>
      <c r="L3133" s="877" t="n">
        <v>17564.7825</v>
      </c>
      <c r="M3133" s="877" t="n">
        <v>675</v>
      </c>
      <c r="N3133" s="877" t="n">
        <f aca="false">M3133/H3123</f>
        <v>45</v>
      </c>
      <c r="O3133" s="553" t="s">
        <v>385</v>
      </c>
      <c r="P3133" s="1978"/>
      <c r="Q3133" s="1978"/>
      <c r="R3133" s="1979"/>
    </row>
    <row r="3134" customFormat="false" ht="14.25" hidden="false" customHeight="false" outlineLevel="0" collapsed="false">
      <c r="A3134" s="1465" t="n">
        <v>230</v>
      </c>
      <c r="B3134" s="1546" t="n">
        <v>2024</v>
      </c>
      <c r="C3134" s="1975" t="n">
        <v>45839</v>
      </c>
      <c r="D3134" s="2075" t="s">
        <v>17</v>
      </c>
      <c r="E3134" s="1365" t="s">
        <v>1651</v>
      </c>
      <c r="F3134" s="1328" t="s">
        <v>3364</v>
      </c>
      <c r="G3134" s="2085" t="n">
        <v>133</v>
      </c>
      <c r="H3134" s="1976" t="n">
        <v>15</v>
      </c>
      <c r="I3134" s="1036" t="n">
        <f aca="false">G3134*H3134</f>
        <v>1995</v>
      </c>
      <c r="J3134" s="1999" t="n">
        <v>23.8775</v>
      </c>
      <c r="K3134" s="1547" t="n">
        <f aca="false">I3134*J3134</f>
        <v>47635.6125</v>
      </c>
      <c r="L3134" s="886" t="n">
        <v>23638.725</v>
      </c>
      <c r="M3134" s="886" t="n">
        <v>990</v>
      </c>
      <c r="N3134" s="886" t="n">
        <f aca="false">M3134/H3134</f>
        <v>66</v>
      </c>
      <c r="O3134" s="1036" t="s">
        <v>396</v>
      </c>
      <c r="P3134" s="1978" t="n">
        <f aca="false">K3134-L3134-L3138-L3137-L3135-L3136</f>
        <v>716.325000000004</v>
      </c>
      <c r="Q3134" s="1978" t="n">
        <f aca="false">I3134-M3134-M3138-M3137-M3135-M3136</f>
        <v>30</v>
      </c>
      <c r="R3134" s="1979" t="n">
        <f aca="false">G3134-N3134-N3138-N3137-N3135-N3136</f>
        <v>2</v>
      </c>
    </row>
    <row r="3135" customFormat="false" ht="14.25" hidden="false" customHeight="false" outlineLevel="0" collapsed="false">
      <c r="A3135" s="1465"/>
      <c r="B3135" s="1546"/>
      <c r="C3135" s="1975"/>
      <c r="D3135" s="2073" t="s">
        <v>17</v>
      </c>
      <c r="E3135" s="1480" t="s">
        <v>1651</v>
      </c>
      <c r="F3135" s="1328"/>
      <c r="G3135" s="2085"/>
      <c r="H3135" s="1976"/>
      <c r="I3135" s="1036"/>
      <c r="J3135" s="1999"/>
      <c r="K3135" s="1547"/>
      <c r="L3135" s="866" t="n">
        <v>-11461.2</v>
      </c>
      <c r="M3135" s="866" t="n">
        <v>-480</v>
      </c>
      <c r="N3135" s="866" t="n">
        <f aca="false">M3135/H3134</f>
        <v>-32</v>
      </c>
      <c r="O3135" s="543" t="s">
        <v>1634</v>
      </c>
      <c r="P3135" s="1978"/>
      <c r="Q3135" s="1978"/>
      <c r="R3135" s="1979"/>
    </row>
    <row r="3136" customFormat="false" ht="14.25" hidden="false" customHeight="false" outlineLevel="0" collapsed="false">
      <c r="A3136" s="1465"/>
      <c r="B3136" s="1546"/>
      <c r="C3136" s="1975"/>
      <c r="D3136" s="2073" t="s">
        <v>17</v>
      </c>
      <c r="E3136" s="1480" t="s">
        <v>1651</v>
      </c>
      <c r="F3136" s="1328"/>
      <c r="G3136" s="2085"/>
      <c r="H3136" s="1976"/>
      <c r="I3136" s="1036"/>
      <c r="J3136" s="1999"/>
      <c r="K3136" s="1547"/>
      <c r="L3136" s="866" t="n">
        <v>10744.875</v>
      </c>
      <c r="M3136" s="866" t="n">
        <v>450</v>
      </c>
      <c r="N3136" s="866" t="n">
        <f aca="false">M3136/H3134</f>
        <v>30</v>
      </c>
      <c r="O3136" s="543" t="s">
        <v>1350</v>
      </c>
      <c r="P3136" s="1978"/>
      <c r="Q3136" s="1978"/>
      <c r="R3136" s="1979"/>
    </row>
    <row r="3137" customFormat="false" ht="14.25" hidden="false" customHeight="false" outlineLevel="0" collapsed="false">
      <c r="A3137" s="1465"/>
      <c r="B3137" s="1546"/>
      <c r="C3137" s="1975"/>
      <c r="D3137" s="2073" t="s">
        <v>17</v>
      </c>
      <c r="E3137" s="1480" t="s">
        <v>1651</v>
      </c>
      <c r="F3137" s="1328"/>
      <c r="G3137" s="2085"/>
      <c r="H3137" s="1976"/>
      <c r="I3137" s="1036"/>
      <c r="J3137" s="1999"/>
      <c r="K3137" s="1547"/>
      <c r="L3137" s="866" t="n">
        <v>1790.8125</v>
      </c>
      <c r="M3137" s="866" t="n">
        <v>75</v>
      </c>
      <c r="N3137" s="866" t="n">
        <f aca="false">M3137/H3134</f>
        <v>5</v>
      </c>
      <c r="O3137" s="543" t="s">
        <v>414</v>
      </c>
      <c r="P3137" s="1978"/>
      <c r="Q3137" s="1978"/>
      <c r="R3137" s="1979"/>
    </row>
    <row r="3138" customFormat="false" ht="14.25" hidden="false" customHeight="false" outlineLevel="0" collapsed="false">
      <c r="A3138" s="1465"/>
      <c r="B3138" s="1546"/>
      <c r="C3138" s="1975"/>
      <c r="D3138" s="2074" t="s">
        <v>17</v>
      </c>
      <c r="E3138" s="1478" t="s">
        <v>1651</v>
      </c>
      <c r="F3138" s="1328"/>
      <c r="G3138" s="2085"/>
      <c r="H3138" s="1976"/>
      <c r="I3138" s="1036"/>
      <c r="J3138" s="1999"/>
      <c r="K3138" s="1547"/>
      <c r="L3138" s="877" t="n">
        <v>22206.075</v>
      </c>
      <c r="M3138" s="877" t="n">
        <v>930</v>
      </c>
      <c r="N3138" s="877" t="n">
        <f aca="false">M3138/H3134</f>
        <v>62</v>
      </c>
      <c r="O3138" s="553" t="s">
        <v>413</v>
      </c>
      <c r="P3138" s="1978"/>
      <c r="Q3138" s="1978"/>
      <c r="R3138" s="1979"/>
    </row>
    <row r="3139" customFormat="false" ht="14.25" hidden="false" customHeight="false" outlineLevel="0" collapsed="false">
      <c r="A3139" s="829" t="n">
        <v>236</v>
      </c>
      <c r="B3139" s="830" t="n">
        <v>2024</v>
      </c>
      <c r="C3139" s="1965" t="n">
        <v>45839</v>
      </c>
      <c r="D3139" s="2075" t="s">
        <v>17</v>
      </c>
      <c r="E3139" s="1365" t="s">
        <v>1651</v>
      </c>
      <c r="F3139" s="832" t="s">
        <v>3364</v>
      </c>
      <c r="G3139" s="2076" t="n">
        <v>666</v>
      </c>
      <c r="H3139" s="1931" t="n">
        <v>15</v>
      </c>
      <c r="I3139" s="837" t="n">
        <f aca="false">G3139*H3139</f>
        <v>9990</v>
      </c>
      <c r="J3139" s="1932" t="n">
        <v>23.8775</v>
      </c>
      <c r="K3139" s="943" t="n">
        <f aca="false">I3139*J3139</f>
        <v>238536.225</v>
      </c>
      <c r="L3139" s="886" t="n">
        <v>23638.725</v>
      </c>
      <c r="M3139" s="886" t="n">
        <v>990</v>
      </c>
      <c r="N3139" s="886" t="n">
        <f aca="false">M3139/H3139</f>
        <v>66</v>
      </c>
      <c r="O3139" s="1036" t="s">
        <v>417</v>
      </c>
      <c r="P3139" s="1937" t="n">
        <f aca="false">K3139-L3139-L3142-L3141-L3140</f>
        <v>0</v>
      </c>
      <c r="Q3139" s="1934" t="n">
        <f aca="false">I3139-M3139-M3142-M3141-M3140</f>
        <v>0</v>
      </c>
      <c r="R3139" s="1935" t="n">
        <f aca="false">G3139-N3139-N3142-N3141-N3140</f>
        <v>0</v>
      </c>
    </row>
    <row r="3140" customFormat="false" ht="14.25" hidden="false" customHeight="false" outlineLevel="0" collapsed="false">
      <c r="A3140" s="829"/>
      <c r="B3140" s="830"/>
      <c r="C3140" s="1965"/>
      <c r="D3140" s="2073" t="s">
        <v>17</v>
      </c>
      <c r="E3140" s="1480" t="s">
        <v>1651</v>
      </c>
      <c r="F3140" s="832"/>
      <c r="G3140" s="2076"/>
      <c r="H3140" s="1931"/>
      <c r="I3140" s="837"/>
      <c r="J3140" s="1932"/>
      <c r="K3140" s="943"/>
      <c r="L3140" s="866" t="n">
        <v>179081.25</v>
      </c>
      <c r="M3140" s="866" t="n">
        <v>7500</v>
      </c>
      <c r="N3140" s="866" t="n">
        <f aca="false">M3140/H3139</f>
        <v>500</v>
      </c>
      <c r="O3140" s="543" t="s">
        <v>404</v>
      </c>
      <c r="P3140" s="1937"/>
      <c r="Q3140" s="1934"/>
      <c r="R3140" s="1935"/>
    </row>
    <row r="3141" customFormat="false" ht="14.25" hidden="false" customHeight="false" outlineLevel="0" collapsed="false">
      <c r="A3141" s="829"/>
      <c r="B3141" s="830"/>
      <c r="C3141" s="1965"/>
      <c r="D3141" s="2073" t="s">
        <v>17</v>
      </c>
      <c r="E3141" s="1480" t="s">
        <v>1651</v>
      </c>
      <c r="F3141" s="832"/>
      <c r="G3141" s="2076"/>
      <c r="H3141" s="1931"/>
      <c r="I3141" s="837"/>
      <c r="J3141" s="1932"/>
      <c r="K3141" s="943"/>
      <c r="L3141" s="866" t="n">
        <v>11819.3625</v>
      </c>
      <c r="M3141" s="866" t="n">
        <v>495</v>
      </c>
      <c r="N3141" s="866" t="n">
        <f aca="false">M3141/H3139</f>
        <v>33</v>
      </c>
      <c r="O3141" s="543" t="s">
        <v>442</v>
      </c>
      <c r="P3141" s="1937"/>
      <c r="Q3141" s="1934"/>
      <c r="R3141" s="1935"/>
    </row>
    <row r="3142" customFormat="false" ht="14.25" hidden="false" customHeight="false" outlineLevel="0" collapsed="false">
      <c r="A3142" s="829"/>
      <c r="B3142" s="830"/>
      <c r="C3142" s="1965"/>
      <c r="D3142" s="2077" t="s">
        <v>17</v>
      </c>
      <c r="E3142" s="1357" t="s">
        <v>1651</v>
      </c>
      <c r="F3142" s="832"/>
      <c r="G3142" s="2076"/>
      <c r="H3142" s="1931"/>
      <c r="I3142" s="837"/>
      <c r="J3142" s="1932"/>
      <c r="K3142" s="943"/>
      <c r="L3142" s="846" t="n">
        <v>23996.8875</v>
      </c>
      <c r="M3142" s="846" t="n">
        <v>1005</v>
      </c>
      <c r="N3142" s="846" t="n">
        <f aca="false">M3142/H3139</f>
        <v>67</v>
      </c>
      <c r="O3142" s="589" t="s">
        <v>423</v>
      </c>
      <c r="P3142" s="1937"/>
      <c r="Q3142" s="1934"/>
      <c r="R3142" s="1935"/>
    </row>
    <row r="3143" customFormat="false" ht="16.4" hidden="false" customHeight="false" outlineLevel="0" collapsed="false">
      <c r="A3143" s="903" t="n">
        <v>237</v>
      </c>
      <c r="B3143" s="903" t="n">
        <v>2024</v>
      </c>
      <c r="C3143" s="1974" t="n">
        <v>45839</v>
      </c>
      <c r="D3143" s="2083" t="s">
        <v>17</v>
      </c>
      <c r="E3143" s="1351" t="s">
        <v>1651</v>
      </c>
      <c r="F3143" s="904" t="s">
        <v>3364</v>
      </c>
      <c r="G3143" s="2084" t="n">
        <v>1</v>
      </c>
      <c r="H3143" s="1940" t="n">
        <v>15</v>
      </c>
      <c r="I3143" s="1355" t="n">
        <f aca="false">G3143*H3143</f>
        <v>15</v>
      </c>
      <c r="J3143" s="1941" t="n">
        <v>23.8775</v>
      </c>
      <c r="K3143" s="1942" t="n">
        <f aca="false">I3143*J3143</f>
        <v>358.1625</v>
      </c>
      <c r="L3143" s="891" t="n">
        <v>358.1625</v>
      </c>
      <c r="M3143" s="891" t="n">
        <v>15</v>
      </c>
      <c r="N3143" s="891" t="n">
        <f aca="false">M3143/H3143</f>
        <v>1</v>
      </c>
      <c r="O3143" s="942" t="s">
        <v>417</v>
      </c>
      <c r="P3143" s="1947" t="n">
        <f aca="false">K3143-L3143</f>
        <v>0</v>
      </c>
      <c r="Q3143" s="1946" t="n">
        <f aca="false">I3143-M3143</f>
        <v>0</v>
      </c>
      <c r="R3143" s="1946" t="n">
        <f aca="false">G3143-N3143</f>
        <v>0</v>
      </c>
    </row>
    <row r="3144" customFormat="false" ht="14.25" hidden="false" customHeight="false" outlineLevel="0" collapsed="false">
      <c r="A3144" s="882" t="n">
        <v>238</v>
      </c>
      <c r="B3144" s="830" t="n">
        <v>2024</v>
      </c>
      <c r="C3144" s="1965" t="n">
        <v>45839</v>
      </c>
      <c r="D3144" s="2072" t="s">
        <v>17</v>
      </c>
      <c r="E3144" s="1607" t="s">
        <v>1651</v>
      </c>
      <c r="F3144" s="832" t="s">
        <v>3364</v>
      </c>
      <c r="G3144" s="2076" t="n">
        <v>22</v>
      </c>
      <c r="H3144" s="1931" t="n">
        <v>15</v>
      </c>
      <c r="I3144" s="837" t="n">
        <f aca="false">G3144*H3144</f>
        <v>330</v>
      </c>
      <c r="J3144" s="1932" t="n">
        <v>27.857</v>
      </c>
      <c r="K3144" s="943" t="n">
        <f aca="false">I3144*J3144</f>
        <v>9192.81</v>
      </c>
      <c r="L3144" s="886" t="n">
        <v>417.855</v>
      </c>
      <c r="M3144" s="886" t="n">
        <v>15</v>
      </c>
      <c r="N3144" s="886" t="n">
        <f aca="false">M3144/H3144</f>
        <v>1</v>
      </c>
      <c r="O3144" s="1036" t="s">
        <v>396</v>
      </c>
      <c r="P3144" s="1937" t="n">
        <f aca="false">K3144-L3144-L3146-L3145</f>
        <v>0</v>
      </c>
      <c r="Q3144" s="1934" t="n">
        <f aca="false">I3144-M3144-M3146-M3145</f>
        <v>0</v>
      </c>
      <c r="R3144" s="1935" t="n">
        <f aca="false">G3144-N3144-N3146-N3145</f>
        <v>0</v>
      </c>
    </row>
    <row r="3145" customFormat="false" ht="14.25" hidden="false" customHeight="false" outlineLevel="0" collapsed="false">
      <c r="A3145" s="882"/>
      <c r="B3145" s="830"/>
      <c r="C3145" s="1965"/>
      <c r="D3145" s="2073" t="s">
        <v>17</v>
      </c>
      <c r="E3145" s="1480" t="s">
        <v>1651</v>
      </c>
      <c r="F3145" s="832"/>
      <c r="G3145" s="2076"/>
      <c r="H3145" s="1931"/>
      <c r="I3145" s="837"/>
      <c r="J3145" s="1932"/>
      <c r="K3145" s="943"/>
      <c r="L3145" s="866" t="n">
        <v>7103.535</v>
      </c>
      <c r="M3145" s="866" t="n">
        <v>255</v>
      </c>
      <c r="N3145" s="866" t="n">
        <f aca="false">M3145/H3144</f>
        <v>17</v>
      </c>
      <c r="O3145" s="543" t="s">
        <v>414</v>
      </c>
      <c r="P3145" s="1937"/>
      <c r="Q3145" s="1934"/>
      <c r="R3145" s="1935"/>
    </row>
    <row r="3146" customFormat="false" ht="14.25" hidden="false" customHeight="false" outlineLevel="0" collapsed="false">
      <c r="A3146" s="882"/>
      <c r="B3146" s="830"/>
      <c r="C3146" s="1965"/>
      <c r="D3146" s="2077" t="s">
        <v>17</v>
      </c>
      <c r="E3146" s="1357" t="s">
        <v>1651</v>
      </c>
      <c r="F3146" s="832"/>
      <c r="G3146" s="2076"/>
      <c r="H3146" s="1931"/>
      <c r="I3146" s="837"/>
      <c r="J3146" s="1932"/>
      <c r="K3146" s="943"/>
      <c r="L3146" s="846" t="n">
        <v>1671.42</v>
      </c>
      <c r="M3146" s="846" t="n">
        <v>60</v>
      </c>
      <c r="N3146" s="846" t="n">
        <f aca="false">M3146/H3144</f>
        <v>4</v>
      </c>
      <c r="O3146" s="589" t="s">
        <v>406</v>
      </c>
      <c r="P3146" s="1937"/>
      <c r="Q3146" s="1934"/>
      <c r="R3146" s="1935"/>
    </row>
    <row r="3147" customFormat="false" ht="14.25" hidden="false" customHeight="false" outlineLevel="0" collapsed="false">
      <c r="A3147" s="829" t="n">
        <v>313</v>
      </c>
      <c r="B3147" s="830" t="n">
        <v>2024</v>
      </c>
      <c r="C3147" s="1965" t="n">
        <v>45870</v>
      </c>
      <c r="D3147" s="2075" t="s">
        <v>17</v>
      </c>
      <c r="E3147" s="1365" t="s">
        <v>1651</v>
      </c>
      <c r="F3147" s="832" t="s">
        <v>3364</v>
      </c>
      <c r="G3147" s="2076" t="n">
        <v>578</v>
      </c>
      <c r="H3147" s="1931" t="n">
        <v>15</v>
      </c>
      <c r="I3147" s="837" t="n">
        <f aca="false">G3147*H3147</f>
        <v>8670</v>
      </c>
      <c r="J3147" s="1932" t="n">
        <v>26.775</v>
      </c>
      <c r="K3147" s="943" t="n">
        <f aca="false">I3147*J3147</f>
        <v>232139.25</v>
      </c>
      <c r="L3147" s="840" t="n">
        <v>38556</v>
      </c>
      <c r="M3147" s="840" t="n">
        <v>1440</v>
      </c>
      <c r="N3147" s="886" t="n">
        <f aca="false">M3147/H3147</f>
        <v>96</v>
      </c>
      <c r="O3147" s="1114" t="s">
        <v>406</v>
      </c>
      <c r="P3147" s="1937" t="n">
        <f aca="false">K3147-L3147-L3150-L3149-L3148</f>
        <v>0</v>
      </c>
      <c r="Q3147" s="1934" t="n">
        <f aca="false">I3147-M3147-M3150-M3149-M3148</f>
        <v>0</v>
      </c>
      <c r="R3147" s="1935" t="n">
        <f aca="false">G3147-N3147-N3150-N3149-N3148</f>
        <v>0</v>
      </c>
    </row>
    <row r="3148" customFormat="false" ht="14.25" hidden="false" customHeight="false" outlineLevel="0" collapsed="false">
      <c r="A3148" s="829"/>
      <c r="B3148" s="830"/>
      <c r="C3148" s="1965"/>
      <c r="D3148" s="2080" t="s">
        <v>17</v>
      </c>
      <c r="E3148" s="1479" t="s">
        <v>1651</v>
      </c>
      <c r="F3148" s="832"/>
      <c r="G3148" s="2076"/>
      <c r="H3148" s="1931"/>
      <c r="I3148" s="837"/>
      <c r="J3148" s="1932"/>
      <c r="K3148" s="943"/>
      <c r="L3148" s="854" t="n">
        <v>40564.125</v>
      </c>
      <c r="M3148" s="854" t="n">
        <v>1515</v>
      </c>
      <c r="N3148" s="866" t="n">
        <f aca="false">M3148/H3147</f>
        <v>101</v>
      </c>
      <c r="O3148" s="537" t="s">
        <v>423</v>
      </c>
      <c r="P3148" s="1937"/>
      <c r="Q3148" s="1934"/>
      <c r="R3148" s="1935"/>
    </row>
    <row r="3149" customFormat="false" ht="14.25" hidden="false" customHeight="false" outlineLevel="0" collapsed="false">
      <c r="A3149" s="829"/>
      <c r="B3149" s="830"/>
      <c r="C3149" s="1965"/>
      <c r="D3149" s="2073" t="s">
        <v>17</v>
      </c>
      <c r="E3149" s="1480" t="s">
        <v>1651</v>
      </c>
      <c r="F3149" s="832"/>
      <c r="G3149" s="2076"/>
      <c r="H3149" s="1931"/>
      <c r="I3149" s="837"/>
      <c r="J3149" s="1932"/>
      <c r="K3149" s="943"/>
      <c r="L3149" s="866" t="n">
        <v>139765.5</v>
      </c>
      <c r="M3149" s="866" t="n">
        <v>5220</v>
      </c>
      <c r="N3149" s="866" t="n">
        <f aca="false">M3149/H3147</f>
        <v>348</v>
      </c>
      <c r="O3149" s="543" t="s">
        <v>419</v>
      </c>
      <c r="P3149" s="1937"/>
      <c r="Q3149" s="1934"/>
      <c r="R3149" s="1935"/>
    </row>
    <row r="3150" customFormat="false" ht="14.25" hidden="false" customHeight="false" outlineLevel="0" collapsed="false">
      <c r="A3150" s="829"/>
      <c r="B3150" s="830"/>
      <c r="C3150" s="1965"/>
      <c r="D3150" s="2079" t="s">
        <v>17</v>
      </c>
      <c r="E3150" s="1501" t="s">
        <v>1651</v>
      </c>
      <c r="F3150" s="832"/>
      <c r="G3150" s="2076"/>
      <c r="H3150" s="1931"/>
      <c r="I3150" s="837"/>
      <c r="J3150" s="1932"/>
      <c r="K3150" s="943"/>
      <c r="L3150" s="890" t="n">
        <v>13253.625</v>
      </c>
      <c r="M3150" s="890" t="n">
        <v>495</v>
      </c>
      <c r="N3150" s="890" t="n">
        <f aca="false">M3150/H3147</f>
        <v>33</v>
      </c>
      <c r="O3150" s="1067" t="s">
        <v>3377</v>
      </c>
      <c r="P3150" s="1937"/>
      <c r="Q3150" s="1934"/>
      <c r="R3150" s="1935"/>
    </row>
    <row r="3151" customFormat="false" ht="16.4" hidden="false" customHeight="false" outlineLevel="0" collapsed="false">
      <c r="A3151" s="847" t="n">
        <v>342</v>
      </c>
      <c r="B3151" s="1396" t="n">
        <v>2024</v>
      </c>
      <c r="C3151" s="1966" t="n">
        <v>45901</v>
      </c>
      <c r="D3151" s="2080" t="s">
        <v>17</v>
      </c>
      <c r="E3151" s="1479" t="s">
        <v>1651</v>
      </c>
      <c r="F3151" s="848" t="s">
        <v>3364</v>
      </c>
      <c r="G3151" s="2081" t="n">
        <v>10</v>
      </c>
      <c r="H3151" s="1967" t="n">
        <v>10</v>
      </c>
      <c r="I3151" s="1380" t="n">
        <f aca="false">G3151*H3151</f>
        <v>100</v>
      </c>
      <c r="J3151" s="1989" t="n">
        <v>28.1114</v>
      </c>
      <c r="K3151" s="1968" t="n">
        <f aca="false">I3151*J3151</f>
        <v>2811.14</v>
      </c>
      <c r="L3151" s="854" t="n">
        <v>2811.14</v>
      </c>
      <c r="M3151" s="854" t="n">
        <v>100</v>
      </c>
      <c r="N3151" s="854" t="n">
        <f aca="false">M3151/H3151</f>
        <v>10</v>
      </c>
      <c r="O3151" s="537" t="s">
        <v>461</v>
      </c>
      <c r="P3151" s="1969" t="n">
        <f aca="false">K3151-L3151</f>
        <v>0</v>
      </c>
      <c r="Q3151" s="1971" t="n">
        <f aca="false">I3151-M3151</f>
        <v>0</v>
      </c>
      <c r="R3151" s="1971" t="n">
        <f aca="false">G3151-N3151</f>
        <v>0</v>
      </c>
    </row>
    <row r="3152" customFormat="false" ht="16.4" hidden="false" customHeight="false" outlineLevel="0" collapsed="false">
      <c r="A3152" s="870" t="n">
        <v>347</v>
      </c>
      <c r="B3152" s="1495" t="n">
        <v>2024</v>
      </c>
      <c r="C3152" s="1972" t="n">
        <v>45901</v>
      </c>
      <c r="D3152" s="2074" t="s">
        <v>17</v>
      </c>
      <c r="E3152" s="1478" t="s">
        <v>1651</v>
      </c>
      <c r="F3152" s="871" t="s">
        <v>3367</v>
      </c>
      <c r="G3152" s="2082" t="n">
        <v>10</v>
      </c>
      <c r="H3152" s="1956" t="n">
        <v>10</v>
      </c>
      <c r="I3152" s="1587" t="n">
        <f aca="false">G3152*H3152</f>
        <v>100</v>
      </c>
      <c r="J3152" s="1957" t="n">
        <v>28.1114</v>
      </c>
      <c r="K3152" s="1958" t="n">
        <f aca="false">I3152*J3152</f>
        <v>2811.14</v>
      </c>
      <c r="L3152" s="877" t="n">
        <v>2811.14</v>
      </c>
      <c r="M3152" s="877" t="n">
        <v>100</v>
      </c>
      <c r="N3152" s="891" t="n">
        <f aca="false">M3152/H3152</f>
        <v>10</v>
      </c>
      <c r="O3152" s="553"/>
      <c r="P3152" s="2028" t="n">
        <f aca="false">K3152-L3152</f>
        <v>0</v>
      </c>
      <c r="Q3152" s="1961" t="n">
        <f aca="false">I3152-M3152</f>
        <v>0</v>
      </c>
      <c r="R3152" s="1961" t="n">
        <f aca="false">G3152-N3152</f>
        <v>0</v>
      </c>
    </row>
    <row r="3153" customFormat="false" ht="14.25" hidden="false" customHeight="false" outlineLevel="0" collapsed="false">
      <c r="A3153" s="1027" t="n">
        <v>348</v>
      </c>
      <c r="B3153" s="1546" t="n">
        <v>2024</v>
      </c>
      <c r="C3153" s="1975" t="n">
        <v>45901</v>
      </c>
      <c r="D3153" s="2072" t="s">
        <v>17</v>
      </c>
      <c r="E3153" s="1607" t="s">
        <v>1651</v>
      </c>
      <c r="F3153" s="1328" t="s">
        <v>3364</v>
      </c>
      <c r="G3153" s="2085" t="n">
        <v>154</v>
      </c>
      <c r="H3153" s="1976" t="n">
        <v>15</v>
      </c>
      <c r="I3153" s="1036" t="n">
        <f aca="false">G3153*H3153</f>
        <v>2310</v>
      </c>
      <c r="J3153" s="1999" t="n">
        <v>28.1114</v>
      </c>
      <c r="K3153" s="1547" t="n">
        <f aca="false">I3153*J3153</f>
        <v>64937.334</v>
      </c>
      <c r="L3153" s="886" t="n">
        <v>56503.914</v>
      </c>
      <c r="M3153" s="886" t="n">
        <v>2010</v>
      </c>
      <c r="N3153" s="840" t="n">
        <f aca="false">M3153/H3153</f>
        <v>134</v>
      </c>
      <c r="O3153" s="1036" t="s">
        <v>3612</v>
      </c>
      <c r="P3153" s="1977" t="n">
        <f aca="false">K3153-L3153-L3154</f>
        <v>0</v>
      </c>
      <c r="Q3153" s="1978" t="n">
        <f aca="false">I3153-M3153-M3154</f>
        <v>0</v>
      </c>
      <c r="R3153" s="1979" t="n">
        <f aca="false">G3153-N3153-N3154</f>
        <v>0</v>
      </c>
    </row>
    <row r="3154" customFormat="false" ht="14.25" hidden="false" customHeight="false" outlineLevel="0" collapsed="false">
      <c r="A3154" s="1027"/>
      <c r="B3154" s="1546"/>
      <c r="C3154" s="1975"/>
      <c r="D3154" s="2074" t="s">
        <v>17</v>
      </c>
      <c r="E3154" s="1478" t="s">
        <v>1651</v>
      </c>
      <c r="F3154" s="1328"/>
      <c r="G3154" s="2085"/>
      <c r="H3154" s="1976"/>
      <c r="I3154" s="1036"/>
      <c r="J3154" s="1999"/>
      <c r="K3154" s="1547"/>
      <c r="L3154" s="877" t="n">
        <v>8433.42</v>
      </c>
      <c r="M3154" s="877" t="n">
        <v>300</v>
      </c>
      <c r="N3154" s="877" t="n">
        <f aca="false">M3154/H3153</f>
        <v>20</v>
      </c>
      <c r="O3154" s="553" t="s">
        <v>3612</v>
      </c>
      <c r="P3154" s="1977"/>
      <c r="Q3154" s="1978"/>
      <c r="R3154" s="1979"/>
    </row>
    <row r="3155" customFormat="false" ht="14.25" hidden="false" customHeight="false" outlineLevel="0" collapsed="false">
      <c r="A3155" s="829" t="n">
        <v>369</v>
      </c>
      <c r="B3155" s="830" t="n">
        <v>2024</v>
      </c>
      <c r="C3155" s="1965" t="n">
        <v>45901</v>
      </c>
      <c r="D3155" s="2075" t="s">
        <v>17</v>
      </c>
      <c r="E3155" s="1365" t="s">
        <v>1651</v>
      </c>
      <c r="F3155" s="832" t="s">
        <v>3364</v>
      </c>
      <c r="G3155" s="2076" t="n">
        <v>666</v>
      </c>
      <c r="H3155" s="1931" t="n">
        <v>15</v>
      </c>
      <c r="I3155" s="837" t="n">
        <f aca="false">G3155*H3155</f>
        <v>9990</v>
      </c>
      <c r="J3155" s="1932" t="n">
        <v>28.1114</v>
      </c>
      <c r="K3155" s="943" t="n">
        <f aca="false">I3155*J3155</f>
        <v>280832.886</v>
      </c>
      <c r="L3155" s="886" t="n">
        <v>16445.169</v>
      </c>
      <c r="M3155" s="886" t="n">
        <v>585</v>
      </c>
      <c r="N3155" s="886" t="n">
        <f aca="false">M3155/H3155</f>
        <v>39</v>
      </c>
      <c r="O3155" s="1036" t="s">
        <v>486</v>
      </c>
      <c r="P3155" s="1934" t="n">
        <f aca="false">K3155-L3155-L3167-L3166-L3156-L3157-L3165-L3158-L3164-L3159-L3160-L3161-L3163-L3162</f>
        <v>-3.97903932025656E-012</v>
      </c>
      <c r="Q3155" s="1934" t="n">
        <f aca="false">I3155-M3155-M3167-M3166-M3156-M3157-M3165-M3158-M3164-M3159-M3160-M3161-M3163-M3162</f>
        <v>0</v>
      </c>
      <c r="R3155" s="1935" t="n">
        <f aca="false">G3155-N3155-N3167-N3166-N3156-N3157-N3165-N3158-N3164-N3159-N3160-N3161-N3163-N3162</f>
        <v>0</v>
      </c>
    </row>
    <row r="3156" customFormat="false" ht="14.25" hidden="false" customHeight="false" outlineLevel="0" collapsed="false">
      <c r="A3156" s="829"/>
      <c r="B3156" s="830"/>
      <c r="C3156" s="1965"/>
      <c r="D3156" s="2073" t="s">
        <v>17</v>
      </c>
      <c r="E3156" s="1480" t="s">
        <v>1651</v>
      </c>
      <c r="F3156" s="832"/>
      <c r="G3156" s="2076"/>
      <c r="H3156" s="1931"/>
      <c r="I3156" s="837"/>
      <c r="J3156" s="1932"/>
      <c r="K3156" s="943"/>
      <c r="L3156" s="866" t="n">
        <v>5060.052</v>
      </c>
      <c r="M3156" s="866" t="n">
        <v>180</v>
      </c>
      <c r="N3156" s="866" t="n">
        <f aca="false">M3156/H3155</f>
        <v>12</v>
      </c>
      <c r="O3156" s="543" t="s">
        <v>777</v>
      </c>
      <c r="P3156" s="1934"/>
      <c r="Q3156" s="1934"/>
      <c r="R3156" s="1935"/>
    </row>
    <row r="3157" customFormat="false" ht="14.25" hidden="false" customHeight="false" outlineLevel="0" collapsed="false">
      <c r="A3157" s="829"/>
      <c r="B3157" s="830"/>
      <c r="C3157" s="1965"/>
      <c r="D3157" s="2073" t="s">
        <v>17</v>
      </c>
      <c r="E3157" s="1480" t="s">
        <v>1651</v>
      </c>
      <c r="F3157" s="832"/>
      <c r="G3157" s="2076"/>
      <c r="H3157" s="1931"/>
      <c r="I3157" s="837"/>
      <c r="J3157" s="1932"/>
      <c r="K3157" s="943"/>
      <c r="L3157" s="866" t="n">
        <v>27408.615</v>
      </c>
      <c r="M3157" s="866" t="n">
        <v>975</v>
      </c>
      <c r="N3157" s="866" t="n">
        <f aca="false">M3157/H3155</f>
        <v>65</v>
      </c>
      <c r="O3157" s="543" t="s">
        <v>585</v>
      </c>
      <c r="P3157" s="1934"/>
      <c r="Q3157" s="1934"/>
      <c r="R3157" s="1935"/>
    </row>
    <row r="3158" customFormat="false" ht="14.25" hidden="false" customHeight="false" outlineLevel="0" collapsed="false">
      <c r="A3158" s="829"/>
      <c r="B3158" s="830"/>
      <c r="C3158" s="1965"/>
      <c r="D3158" s="2073" t="s">
        <v>17</v>
      </c>
      <c r="E3158" s="1480" t="s">
        <v>1651</v>
      </c>
      <c r="F3158" s="832"/>
      <c r="G3158" s="2076"/>
      <c r="H3158" s="1931"/>
      <c r="I3158" s="837"/>
      <c r="J3158" s="1932"/>
      <c r="K3158" s="943"/>
      <c r="L3158" s="866" t="n">
        <v>37528.719</v>
      </c>
      <c r="M3158" s="866" t="n">
        <v>1335</v>
      </c>
      <c r="N3158" s="866" t="n">
        <f aca="false">M3158/H3155</f>
        <v>89</v>
      </c>
      <c r="O3158" s="543" t="s">
        <v>385</v>
      </c>
      <c r="P3158" s="1934"/>
      <c r="Q3158" s="1934"/>
      <c r="R3158" s="1935"/>
    </row>
    <row r="3159" customFormat="false" ht="14.25" hidden="false" customHeight="false" outlineLevel="0" collapsed="false">
      <c r="A3159" s="829"/>
      <c r="B3159" s="830"/>
      <c r="C3159" s="1965"/>
      <c r="D3159" s="2073" t="s">
        <v>17</v>
      </c>
      <c r="E3159" s="1480" t="s">
        <v>1651</v>
      </c>
      <c r="F3159" s="832"/>
      <c r="G3159" s="2076"/>
      <c r="H3159" s="1931"/>
      <c r="I3159" s="837"/>
      <c r="J3159" s="1932"/>
      <c r="K3159" s="943"/>
      <c r="L3159" s="866" t="n">
        <v>8433.42</v>
      </c>
      <c r="M3159" s="866" t="n">
        <v>300</v>
      </c>
      <c r="N3159" s="866" t="n">
        <f aca="false">M3159/H3155</f>
        <v>20</v>
      </c>
      <c r="O3159" s="543" t="s">
        <v>541</v>
      </c>
      <c r="P3159" s="1934"/>
      <c r="Q3159" s="1934"/>
      <c r="R3159" s="1935"/>
    </row>
    <row r="3160" customFormat="false" ht="14.25" hidden="false" customHeight="false" outlineLevel="0" collapsed="false">
      <c r="A3160" s="829"/>
      <c r="B3160" s="830"/>
      <c r="C3160" s="1965"/>
      <c r="D3160" s="2073" t="s">
        <v>17</v>
      </c>
      <c r="E3160" s="1480" t="s">
        <v>1651</v>
      </c>
      <c r="F3160" s="832"/>
      <c r="G3160" s="2076"/>
      <c r="H3160" s="1931"/>
      <c r="I3160" s="837"/>
      <c r="J3160" s="1932"/>
      <c r="K3160" s="943"/>
      <c r="L3160" s="866" t="n">
        <v>6325.065</v>
      </c>
      <c r="M3160" s="866" t="n">
        <v>225</v>
      </c>
      <c r="N3160" s="866" t="n">
        <f aca="false">M3160/H3155</f>
        <v>15</v>
      </c>
      <c r="O3160" s="543" t="s">
        <v>546</v>
      </c>
      <c r="P3160" s="1934"/>
      <c r="Q3160" s="1934"/>
      <c r="R3160" s="1935"/>
    </row>
    <row r="3161" customFormat="false" ht="14.25" hidden="false" customHeight="false" outlineLevel="0" collapsed="false">
      <c r="A3161" s="829"/>
      <c r="B3161" s="830"/>
      <c r="C3161" s="1965"/>
      <c r="D3161" s="2073" t="s">
        <v>17</v>
      </c>
      <c r="E3161" s="1480" t="s">
        <v>1651</v>
      </c>
      <c r="F3161" s="832"/>
      <c r="G3161" s="2076"/>
      <c r="H3161" s="1931"/>
      <c r="I3161" s="837"/>
      <c r="J3161" s="1932"/>
      <c r="K3161" s="943"/>
      <c r="L3161" s="866" t="n">
        <v>134513.049</v>
      </c>
      <c r="M3161" s="866" t="n">
        <v>4785</v>
      </c>
      <c r="N3161" s="866" t="n">
        <f aca="false">M3161/H3155</f>
        <v>319</v>
      </c>
      <c r="O3161" s="543" t="s">
        <v>567</v>
      </c>
      <c r="P3161" s="1934"/>
      <c r="Q3161" s="1934"/>
      <c r="R3161" s="1935"/>
    </row>
    <row r="3162" customFormat="false" ht="14.25" hidden="false" customHeight="false" outlineLevel="0" collapsed="false">
      <c r="A3162" s="829"/>
      <c r="B3162" s="830"/>
      <c r="C3162" s="1965"/>
      <c r="D3162" s="2073" t="s">
        <v>17</v>
      </c>
      <c r="E3162" s="1480" t="s">
        <v>1651</v>
      </c>
      <c r="F3162" s="832"/>
      <c r="G3162" s="2076"/>
      <c r="H3162" s="1931"/>
      <c r="I3162" s="837"/>
      <c r="J3162" s="1932"/>
      <c r="K3162" s="943"/>
      <c r="L3162" s="866" t="n">
        <v>843.342</v>
      </c>
      <c r="M3162" s="866" t="n">
        <v>30</v>
      </c>
      <c r="N3162" s="866" t="n">
        <f aca="false">M3162/H3155</f>
        <v>2</v>
      </c>
      <c r="O3162" s="543" t="s">
        <v>696</v>
      </c>
      <c r="P3162" s="1934"/>
      <c r="Q3162" s="1934"/>
      <c r="R3162" s="1935"/>
    </row>
    <row r="3163" customFormat="false" ht="14.25" hidden="false" customHeight="false" outlineLevel="0" collapsed="false">
      <c r="A3163" s="829"/>
      <c r="B3163" s="830"/>
      <c r="C3163" s="1965"/>
      <c r="D3163" s="2073" t="s">
        <v>17</v>
      </c>
      <c r="E3163" s="1480" t="s">
        <v>1651</v>
      </c>
      <c r="F3163" s="832"/>
      <c r="G3163" s="2076"/>
      <c r="H3163" s="1931"/>
      <c r="I3163" s="837"/>
      <c r="J3163" s="1932"/>
      <c r="K3163" s="943"/>
      <c r="L3163" s="866" t="n">
        <v>4216.71</v>
      </c>
      <c r="M3163" s="866" t="n">
        <v>150</v>
      </c>
      <c r="N3163" s="866" t="n">
        <f aca="false">M3163/H3155</f>
        <v>10</v>
      </c>
      <c r="O3163" s="543" t="s">
        <v>606</v>
      </c>
      <c r="P3163" s="1934"/>
      <c r="Q3163" s="1934"/>
      <c r="R3163" s="1935"/>
    </row>
    <row r="3164" customFormat="false" ht="14.25" hidden="false" customHeight="false" outlineLevel="0" collapsed="false">
      <c r="A3164" s="829"/>
      <c r="B3164" s="830"/>
      <c r="C3164" s="1965"/>
      <c r="D3164" s="2073" t="s">
        <v>17</v>
      </c>
      <c r="E3164" s="1480" t="s">
        <v>1651</v>
      </c>
      <c r="F3164" s="832"/>
      <c r="G3164" s="2076"/>
      <c r="H3164" s="1931"/>
      <c r="I3164" s="837"/>
      <c r="J3164" s="1932"/>
      <c r="K3164" s="943"/>
      <c r="L3164" s="866" t="n">
        <v>2951.697</v>
      </c>
      <c r="M3164" s="866" t="n">
        <v>105</v>
      </c>
      <c r="N3164" s="866" t="n">
        <f aca="false">M3164/H3155</f>
        <v>7</v>
      </c>
      <c r="O3164" s="543" t="s">
        <v>539</v>
      </c>
      <c r="P3164" s="1934"/>
      <c r="Q3164" s="1934"/>
      <c r="R3164" s="1935"/>
    </row>
    <row r="3165" customFormat="false" ht="14.25" hidden="false" customHeight="false" outlineLevel="0" collapsed="false">
      <c r="A3165" s="829"/>
      <c r="B3165" s="830"/>
      <c r="C3165" s="1965"/>
      <c r="D3165" s="2073" t="s">
        <v>17</v>
      </c>
      <c r="E3165" s="1480" t="s">
        <v>1651</v>
      </c>
      <c r="F3165" s="832"/>
      <c r="G3165" s="2076"/>
      <c r="H3165" s="1931"/>
      <c r="I3165" s="837"/>
      <c r="J3165" s="1932"/>
      <c r="K3165" s="943"/>
      <c r="L3165" s="866" t="n">
        <v>1686.684</v>
      </c>
      <c r="M3165" s="866" t="n">
        <v>60</v>
      </c>
      <c r="N3165" s="866" t="n">
        <f aca="false">M3165/H3155</f>
        <v>4</v>
      </c>
      <c r="O3165" s="543" t="s">
        <v>530</v>
      </c>
      <c r="P3165" s="1934"/>
      <c r="Q3165" s="1934"/>
      <c r="R3165" s="1935"/>
    </row>
    <row r="3166" customFormat="false" ht="14.25" hidden="false" customHeight="false" outlineLevel="0" collapsed="false">
      <c r="A3166" s="829"/>
      <c r="B3166" s="830"/>
      <c r="C3166" s="1965"/>
      <c r="D3166" s="2073" t="s">
        <v>17</v>
      </c>
      <c r="E3166" s="1480" t="s">
        <v>1651</v>
      </c>
      <c r="F3166" s="832"/>
      <c r="G3166" s="2076"/>
      <c r="H3166" s="1931"/>
      <c r="I3166" s="837"/>
      <c r="J3166" s="1932"/>
      <c r="K3166" s="943"/>
      <c r="L3166" s="866" t="n">
        <v>11385.117</v>
      </c>
      <c r="M3166" s="866" t="n">
        <v>405</v>
      </c>
      <c r="N3166" s="866" t="n">
        <f aca="false">M3166/H3155</f>
        <v>27</v>
      </c>
      <c r="O3166" s="543" t="s">
        <v>392</v>
      </c>
      <c r="P3166" s="1934"/>
      <c r="Q3166" s="1934"/>
      <c r="R3166" s="1935"/>
    </row>
    <row r="3167" customFormat="false" ht="14.25" hidden="false" customHeight="false" outlineLevel="0" collapsed="false">
      <c r="A3167" s="829"/>
      <c r="B3167" s="830"/>
      <c r="C3167" s="1965"/>
      <c r="D3167" s="2077" t="s">
        <v>17</v>
      </c>
      <c r="E3167" s="1357" t="s">
        <v>1651</v>
      </c>
      <c r="F3167" s="832"/>
      <c r="G3167" s="2076"/>
      <c r="H3167" s="1931"/>
      <c r="I3167" s="837"/>
      <c r="J3167" s="1932"/>
      <c r="K3167" s="943"/>
      <c r="L3167" s="846" t="n">
        <v>24035.247</v>
      </c>
      <c r="M3167" s="846" t="n">
        <v>855</v>
      </c>
      <c r="N3167" s="846" t="n">
        <f aca="false">M3167/H3155</f>
        <v>57</v>
      </c>
      <c r="O3167" s="589" t="s">
        <v>396</v>
      </c>
      <c r="P3167" s="1934"/>
      <c r="Q3167" s="1934"/>
      <c r="R3167" s="1935"/>
    </row>
    <row r="3168" customFormat="false" ht="14.25" hidden="false" customHeight="false" outlineLevel="0" collapsed="false">
      <c r="A3168" s="1344" t="n">
        <v>370</v>
      </c>
      <c r="B3168" s="903" t="n">
        <v>2024</v>
      </c>
      <c r="C3168" s="1974" t="n">
        <v>45901</v>
      </c>
      <c r="D3168" s="2083" t="s">
        <v>17</v>
      </c>
      <c r="E3168" s="1351" t="s">
        <v>1651</v>
      </c>
      <c r="F3168" s="904" t="s">
        <v>3364</v>
      </c>
      <c r="G3168" s="2084" t="n">
        <v>104</v>
      </c>
      <c r="H3168" s="1940" t="n">
        <v>15</v>
      </c>
      <c r="I3168" s="942" t="n">
        <f aca="false">G3168*H3168</f>
        <v>1560</v>
      </c>
      <c r="J3168" s="1941" t="n">
        <v>31.8956</v>
      </c>
      <c r="K3168" s="948" t="n">
        <f aca="false">I3168*J3168</f>
        <v>49757.136</v>
      </c>
      <c r="L3168" s="891" t="n">
        <v>6698.076</v>
      </c>
      <c r="M3168" s="891" t="n">
        <v>210</v>
      </c>
      <c r="N3168" s="891" t="n">
        <f aca="false">M3168/H3168</f>
        <v>14</v>
      </c>
      <c r="O3168" s="942" t="s">
        <v>3612</v>
      </c>
      <c r="P3168" s="2004" t="n">
        <f aca="false">K3168-L3168-L3170-L3169</f>
        <v>0</v>
      </c>
      <c r="Q3168" s="2000" t="n">
        <f aca="false">I3168-M3168-M3170-M3169</f>
        <v>0</v>
      </c>
      <c r="R3168" s="2005" t="n">
        <f aca="false">G3168-N3168-N3170-N3169</f>
        <v>0</v>
      </c>
    </row>
    <row r="3169" customFormat="false" ht="14.25" hidden="false" customHeight="false" outlineLevel="0" collapsed="false">
      <c r="A3169" s="1344"/>
      <c r="B3169" s="903"/>
      <c r="C3169" s="1974"/>
      <c r="D3169" s="2073" t="s">
        <v>17</v>
      </c>
      <c r="E3169" s="1480" t="s">
        <v>1651</v>
      </c>
      <c r="F3169" s="904"/>
      <c r="G3169" s="2084"/>
      <c r="H3169" s="1940"/>
      <c r="I3169" s="942"/>
      <c r="J3169" s="1941"/>
      <c r="K3169" s="948"/>
      <c r="L3169" s="866" t="n">
        <v>4784.34</v>
      </c>
      <c r="M3169" s="866" t="n">
        <v>150</v>
      </c>
      <c r="N3169" s="866" t="n">
        <f aca="false">M3169/H3168</f>
        <v>10</v>
      </c>
      <c r="O3169" s="543" t="s">
        <v>396</v>
      </c>
      <c r="P3169" s="2004"/>
      <c r="Q3169" s="2000"/>
      <c r="R3169" s="2005"/>
    </row>
    <row r="3170" customFormat="false" ht="14.25" hidden="false" customHeight="false" outlineLevel="0" collapsed="false">
      <c r="A3170" s="1344"/>
      <c r="B3170" s="903"/>
      <c r="C3170" s="1974"/>
      <c r="D3170" s="2074" t="s">
        <v>17</v>
      </c>
      <c r="E3170" s="1478" t="s">
        <v>1651</v>
      </c>
      <c r="F3170" s="904"/>
      <c r="G3170" s="2084"/>
      <c r="H3170" s="1940"/>
      <c r="I3170" s="942"/>
      <c r="J3170" s="1941"/>
      <c r="K3170" s="948"/>
      <c r="L3170" s="877" t="n">
        <v>38274.72</v>
      </c>
      <c r="M3170" s="877" t="n">
        <v>1200</v>
      </c>
      <c r="N3170" s="877" t="n">
        <f aca="false">M3170/H3168</f>
        <v>80</v>
      </c>
      <c r="O3170" s="553" t="s">
        <v>471</v>
      </c>
      <c r="P3170" s="2004"/>
      <c r="Q3170" s="2000"/>
      <c r="R3170" s="2005"/>
    </row>
    <row r="3171" customFormat="false" ht="14.25" hidden="false" customHeight="false" outlineLevel="0" collapsed="false">
      <c r="A3171" s="882" t="n">
        <v>389</v>
      </c>
      <c r="B3171" s="830" t="n">
        <v>2024</v>
      </c>
      <c r="C3171" s="1965" t="n">
        <v>45901</v>
      </c>
      <c r="D3171" s="2075" t="s">
        <v>17</v>
      </c>
      <c r="E3171" s="1365" t="s">
        <v>1651</v>
      </c>
      <c r="F3171" s="832" t="s">
        <v>3364</v>
      </c>
      <c r="G3171" s="2076" t="n">
        <v>208</v>
      </c>
      <c r="H3171" s="1931" t="n">
        <v>25</v>
      </c>
      <c r="I3171" s="837" t="n">
        <f aca="false">G3171*H3171</f>
        <v>5200</v>
      </c>
      <c r="J3171" s="1932" t="n">
        <v>57.3642</v>
      </c>
      <c r="K3171" s="943" t="n">
        <f aca="false">I3171*J3171</f>
        <v>298293.84</v>
      </c>
      <c r="L3171" s="840" t="n">
        <v>286821</v>
      </c>
      <c r="M3171" s="840" t="n">
        <v>5000</v>
      </c>
      <c r="N3171" s="886" t="n">
        <f aca="false">M3171/H3171</f>
        <v>200</v>
      </c>
      <c r="O3171" s="1114" t="s">
        <v>404</v>
      </c>
      <c r="P3171" s="1934" t="n">
        <f aca="false">K3171-L3171-L3173-L3172</f>
        <v>-3.27418092638254E-011</v>
      </c>
      <c r="Q3171" s="1934" t="n">
        <f aca="false">I3171-M3171-M3173-M3172</f>
        <v>0</v>
      </c>
      <c r="R3171" s="1935" t="n">
        <f aca="false">G3171-N3171-N3173-N3172</f>
        <v>0</v>
      </c>
    </row>
    <row r="3172" customFormat="false" ht="14.25" hidden="false" customHeight="false" outlineLevel="0" collapsed="false">
      <c r="A3172" s="882"/>
      <c r="B3172" s="830"/>
      <c r="C3172" s="1965"/>
      <c r="D3172" s="2083" t="s">
        <v>17</v>
      </c>
      <c r="E3172" s="1351" t="s">
        <v>1651</v>
      </c>
      <c r="F3172" s="832"/>
      <c r="G3172" s="2076"/>
      <c r="H3172" s="1931"/>
      <c r="I3172" s="837"/>
      <c r="J3172" s="1932"/>
      <c r="K3172" s="943"/>
      <c r="L3172" s="891" t="n">
        <v>5736.42</v>
      </c>
      <c r="M3172" s="891" t="n">
        <v>100</v>
      </c>
      <c r="N3172" s="866" t="n">
        <f aca="false">M3172/H3171</f>
        <v>4</v>
      </c>
      <c r="O3172" s="942" t="s">
        <v>1229</v>
      </c>
      <c r="P3172" s="1934"/>
      <c r="Q3172" s="1934"/>
      <c r="R3172" s="1935"/>
    </row>
    <row r="3173" customFormat="false" ht="14.25" hidden="false" customHeight="false" outlineLevel="0" collapsed="false">
      <c r="A3173" s="882"/>
      <c r="B3173" s="830"/>
      <c r="C3173" s="1965"/>
      <c r="D3173" s="2077" t="s">
        <v>17</v>
      </c>
      <c r="E3173" s="1357" t="s">
        <v>1651</v>
      </c>
      <c r="F3173" s="832"/>
      <c r="G3173" s="2076"/>
      <c r="H3173" s="1931"/>
      <c r="I3173" s="837"/>
      <c r="J3173" s="1932"/>
      <c r="K3173" s="943"/>
      <c r="L3173" s="846" t="n">
        <v>5736.42</v>
      </c>
      <c r="M3173" s="846" t="n">
        <v>100</v>
      </c>
      <c r="N3173" s="846" t="n">
        <f aca="false">M3173/H3171</f>
        <v>4</v>
      </c>
      <c r="O3173" s="589" t="s">
        <v>800</v>
      </c>
      <c r="P3173" s="1934"/>
      <c r="Q3173" s="1934"/>
      <c r="R3173" s="1935"/>
    </row>
    <row r="3174" customFormat="false" ht="16.4" hidden="false" customHeight="false" outlineLevel="0" collapsed="false">
      <c r="A3174" s="903" t="n">
        <v>390</v>
      </c>
      <c r="B3174" s="903" t="n">
        <v>2024</v>
      </c>
      <c r="C3174" s="1974" t="n">
        <v>45901</v>
      </c>
      <c r="D3174" s="2083" t="s">
        <v>17</v>
      </c>
      <c r="E3174" s="1351" t="s">
        <v>1651</v>
      </c>
      <c r="F3174" s="904" t="s">
        <v>3364</v>
      </c>
      <c r="G3174" s="2084" t="n">
        <v>79</v>
      </c>
      <c r="H3174" s="1940" t="n">
        <v>25</v>
      </c>
      <c r="I3174" s="1355" t="n">
        <f aca="false">G3174*H3174</f>
        <v>1975</v>
      </c>
      <c r="J3174" s="1941" t="n">
        <v>52.5341</v>
      </c>
      <c r="K3174" s="1942" t="n">
        <f aca="false">I3174*J3174</f>
        <v>103754.8475</v>
      </c>
      <c r="L3174" s="891" t="n">
        <v>103754.8475</v>
      </c>
      <c r="M3174" s="891" t="n">
        <v>1975</v>
      </c>
      <c r="N3174" s="891" t="n">
        <f aca="false">M3174/H3174</f>
        <v>79</v>
      </c>
      <c r="O3174" s="942" t="s">
        <v>3378</v>
      </c>
      <c r="P3174" s="1944" t="n">
        <f aca="false">K3174-L3174</f>
        <v>0</v>
      </c>
      <c r="Q3174" s="1946" t="n">
        <f aca="false">I3174-M3174</f>
        <v>0</v>
      </c>
      <c r="R3174" s="1946" t="n">
        <f aca="false">G3174-N3174</f>
        <v>0</v>
      </c>
    </row>
    <row r="3175" customFormat="false" ht="14.25" hidden="false" customHeight="false" outlineLevel="0" collapsed="false">
      <c r="A3175" s="1465" t="n">
        <v>402</v>
      </c>
      <c r="B3175" s="1546" t="n">
        <v>2024</v>
      </c>
      <c r="C3175" s="1975" t="n">
        <v>45901</v>
      </c>
      <c r="D3175" s="2072" t="s">
        <v>17</v>
      </c>
      <c r="E3175" s="1607" t="s">
        <v>1652</v>
      </c>
      <c r="F3175" s="1328" t="s">
        <v>3364</v>
      </c>
      <c r="G3175" s="2085" t="n">
        <v>416</v>
      </c>
      <c r="H3175" s="1976" t="n">
        <v>15</v>
      </c>
      <c r="I3175" s="1036" t="n">
        <f aca="false">G3175*H3175</f>
        <v>6240</v>
      </c>
      <c r="J3175" s="1999" t="n">
        <v>40.6218</v>
      </c>
      <c r="K3175" s="1547" t="n">
        <f aca="false">I3175*J3175</f>
        <v>253480.032</v>
      </c>
      <c r="L3175" s="886" t="n">
        <v>1218.654</v>
      </c>
      <c r="M3175" s="886" t="n">
        <v>30</v>
      </c>
      <c r="N3175" s="886" t="n">
        <f aca="false">M3175/H3175</f>
        <v>2</v>
      </c>
      <c r="O3175" s="1036" t="s">
        <v>499</v>
      </c>
      <c r="P3175" s="1978" t="n">
        <f aca="false">K3175-L3175-L3185-L3184-L3176-L3177-L3183-L3178-L3179-L3182-L3180-L3181</f>
        <v>-1.36424205265939E-011</v>
      </c>
      <c r="Q3175" s="1978" t="n">
        <f aca="false">I3175-M3175-M3185-M3184-M3176-M3177-M3183-M3178-M3179-M3182-M3180-M3181</f>
        <v>0</v>
      </c>
      <c r="R3175" s="1979" t="n">
        <f aca="false">G3175-N3175-N3185-N3184-N3176-N3177-N3183-N3178-N3179-N3182-N3180-N3181</f>
        <v>0</v>
      </c>
    </row>
    <row r="3176" customFormat="false" ht="14.25" hidden="false" customHeight="false" outlineLevel="0" collapsed="false">
      <c r="A3176" s="1465"/>
      <c r="B3176" s="1546"/>
      <c r="C3176" s="1975"/>
      <c r="D3176" s="2073" t="s">
        <v>17</v>
      </c>
      <c r="E3176" s="1480" t="s">
        <v>1652</v>
      </c>
      <c r="F3176" s="1328"/>
      <c r="G3176" s="2085"/>
      <c r="H3176" s="1976"/>
      <c r="I3176" s="1036"/>
      <c r="J3176" s="1999"/>
      <c r="K3176" s="1547"/>
      <c r="L3176" s="866" t="n">
        <v>81649.818</v>
      </c>
      <c r="M3176" s="866" t="n">
        <v>2010</v>
      </c>
      <c r="N3176" s="866" t="n">
        <f aca="false">M3176/H3175</f>
        <v>134</v>
      </c>
      <c r="O3176" s="543" t="s">
        <v>404</v>
      </c>
      <c r="P3176" s="1978"/>
      <c r="Q3176" s="1978"/>
      <c r="R3176" s="1979"/>
    </row>
    <row r="3177" customFormat="false" ht="14.25" hidden="false" customHeight="false" outlineLevel="0" collapsed="false">
      <c r="A3177" s="1465"/>
      <c r="B3177" s="1546"/>
      <c r="C3177" s="1975"/>
      <c r="D3177" s="2073" t="s">
        <v>17</v>
      </c>
      <c r="E3177" s="1480" t="s">
        <v>1652</v>
      </c>
      <c r="F3177" s="1328"/>
      <c r="G3177" s="2085"/>
      <c r="H3177" s="1976"/>
      <c r="I3177" s="1036"/>
      <c r="J3177" s="1999"/>
      <c r="K3177" s="1547"/>
      <c r="L3177" s="866" t="n">
        <v>6093.27</v>
      </c>
      <c r="M3177" s="866" t="n">
        <v>150</v>
      </c>
      <c r="N3177" s="866" t="n">
        <f aca="false">M3177/H3175</f>
        <v>10</v>
      </c>
      <c r="O3177" s="543" t="s">
        <v>595</v>
      </c>
      <c r="P3177" s="1978"/>
      <c r="Q3177" s="1978"/>
      <c r="R3177" s="1979"/>
    </row>
    <row r="3178" customFormat="false" ht="14.25" hidden="false" customHeight="false" outlineLevel="0" collapsed="false">
      <c r="A3178" s="1465"/>
      <c r="B3178" s="1546"/>
      <c r="C3178" s="1975"/>
      <c r="D3178" s="2073" t="s">
        <v>17</v>
      </c>
      <c r="E3178" s="1480" t="s">
        <v>1652</v>
      </c>
      <c r="F3178" s="1328"/>
      <c r="G3178" s="2085"/>
      <c r="H3178" s="1976"/>
      <c r="I3178" s="1036"/>
      <c r="J3178" s="1999"/>
      <c r="K3178" s="1547"/>
      <c r="L3178" s="866" t="n">
        <v>24373.08</v>
      </c>
      <c r="M3178" s="866" t="n">
        <v>600</v>
      </c>
      <c r="N3178" s="866" t="n">
        <f aca="false">M3178/H3175</f>
        <v>40</v>
      </c>
      <c r="O3178" s="543" t="s">
        <v>571</v>
      </c>
      <c r="P3178" s="1978"/>
      <c r="Q3178" s="1978"/>
      <c r="R3178" s="1979"/>
    </row>
    <row r="3179" customFormat="false" ht="14.25" hidden="false" customHeight="false" outlineLevel="0" collapsed="false">
      <c r="A3179" s="1465"/>
      <c r="B3179" s="1546"/>
      <c r="C3179" s="1975"/>
      <c r="D3179" s="2073" t="s">
        <v>17</v>
      </c>
      <c r="E3179" s="1480" t="s">
        <v>1652</v>
      </c>
      <c r="F3179" s="1328"/>
      <c r="G3179" s="2085"/>
      <c r="H3179" s="1976"/>
      <c r="I3179" s="1036"/>
      <c r="J3179" s="1999"/>
      <c r="K3179" s="1547"/>
      <c r="L3179" s="866" t="n">
        <v>8530.578</v>
      </c>
      <c r="M3179" s="866" t="n">
        <v>210</v>
      </c>
      <c r="N3179" s="866" t="n">
        <f aca="false">M3179/H3175</f>
        <v>14</v>
      </c>
      <c r="O3179" s="543" t="s">
        <v>633</v>
      </c>
      <c r="P3179" s="1978"/>
      <c r="Q3179" s="1978"/>
      <c r="R3179" s="1979"/>
    </row>
    <row r="3180" customFormat="false" ht="14.25" hidden="false" customHeight="false" outlineLevel="0" collapsed="false">
      <c r="A3180" s="1465"/>
      <c r="B3180" s="1546"/>
      <c r="C3180" s="1975"/>
      <c r="D3180" s="2073" t="s">
        <v>17</v>
      </c>
      <c r="E3180" s="1480" t="s">
        <v>1652</v>
      </c>
      <c r="F3180" s="1328"/>
      <c r="G3180" s="2085"/>
      <c r="H3180" s="1976"/>
      <c r="I3180" s="1036"/>
      <c r="J3180" s="1999"/>
      <c r="K3180" s="1547"/>
      <c r="L3180" s="866" t="n">
        <v>9749.232</v>
      </c>
      <c r="M3180" s="866" t="n">
        <v>240</v>
      </c>
      <c r="N3180" s="866" t="n">
        <f aca="false">M3180/H3175</f>
        <v>16</v>
      </c>
      <c r="O3180" s="543" t="s">
        <v>654</v>
      </c>
      <c r="P3180" s="1978"/>
      <c r="Q3180" s="1978"/>
      <c r="R3180" s="1979"/>
    </row>
    <row r="3181" customFormat="false" ht="14.25" hidden="false" customHeight="false" outlineLevel="0" collapsed="false">
      <c r="A3181" s="1465"/>
      <c r="B3181" s="1546"/>
      <c r="C3181" s="1975"/>
      <c r="D3181" s="2073" t="s">
        <v>17</v>
      </c>
      <c r="E3181" s="1480" t="s">
        <v>1652</v>
      </c>
      <c r="F3181" s="1328"/>
      <c r="G3181" s="2085"/>
      <c r="H3181" s="1976"/>
      <c r="I3181" s="1036"/>
      <c r="J3181" s="1999"/>
      <c r="K3181" s="1547"/>
      <c r="L3181" s="866" t="n">
        <v>2437.308</v>
      </c>
      <c r="M3181" s="866" t="n">
        <v>60</v>
      </c>
      <c r="N3181" s="866" t="n">
        <f aca="false">M3181/H3175</f>
        <v>4</v>
      </c>
      <c r="O3181" s="543" t="s">
        <v>690</v>
      </c>
      <c r="P3181" s="1978"/>
      <c r="Q3181" s="1978"/>
      <c r="R3181" s="1979"/>
    </row>
    <row r="3182" customFormat="false" ht="14.25" hidden="false" customHeight="false" outlineLevel="0" collapsed="false">
      <c r="A3182" s="1465"/>
      <c r="B3182" s="1546"/>
      <c r="C3182" s="1975"/>
      <c r="D3182" s="2073" t="s">
        <v>17</v>
      </c>
      <c r="E3182" s="1480" t="s">
        <v>1652</v>
      </c>
      <c r="F3182" s="1328"/>
      <c r="G3182" s="2085"/>
      <c r="H3182" s="1976"/>
      <c r="I3182" s="1036"/>
      <c r="J3182" s="1999"/>
      <c r="K3182" s="1547"/>
      <c r="L3182" s="866" t="n">
        <v>24373.08</v>
      </c>
      <c r="M3182" s="866" t="n">
        <v>600</v>
      </c>
      <c r="N3182" s="866" t="n">
        <f aca="false">M3182/H3175</f>
        <v>40</v>
      </c>
      <c r="O3182" s="543" t="s">
        <v>650</v>
      </c>
      <c r="P3182" s="1978"/>
      <c r="Q3182" s="1978"/>
      <c r="R3182" s="1979"/>
    </row>
    <row r="3183" customFormat="false" ht="14.25" hidden="false" customHeight="false" outlineLevel="0" collapsed="false">
      <c r="A3183" s="1465"/>
      <c r="B3183" s="1546"/>
      <c r="C3183" s="1975"/>
      <c r="D3183" s="2073" t="s">
        <v>17</v>
      </c>
      <c r="E3183" s="1480" t="s">
        <v>1652</v>
      </c>
      <c r="F3183" s="1328"/>
      <c r="G3183" s="2085"/>
      <c r="H3183" s="1976"/>
      <c r="I3183" s="1036"/>
      <c r="J3183" s="1999"/>
      <c r="K3183" s="1547"/>
      <c r="L3183" s="866" t="n">
        <v>57276.738</v>
      </c>
      <c r="M3183" s="866" t="n">
        <v>1410</v>
      </c>
      <c r="N3183" s="866" t="n">
        <f aca="false">M3183/H3175</f>
        <v>94</v>
      </c>
      <c r="O3183" s="543" t="s">
        <v>549</v>
      </c>
      <c r="P3183" s="1978"/>
      <c r="Q3183" s="1978"/>
      <c r="R3183" s="1979"/>
    </row>
    <row r="3184" customFormat="false" ht="14.25" hidden="false" customHeight="false" outlineLevel="0" collapsed="false">
      <c r="A3184" s="1465"/>
      <c r="B3184" s="1546"/>
      <c r="C3184" s="1975"/>
      <c r="D3184" s="2073" t="s">
        <v>17</v>
      </c>
      <c r="E3184" s="1480" t="s">
        <v>1652</v>
      </c>
      <c r="F3184" s="1328"/>
      <c r="G3184" s="2085"/>
      <c r="H3184" s="1976"/>
      <c r="I3184" s="1036"/>
      <c r="J3184" s="1999"/>
      <c r="K3184" s="1547"/>
      <c r="L3184" s="866" t="n">
        <v>4874.616</v>
      </c>
      <c r="M3184" s="866" t="n">
        <v>120</v>
      </c>
      <c r="N3184" s="866" t="n">
        <f aca="false">M3184/H3175</f>
        <v>8</v>
      </c>
      <c r="O3184" s="543" t="s">
        <v>522</v>
      </c>
      <c r="P3184" s="1978"/>
      <c r="Q3184" s="1978"/>
      <c r="R3184" s="1979"/>
    </row>
    <row r="3185" customFormat="false" ht="14.25" hidden="false" customHeight="false" outlineLevel="0" collapsed="false">
      <c r="A3185" s="1465"/>
      <c r="B3185" s="1546"/>
      <c r="C3185" s="1975"/>
      <c r="D3185" s="2074" t="s">
        <v>17</v>
      </c>
      <c r="E3185" s="1478" t="s">
        <v>1652</v>
      </c>
      <c r="F3185" s="1328"/>
      <c r="G3185" s="2085"/>
      <c r="H3185" s="1976"/>
      <c r="I3185" s="1036"/>
      <c r="J3185" s="1999"/>
      <c r="K3185" s="1547"/>
      <c r="L3185" s="877" t="n">
        <v>32903.658</v>
      </c>
      <c r="M3185" s="877" t="n">
        <v>810</v>
      </c>
      <c r="N3185" s="877" t="n">
        <f aca="false">M3185/H3175</f>
        <v>54</v>
      </c>
      <c r="O3185" s="553" t="s">
        <v>507</v>
      </c>
      <c r="P3185" s="1978"/>
      <c r="Q3185" s="1978"/>
      <c r="R3185" s="1979"/>
    </row>
    <row r="3186" customFormat="false" ht="14.25" hidden="false" customHeight="false" outlineLevel="0" collapsed="false">
      <c r="A3186" s="1027" t="n">
        <v>406</v>
      </c>
      <c r="B3186" s="1546" t="n">
        <v>2024</v>
      </c>
      <c r="C3186" s="1975" t="n">
        <v>45901</v>
      </c>
      <c r="D3186" s="2075" t="s">
        <v>17</v>
      </c>
      <c r="E3186" s="1365" t="s">
        <v>1651</v>
      </c>
      <c r="F3186" s="1328" t="s">
        <v>3367</v>
      </c>
      <c r="G3186" s="2085" t="n">
        <v>228</v>
      </c>
      <c r="H3186" s="1976" t="n">
        <v>10</v>
      </c>
      <c r="I3186" s="1036" t="n">
        <f aca="false">G3186*H3186</f>
        <v>2280</v>
      </c>
      <c r="J3186" s="1999" t="n">
        <v>31.2519</v>
      </c>
      <c r="K3186" s="1547" t="n">
        <f aca="false">I3186*J3186</f>
        <v>71254.332</v>
      </c>
      <c r="L3186" s="840" t="n">
        <v>9375.57</v>
      </c>
      <c r="M3186" s="840" t="n">
        <v>300</v>
      </c>
      <c r="N3186" s="886" t="n">
        <f aca="false">M3186/H3186</f>
        <v>30</v>
      </c>
      <c r="O3186" s="1114" t="s">
        <v>538</v>
      </c>
      <c r="P3186" s="1977" t="n">
        <f aca="false">K3186-L3186-L3188-L3187</f>
        <v>0</v>
      </c>
      <c r="Q3186" s="1978" t="n">
        <f aca="false">I3186-M3186-M3188-M3187</f>
        <v>0</v>
      </c>
      <c r="R3186" s="1979" t="n">
        <f aca="false">G3186-N3186-N3188-N3187</f>
        <v>0</v>
      </c>
    </row>
    <row r="3187" customFormat="false" ht="14.25" hidden="false" customHeight="false" outlineLevel="0" collapsed="false">
      <c r="A3187" s="1027"/>
      <c r="B3187" s="1546"/>
      <c r="C3187" s="1975"/>
      <c r="D3187" s="2083" t="s">
        <v>17</v>
      </c>
      <c r="E3187" s="1351" t="s">
        <v>1651</v>
      </c>
      <c r="F3187" s="1328"/>
      <c r="G3187" s="2085"/>
      <c r="H3187" s="1976"/>
      <c r="I3187" s="1036"/>
      <c r="J3187" s="1999"/>
      <c r="K3187" s="1547"/>
      <c r="L3187" s="891" t="n">
        <v>58441.053</v>
      </c>
      <c r="M3187" s="891" t="n">
        <v>1870</v>
      </c>
      <c r="N3187" s="866" t="n">
        <f aca="false">M3187/H3186</f>
        <v>187</v>
      </c>
      <c r="O3187" s="942" t="s">
        <v>544</v>
      </c>
      <c r="P3187" s="1977"/>
      <c r="Q3187" s="1978"/>
      <c r="R3187" s="1979"/>
    </row>
    <row r="3188" customFormat="false" ht="14.25" hidden="false" customHeight="false" outlineLevel="0" collapsed="false">
      <c r="A3188" s="1027"/>
      <c r="B3188" s="1546"/>
      <c r="C3188" s="1975"/>
      <c r="D3188" s="2074" t="s">
        <v>17</v>
      </c>
      <c r="E3188" s="1478" t="s">
        <v>1651</v>
      </c>
      <c r="F3188" s="1328"/>
      <c r="G3188" s="2085"/>
      <c r="H3188" s="1976"/>
      <c r="I3188" s="1036"/>
      <c r="J3188" s="1999"/>
      <c r="K3188" s="1547"/>
      <c r="L3188" s="877" t="n">
        <v>3437.709</v>
      </c>
      <c r="M3188" s="877" t="n">
        <v>110</v>
      </c>
      <c r="N3188" s="877" t="n">
        <f aca="false">M3188/H3186</f>
        <v>11</v>
      </c>
      <c r="O3188" s="553" t="s">
        <v>3613</v>
      </c>
      <c r="P3188" s="1977"/>
      <c r="Q3188" s="1978"/>
      <c r="R3188" s="1979"/>
    </row>
    <row r="3189" customFormat="false" ht="14.25" hidden="false" customHeight="false" outlineLevel="0" collapsed="false">
      <c r="A3189" s="829" t="n">
        <v>407</v>
      </c>
      <c r="B3189" s="830" t="n">
        <v>2024</v>
      </c>
      <c r="C3189" s="1965" t="n">
        <v>45901</v>
      </c>
      <c r="D3189" s="2075" t="s">
        <v>17</v>
      </c>
      <c r="E3189" s="1365" t="s">
        <v>1651</v>
      </c>
      <c r="F3189" s="832" t="s">
        <v>3364</v>
      </c>
      <c r="G3189" s="2076" t="n">
        <v>141</v>
      </c>
      <c r="H3189" s="1931" t="n">
        <v>15</v>
      </c>
      <c r="I3189" s="837" t="n">
        <f aca="false">G3189*H3189</f>
        <v>2115</v>
      </c>
      <c r="J3189" s="1932" t="n">
        <v>31.9907</v>
      </c>
      <c r="K3189" s="943" t="n">
        <f aca="false">I3189*J3189</f>
        <v>67660.3305</v>
      </c>
      <c r="L3189" s="840" t="n">
        <v>64301.307</v>
      </c>
      <c r="M3189" s="840" t="n">
        <v>2010</v>
      </c>
      <c r="N3189" s="840" t="n">
        <f aca="false">M3189/H3189</f>
        <v>134</v>
      </c>
      <c r="O3189" s="1114" t="s">
        <v>465</v>
      </c>
      <c r="P3189" s="1934" t="n">
        <f aca="false">K3189-L3189-L3190</f>
        <v>-0.00050000000419459</v>
      </c>
      <c r="Q3189" s="1934" t="n">
        <f aca="false">I3189-M3189-M3190</f>
        <v>0</v>
      </c>
      <c r="R3189" s="1935" t="n">
        <f aca="false">G3189-N3189-N3190</f>
        <v>0</v>
      </c>
    </row>
    <row r="3190" customFormat="false" ht="14.25" hidden="false" customHeight="false" outlineLevel="0" collapsed="false">
      <c r="A3190" s="829"/>
      <c r="B3190" s="830"/>
      <c r="C3190" s="1965"/>
      <c r="D3190" s="2077" t="s">
        <v>17</v>
      </c>
      <c r="E3190" s="1357" t="s">
        <v>1651</v>
      </c>
      <c r="F3190" s="832"/>
      <c r="G3190" s="2076"/>
      <c r="H3190" s="1931"/>
      <c r="I3190" s="837"/>
      <c r="J3190" s="1932"/>
      <c r="K3190" s="943"/>
      <c r="L3190" s="846" t="n">
        <v>3359.024</v>
      </c>
      <c r="M3190" s="846" t="n">
        <v>105</v>
      </c>
      <c r="N3190" s="846" t="n">
        <f aca="false">M3190/H3189</f>
        <v>7</v>
      </c>
      <c r="O3190" s="589" t="s">
        <v>779</v>
      </c>
      <c r="P3190" s="1934"/>
      <c r="Q3190" s="1934"/>
      <c r="R3190" s="1935"/>
    </row>
    <row r="3191" customFormat="false" ht="16.4" hidden="false" customHeight="false" outlineLevel="0" collapsed="false">
      <c r="A3191" s="903" t="n">
        <v>416</v>
      </c>
      <c r="B3191" s="903" t="n">
        <v>2024</v>
      </c>
      <c r="C3191" s="1974" t="n">
        <v>45901</v>
      </c>
      <c r="D3191" s="2083" t="s">
        <v>17</v>
      </c>
      <c r="E3191" s="1351" t="s">
        <v>2133</v>
      </c>
      <c r="F3191" s="904" t="s">
        <v>3364</v>
      </c>
      <c r="G3191" s="2084" t="n">
        <v>67</v>
      </c>
      <c r="H3191" s="1940" t="n">
        <v>30</v>
      </c>
      <c r="I3191" s="1355" t="n">
        <f aca="false">G3191*H3191</f>
        <v>2010</v>
      </c>
      <c r="J3191" s="1941" t="n">
        <v>87.4223</v>
      </c>
      <c r="K3191" s="1942" t="n">
        <f aca="false">I3191*J3191</f>
        <v>175718.823</v>
      </c>
      <c r="L3191" s="891" t="n">
        <v>175718.823</v>
      </c>
      <c r="M3191" s="891" t="n">
        <v>2010</v>
      </c>
      <c r="N3191" s="891" t="n">
        <f aca="false">M3191/H3191</f>
        <v>67</v>
      </c>
      <c r="O3191" s="942" t="s">
        <v>494</v>
      </c>
      <c r="P3191" s="1944" t="n">
        <f aca="false">K3191-L3191</f>
        <v>0</v>
      </c>
      <c r="Q3191" s="1946" t="n">
        <f aca="false">I3191-M3191</f>
        <v>0</v>
      </c>
      <c r="R3191" s="1946" t="n">
        <f aca="false">G3191-N3191</f>
        <v>0</v>
      </c>
    </row>
    <row r="3192" customFormat="false" ht="14.25" hidden="false" customHeight="false" outlineLevel="0" collapsed="false">
      <c r="A3192" s="1465" t="n">
        <v>435</v>
      </c>
      <c r="B3192" s="1546" t="n">
        <v>2024</v>
      </c>
      <c r="C3192" s="1975" t="n">
        <v>45931</v>
      </c>
      <c r="D3192" s="2072" t="s">
        <v>17</v>
      </c>
      <c r="E3192" s="1607" t="s">
        <v>1651</v>
      </c>
      <c r="F3192" s="1328" t="s">
        <v>3367</v>
      </c>
      <c r="G3192" s="2085" t="n">
        <v>785</v>
      </c>
      <c r="H3192" s="1976" t="n">
        <v>10</v>
      </c>
      <c r="I3192" s="1036" t="n">
        <f aca="false">G3192*H3192</f>
        <v>7850</v>
      </c>
      <c r="J3192" s="1999" t="n">
        <v>28.6253</v>
      </c>
      <c r="K3192" s="1547" t="n">
        <f aca="false">I3192*J3192</f>
        <v>224708.605</v>
      </c>
      <c r="L3192" s="886" t="n">
        <v>64406.925</v>
      </c>
      <c r="M3192" s="886" t="n">
        <v>2250</v>
      </c>
      <c r="N3192" s="886" t="n">
        <f aca="false">M3192/H3192</f>
        <v>225</v>
      </c>
      <c r="O3192" s="1036" t="s">
        <v>556</v>
      </c>
      <c r="P3192" s="1977" t="n">
        <f aca="false">K3192-L3192-L3199-L3198-L3193-L3194-L3197-L3195-L3196</f>
        <v>0</v>
      </c>
      <c r="Q3192" s="1978" t="n">
        <f aca="false">I3192-M3192-M3199-M3198-M3193-M3194-M3197-M3195-M3196</f>
        <v>0</v>
      </c>
      <c r="R3192" s="1979" t="n">
        <f aca="false">G3192-N3192-N3199-N3198-N3193-N3194-N3197-N3195-N3196</f>
        <v>0</v>
      </c>
    </row>
    <row r="3193" customFormat="false" ht="14.25" hidden="false" customHeight="false" outlineLevel="0" collapsed="false">
      <c r="A3193" s="1465"/>
      <c r="B3193" s="1546"/>
      <c r="C3193" s="1975"/>
      <c r="D3193" s="2073" t="s">
        <v>17</v>
      </c>
      <c r="E3193" s="1480" t="s">
        <v>1651</v>
      </c>
      <c r="F3193" s="1328"/>
      <c r="G3193" s="2085"/>
      <c r="H3193" s="1976"/>
      <c r="I3193" s="1036"/>
      <c r="J3193" s="1999"/>
      <c r="K3193" s="1547"/>
      <c r="L3193" s="866" t="n">
        <v>1431.265</v>
      </c>
      <c r="M3193" s="2032" t="n">
        <v>50</v>
      </c>
      <c r="N3193" s="866" t="n">
        <f aca="false">M3193/H3192</f>
        <v>5</v>
      </c>
      <c r="O3193" s="2048" t="s">
        <v>588</v>
      </c>
      <c r="P3193" s="1977"/>
      <c r="Q3193" s="1978"/>
      <c r="R3193" s="1979"/>
    </row>
    <row r="3194" customFormat="false" ht="14.25" hidden="false" customHeight="false" outlineLevel="0" collapsed="false">
      <c r="A3194" s="1465"/>
      <c r="B3194" s="1546"/>
      <c r="C3194" s="1975"/>
      <c r="D3194" s="2080" t="s">
        <v>17</v>
      </c>
      <c r="E3194" s="1479" t="s">
        <v>1651</v>
      </c>
      <c r="F3194" s="1328"/>
      <c r="G3194" s="2085"/>
      <c r="H3194" s="1976"/>
      <c r="I3194" s="1036"/>
      <c r="J3194" s="1999"/>
      <c r="K3194" s="1547"/>
      <c r="L3194" s="854" t="n">
        <v>17175.18</v>
      </c>
      <c r="M3194" s="2049" t="n">
        <v>600</v>
      </c>
      <c r="N3194" s="854" t="n">
        <f aca="false">M3194/H3192</f>
        <v>60</v>
      </c>
      <c r="O3194" s="2050" t="s">
        <v>589</v>
      </c>
      <c r="P3194" s="1977"/>
      <c r="Q3194" s="1978"/>
      <c r="R3194" s="1979"/>
    </row>
    <row r="3195" customFormat="false" ht="14.25" hidden="false" customHeight="false" outlineLevel="0" collapsed="false">
      <c r="A3195" s="1465"/>
      <c r="B3195" s="1546"/>
      <c r="C3195" s="1975"/>
      <c r="D3195" s="2080" t="s">
        <v>17</v>
      </c>
      <c r="E3195" s="1479" t="s">
        <v>1651</v>
      </c>
      <c r="F3195" s="1328"/>
      <c r="G3195" s="2085"/>
      <c r="H3195" s="1976"/>
      <c r="I3195" s="1036"/>
      <c r="J3195" s="1999"/>
      <c r="K3195" s="1547"/>
      <c r="L3195" s="854" t="n">
        <v>18606.445</v>
      </c>
      <c r="M3195" s="2049" t="n">
        <v>650</v>
      </c>
      <c r="N3195" s="854" t="n">
        <f aca="false">M3195/H3192</f>
        <v>65</v>
      </c>
      <c r="O3195" s="2050" t="s">
        <v>774</v>
      </c>
      <c r="P3195" s="1977"/>
      <c r="Q3195" s="1978"/>
      <c r="R3195" s="1979"/>
    </row>
    <row r="3196" customFormat="false" ht="14.25" hidden="false" customHeight="false" outlineLevel="0" collapsed="false">
      <c r="A3196" s="1465"/>
      <c r="B3196" s="1546"/>
      <c r="C3196" s="1975"/>
      <c r="D3196" s="2080" t="s">
        <v>17</v>
      </c>
      <c r="E3196" s="1479" t="s">
        <v>1651</v>
      </c>
      <c r="F3196" s="1328"/>
      <c r="G3196" s="2085"/>
      <c r="H3196" s="1976"/>
      <c r="I3196" s="1036"/>
      <c r="J3196" s="1999"/>
      <c r="K3196" s="1547"/>
      <c r="L3196" s="854" t="n">
        <v>57250.6</v>
      </c>
      <c r="M3196" s="2049" t="n">
        <v>2000</v>
      </c>
      <c r="N3196" s="854" t="n">
        <f aca="false">M3196/H3192</f>
        <v>200</v>
      </c>
      <c r="O3196" s="2050" t="s">
        <v>803</v>
      </c>
      <c r="P3196" s="1977"/>
      <c r="Q3196" s="1978"/>
      <c r="R3196" s="1979"/>
    </row>
    <row r="3197" customFormat="false" ht="14.25" hidden="false" customHeight="false" outlineLevel="0" collapsed="false">
      <c r="A3197" s="1465"/>
      <c r="B3197" s="1546"/>
      <c r="C3197" s="1975"/>
      <c r="D3197" s="2080" t="s">
        <v>17</v>
      </c>
      <c r="E3197" s="1479" t="s">
        <v>1651</v>
      </c>
      <c r="F3197" s="1328"/>
      <c r="G3197" s="2085"/>
      <c r="H3197" s="1976"/>
      <c r="I3197" s="1036"/>
      <c r="J3197" s="1999"/>
      <c r="K3197" s="1547"/>
      <c r="L3197" s="854" t="n">
        <v>4866.301</v>
      </c>
      <c r="M3197" s="2049" t="n">
        <v>170</v>
      </c>
      <c r="N3197" s="854" t="n">
        <f aca="false">M3197/H3192</f>
        <v>17</v>
      </c>
      <c r="O3197" s="2050" t="s">
        <v>3501</v>
      </c>
      <c r="P3197" s="1977"/>
      <c r="Q3197" s="1978"/>
      <c r="R3197" s="1979"/>
    </row>
    <row r="3198" customFormat="false" ht="14.25" hidden="false" customHeight="false" outlineLevel="0" collapsed="false">
      <c r="A3198" s="1465"/>
      <c r="B3198" s="1546"/>
      <c r="C3198" s="1975"/>
      <c r="D3198" s="2080" t="s">
        <v>17</v>
      </c>
      <c r="E3198" s="1479" t="s">
        <v>1651</v>
      </c>
      <c r="F3198" s="1328"/>
      <c r="G3198" s="2085"/>
      <c r="H3198" s="1976"/>
      <c r="I3198" s="1036"/>
      <c r="J3198" s="1999"/>
      <c r="K3198" s="1547"/>
      <c r="L3198" s="854" t="n">
        <v>28625.3</v>
      </c>
      <c r="M3198" s="854" t="n">
        <v>1000</v>
      </c>
      <c r="N3198" s="854" t="n">
        <f aca="false">M3198/H3192</f>
        <v>100</v>
      </c>
      <c r="O3198" s="537" t="s">
        <v>561</v>
      </c>
      <c r="P3198" s="1977"/>
      <c r="Q3198" s="1978"/>
      <c r="R3198" s="1979"/>
    </row>
    <row r="3199" customFormat="false" ht="14.25" hidden="false" customHeight="false" outlineLevel="0" collapsed="false">
      <c r="A3199" s="1465"/>
      <c r="B3199" s="1546"/>
      <c r="C3199" s="1975"/>
      <c r="D3199" s="2074" t="s">
        <v>17</v>
      </c>
      <c r="E3199" s="1478" t="s">
        <v>1651</v>
      </c>
      <c r="F3199" s="1328"/>
      <c r="G3199" s="2085"/>
      <c r="H3199" s="1976"/>
      <c r="I3199" s="1036"/>
      <c r="J3199" s="1999"/>
      <c r="K3199" s="1547"/>
      <c r="L3199" s="877" t="n">
        <v>32346.589</v>
      </c>
      <c r="M3199" s="877" t="n">
        <v>1130</v>
      </c>
      <c r="N3199" s="877" t="n">
        <f aca="false">M3199/H3192</f>
        <v>113</v>
      </c>
      <c r="O3199" s="553" t="s">
        <v>544</v>
      </c>
      <c r="P3199" s="1977"/>
      <c r="Q3199" s="1978"/>
      <c r="R3199" s="1979"/>
    </row>
    <row r="3200" customFormat="false" ht="14.25" hidden="false" customHeight="false" outlineLevel="0" collapsed="false">
      <c r="A3200" s="882" t="n">
        <v>436</v>
      </c>
      <c r="B3200" s="830" t="n">
        <v>2024</v>
      </c>
      <c r="C3200" s="1965" t="n">
        <v>45931</v>
      </c>
      <c r="D3200" s="2075" t="s">
        <v>17</v>
      </c>
      <c r="E3200" s="1365" t="s">
        <v>1651</v>
      </c>
      <c r="F3200" s="832" t="s">
        <v>3364</v>
      </c>
      <c r="G3200" s="2076" t="n">
        <v>666</v>
      </c>
      <c r="H3200" s="1931" t="n">
        <v>15</v>
      </c>
      <c r="I3200" s="837" t="n">
        <f aca="false">G3200*H3200</f>
        <v>9990</v>
      </c>
      <c r="J3200" s="1932" t="n">
        <v>28.6253</v>
      </c>
      <c r="K3200" s="943" t="n">
        <f aca="false">I3200*J3200</f>
        <v>285966.747</v>
      </c>
      <c r="L3200" s="886" t="n">
        <v>34350.36</v>
      </c>
      <c r="M3200" s="886" t="n">
        <v>1200</v>
      </c>
      <c r="N3200" s="886" t="n">
        <f aca="false">M3200/H3200</f>
        <v>80</v>
      </c>
      <c r="O3200" s="1036" t="s">
        <v>576</v>
      </c>
      <c r="P3200" s="1937" t="n">
        <f aca="false">K3200-L3200-L3206-L3205-L3201-L3202-L3204-L3203</f>
        <v>0</v>
      </c>
      <c r="Q3200" s="1934" t="n">
        <f aca="false">I3200-M3200-M3206-M3205-M3201-M3202-M3204-M3203</f>
        <v>0</v>
      </c>
      <c r="R3200" s="1935" t="n">
        <f aca="false">G3200-N3200-N3206-N3205-N3201-N3202-N3204-N3203</f>
        <v>0</v>
      </c>
    </row>
    <row r="3201" customFormat="false" ht="14.25" hidden="false" customHeight="false" outlineLevel="0" collapsed="false">
      <c r="A3201" s="882"/>
      <c r="B3201" s="830"/>
      <c r="C3201" s="1965"/>
      <c r="D3201" s="2073" t="s">
        <v>17</v>
      </c>
      <c r="E3201" s="1480" t="s">
        <v>1651</v>
      </c>
      <c r="F3201" s="832"/>
      <c r="G3201" s="2076"/>
      <c r="H3201" s="1931"/>
      <c r="I3201" s="837"/>
      <c r="J3201" s="1932"/>
      <c r="K3201" s="943"/>
      <c r="L3201" s="866" t="n">
        <v>17175.18</v>
      </c>
      <c r="M3201" s="866" t="n">
        <v>600</v>
      </c>
      <c r="N3201" s="866" t="n">
        <f aca="false">M3201/H3200</f>
        <v>40</v>
      </c>
      <c r="O3201" s="543" t="s">
        <v>615</v>
      </c>
      <c r="P3201" s="1937"/>
      <c r="Q3201" s="1934"/>
      <c r="R3201" s="1935"/>
    </row>
    <row r="3202" customFormat="false" ht="14.25" hidden="false" customHeight="false" outlineLevel="0" collapsed="false">
      <c r="A3202" s="882"/>
      <c r="B3202" s="830"/>
      <c r="C3202" s="1965"/>
      <c r="D3202" s="2073" t="s">
        <v>17</v>
      </c>
      <c r="E3202" s="1480" t="s">
        <v>1651</v>
      </c>
      <c r="F3202" s="832"/>
      <c r="G3202" s="2076"/>
      <c r="H3202" s="1931"/>
      <c r="I3202" s="837"/>
      <c r="J3202" s="1932"/>
      <c r="K3202" s="943"/>
      <c r="L3202" s="866" t="n">
        <v>28339.047</v>
      </c>
      <c r="M3202" s="866" t="n">
        <v>990</v>
      </c>
      <c r="N3202" s="866" t="n">
        <f aca="false">M3202/H3200</f>
        <v>66</v>
      </c>
      <c r="O3202" s="543" t="s">
        <v>3614</v>
      </c>
      <c r="P3202" s="1937"/>
      <c r="Q3202" s="1934"/>
      <c r="R3202" s="1935"/>
    </row>
    <row r="3203" customFormat="false" ht="14.25" hidden="false" customHeight="false" outlineLevel="0" collapsed="false">
      <c r="A3203" s="882"/>
      <c r="B3203" s="830"/>
      <c r="C3203" s="1965"/>
      <c r="D3203" s="2073" t="s">
        <v>17</v>
      </c>
      <c r="E3203" s="1480" t="s">
        <v>1651</v>
      </c>
      <c r="F3203" s="832"/>
      <c r="G3203" s="2076"/>
      <c r="H3203" s="1931"/>
      <c r="I3203" s="837"/>
      <c r="J3203" s="1932"/>
      <c r="K3203" s="943"/>
      <c r="L3203" s="866" t="n">
        <v>130531.368</v>
      </c>
      <c r="M3203" s="866" t="n">
        <v>4560</v>
      </c>
      <c r="N3203" s="866" t="n">
        <f aca="false">M3203/H3200</f>
        <v>304</v>
      </c>
      <c r="O3203" s="543" t="s">
        <v>652</v>
      </c>
      <c r="P3203" s="1937"/>
      <c r="Q3203" s="1934"/>
      <c r="R3203" s="1935"/>
    </row>
    <row r="3204" customFormat="false" ht="14.25" hidden="false" customHeight="false" outlineLevel="0" collapsed="false">
      <c r="A3204" s="882"/>
      <c r="B3204" s="830"/>
      <c r="C3204" s="1965"/>
      <c r="D3204" s="2073" t="s">
        <v>17</v>
      </c>
      <c r="E3204" s="1480" t="s">
        <v>1651</v>
      </c>
      <c r="F3204" s="832"/>
      <c r="G3204" s="2076"/>
      <c r="H3204" s="1931"/>
      <c r="I3204" s="837"/>
      <c r="J3204" s="1932"/>
      <c r="K3204" s="943"/>
      <c r="L3204" s="866" t="n">
        <v>3864.4155</v>
      </c>
      <c r="M3204" s="866" t="n">
        <v>135</v>
      </c>
      <c r="N3204" s="866" t="n">
        <f aca="false">M3204/H3200</f>
        <v>9</v>
      </c>
      <c r="O3204" s="543" t="s">
        <v>643</v>
      </c>
      <c r="P3204" s="1937"/>
      <c r="Q3204" s="1934"/>
      <c r="R3204" s="1935"/>
    </row>
    <row r="3205" customFormat="false" ht="14.25" hidden="false" customHeight="false" outlineLevel="0" collapsed="false">
      <c r="A3205" s="882"/>
      <c r="B3205" s="830"/>
      <c r="C3205" s="1965"/>
      <c r="D3205" s="2073" t="s">
        <v>17</v>
      </c>
      <c r="E3205" s="1480" t="s">
        <v>1651</v>
      </c>
      <c r="F3205" s="832"/>
      <c r="G3205" s="2076"/>
      <c r="H3205" s="1931"/>
      <c r="I3205" s="837"/>
      <c r="J3205" s="1932"/>
      <c r="K3205" s="943"/>
      <c r="L3205" s="866" t="n">
        <v>28768.4265</v>
      </c>
      <c r="M3205" s="866" t="n">
        <v>1005</v>
      </c>
      <c r="N3205" s="866" t="n">
        <f aca="false">M3205/H3200</f>
        <v>67</v>
      </c>
      <c r="O3205" s="543" t="s">
        <v>582</v>
      </c>
      <c r="P3205" s="1937"/>
      <c r="Q3205" s="1934"/>
      <c r="R3205" s="1935"/>
    </row>
    <row r="3206" customFormat="false" ht="14.25" hidden="false" customHeight="false" outlineLevel="0" collapsed="false">
      <c r="A3206" s="882"/>
      <c r="B3206" s="830"/>
      <c r="C3206" s="1965"/>
      <c r="D3206" s="2077" t="s">
        <v>17</v>
      </c>
      <c r="E3206" s="1357" t="s">
        <v>1651</v>
      </c>
      <c r="F3206" s="832"/>
      <c r="G3206" s="2076"/>
      <c r="H3206" s="1931"/>
      <c r="I3206" s="837"/>
      <c r="J3206" s="1932"/>
      <c r="K3206" s="943"/>
      <c r="L3206" s="846" t="n">
        <v>42937.95</v>
      </c>
      <c r="M3206" s="846" t="n">
        <v>1500</v>
      </c>
      <c r="N3206" s="846" t="n">
        <f aca="false">M3206/H3200</f>
        <v>100</v>
      </c>
      <c r="O3206" s="589" t="s">
        <v>581</v>
      </c>
      <c r="P3206" s="1937"/>
      <c r="Q3206" s="1934"/>
      <c r="R3206" s="1935"/>
    </row>
    <row r="3207" customFormat="false" ht="16.4" hidden="false" customHeight="false" outlineLevel="0" collapsed="false">
      <c r="A3207" s="903" t="n">
        <v>437</v>
      </c>
      <c r="B3207" s="903" t="n">
        <v>2024</v>
      </c>
      <c r="C3207" s="1974" t="n">
        <v>45931</v>
      </c>
      <c r="D3207" s="2083" t="s">
        <v>17</v>
      </c>
      <c r="E3207" s="1351" t="s">
        <v>1651</v>
      </c>
      <c r="F3207" s="904" t="s">
        <v>3364</v>
      </c>
      <c r="G3207" s="2084" t="n">
        <v>666</v>
      </c>
      <c r="H3207" s="1940" t="n">
        <v>15</v>
      </c>
      <c r="I3207" s="1355" t="n">
        <f aca="false">G3207*H3207</f>
        <v>9990</v>
      </c>
      <c r="J3207" s="1941" t="n">
        <v>28.6253</v>
      </c>
      <c r="K3207" s="1942" t="n">
        <f aca="false">I3207*J3207</f>
        <v>285966.747</v>
      </c>
      <c r="L3207" s="891" t="n">
        <v>285966.747</v>
      </c>
      <c r="M3207" s="891" t="n">
        <v>9990</v>
      </c>
      <c r="N3207" s="866" t="n">
        <f aca="false">M3207/H3207</f>
        <v>666</v>
      </c>
      <c r="O3207" s="942"/>
      <c r="P3207" s="1944" t="n">
        <f aca="false">K3207-L3207</f>
        <v>0</v>
      </c>
      <c r="Q3207" s="1946" t="n">
        <f aca="false">I3207-M3207</f>
        <v>0</v>
      </c>
      <c r="R3207" s="1946" t="n">
        <f aca="false">G3207-N3207</f>
        <v>0</v>
      </c>
    </row>
    <row r="3208" customFormat="false" ht="14.25" hidden="false" customHeight="false" outlineLevel="0" collapsed="false">
      <c r="A3208" s="829" t="n">
        <v>438</v>
      </c>
      <c r="B3208" s="830" t="n">
        <v>2024</v>
      </c>
      <c r="C3208" s="1965" t="n">
        <v>45931</v>
      </c>
      <c r="D3208" s="2072" t="s">
        <v>17</v>
      </c>
      <c r="E3208" s="1607" t="s">
        <v>1651</v>
      </c>
      <c r="F3208" s="832" t="s">
        <v>3364</v>
      </c>
      <c r="G3208" s="2076" t="n">
        <v>213</v>
      </c>
      <c r="H3208" s="1931" t="n">
        <v>15</v>
      </c>
      <c r="I3208" s="837" t="n">
        <f aca="false">G3208*H3208</f>
        <v>3195</v>
      </c>
      <c r="J3208" s="1932" t="n">
        <v>30.8741</v>
      </c>
      <c r="K3208" s="943" t="n">
        <f aca="false">I3208*J3208</f>
        <v>98642.7495</v>
      </c>
      <c r="L3208" s="886" t="n">
        <v>92622.3</v>
      </c>
      <c r="M3208" s="886" t="n">
        <v>3000</v>
      </c>
      <c r="N3208" s="886" t="n">
        <f aca="false">M3208/H3208</f>
        <v>200</v>
      </c>
      <c r="O3208" s="1036" t="s">
        <v>572</v>
      </c>
      <c r="P3208" s="1934" t="n">
        <f aca="false">K3208-L3208-L3211-L3210-L3209</f>
        <v>0.000499999988164745</v>
      </c>
      <c r="Q3208" s="1934" t="n">
        <f aca="false">I3208-M3208-M3211-M3210-M3209</f>
        <v>0</v>
      </c>
      <c r="R3208" s="1935" t="n">
        <f aca="false">G3208-N3208-N3211-N3210-N3209</f>
        <v>0</v>
      </c>
    </row>
    <row r="3209" customFormat="false" ht="14.25" hidden="false" customHeight="false" outlineLevel="0" collapsed="false">
      <c r="A3209" s="829"/>
      <c r="B3209" s="830"/>
      <c r="C3209" s="1965"/>
      <c r="D3209" s="2073" t="s">
        <v>17</v>
      </c>
      <c r="E3209" s="1480" t="s">
        <v>1651</v>
      </c>
      <c r="F3209" s="832"/>
      <c r="G3209" s="2076"/>
      <c r="H3209" s="1931"/>
      <c r="I3209" s="837"/>
      <c r="J3209" s="1932"/>
      <c r="K3209" s="943"/>
      <c r="L3209" s="866" t="n">
        <v>462.111</v>
      </c>
      <c r="M3209" s="866" t="n">
        <v>15</v>
      </c>
      <c r="N3209" s="866" t="n">
        <f aca="false">M3209/H3208</f>
        <v>1</v>
      </c>
      <c r="O3209" s="543" t="s">
        <v>652</v>
      </c>
      <c r="P3209" s="1934"/>
      <c r="Q3209" s="1934"/>
      <c r="R3209" s="1935"/>
    </row>
    <row r="3210" customFormat="false" ht="14.25" hidden="false" customHeight="false" outlineLevel="0" collapsed="false">
      <c r="A3210" s="829"/>
      <c r="B3210" s="830"/>
      <c r="C3210" s="1965"/>
      <c r="D3210" s="2073" t="s">
        <v>17</v>
      </c>
      <c r="E3210" s="1480" t="s">
        <v>1651</v>
      </c>
      <c r="F3210" s="832"/>
      <c r="G3210" s="2076"/>
      <c r="H3210" s="1931"/>
      <c r="I3210" s="837"/>
      <c r="J3210" s="1932"/>
      <c r="K3210" s="943"/>
      <c r="L3210" s="866" t="n">
        <v>926.223</v>
      </c>
      <c r="M3210" s="866" t="n">
        <v>30</v>
      </c>
      <c r="N3210" s="866" t="n">
        <f aca="false">M3210/H3208</f>
        <v>2</v>
      </c>
      <c r="O3210" s="543" t="s">
        <v>639</v>
      </c>
      <c r="P3210" s="1934"/>
      <c r="Q3210" s="1934"/>
      <c r="R3210" s="1935"/>
    </row>
    <row r="3211" customFormat="false" ht="14.25" hidden="false" customHeight="false" outlineLevel="0" collapsed="false">
      <c r="A3211" s="829"/>
      <c r="B3211" s="830"/>
      <c r="C3211" s="1965"/>
      <c r="D3211" s="2077" t="s">
        <v>17</v>
      </c>
      <c r="E3211" s="1357" t="s">
        <v>1651</v>
      </c>
      <c r="F3211" s="832"/>
      <c r="G3211" s="2076"/>
      <c r="H3211" s="1931"/>
      <c r="I3211" s="837"/>
      <c r="J3211" s="1932"/>
      <c r="K3211" s="943"/>
      <c r="L3211" s="846" t="n">
        <v>4632.115</v>
      </c>
      <c r="M3211" s="846" t="n">
        <v>150</v>
      </c>
      <c r="N3211" s="846" t="n">
        <f aca="false">M3211/H3208</f>
        <v>10</v>
      </c>
      <c r="O3211" s="589" t="s">
        <v>622</v>
      </c>
      <c r="P3211" s="1934"/>
      <c r="Q3211" s="1934"/>
      <c r="R3211" s="1935"/>
    </row>
    <row r="3212" customFormat="false" ht="16.4" hidden="false" customHeight="false" outlineLevel="0" collapsed="false">
      <c r="A3212" s="903" t="n">
        <v>460</v>
      </c>
      <c r="B3212" s="903" t="n">
        <v>2024</v>
      </c>
      <c r="C3212" s="1974" t="n">
        <v>45931</v>
      </c>
      <c r="D3212" s="2083" t="s">
        <v>17</v>
      </c>
      <c r="E3212" s="1351" t="s">
        <v>2130</v>
      </c>
      <c r="F3212" s="904" t="s">
        <v>3364</v>
      </c>
      <c r="G3212" s="2084" t="n">
        <v>52</v>
      </c>
      <c r="H3212" s="1940" t="n">
        <v>25</v>
      </c>
      <c r="I3212" s="1355" t="n">
        <f aca="false">G3212*H3212</f>
        <v>1300</v>
      </c>
      <c r="J3212" s="1941" t="n">
        <v>35.7937</v>
      </c>
      <c r="K3212" s="1942" t="n">
        <f aca="false">I3212*J3212</f>
        <v>46531.81</v>
      </c>
      <c r="L3212" s="891" t="n">
        <v>46531.81</v>
      </c>
      <c r="M3212" s="891" t="n">
        <v>1300</v>
      </c>
      <c r="N3212" s="877" t="n">
        <f aca="false">M3212/H3212</f>
        <v>52</v>
      </c>
      <c r="O3212" s="942" t="s">
        <v>740</v>
      </c>
      <c r="P3212" s="1944" t="n">
        <f aca="false">K3212-L3212</f>
        <v>0</v>
      </c>
      <c r="Q3212" s="1946" t="n">
        <f aca="false">I3212-M3212</f>
        <v>0</v>
      </c>
      <c r="R3212" s="1946" t="n">
        <f aca="false">G3212-N3212</f>
        <v>0</v>
      </c>
    </row>
    <row r="3213" customFormat="false" ht="14.25" hidden="false" customHeight="false" outlineLevel="0" collapsed="false">
      <c r="A3213" s="882" t="n">
        <v>493</v>
      </c>
      <c r="B3213" s="830" t="n">
        <v>2024</v>
      </c>
      <c r="C3213" s="1965" t="n">
        <v>45931</v>
      </c>
      <c r="D3213" s="2072" t="s">
        <v>17</v>
      </c>
      <c r="E3213" s="1607" t="s">
        <v>1652</v>
      </c>
      <c r="F3213" s="832" t="s">
        <v>3364</v>
      </c>
      <c r="G3213" s="2076" t="n">
        <v>139</v>
      </c>
      <c r="H3213" s="1931" t="n">
        <v>15</v>
      </c>
      <c r="I3213" s="837" t="n">
        <f aca="false">G3213*H3213</f>
        <v>2085</v>
      </c>
      <c r="J3213" s="1932" t="n">
        <v>50.4178</v>
      </c>
      <c r="K3213" s="943" t="n">
        <f aca="false">I3213*J3213</f>
        <v>105121.113</v>
      </c>
      <c r="L3213" s="886" t="n">
        <v>49157.355</v>
      </c>
      <c r="M3213" s="886" t="n">
        <v>975</v>
      </c>
      <c r="N3213" s="886" t="n">
        <f aca="false">M3213/H3213</f>
        <v>65</v>
      </c>
      <c r="O3213" s="1036"/>
      <c r="P3213" s="1934" t="n">
        <f aca="false">K3213-L3213-L3215-L3214</f>
        <v>-8.18545231595635E-012</v>
      </c>
      <c r="Q3213" s="1934" t="n">
        <f aca="false">I3213-M3213-M3215-M3214</f>
        <v>0</v>
      </c>
      <c r="R3213" s="1935" t="n">
        <f aca="false">G3213-N3213-N3215-N3214</f>
        <v>0</v>
      </c>
    </row>
    <row r="3214" customFormat="false" ht="14.25" hidden="false" customHeight="false" outlineLevel="0" collapsed="false">
      <c r="A3214" s="882"/>
      <c r="B3214" s="830"/>
      <c r="C3214" s="1965"/>
      <c r="D3214" s="2073" t="s">
        <v>17</v>
      </c>
      <c r="E3214" s="1480" t="s">
        <v>1652</v>
      </c>
      <c r="F3214" s="832"/>
      <c r="G3214" s="2076"/>
      <c r="H3214" s="1931"/>
      <c r="I3214" s="837"/>
      <c r="J3214" s="1932"/>
      <c r="K3214" s="943"/>
      <c r="L3214" s="866" t="n">
        <v>3025.068</v>
      </c>
      <c r="M3214" s="866" t="n">
        <v>60</v>
      </c>
      <c r="N3214" s="866" t="n">
        <f aca="false">M3214/H3213</f>
        <v>4</v>
      </c>
      <c r="O3214" s="543" t="s">
        <v>1634</v>
      </c>
      <c r="P3214" s="1934"/>
      <c r="Q3214" s="1934"/>
      <c r="R3214" s="1935"/>
    </row>
    <row r="3215" customFormat="false" ht="14.25" hidden="false" customHeight="false" outlineLevel="0" collapsed="false">
      <c r="A3215" s="882"/>
      <c r="B3215" s="830"/>
      <c r="C3215" s="1965"/>
      <c r="D3215" s="2077" t="s">
        <v>17</v>
      </c>
      <c r="E3215" s="1357" t="s">
        <v>1652</v>
      </c>
      <c r="F3215" s="832"/>
      <c r="G3215" s="2076"/>
      <c r="H3215" s="1931"/>
      <c r="I3215" s="837"/>
      <c r="J3215" s="1932"/>
      <c r="K3215" s="943"/>
      <c r="L3215" s="846" t="n">
        <v>52938.69</v>
      </c>
      <c r="M3215" s="846" t="n">
        <v>1050</v>
      </c>
      <c r="N3215" s="846" t="n">
        <f aca="false">M3215/H3213</f>
        <v>70</v>
      </c>
      <c r="O3215" s="589" t="s">
        <v>748</v>
      </c>
      <c r="P3215" s="1934"/>
      <c r="Q3215" s="1934"/>
      <c r="R3215" s="1935"/>
    </row>
    <row r="3216" customFormat="false" ht="16.4" hidden="false" customHeight="false" outlineLevel="0" collapsed="false">
      <c r="A3216" s="903" t="n">
        <v>497</v>
      </c>
      <c r="B3216" s="903" t="n">
        <v>2024</v>
      </c>
      <c r="C3216" s="1974" t="n">
        <v>45931</v>
      </c>
      <c r="D3216" s="2083" t="s">
        <v>17</v>
      </c>
      <c r="E3216" s="1351" t="s">
        <v>1651</v>
      </c>
      <c r="F3216" s="904" t="s">
        <v>3364</v>
      </c>
      <c r="G3216" s="2084" t="n">
        <v>666</v>
      </c>
      <c r="H3216" s="1940" t="n">
        <v>15</v>
      </c>
      <c r="I3216" s="1355" t="n">
        <f aca="false">G3216*H3216</f>
        <v>9990</v>
      </c>
      <c r="J3216" s="1941" t="n">
        <v>26.5781</v>
      </c>
      <c r="K3216" s="1942" t="n">
        <f aca="false">I3216*J3216</f>
        <v>265515.219</v>
      </c>
      <c r="L3216" s="891" t="n">
        <v>265515.219</v>
      </c>
      <c r="M3216" s="891" t="n">
        <v>9990</v>
      </c>
      <c r="N3216" s="854" t="n">
        <f aca="false">M3216/H3216</f>
        <v>666</v>
      </c>
      <c r="O3216" s="942" t="s">
        <v>683</v>
      </c>
      <c r="P3216" s="1944" t="n">
        <f aca="false">K3216-L3216</f>
        <v>0</v>
      </c>
      <c r="Q3216" s="1946" t="n">
        <f aca="false">I3216-M3216</f>
        <v>0</v>
      </c>
      <c r="R3216" s="1946" t="n">
        <f aca="false">G3216-N3216</f>
        <v>0</v>
      </c>
    </row>
    <row r="3217" customFormat="false" ht="16.4" hidden="false" customHeight="false" outlineLevel="0" collapsed="false">
      <c r="A3217" s="870" t="n">
        <v>498</v>
      </c>
      <c r="B3217" s="1495" t="n">
        <v>2024</v>
      </c>
      <c r="C3217" s="1972" t="n">
        <v>45931</v>
      </c>
      <c r="D3217" s="2074" t="s">
        <v>17</v>
      </c>
      <c r="E3217" s="1478" t="s">
        <v>1651</v>
      </c>
      <c r="F3217" s="871" t="s">
        <v>3364</v>
      </c>
      <c r="G3217" s="2082" t="n">
        <v>1</v>
      </c>
      <c r="H3217" s="1956" t="n">
        <v>15</v>
      </c>
      <c r="I3217" s="1587" t="n">
        <f aca="false">G3217*H3217</f>
        <v>15</v>
      </c>
      <c r="J3217" s="1957" t="n">
        <v>26.5781</v>
      </c>
      <c r="K3217" s="1958" t="n">
        <f aca="false">I3217*J3217</f>
        <v>398.6715</v>
      </c>
      <c r="L3217" s="877" t="n">
        <v>398.6715</v>
      </c>
      <c r="M3217" s="877" t="n">
        <v>15</v>
      </c>
      <c r="N3217" s="877" t="n">
        <f aca="false">M3217/H3217</f>
        <v>1</v>
      </c>
      <c r="O3217" s="553" t="s">
        <v>683</v>
      </c>
      <c r="P3217" s="2028" t="n">
        <f aca="false">K3217-L3217</f>
        <v>0</v>
      </c>
      <c r="Q3217" s="1961" t="n">
        <f aca="false">I3217-M3217</f>
        <v>0</v>
      </c>
      <c r="R3217" s="1961" t="n">
        <f aca="false">G3217-N3217</f>
        <v>0</v>
      </c>
    </row>
    <row r="3218" customFormat="false" ht="14.25" hidden="false" customHeight="false" outlineLevel="0" collapsed="false">
      <c r="A3218" s="829" t="n">
        <v>499</v>
      </c>
      <c r="B3218" s="830" t="n">
        <v>2024</v>
      </c>
      <c r="C3218" s="1965" t="n">
        <v>45931</v>
      </c>
      <c r="D3218" s="2072" t="s">
        <v>17</v>
      </c>
      <c r="E3218" s="1607" t="s">
        <v>1651</v>
      </c>
      <c r="F3218" s="832" t="s">
        <v>3367</v>
      </c>
      <c r="G3218" s="2076" t="n">
        <v>48</v>
      </c>
      <c r="H3218" s="1931" t="n">
        <v>10</v>
      </c>
      <c r="I3218" s="837" t="n">
        <f aca="false">G3218*H3218</f>
        <v>480</v>
      </c>
      <c r="J3218" s="1932" t="n">
        <v>31.7829</v>
      </c>
      <c r="K3218" s="943" t="n">
        <f aca="false">I3218*J3218</f>
        <v>15255.792</v>
      </c>
      <c r="L3218" s="886" t="n">
        <v>14937.963</v>
      </c>
      <c r="M3218" s="886" t="n">
        <v>470</v>
      </c>
      <c r="N3218" s="840" t="n">
        <f aca="false">M3218/H3218</f>
        <v>47</v>
      </c>
      <c r="O3218" s="1036" t="s">
        <v>625</v>
      </c>
      <c r="P3218" s="1934" t="n">
        <f aca="false">K3218-L3218-L3219</f>
        <v>1.53477230924182E-012</v>
      </c>
      <c r="Q3218" s="1934" t="n">
        <f aca="false">I3218-M3218-M3219</f>
        <v>0</v>
      </c>
      <c r="R3218" s="1935" t="n">
        <f aca="false">G3218-N3218-N3219</f>
        <v>0</v>
      </c>
    </row>
    <row r="3219" customFormat="false" ht="14.25" hidden="false" customHeight="false" outlineLevel="0" collapsed="false">
      <c r="A3219" s="829"/>
      <c r="B3219" s="830"/>
      <c r="C3219" s="1965"/>
      <c r="D3219" s="2077" t="s">
        <v>17</v>
      </c>
      <c r="E3219" s="1357" t="s">
        <v>1651</v>
      </c>
      <c r="F3219" s="832"/>
      <c r="G3219" s="2076"/>
      <c r="H3219" s="1931"/>
      <c r="I3219" s="837"/>
      <c r="J3219" s="1932"/>
      <c r="K3219" s="943"/>
      <c r="L3219" s="846" t="n">
        <v>317.829</v>
      </c>
      <c r="M3219" s="846" t="n">
        <v>10</v>
      </c>
      <c r="N3219" s="846" t="n">
        <f aca="false">M3219/H3218</f>
        <v>1</v>
      </c>
      <c r="O3219" s="589" t="s">
        <v>812</v>
      </c>
      <c r="P3219" s="1934"/>
      <c r="Q3219" s="1934"/>
      <c r="R3219" s="1935"/>
    </row>
    <row r="3220" customFormat="false" ht="16.4" hidden="false" customHeight="false" outlineLevel="0" collapsed="false">
      <c r="A3220" s="903" t="n">
        <v>547</v>
      </c>
      <c r="B3220" s="903" t="n">
        <v>2024</v>
      </c>
      <c r="C3220" s="1974" t="n">
        <v>45962</v>
      </c>
      <c r="D3220" s="2083" t="s">
        <v>17</v>
      </c>
      <c r="E3220" s="1351" t="s">
        <v>2619</v>
      </c>
      <c r="F3220" s="904" t="s">
        <v>3364</v>
      </c>
      <c r="G3220" s="2084" t="n">
        <v>7</v>
      </c>
      <c r="H3220" s="1940" t="n">
        <v>30</v>
      </c>
      <c r="I3220" s="1355" t="n">
        <f aca="false">G3220*H3220</f>
        <v>210</v>
      </c>
      <c r="J3220" s="1941" t="n">
        <v>86.4</v>
      </c>
      <c r="K3220" s="1942" t="n">
        <f aca="false">I3220*J3220</f>
        <v>18144</v>
      </c>
      <c r="L3220" s="891" t="n">
        <v>18144</v>
      </c>
      <c r="M3220" s="891" t="n">
        <v>210</v>
      </c>
      <c r="N3220" s="891" t="n">
        <f aca="false">M3220/H3220</f>
        <v>7</v>
      </c>
      <c r="O3220" s="942" t="s">
        <v>665</v>
      </c>
      <c r="P3220" s="1944" t="n">
        <f aca="false">K3220-L3220</f>
        <v>0</v>
      </c>
      <c r="Q3220" s="1946" t="n">
        <f aca="false">I3220-M3220</f>
        <v>0</v>
      </c>
      <c r="R3220" s="1946" t="n">
        <f aca="false">G3220-N3220</f>
        <v>0</v>
      </c>
    </row>
    <row r="3221" customFormat="false" ht="14.25" hidden="false" customHeight="false" outlineLevel="0" collapsed="false">
      <c r="A3221" s="829" t="n">
        <v>554</v>
      </c>
      <c r="B3221" s="830" t="n">
        <v>2024</v>
      </c>
      <c r="C3221" s="1965" t="n">
        <v>45962</v>
      </c>
      <c r="D3221" s="2075" t="s">
        <v>17</v>
      </c>
      <c r="E3221" s="1365" t="s">
        <v>1651</v>
      </c>
      <c r="F3221" s="832" t="s">
        <v>3367</v>
      </c>
      <c r="G3221" s="2076" t="n">
        <v>500</v>
      </c>
      <c r="H3221" s="1931" t="n">
        <v>10</v>
      </c>
      <c r="I3221" s="837" t="n">
        <f aca="false">G3221*H3221</f>
        <v>5000</v>
      </c>
      <c r="J3221" s="1932" t="n">
        <v>25.5571</v>
      </c>
      <c r="K3221" s="943" t="n">
        <f aca="false">I3221*J3221</f>
        <v>127785.5</v>
      </c>
      <c r="L3221" s="886" t="n">
        <v>7667.13</v>
      </c>
      <c r="M3221" s="886" t="n">
        <v>300</v>
      </c>
      <c r="N3221" s="886" t="n">
        <f aca="false">M3221/H3221</f>
        <v>30</v>
      </c>
      <c r="O3221" s="1036" t="s">
        <v>774</v>
      </c>
      <c r="P3221" s="1934" t="n">
        <f aca="false">K3221-L3221-L3225-L3224-L3222-L3223</f>
        <v>-2.00088834390044E-011</v>
      </c>
      <c r="Q3221" s="1934" t="n">
        <f aca="false">I3221-M3221-M3225-M3224-M3222-M3223</f>
        <v>0</v>
      </c>
      <c r="R3221" s="1935" t="n">
        <f aca="false">G3221-N3221-N3225-N3224-N3222-N3223</f>
        <v>0</v>
      </c>
    </row>
    <row r="3222" customFormat="false" ht="14.25" hidden="false" customHeight="false" outlineLevel="0" collapsed="false">
      <c r="A3222" s="829"/>
      <c r="B3222" s="830"/>
      <c r="C3222" s="1965"/>
      <c r="D3222" s="2073" t="s">
        <v>17</v>
      </c>
      <c r="E3222" s="1480" t="s">
        <v>1651</v>
      </c>
      <c r="F3222" s="832"/>
      <c r="G3222" s="2076"/>
      <c r="H3222" s="1931"/>
      <c r="I3222" s="837"/>
      <c r="J3222" s="1932"/>
      <c r="K3222" s="943"/>
      <c r="L3222" s="866" t="n">
        <v>10222.84</v>
      </c>
      <c r="M3222" s="866" t="n">
        <v>400</v>
      </c>
      <c r="N3222" s="866" t="n">
        <f aca="false">M3222/H3221</f>
        <v>40</v>
      </c>
      <c r="O3222" s="543" t="s">
        <v>809</v>
      </c>
      <c r="P3222" s="1934"/>
      <c r="Q3222" s="1934"/>
      <c r="R3222" s="1935"/>
    </row>
    <row r="3223" customFormat="false" ht="14.25" hidden="false" customHeight="false" outlineLevel="0" collapsed="false">
      <c r="A3223" s="829"/>
      <c r="B3223" s="830"/>
      <c r="C3223" s="1965"/>
      <c r="D3223" s="2073" t="s">
        <v>17</v>
      </c>
      <c r="E3223" s="1480" t="s">
        <v>1651</v>
      </c>
      <c r="F3223" s="832"/>
      <c r="G3223" s="2076"/>
      <c r="H3223" s="1931"/>
      <c r="I3223" s="837"/>
      <c r="J3223" s="1932"/>
      <c r="K3223" s="943"/>
      <c r="L3223" s="866" t="n">
        <v>5111.42</v>
      </c>
      <c r="M3223" s="866" t="n">
        <v>200</v>
      </c>
      <c r="N3223" s="866" t="n">
        <f aca="false">M3223/H3221</f>
        <v>20</v>
      </c>
      <c r="O3223" s="543" t="s">
        <v>735</v>
      </c>
      <c r="P3223" s="1934"/>
      <c r="Q3223" s="1934"/>
      <c r="R3223" s="1935"/>
    </row>
    <row r="3224" customFormat="false" ht="14.25" hidden="false" customHeight="false" outlineLevel="0" collapsed="false">
      <c r="A3224" s="829"/>
      <c r="B3224" s="830"/>
      <c r="C3224" s="1965"/>
      <c r="D3224" s="2073" t="s">
        <v>17</v>
      </c>
      <c r="E3224" s="1480" t="s">
        <v>1651</v>
      </c>
      <c r="F3224" s="832"/>
      <c r="G3224" s="2076"/>
      <c r="H3224" s="1931"/>
      <c r="I3224" s="837"/>
      <c r="J3224" s="1932"/>
      <c r="K3224" s="943"/>
      <c r="L3224" s="866" t="n">
        <v>89194.279</v>
      </c>
      <c r="M3224" s="866" t="n">
        <v>3490</v>
      </c>
      <c r="N3224" s="866" t="n">
        <f aca="false">M3224/H3221</f>
        <v>349</v>
      </c>
      <c r="O3224" s="543" t="s">
        <v>812</v>
      </c>
      <c r="P3224" s="1934"/>
      <c r="Q3224" s="1934"/>
      <c r="R3224" s="1935"/>
    </row>
    <row r="3225" customFormat="false" ht="14.25" hidden="false" customHeight="false" outlineLevel="0" collapsed="false">
      <c r="A3225" s="829"/>
      <c r="B3225" s="830"/>
      <c r="C3225" s="1965"/>
      <c r="D3225" s="2077" t="s">
        <v>17</v>
      </c>
      <c r="E3225" s="1357" t="s">
        <v>1651</v>
      </c>
      <c r="F3225" s="832"/>
      <c r="G3225" s="2076"/>
      <c r="H3225" s="1931"/>
      <c r="I3225" s="837"/>
      <c r="J3225" s="1932"/>
      <c r="K3225" s="943"/>
      <c r="L3225" s="846" t="n">
        <v>15589.831</v>
      </c>
      <c r="M3225" s="846" t="n">
        <v>610</v>
      </c>
      <c r="N3225" s="846" t="n">
        <f aca="false">M3225/H3221</f>
        <v>61</v>
      </c>
      <c r="O3225" s="589" t="s">
        <v>3615</v>
      </c>
      <c r="P3225" s="1934"/>
      <c r="Q3225" s="1934"/>
      <c r="R3225" s="1935"/>
    </row>
    <row r="3226" customFormat="false" ht="14.25" hidden="false" customHeight="false" outlineLevel="0" collapsed="false">
      <c r="A3226" s="1344" t="n">
        <v>555</v>
      </c>
      <c r="B3226" s="903" t="n">
        <v>2024</v>
      </c>
      <c r="C3226" s="1974" t="n">
        <v>45962</v>
      </c>
      <c r="D3226" s="2083" t="s">
        <v>17</v>
      </c>
      <c r="E3226" s="1351" t="s">
        <v>1651</v>
      </c>
      <c r="F3226" s="904" t="s">
        <v>3364</v>
      </c>
      <c r="G3226" s="2084" t="n">
        <v>666</v>
      </c>
      <c r="H3226" s="1940" t="n">
        <v>15</v>
      </c>
      <c r="I3226" s="942" t="n">
        <f aca="false">G3226*H3226</f>
        <v>9990</v>
      </c>
      <c r="J3226" s="1941" t="n">
        <v>25.5571</v>
      </c>
      <c r="K3226" s="948" t="n">
        <f aca="false">I3226*J3226</f>
        <v>255315.429</v>
      </c>
      <c r="L3226" s="891" t="n">
        <v>139158.4095</v>
      </c>
      <c r="M3226" s="891" t="n">
        <v>5445</v>
      </c>
      <c r="N3226" s="891" t="n">
        <f aca="false">M3226/H3226</f>
        <v>363</v>
      </c>
      <c r="O3226" s="942" t="s">
        <v>652</v>
      </c>
      <c r="P3226" s="2000" t="n">
        <f aca="false">K3226-L3226-L3232-L3231-L3227-L3230-L3228-L3229</f>
        <v>0.000499999964176823</v>
      </c>
      <c r="Q3226" s="2000" t="n">
        <f aca="false">I3226-M3226-M3232-M3231-M3227-M3230-M3228-M3229</f>
        <v>0</v>
      </c>
      <c r="R3226" s="2005" t="n">
        <f aca="false">G3226-N3226-N3232-N3231-N3227-N3230-N3228-N3229</f>
        <v>0</v>
      </c>
    </row>
    <row r="3227" customFormat="false" ht="14.25" hidden="false" customHeight="false" outlineLevel="0" collapsed="false">
      <c r="A3227" s="1344"/>
      <c r="B3227" s="903"/>
      <c r="C3227" s="1974"/>
      <c r="D3227" s="2073" t="s">
        <v>17</v>
      </c>
      <c r="E3227" s="1480" t="s">
        <v>1651</v>
      </c>
      <c r="F3227" s="904"/>
      <c r="G3227" s="2084"/>
      <c r="H3227" s="1940"/>
      <c r="I3227" s="942"/>
      <c r="J3227" s="1941"/>
      <c r="K3227" s="948"/>
      <c r="L3227" s="866" t="n">
        <v>13034.121</v>
      </c>
      <c r="M3227" s="866" t="n">
        <v>510</v>
      </c>
      <c r="N3227" s="866" t="n">
        <f aca="false">M3227/H3226</f>
        <v>34</v>
      </c>
      <c r="O3227" s="543" t="s">
        <v>701</v>
      </c>
      <c r="P3227" s="2000"/>
      <c r="Q3227" s="2000"/>
      <c r="R3227" s="2005"/>
    </row>
    <row r="3228" customFormat="false" ht="14.25" hidden="false" customHeight="false" outlineLevel="0" collapsed="false">
      <c r="A3228" s="1344"/>
      <c r="B3228" s="903"/>
      <c r="C3228" s="1974"/>
      <c r="D3228" s="2073" t="s">
        <v>17</v>
      </c>
      <c r="E3228" s="1480" t="s">
        <v>1651</v>
      </c>
      <c r="F3228" s="904"/>
      <c r="G3228" s="2084"/>
      <c r="H3228" s="1940"/>
      <c r="I3228" s="942"/>
      <c r="J3228" s="1941"/>
      <c r="K3228" s="948"/>
      <c r="L3228" s="866" t="n">
        <v>28368.381</v>
      </c>
      <c r="M3228" s="866" t="n">
        <v>1110</v>
      </c>
      <c r="N3228" s="866" t="n">
        <f aca="false">M3228/H3226</f>
        <v>74</v>
      </c>
      <c r="O3228" s="543" t="s">
        <v>727</v>
      </c>
      <c r="P3228" s="2000"/>
      <c r="Q3228" s="2000"/>
      <c r="R3228" s="2005"/>
    </row>
    <row r="3229" customFormat="false" ht="14.25" hidden="false" customHeight="false" outlineLevel="0" collapsed="false">
      <c r="A3229" s="1344"/>
      <c r="B3229" s="903"/>
      <c r="C3229" s="1974"/>
      <c r="D3229" s="2073" t="s">
        <v>17</v>
      </c>
      <c r="E3229" s="1480" t="s">
        <v>1651</v>
      </c>
      <c r="F3229" s="904"/>
      <c r="G3229" s="2084"/>
      <c r="H3229" s="1940"/>
      <c r="I3229" s="942"/>
      <c r="J3229" s="1941"/>
      <c r="K3229" s="948"/>
      <c r="L3229" s="866" t="n">
        <v>3450.208</v>
      </c>
      <c r="M3229" s="866" t="n">
        <v>135</v>
      </c>
      <c r="N3229" s="866" t="n">
        <f aca="false">M3229/H3226</f>
        <v>9</v>
      </c>
      <c r="O3229" s="543" t="s">
        <v>1634</v>
      </c>
      <c r="P3229" s="2000"/>
      <c r="Q3229" s="2000"/>
      <c r="R3229" s="2005"/>
    </row>
    <row r="3230" customFormat="false" ht="14.25" hidden="false" customHeight="false" outlineLevel="0" collapsed="false">
      <c r="A3230" s="1344"/>
      <c r="B3230" s="903"/>
      <c r="C3230" s="1974"/>
      <c r="D3230" s="2073" t="s">
        <v>17</v>
      </c>
      <c r="E3230" s="1480" t="s">
        <v>1651</v>
      </c>
      <c r="F3230" s="904"/>
      <c r="G3230" s="2084"/>
      <c r="H3230" s="1940"/>
      <c r="I3230" s="942"/>
      <c r="J3230" s="1941"/>
      <c r="K3230" s="948"/>
      <c r="L3230" s="866" t="n">
        <v>23384.7465</v>
      </c>
      <c r="M3230" s="866" t="n">
        <v>915</v>
      </c>
      <c r="N3230" s="866" t="n">
        <f aca="false">M3230/H3226</f>
        <v>61</v>
      </c>
      <c r="O3230" s="543" t="s">
        <v>721</v>
      </c>
      <c r="P3230" s="2000"/>
      <c r="Q3230" s="2000"/>
      <c r="R3230" s="2005"/>
    </row>
    <row r="3231" customFormat="false" ht="14.25" hidden="false" customHeight="false" outlineLevel="0" collapsed="false">
      <c r="A3231" s="1344"/>
      <c r="B3231" s="903"/>
      <c r="C3231" s="1974"/>
      <c r="D3231" s="2073" t="s">
        <v>17</v>
      </c>
      <c r="E3231" s="1480" t="s">
        <v>1651</v>
      </c>
      <c r="F3231" s="904"/>
      <c r="G3231" s="2084"/>
      <c r="H3231" s="1940"/>
      <c r="I3231" s="942"/>
      <c r="J3231" s="1941"/>
      <c r="K3231" s="948"/>
      <c r="L3231" s="866" t="n">
        <v>46002.78</v>
      </c>
      <c r="M3231" s="866" t="n">
        <v>1800</v>
      </c>
      <c r="N3231" s="866" t="n">
        <f aca="false">M3231/H3226</f>
        <v>120</v>
      </c>
      <c r="O3231" s="543" t="s">
        <v>697</v>
      </c>
      <c r="P3231" s="2000"/>
      <c r="Q3231" s="2000"/>
      <c r="R3231" s="2005"/>
    </row>
    <row r="3232" customFormat="false" ht="14.25" hidden="false" customHeight="false" outlineLevel="0" collapsed="false">
      <c r="A3232" s="1344"/>
      <c r="B3232" s="903"/>
      <c r="C3232" s="1974"/>
      <c r="D3232" s="2074" t="s">
        <v>17</v>
      </c>
      <c r="E3232" s="1478" t="s">
        <v>1651</v>
      </c>
      <c r="F3232" s="904"/>
      <c r="G3232" s="2084"/>
      <c r="H3232" s="1940"/>
      <c r="I3232" s="942"/>
      <c r="J3232" s="1941"/>
      <c r="K3232" s="948"/>
      <c r="L3232" s="877" t="n">
        <v>1916.7825</v>
      </c>
      <c r="M3232" s="877" t="n">
        <v>75</v>
      </c>
      <c r="N3232" s="877" t="n">
        <f aca="false">M3232/H3226</f>
        <v>5</v>
      </c>
      <c r="O3232" s="553" t="s">
        <v>696</v>
      </c>
      <c r="P3232" s="2000"/>
      <c r="Q3232" s="2000"/>
      <c r="R3232" s="2005"/>
    </row>
    <row r="3233" customFormat="false" ht="14.25" hidden="false" customHeight="false" outlineLevel="0" collapsed="false">
      <c r="A3233" s="1465" t="n">
        <v>556</v>
      </c>
      <c r="B3233" s="1546" t="n">
        <v>2024</v>
      </c>
      <c r="C3233" s="1975" t="n">
        <v>45962</v>
      </c>
      <c r="D3233" s="2075" t="s">
        <v>17</v>
      </c>
      <c r="E3233" s="1365" t="s">
        <v>1651</v>
      </c>
      <c r="F3233" s="1328" t="s">
        <v>3364</v>
      </c>
      <c r="G3233" s="2085" t="n">
        <v>666</v>
      </c>
      <c r="H3233" s="1976" t="n">
        <v>15</v>
      </c>
      <c r="I3233" s="1036" t="n">
        <f aca="false">G3233*H3233</f>
        <v>9990</v>
      </c>
      <c r="J3233" s="1999" t="n">
        <v>25.5571</v>
      </c>
      <c r="K3233" s="1547" t="n">
        <f aca="false">I3233*J3233</f>
        <v>255315.429</v>
      </c>
      <c r="L3233" s="886" t="n">
        <v>49069.632</v>
      </c>
      <c r="M3233" s="886" t="n">
        <v>1920</v>
      </c>
      <c r="N3233" s="886" t="n">
        <f aca="false">M3233/H3233</f>
        <v>128</v>
      </c>
      <c r="O3233" s="1036" t="s">
        <v>711</v>
      </c>
      <c r="P3233" s="1977" t="n">
        <f aca="false">K3233-L3233-L3239-L3238-L3234-L3235-L3237-L3236</f>
        <v>0</v>
      </c>
      <c r="Q3233" s="1978" t="n">
        <f aca="false">I3233-M3233-M3239-M3238-M3234-M3235-M3237-M3236</f>
        <v>0</v>
      </c>
      <c r="R3233" s="1979" t="n">
        <f aca="false">G3233-N3233-N3239-N3238-N3234-N3235-N3237-N3236</f>
        <v>0</v>
      </c>
    </row>
    <row r="3234" customFormat="false" ht="14.25" hidden="false" customHeight="false" outlineLevel="0" collapsed="false">
      <c r="A3234" s="1465"/>
      <c r="B3234" s="1546"/>
      <c r="C3234" s="1975"/>
      <c r="D3234" s="2073" t="s">
        <v>17</v>
      </c>
      <c r="E3234" s="1480" t="s">
        <v>1651</v>
      </c>
      <c r="F3234" s="1328"/>
      <c r="G3234" s="2085"/>
      <c r="H3234" s="1976"/>
      <c r="I3234" s="1036"/>
      <c r="J3234" s="1999"/>
      <c r="K3234" s="1547"/>
      <c r="L3234" s="866" t="n">
        <v>26451.5985</v>
      </c>
      <c r="M3234" s="866" t="n">
        <v>1035</v>
      </c>
      <c r="N3234" s="866" t="n">
        <f aca="false">M3234/H3233</f>
        <v>69</v>
      </c>
      <c r="O3234" s="543" t="s">
        <v>726</v>
      </c>
      <c r="P3234" s="1977"/>
      <c r="Q3234" s="1978"/>
      <c r="R3234" s="1979"/>
    </row>
    <row r="3235" customFormat="false" ht="14.25" hidden="false" customHeight="false" outlineLevel="0" collapsed="false">
      <c r="A3235" s="1465"/>
      <c r="B3235" s="1546"/>
      <c r="C3235" s="1975"/>
      <c r="D3235" s="2073" t="s">
        <v>17</v>
      </c>
      <c r="E3235" s="1480" t="s">
        <v>1651</v>
      </c>
      <c r="F3235" s="1328"/>
      <c r="G3235" s="2085"/>
      <c r="H3235" s="1976"/>
      <c r="I3235" s="1036"/>
      <c r="J3235" s="1999"/>
      <c r="K3235" s="1547"/>
      <c r="L3235" s="866" t="n">
        <v>19551.1815</v>
      </c>
      <c r="M3235" s="866" t="n">
        <v>765</v>
      </c>
      <c r="N3235" s="866" t="n">
        <f aca="false">M3235/H3233</f>
        <v>51</v>
      </c>
      <c r="O3235" s="543" t="s">
        <v>727</v>
      </c>
      <c r="P3235" s="1977"/>
      <c r="Q3235" s="1978"/>
      <c r="R3235" s="1979"/>
    </row>
    <row r="3236" customFormat="false" ht="14.25" hidden="false" customHeight="false" outlineLevel="0" collapsed="false">
      <c r="A3236" s="1465"/>
      <c r="B3236" s="1546"/>
      <c r="C3236" s="1975"/>
      <c r="D3236" s="2073" t="s">
        <v>17</v>
      </c>
      <c r="E3236" s="1480" t="s">
        <v>1651</v>
      </c>
      <c r="F3236" s="1328"/>
      <c r="G3236" s="2085"/>
      <c r="H3236" s="1976"/>
      <c r="I3236" s="1036"/>
      <c r="J3236" s="1999"/>
      <c r="K3236" s="1547"/>
      <c r="L3236" s="866" t="n">
        <v>76671.3</v>
      </c>
      <c r="M3236" s="866" t="n">
        <v>3000</v>
      </c>
      <c r="N3236" s="866" t="n">
        <f aca="false">M3236/H3233</f>
        <v>200</v>
      </c>
      <c r="O3236" s="543" t="s">
        <v>729</v>
      </c>
      <c r="P3236" s="1977"/>
      <c r="Q3236" s="1978"/>
      <c r="R3236" s="1979"/>
    </row>
    <row r="3237" customFormat="false" ht="14.25" hidden="false" customHeight="false" outlineLevel="0" collapsed="false">
      <c r="A3237" s="1465"/>
      <c r="B3237" s="1546"/>
      <c r="C3237" s="1975"/>
      <c r="D3237" s="2073" t="s">
        <v>17</v>
      </c>
      <c r="E3237" s="1480" t="s">
        <v>1651</v>
      </c>
      <c r="F3237" s="1328"/>
      <c r="G3237" s="2085"/>
      <c r="H3237" s="1976"/>
      <c r="I3237" s="1036"/>
      <c r="J3237" s="1999"/>
      <c r="K3237" s="1547"/>
      <c r="L3237" s="866" t="n">
        <v>51369.771</v>
      </c>
      <c r="M3237" s="866" t="n">
        <v>2010</v>
      </c>
      <c r="N3237" s="866" t="n">
        <f aca="false">M3237/H3233</f>
        <v>134</v>
      </c>
      <c r="O3237" s="543" t="s">
        <v>728</v>
      </c>
      <c r="P3237" s="1977"/>
      <c r="Q3237" s="1978"/>
      <c r="R3237" s="1979"/>
    </row>
    <row r="3238" customFormat="false" ht="14.25" hidden="false" customHeight="false" outlineLevel="0" collapsed="false">
      <c r="A3238" s="1465"/>
      <c r="B3238" s="1546"/>
      <c r="C3238" s="1975"/>
      <c r="D3238" s="2073" t="s">
        <v>17</v>
      </c>
      <c r="E3238" s="1480" t="s">
        <v>1651</v>
      </c>
      <c r="F3238" s="1328"/>
      <c r="G3238" s="2085"/>
      <c r="H3238" s="1976"/>
      <c r="I3238" s="1036"/>
      <c r="J3238" s="1999"/>
      <c r="K3238" s="1547"/>
      <c r="L3238" s="866" t="n">
        <v>30668.52</v>
      </c>
      <c r="M3238" s="866" t="n">
        <v>1200</v>
      </c>
      <c r="N3238" s="866" t="n">
        <f aca="false">M3238/H3233</f>
        <v>80</v>
      </c>
      <c r="O3238" s="543" t="s">
        <v>3520</v>
      </c>
      <c r="P3238" s="1977"/>
      <c r="Q3238" s="1978"/>
      <c r="R3238" s="1979"/>
    </row>
    <row r="3239" customFormat="false" ht="14.25" hidden="false" customHeight="false" outlineLevel="0" collapsed="false">
      <c r="A3239" s="1465"/>
      <c r="B3239" s="1546"/>
      <c r="C3239" s="1975"/>
      <c r="D3239" s="2074" t="s">
        <v>17</v>
      </c>
      <c r="E3239" s="1478" t="s">
        <v>1651</v>
      </c>
      <c r="F3239" s="1328"/>
      <c r="G3239" s="2085"/>
      <c r="H3239" s="1976"/>
      <c r="I3239" s="1036"/>
      <c r="J3239" s="1999"/>
      <c r="K3239" s="1547"/>
      <c r="L3239" s="877" t="n">
        <v>1533.426</v>
      </c>
      <c r="M3239" s="877" t="n">
        <v>60</v>
      </c>
      <c r="N3239" s="877" t="n">
        <f aca="false">M3239/H3233</f>
        <v>4</v>
      </c>
      <c r="O3239" s="553" t="s">
        <v>719</v>
      </c>
      <c r="P3239" s="1977"/>
      <c r="Q3239" s="1978"/>
      <c r="R3239" s="1979"/>
    </row>
    <row r="3240" customFormat="false" ht="14.25" hidden="false" customHeight="false" outlineLevel="0" collapsed="false">
      <c r="A3240" s="829" t="n">
        <v>557</v>
      </c>
      <c r="B3240" s="830" t="n">
        <v>2024</v>
      </c>
      <c r="C3240" s="1965" t="n">
        <v>45962</v>
      </c>
      <c r="D3240" s="2075" t="s">
        <v>17</v>
      </c>
      <c r="E3240" s="1365" t="s">
        <v>1651</v>
      </c>
      <c r="F3240" s="832" t="s">
        <v>3364</v>
      </c>
      <c r="G3240" s="2076" t="n">
        <v>666</v>
      </c>
      <c r="H3240" s="1931" t="n">
        <v>15</v>
      </c>
      <c r="I3240" s="837" t="n">
        <f aca="false">G3240*H3240</f>
        <v>9990</v>
      </c>
      <c r="J3240" s="1932" t="n">
        <v>28.7701</v>
      </c>
      <c r="K3240" s="943" t="n">
        <f aca="false">I3240*J3240</f>
        <v>287413.299</v>
      </c>
      <c r="L3240" s="886" t="n">
        <v>431.5515</v>
      </c>
      <c r="M3240" s="886" t="n">
        <v>15</v>
      </c>
      <c r="N3240" s="886" t="n">
        <f aca="false">M3240/H3240</f>
        <v>1</v>
      </c>
      <c r="O3240" s="1036" t="s">
        <v>746</v>
      </c>
      <c r="P3240" s="1934" t="n">
        <f aca="false">K3240-L3240-L3253-L3252-L3241-L3242-L3251-L3244-L3249-L3250-L3245-L3247-L3243-L3248-L3246</f>
        <v>2.63753463514149E-011</v>
      </c>
      <c r="Q3240" s="1934" t="n">
        <f aca="false">I3240-M3240-M3253-M3252-M3241-M3242-M3251-M3244-M3249-M3250-M3245-M3247-M3243-M3248-M3246</f>
        <v>0</v>
      </c>
      <c r="R3240" s="1935" t="n">
        <f aca="false">G3240-N3240-N3253-N3252-N3241-N3242-N3251-N3244-N3249-N3250-N3245-N3247-N3243-N3248-N3246</f>
        <v>0</v>
      </c>
    </row>
    <row r="3241" customFormat="false" ht="14.25" hidden="false" customHeight="false" outlineLevel="0" collapsed="false">
      <c r="A3241" s="829"/>
      <c r="B3241" s="830"/>
      <c r="C3241" s="1965"/>
      <c r="D3241" s="2073" t="s">
        <v>17</v>
      </c>
      <c r="E3241" s="1480" t="s">
        <v>1651</v>
      </c>
      <c r="F3241" s="832"/>
      <c r="G3241" s="2076"/>
      <c r="H3241" s="1931"/>
      <c r="I3241" s="837"/>
      <c r="J3241" s="1932"/>
      <c r="K3241" s="943"/>
      <c r="L3241" s="866" t="n">
        <v>86310.3</v>
      </c>
      <c r="M3241" s="866" t="n">
        <v>3000</v>
      </c>
      <c r="N3241" s="866" t="n">
        <f aca="false">M3241/H3240</f>
        <v>200</v>
      </c>
      <c r="O3241" s="543" t="s">
        <v>775</v>
      </c>
      <c r="P3241" s="1934"/>
      <c r="Q3241" s="1934"/>
      <c r="R3241" s="1935"/>
    </row>
    <row r="3242" customFormat="false" ht="14.25" hidden="false" customHeight="false" outlineLevel="0" collapsed="false">
      <c r="A3242" s="829"/>
      <c r="B3242" s="830"/>
      <c r="C3242" s="1965"/>
      <c r="D3242" s="2073" t="s">
        <v>17</v>
      </c>
      <c r="E3242" s="1480" t="s">
        <v>1651</v>
      </c>
      <c r="F3242" s="832"/>
      <c r="G3242" s="2076"/>
      <c r="H3242" s="1931"/>
      <c r="I3242" s="837"/>
      <c r="J3242" s="1932"/>
      <c r="K3242" s="943"/>
      <c r="L3242" s="866" t="n">
        <v>9494.133</v>
      </c>
      <c r="M3242" s="866" t="n">
        <v>330</v>
      </c>
      <c r="N3242" s="866" t="n">
        <f aca="false">M3242/H3240</f>
        <v>22</v>
      </c>
      <c r="O3242" s="543" t="s">
        <v>735</v>
      </c>
      <c r="P3242" s="1934"/>
      <c r="Q3242" s="1934"/>
      <c r="R3242" s="1935"/>
    </row>
    <row r="3243" customFormat="false" ht="14.25" hidden="false" customHeight="false" outlineLevel="0" collapsed="false">
      <c r="A3243" s="829"/>
      <c r="B3243" s="830"/>
      <c r="C3243" s="1965"/>
      <c r="D3243" s="2073" t="s">
        <v>17</v>
      </c>
      <c r="E3243" s="1480" t="s">
        <v>1651</v>
      </c>
      <c r="F3243" s="832"/>
      <c r="G3243" s="2076"/>
      <c r="H3243" s="1931"/>
      <c r="I3243" s="837"/>
      <c r="J3243" s="1932"/>
      <c r="K3243" s="943"/>
      <c r="L3243" s="866" t="n">
        <v>37544.9805</v>
      </c>
      <c r="M3243" s="866" t="n">
        <v>1305</v>
      </c>
      <c r="N3243" s="866" t="n">
        <f aca="false">M3243/H3240</f>
        <v>87</v>
      </c>
      <c r="O3243" s="543" t="s">
        <v>735</v>
      </c>
      <c r="P3243" s="1934"/>
      <c r="Q3243" s="1934"/>
      <c r="R3243" s="1935"/>
    </row>
    <row r="3244" customFormat="false" ht="14.25" hidden="false" customHeight="false" outlineLevel="0" collapsed="false">
      <c r="A3244" s="829"/>
      <c r="B3244" s="830"/>
      <c r="C3244" s="1965"/>
      <c r="D3244" s="2073" t="s">
        <v>17</v>
      </c>
      <c r="E3244" s="1480" t="s">
        <v>1651</v>
      </c>
      <c r="F3244" s="832"/>
      <c r="G3244" s="2076"/>
      <c r="H3244" s="1931"/>
      <c r="I3244" s="837"/>
      <c r="J3244" s="1932"/>
      <c r="K3244" s="943"/>
      <c r="L3244" s="866" t="n">
        <v>14672.51</v>
      </c>
      <c r="M3244" s="866" t="n">
        <v>510</v>
      </c>
      <c r="N3244" s="866" t="n">
        <f aca="false">M3244/H3240</f>
        <v>34</v>
      </c>
      <c r="O3244" s="543" t="s">
        <v>832</v>
      </c>
      <c r="P3244" s="1934"/>
      <c r="Q3244" s="1934"/>
      <c r="R3244" s="1935"/>
    </row>
    <row r="3245" customFormat="false" ht="14.25" hidden="false" customHeight="false" outlineLevel="0" collapsed="false">
      <c r="A3245" s="829"/>
      <c r="B3245" s="830"/>
      <c r="C3245" s="1965"/>
      <c r="D3245" s="2073" t="s">
        <v>17</v>
      </c>
      <c r="E3245" s="1480" t="s">
        <v>1651</v>
      </c>
      <c r="F3245" s="832"/>
      <c r="G3245" s="2076"/>
      <c r="H3245" s="1931"/>
      <c r="I3245" s="837"/>
      <c r="J3245" s="1932"/>
      <c r="K3245" s="943"/>
      <c r="L3245" s="866" t="n">
        <v>37544.9805</v>
      </c>
      <c r="M3245" s="866" t="n">
        <v>1305</v>
      </c>
      <c r="N3245" s="866" t="n">
        <f aca="false">M3245/H3240</f>
        <v>87</v>
      </c>
      <c r="O3245" s="543" t="s">
        <v>762</v>
      </c>
      <c r="P3245" s="1934"/>
      <c r="Q3245" s="1934"/>
      <c r="R3245" s="1935"/>
    </row>
    <row r="3246" customFormat="false" ht="14.25" hidden="false" customHeight="false" outlineLevel="0" collapsed="false">
      <c r="A3246" s="829"/>
      <c r="B3246" s="830"/>
      <c r="C3246" s="1965"/>
      <c r="D3246" s="2073" t="s">
        <v>17</v>
      </c>
      <c r="E3246" s="1480" t="s">
        <v>1651</v>
      </c>
      <c r="F3246" s="832"/>
      <c r="G3246" s="2076"/>
      <c r="H3246" s="1931"/>
      <c r="I3246" s="837"/>
      <c r="J3246" s="1932"/>
      <c r="K3246" s="943"/>
      <c r="L3246" s="866" t="n">
        <v>863.344</v>
      </c>
      <c r="M3246" s="866" t="n">
        <v>30</v>
      </c>
      <c r="N3246" s="866" t="n">
        <f aca="false">M3246/H3240</f>
        <v>2</v>
      </c>
      <c r="O3246" s="543" t="s">
        <v>1375</v>
      </c>
      <c r="P3246" s="1934"/>
      <c r="Q3246" s="1934"/>
      <c r="R3246" s="1935"/>
    </row>
    <row r="3247" customFormat="false" ht="14.25" hidden="false" customHeight="false" outlineLevel="0" collapsed="false">
      <c r="A3247" s="829"/>
      <c r="B3247" s="830"/>
      <c r="C3247" s="1965"/>
      <c r="D3247" s="2073" t="s">
        <v>17</v>
      </c>
      <c r="E3247" s="1480" t="s">
        <v>1651</v>
      </c>
      <c r="F3247" s="832"/>
      <c r="G3247" s="2076"/>
      <c r="H3247" s="1931"/>
      <c r="I3247" s="837"/>
      <c r="J3247" s="1932"/>
      <c r="K3247" s="943"/>
      <c r="L3247" s="866" t="n">
        <v>17262.06</v>
      </c>
      <c r="M3247" s="866" t="n">
        <v>600</v>
      </c>
      <c r="N3247" s="866" t="n">
        <f aca="false">M3247/H3240</f>
        <v>40</v>
      </c>
      <c r="O3247" s="543" t="s">
        <v>805</v>
      </c>
      <c r="P3247" s="1934"/>
      <c r="Q3247" s="1934"/>
      <c r="R3247" s="1935"/>
    </row>
    <row r="3248" customFormat="false" ht="14.25" hidden="false" customHeight="false" outlineLevel="0" collapsed="false">
      <c r="A3248" s="829"/>
      <c r="B3248" s="830"/>
      <c r="C3248" s="1965"/>
      <c r="D3248" s="2073" t="s">
        <v>17</v>
      </c>
      <c r="E3248" s="1480" t="s">
        <v>1651</v>
      </c>
      <c r="F3248" s="832"/>
      <c r="G3248" s="2076"/>
      <c r="H3248" s="1931"/>
      <c r="I3248" s="837"/>
      <c r="J3248" s="1932"/>
      <c r="K3248" s="943"/>
      <c r="L3248" s="866" t="n">
        <v>28913.9505</v>
      </c>
      <c r="M3248" s="866" t="n">
        <v>1005</v>
      </c>
      <c r="N3248" s="866" t="n">
        <f aca="false">M3248/H3240</f>
        <v>67</v>
      </c>
      <c r="O3248" s="543" t="s">
        <v>1275</v>
      </c>
      <c r="P3248" s="1934"/>
      <c r="Q3248" s="1934"/>
      <c r="R3248" s="1935"/>
    </row>
    <row r="3249" customFormat="false" ht="14.25" hidden="false" customHeight="false" outlineLevel="0" collapsed="false">
      <c r="A3249" s="829"/>
      <c r="B3249" s="830"/>
      <c r="C3249" s="1965"/>
      <c r="D3249" s="2073" t="s">
        <v>17</v>
      </c>
      <c r="E3249" s="1480" t="s">
        <v>1651</v>
      </c>
      <c r="F3249" s="832"/>
      <c r="G3249" s="2076"/>
      <c r="H3249" s="1931"/>
      <c r="I3249" s="837"/>
      <c r="J3249" s="1932"/>
      <c r="K3249" s="943"/>
      <c r="L3249" s="866" t="n">
        <v>14672.751</v>
      </c>
      <c r="M3249" s="866" t="n">
        <v>510</v>
      </c>
      <c r="N3249" s="866" t="n">
        <f aca="false">M3249/H3240</f>
        <v>34</v>
      </c>
      <c r="O3249" s="543" t="s">
        <v>831</v>
      </c>
      <c r="P3249" s="1934"/>
      <c r="Q3249" s="1934"/>
      <c r="R3249" s="1935"/>
    </row>
    <row r="3250" customFormat="false" ht="14.25" hidden="false" customHeight="false" outlineLevel="0" collapsed="false">
      <c r="A3250" s="829"/>
      <c r="B3250" s="830"/>
      <c r="C3250" s="1965"/>
      <c r="D3250" s="2073" t="s">
        <v>17</v>
      </c>
      <c r="E3250" s="1480" t="s">
        <v>1651</v>
      </c>
      <c r="F3250" s="832"/>
      <c r="G3250" s="2076"/>
      <c r="H3250" s="1931"/>
      <c r="I3250" s="837"/>
      <c r="J3250" s="1932"/>
      <c r="K3250" s="943"/>
      <c r="L3250" s="866" t="n">
        <v>8631.03</v>
      </c>
      <c r="M3250" s="866" t="n">
        <v>300</v>
      </c>
      <c r="N3250" s="866" t="n">
        <f aca="false">M3250/H3240</f>
        <v>20</v>
      </c>
      <c r="O3250" s="543" t="s">
        <v>749</v>
      </c>
      <c r="P3250" s="1934"/>
      <c r="Q3250" s="1934"/>
      <c r="R3250" s="1935"/>
    </row>
    <row r="3251" customFormat="false" ht="14.25" hidden="false" customHeight="false" outlineLevel="0" collapsed="false">
      <c r="A3251" s="829"/>
      <c r="B3251" s="830"/>
      <c r="C3251" s="1965"/>
      <c r="D3251" s="2073" t="s">
        <v>17</v>
      </c>
      <c r="E3251" s="1480" t="s">
        <v>1651</v>
      </c>
      <c r="F3251" s="832"/>
      <c r="G3251" s="2076"/>
      <c r="H3251" s="1931"/>
      <c r="I3251" s="837"/>
      <c r="J3251" s="1932"/>
      <c r="K3251" s="943"/>
      <c r="L3251" s="866" t="n">
        <v>14672.751</v>
      </c>
      <c r="M3251" s="866" t="n">
        <v>510</v>
      </c>
      <c r="N3251" s="866" t="n">
        <f aca="false">M3251/H3240</f>
        <v>34</v>
      </c>
      <c r="O3251" s="543" t="s">
        <v>864</v>
      </c>
      <c r="P3251" s="1934"/>
      <c r="Q3251" s="1934"/>
      <c r="R3251" s="1935"/>
    </row>
    <row r="3252" customFormat="false" ht="14.25" hidden="false" customHeight="false" outlineLevel="0" collapsed="false">
      <c r="A3252" s="829"/>
      <c r="B3252" s="830"/>
      <c r="C3252" s="1965"/>
      <c r="D3252" s="2073" t="s">
        <v>17</v>
      </c>
      <c r="E3252" s="1480" t="s">
        <v>1651</v>
      </c>
      <c r="F3252" s="832"/>
      <c r="G3252" s="2076"/>
      <c r="H3252" s="1931"/>
      <c r="I3252" s="837"/>
      <c r="J3252" s="1932"/>
      <c r="K3252" s="943"/>
      <c r="L3252" s="866" t="n">
        <v>2157.7575</v>
      </c>
      <c r="M3252" s="866" t="n">
        <v>75</v>
      </c>
      <c r="N3252" s="866" t="n">
        <f aca="false">M3252/H3240</f>
        <v>5</v>
      </c>
      <c r="O3252" s="543" t="s">
        <v>761</v>
      </c>
      <c r="P3252" s="1934"/>
      <c r="Q3252" s="1934"/>
      <c r="R3252" s="1935"/>
    </row>
    <row r="3253" customFormat="false" ht="14.25" hidden="false" customHeight="false" outlineLevel="0" collapsed="false">
      <c r="A3253" s="829"/>
      <c r="B3253" s="830"/>
      <c r="C3253" s="1965"/>
      <c r="D3253" s="2077" t="s">
        <v>17</v>
      </c>
      <c r="E3253" s="1357" t="s">
        <v>1651</v>
      </c>
      <c r="F3253" s="832"/>
      <c r="G3253" s="2076"/>
      <c r="H3253" s="1931"/>
      <c r="I3253" s="837"/>
      <c r="J3253" s="1932"/>
      <c r="K3253" s="943"/>
      <c r="L3253" s="846" t="n">
        <v>14241.1995</v>
      </c>
      <c r="M3253" s="846" t="n">
        <v>495</v>
      </c>
      <c r="N3253" s="846" t="n">
        <f aca="false">M3253/H3240</f>
        <v>33</v>
      </c>
      <c r="O3253" s="589" t="s">
        <v>749</v>
      </c>
      <c r="P3253" s="1934"/>
      <c r="Q3253" s="1934"/>
      <c r="R3253" s="1935"/>
    </row>
    <row r="3254" customFormat="false" ht="14.25" hidden="false" customHeight="false" outlineLevel="0" collapsed="false">
      <c r="A3254" s="1087" t="n">
        <v>558</v>
      </c>
      <c r="B3254" s="1072" t="n">
        <v>2024</v>
      </c>
      <c r="C3254" s="1980" t="n">
        <v>45962</v>
      </c>
      <c r="D3254" s="2083" t="s">
        <v>17</v>
      </c>
      <c r="E3254" s="1351" t="s">
        <v>1651</v>
      </c>
      <c r="F3254" s="887" t="s">
        <v>3364</v>
      </c>
      <c r="G3254" s="2086" t="n">
        <v>315</v>
      </c>
      <c r="H3254" s="1950" t="n">
        <v>15</v>
      </c>
      <c r="I3254" s="1067" t="n">
        <f aca="false">G3254*H3254</f>
        <v>4725</v>
      </c>
      <c r="J3254" s="1951" t="n">
        <v>28.7701</v>
      </c>
      <c r="K3254" s="1452" t="n">
        <f aca="false">I3254*J3254</f>
        <v>135938.7225</v>
      </c>
      <c r="L3254" s="891" t="n">
        <v>34524.12</v>
      </c>
      <c r="M3254" s="891" t="n">
        <v>1200</v>
      </c>
      <c r="N3254" s="891" t="n">
        <f aca="false">M3254/H3254</f>
        <v>80</v>
      </c>
      <c r="O3254" s="942" t="s">
        <v>3616</v>
      </c>
      <c r="P3254" s="1952" t="n">
        <f aca="false">K3254-L3254-L3260-L3259-L3255-L3256-L3258-L3257</f>
        <v>0</v>
      </c>
      <c r="Q3254" s="1953" t="n">
        <f aca="false">I3254-M3254-M3260-M3259-M3255-M3256-M3258-M3257</f>
        <v>0</v>
      </c>
      <c r="R3254" s="1954" t="n">
        <f aca="false">G3254-N3254-N3260-N3259-N3255-N3256-N3258-N3257</f>
        <v>0</v>
      </c>
    </row>
    <row r="3255" customFormat="false" ht="14.25" hidden="false" customHeight="false" outlineLevel="0" collapsed="false">
      <c r="A3255" s="1087"/>
      <c r="B3255" s="1072"/>
      <c r="C3255" s="1980"/>
      <c r="D3255" s="2073" t="s">
        <v>17</v>
      </c>
      <c r="E3255" s="1480" t="s">
        <v>1651</v>
      </c>
      <c r="F3255" s="887"/>
      <c r="G3255" s="2086"/>
      <c r="H3255" s="1950"/>
      <c r="I3255" s="1067"/>
      <c r="J3255" s="1951"/>
      <c r="K3255" s="1452"/>
      <c r="L3255" s="866" t="n">
        <v>3883.9635</v>
      </c>
      <c r="M3255" s="866" t="n">
        <v>135</v>
      </c>
      <c r="N3255" s="866" t="n">
        <f aca="false">M3255/H3254</f>
        <v>9</v>
      </c>
      <c r="O3255" s="543" t="s">
        <v>727</v>
      </c>
      <c r="P3255" s="1952"/>
      <c r="Q3255" s="1953"/>
      <c r="R3255" s="1954"/>
    </row>
    <row r="3256" customFormat="false" ht="14.25" hidden="false" customHeight="false" outlineLevel="0" collapsed="false">
      <c r="A3256" s="1087"/>
      <c r="B3256" s="1072"/>
      <c r="C3256" s="1980"/>
      <c r="D3256" s="2073" t="s">
        <v>17</v>
      </c>
      <c r="E3256" s="1480" t="s">
        <v>1651</v>
      </c>
      <c r="F3256" s="887"/>
      <c r="G3256" s="2086"/>
      <c r="H3256" s="1950"/>
      <c r="I3256" s="1067"/>
      <c r="J3256" s="1951"/>
      <c r="K3256" s="1452"/>
      <c r="L3256" s="866" t="n">
        <v>8631.03</v>
      </c>
      <c r="M3256" s="866" t="n">
        <v>300</v>
      </c>
      <c r="N3256" s="866" t="n">
        <f aca="false">M3256/H3254</f>
        <v>20</v>
      </c>
      <c r="O3256" s="543" t="s">
        <v>732</v>
      </c>
      <c r="P3256" s="1952"/>
      <c r="Q3256" s="1953"/>
      <c r="R3256" s="1954"/>
    </row>
    <row r="3257" customFormat="false" ht="14.25" hidden="false" customHeight="false" outlineLevel="0" collapsed="false">
      <c r="A3257" s="1087"/>
      <c r="B3257" s="1072"/>
      <c r="C3257" s="1980"/>
      <c r="D3257" s="2073" t="s">
        <v>17</v>
      </c>
      <c r="E3257" s="1480" t="s">
        <v>1651</v>
      </c>
      <c r="F3257" s="887"/>
      <c r="G3257" s="2086"/>
      <c r="H3257" s="1950"/>
      <c r="I3257" s="1067"/>
      <c r="J3257" s="1951"/>
      <c r="K3257" s="1452"/>
      <c r="L3257" s="866" t="n">
        <v>3020.8605</v>
      </c>
      <c r="M3257" s="866" t="n">
        <v>105</v>
      </c>
      <c r="N3257" s="866" t="n">
        <f aca="false">M3257/H3254</f>
        <v>7</v>
      </c>
      <c r="O3257" s="543" t="s">
        <v>749</v>
      </c>
      <c r="P3257" s="1952"/>
      <c r="Q3257" s="1953"/>
      <c r="R3257" s="1954"/>
    </row>
    <row r="3258" customFormat="false" ht="14.25" hidden="false" customHeight="false" outlineLevel="0" collapsed="false">
      <c r="A3258" s="1087"/>
      <c r="B3258" s="1072"/>
      <c r="C3258" s="1980"/>
      <c r="D3258" s="2073" t="s">
        <v>17</v>
      </c>
      <c r="E3258" s="1480" t="s">
        <v>1651</v>
      </c>
      <c r="F3258" s="887"/>
      <c r="G3258" s="2086"/>
      <c r="H3258" s="1950"/>
      <c r="I3258" s="1067"/>
      <c r="J3258" s="1951"/>
      <c r="K3258" s="1452"/>
      <c r="L3258" s="866" t="n">
        <v>43155.15</v>
      </c>
      <c r="M3258" s="866" t="n">
        <v>1500</v>
      </c>
      <c r="N3258" s="866" t="n">
        <f aca="false">M3258/H3254</f>
        <v>100</v>
      </c>
      <c r="O3258" s="543" t="s">
        <v>735</v>
      </c>
      <c r="P3258" s="1952"/>
      <c r="Q3258" s="1953"/>
      <c r="R3258" s="1954"/>
    </row>
    <row r="3259" customFormat="false" ht="14.25" hidden="false" customHeight="false" outlineLevel="0" collapsed="false">
      <c r="A3259" s="1087"/>
      <c r="B3259" s="1072"/>
      <c r="C3259" s="1980"/>
      <c r="D3259" s="2073" t="s">
        <v>17</v>
      </c>
      <c r="E3259" s="1480" t="s">
        <v>1651</v>
      </c>
      <c r="F3259" s="887"/>
      <c r="G3259" s="2086"/>
      <c r="H3259" s="1950"/>
      <c r="I3259" s="1067"/>
      <c r="J3259" s="1951"/>
      <c r="K3259" s="1452"/>
      <c r="L3259" s="866" t="n">
        <v>28050.8475</v>
      </c>
      <c r="M3259" s="866" t="n">
        <v>975</v>
      </c>
      <c r="N3259" s="866" t="n">
        <f aca="false">M3259/H3254</f>
        <v>65</v>
      </c>
      <c r="O3259" s="543" t="s">
        <v>726</v>
      </c>
      <c r="P3259" s="1952"/>
      <c r="Q3259" s="1953"/>
      <c r="R3259" s="1954"/>
    </row>
    <row r="3260" customFormat="false" ht="14.25" hidden="false" customHeight="false" outlineLevel="0" collapsed="false">
      <c r="A3260" s="1087"/>
      <c r="B3260" s="1072"/>
      <c r="C3260" s="1980"/>
      <c r="D3260" s="2077" t="s">
        <v>17</v>
      </c>
      <c r="E3260" s="1357" t="s">
        <v>1651</v>
      </c>
      <c r="F3260" s="887"/>
      <c r="G3260" s="2086"/>
      <c r="H3260" s="1950"/>
      <c r="I3260" s="1067"/>
      <c r="J3260" s="1951"/>
      <c r="K3260" s="1452"/>
      <c r="L3260" s="846" t="n">
        <v>14672.751</v>
      </c>
      <c r="M3260" s="846" t="n">
        <v>510</v>
      </c>
      <c r="N3260" s="846" t="n">
        <f aca="false">M3260/H3254</f>
        <v>34</v>
      </c>
      <c r="O3260" s="589" t="s">
        <v>3617</v>
      </c>
      <c r="P3260" s="1952"/>
      <c r="Q3260" s="1953"/>
      <c r="R3260" s="1954"/>
    </row>
    <row r="3261" customFormat="false" ht="16.4" hidden="false" customHeight="false" outlineLevel="0" collapsed="false">
      <c r="A3261" s="903" t="n">
        <v>572</v>
      </c>
      <c r="B3261" s="903" t="n">
        <v>2024</v>
      </c>
      <c r="C3261" s="1974" t="n">
        <v>45962</v>
      </c>
      <c r="D3261" s="2083" t="s">
        <v>17</v>
      </c>
      <c r="E3261" s="1351" t="s">
        <v>2133</v>
      </c>
      <c r="F3261" s="904" t="s">
        <v>3364</v>
      </c>
      <c r="G3261" s="2084" t="n">
        <v>8</v>
      </c>
      <c r="H3261" s="1940" t="n">
        <v>30</v>
      </c>
      <c r="I3261" s="1355" t="n">
        <f aca="false">G3261*H3261</f>
        <v>240</v>
      </c>
      <c r="J3261" s="1941" t="n">
        <v>93.4</v>
      </c>
      <c r="K3261" s="1942" t="n">
        <f aca="false">I3261*J3261</f>
        <v>22416</v>
      </c>
      <c r="L3261" s="891" t="n">
        <v>22416</v>
      </c>
      <c r="M3261" s="891" t="n">
        <v>240</v>
      </c>
      <c r="N3261" s="886" t="n">
        <f aca="false">M3261/H3261</f>
        <v>8</v>
      </c>
      <c r="O3261" s="942" t="s">
        <v>738</v>
      </c>
      <c r="P3261" s="1944" t="n">
        <f aca="false">K3261-L3261</f>
        <v>0</v>
      </c>
      <c r="Q3261" s="1946" t="n">
        <f aca="false">I3261-M3261</f>
        <v>0</v>
      </c>
      <c r="R3261" s="1946" t="n">
        <f aca="false">G3261-N3261</f>
        <v>0</v>
      </c>
    </row>
    <row r="3262" customFormat="false" ht="14.25" hidden="false" customHeight="false" outlineLevel="0" collapsed="false">
      <c r="A3262" s="1027" t="n">
        <v>573</v>
      </c>
      <c r="B3262" s="1546" t="n">
        <v>2024</v>
      </c>
      <c r="C3262" s="1975" t="n">
        <v>45962</v>
      </c>
      <c r="D3262" s="2072" t="s">
        <v>17</v>
      </c>
      <c r="E3262" s="1607" t="s">
        <v>2130</v>
      </c>
      <c r="F3262" s="1328" t="s">
        <v>3364</v>
      </c>
      <c r="G3262" s="2085" t="n">
        <v>205</v>
      </c>
      <c r="H3262" s="1976" t="n">
        <v>25</v>
      </c>
      <c r="I3262" s="1036" t="n">
        <f aca="false">G3262*H3262</f>
        <v>5125</v>
      </c>
      <c r="J3262" s="1999" t="n">
        <v>54.374</v>
      </c>
      <c r="K3262" s="1547" t="n">
        <f aca="false">I3262*J3262</f>
        <v>278666.75</v>
      </c>
      <c r="L3262" s="886" t="n">
        <v>38061.8</v>
      </c>
      <c r="M3262" s="886" t="n">
        <v>700</v>
      </c>
      <c r="N3262" s="840" t="n">
        <f aca="false">M3262/H3262</f>
        <v>28</v>
      </c>
      <c r="O3262" s="1036" t="s">
        <v>740</v>
      </c>
      <c r="P3262" s="1977" t="n">
        <f aca="false">K3262-L3262-L3263</f>
        <v>0</v>
      </c>
      <c r="Q3262" s="1978" t="n">
        <f aca="false">I3262-M3262-M3263</f>
        <v>0</v>
      </c>
      <c r="R3262" s="1979" t="n">
        <f aca="false">G3262-N3262-N3263</f>
        <v>0</v>
      </c>
    </row>
    <row r="3263" customFormat="false" ht="14.25" hidden="false" customHeight="false" outlineLevel="0" collapsed="false">
      <c r="A3263" s="1027"/>
      <c r="B3263" s="1546"/>
      <c r="C3263" s="1975"/>
      <c r="D3263" s="2074" t="s">
        <v>17</v>
      </c>
      <c r="E3263" s="1478" t="s">
        <v>2130</v>
      </c>
      <c r="F3263" s="1328"/>
      <c r="G3263" s="2085"/>
      <c r="H3263" s="1976"/>
      <c r="I3263" s="1036"/>
      <c r="J3263" s="1999"/>
      <c r="K3263" s="1547"/>
      <c r="L3263" s="877" t="n">
        <v>240604.95</v>
      </c>
      <c r="M3263" s="877" t="n">
        <v>4425</v>
      </c>
      <c r="N3263" s="877" t="n">
        <f aca="false">M3263/H3262</f>
        <v>177</v>
      </c>
      <c r="O3263" s="553" t="s">
        <v>869</v>
      </c>
      <c r="P3263" s="1977"/>
      <c r="Q3263" s="1978"/>
      <c r="R3263" s="1979"/>
    </row>
    <row r="3264" customFormat="false" ht="14.25" hidden="false" customHeight="false" outlineLevel="0" collapsed="false">
      <c r="A3264" s="882" t="n">
        <v>637</v>
      </c>
      <c r="B3264" s="830" t="n">
        <v>2024</v>
      </c>
      <c r="C3264" s="1965" t="n">
        <v>45992</v>
      </c>
      <c r="D3264" s="2075" t="s">
        <v>17</v>
      </c>
      <c r="E3264" s="1365" t="s">
        <v>2133</v>
      </c>
      <c r="F3264" s="832" t="s">
        <v>3364</v>
      </c>
      <c r="G3264" s="2076" t="n">
        <v>7</v>
      </c>
      <c r="H3264" s="1931" t="n">
        <v>806</v>
      </c>
      <c r="I3264" s="837" t="n">
        <f aca="false">G3264*H3264</f>
        <v>5642</v>
      </c>
      <c r="J3264" s="1932" t="n">
        <v>93.4</v>
      </c>
      <c r="K3264" s="943" t="n">
        <f aca="false">I3264*J3264</f>
        <v>526962.8</v>
      </c>
      <c r="L3264" s="840" t="n">
        <v>40068.6</v>
      </c>
      <c r="M3264" s="840" t="n">
        <v>429</v>
      </c>
      <c r="N3264" s="1545" t="n">
        <f aca="false">M3264/H3264</f>
        <v>0.532258064516129</v>
      </c>
      <c r="O3264" s="1114" t="s">
        <v>3618</v>
      </c>
      <c r="P3264" s="1937" t="n">
        <f aca="false">K3264-L3264-L3266-L3265</f>
        <v>0</v>
      </c>
      <c r="Q3264" s="1934" t="n">
        <f aca="false">I3264-M3264-M3266-M3265</f>
        <v>0</v>
      </c>
      <c r="R3264" s="2053" t="n">
        <f aca="false">G3264-N3264-N3266-N3265</f>
        <v>0</v>
      </c>
    </row>
    <row r="3265" customFormat="false" ht="14.25" hidden="false" customHeight="false" outlineLevel="0" collapsed="false">
      <c r="A3265" s="882"/>
      <c r="B3265" s="830"/>
      <c r="C3265" s="1965"/>
      <c r="D3265" s="2083" t="s">
        <v>17</v>
      </c>
      <c r="E3265" s="1480" t="s">
        <v>2133</v>
      </c>
      <c r="F3265" s="832"/>
      <c r="G3265" s="2076"/>
      <c r="H3265" s="1931"/>
      <c r="I3265" s="837"/>
      <c r="J3265" s="1932"/>
      <c r="K3265" s="943"/>
      <c r="L3265" s="891" t="n">
        <v>74906.8</v>
      </c>
      <c r="M3265" s="891" t="n">
        <v>802</v>
      </c>
      <c r="N3265" s="1147" t="n">
        <f aca="false">M3265/H3264</f>
        <v>0.995037220843672</v>
      </c>
      <c r="O3265" s="942" t="s">
        <v>1623</v>
      </c>
      <c r="P3265" s="1937"/>
      <c r="Q3265" s="1934"/>
      <c r="R3265" s="2053"/>
    </row>
    <row r="3266" customFormat="false" ht="14.25" hidden="false" customHeight="false" outlineLevel="0" collapsed="false">
      <c r="A3266" s="882"/>
      <c r="B3266" s="830"/>
      <c r="C3266" s="1965"/>
      <c r="D3266" s="2077" t="s">
        <v>17</v>
      </c>
      <c r="E3266" s="1357" t="s">
        <v>2133</v>
      </c>
      <c r="F3266" s="832"/>
      <c r="G3266" s="2076"/>
      <c r="H3266" s="1931"/>
      <c r="I3266" s="837"/>
      <c r="J3266" s="1932"/>
      <c r="K3266" s="943"/>
      <c r="L3266" s="846" t="n">
        <v>411987.4</v>
      </c>
      <c r="M3266" s="846" t="n">
        <v>4411</v>
      </c>
      <c r="N3266" s="1136" t="n">
        <f aca="false">M3266/H3264</f>
        <v>5.4727047146402</v>
      </c>
      <c r="O3266" s="589" t="s">
        <v>3619</v>
      </c>
      <c r="P3266" s="1937"/>
      <c r="Q3266" s="1934"/>
      <c r="R3266" s="2053"/>
    </row>
    <row r="3267" customFormat="false" ht="16.4" hidden="false" customHeight="false" outlineLevel="0" collapsed="false">
      <c r="A3267" s="903" t="n">
        <v>638</v>
      </c>
      <c r="B3267" s="903" t="n">
        <v>2024</v>
      </c>
      <c r="C3267" s="1974" t="n">
        <v>45992</v>
      </c>
      <c r="D3267" s="2083" t="s">
        <v>17</v>
      </c>
      <c r="E3267" s="1351" t="s">
        <v>2133</v>
      </c>
      <c r="F3267" s="904" t="s">
        <v>3364</v>
      </c>
      <c r="G3267" s="2084" t="n">
        <v>1</v>
      </c>
      <c r="H3267" s="1940" t="n">
        <v>693</v>
      </c>
      <c r="I3267" s="1355" t="n">
        <f aca="false">G3267*H3267</f>
        <v>693</v>
      </c>
      <c r="J3267" s="1941" t="n">
        <v>87.335</v>
      </c>
      <c r="K3267" s="1942" t="n">
        <f aca="false">I3267*J3267</f>
        <v>60523.155</v>
      </c>
      <c r="L3267" s="891" t="n">
        <v>60523.155</v>
      </c>
      <c r="M3267" s="891" t="n">
        <v>693</v>
      </c>
      <c r="N3267" s="877" t="n">
        <f aca="false">M3267/H3267</f>
        <v>1</v>
      </c>
      <c r="O3267" s="942" t="s">
        <v>1623</v>
      </c>
      <c r="P3267" s="1944" t="n">
        <f aca="false">K3267-L3267</f>
        <v>0</v>
      </c>
      <c r="Q3267" s="1946" t="n">
        <f aca="false">I3267-M3267</f>
        <v>0</v>
      </c>
      <c r="R3267" s="1946" t="n">
        <f aca="false">G3267-N3267</f>
        <v>0</v>
      </c>
    </row>
    <row r="3268" customFormat="false" ht="14.25" hidden="false" customHeight="false" outlineLevel="0" collapsed="false">
      <c r="A3268" s="882" t="n">
        <v>713</v>
      </c>
      <c r="B3268" s="830" t="n">
        <v>2024</v>
      </c>
      <c r="C3268" s="1965" t="n">
        <v>45992</v>
      </c>
      <c r="D3268" s="2075" t="s">
        <v>17</v>
      </c>
      <c r="E3268" s="1365" t="s">
        <v>1652</v>
      </c>
      <c r="F3268" s="832" t="s">
        <v>3364</v>
      </c>
      <c r="G3268" s="2087" t="n">
        <v>66</v>
      </c>
      <c r="H3268" s="1931" t="n">
        <v>15</v>
      </c>
      <c r="I3268" s="837" t="n">
        <f aca="false">G3268*H3268</f>
        <v>990</v>
      </c>
      <c r="J3268" s="1932" t="n">
        <v>40.4732</v>
      </c>
      <c r="K3268" s="943" t="n">
        <f aca="false">I3268*J3268</f>
        <v>40068.468</v>
      </c>
      <c r="L3268" s="840" t="n">
        <v>6678.078</v>
      </c>
      <c r="M3268" s="840" t="n">
        <v>165</v>
      </c>
      <c r="N3268" s="886" t="n">
        <f aca="false">M3268/H3268</f>
        <v>11</v>
      </c>
      <c r="O3268" s="1114" t="s">
        <v>968</v>
      </c>
      <c r="P3268" s="1937" t="n">
        <f aca="false">K3268-L3268-L3270-L3269</f>
        <v>0</v>
      </c>
      <c r="Q3268" s="1934" t="n">
        <f aca="false">I3268-M3268-M3270-M3269</f>
        <v>0</v>
      </c>
      <c r="R3268" s="1935" t="n">
        <f aca="false">G3268-N3268-N3270-N3269</f>
        <v>0</v>
      </c>
    </row>
    <row r="3269" customFormat="false" ht="14.25" hidden="false" customHeight="false" outlineLevel="0" collapsed="false">
      <c r="A3269" s="882"/>
      <c r="B3269" s="830"/>
      <c r="C3269" s="1965"/>
      <c r="D3269" s="2083" t="s">
        <v>17</v>
      </c>
      <c r="E3269" s="1351" t="s">
        <v>1652</v>
      </c>
      <c r="F3269" s="832"/>
      <c r="G3269" s="2087"/>
      <c r="H3269" s="1931"/>
      <c r="I3269" s="837"/>
      <c r="J3269" s="1932"/>
      <c r="K3269" s="943"/>
      <c r="L3269" s="891" t="n">
        <v>9106.47</v>
      </c>
      <c r="M3269" s="891" t="n">
        <v>225</v>
      </c>
      <c r="N3269" s="866" t="n">
        <f aca="false">M3269/H3268</f>
        <v>15</v>
      </c>
      <c r="O3269" s="942" t="s">
        <v>1634</v>
      </c>
      <c r="P3269" s="1937"/>
      <c r="Q3269" s="1934"/>
      <c r="R3269" s="1935"/>
    </row>
    <row r="3270" customFormat="false" ht="14.25" hidden="false" customHeight="false" outlineLevel="0" collapsed="false">
      <c r="A3270" s="882"/>
      <c r="B3270" s="830"/>
      <c r="C3270" s="1965"/>
      <c r="D3270" s="2077" t="s">
        <v>17</v>
      </c>
      <c r="E3270" s="1357" t="s">
        <v>1652</v>
      </c>
      <c r="F3270" s="832"/>
      <c r="G3270" s="2087"/>
      <c r="H3270" s="1931"/>
      <c r="I3270" s="837"/>
      <c r="J3270" s="1932"/>
      <c r="K3270" s="943"/>
      <c r="L3270" s="846" t="n">
        <v>24283.92</v>
      </c>
      <c r="M3270" s="846" t="n">
        <v>600</v>
      </c>
      <c r="N3270" s="846" t="n">
        <f aca="false">M3270/H3268</f>
        <v>40</v>
      </c>
      <c r="O3270" s="589" t="s">
        <v>960</v>
      </c>
      <c r="P3270" s="1937"/>
      <c r="Q3270" s="1934"/>
      <c r="R3270" s="1935"/>
    </row>
    <row r="3271" customFormat="false" ht="14.25" hidden="false" customHeight="false" outlineLevel="0" collapsed="false">
      <c r="A3271" s="1087" t="n">
        <v>714</v>
      </c>
      <c r="B3271" s="1072" t="n">
        <v>2024</v>
      </c>
      <c r="C3271" s="1980" t="n">
        <v>45992</v>
      </c>
      <c r="D3271" s="2080" t="s">
        <v>17</v>
      </c>
      <c r="E3271" s="1479" t="s">
        <v>1651</v>
      </c>
      <c r="F3271" s="887" t="s">
        <v>3364</v>
      </c>
      <c r="G3271" s="2088" t="n">
        <v>666</v>
      </c>
      <c r="H3271" s="1950" t="n">
        <v>15</v>
      </c>
      <c r="I3271" s="1067" t="n">
        <f aca="false">G3271*H3271</f>
        <v>9990</v>
      </c>
      <c r="J3271" s="1951" t="n">
        <v>32.7754</v>
      </c>
      <c r="K3271" s="1452" t="n">
        <f aca="false">I3271*J3271</f>
        <v>327426.246</v>
      </c>
      <c r="L3271" s="891" t="n">
        <v>56045.934</v>
      </c>
      <c r="M3271" s="891" t="n">
        <v>1710</v>
      </c>
      <c r="N3271" s="891" t="n">
        <f aca="false">M3271/H3271</f>
        <v>114</v>
      </c>
      <c r="O3271" s="942" t="s">
        <v>3548</v>
      </c>
      <c r="P3271" s="1953" t="n">
        <f aca="false">K3271-L3271-L3281-L3280-L3272-L3279-L3273-L3274-L3278-L3277-L3276-L3275</f>
        <v>-2.04636307898909E-011</v>
      </c>
      <c r="Q3271" s="1953" t="n">
        <f aca="false">I3271-M3271-M3281-M3280-M3272-M3279-M3273-M3274-M3278-M3277-M3276-M3275</f>
        <v>0</v>
      </c>
      <c r="R3271" s="1954" t="n">
        <f aca="false">G3271-N3271-N3281-N3280-N3272-N3279-N3273-N3274-N3278-N3277-N3276-N3275</f>
        <v>0</v>
      </c>
    </row>
    <row r="3272" customFormat="false" ht="14.25" hidden="false" customHeight="false" outlineLevel="0" collapsed="false">
      <c r="A3272" s="1087"/>
      <c r="B3272" s="1072"/>
      <c r="C3272" s="1980"/>
      <c r="D3272" s="2073" t="s">
        <v>17</v>
      </c>
      <c r="E3272" s="1480" t="s">
        <v>1651</v>
      </c>
      <c r="F3272" s="887"/>
      <c r="G3272" s="2088"/>
      <c r="H3272" s="1950"/>
      <c r="I3272" s="1067"/>
      <c r="J3272" s="1951"/>
      <c r="K3272" s="1452"/>
      <c r="L3272" s="866" t="n">
        <v>98326.2</v>
      </c>
      <c r="M3272" s="866" t="n">
        <v>3000</v>
      </c>
      <c r="N3272" s="866" t="n">
        <f aca="false">M3272/H3271</f>
        <v>200</v>
      </c>
      <c r="O3272" s="543" t="s">
        <v>904</v>
      </c>
      <c r="P3272" s="1953"/>
      <c r="Q3272" s="1953"/>
      <c r="R3272" s="1954"/>
    </row>
    <row r="3273" customFormat="false" ht="14.25" hidden="false" customHeight="false" outlineLevel="0" collapsed="false">
      <c r="A3273" s="1087"/>
      <c r="B3273" s="1072"/>
      <c r="C3273" s="1980"/>
      <c r="D3273" s="2073" t="s">
        <v>17</v>
      </c>
      <c r="E3273" s="1480" t="s">
        <v>1651</v>
      </c>
      <c r="F3273" s="887"/>
      <c r="G3273" s="2088"/>
      <c r="H3273" s="1950"/>
      <c r="I3273" s="1067"/>
      <c r="J3273" s="1951"/>
      <c r="K3273" s="1452"/>
      <c r="L3273" s="866" t="n">
        <v>49163.1</v>
      </c>
      <c r="M3273" s="866" t="n">
        <v>1500</v>
      </c>
      <c r="N3273" s="866" t="n">
        <f aca="false">M3273/H3271</f>
        <v>100</v>
      </c>
      <c r="O3273" s="543" t="s">
        <v>985</v>
      </c>
      <c r="P3273" s="1953"/>
      <c r="Q3273" s="1953"/>
      <c r="R3273" s="1954"/>
    </row>
    <row r="3274" customFormat="false" ht="14.25" hidden="false" customHeight="false" outlineLevel="0" collapsed="false">
      <c r="A3274" s="1087"/>
      <c r="B3274" s="1072"/>
      <c r="C3274" s="1980"/>
      <c r="D3274" s="2073" t="s">
        <v>17</v>
      </c>
      <c r="E3274" s="1480" t="s">
        <v>1651</v>
      </c>
      <c r="F3274" s="887"/>
      <c r="G3274" s="2088"/>
      <c r="H3274" s="1950"/>
      <c r="I3274" s="1067"/>
      <c r="J3274" s="1951"/>
      <c r="K3274" s="1452"/>
      <c r="L3274" s="866" t="n">
        <v>49163.1</v>
      </c>
      <c r="M3274" s="866" t="n">
        <v>1500</v>
      </c>
      <c r="N3274" s="866" t="n">
        <f aca="false">M3274/H3271</f>
        <v>100</v>
      </c>
      <c r="O3274" s="543" t="s">
        <v>3620</v>
      </c>
      <c r="P3274" s="1953"/>
      <c r="Q3274" s="1953"/>
      <c r="R3274" s="1954"/>
    </row>
    <row r="3275" customFormat="false" ht="14.25" hidden="false" customHeight="false" outlineLevel="0" collapsed="false">
      <c r="A3275" s="1087"/>
      <c r="B3275" s="1072"/>
      <c r="C3275" s="1980"/>
      <c r="D3275" s="2073" t="s">
        <v>17</v>
      </c>
      <c r="E3275" s="1480" t="s">
        <v>1651</v>
      </c>
      <c r="F3275" s="887"/>
      <c r="G3275" s="2088"/>
      <c r="H3275" s="1950"/>
      <c r="I3275" s="1067"/>
      <c r="J3275" s="1951"/>
      <c r="K3275" s="1452"/>
      <c r="L3275" s="866" t="n">
        <v>2949.786</v>
      </c>
      <c r="M3275" s="866" t="n">
        <v>90</v>
      </c>
      <c r="N3275" s="866" t="n">
        <f aca="false">M3275/H3271</f>
        <v>6</v>
      </c>
      <c r="O3275" s="543" t="s">
        <v>1634</v>
      </c>
      <c r="P3275" s="1953"/>
      <c r="Q3275" s="1953"/>
      <c r="R3275" s="1954"/>
    </row>
    <row r="3276" customFormat="false" ht="14.25" hidden="false" customHeight="false" outlineLevel="0" collapsed="false">
      <c r="A3276" s="1087"/>
      <c r="B3276" s="1072"/>
      <c r="C3276" s="1980"/>
      <c r="D3276" s="2073" t="s">
        <v>17</v>
      </c>
      <c r="E3276" s="1480" t="s">
        <v>1651</v>
      </c>
      <c r="F3276" s="887"/>
      <c r="G3276" s="2088"/>
      <c r="H3276" s="1950"/>
      <c r="I3276" s="1067"/>
      <c r="J3276" s="1951"/>
      <c r="K3276" s="1452"/>
      <c r="L3276" s="866" t="n">
        <v>1966.524</v>
      </c>
      <c r="M3276" s="866" t="n">
        <v>60</v>
      </c>
      <c r="N3276" s="866" t="n">
        <f aca="false">M3276/H3271</f>
        <v>4</v>
      </c>
      <c r="O3276" s="543" t="s">
        <v>3607</v>
      </c>
      <c r="P3276" s="1953"/>
      <c r="Q3276" s="1953"/>
      <c r="R3276" s="1954"/>
    </row>
    <row r="3277" customFormat="false" ht="14.25" hidden="false" customHeight="false" outlineLevel="0" collapsed="false">
      <c r="A3277" s="1087"/>
      <c r="B3277" s="1072"/>
      <c r="C3277" s="1980"/>
      <c r="D3277" s="2073" t="s">
        <v>17</v>
      </c>
      <c r="E3277" s="1480" t="s">
        <v>1651</v>
      </c>
      <c r="F3277" s="887"/>
      <c r="G3277" s="2088"/>
      <c r="H3277" s="1950"/>
      <c r="I3277" s="1067"/>
      <c r="J3277" s="1951"/>
      <c r="K3277" s="1452"/>
      <c r="L3277" s="866" t="n">
        <v>9832.62</v>
      </c>
      <c r="M3277" s="866" t="n">
        <v>300</v>
      </c>
      <c r="N3277" s="866" t="n">
        <f aca="false">M3277/H3271</f>
        <v>20</v>
      </c>
      <c r="O3277" s="543" t="s">
        <v>530</v>
      </c>
      <c r="P3277" s="1953"/>
      <c r="Q3277" s="1953"/>
      <c r="R3277" s="1954"/>
    </row>
    <row r="3278" customFormat="false" ht="14.25" hidden="false" customHeight="false" outlineLevel="0" collapsed="false">
      <c r="A3278" s="1087"/>
      <c r="B3278" s="1072"/>
      <c r="C3278" s="1980"/>
      <c r="D3278" s="2073" t="s">
        <v>17</v>
      </c>
      <c r="E3278" s="1480" t="s">
        <v>1651</v>
      </c>
      <c r="F3278" s="887"/>
      <c r="G3278" s="2088"/>
      <c r="H3278" s="1950"/>
      <c r="I3278" s="1067"/>
      <c r="J3278" s="1951"/>
      <c r="K3278" s="1452"/>
      <c r="L3278" s="866" t="n">
        <v>983.262</v>
      </c>
      <c r="M3278" s="866" t="n">
        <v>30</v>
      </c>
      <c r="N3278" s="866" t="n">
        <f aca="false">M3278/H3271</f>
        <v>2</v>
      </c>
      <c r="O3278" s="543" t="s">
        <v>991</v>
      </c>
      <c r="P3278" s="1953"/>
      <c r="Q3278" s="1953"/>
      <c r="R3278" s="1954"/>
    </row>
    <row r="3279" customFormat="false" ht="14.25" hidden="false" customHeight="false" outlineLevel="0" collapsed="false">
      <c r="A3279" s="1087"/>
      <c r="B3279" s="1072"/>
      <c r="C3279" s="1980"/>
      <c r="D3279" s="2073" t="s">
        <v>17</v>
      </c>
      <c r="E3279" s="1480" t="s">
        <v>1651</v>
      </c>
      <c r="F3279" s="887"/>
      <c r="G3279" s="2088"/>
      <c r="H3279" s="1950"/>
      <c r="I3279" s="1067"/>
      <c r="J3279" s="1951"/>
      <c r="K3279" s="1452"/>
      <c r="L3279" s="866" t="n">
        <v>24581.55</v>
      </c>
      <c r="M3279" s="866" t="n">
        <v>750</v>
      </c>
      <c r="N3279" s="866" t="n">
        <f aca="false">M3279/H3271</f>
        <v>50</v>
      </c>
      <c r="O3279" s="543" t="s">
        <v>984</v>
      </c>
      <c r="P3279" s="1953"/>
      <c r="Q3279" s="1953"/>
      <c r="R3279" s="1954"/>
    </row>
    <row r="3280" customFormat="false" ht="14.25" hidden="false" customHeight="false" outlineLevel="0" collapsed="false">
      <c r="A3280" s="1087"/>
      <c r="B3280" s="1072"/>
      <c r="C3280" s="1980"/>
      <c r="D3280" s="2073" t="s">
        <v>17</v>
      </c>
      <c r="E3280" s="1480" t="s">
        <v>1651</v>
      </c>
      <c r="F3280" s="887"/>
      <c r="G3280" s="2088"/>
      <c r="H3280" s="1950"/>
      <c r="I3280" s="1067"/>
      <c r="J3280" s="1951"/>
      <c r="K3280" s="1452"/>
      <c r="L3280" s="866" t="n">
        <v>24581.55</v>
      </c>
      <c r="M3280" s="866" t="n">
        <v>750</v>
      </c>
      <c r="N3280" s="866" t="n">
        <f aca="false">M3280/H3271</f>
        <v>50</v>
      </c>
      <c r="O3280" s="543" t="s">
        <v>3606</v>
      </c>
      <c r="P3280" s="1953"/>
      <c r="Q3280" s="1953"/>
      <c r="R3280" s="1954"/>
    </row>
    <row r="3281" customFormat="false" ht="14.25" hidden="false" customHeight="false" outlineLevel="0" collapsed="false">
      <c r="A3281" s="1087"/>
      <c r="B3281" s="1072"/>
      <c r="C3281" s="1980"/>
      <c r="D3281" s="2077" t="s">
        <v>17</v>
      </c>
      <c r="E3281" s="1357" t="s">
        <v>1651</v>
      </c>
      <c r="F3281" s="887"/>
      <c r="G3281" s="2088"/>
      <c r="H3281" s="1950"/>
      <c r="I3281" s="1067"/>
      <c r="J3281" s="1951"/>
      <c r="K3281" s="1452"/>
      <c r="L3281" s="846" t="n">
        <v>9832.62</v>
      </c>
      <c r="M3281" s="846" t="n">
        <v>300</v>
      </c>
      <c r="N3281" s="846" t="n">
        <f aca="false">M3281/H3271</f>
        <v>20</v>
      </c>
      <c r="O3281" s="589" t="s">
        <v>967</v>
      </c>
      <c r="P3281" s="1953"/>
      <c r="Q3281" s="1953"/>
      <c r="R3281" s="1954"/>
    </row>
    <row r="3282" customFormat="false" ht="16.4" hidden="false" customHeight="false" outlineLevel="0" collapsed="false">
      <c r="A3282" s="903" t="n">
        <v>723</v>
      </c>
      <c r="B3282" s="903" t="n">
        <v>2024</v>
      </c>
      <c r="C3282" s="1974" t="n">
        <v>45992</v>
      </c>
      <c r="D3282" s="2083" t="s">
        <v>17</v>
      </c>
      <c r="E3282" s="1351" t="s">
        <v>1651</v>
      </c>
      <c r="F3282" s="904" t="s">
        <v>3367</v>
      </c>
      <c r="G3282" s="2084" t="n">
        <v>250</v>
      </c>
      <c r="H3282" s="1940" t="n">
        <v>10</v>
      </c>
      <c r="I3282" s="1380" t="n">
        <f aca="false">G3282*H3282</f>
        <v>2500</v>
      </c>
      <c r="J3282" s="1941" t="n">
        <v>33.8242</v>
      </c>
      <c r="K3282" s="1968" t="n">
        <f aca="false">I3282*J3282</f>
        <v>84560.5</v>
      </c>
      <c r="L3282" s="891" t="n">
        <v>84560.5</v>
      </c>
      <c r="M3282" s="891" t="n">
        <v>2500</v>
      </c>
      <c r="N3282" s="891" t="n">
        <f aca="false">M3282/H3282</f>
        <v>250</v>
      </c>
      <c r="O3282" s="942" t="s">
        <v>1014</v>
      </c>
      <c r="P3282" s="1969" t="n">
        <f aca="false">K3282-L3282</f>
        <v>0</v>
      </c>
      <c r="Q3282" s="1971" t="n">
        <f aca="false">I3282-M3282</f>
        <v>0</v>
      </c>
      <c r="R3282" s="1971" t="n">
        <f aca="false">G3282-N3282</f>
        <v>0</v>
      </c>
    </row>
    <row r="3283" customFormat="false" ht="16.4" hidden="false" customHeight="false" outlineLevel="0" collapsed="false">
      <c r="A3283" s="859" t="n">
        <v>20</v>
      </c>
      <c r="B3283" s="2020" t="n">
        <v>2025</v>
      </c>
      <c r="C3283" s="1990" t="n">
        <v>46023</v>
      </c>
      <c r="D3283" s="2073" t="s">
        <v>17</v>
      </c>
      <c r="E3283" s="1480" t="s">
        <v>1651</v>
      </c>
      <c r="F3283" s="860" t="s">
        <v>3367</v>
      </c>
      <c r="G3283" s="2089" t="n">
        <v>84</v>
      </c>
      <c r="H3283" s="2054" t="n">
        <v>12</v>
      </c>
      <c r="I3283" s="1521" t="n">
        <f aca="false">G3283*H3283</f>
        <v>1008</v>
      </c>
      <c r="J3283" s="2071" t="n">
        <v>26.9602</v>
      </c>
      <c r="K3283" s="1992" t="n">
        <f aca="false">I3283*J3283</f>
        <v>27175.8816</v>
      </c>
      <c r="L3283" s="866" t="n">
        <v>27175.882</v>
      </c>
      <c r="M3283" s="866" t="n">
        <v>1008</v>
      </c>
      <c r="N3283" s="866" t="n">
        <f aca="false">M3283/H3283</f>
        <v>84</v>
      </c>
      <c r="O3283" s="543" t="s">
        <v>1022</v>
      </c>
      <c r="P3283" s="1993" t="n">
        <f aca="false">K3283-L3283</f>
        <v>-0.000400000000809087</v>
      </c>
      <c r="Q3283" s="1995" t="n">
        <f aca="false">I3283-M3283</f>
        <v>0</v>
      </c>
      <c r="R3283" s="1995" t="n">
        <f aca="false">G3283-N3283</f>
        <v>0</v>
      </c>
    </row>
    <row r="3284" customFormat="false" ht="16.4" hidden="false" customHeight="false" outlineLevel="0" collapsed="false">
      <c r="A3284" s="870" t="n">
        <v>21</v>
      </c>
      <c r="B3284" s="1495" t="n">
        <v>2025</v>
      </c>
      <c r="C3284" s="1972" t="n">
        <v>46023</v>
      </c>
      <c r="D3284" s="2074" t="s">
        <v>17</v>
      </c>
      <c r="E3284" s="1478" t="s">
        <v>1651</v>
      </c>
      <c r="F3284" s="871" t="s">
        <v>3367</v>
      </c>
      <c r="G3284" s="2082" t="n">
        <v>188</v>
      </c>
      <c r="H3284" s="1956" t="n">
        <v>10</v>
      </c>
      <c r="I3284" s="1587" t="n">
        <f aca="false">G3284*H3284</f>
        <v>1880</v>
      </c>
      <c r="J3284" s="1957" t="n">
        <v>26.9602</v>
      </c>
      <c r="K3284" s="1958" t="n">
        <f aca="false">I3284*J3284</f>
        <v>50685.176</v>
      </c>
      <c r="L3284" s="877" t="n">
        <v>50685.176</v>
      </c>
      <c r="M3284" s="877" t="n">
        <v>1880</v>
      </c>
      <c r="N3284" s="877" t="n">
        <f aca="false">M3284/H3284</f>
        <v>188</v>
      </c>
      <c r="O3284" s="553" t="s">
        <v>1014</v>
      </c>
      <c r="P3284" s="2028" t="n">
        <f aca="false">K3284-L3284</f>
        <v>0</v>
      </c>
      <c r="Q3284" s="1961" t="n">
        <f aca="false">I3284-M3284</f>
        <v>0</v>
      </c>
      <c r="R3284" s="1961" t="n">
        <f aca="false">G3284-N3284</f>
        <v>0</v>
      </c>
    </row>
    <row r="3285" customFormat="false" ht="14.25" hidden="false" customHeight="false" outlineLevel="0" collapsed="false">
      <c r="A3285" s="829" t="n">
        <v>22</v>
      </c>
      <c r="B3285" s="830" t="n">
        <v>2025</v>
      </c>
      <c r="C3285" s="1965" t="n">
        <v>46023</v>
      </c>
      <c r="D3285" s="2075" t="s">
        <v>17</v>
      </c>
      <c r="E3285" s="1365" t="s">
        <v>1651</v>
      </c>
      <c r="F3285" s="832" t="s">
        <v>3364</v>
      </c>
      <c r="G3285" s="2076" t="n">
        <v>193</v>
      </c>
      <c r="H3285" s="1931" t="n">
        <v>15</v>
      </c>
      <c r="I3285" s="837" t="n">
        <f aca="false">G3285*H3285</f>
        <v>2895</v>
      </c>
      <c r="J3285" s="1932" t="n">
        <v>26.9602</v>
      </c>
      <c r="K3285" s="943" t="n">
        <f aca="false">I3285*J3285</f>
        <v>78049.779</v>
      </c>
      <c r="L3285" s="886" t="n">
        <v>10918.881</v>
      </c>
      <c r="M3285" s="886" t="n">
        <v>405</v>
      </c>
      <c r="N3285" s="886" t="n">
        <f aca="false">M3285/H3285</f>
        <v>27</v>
      </c>
      <c r="O3285" s="1036" t="s">
        <v>762</v>
      </c>
      <c r="P3285" s="1937" t="n">
        <f aca="false">K3285-L3285-L3288-L3287-L3286</f>
        <v>0</v>
      </c>
      <c r="Q3285" s="1934" t="n">
        <f aca="false">I3285-M3285-M3288-M3287-M3286</f>
        <v>0</v>
      </c>
      <c r="R3285" s="1935" t="n">
        <f aca="false">G3285-N3285-N3288-N3287-N3286</f>
        <v>0</v>
      </c>
    </row>
    <row r="3286" customFormat="false" ht="14.25" hidden="false" customHeight="false" outlineLevel="0" collapsed="false">
      <c r="A3286" s="829"/>
      <c r="B3286" s="830"/>
      <c r="C3286" s="1965"/>
      <c r="D3286" s="2073" t="s">
        <v>17</v>
      </c>
      <c r="E3286" s="1480" t="s">
        <v>1651</v>
      </c>
      <c r="F3286" s="832"/>
      <c r="G3286" s="2076"/>
      <c r="H3286" s="1931"/>
      <c r="I3286" s="837"/>
      <c r="J3286" s="1932"/>
      <c r="K3286" s="943"/>
      <c r="L3286" s="866" t="n">
        <v>26286.195</v>
      </c>
      <c r="M3286" s="866" t="n">
        <v>975</v>
      </c>
      <c r="N3286" s="866" t="n">
        <f aca="false">M3286/H3285</f>
        <v>65</v>
      </c>
      <c r="O3286" s="543" t="s">
        <v>762</v>
      </c>
      <c r="P3286" s="1937"/>
      <c r="Q3286" s="1934"/>
      <c r="R3286" s="1935"/>
    </row>
    <row r="3287" customFormat="false" ht="14.25" hidden="false" customHeight="false" outlineLevel="0" collapsed="false">
      <c r="A3287" s="829"/>
      <c r="B3287" s="830"/>
      <c r="C3287" s="1965"/>
      <c r="D3287" s="2073" t="s">
        <v>17</v>
      </c>
      <c r="E3287" s="1480" t="s">
        <v>1651</v>
      </c>
      <c r="F3287" s="832"/>
      <c r="G3287" s="2076"/>
      <c r="H3287" s="1931"/>
      <c r="I3287" s="837"/>
      <c r="J3287" s="1932"/>
      <c r="K3287" s="943"/>
      <c r="L3287" s="866" t="n">
        <v>27095.001</v>
      </c>
      <c r="M3287" s="866" t="n">
        <v>1005</v>
      </c>
      <c r="N3287" s="866" t="n">
        <f aca="false">M3287/H3285</f>
        <v>67</v>
      </c>
      <c r="O3287" s="543" t="s">
        <v>762</v>
      </c>
      <c r="P3287" s="1937"/>
      <c r="Q3287" s="1934"/>
      <c r="R3287" s="1935"/>
    </row>
    <row r="3288" customFormat="false" ht="14.25" hidden="false" customHeight="false" outlineLevel="0" collapsed="false">
      <c r="A3288" s="829"/>
      <c r="B3288" s="830"/>
      <c r="C3288" s="1965"/>
      <c r="D3288" s="2077" t="s">
        <v>17</v>
      </c>
      <c r="E3288" s="1357" t="s">
        <v>1651</v>
      </c>
      <c r="F3288" s="832"/>
      <c r="G3288" s="2076"/>
      <c r="H3288" s="1931"/>
      <c r="I3288" s="837"/>
      <c r="J3288" s="1932"/>
      <c r="K3288" s="943"/>
      <c r="L3288" s="846" t="n">
        <v>13749.702</v>
      </c>
      <c r="M3288" s="846" t="n">
        <v>510</v>
      </c>
      <c r="N3288" s="846" t="n">
        <f aca="false">M3288/H3285</f>
        <v>34</v>
      </c>
      <c r="O3288" s="589" t="s">
        <v>762</v>
      </c>
      <c r="P3288" s="1937"/>
      <c r="Q3288" s="1934"/>
      <c r="R3288" s="1935"/>
    </row>
    <row r="3289" customFormat="false" ht="14.25" hidden="false" customHeight="false" outlineLevel="0" collapsed="false">
      <c r="A3289" s="1465" t="n">
        <v>23</v>
      </c>
      <c r="B3289" s="1546" t="n">
        <v>2025</v>
      </c>
      <c r="C3289" s="1975" t="n">
        <v>46023</v>
      </c>
      <c r="D3289" s="2075" t="s">
        <v>17</v>
      </c>
      <c r="E3289" s="1365" t="s">
        <v>1651</v>
      </c>
      <c r="F3289" s="1328" t="s">
        <v>3364</v>
      </c>
      <c r="G3289" s="2085" t="n">
        <v>481</v>
      </c>
      <c r="H3289" s="1976" t="n">
        <v>15</v>
      </c>
      <c r="I3289" s="1036" t="n">
        <f aca="false">G3289*H3289</f>
        <v>7215</v>
      </c>
      <c r="J3289" s="1999" t="n">
        <v>27.715</v>
      </c>
      <c r="K3289" s="1547" t="n">
        <f aca="false">I3289*J3289</f>
        <v>199963.725</v>
      </c>
      <c r="L3289" s="840" t="n">
        <v>1247.175</v>
      </c>
      <c r="M3289" s="840" t="n">
        <v>45</v>
      </c>
      <c r="N3289" s="886" t="n">
        <f aca="false">M3289/H3289</f>
        <v>3</v>
      </c>
      <c r="O3289" s="1114" t="s">
        <v>3607</v>
      </c>
      <c r="P3289" s="1977" t="n">
        <f aca="false">K3289-L3289-L3301-L3290-L3300-L3299-L3291-L3292-L3293-L3297-L3298-L3295-L3296-L3294</f>
        <v>0</v>
      </c>
      <c r="Q3289" s="1978" t="n">
        <f aca="false">I3289-M3289-M3301-M3290-M3300-M3299-M3291-M3292-M3293-M3297-M3298-M3295-M3296-M3294</f>
        <v>0</v>
      </c>
      <c r="R3289" s="1979" t="n">
        <f aca="false">G3289-N3289-N3301-N3290-N3300-N3299-N3291-N3292-N3293-N3297-N3298-N3295-N3296-N3294</f>
        <v>0</v>
      </c>
    </row>
    <row r="3290" customFormat="false" ht="14.25" hidden="false" customHeight="false" outlineLevel="0" collapsed="false">
      <c r="A3290" s="1465"/>
      <c r="B3290" s="1546"/>
      <c r="C3290" s="1975"/>
      <c r="D3290" s="2073" t="s">
        <v>17</v>
      </c>
      <c r="E3290" s="1480" t="s">
        <v>1651</v>
      </c>
      <c r="F3290" s="1328"/>
      <c r="G3290" s="2085"/>
      <c r="H3290" s="1976"/>
      <c r="I3290" s="1036"/>
      <c r="J3290" s="1999"/>
      <c r="K3290" s="1547"/>
      <c r="L3290" s="866" t="n">
        <v>27853.575</v>
      </c>
      <c r="M3290" s="866" t="n">
        <v>1005</v>
      </c>
      <c r="N3290" s="866" t="n">
        <f aca="false">M3290/H3289</f>
        <v>67</v>
      </c>
      <c r="O3290" s="543" t="s">
        <v>1022</v>
      </c>
      <c r="P3290" s="1977"/>
      <c r="Q3290" s="1978"/>
      <c r="R3290" s="1979"/>
    </row>
    <row r="3291" customFormat="false" ht="14.25" hidden="false" customHeight="false" outlineLevel="0" collapsed="false">
      <c r="A3291" s="1465"/>
      <c r="B3291" s="1546"/>
      <c r="C3291" s="1975"/>
      <c r="D3291" s="2073" t="s">
        <v>17</v>
      </c>
      <c r="E3291" s="1480" t="s">
        <v>1651</v>
      </c>
      <c r="F3291" s="1328"/>
      <c r="G3291" s="2085"/>
      <c r="H3291" s="1976"/>
      <c r="I3291" s="1036"/>
      <c r="J3291" s="1999"/>
      <c r="K3291" s="1547"/>
      <c r="L3291" s="866" t="n">
        <v>12056.025</v>
      </c>
      <c r="M3291" s="866" t="n">
        <v>435</v>
      </c>
      <c r="N3291" s="866" t="n">
        <f aca="false">M3291/H3289</f>
        <v>29</v>
      </c>
      <c r="O3291" s="543" t="s">
        <v>3621</v>
      </c>
      <c r="P3291" s="1977"/>
      <c r="Q3291" s="1978"/>
      <c r="R3291" s="1979"/>
    </row>
    <row r="3292" customFormat="false" ht="14.25" hidden="false" customHeight="false" outlineLevel="0" collapsed="false">
      <c r="A3292" s="1465"/>
      <c r="B3292" s="1546"/>
      <c r="C3292" s="1975"/>
      <c r="D3292" s="2073" t="s">
        <v>17</v>
      </c>
      <c r="E3292" s="1480" t="s">
        <v>1651</v>
      </c>
      <c r="F3292" s="1328"/>
      <c r="G3292" s="2085"/>
      <c r="H3292" s="1976"/>
      <c r="I3292" s="1036"/>
      <c r="J3292" s="1999"/>
      <c r="K3292" s="1547"/>
      <c r="L3292" s="866" t="n">
        <v>19539.075</v>
      </c>
      <c r="M3292" s="866" t="n">
        <v>705</v>
      </c>
      <c r="N3292" s="866" t="n">
        <f aca="false">M3292/H3289</f>
        <v>47</v>
      </c>
      <c r="O3292" s="543" t="s">
        <v>3622</v>
      </c>
      <c r="P3292" s="1977"/>
      <c r="Q3292" s="1978"/>
      <c r="R3292" s="1979"/>
    </row>
    <row r="3293" customFormat="false" ht="14.25" hidden="false" customHeight="false" outlineLevel="0" collapsed="false">
      <c r="A3293" s="1465"/>
      <c r="B3293" s="1546"/>
      <c r="C3293" s="1975"/>
      <c r="D3293" s="2073" t="s">
        <v>17</v>
      </c>
      <c r="E3293" s="1480" t="s">
        <v>1651</v>
      </c>
      <c r="F3293" s="1328"/>
      <c r="G3293" s="2085"/>
      <c r="H3293" s="1976"/>
      <c r="I3293" s="1036"/>
      <c r="J3293" s="1999"/>
      <c r="K3293" s="1547"/>
      <c r="L3293" s="866" t="n">
        <v>48639.825</v>
      </c>
      <c r="M3293" s="866" t="n">
        <v>1755</v>
      </c>
      <c r="N3293" s="866" t="n">
        <f aca="false">M3293/H3289</f>
        <v>117</v>
      </c>
      <c r="O3293" s="543" t="s">
        <v>1059</v>
      </c>
      <c r="P3293" s="1977"/>
      <c r="Q3293" s="1978"/>
      <c r="R3293" s="1979"/>
    </row>
    <row r="3294" customFormat="false" ht="14.25" hidden="false" customHeight="false" outlineLevel="0" collapsed="false">
      <c r="A3294" s="1465"/>
      <c r="B3294" s="1546"/>
      <c r="C3294" s="1975"/>
      <c r="D3294" s="2073" t="s">
        <v>17</v>
      </c>
      <c r="E3294" s="1480" t="s">
        <v>1651</v>
      </c>
      <c r="F3294" s="1328"/>
      <c r="G3294" s="2085"/>
      <c r="H3294" s="1976"/>
      <c r="I3294" s="1036"/>
      <c r="J3294" s="1999"/>
      <c r="K3294" s="1547"/>
      <c r="L3294" s="866" t="n">
        <v>-16629</v>
      </c>
      <c r="M3294" s="866" t="n">
        <v>-600</v>
      </c>
      <c r="N3294" s="866" t="n">
        <f aca="false">M3294/H3289</f>
        <v>-40</v>
      </c>
      <c r="O3294" s="543" t="s">
        <v>1634</v>
      </c>
      <c r="P3294" s="1977"/>
      <c r="Q3294" s="1978"/>
      <c r="R3294" s="1979"/>
    </row>
    <row r="3295" customFormat="false" ht="14.25" hidden="false" customHeight="false" outlineLevel="0" collapsed="false">
      <c r="A3295" s="1465"/>
      <c r="B3295" s="1546"/>
      <c r="C3295" s="1975"/>
      <c r="D3295" s="2073" t="s">
        <v>17</v>
      </c>
      <c r="E3295" s="1480" t="s">
        <v>1651</v>
      </c>
      <c r="F3295" s="1328"/>
      <c r="G3295" s="2085"/>
      <c r="H3295" s="1976"/>
      <c r="I3295" s="1036"/>
      <c r="J3295" s="1999"/>
      <c r="K3295" s="1547"/>
      <c r="L3295" s="866" t="n">
        <v>16629</v>
      </c>
      <c r="M3295" s="866" t="n">
        <v>600</v>
      </c>
      <c r="N3295" s="866" t="n">
        <f aca="false">M3295/H3289</f>
        <v>40</v>
      </c>
      <c r="O3295" s="543" t="s">
        <v>1091</v>
      </c>
      <c r="P3295" s="1977"/>
      <c r="Q3295" s="1978"/>
      <c r="R3295" s="1979"/>
    </row>
    <row r="3296" customFormat="false" ht="14.25" hidden="false" customHeight="false" outlineLevel="0" collapsed="false">
      <c r="A3296" s="1465"/>
      <c r="B3296" s="1546"/>
      <c r="C3296" s="1975"/>
      <c r="D3296" s="2073" t="s">
        <v>17</v>
      </c>
      <c r="E3296" s="1480" t="s">
        <v>1651</v>
      </c>
      <c r="F3296" s="1328"/>
      <c r="G3296" s="2085"/>
      <c r="H3296" s="1976"/>
      <c r="I3296" s="1036"/>
      <c r="J3296" s="1999"/>
      <c r="K3296" s="1547"/>
      <c r="L3296" s="866" t="n">
        <v>16629</v>
      </c>
      <c r="M3296" s="866" t="n">
        <v>600</v>
      </c>
      <c r="N3296" s="866" t="n">
        <f aca="false">M3296/H3289</f>
        <v>40</v>
      </c>
      <c r="O3296" s="543" t="s">
        <v>3513</v>
      </c>
      <c r="P3296" s="1977"/>
      <c r="Q3296" s="1978"/>
      <c r="R3296" s="1979"/>
    </row>
    <row r="3297" customFormat="false" ht="14.25" hidden="false" customHeight="false" outlineLevel="0" collapsed="false">
      <c r="A3297" s="1465"/>
      <c r="B3297" s="1546"/>
      <c r="C3297" s="1975"/>
      <c r="D3297" s="2073" t="s">
        <v>17</v>
      </c>
      <c r="E3297" s="1480" t="s">
        <v>1651</v>
      </c>
      <c r="F3297" s="1328"/>
      <c r="G3297" s="2085"/>
      <c r="H3297" s="1976"/>
      <c r="I3297" s="1036"/>
      <c r="J3297" s="1999"/>
      <c r="K3297" s="1547"/>
      <c r="L3297" s="866" t="n">
        <v>27853.575</v>
      </c>
      <c r="M3297" s="866" t="n">
        <v>1005</v>
      </c>
      <c r="N3297" s="866" t="n">
        <f aca="false">M3297/H3289</f>
        <v>67</v>
      </c>
      <c r="O3297" s="543" t="s">
        <v>3623</v>
      </c>
      <c r="P3297" s="1977"/>
      <c r="Q3297" s="1978"/>
      <c r="R3297" s="1979"/>
    </row>
    <row r="3298" customFormat="false" ht="14.25" hidden="false" customHeight="false" outlineLevel="0" collapsed="false">
      <c r="A3298" s="1465"/>
      <c r="B3298" s="1546"/>
      <c r="C3298" s="1975"/>
      <c r="D3298" s="2073" t="s">
        <v>17</v>
      </c>
      <c r="E3298" s="1480" t="s">
        <v>1651</v>
      </c>
      <c r="F3298" s="1328"/>
      <c r="G3298" s="2085"/>
      <c r="H3298" s="1976"/>
      <c r="I3298" s="1036"/>
      <c r="J3298" s="1999"/>
      <c r="K3298" s="1547"/>
      <c r="L3298" s="866" t="n">
        <v>6235.875</v>
      </c>
      <c r="M3298" s="866" t="n">
        <v>225</v>
      </c>
      <c r="N3298" s="866" t="n">
        <f aca="false">M3298/H3289</f>
        <v>15</v>
      </c>
      <c r="O3298" s="543" t="s">
        <v>1090</v>
      </c>
      <c r="P3298" s="1977"/>
      <c r="Q3298" s="1978"/>
      <c r="R3298" s="1979"/>
    </row>
    <row r="3299" customFormat="false" ht="14.25" hidden="false" customHeight="false" outlineLevel="0" collapsed="false">
      <c r="A3299" s="1465"/>
      <c r="B3299" s="1546"/>
      <c r="C3299" s="1975"/>
      <c r="D3299" s="2073" t="s">
        <v>17</v>
      </c>
      <c r="E3299" s="1480" t="s">
        <v>1651</v>
      </c>
      <c r="F3299" s="1328"/>
      <c r="G3299" s="2085"/>
      <c r="H3299" s="1976"/>
      <c r="I3299" s="1036"/>
      <c r="J3299" s="1999"/>
      <c r="K3299" s="1547"/>
      <c r="L3299" s="866" t="n">
        <v>20786.25</v>
      </c>
      <c r="M3299" s="866" t="n">
        <v>750</v>
      </c>
      <c r="N3299" s="866" t="n">
        <f aca="false">M3299/H3289</f>
        <v>50</v>
      </c>
      <c r="O3299" s="543" t="s">
        <v>1040</v>
      </c>
      <c r="P3299" s="1977"/>
      <c r="Q3299" s="1978"/>
      <c r="R3299" s="1979"/>
    </row>
    <row r="3300" customFormat="false" ht="14.25" hidden="false" customHeight="false" outlineLevel="0" collapsed="false">
      <c r="A3300" s="1465"/>
      <c r="B3300" s="1546"/>
      <c r="C3300" s="1975"/>
      <c r="D3300" s="2073" t="s">
        <v>17</v>
      </c>
      <c r="E3300" s="1480" t="s">
        <v>1651</v>
      </c>
      <c r="F3300" s="1328"/>
      <c r="G3300" s="2085"/>
      <c r="H3300" s="1976"/>
      <c r="I3300" s="1036"/>
      <c r="J3300" s="1999"/>
      <c r="K3300" s="1547"/>
      <c r="L3300" s="866" t="n">
        <v>16629</v>
      </c>
      <c r="M3300" s="866" t="n">
        <v>600</v>
      </c>
      <c r="N3300" s="866" t="n">
        <f aca="false">M3300/H3289</f>
        <v>40</v>
      </c>
      <c r="O3300" s="543" t="s">
        <v>3513</v>
      </c>
      <c r="P3300" s="1977"/>
      <c r="Q3300" s="1978"/>
      <c r="R3300" s="1979"/>
    </row>
    <row r="3301" customFormat="false" ht="14.25" hidden="false" customHeight="false" outlineLevel="0" collapsed="false">
      <c r="A3301" s="1465"/>
      <c r="B3301" s="1546"/>
      <c r="C3301" s="1975"/>
      <c r="D3301" s="2083" t="s">
        <v>17</v>
      </c>
      <c r="E3301" s="1351" t="s">
        <v>1651</v>
      </c>
      <c r="F3301" s="1328"/>
      <c r="G3301" s="2085"/>
      <c r="H3301" s="1976"/>
      <c r="I3301" s="1036"/>
      <c r="J3301" s="1999"/>
      <c r="K3301" s="1547"/>
      <c r="L3301" s="891" t="n">
        <v>2494.35</v>
      </c>
      <c r="M3301" s="891" t="n">
        <v>90</v>
      </c>
      <c r="N3301" s="891" t="n">
        <f aca="false">M3301/H3289</f>
        <v>6</v>
      </c>
      <c r="O3301" s="942" t="s">
        <v>3448</v>
      </c>
      <c r="P3301" s="1977"/>
      <c r="Q3301" s="1978"/>
      <c r="R3301" s="1979"/>
    </row>
    <row r="3302" customFormat="false" ht="14.25" hidden="false" customHeight="false" outlineLevel="0" collapsed="false">
      <c r="A3302" s="882" t="n">
        <v>29</v>
      </c>
      <c r="B3302" s="830" t="n">
        <v>2025</v>
      </c>
      <c r="C3302" s="1965" t="n">
        <v>46023</v>
      </c>
      <c r="D3302" s="2075" t="s">
        <v>17</v>
      </c>
      <c r="E3302" s="1365" t="s">
        <v>1652</v>
      </c>
      <c r="F3302" s="832" t="s">
        <v>3364</v>
      </c>
      <c r="G3302" s="2076" t="n">
        <v>100</v>
      </c>
      <c r="H3302" s="1931" t="n">
        <v>15</v>
      </c>
      <c r="I3302" s="837" t="n">
        <f aca="false">G3302*H3302</f>
        <v>1500</v>
      </c>
      <c r="J3302" s="1932" t="n">
        <v>39.8579</v>
      </c>
      <c r="K3302" s="943" t="n">
        <f aca="false">I3302*J3302</f>
        <v>59786.85</v>
      </c>
      <c r="L3302" s="840" t="n">
        <v>40057.1895</v>
      </c>
      <c r="M3302" s="840" t="n">
        <v>1005</v>
      </c>
      <c r="N3302" s="886" t="n">
        <f aca="false">M3302/H3302</f>
        <v>67</v>
      </c>
      <c r="O3302" s="1114" t="s">
        <v>3528</v>
      </c>
      <c r="P3302" s="1934" t="n">
        <f aca="false">K3302-L3302-L3304-L3303</f>
        <v>-2.72848410531878E-012</v>
      </c>
      <c r="Q3302" s="1934" t="n">
        <f aca="false">I3302-M3302-M3304-M3303</f>
        <v>0</v>
      </c>
      <c r="R3302" s="1935" t="n">
        <f aca="false">G3302-N3302-N3304-N3303</f>
        <v>0</v>
      </c>
    </row>
    <row r="3303" customFormat="false" ht="14.25" hidden="false" customHeight="false" outlineLevel="0" collapsed="false">
      <c r="A3303" s="882"/>
      <c r="B3303" s="830"/>
      <c r="C3303" s="1965"/>
      <c r="D3303" s="2083" t="s">
        <v>17</v>
      </c>
      <c r="E3303" s="1351" t="s">
        <v>1652</v>
      </c>
      <c r="F3303" s="832"/>
      <c r="G3303" s="2076"/>
      <c r="H3303" s="1931"/>
      <c r="I3303" s="837"/>
      <c r="J3303" s="1932"/>
      <c r="K3303" s="943"/>
      <c r="L3303" s="891" t="n">
        <v>1195.737</v>
      </c>
      <c r="M3303" s="891" t="n">
        <v>30</v>
      </c>
      <c r="N3303" s="866" t="n">
        <f aca="false">M3303/H3302</f>
        <v>2</v>
      </c>
      <c r="O3303" s="942" t="s">
        <v>1634</v>
      </c>
      <c r="P3303" s="1934"/>
      <c r="Q3303" s="1934"/>
      <c r="R3303" s="1935"/>
    </row>
    <row r="3304" customFormat="false" ht="14.25" hidden="false" customHeight="false" outlineLevel="0" collapsed="false">
      <c r="A3304" s="882"/>
      <c r="B3304" s="830"/>
      <c r="C3304" s="1965"/>
      <c r="D3304" s="2077" t="s">
        <v>17</v>
      </c>
      <c r="E3304" s="1357" t="s">
        <v>1652</v>
      </c>
      <c r="F3304" s="832"/>
      <c r="G3304" s="2076"/>
      <c r="H3304" s="1931"/>
      <c r="I3304" s="837"/>
      <c r="J3304" s="1932"/>
      <c r="K3304" s="943"/>
      <c r="L3304" s="846" t="n">
        <v>18533.9235</v>
      </c>
      <c r="M3304" s="846" t="n">
        <v>465</v>
      </c>
      <c r="N3304" s="846" t="n">
        <f aca="false">M3304/H3302</f>
        <v>31</v>
      </c>
      <c r="O3304" s="589" t="s">
        <v>1128</v>
      </c>
      <c r="P3304" s="1934"/>
      <c r="Q3304" s="1934"/>
      <c r="R3304" s="1935"/>
    </row>
    <row r="3305" customFormat="false" ht="14.25" hidden="false" customHeight="false" outlineLevel="0" collapsed="false">
      <c r="A3305" s="1087" t="n">
        <v>51</v>
      </c>
      <c r="B3305" s="1072" t="n">
        <v>2025</v>
      </c>
      <c r="C3305" s="1980" t="n">
        <v>46023</v>
      </c>
      <c r="D3305" s="2083" t="s">
        <v>17</v>
      </c>
      <c r="E3305" s="1351" t="s">
        <v>2130</v>
      </c>
      <c r="F3305" s="887" t="s">
        <v>3364</v>
      </c>
      <c r="G3305" s="2086" t="n">
        <v>69</v>
      </c>
      <c r="H3305" s="1950" t="n">
        <v>25</v>
      </c>
      <c r="I3305" s="1067" t="n">
        <f aca="false">G3305*H3305</f>
        <v>1725</v>
      </c>
      <c r="J3305" s="1951" t="n">
        <v>61.6389</v>
      </c>
      <c r="K3305" s="1452" t="n">
        <f aca="false">I3305*J3305</f>
        <v>106327.1025</v>
      </c>
      <c r="L3305" s="891" t="n">
        <v>92458.35</v>
      </c>
      <c r="M3305" s="891" t="n">
        <v>1500</v>
      </c>
      <c r="N3305" s="891" t="n">
        <f aca="false">M3305/H3305</f>
        <v>60</v>
      </c>
      <c r="O3305" s="942" t="s">
        <v>3534</v>
      </c>
      <c r="P3305" s="1953" t="n">
        <f aca="false">K3305-L3305-L3307-L3306</f>
        <v>0.000499999986459443</v>
      </c>
      <c r="Q3305" s="1953" t="n">
        <f aca="false">I3305-M3305-M3307-M3306</f>
        <v>0</v>
      </c>
      <c r="R3305" s="1954" t="n">
        <f aca="false">G3305-N3305-N3307-N3306</f>
        <v>0</v>
      </c>
    </row>
    <row r="3306" customFormat="false" ht="14.25" hidden="false" customHeight="false" outlineLevel="0" collapsed="false">
      <c r="A3306" s="1087"/>
      <c r="B3306" s="1072"/>
      <c r="C3306" s="1980"/>
      <c r="D3306" s="2073" t="s">
        <v>17</v>
      </c>
      <c r="E3306" s="1480" t="s">
        <v>2130</v>
      </c>
      <c r="F3306" s="887"/>
      <c r="G3306" s="2086"/>
      <c r="H3306" s="1950"/>
      <c r="I3306" s="1067"/>
      <c r="J3306" s="1951"/>
      <c r="K3306" s="1452"/>
      <c r="L3306" s="866" t="n">
        <v>-7704.863</v>
      </c>
      <c r="M3306" s="866" t="n">
        <v>-125</v>
      </c>
      <c r="N3306" s="866" t="n">
        <f aca="false">M3306/H3305</f>
        <v>-5</v>
      </c>
      <c r="O3306" s="543" t="s">
        <v>1634</v>
      </c>
      <c r="P3306" s="1953"/>
      <c r="Q3306" s="1953"/>
      <c r="R3306" s="1954"/>
    </row>
    <row r="3307" customFormat="false" ht="14.25" hidden="false" customHeight="false" outlineLevel="0" collapsed="false">
      <c r="A3307" s="1087"/>
      <c r="B3307" s="1072"/>
      <c r="C3307" s="1980"/>
      <c r="D3307" s="2077" t="s">
        <v>17</v>
      </c>
      <c r="E3307" s="1357" t="s">
        <v>2130</v>
      </c>
      <c r="F3307" s="887"/>
      <c r="G3307" s="2086"/>
      <c r="H3307" s="1950"/>
      <c r="I3307" s="1067"/>
      <c r="J3307" s="1951"/>
      <c r="K3307" s="1452"/>
      <c r="L3307" s="846" t="n">
        <v>21573.615</v>
      </c>
      <c r="M3307" s="846" t="n">
        <v>350</v>
      </c>
      <c r="N3307" s="846" t="n">
        <f aca="false">M3307/H3305</f>
        <v>14</v>
      </c>
      <c r="O3307" s="589" t="s">
        <v>1067</v>
      </c>
      <c r="P3307" s="1953"/>
      <c r="Q3307" s="1953"/>
      <c r="R3307" s="1954"/>
    </row>
    <row r="3308" customFormat="false" ht="16.4" hidden="false" customHeight="false" outlineLevel="0" collapsed="false">
      <c r="A3308" s="903" t="n">
        <v>71</v>
      </c>
      <c r="B3308" s="903" t="n">
        <v>2025</v>
      </c>
      <c r="C3308" s="1974" t="n">
        <v>46023</v>
      </c>
      <c r="D3308" s="2083" t="s">
        <v>17</v>
      </c>
      <c r="E3308" s="1351" t="s">
        <v>1651</v>
      </c>
      <c r="F3308" s="904" t="s">
        <v>3367</v>
      </c>
      <c r="G3308" s="2084" t="n">
        <v>41</v>
      </c>
      <c r="H3308" s="1940" t="n">
        <v>15</v>
      </c>
      <c r="I3308" s="1355" t="n">
        <f aca="false">G3308*H3308</f>
        <v>615</v>
      </c>
      <c r="J3308" s="1941" t="n">
        <v>28.5143</v>
      </c>
      <c r="K3308" s="1942" t="n">
        <f aca="false">I3308*J3308</f>
        <v>17536.2945</v>
      </c>
      <c r="L3308" s="891" t="n">
        <v>17536.2945</v>
      </c>
      <c r="M3308" s="891" t="n">
        <v>615</v>
      </c>
      <c r="N3308" s="886" t="n">
        <f aca="false">M3308/H3308</f>
        <v>41</v>
      </c>
      <c r="O3308" s="942"/>
      <c r="P3308" s="1944" t="n">
        <f aca="false">K3308-L3308</f>
        <v>0</v>
      </c>
      <c r="Q3308" s="1946" t="n">
        <f aca="false">I3308-M3308</f>
        <v>0</v>
      </c>
      <c r="R3308" s="1946" t="n">
        <f aca="false">G3308-N3308</f>
        <v>0</v>
      </c>
    </row>
    <row r="3309" customFormat="false" ht="14.25" hidden="false" customHeight="false" outlineLevel="0" collapsed="false">
      <c r="A3309" s="829" t="n">
        <v>76</v>
      </c>
      <c r="B3309" s="830" t="n">
        <v>2025</v>
      </c>
      <c r="C3309" s="1965" t="n">
        <v>46023</v>
      </c>
      <c r="D3309" s="2075" t="s">
        <v>17</v>
      </c>
      <c r="E3309" s="1365" t="s">
        <v>1651</v>
      </c>
      <c r="F3309" s="832" t="s">
        <v>3364</v>
      </c>
      <c r="G3309" s="2076" t="n">
        <v>666</v>
      </c>
      <c r="H3309" s="1931" t="n">
        <v>15</v>
      </c>
      <c r="I3309" s="837" t="n">
        <f aca="false">G3309*H3309</f>
        <v>9990</v>
      </c>
      <c r="J3309" s="1932" t="n">
        <v>28.5143</v>
      </c>
      <c r="K3309" s="943" t="n">
        <f aca="false">I3309*J3309</f>
        <v>284857.857</v>
      </c>
      <c r="L3309" s="886" t="n">
        <v>35072.589</v>
      </c>
      <c r="M3309" s="886" t="n">
        <v>1230</v>
      </c>
      <c r="N3309" s="886" t="n">
        <f aca="false">M3309/H3309</f>
        <v>82</v>
      </c>
      <c r="O3309" s="1036" t="s">
        <v>1087</v>
      </c>
      <c r="P3309" s="1934" t="n">
        <f aca="false">K3309-L3309-L3316-L3315-L3310-L3311-L3314-L3312-L3313</f>
        <v>855.429499999915</v>
      </c>
      <c r="Q3309" s="1934" t="n">
        <f aca="false">I3309-M3309-M3316-M3315-M3310-M3311-M3314-M3312-M3313</f>
        <v>30</v>
      </c>
      <c r="R3309" s="1935" t="n">
        <f aca="false">G3309-N3309-N3316-N3315-N3310-N3311-N3314-N3312-N3313</f>
        <v>2</v>
      </c>
    </row>
    <row r="3310" customFormat="false" ht="14.25" hidden="false" customHeight="false" outlineLevel="0" collapsed="false">
      <c r="A3310" s="829"/>
      <c r="B3310" s="830"/>
      <c r="C3310" s="1965"/>
      <c r="D3310" s="2073" t="s">
        <v>17</v>
      </c>
      <c r="E3310" s="1480" t="s">
        <v>1651</v>
      </c>
      <c r="F3310" s="832"/>
      <c r="G3310" s="2076"/>
      <c r="H3310" s="1931"/>
      <c r="I3310" s="837"/>
      <c r="J3310" s="1932"/>
      <c r="K3310" s="943"/>
      <c r="L3310" s="866" t="n">
        <v>17108.58</v>
      </c>
      <c r="M3310" s="866" t="n">
        <v>600</v>
      </c>
      <c r="N3310" s="866" t="n">
        <f aca="false">M3310/H3309</f>
        <v>40</v>
      </c>
      <c r="O3310" s="543" t="s">
        <v>1128</v>
      </c>
      <c r="P3310" s="1934"/>
      <c r="Q3310" s="1934"/>
      <c r="R3310" s="1935"/>
    </row>
    <row r="3311" customFormat="false" ht="14.25" hidden="false" customHeight="false" outlineLevel="0" collapsed="false">
      <c r="A3311" s="829"/>
      <c r="B3311" s="830"/>
      <c r="C3311" s="1965"/>
      <c r="D3311" s="2073" t="s">
        <v>17</v>
      </c>
      <c r="E3311" s="1480" t="s">
        <v>1651</v>
      </c>
      <c r="F3311" s="832"/>
      <c r="G3311" s="2076"/>
      <c r="H3311" s="1931"/>
      <c r="I3311" s="837"/>
      <c r="J3311" s="1932"/>
      <c r="K3311" s="943"/>
      <c r="L3311" s="866" t="n">
        <v>121043.2035</v>
      </c>
      <c r="M3311" s="866" t="n">
        <v>4245</v>
      </c>
      <c r="N3311" s="866" t="n">
        <f aca="false">M3311/H3309</f>
        <v>283</v>
      </c>
      <c r="O3311" s="543" t="s">
        <v>1059</v>
      </c>
      <c r="P3311" s="1934"/>
      <c r="Q3311" s="1934"/>
      <c r="R3311" s="1935"/>
    </row>
    <row r="3312" customFormat="false" ht="14.25" hidden="false" customHeight="false" outlineLevel="0" collapsed="false">
      <c r="A3312" s="829"/>
      <c r="B3312" s="830"/>
      <c r="C3312" s="1965"/>
      <c r="D3312" s="2073" t="s">
        <v>17</v>
      </c>
      <c r="E3312" s="1480" t="s">
        <v>1651</v>
      </c>
      <c r="F3312" s="832"/>
      <c r="G3312" s="2076"/>
      <c r="H3312" s="1931"/>
      <c r="I3312" s="837"/>
      <c r="J3312" s="1932"/>
      <c r="K3312" s="943"/>
      <c r="L3312" s="866" t="n">
        <v>427.714</v>
      </c>
      <c r="M3312" s="866" t="n">
        <v>15</v>
      </c>
      <c r="N3312" s="866" t="n">
        <f aca="false">M3312/H3309</f>
        <v>1</v>
      </c>
      <c r="O3312" s="543" t="s">
        <v>1262</v>
      </c>
      <c r="P3312" s="1934"/>
      <c r="Q3312" s="1934"/>
      <c r="R3312" s="1935"/>
    </row>
    <row r="3313" customFormat="false" ht="14.25" hidden="false" customHeight="false" outlineLevel="0" collapsed="false">
      <c r="A3313" s="829"/>
      <c r="B3313" s="830"/>
      <c r="C3313" s="1965"/>
      <c r="D3313" s="2073" t="s">
        <v>17</v>
      </c>
      <c r="E3313" s="1480" t="s">
        <v>1651</v>
      </c>
      <c r="F3313" s="832"/>
      <c r="G3313" s="2076"/>
      <c r="H3313" s="1931"/>
      <c r="I3313" s="837"/>
      <c r="J3313" s="1932"/>
      <c r="K3313" s="943"/>
      <c r="L3313" s="866" t="n">
        <v>-855.429</v>
      </c>
      <c r="M3313" s="866" t="n">
        <v>-30</v>
      </c>
      <c r="N3313" s="866" t="n">
        <f aca="false">M3313/H3309</f>
        <v>-2</v>
      </c>
      <c r="O3313" s="543" t="s">
        <v>1375</v>
      </c>
      <c r="P3313" s="1934"/>
      <c r="Q3313" s="1934"/>
      <c r="R3313" s="1935"/>
    </row>
    <row r="3314" customFormat="false" ht="14.25" hidden="false" customHeight="false" outlineLevel="0" collapsed="false">
      <c r="A3314" s="829"/>
      <c r="B3314" s="830"/>
      <c r="C3314" s="1965"/>
      <c r="D3314" s="2073" t="s">
        <v>17</v>
      </c>
      <c r="E3314" s="1480" t="s">
        <v>1651</v>
      </c>
      <c r="F3314" s="832"/>
      <c r="G3314" s="2076"/>
      <c r="H3314" s="1931"/>
      <c r="I3314" s="837"/>
      <c r="J3314" s="1932"/>
      <c r="K3314" s="943"/>
      <c r="L3314" s="866" t="n">
        <v>47048.595</v>
      </c>
      <c r="M3314" s="866" t="n">
        <v>1650</v>
      </c>
      <c r="N3314" s="866" t="n">
        <f aca="false">M3314/H3309</f>
        <v>110</v>
      </c>
      <c r="O3314" s="543" t="s">
        <v>3467</v>
      </c>
      <c r="P3314" s="1934"/>
      <c r="Q3314" s="1934"/>
      <c r="R3314" s="1935"/>
    </row>
    <row r="3315" customFormat="false" ht="14.25" hidden="false" customHeight="false" outlineLevel="0" collapsed="false">
      <c r="A3315" s="829"/>
      <c r="B3315" s="830"/>
      <c r="C3315" s="1965"/>
      <c r="D3315" s="2073" t="s">
        <v>17</v>
      </c>
      <c r="E3315" s="1480" t="s">
        <v>1651</v>
      </c>
      <c r="F3315" s="832"/>
      <c r="G3315" s="2076"/>
      <c r="H3315" s="1931"/>
      <c r="I3315" s="837"/>
      <c r="J3315" s="1932"/>
      <c r="K3315" s="943"/>
      <c r="L3315" s="866" t="n">
        <v>42771.45</v>
      </c>
      <c r="M3315" s="866" t="n">
        <v>1500</v>
      </c>
      <c r="N3315" s="866" t="n">
        <f aca="false">M3315/H3309</f>
        <v>100</v>
      </c>
      <c r="O3315" s="543" t="s">
        <v>3595</v>
      </c>
      <c r="P3315" s="1934"/>
      <c r="Q3315" s="1934"/>
      <c r="R3315" s="1935"/>
    </row>
    <row r="3316" customFormat="false" ht="14.25" hidden="false" customHeight="false" outlineLevel="0" collapsed="false">
      <c r="A3316" s="829"/>
      <c r="B3316" s="830"/>
      <c r="C3316" s="1965"/>
      <c r="D3316" s="2077" t="s">
        <v>17</v>
      </c>
      <c r="E3316" s="1357" t="s">
        <v>1651</v>
      </c>
      <c r="F3316" s="832"/>
      <c r="G3316" s="2076"/>
      <c r="H3316" s="1931"/>
      <c r="I3316" s="837"/>
      <c r="J3316" s="1932"/>
      <c r="K3316" s="943"/>
      <c r="L3316" s="846" t="n">
        <v>21385.725</v>
      </c>
      <c r="M3316" s="846" t="n">
        <v>750</v>
      </c>
      <c r="N3316" s="846" t="n">
        <f aca="false">M3316/H3309</f>
        <v>50</v>
      </c>
      <c r="O3316" s="589" t="s">
        <v>1089</v>
      </c>
      <c r="P3316" s="1934"/>
      <c r="Q3316" s="1934"/>
      <c r="R3316" s="1935"/>
    </row>
    <row r="3317" customFormat="false" ht="14.25" hidden="false" customHeight="false" outlineLevel="0" collapsed="false">
      <c r="A3317" s="1027" t="n">
        <v>77</v>
      </c>
      <c r="B3317" s="1546" t="n">
        <v>2025</v>
      </c>
      <c r="C3317" s="1975" t="n">
        <v>46023</v>
      </c>
      <c r="D3317" s="2072" t="s">
        <v>17</v>
      </c>
      <c r="E3317" s="1607" t="s">
        <v>1651</v>
      </c>
      <c r="F3317" s="1328" t="s">
        <v>3364</v>
      </c>
      <c r="G3317" s="2085" t="n">
        <v>73</v>
      </c>
      <c r="H3317" s="1976" t="n">
        <v>15</v>
      </c>
      <c r="I3317" s="1036" t="n">
        <f aca="false">G3317*H3317</f>
        <v>1095</v>
      </c>
      <c r="J3317" s="1999" t="n">
        <v>31.4308</v>
      </c>
      <c r="K3317" s="1547" t="n">
        <f aca="false">I3317*J3317</f>
        <v>34416.726</v>
      </c>
      <c r="L3317" s="886" t="n">
        <v>8486.316</v>
      </c>
      <c r="M3317" s="886" t="n">
        <v>270</v>
      </c>
      <c r="N3317" s="886" t="n">
        <f aca="false">M3317/H3317</f>
        <v>18</v>
      </c>
      <c r="O3317" s="1036" t="s">
        <v>1087</v>
      </c>
      <c r="P3317" s="1977" t="n">
        <f aca="false">K3317-L3317-L3319-L3318</f>
        <v>0</v>
      </c>
      <c r="Q3317" s="1978" t="n">
        <f aca="false">I3317-M3317-M3319-M3318</f>
        <v>0</v>
      </c>
      <c r="R3317" s="1979" t="n">
        <f aca="false">G3317-N3317-N3319-N3318</f>
        <v>0</v>
      </c>
    </row>
    <row r="3318" customFormat="false" ht="14.25" hidden="false" customHeight="false" outlineLevel="0" collapsed="false">
      <c r="A3318" s="1027"/>
      <c r="B3318" s="1546"/>
      <c r="C3318" s="1975"/>
      <c r="D3318" s="2073" t="s">
        <v>17</v>
      </c>
      <c r="E3318" s="1480" t="s">
        <v>1651</v>
      </c>
      <c r="F3318" s="1328"/>
      <c r="G3318" s="2085"/>
      <c r="H3318" s="1976"/>
      <c r="I3318" s="1036"/>
      <c r="J3318" s="1999"/>
      <c r="K3318" s="1547"/>
      <c r="L3318" s="866" t="n">
        <v>11786.55</v>
      </c>
      <c r="M3318" s="866" t="n">
        <v>375</v>
      </c>
      <c r="N3318" s="866" t="n">
        <f aca="false">M3318/H3317</f>
        <v>25</v>
      </c>
      <c r="O3318" s="543" t="s">
        <v>1090</v>
      </c>
      <c r="P3318" s="1977"/>
      <c r="Q3318" s="1978"/>
      <c r="R3318" s="1979"/>
    </row>
    <row r="3319" customFormat="false" ht="14.25" hidden="false" customHeight="false" outlineLevel="0" collapsed="false">
      <c r="A3319" s="1027"/>
      <c r="B3319" s="1546"/>
      <c r="C3319" s="1975"/>
      <c r="D3319" s="2074" t="s">
        <v>17</v>
      </c>
      <c r="E3319" s="1478" t="s">
        <v>1651</v>
      </c>
      <c r="F3319" s="1328"/>
      <c r="G3319" s="2085"/>
      <c r="H3319" s="1976"/>
      <c r="I3319" s="1036"/>
      <c r="J3319" s="1999"/>
      <c r="K3319" s="1547"/>
      <c r="L3319" s="877" t="n">
        <v>14143.86</v>
      </c>
      <c r="M3319" s="877" t="n">
        <v>450</v>
      </c>
      <c r="N3319" s="877" t="n">
        <f aca="false">M3319/H3317</f>
        <v>30</v>
      </c>
      <c r="O3319" s="553" t="s">
        <v>1088</v>
      </c>
      <c r="P3319" s="1977"/>
      <c r="Q3319" s="1978"/>
      <c r="R3319" s="1979"/>
    </row>
    <row r="3320" customFormat="false" ht="14.25" hidden="false" customHeight="false" outlineLevel="0" collapsed="false">
      <c r="A3320" s="829" t="n">
        <v>204</v>
      </c>
      <c r="B3320" s="830" t="n">
        <v>2025</v>
      </c>
      <c r="C3320" s="1965" t="n">
        <v>46082</v>
      </c>
      <c r="D3320" s="2075" t="s">
        <v>17</v>
      </c>
      <c r="E3320" s="1365" t="s">
        <v>2130</v>
      </c>
      <c r="F3320" s="832" t="s">
        <v>3364</v>
      </c>
      <c r="G3320" s="2076" t="n">
        <v>51</v>
      </c>
      <c r="H3320" s="1931" t="n">
        <v>25</v>
      </c>
      <c r="I3320" s="837" t="n">
        <f aca="false">G3320*H3320</f>
        <v>1275</v>
      </c>
      <c r="J3320" s="1932" t="n">
        <v>49.877</v>
      </c>
      <c r="K3320" s="943" t="n">
        <f aca="false">I3320*J3320</f>
        <v>63593.175</v>
      </c>
      <c r="L3320" s="840" t="n">
        <v>49877</v>
      </c>
      <c r="M3320" s="840" t="n">
        <v>1000</v>
      </c>
      <c r="N3320" s="840" t="n">
        <f aca="false">M3320/H3320</f>
        <v>40</v>
      </c>
      <c r="O3320" s="1114" t="s">
        <v>1306</v>
      </c>
      <c r="P3320" s="1937" t="n">
        <f aca="false">K3320-L3320-L3321</f>
        <v>0</v>
      </c>
      <c r="Q3320" s="1934" t="n">
        <f aca="false">I3320-M3320-M3321</f>
        <v>0</v>
      </c>
      <c r="R3320" s="1935" t="n">
        <f aca="false">G3320-N3320-N3321</f>
        <v>0</v>
      </c>
    </row>
    <row r="3321" customFormat="false" ht="14.25" hidden="false" customHeight="false" outlineLevel="0" collapsed="false">
      <c r="A3321" s="829"/>
      <c r="B3321" s="830"/>
      <c r="C3321" s="1965"/>
      <c r="D3321" s="2077" t="s">
        <v>17</v>
      </c>
      <c r="E3321" s="1357" t="s">
        <v>2130</v>
      </c>
      <c r="F3321" s="832"/>
      <c r="G3321" s="2076"/>
      <c r="H3321" s="1931"/>
      <c r="I3321" s="837"/>
      <c r="J3321" s="1932"/>
      <c r="K3321" s="943"/>
      <c r="L3321" s="846" t="n">
        <v>13716.175</v>
      </c>
      <c r="M3321" s="846" t="n">
        <v>275</v>
      </c>
      <c r="N3321" s="846" t="n">
        <f aca="false">M3321/H3320</f>
        <v>11</v>
      </c>
      <c r="O3321" s="589" t="s">
        <v>1316</v>
      </c>
      <c r="P3321" s="1937"/>
      <c r="Q3321" s="1934"/>
      <c r="R3321" s="1935"/>
    </row>
    <row r="3322" customFormat="false" ht="14.25" hidden="false" customHeight="false" outlineLevel="0" collapsed="false">
      <c r="A3322" s="903"/>
      <c r="B3322" s="903"/>
      <c r="C3322" s="1939"/>
      <c r="D3322" s="904"/>
      <c r="E3322" s="1962"/>
      <c r="F3322" s="1962"/>
      <c r="G3322" s="2090"/>
      <c r="H3322" s="1962"/>
      <c r="I3322" s="891"/>
      <c r="J3322" s="2091"/>
      <c r="K3322" s="912"/>
      <c r="L3322" s="1138"/>
      <c r="M3322" s="891"/>
      <c r="N3322" s="891"/>
      <c r="O3322" s="942"/>
      <c r="P3322" s="2000"/>
      <c r="Q3322" s="1946"/>
      <c r="R3322" s="1946"/>
    </row>
    <row r="3323" customFormat="false" ht="14.25" hidden="false" customHeight="false" outlineLevel="0" collapsed="false">
      <c r="A3323" s="882"/>
      <c r="B3323" s="830"/>
      <c r="C3323" s="830"/>
      <c r="D3323" s="832"/>
      <c r="E3323" s="2092"/>
      <c r="F3323" s="2092"/>
      <c r="G3323" s="2093" t="n">
        <f aca="false">SUBTOTAL(109,G3:G3322)</f>
        <v>271701.375</v>
      </c>
      <c r="H3323" s="2092"/>
      <c r="I3323" s="2093" t="n">
        <f aca="false">SUBTOTAL(109,I3:I3322)</f>
        <v>4879552.9991</v>
      </c>
      <c r="J3323" s="2092"/>
      <c r="K3323" s="2093" t="n">
        <f aca="false">SUBTOTAL(109,K3:K3322)</f>
        <v>215082700.799903</v>
      </c>
      <c r="L3323" s="2093" t="n">
        <f aca="false">SUBTOTAL(109,L3:L3322)</f>
        <v>212517678.47526</v>
      </c>
      <c r="M3323" s="2093" t="n">
        <f aca="false">SUBTOTAL(109,M3:M3322)</f>
        <v>4795308</v>
      </c>
      <c r="N3323" s="2093" t="n">
        <f aca="false">SUBTOTAL(109,N3:N3322)</f>
        <v>266187.375001126</v>
      </c>
      <c r="O3323" s="2093"/>
      <c r="P3323" s="2093" t="n">
        <f aca="false">SUBTOTAL(109,P3:P3322)</f>
        <v>2565022.32464313</v>
      </c>
      <c r="Q3323" s="2093" t="n">
        <f aca="false">SUBTOTAL(109,Q3:Q3322)</f>
        <v>84244.9991</v>
      </c>
      <c r="R3323" s="2094" t="n">
        <f aca="false">SUBTOTAL(109,R3:R3322)</f>
        <v>5513.99999887392</v>
      </c>
    </row>
    <row r="3324" customFormat="false" ht="14.25" hidden="false" customHeight="false" outlineLevel="0" collapsed="false">
      <c r="A3324" s="479"/>
      <c r="B3324" s="479"/>
      <c r="C3324" s="479"/>
      <c r="D3324" s="153"/>
      <c r="G3324" s="689"/>
      <c r="I3324" s="689"/>
      <c r="K3324" s="689"/>
      <c r="L3324" s="689"/>
      <c r="M3324" s="689"/>
      <c r="N3324" s="689"/>
      <c r="O3324" s="689"/>
    </row>
    <row r="3325" customFormat="false" ht="19.7" hidden="false" customHeight="false" outlineLevel="0" collapsed="false">
      <c r="A3325" s="826" t="s">
        <v>3624</v>
      </c>
      <c r="B3325" s="826"/>
      <c r="C3325" s="826"/>
      <c r="D3325" s="826"/>
      <c r="E3325" s="826"/>
      <c r="F3325" s="826"/>
      <c r="G3325" s="826"/>
      <c r="H3325" s="826"/>
      <c r="I3325" s="827"/>
      <c r="J3325" s="827"/>
      <c r="K3325" s="827"/>
      <c r="L3325" s="827"/>
      <c r="M3325" s="827"/>
      <c r="N3325" s="827"/>
      <c r="O3325" s="827"/>
    </row>
    <row r="3326" customFormat="false" ht="14.25" hidden="false" customHeight="false" outlineLevel="0" collapsed="false">
      <c r="A3326" s="479"/>
      <c r="B3326" s="479"/>
      <c r="C3326" s="479"/>
      <c r="D3326" s="425" t="s">
        <v>1647</v>
      </c>
      <c r="E3326" s="2095"/>
      <c r="F3326" s="425" t="s">
        <v>3301</v>
      </c>
      <c r="G3326" s="2095"/>
      <c r="H3326" s="2095"/>
      <c r="I3326" s="48"/>
    </row>
    <row r="3327" customFormat="false" ht="14.25" hidden="false" customHeight="false" outlineLevel="0" collapsed="false">
      <c r="A3327" s="1929" t="s">
        <v>5</v>
      </c>
      <c r="B3327" s="479"/>
      <c r="C3327" s="479"/>
      <c r="D3327" s="45" t="n">
        <f aca="false">SUMIFS(P3:P3322,D3:D3322,"Marandú")</f>
        <v>179385.2321</v>
      </c>
      <c r="E3327" s="45"/>
      <c r="F3327" s="45" t="n">
        <f aca="false">SUMIFS(L3:L3322,D3:D3322,"Marandú",O3:O3322,"BALANÇO")</f>
        <v>174546.648</v>
      </c>
      <c r="G3327" s="2096"/>
      <c r="H3327" s="48"/>
      <c r="I3327" s="48"/>
    </row>
    <row r="3328" customFormat="false" ht="14.25" hidden="false" customHeight="false" outlineLevel="0" collapsed="false">
      <c r="A3328" s="1929" t="s">
        <v>6</v>
      </c>
      <c r="B3328" s="479"/>
      <c r="C3328" s="479"/>
      <c r="D3328" s="45" t="n">
        <f aca="false">SUMIFS(P3:P3322,D3:D3322,"Piatã")</f>
        <v>291044.1095</v>
      </c>
      <c r="E3328" s="45"/>
      <c r="F3328" s="45" t="n">
        <f aca="false">SUMIFS(L3:L3322,D3:D3322,"Piatã",O3:O3322,"BALANÇO")</f>
        <v>926705.2725</v>
      </c>
      <c r="G3328" s="2096"/>
      <c r="H3328" s="48"/>
      <c r="I3328" s="48"/>
    </row>
    <row r="3329" customFormat="false" ht="14.25" hidden="false" customHeight="false" outlineLevel="0" collapsed="false">
      <c r="A3329" s="1929" t="s">
        <v>7</v>
      </c>
      <c r="B3329" s="479"/>
      <c r="C3329" s="479"/>
      <c r="D3329" s="45" t="n">
        <f aca="false">SUMIFS(P3:P3322,D3:D3322,"Decumbens")</f>
        <v>454979.4585</v>
      </c>
      <c r="E3329" s="45"/>
      <c r="F3329" s="45" t="n">
        <f aca="false">SUMIFS(L3:L3322,D3:D3322,"Decumbens",O3:O3322,"BALANÇO")</f>
        <v>3381.648</v>
      </c>
      <c r="G3329" s="2096"/>
      <c r="H3329" s="48"/>
      <c r="I3329" s="48"/>
    </row>
    <row r="3330" customFormat="false" ht="14.25" hidden="false" customHeight="false" outlineLevel="0" collapsed="false">
      <c r="A3330" s="1929" t="s">
        <v>8</v>
      </c>
      <c r="B3330" s="479"/>
      <c r="C3330" s="479"/>
      <c r="D3330" s="45" t="n">
        <f aca="false">SUMIFS(P3:P3322,D3:D3322,"Xaraés")</f>
        <v>1039512.933</v>
      </c>
      <c r="E3330" s="45"/>
      <c r="F3330" s="45" t="n">
        <f aca="false">SUMIFS(L3:L3322,D3:D3322,"Xaraés",O3:O3322,"BALANÇO")</f>
        <v>-5275.5</v>
      </c>
      <c r="G3330" s="2096"/>
      <c r="H3330" s="48"/>
      <c r="I3330" s="48"/>
    </row>
    <row r="3331" customFormat="false" ht="14.25" hidden="false" customHeight="false" outlineLevel="0" collapsed="false">
      <c r="A3331" s="1929" t="s">
        <v>9</v>
      </c>
      <c r="B3331" s="479"/>
      <c r="C3331" s="479"/>
      <c r="D3331" s="45" t="n">
        <f aca="false">SUMIFS(P3:P3322,D3:D3322,"MG-4")</f>
        <v>0</v>
      </c>
      <c r="E3331" s="45"/>
      <c r="F3331" s="45" t="n">
        <f aca="false">SUMIFS(L3:L3322,D3:D3322,"MG-4",O3:O3322,"BALANÇO")</f>
        <v>0</v>
      </c>
      <c r="G3331" s="2096"/>
      <c r="H3331" s="48"/>
      <c r="I3331" s="48"/>
    </row>
    <row r="3332" customFormat="false" ht="14.25" hidden="false" customHeight="false" outlineLevel="0" collapsed="false">
      <c r="A3332" s="1929" t="s">
        <v>10</v>
      </c>
      <c r="B3332" s="479"/>
      <c r="C3332" s="479"/>
      <c r="D3332" s="45" t="n">
        <f aca="false">SUMIFS(P3:P3322,D3:D3322,"Ruziziensis")</f>
        <v>198034.94604313</v>
      </c>
      <c r="E3332" s="45"/>
      <c r="F3332" s="45" t="n">
        <f aca="false">SUMIFS(L3:L3322,D3:D3322,"Ruziziensis",O3:O3322,"BALANÇO")</f>
        <v>75179.7830601</v>
      </c>
      <c r="G3332" s="2096"/>
      <c r="H3332" s="48"/>
      <c r="I3332" s="48"/>
    </row>
    <row r="3333" customFormat="false" ht="14.25" hidden="false" customHeight="false" outlineLevel="0" collapsed="false">
      <c r="A3333" s="1929" t="s">
        <v>11</v>
      </c>
      <c r="B3333" s="479"/>
      <c r="C3333" s="479"/>
      <c r="D3333" s="45" t="n">
        <f aca="false">SUMIFS(P3:P3322,D3:D3322,"Humidicola")</f>
        <v>73153.8335</v>
      </c>
      <c r="E3333" s="45"/>
      <c r="F3333" s="45" t="n">
        <f aca="false">SUMIFS(L3:L3322,D3:D3322,"Humidicola",O3:O3322,"BALANÇO")</f>
        <v>-2686</v>
      </c>
      <c r="G3333" s="2096"/>
      <c r="H3333" s="48"/>
      <c r="I3333" s="48"/>
    </row>
    <row r="3334" customFormat="false" ht="14.25" hidden="false" customHeight="false" outlineLevel="0" collapsed="false">
      <c r="A3334" s="1929" t="s">
        <v>12</v>
      </c>
      <c r="B3334" s="479"/>
      <c r="C3334" s="479"/>
      <c r="D3334" s="45" t="n">
        <f aca="false">SUMIFS(P3:P3322,D3:D3322,"Llanero")</f>
        <v>26301.5265</v>
      </c>
      <c r="E3334" s="45"/>
      <c r="F3334" s="45" t="n">
        <f aca="false">SUMIFS(L3:L3322,D3:D3322,"Llanero",O3:O3322,"BALANÇO")</f>
        <v>1799.7</v>
      </c>
      <c r="G3334" s="2096"/>
      <c r="H3334" s="48"/>
      <c r="I3334" s="48"/>
    </row>
    <row r="3335" customFormat="false" ht="14.25" hidden="false" customHeight="false" outlineLevel="0" collapsed="false">
      <c r="A3335" s="1929" t="s">
        <v>13</v>
      </c>
      <c r="B3335" s="479"/>
      <c r="C3335" s="479"/>
      <c r="D3335" s="45" t="n">
        <f aca="false">SUMIFS(P3:P3322,D3:D3322,"Mombaça")</f>
        <v>7238.51860000002</v>
      </c>
      <c r="E3335" s="45"/>
      <c r="F3335" s="45" t="n">
        <f aca="false">SUMIFS(L3:L3322,D3:D3322,"Mombaça",O3:O3322,"BALANÇO")</f>
        <v>-1606.5</v>
      </c>
      <c r="G3335" s="2096"/>
      <c r="H3335" s="48"/>
      <c r="I3335" s="48"/>
    </row>
    <row r="3336" customFormat="false" ht="14.25" hidden="false" customHeight="false" outlineLevel="0" collapsed="false">
      <c r="A3336" s="1929" t="s">
        <v>14</v>
      </c>
      <c r="B3336" s="479"/>
      <c r="C3336" s="479"/>
      <c r="D3336" s="45" t="n">
        <f aca="false">SUMIFS(P3:P3322,D3:D3322,"Tanzania")</f>
        <v>0</v>
      </c>
      <c r="E3336" s="45"/>
      <c r="F3336" s="45" t="n">
        <f aca="false">SUMIFS(L3:L3322,D3:D3322,"Tanzania",O3:O3322,"BALANÇO")</f>
        <v>0</v>
      </c>
      <c r="G3336" s="2096"/>
      <c r="H3336" s="48"/>
      <c r="I3336" s="48"/>
    </row>
    <row r="3337" customFormat="false" ht="14.25" hidden="false" customHeight="false" outlineLevel="0" collapsed="false">
      <c r="A3337" s="1929" t="s">
        <v>15</v>
      </c>
      <c r="B3337" s="479"/>
      <c r="C3337" s="479"/>
      <c r="D3337" s="45" t="n">
        <f aca="false">SUMIFS(P3:P3322,D3:D3322,"Massai")</f>
        <v>153216.1785</v>
      </c>
      <c r="E3337" s="45"/>
      <c r="F3337" s="45" t="n">
        <f aca="false">SUMIFS(L3:L3322,D3:D3322,"Massai",O3:O3322,"BALANÇO")</f>
        <v>0</v>
      </c>
      <c r="G3337" s="2096"/>
      <c r="H3337" s="48"/>
      <c r="I3337" s="48"/>
    </row>
    <row r="3338" customFormat="false" ht="14.25" hidden="false" customHeight="false" outlineLevel="0" collapsed="false">
      <c r="A3338" s="1929" t="s">
        <v>16</v>
      </c>
      <c r="B3338" s="479"/>
      <c r="C3338" s="479"/>
      <c r="D3338" s="45" t="n">
        <f aca="false">SUMIFS(P3:P3322,D3:D3322,"Aruana")</f>
        <v>-2.61479726759717E-012</v>
      </c>
      <c r="E3338" s="45"/>
      <c r="F3338" s="45" t="n">
        <f aca="false">SUMIFS(L3:L3322,D3:D3322,"Aruana",O3:O3322,"BALANÇO")</f>
        <v>355.5</v>
      </c>
      <c r="G3338" s="2096"/>
      <c r="H3338" s="48"/>
      <c r="I3338" s="48"/>
    </row>
    <row r="3339" customFormat="false" ht="14.25" hidden="false" customHeight="false" outlineLevel="0" collapsed="false">
      <c r="A3339" s="1929" t="s">
        <v>17</v>
      </c>
      <c r="B3339" s="479"/>
      <c r="C3339" s="479"/>
      <c r="D3339" s="45" t="n">
        <f aca="false">SUMIFS(P3:P3322,D3:D3322,"Zuri")</f>
        <v>1571.81939999983</v>
      </c>
      <c r="E3339" s="45"/>
      <c r="F3339" s="45" t="n">
        <f aca="false">SUMIFS(L3:L3322,D3:D3322,"Zuri",O3:O3322,"BALANÇO")</f>
        <v>46955.46</v>
      </c>
      <c r="G3339" s="2096"/>
      <c r="H3339" s="48"/>
      <c r="I3339" s="48"/>
    </row>
    <row r="3340" customFormat="false" ht="14.25" hidden="false" customHeight="false" outlineLevel="0" collapsed="false">
      <c r="A3340" s="1929" t="s">
        <v>3351</v>
      </c>
      <c r="B3340" s="479"/>
      <c r="C3340" s="479"/>
      <c r="D3340" s="45" t="n">
        <f aca="false">SUMIFS(P3:P3322,D3:D3322,"Paiaguás")</f>
        <v>14312.055</v>
      </c>
      <c r="E3340" s="45"/>
      <c r="F3340" s="45" t="n">
        <f aca="false">SUMIFS(L3:L3322,D3:D3322,"Paiaguás",O3:O3322,"BALANÇO")</f>
        <v>0</v>
      </c>
      <c r="G3340" s="2096"/>
      <c r="H3340" s="48"/>
      <c r="I3340" s="48"/>
    </row>
    <row r="3341" customFormat="false" ht="14.25" hidden="false" customHeight="false" outlineLevel="0" collapsed="false">
      <c r="A3341" s="1929" t="s">
        <v>19</v>
      </c>
      <c r="B3341" s="479"/>
      <c r="C3341" s="479"/>
      <c r="D3341" s="45" t="n">
        <f aca="false">SUMIFS(P3:P3322,D3:D3322,"Tamani")</f>
        <v>62916.0000000001</v>
      </c>
      <c r="E3341" s="45"/>
      <c r="F3341" s="45" t="n">
        <f aca="false">SUMIFS(L3:L3322,D3:D3322,"Tamani",O3:O3322,"BALANÇO")</f>
        <v>0</v>
      </c>
      <c r="G3341" s="2096"/>
      <c r="H3341" s="48"/>
      <c r="I3341" s="48"/>
    </row>
    <row r="3342" customFormat="false" ht="14.25" hidden="false" customHeight="false" outlineLevel="0" collapsed="false">
      <c r="A3342" s="52" t="s">
        <v>20</v>
      </c>
      <c r="B3342" s="479"/>
      <c r="C3342" s="479"/>
      <c r="D3342" s="45" t="n">
        <f aca="false">SUMIFS(P3:P3322,D3:D3322,"Integra")</f>
        <v>-3.12638803734444E-011</v>
      </c>
      <c r="E3342" s="45"/>
      <c r="F3342" s="45" t="n">
        <f aca="false">SUMIFS(L3:L3322,D3:D3322,"Integra",O3:O3322,"BALANÇO")</f>
        <v>0</v>
      </c>
      <c r="G3342" s="2096"/>
      <c r="H3342" s="48"/>
      <c r="I3342" s="48"/>
    </row>
    <row r="3343" customFormat="false" ht="14.25" hidden="false" customHeight="false" outlineLevel="0" collapsed="false">
      <c r="A3343" s="52" t="s">
        <v>172</v>
      </c>
      <c r="B3343" s="479"/>
      <c r="C3343" s="479"/>
      <c r="D3343" s="45" t="n">
        <f aca="false">SUMIFS(P3:P3322,D3:D3322,"Sorgo")</f>
        <v>0</v>
      </c>
      <c r="E3343" s="45"/>
      <c r="F3343" s="45" t="n">
        <f aca="false">SUMIFS(L3:L3322,D3:D3322,"Sorgo",O3:O3322,"BALANÇO")</f>
        <v>0</v>
      </c>
      <c r="G3343" s="2096"/>
      <c r="H3343" s="48"/>
      <c r="I3343" s="48"/>
    </row>
    <row r="3344" customFormat="false" ht="14.25" hidden="false" customHeight="false" outlineLevel="0" collapsed="false">
      <c r="A3344" s="52" t="s">
        <v>173</v>
      </c>
      <c r="B3344" s="479"/>
      <c r="C3344" s="479"/>
      <c r="D3344" s="45" t="n">
        <f aca="false">SUMIFS(P3:P3322,D3:D3322,"Crotalaria")</f>
        <v>2550</v>
      </c>
      <c r="E3344" s="45"/>
      <c r="F3344" s="45" t="n">
        <f aca="false">SUMIFS(L3:L3322,D3:D3322,"Crotalaria",O3:O3322,"BALANÇO")</f>
        <v>0</v>
      </c>
      <c r="G3344" s="2096"/>
      <c r="H3344" s="48"/>
      <c r="I3344" s="48"/>
    </row>
    <row r="3345" customFormat="false" ht="14.25" hidden="false" customHeight="false" outlineLevel="0" collapsed="false">
      <c r="A3345" s="1929" t="s">
        <v>23</v>
      </c>
      <c r="B3345" s="479"/>
      <c r="C3345" s="479"/>
      <c r="D3345" s="45" t="n">
        <f aca="false">SUMIFS(P3:P3322,D3:D3322,"Estilosante")</f>
        <v>6060</v>
      </c>
      <c r="E3345" s="45"/>
      <c r="F3345" s="45" t="n">
        <f aca="false">SUMIFS(L3:L3322,D3:D3322,"Estilisante",O3:O3322,"BALANÇO")</f>
        <v>0</v>
      </c>
      <c r="G3345" s="2096"/>
      <c r="H3345" s="48"/>
      <c r="I3345" s="48"/>
    </row>
    <row r="3346" customFormat="false" ht="14.25" hidden="false" customHeight="false" outlineLevel="0" collapsed="false">
      <c r="A3346" s="52" t="s">
        <v>21</v>
      </c>
      <c r="B3346" s="479"/>
      <c r="C3346" s="479"/>
      <c r="D3346" s="45" t="n">
        <f aca="false">SUMIFS(P3:P3322,D3:D3322,"Milheto")</f>
        <v>9055</v>
      </c>
      <c r="E3346" s="45"/>
      <c r="F3346" s="45" t="n">
        <f aca="false">SUMIFS(L3:L3322,D3:D3322,"Milheto",O3:O3322,"BALANÇO")</f>
        <v>70</v>
      </c>
      <c r="G3346" s="2096"/>
      <c r="H3346" s="48"/>
      <c r="I3346" s="48"/>
    </row>
    <row r="3347" customFormat="false" ht="14.25" hidden="false" customHeight="false" outlineLevel="0" collapsed="false">
      <c r="A3347" s="1929" t="s">
        <v>24</v>
      </c>
      <c r="B3347" s="479"/>
      <c r="C3347" s="479"/>
      <c r="D3347" s="45" t="n">
        <f aca="false">SUMIFS(P3:P3322,D3:D3322,"Andropogon")</f>
        <v>0</v>
      </c>
      <c r="E3347" s="45"/>
      <c r="F3347" s="45" t="n">
        <f aca="false">SUMIFS(L3:L3322,D3:D3322,"Andropogon",O3:O3322,"BALANÇO")</f>
        <v>0</v>
      </c>
      <c r="G3347" s="2096"/>
      <c r="H3347" s="48"/>
      <c r="I3347" s="48"/>
    </row>
    <row r="3348" customFormat="false" ht="14.25" hidden="false" customHeight="false" outlineLevel="0" collapsed="false">
      <c r="A3348" s="52" t="s">
        <v>22</v>
      </c>
      <c r="B3348" s="479"/>
      <c r="C3348" s="479"/>
      <c r="D3348" s="45" t="n">
        <f aca="false">SUMIFS(P3:P3322,D3:D3322,"Quenia")</f>
        <v>45690.714</v>
      </c>
      <c r="E3348" s="2097"/>
      <c r="F3348" s="45" t="n">
        <f aca="false">SUMIFS(L3:L3322,D3:D3322,"Quenia",O3:O3322,"BALANÇO")</f>
        <v>0</v>
      </c>
      <c r="G3348" s="2098"/>
      <c r="H3348" s="48"/>
      <c r="I3348" s="48"/>
    </row>
    <row r="3349" customFormat="false" ht="14.25" hidden="false" customHeight="false" outlineLevel="0" collapsed="false">
      <c r="A3349" s="52" t="s">
        <v>2144</v>
      </c>
      <c r="B3349" s="479"/>
      <c r="C3349" s="479"/>
      <c r="D3349" s="45" t="n">
        <f aca="false">SUMIFS(P3:P3322,D3:D3322,"Grof 1463")</f>
        <v>0</v>
      </c>
      <c r="E3349" s="2097"/>
      <c r="F3349" s="45" t="n">
        <f aca="false">SUMIFS(L3:L3322,D3:D3322,"Grof 1463",O3:O3322,"BALANÇO")</f>
        <v>0</v>
      </c>
      <c r="G3349" s="2098"/>
      <c r="H3349" s="48"/>
      <c r="I3349" s="48"/>
    </row>
    <row r="3350" customFormat="false" ht="14.25" hidden="false" customHeight="false" outlineLevel="0" collapsed="false">
      <c r="A3350" s="52" t="s">
        <v>74</v>
      </c>
      <c r="B3350" s="479"/>
      <c r="C3350" s="479"/>
      <c r="D3350" s="45" t="n">
        <f aca="false">SUMIFS(P3:P3322,D3:D3322,"Sudão")</f>
        <v>0</v>
      </c>
      <c r="E3350" s="2097"/>
      <c r="F3350" s="45" t="n">
        <f aca="false">SUMIFS(L3:L3322,D3:D3322,"Sudão",O3:O3322,"BALANÇO")</f>
        <v>0</v>
      </c>
      <c r="G3350" s="2098"/>
      <c r="H3350" s="48"/>
      <c r="I3350" s="48"/>
    </row>
    <row r="3351" customFormat="false" ht="14.25" hidden="false" customHeight="false" outlineLevel="0" collapsed="false">
      <c r="A3351" s="1929"/>
      <c r="B3351" s="479"/>
      <c r="C3351" s="479"/>
      <c r="D3351" s="45"/>
      <c r="E3351" s="2099"/>
      <c r="F3351" s="45"/>
      <c r="G3351" s="2098"/>
      <c r="H3351" s="48"/>
      <c r="I3351" s="48"/>
    </row>
    <row r="3352" customFormat="false" ht="14.25" hidden="false" customHeight="false" outlineLevel="0" collapsed="false">
      <c r="A3352" s="1929" t="s">
        <v>1675</v>
      </c>
      <c r="B3352" s="479"/>
      <c r="C3352" s="479"/>
      <c r="D3352" s="2097" t="n">
        <f aca="false">SUM(D3327:D3351)</f>
        <v>2565022.32464313</v>
      </c>
      <c r="E3352" s="2097"/>
      <c r="F3352" s="2097" t="n">
        <f aca="false">SUM(F3327:F3351)</f>
        <v>1219426.0115601</v>
      </c>
      <c r="G3352" s="9"/>
      <c r="H3352" s="2097"/>
      <c r="I3352" s="48"/>
    </row>
    <row r="3353" customFormat="false" ht="14.25" hidden="false" customHeight="false" outlineLevel="0" collapsed="false">
      <c r="A3353" s="1929"/>
      <c r="B3353" s="479"/>
      <c r="C3353" s="479"/>
      <c r="D3353" s="153"/>
      <c r="I3353" s="48"/>
    </row>
    <row r="3354" customFormat="false" ht="14.25" hidden="false" customHeight="false" outlineLevel="0" collapsed="false">
      <c r="A3354" s="1929"/>
    </row>
    <row r="3355" customFormat="false" ht="14.25" hidden="false" customHeight="false" outlineLevel="0" collapsed="false">
      <c r="A3355" s="1929"/>
    </row>
    <row r="3356" customFormat="false" ht="14.25" hidden="false" customHeight="false" outlineLevel="0" collapsed="false">
      <c r="A3356" s="1929"/>
    </row>
    <row r="3357" customFormat="false" ht="14.25" hidden="false" customHeight="false" outlineLevel="0" collapsed="false">
      <c r="A3357" s="1929"/>
    </row>
  </sheetData>
  <autoFilter ref="A2:R3322"/>
  <mergeCells count="6806">
    <mergeCell ref="A1:P1"/>
    <mergeCell ref="A3:A17"/>
    <mergeCell ref="B3:B17"/>
    <mergeCell ref="C3:C17"/>
    <mergeCell ref="F3:F17"/>
    <mergeCell ref="G3:G17"/>
    <mergeCell ref="H3:H17"/>
    <mergeCell ref="I3:I17"/>
    <mergeCell ref="J3:J17"/>
    <mergeCell ref="K3:K17"/>
    <mergeCell ref="P3:P17"/>
    <mergeCell ref="Q3:Q17"/>
    <mergeCell ref="R3:R17"/>
    <mergeCell ref="A18:A19"/>
    <mergeCell ref="B18:B19"/>
    <mergeCell ref="C18:C19"/>
    <mergeCell ref="F18:F19"/>
    <mergeCell ref="G18:G19"/>
    <mergeCell ref="H18:H19"/>
    <mergeCell ref="I18:I19"/>
    <mergeCell ref="J18:J19"/>
    <mergeCell ref="K18:K19"/>
    <mergeCell ref="P18:P19"/>
    <mergeCell ref="Q18:Q19"/>
    <mergeCell ref="R18:R19"/>
    <mergeCell ref="A20:A31"/>
    <mergeCell ref="B20:B31"/>
    <mergeCell ref="C20:C31"/>
    <mergeCell ref="F20:F31"/>
    <mergeCell ref="G20:G31"/>
    <mergeCell ref="H20:H31"/>
    <mergeCell ref="I20:I31"/>
    <mergeCell ref="J20:J31"/>
    <mergeCell ref="K20:K31"/>
    <mergeCell ref="P20:P31"/>
    <mergeCell ref="Q20:Q31"/>
    <mergeCell ref="R20:R31"/>
    <mergeCell ref="A32:A36"/>
    <mergeCell ref="B32:B36"/>
    <mergeCell ref="C32:C36"/>
    <mergeCell ref="F32:F36"/>
    <mergeCell ref="G32:G36"/>
    <mergeCell ref="H32:H36"/>
    <mergeCell ref="I32:I36"/>
    <mergeCell ref="J32:J36"/>
    <mergeCell ref="K32:K36"/>
    <mergeCell ref="P32:P36"/>
    <mergeCell ref="Q32:Q36"/>
    <mergeCell ref="R32:R36"/>
    <mergeCell ref="A38:A40"/>
    <mergeCell ref="B38:B40"/>
    <mergeCell ref="C38:C40"/>
    <mergeCell ref="F38:F40"/>
    <mergeCell ref="G38:G40"/>
    <mergeCell ref="H38:H40"/>
    <mergeCell ref="I38:I40"/>
    <mergeCell ref="J38:J40"/>
    <mergeCell ref="K38:K40"/>
    <mergeCell ref="P38:P40"/>
    <mergeCell ref="Q38:Q40"/>
    <mergeCell ref="R38:R40"/>
    <mergeCell ref="A42:A44"/>
    <mergeCell ref="B42:B44"/>
    <mergeCell ref="C42:C44"/>
    <mergeCell ref="F42:F44"/>
    <mergeCell ref="G42:G44"/>
    <mergeCell ref="H42:H44"/>
    <mergeCell ref="I42:I44"/>
    <mergeCell ref="J42:J44"/>
    <mergeCell ref="K42:K44"/>
    <mergeCell ref="P42:P44"/>
    <mergeCell ref="Q42:Q44"/>
    <mergeCell ref="R42:R44"/>
    <mergeCell ref="A46:A51"/>
    <mergeCell ref="B46:B51"/>
    <mergeCell ref="C46:C51"/>
    <mergeCell ref="F46:F51"/>
    <mergeCell ref="G46:G51"/>
    <mergeCell ref="H46:H51"/>
    <mergeCell ref="I46:I51"/>
    <mergeCell ref="J46:J51"/>
    <mergeCell ref="K46:K51"/>
    <mergeCell ref="P46:P51"/>
    <mergeCell ref="Q46:Q51"/>
    <mergeCell ref="R46:R51"/>
    <mergeCell ref="A52:A53"/>
    <mergeCell ref="B52:B53"/>
    <mergeCell ref="C52:C53"/>
    <mergeCell ref="F52:F53"/>
    <mergeCell ref="G52:G53"/>
    <mergeCell ref="H52:H53"/>
    <mergeCell ref="I52:I53"/>
    <mergeCell ref="J52:J53"/>
    <mergeCell ref="K52:K53"/>
    <mergeCell ref="P52:P53"/>
    <mergeCell ref="Q52:Q53"/>
    <mergeCell ref="R52:R53"/>
    <mergeCell ref="A57:A58"/>
    <mergeCell ref="B57:B58"/>
    <mergeCell ref="C57:C58"/>
    <mergeCell ref="F57:F58"/>
    <mergeCell ref="G57:G58"/>
    <mergeCell ref="H57:H58"/>
    <mergeCell ref="I57:I58"/>
    <mergeCell ref="J57:J58"/>
    <mergeCell ref="K57:K58"/>
    <mergeCell ref="P57:P58"/>
    <mergeCell ref="Q57:Q58"/>
    <mergeCell ref="R57:R58"/>
    <mergeCell ref="A60:A64"/>
    <mergeCell ref="B60:B64"/>
    <mergeCell ref="C60:C64"/>
    <mergeCell ref="F60:F64"/>
    <mergeCell ref="G60:G64"/>
    <mergeCell ref="H60:H64"/>
    <mergeCell ref="I60:I64"/>
    <mergeCell ref="J60:J64"/>
    <mergeCell ref="K60:K64"/>
    <mergeCell ref="P60:P64"/>
    <mergeCell ref="Q60:Q64"/>
    <mergeCell ref="R60:R64"/>
    <mergeCell ref="A65:A69"/>
    <mergeCell ref="B65:B69"/>
    <mergeCell ref="C65:C69"/>
    <mergeCell ref="F65:F69"/>
    <mergeCell ref="G65:G69"/>
    <mergeCell ref="H65:H69"/>
    <mergeCell ref="I65:I69"/>
    <mergeCell ref="J65:J69"/>
    <mergeCell ref="K65:K69"/>
    <mergeCell ref="P65:P69"/>
    <mergeCell ref="Q65:Q69"/>
    <mergeCell ref="R65:R69"/>
    <mergeCell ref="A70:A83"/>
    <mergeCell ref="B70:B83"/>
    <mergeCell ref="C70:C83"/>
    <mergeCell ref="F70:F83"/>
    <mergeCell ref="G70:G83"/>
    <mergeCell ref="H70:H83"/>
    <mergeCell ref="I70:I83"/>
    <mergeCell ref="J70:J83"/>
    <mergeCell ref="K70:K83"/>
    <mergeCell ref="P70:P83"/>
    <mergeCell ref="Q70:Q83"/>
    <mergeCell ref="R70:R83"/>
    <mergeCell ref="A86:A91"/>
    <mergeCell ref="B86:B91"/>
    <mergeCell ref="C86:C91"/>
    <mergeCell ref="F86:F91"/>
    <mergeCell ref="G86:G91"/>
    <mergeCell ref="H86:H91"/>
    <mergeCell ref="I86:I91"/>
    <mergeCell ref="J86:J91"/>
    <mergeCell ref="K86:K91"/>
    <mergeCell ref="P86:P91"/>
    <mergeCell ref="Q86:Q91"/>
    <mergeCell ref="R86:R91"/>
    <mergeCell ref="A92:A94"/>
    <mergeCell ref="B92:B94"/>
    <mergeCell ref="C92:C94"/>
    <mergeCell ref="F92:F94"/>
    <mergeCell ref="G92:G94"/>
    <mergeCell ref="H92:H94"/>
    <mergeCell ref="I92:I94"/>
    <mergeCell ref="J92:J94"/>
    <mergeCell ref="K92:K94"/>
    <mergeCell ref="P92:P94"/>
    <mergeCell ref="Q92:Q94"/>
    <mergeCell ref="R92:R94"/>
    <mergeCell ref="A96:A97"/>
    <mergeCell ref="B96:B97"/>
    <mergeCell ref="C96:C97"/>
    <mergeCell ref="F96:F97"/>
    <mergeCell ref="G96:G97"/>
    <mergeCell ref="H96:H97"/>
    <mergeCell ref="I96:I97"/>
    <mergeCell ref="J96:J97"/>
    <mergeCell ref="K96:K97"/>
    <mergeCell ref="P96:P97"/>
    <mergeCell ref="Q96:Q97"/>
    <mergeCell ref="R96:R97"/>
    <mergeCell ref="A99:A100"/>
    <mergeCell ref="B99:B100"/>
    <mergeCell ref="C99:C100"/>
    <mergeCell ref="F99:F100"/>
    <mergeCell ref="G99:G100"/>
    <mergeCell ref="H99:H100"/>
    <mergeCell ref="I99:I100"/>
    <mergeCell ref="J99:J100"/>
    <mergeCell ref="K99:K100"/>
    <mergeCell ref="P99:P100"/>
    <mergeCell ref="Q99:Q100"/>
    <mergeCell ref="R99:R100"/>
    <mergeCell ref="A102:A106"/>
    <mergeCell ref="B102:B106"/>
    <mergeCell ref="C102:C106"/>
    <mergeCell ref="F102:F106"/>
    <mergeCell ref="G102:G106"/>
    <mergeCell ref="H102:H106"/>
    <mergeCell ref="I102:I106"/>
    <mergeCell ref="J102:J106"/>
    <mergeCell ref="K102:K106"/>
    <mergeCell ref="P102:P106"/>
    <mergeCell ref="Q102:Q106"/>
    <mergeCell ref="R102:R106"/>
    <mergeCell ref="A107:A109"/>
    <mergeCell ref="B107:B109"/>
    <mergeCell ref="C107:C109"/>
    <mergeCell ref="F107:F109"/>
    <mergeCell ref="G107:G109"/>
    <mergeCell ref="H107:H109"/>
    <mergeCell ref="I107:I109"/>
    <mergeCell ref="J107:J109"/>
    <mergeCell ref="K107:K109"/>
    <mergeCell ref="P107:P109"/>
    <mergeCell ref="Q107:Q109"/>
    <mergeCell ref="R107:R109"/>
    <mergeCell ref="A111:A112"/>
    <mergeCell ref="B111:B112"/>
    <mergeCell ref="C111:C112"/>
    <mergeCell ref="F111:F112"/>
    <mergeCell ref="G111:G112"/>
    <mergeCell ref="H111:H112"/>
    <mergeCell ref="I111:I112"/>
    <mergeCell ref="J111:J112"/>
    <mergeCell ref="K111:K112"/>
    <mergeCell ref="P111:P112"/>
    <mergeCell ref="Q111:Q112"/>
    <mergeCell ref="R111:R112"/>
    <mergeCell ref="A113:A115"/>
    <mergeCell ref="B113:B115"/>
    <mergeCell ref="C113:C115"/>
    <mergeCell ref="F113:F115"/>
    <mergeCell ref="G113:G115"/>
    <mergeCell ref="H113:H115"/>
    <mergeCell ref="I113:I115"/>
    <mergeCell ref="J113:J115"/>
    <mergeCell ref="K113:K115"/>
    <mergeCell ref="P113:P115"/>
    <mergeCell ref="Q113:Q115"/>
    <mergeCell ref="R113:R115"/>
    <mergeCell ref="A116:A119"/>
    <mergeCell ref="B116:B119"/>
    <mergeCell ref="C116:C119"/>
    <mergeCell ref="F116:F119"/>
    <mergeCell ref="G116:G119"/>
    <mergeCell ref="H116:H119"/>
    <mergeCell ref="I116:I119"/>
    <mergeCell ref="J116:J119"/>
    <mergeCell ref="K116:K119"/>
    <mergeCell ref="P116:P119"/>
    <mergeCell ref="Q116:Q119"/>
    <mergeCell ref="R116:R119"/>
    <mergeCell ref="A121:A122"/>
    <mergeCell ref="B121:B122"/>
    <mergeCell ref="C121:C122"/>
    <mergeCell ref="F121:F122"/>
    <mergeCell ref="G121:G122"/>
    <mergeCell ref="H121:H122"/>
    <mergeCell ref="I121:I122"/>
    <mergeCell ref="J121:J122"/>
    <mergeCell ref="K121:K122"/>
    <mergeCell ref="P121:P122"/>
    <mergeCell ref="Q121:Q122"/>
    <mergeCell ref="R121:R122"/>
    <mergeCell ref="A124:A126"/>
    <mergeCell ref="B124:B126"/>
    <mergeCell ref="C124:C126"/>
    <mergeCell ref="F124:F126"/>
    <mergeCell ref="G124:G126"/>
    <mergeCell ref="H124:H126"/>
    <mergeCell ref="I124:I126"/>
    <mergeCell ref="J124:J126"/>
    <mergeCell ref="K124:K126"/>
    <mergeCell ref="P124:P126"/>
    <mergeCell ref="Q124:Q126"/>
    <mergeCell ref="R124:R126"/>
    <mergeCell ref="A127:A130"/>
    <mergeCell ref="B127:B130"/>
    <mergeCell ref="C127:C130"/>
    <mergeCell ref="F127:F130"/>
    <mergeCell ref="G127:G130"/>
    <mergeCell ref="H127:H130"/>
    <mergeCell ref="I127:I130"/>
    <mergeCell ref="J127:J130"/>
    <mergeCell ref="K127:K130"/>
    <mergeCell ref="P127:P130"/>
    <mergeCell ref="Q127:Q130"/>
    <mergeCell ref="R127:R130"/>
    <mergeCell ref="A133:A134"/>
    <mergeCell ref="B133:B134"/>
    <mergeCell ref="C133:C134"/>
    <mergeCell ref="F133:F134"/>
    <mergeCell ref="G133:G134"/>
    <mergeCell ref="H133:H134"/>
    <mergeCell ref="I133:I134"/>
    <mergeCell ref="J133:J134"/>
    <mergeCell ref="K133:K134"/>
    <mergeCell ref="P133:P134"/>
    <mergeCell ref="Q133:Q134"/>
    <mergeCell ref="R133:R134"/>
    <mergeCell ref="A136:A140"/>
    <mergeCell ref="B136:B140"/>
    <mergeCell ref="C136:C140"/>
    <mergeCell ref="F136:F140"/>
    <mergeCell ref="G136:G140"/>
    <mergeCell ref="H136:H140"/>
    <mergeCell ref="I136:I140"/>
    <mergeCell ref="J136:J140"/>
    <mergeCell ref="K136:K140"/>
    <mergeCell ref="P136:P140"/>
    <mergeCell ref="Q136:Q140"/>
    <mergeCell ref="R136:R140"/>
    <mergeCell ref="A141:A152"/>
    <mergeCell ref="B141:B152"/>
    <mergeCell ref="C141:C152"/>
    <mergeCell ref="F141:F152"/>
    <mergeCell ref="G141:G152"/>
    <mergeCell ref="H141:H152"/>
    <mergeCell ref="I141:I152"/>
    <mergeCell ref="J141:J152"/>
    <mergeCell ref="K141:K152"/>
    <mergeCell ref="P141:P152"/>
    <mergeCell ref="Q141:Q152"/>
    <mergeCell ref="R141:R152"/>
    <mergeCell ref="A154:A160"/>
    <mergeCell ref="B154:B160"/>
    <mergeCell ref="C154:C160"/>
    <mergeCell ref="F154:F160"/>
    <mergeCell ref="G154:G160"/>
    <mergeCell ref="H154:H160"/>
    <mergeCell ref="I154:I160"/>
    <mergeCell ref="J154:J160"/>
    <mergeCell ref="K154:K160"/>
    <mergeCell ref="P154:P160"/>
    <mergeCell ref="Q154:Q160"/>
    <mergeCell ref="R154:R160"/>
    <mergeCell ref="A161:A163"/>
    <mergeCell ref="B161:B163"/>
    <mergeCell ref="C161:C163"/>
    <mergeCell ref="F161:F163"/>
    <mergeCell ref="G161:G163"/>
    <mergeCell ref="H161:H163"/>
    <mergeCell ref="I161:I163"/>
    <mergeCell ref="J161:J163"/>
    <mergeCell ref="K161:K163"/>
    <mergeCell ref="P161:P163"/>
    <mergeCell ref="Q161:Q163"/>
    <mergeCell ref="R161:R163"/>
    <mergeCell ref="A164:A166"/>
    <mergeCell ref="B164:B166"/>
    <mergeCell ref="C164:C166"/>
    <mergeCell ref="F164:F166"/>
    <mergeCell ref="G164:G166"/>
    <mergeCell ref="H164:H166"/>
    <mergeCell ref="I164:I166"/>
    <mergeCell ref="J164:J166"/>
    <mergeCell ref="K164:K166"/>
    <mergeCell ref="P164:P166"/>
    <mergeCell ref="Q164:Q166"/>
    <mergeCell ref="R164:R166"/>
    <mergeCell ref="A167:A171"/>
    <mergeCell ref="B167:B171"/>
    <mergeCell ref="C167:C171"/>
    <mergeCell ref="F167:F171"/>
    <mergeCell ref="G167:G171"/>
    <mergeCell ref="H167:H171"/>
    <mergeCell ref="I167:I171"/>
    <mergeCell ref="J167:J171"/>
    <mergeCell ref="K167:K171"/>
    <mergeCell ref="P167:P171"/>
    <mergeCell ref="Q167:Q171"/>
    <mergeCell ref="R167:R171"/>
    <mergeCell ref="A173:A183"/>
    <mergeCell ref="B173:B183"/>
    <mergeCell ref="C173:C183"/>
    <mergeCell ref="F173:F183"/>
    <mergeCell ref="G173:G183"/>
    <mergeCell ref="H173:H183"/>
    <mergeCell ref="I173:I183"/>
    <mergeCell ref="J173:J183"/>
    <mergeCell ref="K173:K183"/>
    <mergeCell ref="P173:P183"/>
    <mergeCell ref="Q173:Q183"/>
    <mergeCell ref="R173:R183"/>
    <mergeCell ref="A184:A194"/>
    <mergeCell ref="B184:B194"/>
    <mergeCell ref="C184:C194"/>
    <mergeCell ref="F184:F194"/>
    <mergeCell ref="G184:G194"/>
    <mergeCell ref="H184:H194"/>
    <mergeCell ref="I184:I194"/>
    <mergeCell ref="J184:J194"/>
    <mergeCell ref="K184:K194"/>
    <mergeCell ref="P184:P194"/>
    <mergeCell ref="Q184:Q194"/>
    <mergeCell ref="R184:R194"/>
    <mergeCell ref="A197:A200"/>
    <mergeCell ref="B197:B200"/>
    <mergeCell ref="C197:C200"/>
    <mergeCell ref="F197:F200"/>
    <mergeCell ref="G197:G200"/>
    <mergeCell ref="H197:H200"/>
    <mergeCell ref="I197:I200"/>
    <mergeCell ref="J197:J200"/>
    <mergeCell ref="K197:K200"/>
    <mergeCell ref="P197:P200"/>
    <mergeCell ref="Q197:Q200"/>
    <mergeCell ref="R197:R200"/>
    <mergeCell ref="A201:A203"/>
    <mergeCell ref="B201:B203"/>
    <mergeCell ref="C201:C203"/>
    <mergeCell ref="F201:F203"/>
    <mergeCell ref="G201:G203"/>
    <mergeCell ref="H201:H203"/>
    <mergeCell ref="I201:I203"/>
    <mergeCell ref="J201:J203"/>
    <mergeCell ref="K201:K203"/>
    <mergeCell ref="P201:P203"/>
    <mergeCell ref="Q201:Q203"/>
    <mergeCell ref="R201:R203"/>
    <mergeCell ref="A204:A210"/>
    <mergeCell ref="B204:B210"/>
    <mergeCell ref="C204:C210"/>
    <mergeCell ref="F204:F210"/>
    <mergeCell ref="G204:G210"/>
    <mergeCell ref="H204:H210"/>
    <mergeCell ref="I204:I210"/>
    <mergeCell ref="J204:J210"/>
    <mergeCell ref="K204:K210"/>
    <mergeCell ref="P204:P210"/>
    <mergeCell ref="Q204:Q210"/>
    <mergeCell ref="R204:R210"/>
    <mergeCell ref="A213:A214"/>
    <mergeCell ref="B213:B214"/>
    <mergeCell ref="C213:C214"/>
    <mergeCell ref="F213:F214"/>
    <mergeCell ref="G213:G214"/>
    <mergeCell ref="H213:H214"/>
    <mergeCell ref="I213:I214"/>
    <mergeCell ref="J213:J214"/>
    <mergeCell ref="K213:K214"/>
    <mergeCell ref="P213:P214"/>
    <mergeCell ref="Q213:Q214"/>
    <mergeCell ref="R213:R214"/>
    <mergeCell ref="A220:A221"/>
    <mergeCell ref="B220:B221"/>
    <mergeCell ref="C220:C221"/>
    <mergeCell ref="F220:F221"/>
    <mergeCell ref="G220:G221"/>
    <mergeCell ref="H220:H221"/>
    <mergeCell ref="I220:I221"/>
    <mergeCell ref="J220:J221"/>
    <mergeCell ref="K220:K221"/>
    <mergeCell ref="P220:P221"/>
    <mergeCell ref="Q220:Q221"/>
    <mergeCell ref="R220:R221"/>
    <mergeCell ref="A226:A229"/>
    <mergeCell ref="B226:B229"/>
    <mergeCell ref="C226:C229"/>
    <mergeCell ref="F226:F229"/>
    <mergeCell ref="G226:G229"/>
    <mergeCell ref="H226:H229"/>
    <mergeCell ref="I226:I229"/>
    <mergeCell ref="J226:J229"/>
    <mergeCell ref="K226:K229"/>
    <mergeCell ref="P226:P229"/>
    <mergeCell ref="Q226:Q229"/>
    <mergeCell ref="R226:R229"/>
    <mergeCell ref="A230:A231"/>
    <mergeCell ref="B230:B231"/>
    <mergeCell ref="C230:C231"/>
    <mergeCell ref="F230:F231"/>
    <mergeCell ref="G230:G231"/>
    <mergeCell ref="H230:H231"/>
    <mergeCell ref="I230:I231"/>
    <mergeCell ref="J230:J231"/>
    <mergeCell ref="K230:K231"/>
    <mergeCell ref="P230:P231"/>
    <mergeCell ref="Q230:Q231"/>
    <mergeCell ref="R230:R231"/>
    <mergeCell ref="A232:A235"/>
    <mergeCell ref="B232:B235"/>
    <mergeCell ref="C232:C235"/>
    <mergeCell ref="F232:F235"/>
    <mergeCell ref="G232:G235"/>
    <mergeCell ref="H232:H235"/>
    <mergeCell ref="I232:I235"/>
    <mergeCell ref="J232:J235"/>
    <mergeCell ref="K232:K235"/>
    <mergeCell ref="P232:P235"/>
    <mergeCell ref="Q232:Q235"/>
    <mergeCell ref="R232:R235"/>
    <mergeCell ref="A238:A241"/>
    <mergeCell ref="B238:B241"/>
    <mergeCell ref="C238:C241"/>
    <mergeCell ref="F238:F241"/>
    <mergeCell ref="G238:G241"/>
    <mergeCell ref="H238:H241"/>
    <mergeCell ref="I238:I241"/>
    <mergeCell ref="J238:J241"/>
    <mergeCell ref="K238:K241"/>
    <mergeCell ref="P238:P241"/>
    <mergeCell ref="Q238:Q241"/>
    <mergeCell ref="R238:R241"/>
    <mergeCell ref="A243:A244"/>
    <mergeCell ref="B243:B244"/>
    <mergeCell ref="C243:C244"/>
    <mergeCell ref="F243:F244"/>
    <mergeCell ref="G243:G244"/>
    <mergeCell ref="H243:H244"/>
    <mergeCell ref="I243:I244"/>
    <mergeCell ref="J243:J244"/>
    <mergeCell ref="K243:K244"/>
    <mergeCell ref="P243:P244"/>
    <mergeCell ref="Q243:Q244"/>
    <mergeCell ref="R243:R244"/>
    <mergeCell ref="A246:A247"/>
    <mergeCell ref="B246:B247"/>
    <mergeCell ref="C246:C247"/>
    <mergeCell ref="F246:F247"/>
    <mergeCell ref="G246:G247"/>
    <mergeCell ref="H246:H247"/>
    <mergeCell ref="I246:I247"/>
    <mergeCell ref="J246:J247"/>
    <mergeCell ref="K246:K247"/>
    <mergeCell ref="P246:P247"/>
    <mergeCell ref="Q246:Q247"/>
    <mergeCell ref="R246:R247"/>
    <mergeCell ref="A249:A251"/>
    <mergeCell ref="B249:B251"/>
    <mergeCell ref="C249:C251"/>
    <mergeCell ref="F249:F251"/>
    <mergeCell ref="G249:G251"/>
    <mergeCell ref="H249:H251"/>
    <mergeCell ref="I249:I251"/>
    <mergeCell ref="J249:J251"/>
    <mergeCell ref="K249:K251"/>
    <mergeCell ref="P249:P251"/>
    <mergeCell ref="Q249:Q251"/>
    <mergeCell ref="R249:R251"/>
    <mergeCell ref="A253:A257"/>
    <mergeCell ref="B253:B257"/>
    <mergeCell ref="C253:C257"/>
    <mergeCell ref="F253:F257"/>
    <mergeCell ref="G253:G257"/>
    <mergeCell ref="H253:H257"/>
    <mergeCell ref="I253:I257"/>
    <mergeCell ref="J253:J257"/>
    <mergeCell ref="K253:K257"/>
    <mergeCell ref="P253:P257"/>
    <mergeCell ref="Q253:Q257"/>
    <mergeCell ref="R253:R257"/>
    <mergeCell ref="A258:A259"/>
    <mergeCell ref="B258:B259"/>
    <mergeCell ref="C258:C259"/>
    <mergeCell ref="F258:F259"/>
    <mergeCell ref="G258:G259"/>
    <mergeCell ref="H258:H259"/>
    <mergeCell ref="I258:I259"/>
    <mergeCell ref="J258:J259"/>
    <mergeCell ref="K258:K259"/>
    <mergeCell ref="P258:P259"/>
    <mergeCell ref="Q258:Q259"/>
    <mergeCell ref="R258:R259"/>
    <mergeCell ref="A260:A262"/>
    <mergeCell ref="B260:B262"/>
    <mergeCell ref="C260:C262"/>
    <mergeCell ref="F260:F262"/>
    <mergeCell ref="G260:G262"/>
    <mergeCell ref="H260:H262"/>
    <mergeCell ref="I260:I262"/>
    <mergeCell ref="J260:J262"/>
    <mergeCell ref="K260:K262"/>
    <mergeCell ref="P260:P262"/>
    <mergeCell ref="Q260:Q262"/>
    <mergeCell ref="R260:R262"/>
    <mergeCell ref="A264:A266"/>
    <mergeCell ref="B264:B266"/>
    <mergeCell ref="C264:C266"/>
    <mergeCell ref="F264:F266"/>
    <mergeCell ref="G264:G266"/>
    <mergeCell ref="H264:H266"/>
    <mergeCell ref="I264:I266"/>
    <mergeCell ref="J264:J266"/>
    <mergeCell ref="K264:K266"/>
    <mergeCell ref="P264:P266"/>
    <mergeCell ref="Q264:Q266"/>
    <mergeCell ref="R264:R266"/>
    <mergeCell ref="A267:A271"/>
    <mergeCell ref="B267:B271"/>
    <mergeCell ref="C267:C271"/>
    <mergeCell ref="F267:F271"/>
    <mergeCell ref="G267:G271"/>
    <mergeCell ref="H267:H271"/>
    <mergeCell ref="I267:I271"/>
    <mergeCell ref="J267:J271"/>
    <mergeCell ref="K267:K271"/>
    <mergeCell ref="P267:P271"/>
    <mergeCell ref="Q267:Q271"/>
    <mergeCell ref="R267:R271"/>
    <mergeCell ref="A272:A278"/>
    <mergeCell ref="B272:B278"/>
    <mergeCell ref="C272:C278"/>
    <mergeCell ref="F272:F278"/>
    <mergeCell ref="G272:G278"/>
    <mergeCell ref="H272:H278"/>
    <mergeCell ref="I272:I278"/>
    <mergeCell ref="J272:J278"/>
    <mergeCell ref="K272:K278"/>
    <mergeCell ref="P272:P278"/>
    <mergeCell ref="Q272:Q278"/>
    <mergeCell ref="R272:R278"/>
    <mergeCell ref="A279:A287"/>
    <mergeCell ref="B279:B287"/>
    <mergeCell ref="C279:C287"/>
    <mergeCell ref="F279:F287"/>
    <mergeCell ref="G279:G287"/>
    <mergeCell ref="H279:H287"/>
    <mergeCell ref="I279:I287"/>
    <mergeCell ref="J279:J287"/>
    <mergeCell ref="K279:K287"/>
    <mergeCell ref="P279:P287"/>
    <mergeCell ref="Q279:Q287"/>
    <mergeCell ref="R279:R287"/>
    <mergeCell ref="A288:A295"/>
    <mergeCell ref="B288:B295"/>
    <mergeCell ref="C288:C295"/>
    <mergeCell ref="F288:F295"/>
    <mergeCell ref="G288:G295"/>
    <mergeCell ref="H288:H295"/>
    <mergeCell ref="I288:I295"/>
    <mergeCell ref="J288:J295"/>
    <mergeCell ref="K288:K295"/>
    <mergeCell ref="P288:P295"/>
    <mergeCell ref="Q288:Q295"/>
    <mergeCell ref="R288:R295"/>
    <mergeCell ref="A296:A302"/>
    <mergeCell ref="B296:B302"/>
    <mergeCell ref="C296:C302"/>
    <mergeCell ref="F296:F302"/>
    <mergeCell ref="G296:G302"/>
    <mergeCell ref="H296:H302"/>
    <mergeCell ref="I296:I302"/>
    <mergeCell ref="J296:J302"/>
    <mergeCell ref="K296:K302"/>
    <mergeCell ref="P296:P302"/>
    <mergeCell ref="Q296:Q302"/>
    <mergeCell ref="R296:R302"/>
    <mergeCell ref="A305:A314"/>
    <mergeCell ref="B305:B314"/>
    <mergeCell ref="C305:C314"/>
    <mergeCell ref="F305:F314"/>
    <mergeCell ref="G305:G314"/>
    <mergeCell ref="H305:H314"/>
    <mergeCell ref="I305:I314"/>
    <mergeCell ref="J305:J314"/>
    <mergeCell ref="K305:K314"/>
    <mergeCell ref="P305:P314"/>
    <mergeCell ref="Q305:Q314"/>
    <mergeCell ref="R305:R314"/>
    <mergeCell ref="A315:A316"/>
    <mergeCell ref="B315:B316"/>
    <mergeCell ref="C315:C316"/>
    <mergeCell ref="F315:F316"/>
    <mergeCell ref="G315:G316"/>
    <mergeCell ref="H315:H316"/>
    <mergeCell ref="I315:I316"/>
    <mergeCell ref="J315:J316"/>
    <mergeCell ref="K315:K316"/>
    <mergeCell ref="P315:P316"/>
    <mergeCell ref="Q315:Q316"/>
    <mergeCell ref="R315:R316"/>
    <mergeCell ref="A317:A318"/>
    <mergeCell ref="B317:B318"/>
    <mergeCell ref="C317:C318"/>
    <mergeCell ref="F317:F318"/>
    <mergeCell ref="G317:G318"/>
    <mergeCell ref="H317:H318"/>
    <mergeCell ref="I317:I318"/>
    <mergeCell ref="J317:J318"/>
    <mergeCell ref="K317:K318"/>
    <mergeCell ref="P317:P318"/>
    <mergeCell ref="Q317:Q318"/>
    <mergeCell ref="R317:R318"/>
    <mergeCell ref="A319:A335"/>
    <mergeCell ref="B319:B335"/>
    <mergeCell ref="C319:C335"/>
    <mergeCell ref="F319:F335"/>
    <mergeCell ref="G319:G335"/>
    <mergeCell ref="H319:H335"/>
    <mergeCell ref="I319:I335"/>
    <mergeCell ref="J319:J335"/>
    <mergeCell ref="K319:K335"/>
    <mergeCell ref="P319:P335"/>
    <mergeCell ref="Q319:Q335"/>
    <mergeCell ref="R319:R335"/>
    <mergeCell ref="A336:A340"/>
    <mergeCell ref="B336:B340"/>
    <mergeCell ref="C336:C340"/>
    <mergeCell ref="F336:F340"/>
    <mergeCell ref="G336:G340"/>
    <mergeCell ref="H336:H340"/>
    <mergeCell ref="I336:I340"/>
    <mergeCell ref="J336:J340"/>
    <mergeCell ref="K336:K340"/>
    <mergeCell ref="P336:P340"/>
    <mergeCell ref="Q336:Q340"/>
    <mergeCell ref="R336:R340"/>
    <mergeCell ref="A342:A350"/>
    <mergeCell ref="B342:B350"/>
    <mergeCell ref="C342:C350"/>
    <mergeCell ref="F342:F350"/>
    <mergeCell ref="G342:G350"/>
    <mergeCell ref="H342:H350"/>
    <mergeCell ref="I342:I350"/>
    <mergeCell ref="J342:J350"/>
    <mergeCell ref="K342:K350"/>
    <mergeCell ref="P342:P350"/>
    <mergeCell ref="Q342:Q350"/>
    <mergeCell ref="R342:R350"/>
    <mergeCell ref="A351:A357"/>
    <mergeCell ref="B351:B357"/>
    <mergeCell ref="C351:C357"/>
    <mergeCell ref="F351:F357"/>
    <mergeCell ref="G351:G357"/>
    <mergeCell ref="H351:H357"/>
    <mergeCell ref="I351:I357"/>
    <mergeCell ref="J351:J357"/>
    <mergeCell ref="K351:K357"/>
    <mergeCell ref="P351:P357"/>
    <mergeCell ref="Q351:Q357"/>
    <mergeCell ref="R351:R357"/>
    <mergeCell ref="A360:A367"/>
    <mergeCell ref="B360:B367"/>
    <mergeCell ref="C360:C367"/>
    <mergeCell ref="F360:F367"/>
    <mergeCell ref="G360:G367"/>
    <mergeCell ref="H360:H367"/>
    <mergeCell ref="I360:I367"/>
    <mergeCell ref="J360:J367"/>
    <mergeCell ref="K360:K367"/>
    <mergeCell ref="P360:P367"/>
    <mergeCell ref="Q360:Q367"/>
    <mergeCell ref="R360:R367"/>
    <mergeCell ref="A368:A371"/>
    <mergeCell ref="B368:B371"/>
    <mergeCell ref="C368:C371"/>
    <mergeCell ref="F368:F371"/>
    <mergeCell ref="G368:G371"/>
    <mergeCell ref="H368:H371"/>
    <mergeCell ref="I368:I371"/>
    <mergeCell ref="J368:J371"/>
    <mergeCell ref="K368:K371"/>
    <mergeCell ref="P368:P371"/>
    <mergeCell ref="Q368:Q371"/>
    <mergeCell ref="R368:R371"/>
    <mergeCell ref="A372:A373"/>
    <mergeCell ref="B372:B373"/>
    <mergeCell ref="C372:C373"/>
    <mergeCell ref="F372:F373"/>
    <mergeCell ref="G372:G373"/>
    <mergeCell ref="H372:H373"/>
    <mergeCell ref="I372:I373"/>
    <mergeCell ref="J372:J373"/>
    <mergeCell ref="K372:K373"/>
    <mergeCell ref="P372:P373"/>
    <mergeCell ref="Q372:Q373"/>
    <mergeCell ref="R372:R373"/>
    <mergeCell ref="A374:A378"/>
    <mergeCell ref="B374:B378"/>
    <mergeCell ref="C374:C378"/>
    <mergeCell ref="F374:F378"/>
    <mergeCell ref="G374:G378"/>
    <mergeCell ref="H374:H378"/>
    <mergeCell ref="I374:I378"/>
    <mergeCell ref="J374:J378"/>
    <mergeCell ref="K374:K378"/>
    <mergeCell ref="P374:P378"/>
    <mergeCell ref="Q374:Q378"/>
    <mergeCell ref="R374:R378"/>
    <mergeCell ref="A380:A384"/>
    <mergeCell ref="B380:B384"/>
    <mergeCell ref="C380:C384"/>
    <mergeCell ref="F380:F384"/>
    <mergeCell ref="G380:G384"/>
    <mergeCell ref="H380:H384"/>
    <mergeCell ref="I380:I384"/>
    <mergeCell ref="J380:J384"/>
    <mergeCell ref="K380:K384"/>
    <mergeCell ref="P380:P384"/>
    <mergeCell ref="Q380:Q384"/>
    <mergeCell ref="R380:R384"/>
    <mergeCell ref="A386:A391"/>
    <mergeCell ref="B386:B391"/>
    <mergeCell ref="C386:C391"/>
    <mergeCell ref="F386:F391"/>
    <mergeCell ref="G386:G391"/>
    <mergeCell ref="H386:H391"/>
    <mergeCell ref="I386:I391"/>
    <mergeCell ref="J386:J391"/>
    <mergeCell ref="K386:K391"/>
    <mergeCell ref="P386:P391"/>
    <mergeCell ref="Q386:Q391"/>
    <mergeCell ref="R386:R391"/>
    <mergeCell ref="A392:A406"/>
    <mergeCell ref="B392:B406"/>
    <mergeCell ref="C392:C406"/>
    <mergeCell ref="F392:F406"/>
    <mergeCell ref="G392:G406"/>
    <mergeCell ref="H392:H406"/>
    <mergeCell ref="I392:I406"/>
    <mergeCell ref="J392:J406"/>
    <mergeCell ref="K392:K406"/>
    <mergeCell ref="P392:P406"/>
    <mergeCell ref="Q392:Q406"/>
    <mergeCell ref="R392:R406"/>
    <mergeCell ref="A408:A413"/>
    <mergeCell ref="B408:B413"/>
    <mergeCell ref="C408:C413"/>
    <mergeCell ref="F408:F413"/>
    <mergeCell ref="G408:G413"/>
    <mergeCell ref="H408:H413"/>
    <mergeCell ref="I408:I413"/>
    <mergeCell ref="J408:J413"/>
    <mergeCell ref="K408:K413"/>
    <mergeCell ref="P408:P413"/>
    <mergeCell ref="Q408:Q413"/>
    <mergeCell ref="R408:R413"/>
    <mergeCell ref="A415:A417"/>
    <mergeCell ref="B415:B417"/>
    <mergeCell ref="C415:C417"/>
    <mergeCell ref="F415:F417"/>
    <mergeCell ref="G415:G417"/>
    <mergeCell ref="H415:H417"/>
    <mergeCell ref="I415:I417"/>
    <mergeCell ref="J415:J417"/>
    <mergeCell ref="K415:K417"/>
    <mergeCell ref="P415:P417"/>
    <mergeCell ref="Q415:Q417"/>
    <mergeCell ref="R415:R417"/>
    <mergeCell ref="A418:A419"/>
    <mergeCell ref="B418:B419"/>
    <mergeCell ref="C418:C419"/>
    <mergeCell ref="F418:F419"/>
    <mergeCell ref="G418:G419"/>
    <mergeCell ref="H418:H419"/>
    <mergeCell ref="I418:I419"/>
    <mergeCell ref="J418:J419"/>
    <mergeCell ref="K418:K419"/>
    <mergeCell ref="P418:P419"/>
    <mergeCell ref="Q418:Q419"/>
    <mergeCell ref="R418:R419"/>
    <mergeCell ref="A421:A430"/>
    <mergeCell ref="B421:B430"/>
    <mergeCell ref="C421:C430"/>
    <mergeCell ref="F421:F430"/>
    <mergeCell ref="G421:G430"/>
    <mergeCell ref="H421:H430"/>
    <mergeCell ref="I421:I430"/>
    <mergeCell ref="J421:J430"/>
    <mergeCell ref="K421:K430"/>
    <mergeCell ref="P421:P430"/>
    <mergeCell ref="Q421:Q430"/>
    <mergeCell ref="R421:R430"/>
    <mergeCell ref="A431:A442"/>
    <mergeCell ref="B431:B442"/>
    <mergeCell ref="C431:C442"/>
    <mergeCell ref="F431:F442"/>
    <mergeCell ref="G431:G442"/>
    <mergeCell ref="H431:H442"/>
    <mergeCell ref="I431:I442"/>
    <mergeCell ref="J431:J442"/>
    <mergeCell ref="K431:K442"/>
    <mergeCell ref="P431:P442"/>
    <mergeCell ref="Q431:Q442"/>
    <mergeCell ref="R431:R442"/>
    <mergeCell ref="A443:A448"/>
    <mergeCell ref="B443:B448"/>
    <mergeCell ref="C443:C448"/>
    <mergeCell ref="F443:F448"/>
    <mergeCell ref="G443:G448"/>
    <mergeCell ref="H443:H448"/>
    <mergeCell ref="I443:I448"/>
    <mergeCell ref="J443:J448"/>
    <mergeCell ref="K443:K448"/>
    <mergeCell ref="P443:P448"/>
    <mergeCell ref="Q443:Q448"/>
    <mergeCell ref="R443:R448"/>
    <mergeCell ref="A449:A457"/>
    <mergeCell ref="B449:B457"/>
    <mergeCell ref="C449:C457"/>
    <mergeCell ref="F449:F457"/>
    <mergeCell ref="G449:G457"/>
    <mergeCell ref="H449:H457"/>
    <mergeCell ref="I449:I457"/>
    <mergeCell ref="J449:J457"/>
    <mergeCell ref="K449:K457"/>
    <mergeCell ref="P449:P457"/>
    <mergeCell ref="Q449:Q457"/>
    <mergeCell ref="R449:R457"/>
    <mergeCell ref="A460:A461"/>
    <mergeCell ref="B460:B461"/>
    <mergeCell ref="C460:C461"/>
    <mergeCell ref="F460:F461"/>
    <mergeCell ref="G460:G461"/>
    <mergeCell ref="H460:H461"/>
    <mergeCell ref="I460:I461"/>
    <mergeCell ref="J460:J461"/>
    <mergeCell ref="K460:K461"/>
    <mergeCell ref="P460:P461"/>
    <mergeCell ref="Q460:Q461"/>
    <mergeCell ref="R460:R461"/>
    <mergeCell ref="A462:A469"/>
    <mergeCell ref="B462:B469"/>
    <mergeCell ref="C462:C469"/>
    <mergeCell ref="F462:F469"/>
    <mergeCell ref="G462:G469"/>
    <mergeCell ref="H462:H469"/>
    <mergeCell ref="I462:I469"/>
    <mergeCell ref="J462:J469"/>
    <mergeCell ref="K462:K469"/>
    <mergeCell ref="P462:P469"/>
    <mergeCell ref="Q462:Q469"/>
    <mergeCell ref="R462:R469"/>
    <mergeCell ref="A470:A476"/>
    <mergeCell ref="B470:B476"/>
    <mergeCell ref="C470:C476"/>
    <mergeCell ref="F470:F476"/>
    <mergeCell ref="G470:G476"/>
    <mergeCell ref="H470:H476"/>
    <mergeCell ref="I470:I476"/>
    <mergeCell ref="J470:J476"/>
    <mergeCell ref="K470:K476"/>
    <mergeCell ref="P470:P476"/>
    <mergeCell ref="Q470:Q476"/>
    <mergeCell ref="R470:R476"/>
    <mergeCell ref="A477:A481"/>
    <mergeCell ref="B477:B481"/>
    <mergeCell ref="C477:C481"/>
    <mergeCell ref="F477:F481"/>
    <mergeCell ref="G477:G481"/>
    <mergeCell ref="H477:H481"/>
    <mergeCell ref="I477:I481"/>
    <mergeCell ref="J477:J481"/>
    <mergeCell ref="K477:K481"/>
    <mergeCell ref="P477:P481"/>
    <mergeCell ref="Q477:Q481"/>
    <mergeCell ref="R477:R481"/>
    <mergeCell ref="A483:A494"/>
    <mergeCell ref="B483:B494"/>
    <mergeCell ref="C483:C494"/>
    <mergeCell ref="F483:F494"/>
    <mergeCell ref="G483:G494"/>
    <mergeCell ref="H483:H494"/>
    <mergeCell ref="I483:I494"/>
    <mergeCell ref="J483:J494"/>
    <mergeCell ref="K483:K494"/>
    <mergeCell ref="P483:P494"/>
    <mergeCell ref="Q483:Q494"/>
    <mergeCell ref="R483:R494"/>
    <mergeCell ref="A495:A500"/>
    <mergeCell ref="B495:B500"/>
    <mergeCell ref="C495:C500"/>
    <mergeCell ref="F495:F500"/>
    <mergeCell ref="G495:G500"/>
    <mergeCell ref="H495:H500"/>
    <mergeCell ref="I495:I500"/>
    <mergeCell ref="J495:J500"/>
    <mergeCell ref="K495:K500"/>
    <mergeCell ref="P495:P500"/>
    <mergeCell ref="Q495:Q500"/>
    <mergeCell ref="R495:R500"/>
    <mergeCell ref="A501:A502"/>
    <mergeCell ref="B501:B502"/>
    <mergeCell ref="C501:C502"/>
    <mergeCell ref="F501:F502"/>
    <mergeCell ref="G501:G502"/>
    <mergeCell ref="H501:H502"/>
    <mergeCell ref="I501:I502"/>
    <mergeCell ref="J501:J502"/>
    <mergeCell ref="K501:K502"/>
    <mergeCell ref="P501:P502"/>
    <mergeCell ref="Q501:Q502"/>
    <mergeCell ref="R501:R502"/>
    <mergeCell ref="A503:A510"/>
    <mergeCell ref="B503:B510"/>
    <mergeCell ref="C503:C510"/>
    <mergeCell ref="F503:F510"/>
    <mergeCell ref="G503:G510"/>
    <mergeCell ref="H503:H510"/>
    <mergeCell ref="I503:I510"/>
    <mergeCell ref="J503:J510"/>
    <mergeCell ref="K503:K510"/>
    <mergeCell ref="P503:P510"/>
    <mergeCell ref="Q503:Q510"/>
    <mergeCell ref="R503:R510"/>
    <mergeCell ref="A511:A512"/>
    <mergeCell ref="B511:B512"/>
    <mergeCell ref="C511:C512"/>
    <mergeCell ref="F511:F512"/>
    <mergeCell ref="G511:G512"/>
    <mergeCell ref="H511:H512"/>
    <mergeCell ref="I511:I512"/>
    <mergeCell ref="J511:J512"/>
    <mergeCell ref="K511:K512"/>
    <mergeCell ref="P511:P512"/>
    <mergeCell ref="Q511:Q512"/>
    <mergeCell ref="R511:R512"/>
    <mergeCell ref="A513:A517"/>
    <mergeCell ref="B513:B517"/>
    <mergeCell ref="C513:C517"/>
    <mergeCell ref="F513:F517"/>
    <mergeCell ref="G513:G517"/>
    <mergeCell ref="H513:H517"/>
    <mergeCell ref="I513:I517"/>
    <mergeCell ref="J513:J517"/>
    <mergeCell ref="K513:K517"/>
    <mergeCell ref="P513:P517"/>
    <mergeCell ref="Q513:Q517"/>
    <mergeCell ref="R513:R517"/>
    <mergeCell ref="A518:A524"/>
    <mergeCell ref="B518:B524"/>
    <mergeCell ref="C518:C524"/>
    <mergeCell ref="F518:F524"/>
    <mergeCell ref="G518:G524"/>
    <mergeCell ref="H518:H524"/>
    <mergeCell ref="I518:I524"/>
    <mergeCell ref="J518:J524"/>
    <mergeCell ref="K518:K524"/>
    <mergeCell ref="P518:P524"/>
    <mergeCell ref="Q518:Q524"/>
    <mergeCell ref="R518:R524"/>
    <mergeCell ref="A525:A544"/>
    <mergeCell ref="B525:B544"/>
    <mergeCell ref="C525:C544"/>
    <mergeCell ref="F525:F544"/>
    <mergeCell ref="G525:G544"/>
    <mergeCell ref="H525:H544"/>
    <mergeCell ref="I525:I544"/>
    <mergeCell ref="J525:J544"/>
    <mergeCell ref="K525:K544"/>
    <mergeCell ref="P525:P544"/>
    <mergeCell ref="Q525:Q544"/>
    <mergeCell ref="R525:R544"/>
    <mergeCell ref="A545:A550"/>
    <mergeCell ref="B545:B550"/>
    <mergeCell ref="C545:C550"/>
    <mergeCell ref="F545:F550"/>
    <mergeCell ref="G545:G550"/>
    <mergeCell ref="H545:H550"/>
    <mergeCell ref="I545:I550"/>
    <mergeCell ref="J545:J550"/>
    <mergeCell ref="K545:K550"/>
    <mergeCell ref="P545:P550"/>
    <mergeCell ref="Q545:Q550"/>
    <mergeCell ref="R545:R550"/>
    <mergeCell ref="A551:A556"/>
    <mergeCell ref="B551:B556"/>
    <mergeCell ref="C551:C556"/>
    <mergeCell ref="F551:F556"/>
    <mergeCell ref="G551:G556"/>
    <mergeCell ref="H551:H556"/>
    <mergeCell ref="I551:I556"/>
    <mergeCell ref="J551:J556"/>
    <mergeCell ref="K551:K556"/>
    <mergeCell ref="P551:P556"/>
    <mergeCell ref="Q551:Q556"/>
    <mergeCell ref="R551:R556"/>
    <mergeCell ref="A558:A559"/>
    <mergeCell ref="B558:B559"/>
    <mergeCell ref="C558:C559"/>
    <mergeCell ref="F558:F559"/>
    <mergeCell ref="G558:G559"/>
    <mergeCell ref="H558:H559"/>
    <mergeCell ref="I558:I559"/>
    <mergeCell ref="J558:J559"/>
    <mergeCell ref="K558:K559"/>
    <mergeCell ref="P558:P559"/>
    <mergeCell ref="Q558:Q559"/>
    <mergeCell ref="R558:R559"/>
    <mergeCell ref="A560:A562"/>
    <mergeCell ref="B560:B562"/>
    <mergeCell ref="C560:C562"/>
    <mergeCell ref="F560:F562"/>
    <mergeCell ref="G560:G562"/>
    <mergeCell ref="H560:H562"/>
    <mergeCell ref="I560:I562"/>
    <mergeCell ref="J560:J562"/>
    <mergeCell ref="K560:K562"/>
    <mergeCell ref="P560:P562"/>
    <mergeCell ref="Q560:Q562"/>
    <mergeCell ref="R560:R562"/>
    <mergeCell ref="A563:A566"/>
    <mergeCell ref="B563:B566"/>
    <mergeCell ref="C563:C566"/>
    <mergeCell ref="F563:F566"/>
    <mergeCell ref="G563:G566"/>
    <mergeCell ref="H563:H566"/>
    <mergeCell ref="I563:I566"/>
    <mergeCell ref="J563:J566"/>
    <mergeCell ref="K563:K566"/>
    <mergeCell ref="P563:P566"/>
    <mergeCell ref="Q563:Q566"/>
    <mergeCell ref="R563:R566"/>
    <mergeCell ref="A567:A572"/>
    <mergeCell ref="B567:B572"/>
    <mergeCell ref="C567:C572"/>
    <mergeCell ref="F567:F572"/>
    <mergeCell ref="G567:G572"/>
    <mergeCell ref="H567:H572"/>
    <mergeCell ref="I567:I572"/>
    <mergeCell ref="J567:J572"/>
    <mergeCell ref="K567:K572"/>
    <mergeCell ref="P567:P572"/>
    <mergeCell ref="Q567:Q572"/>
    <mergeCell ref="R567:R572"/>
    <mergeCell ref="A573:A577"/>
    <mergeCell ref="B573:B577"/>
    <mergeCell ref="C573:C577"/>
    <mergeCell ref="F573:F577"/>
    <mergeCell ref="G573:G577"/>
    <mergeCell ref="H573:H577"/>
    <mergeCell ref="I573:I577"/>
    <mergeCell ref="J573:J577"/>
    <mergeCell ref="K573:K577"/>
    <mergeCell ref="P573:P577"/>
    <mergeCell ref="Q573:Q577"/>
    <mergeCell ref="R573:R577"/>
    <mergeCell ref="A578:A580"/>
    <mergeCell ref="B578:B580"/>
    <mergeCell ref="C578:C580"/>
    <mergeCell ref="F578:F580"/>
    <mergeCell ref="G578:G580"/>
    <mergeCell ref="H578:H580"/>
    <mergeCell ref="I578:I580"/>
    <mergeCell ref="J578:J580"/>
    <mergeCell ref="K578:K580"/>
    <mergeCell ref="P578:P580"/>
    <mergeCell ref="Q578:Q580"/>
    <mergeCell ref="R578:R580"/>
    <mergeCell ref="A581:A587"/>
    <mergeCell ref="B581:B587"/>
    <mergeCell ref="C581:C587"/>
    <mergeCell ref="F581:F587"/>
    <mergeCell ref="G581:G587"/>
    <mergeCell ref="H581:H587"/>
    <mergeCell ref="I581:I587"/>
    <mergeCell ref="J581:J587"/>
    <mergeCell ref="K581:K587"/>
    <mergeCell ref="P581:P587"/>
    <mergeCell ref="Q581:Q587"/>
    <mergeCell ref="R581:R587"/>
    <mergeCell ref="A591:A602"/>
    <mergeCell ref="B591:B602"/>
    <mergeCell ref="C591:C602"/>
    <mergeCell ref="F591:F602"/>
    <mergeCell ref="G591:G602"/>
    <mergeCell ref="H591:H602"/>
    <mergeCell ref="I591:I602"/>
    <mergeCell ref="J591:J602"/>
    <mergeCell ref="K591:K602"/>
    <mergeCell ref="P591:P602"/>
    <mergeCell ref="Q591:Q602"/>
    <mergeCell ref="R591:R602"/>
    <mergeCell ref="A603:A616"/>
    <mergeCell ref="B603:B616"/>
    <mergeCell ref="C603:C616"/>
    <mergeCell ref="F603:F616"/>
    <mergeCell ref="G603:G616"/>
    <mergeCell ref="H603:H616"/>
    <mergeCell ref="I603:I616"/>
    <mergeCell ref="J603:J616"/>
    <mergeCell ref="K603:K616"/>
    <mergeCell ref="P603:P616"/>
    <mergeCell ref="Q603:Q616"/>
    <mergeCell ref="R603:R616"/>
    <mergeCell ref="A617:A618"/>
    <mergeCell ref="B617:B618"/>
    <mergeCell ref="C617:C618"/>
    <mergeCell ref="F617:F618"/>
    <mergeCell ref="G617:G618"/>
    <mergeCell ref="H617:H618"/>
    <mergeCell ref="I617:I618"/>
    <mergeCell ref="J617:J618"/>
    <mergeCell ref="K617:K618"/>
    <mergeCell ref="P617:P618"/>
    <mergeCell ref="Q617:Q618"/>
    <mergeCell ref="R617:R618"/>
    <mergeCell ref="A619:A627"/>
    <mergeCell ref="B619:B627"/>
    <mergeCell ref="C619:C627"/>
    <mergeCell ref="F619:F627"/>
    <mergeCell ref="G619:G627"/>
    <mergeCell ref="H619:H627"/>
    <mergeCell ref="I619:I627"/>
    <mergeCell ref="J619:J627"/>
    <mergeCell ref="K619:K627"/>
    <mergeCell ref="P619:P627"/>
    <mergeCell ref="Q619:Q627"/>
    <mergeCell ref="R619:R627"/>
    <mergeCell ref="A630:A631"/>
    <mergeCell ref="B630:B631"/>
    <mergeCell ref="C630:C631"/>
    <mergeCell ref="F630:F631"/>
    <mergeCell ref="G630:G631"/>
    <mergeCell ref="H630:H631"/>
    <mergeCell ref="I630:I631"/>
    <mergeCell ref="J630:J631"/>
    <mergeCell ref="K630:K631"/>
    <mergeCell ref="P630:P631"/>
    <mergeCell ref="Q630:Q631"/>
    <mergeCell ref="R630:R631"/>
    <mergeCell ref="A632:A647"/>
    <mergeCell ref="B632:B647"/>
    <mergeCell ref="C632:C647"/>
    <mergeCell ref="F632:F647"/>
    <mergeCell ref="G632:G647"/>
    <mergeCell ref="H632:H647"/>
    <mergeCell ref="I632:I647"/>
    <mergeCell ref="J632:J647"/>
    <mergeCell ref="K632:K647"/>
    <mergeCell ref="P632:P647"/>
    <mergeCell ref="Q632:Q647"/>
    <mergeCell ref="R632:R647"/>
    <mergeCell ref="A648:A649"/>
    <mergeCell ref="B648:B649"/>
    <mergeCell ref="C648:C649"/>
    <mergeCell ref="F648:F649"/>
    <mergeCell ref="G648:G649"/>
    <mergeCell ref="H648:H649"/>
    <mergeCell ref="I648:I649"/>
    <mergeCell ref="J648:J649"/>
    <mergeCell ref="K648:K649"/>
    <mergeCell ref="P648:P649"/>
    <mergeCell ref="Q648:Q649"/>
    <mergeCell ref="R648:R649"/>
    <mergeCell ref="A654:A657"/>
    <mergeCell ref="B654:B657"/>
    <mergeCell ref="C654:C657"/>
    <mergeCell ref="F654:F657"/>
    <mergeCell ref="G654:G657"/>
    <mergeCell ref="H654:H657"/>
    <mergeCell ref="I654:I657"/>
    <mergeCell ref="J654:J657"/>
    <mergeCell ref="K654:K657"/>
    <mergeCell ref="P654:P657"/>
    <mergeCell ref="Q654:Q657"/>
    <mergeCell ref="R654:R657"/>
    <mergeCell ref="A658:A659"/>
    <mergeCell ref="B658:B659"/>
    <mergeCell ref="C658:C659"/>
    <mergeCell ref="F658:F659"/>
    <mergeCell ref="G658:G659"/>
    <mergeCell ref="H658:H659"/>
    <mergeCell ref="I658:I659"/>
    <mergeCell ref="J658:J659"/>
    <mergeCell ref="K658:K659"/>
    <mergeCell ref="P658:P659"/>
    <mergeCell ref="Q658:Q659"/>
    <mergeCell ref="R658:R659"/>
    <mergeCell ref="A661:A664"/>
    <mergeCell ref="B661:B664"/>
    <mergeCell ref="C661:C664"/>
    <mergeCell ref="F661:F664"/>
    <mergeCell ref="G661:G664"/>
    <mergeCell ref="H661:H664"/>
    <mergeCell ref="I661:I664"/>
    <mergeCell ref="J661:J664"/>
    <mergeCell ref="K661:K664"/>
    <mergeCell ref="P661:P664"/>
    <mergeCell ref="Q661:Q664"/>
    <mergeCell ref="R661:R664"/>
    <mergeCell ref="A665:A669"/>
    <mergeCell ref="B665:B669"/>
    <mergeCell ref="C665:C669"/>
    <mergeCell ref="F665:F669"/>
    <mergeCell ref="G665:G669"/>
    <mergeCell ref="H665:H669"/>
    <mergeCell ref="I665:I669"/>
    <mergeCell ref="J665:J669"/>
    <mergeCell ref="K665:K669"/>
    <mergeCell ref="P665:P669"/>
    <mergeCell ref="Q665:Q669"/>
    <mergeCell ref="R665:R669"/>
    <mergeCell ref="A670:A672"/>
    <mergeCell ref="B670:B672"/>
    <mergeCell ref="C670:C672"/>
    <mergeCell ref="F670:F672"/>
    <mergeCell ref="G670:G672"/>
    <mergeCell ref="H670:H672"/>
    <mergeCell ref="I670:I672"/>
    <mergeCell ref="J670:J672"/>
    <mergeCell ref="K670:K672"/>
    <mergeCell ref="P670:P672"/>
    <mergeCell ref="Q670:Q672"/>
    <mergeCell ref="R670:R672"/>
    <mergeCell ref="A673:A681"/>
    <mergeCell ref="B673:B681"/>
    <mergeCell ref="C673:C681"/>
    <mergeCell ref="F673:F681"/>
    <mergeCell ref="G673:G681"/>
    <mergeCell ref="H673:H681"/>
    <mergeCell ref="I673:I681"/>
    <mergeCell ref="J673:J681"/>
    <mergeCell ref="K673:K681"/>
    <mergeCell ref="P673:P681"/>
    <mergeCell ref="Q673:Q681"/>
    <mergeCell ref="R673:R681"/>
    <mergeCell ref="A682:A683"/>
    <mergeCell ref="B682:B683"/>
    <mergeCell ref="C682:C683"/>
    <mergeCell ref="F682:F683"/>
    <mergeCell ref="G682:G683"/>
    <mergeCell ref="H682:H683"/>
    <mergeCell ref="I682:I683"/>
    <mergeCell ref="J682:J683"/>
    <mergeCell ref="K682:K683"/>
    <mergeCell ref="P682:P683"/>
    <mergeCell ref="Q682:Q683"/>
    <mergeCell ref="R682:R683"/>
    <mergeCell ref="A686:A689"/>
    <mergeCell ref="B686:B689"/>
    <mergeCell ref="C686:C689"/>
    <mergeCell ref="F686:F689"/>
    <mergeCell ref="G686:G689"/>
    <mergeCell ref="H686:H689"/>
    <mergeCell ref="I686:I689"/>
    <mergeCell ref="J686:J689"/>
    <mergeCell ref="K686:K689"/>
    <mergeCell ref="P686:P689"/>
    <mergeCell ref="Q686:Q689"/>
    <mergeCell ref="R686:R689"/>
    <mergeCell ref="A690:A693"/>
    <mergeCell ref="B690:B693"/>
    <mergeCell ref="C690:C693"/>
    <mergeCell ref="F690:F693"/>
    <mergeCell ref="G690:G693"/>
    <mergeCell ref="H690:H693"/>
    <mergeCell ref="I690:I693"/>
    <mergeCell ref="J690:J693"/>
    <mergeCell ref="K690:K693"/>
    <mergeCell ref="P690:P693"/>
    <mergeCell ref="Q690:Q693"/>
    <mergeCell ref="R690:R693"/>
    <mergeCell ref="A694:A700"/>
    <mergeCell ref="B694:B700"/>
    <mergeCell ref="C694:C700"/>
    <mergeCell ref="F694:F700"/>
    <mergeCell ref="G694:G700"/>
    <mergeCell ref="H694:H700"/>
    <mergeCell ref="I694:I700"/>
    <mergeCell ref="J694:J700"/>
    <mergeCell ref="K694:K700"/>
    <mergeCell ref="P694:P700"/>
    <mergeCell ref="Q694:Q700"/>
    <mergeCell ref="R694:R700"/>
    <mergeCell ref="A702:A706"/>
    <mergeCell ref="B702:B706"/>
    <mergeCell ref="C702:C706"/>
    <mergeCell ref="F702:F706"/>
    <mergeCell ref="G702:G706"/>
    <mergeCell ref="H702:H706"/>
    <mergeCell ref="I702:I706"/>
    <mergeCell ref="J702:J706"/>
    <mergeCell ref="K702:K706"/>
    <mergeCell ref="P702:P706"/>
    <mergeCell ref="Q702:Q706"/>
    <mergeCell ref="R702:R706"/>
    <mergeCell ref="A707:A710"/>
    <mergeCell ref="B707:B710"/>
    <mergeCell ref="C707:C710"/>
    <mergeCell ref="F707:F710"/>
    <mergeCell ref="G707:G710"/>
    <mergeCell ref="H707:H710"/>
    <mergeCell ref="I707:I710"/>
    <mergeCell ref="J707:J710"/>
    <mergeCell ref="K707:K710"/>
    <mergeCell ref="P707:P710"/>
    <mergeCell ref="Q707:Q710"/>
    <mergeCell ref="R707:R710"/>
    <mergeCell ref="A711:A712"/>
    <mergeCell ref="B711:B712"/>
    <mergeCell ref="C711:C712"/>
    <mergeCell ref="F711:F712"/>
    <mergeCell ref="G711:G712"/>
    <mergeCell ref="H711:H712"/>
    <mergeCell ref="I711:I712"/>
    <mergeCell ref="J711:J712"/>
    <mergeCell ref="K711:K712"/>
    <mergeCell ref="P711:P712"/>
    <mergeCell ref="Q711:Q712"/>
    <mergeCell ref="R711:R712"/>
    <mergeCell ref="A713:A717"/>
    <mergeCell ref="B713:B717"/>
    <mergeCell ref="C713:C717"/>
    <mergeCell ref="F713:F717"/>
    <mergeCell ref="G713:G717"/>
    <mergeCell ref="H713:H717"/>
    <mergeCell ref="I713:I717"/>
    <mergeCell ref="J713:J717"/>
    <mergeCell ref="K713:K717"/>
    <mergeCell ref="P713:P717"/>
    <mergeCell ref="Q713:Q717"/>
    <mergeCell ref="R713:R717"/>
    <mergeCell ref="A718:A720"/>
    <mergeCell ref="B718:B720"/>
    <mergeCell ref="C718:C720"/>
    <mergeCell ref="F718:F720"/>
    <mergeCell ref="G718:G720"/>
    <mergeCell ref="H718:H720"/>
    <mergeCell ref="I718:I720"/>
    <mergeCell ref="J718:J720"/>
    <mergeCell ref="K718:K720"/>
    <mergeCell ref="P718:P720"/>
    <mergeCell ref="Q718:Q720"/>
    <mergeCell ref="R718:R720"/>
    <mergeCell ref="A721:A723"/>
    <mergeCell ref="B721:B723"/>
    <mergeCell ref="C721:C723"/>
    <mergeCell ref="F721:F723"/>
    <mergeCell ref="G721:G723"/>
    <mergeCell ref="H721:H723"/>
    <mergeCell ref="I721:I723"/>
    <mergeCell ref="J721:J723"/>
    <mergeCell ref="K721:K723"/>
    <mergeCell ref="P721:P723"/>
    <mergeCell ref="Q721:Q723"/>
    <mergeCell ref="R721:R723"/>
    <mergeCell ref="A727:A735"/>
    <mergeCell ref="B727:B735"/>
    <mergeCell ref="C727:C735"/>
    <mergeCell ref="F727:F735"/>
    <mergeCell ref="G727:G735"/>
    <mergeCell ref="H727:H735"/>
    <mergeCell ref="I727:I735"/>
    <mergeCell ref="J727:J735"/>
    <mergeCell ref="K727:K735"/>
    <mergeCell ref="P727:P735"/>
    <mergeCell ref="Q727:Q735"/>
    <mergeCell ref="R727:R735"/>
    <mergeCell ref="A736:A742"/>
    <mergeCell ref="B736:B742"/>
    <mergeCell ref="C736:C742"/>
    <mergeCell ref="F736:F742"/>
    <mergeCell ref="G736:G742"/>
    <mergeCell ref="H736:H742"/>
    <mergeCell ref="I736:I742"/>
    <mergeCell ref="J736:J742"/>
    <mergeCell ref="K736:K742"/>
    <mergeCell ref="P736:P742"/>
    <mergeCell ref="Q736:Q742"/>
    <mergeCell ref="R736:R742"/>
    <mergeCell ref="A745:A757"/>
    <mergeCell ref="B745:B757"/>
    <mergeCell ref="C745:C757"/>
    <mergeCell ref="F745:F757"/>
    <mergeCell ref="G745:G757"/>
    <mergeCell ref="H745:H757"/>
    <mergeCell ref="I745:I757"/>
    <mergeCell ref="J745:J757"/>
    <mergeCell ref="K745:K757"/>
    <mergeCell ref="P745:P757"/>
    <mergeCell ref="Q745:Q757"/>
    <mergeCell ref="R745:R757"/>
    <mergeCell ref="A758:A761"/>
    <mergeCell ref="B758:B761"/>
    <mergeCell ref="C758:C761"/>
    <mergeCell ref="F758:F761"/>
    <mergeCell ref="G758:G761"/>
    <mergeCell ref="H758:H761"/>
    <mergeCell ref="I758:I761"/>
    <mergeCell ref="J758:J761"/>
    <mergeCell ref="K758:K761"/>
    <mergeCell ref="P758:P761"/>
    <mergeCell ref="Q758:Q761"/>
    <mergeCell ref="R758:R761"/>
    <mergeCell ref="A762:A769"/>
    <mergeCell ref="B762:B769"/>
    <mergeCell ref="C762:C769"/>
    <mergeCell ref="F762:F769"/>
    <mergeCell ref="G762:G769"/>
    <mergeCell ref="H762:H769"/>
    <mergeCell ref="I762:I769"/>
    <mergeCell ref="J762:J769"/>
    <mergeCell ref="K762:K769"/>
    <mergeCell ref="P762:P769"/>
    <mergeCell ref="Q762:Q769"/>
    <mergeCell ref="R762:R769"/>
    <mergeCell ref="A770:A773"/>
    <mergeCell ref="B770:B773"/>
    <mergeCell ref="C770:C773"/>
    <mergeCell ref="F770:F773"/>
    <mergeCell ref="G770:G773"/>
    <mergeCell ref="H770:H773"/>
    <mergeCell ref="I770:I773"/>
    <mergeCell ref="J770:J773"/>
    <mergeCell ref="K770:K773"/>
    <mergeCell ref="P770:P773"/>
    <mergeCell ref="Q770:Q773"/>
    <mergeCell ref="R770:R773"/>
    <mergeCell ref="A774:A779"/>
    <mergeCell ref="B774:B779"/>
    <mergeCell ref="C774:C779"/>
    <mergeCell ref="F774:F779"/>
    <mergeCell ref="G774:G779"/>
    <mergeCell ref="H774:H779"/>
    <mergeCell ref="I774:I779"/>
    <mergeCell ref="J774:J779"/>
    <mergeCell ref="K774:K779"/>
    <mergeCell ref="P774:P779"/>
    <mergeCell ref="Q774:Q779"/>
    <mergeCell ref="R774:R779"/>
    <mergeCell ref="A780:A781"/>
    <mergeCell ref="B780:B781"/>
    <mergeCell ref="C780:C781"/>
    <mergeCell ref="F780:F781"/>
    <mergeCell ref="G780:G781"/>
    <mergeCell ref="H780:H781"/>
    <mergeCell ref="I780:I781"/>
    <mergeCell ref="J780:J781"/>
    <mergeCell ref="K780:K781"/>
    <mergeCell ref="P780:P781"/>
    <mergeCell ref="Q780:Q781"/>
    <mergeCell ref="R780:R781"/>
    <mergeCell ref="A782:A784"/>
    <mergeCell ref="B782:B784"/>
    <mergeCell ref="C782:C784"/>
    <mergeCell ref="F782:F784"/>
    <mergeCell ref="G782:G784"/>
    <mergeCell ref="H782:H784"/>
    <mergeCell ref="I782:I784"/>
    <mergeCell ref="J782:J784"/>
    <mergeCell ref="K782:K784"/>
    <mergeCell ref="P782:P784"/>
    <mergeCell ref="Q782:Q784"/>
    <mergeCell ref="R782:R784"/>
    <mergeCell ref="A785:A788"/>
    <mergeCell ref="B785:B788"/>
    <mergeCell ref="C785:C788"/>
    <mergeCell ref="F785:F788"/>
    <mergeCell ref="G785:G788"/>
    <mergeCell ref="H785:H788"/>
    <mergeCell ref="I785:I788"/>
    <mergeCell ref="J785:J788"/>
    <mergeCell ref="K785:K788"/>
    <mergeCell ref="P785:P788"/>
    <mergeCell ref="Q785:Q788"/>
    <mergeCell ref="R785:R788"/>
    <mergeCell ref="A789:A802"/>
    <mergeCell ref="B789:B802"/>
    <mergeCell ref="C789:C802"/>
    <mergeCell ref="F789:F802"/>
    <mergeCell ref="G789:G802"/>
    <mergeCell ref="H789:H802"/>
    <mergeCell ref="I789:I802"/>
    <mergeCell ref="J789:J802"/>
    <mergeCell ref="K789:K802"/>
    <mergeCell ref="P789:P802"/>
    <mergeCell ref="Q789:Q802"/>
    <mergeCell ref="R789:R802"/>
    <mergeCell ref="A804:A806"/>
    <mergeCell ref="B804:B806"/>
    <mergeCell ref="C804:C806"/>
    <mergeCell ref="F804:F806"/>
    <mergeCell ref="G804:G806"/>
    <mergeCell ref="H804:H806"/>
    <mergeCell ref="I804:I806"/>
    <mergeCell ref="J804:J806"/>
    <mergeCell ref="K804:K806"/>
    <mergeCell ref="P804:P806"/>
    <mergeCell ref="Q804:Q806"/>
    <mergeCell ref="R804:R806"/>
    <mergeCell ref="A807:A821"/>
    <mergeCell ref="B807:B821"/>
    <mergeCell ref="C807:C821"/>
    <mergeCell ref="F807:F821"/>
    <mergeCell ref="G807:G821"/>
    <mergeCell ref="H807:H821"/>
    <mergeCell ref="I807:I821"/>
    <mergeCell ref="J807:J821"/>
    <mergeCell ref="K807:K821"/>
    <mergeCell ref="P807:P821"/>
    <mergeCell ref="Q807:Q821"/>
    <mergeCell ref="R807:R821"/>
    <mergeCell ref="A822:A823"/>
    <mergeCell ref="B822:B823"/>
    <mergeCell ref="C822:C823"/>
    <mergeCell ref="F822:F823"/>
    <mergeCell ref="G822:G823"/>
    <mergeCell ref="H822:H823"/>
    <mergeCell ref="I822:I823"/>
    <mergeCell ref="J822:J823"/>
    <mergeCell ref="K822:K823"/>
    <mergeCell ref="P822:P823"/>
    <mergeCell ref="Q822:Q823"/>
    <mergeCell ref="R822:R823"/>
    <mergeCell ref="A824:A825"/>
    <mergeCell ref="B824:B825"/>
    <mergeCell ref="C824:C825"/>
    <mergeCell ref="F824:F825"/>
    <mergeCell ref="G824:G825"/>
    <mergeCell ref="H824:H825"/>
    <mergeCell ref="I824:I825"/>
    <mergeCell ref="J824:J825"/>
    <mergeCell ref="K824:K825"/>
    <mergeCell ref="P824:P825"/>
    <mergeCell ref="Q824:Q825"/>
    <mergeCell ref="R824:R825"/>
    <mergeCell ref="A827:A831"/>
    <mergeCell ref="B827:B831"/>
    <mergeCell ref="C827:C831"/>
    <mergeCell ref="F827:F831"/>
    <mergeCell ref="G827:G831"/>
    <mergeCell ref="H827:H831"/>
    <mergeCell ref="I827:I831"/>
    <mergeCell ref="J827:J831"/>
    <mergeCell ref="K827:K831"/>
    <mergeCell ref="P827:P831"/>
    <mergeCell ref="Q827:Q831"/>
    <mergeCell ref="R827:R831"/>
    <mergeCell ref="A832:A841"/>
    <mergeCell ref="B832:B841"/>
    <mergeCell ref="C832:C841"/>
    <mergeCell ref="F832:F841"/>
    <mergeCell ref="G832:G841"/>
    <mergeCell ref="H832:H841"/>
    <mergeCell ref="I832:I841"/>
    <mergeCell ref="J832:J841"/>
    <mergeCell ref="K832:K841"/>
    <mergeCell ref="P832:P841"/>
    <mergeCell ref="Q832:Q841"/>
    <mergeCell ref="R832:R841"/>
    <mergeCell ref="A843:A846"/>
    <mergeCell ref="B843:B846"/>
    <mergeCell ref="C843:C846"/>
    <mergeCell ref="F843:F846"/>
    <mergeCell ref="G843:G846"/>
    <mergeCell ref="H843:H846"/>
    <mergeCell ref="I843:I846"/>
    <mergeCell ref="J843:J846"/>
    <mergeCell ref="K843:K846"/>
    <mergeCell ref="P843:P846"/>
    <mergeCell ref="Q843:Q846"/>
    <mergeCell ref="R843:R846"/>
    <mergeCell ref="A847:A849"/>
    <mergeCell ref="B847:B849"/>
    <mergeCell ref="C847:C849"/>
    <mergeCell ref="F847:F849"/>
    <mergeCell ref="G847:G849"/>
    <mergeCell ref="H847:H849"/>
    <mergeCell ref="I847:I849"/>
    <mergeCell ref="J847:J849"/>
    <mergeCell ref="K847:K849"/>
    <mergeCell ref="P847:P849"/>
    <mergeCell ref="Q847:Q849"/>
    <mergeCell ref="R847:R849"/>
    <mergeCell ref="A850:A852"/>
    <mergeCell ref="B850:B852"/>
    <mergeCell ref="C850:C852"/>
    <mergeCell ref="F850:F852"/>
    <mergeCell ref="G850:G852"/>
    <mergeCell ref="H850:H852"/>
    <mergeCell ref="I850:I852"/>
    <mergeCell ref="J850:J852"/>
    <mergeCell ref="K850:K852"/>
    <mergeCell ref="P850:P852"/>
    <mergeCell ref="Q850:Q852"/>
    <mergeCell ref="R850:R852"/>
    <mergeCell ref="A853:A855"/>
    <mergeCell ref="B853:B855"/>
    <mergeCell ref="C853:C855"/>
    <mergeCell ref="F853:F855"/>
    <mergeCell ref="G853:G855"/>
    <mergeCell ref="H853:H855"/>
    <mergeCell ref="I853:I855"/>
    <mergeCell ref="J853:J855"/>
    <mergeCell ref="K853:K855"/>
    <mergeCell ref="P853:P855"/>
    <mergeCell ref="Q853:Q855"/>
    <mergeCell ref="R853:R855"/>
    <mergeCell ref="A856:A860"/>
    <mergeCell ref="B856:B860"/>
    <mergeCell ref="C856:C860"/>
    <mergeCell ref="F856:F860"/>
    <mergeCell ref="G856:G860"/>
    <mergeCell ref="H856:H860"/>
    <mergeCell ref="I856:I860"/>
    <mergeCell ref="J856:J860"/>
    <mergeCell ref="K856:K860"/>
    <mergeCell ref="P856:P860"/>
    <mergeCell ref="Q856:Q860"/>
    <mergeCell ref="R856:R860"/>
    <mergeCell ref="A861:A863"/>
    <mergeCell ref="B861:B863"/>
    <mergeCell ref="C861:C863"/>
    <mergeCell ref="F861:F863"/>
    <mergeCell ref="G861:G863"/>
    <mergeCell ref="H861:H863"/>
    <mergeCell ref="I861:I863"/>
    <mergeCell ref="J861:J863"/>
    <mergeCell ref="K861:K863"/>
    <mergeCell ref="P861:P863"/>
    <mergeCell ref="Q861:Q863"/>
    <mergeCell ref="R861:R863"/>
    <mergeCell ref="A869:A873"/>
    <mergeCell ref="B869:B873"/>
    <mergeCell ref="C869:C873"/>
    <mergeCell ref="F869:F873"/>
    <mergeCell ref="G869:G873"/>
    <mergeCell ref="H869:H873"/>
    <mergeCell ref="I869:I873"/>
    <mergeCell ref="J869:J873"/>
    <mergeCell ref="K869:K873"/>
    <mergeCell ref="P869:P873"/>
    <mergeCell ref="Q869:Q873"/>
    <mergeCell ref="R869:R873"/>
    <mergeCell ref="A874:A890"/>
    <mergeCell ref="B874:B890"/>
    <mergeCell ref="C874:C890"/>
    <mergeCell ref="F874:F890"/>
    <mergeCell ref="G874:G890"/>
    <mergeCell ref="H874:H890"/>
    <mergeCell ref="I874:I890"/>
    <mergeCell ref="J874:J890"/>
    <mergeCell ref="K874:K890"/>
    <mergeCell ref="P874:P890"/>
    <mergeCell ref="Q874:Q890"/>
    <mergeCell ref="R874:R890"/>
    <mergeCell ref="A891:A894"/>
    <mergeCell ref="B891:B894"/>
    <mergeCell ref="C891:C894"/>
    <mergeCell ref="F891:F894"/>
    <mergeCell ref="G891:G894"/>
    <mergeCell ref="H891:H894"/>
    <mergeCell ref="I891:I894"/>
    <mergeCell ref="J891:J894"/>
    <mergeCell ref="K891:K894"/>
    <mergeCell ref="P891:P894"/>
    <mergeCell ref="Q891:Q894"/>
    <mergeCell ref="R891:R894"/>
    <mergeCell ref="A895:A899"/>
    <mergeCell ref="B895:B899"/>
    <mergeCell ref="C895:C899"/>
    <mergeCell ref="F895:F899"/>
    <mergeCell ref="G895:G899"/>
    <mergeCell ref="H895:H899"/>
    <mergeCell ref="I895:I899"/>
    <mergeCell ref="J895:J899"/>
    <mergeCell ref="K895:K899"/>
    <mergeCell ref="P895:P899"/>
    <mergeCell ref="Q895:Q899"/>
    <mergeCell ref="R895:R899"/>
    <mergeCell ref="A900:A901"/>
    <mergeCell ref="B900:B901"/>
    <mergeCell ref="C900:C901"/>
    <mergeCell ref="F900:F901"/>
    <mergeCell ref="G900:G901"/>
    <mergeCell ref="H900:H901"/>
    <mergeCell ref="I900:I901"/>
    <mergeCell ref="J900:J901"/>
    <mergeCell ref="K900:K901"/>
    <mergeCell ref="P900:P901"/>
    <mergeCell ref="Q900:Q901"/>
    <mergeCell ref="R900:R901"/>
    <mergeCell ref="A902:A905"/>
    <mergeCell ref="B902:B905"/>
    <mergeCell ref="C902:C905"/>
    <mergeCell ref="F902:F905"/>
    <mergeCell ref="G902:G905"/>
    <mergeCell ref="H902:H905"/>
    <mergeCell ref="I902:I905"/>
    <mergeCell ref="J902:J905"/>
    <mergeCell ref="K902:K905"/>
    <mergeCell ref="P902:P905"/>
    <mergeCell ref="Q902:Q905"/>
    <mergeCell ref="R902:R905"/>
    <mergeCell ref="A906:A913"/>
    <mergeCell ref="B906:B913"/>
    <mergeCell ref="C906:C913"/>
    <mergeCell ref="F906:F913"/>
    <mergeCell ref="G906:G913"/>
    <mergeCell ref="H906:H913"/>
    <mergeCell ref="I906:I913"/>
    <mergeCell ref="J906:J913"/>
    <mergeCell ref="K906:K913"/>
    <mergeCell ref="P906:P913"/>
    <mergeCell ref="Q906:Q913"/>
    <mergeCell ref="R906:R913"/>
    <mergeCell ref="A914:A921"/>
    <mergeCell ref="B914:B921"/>
    <mergeCell ref="C914:C921"/>
    <mergeCell ref="F914:F921"/>
    <mergeCell ref="G914:G921"/>
    <mergeCell ref="H914:H921"/>
    <mergeCell ref="I914:I921"/>
    <mergeCell ref="J914:J921"/>
    <mergeCell ref="K914:K921"/>
    <mergeCell ref="P914:P921"/>
    <mergeCell ref="Q914:Q921"/>
    <mergeCell ref="R914:R921"/>
    <mergeCell ref="A922:A927"/>
    <mergeCell ref="B922:B927"/>
    <mergeCell ref="C922:C927"/>
    <mergeCell ref="F922:F927"/>
    <mergeCell ref="G922:G927"/>
    <mergeCell ref="H922:H927"/>
    <mergeCell ref="I922:I927"/>
    <mergeCell ref="J922:J927"/>
    <mergeCell ref="K922:K927"/>
    <mergeCell ref="P922:P927"/>
    <mergeCell ref="Q922:Q927"/>
    <mergeCell ref="R922:R927"/>
    <mergeCell ref="A928:A934"/>
    <mergeCell ref="B928:B934"/>
    <mergeCell ref="C928:C934"/>
    <mergeCell ref="F928:F934"/>
    <mergeCell ref="G928:G934"/>
    <mergeCell ref="H928:H934"/>
    <mergeCell ref="I928:I934"/>
    <mergeCell ref="J928:J934"/>
    <mergeCell ref="K928:K934"/>
    <mergeCell ref="P928:P934"/>
    <mergeCell ref="Q928:Q934"/>
    <mergeCell ref="R928:R934"/>
    <mergeCell ref="A935:A942"/>
    <mergeCell ref="B935:B942"/>
    <mergeCell ref="C935:C942"/>
    <mergeCell ref="F935:F942"/>
    <mergeCell ref="G935:G942"/>
    <mergeCell ref="H935:H942"/>
    <mergeCell ref="I935:I942"/>
    <mergeCell ref="J935:J942"/>
    <mergeCell ref="K935:K942"/>
    <mergeCell ref="P935:P942"/>
    <mergeCell ref="Q935:Q942"/>
    <mergeCell ref="R935:R942"/>
    <mergeCell ref="A944:A945"/>
    <mergeCell ref="B944:B945"/>
    <mergeCell ref="C944:C945"/>
    <mergeCell ref="F944:F945"/>
    <mergeCell ref="G944:G945"/>
    <mergeCell ref="H944:H945"/>
    <mergeCell ref="I944:I945"/>
    <mergeCell ref="J944:J945"/>
    <mergeCell ref="K944:K945"/>
    <mergeCell ref="P944:P945"/>
    <mergeCell ref="Q944:Q945"/>
    <mergeCell ref="R944:R945"/>
    <mergeCell ref="A946:A951"/>
    <mergeCell ref="B946:B951"/>
    <mergeCell ref="C946:C951"/>
    <mergeCell ref="F946:F951"/>
    <mergeCell ref="G946:G951"/>
    <mergeCell ref="H946:H951"/>
    <mergeCell ref="I946:I951"/>
    <mergeCell ref="J946:J951"/>
    <mergeCell ref="K946:K951"/>
    <mergeCell ref="P946:P951"/>
    <mergeCell ref="Q946:Q951"/>
    <mergeCell ref="R946:R951"/>
    <mergeCell ref="A952:A955"/>
    <mergeCell ref="B952:B955"/>
    <mergeCell ref="C952:C955"/>
    <mergeCell ref="F952:F955"/>
    <mergeCell ref="G952:G955"/>
    <mergeCell ref="H952:H955"/>
    <mergeCell ref="I952:I955"/>
    <mergeCell ref="J952:J955"/>
    <mergeCell ref="K952:K955"/>
    <mergeCell ref="P952:P955"/>
    <mergeCell ref="Q952:Q955"/>
    <mergeCell ref="R952:R955"/>
    <mergeCell ref="A956:A957"/>
    <mergeCell ref="B956:B957"/>
    <mergeCell ref="C956:C957"/>
    <mergeCell ref="F956:F957"/>
    <mergeCell ref="G956:G957"/>
    <mergeCell ref="H956:H957"/>
    <mergeCell ref="I956:I957"/>
    <mergeCell ref="J956:J957"/>
    <mergeCell ref="K956:K957"/>
    <mergeCell ref="P956:P957"/>
    <mergeCell ref="Q956:Q957"/>
    <mergeCell ref="R956:R957"/>
    <mergeCell ref="A958:A963"/>
    <mergeCell ref="B958:B963"/>
    <mergeCell ref="C958:C963"/>
    <mergeCell ref="F958:F963"/>
    <mergeCell ref="G958:G963"/>
    <mergeCell ref="H958:H963"/>
    <mergeCell ref="I958:I963"/>
    <mergeCell ref="J958:J963"/>
    <mergeCell ref="K958:K963"/>
    <mergeCell ref="P958:P963"/>
    <mergeCell ref="Q958:Q963"/>
    <mergeCell ref="R958:R963"/>
    <mergeCell ref="A964:A966"/>
    <mergeCell ref="B964:B966"/>
    <mergeCell ref="C964:C966"/>
    <mergeCell ref="F964:F966"/>
    <mergeCell ref="G964:G966"/>
    <mergeCell ref="H964:H966"/>
    <mergeCell ref="I964:I966"/>
    <mergeCell ref="J964:J966"/>
    <mergeCell ref="K964:K966"/>
    <mergeCell ref="P964:P966"/>
    <mergeCell ref="Q964:Q966"/>
    <mergeCell ref="R964:R966"/>
    <mergeCell ref="A967:A969"/>
    <mergeCell ref="B967:B969"/>
    <mergeCell ref="C967:C969"/>
    <mergeCell ref="F967:F969"/>
    <mergeCell ref="G967:G969"/>
    <mergeCell ref="H967:H969"/>
    <mergeCell ref="I967:I969"/>
    <mergeCell ref="J967:J969"/>
    <mergeCell ref="K967:K969"/>
    <mergeCell ref="P967:P969"/>
    <mergeCell ref="Q967:Q969"/>
    <mergeCell ref="R967:R969"/>
    <mergeCell ref="A971:A973"/>
    <mergeCell ref="B971:B973"/>
    <mergeCell ref="C971:C973"/>
    <mergeCell ref="F971:F973"/>
    <mergeCell ref="G971:G973"/>
    <mergeCell ref="H971:H973"/>
    <mergeCell ref="I971:I973"/>
    <mergeCell ref="J971:J973"/>
    <mergeCell ref="K971:K973"/>
    <mergeCell ref="P971:P973"/>
    <mergeCell ref="Q971:Q973"/>
    <mergeCell ref="R971:R973"/>
    <mergeCell ref="A974:A976"/>
    <mergeCell ref="B974:B976"/>
    <mergeCell ref="C974:C976"/>
    <mergeCell ref="F974:F976"/>
    <mergeCell ref="G974:G976"/>
    <mergeCell ref="H974:H976"/>
    <mergeCell ref="I974:I976"/>
    <mergeCell ref="J974:J976"/>
    <mergeCell ref="K974:K976"/>
    <mergeCell ref="P974:P976"/>
    <mergeCell ref="Q974:Q976"/>
    <mergeCell ref="R974:R976"/>
    <mergeCell ref="A977:A979"/>
    <mergeCell ref="B977:B979"/>
    <mergeCell ref="C977:C979"/>
    <mergeCell ref="F977:F979"/>
    <mergeCell ref="G977:G979"/>
    <mergeCell ref="H977:H979"/>
    <mergeCell ref="I977:I979"/>
    <mergeCell ref="J977:J979"/>
    <mergeCell ref="K977:K979"/>
    <mergeCell ref="P977:P979"/>
    <mergeCell ref="Q977:Q979"/>
    <mergeCell ref="R977:R979"/>
    <mergeCell ref="A980:A982"/>
    <mergeCell ref="B980:B982"/>
    <mergeCell ref="C980:C982"/>
    <mergeCell ref="F980:F982"/>
    <mergeCell ref="G980:G982"/>
    <mergeCell ref="H980:H982"/>
    <mergeCell ref="I980:I982"/>
    <mergeCell ref="J980:J982"/>
    <mergeCell ref="K980:K982"/>
    <mergeCell ref="P980:P982"/>
    <mergeCell ref="Q980:Q982"/>
    <mergeCell ref="R980:R982"/>
    <mergeCell ref="A983:A984"/>
    <mergeCell ref="B983:B984"/>
    <mergeCell ref="C983:C984"/>
    <mergeCell ref="F983:F984"/>
    <mergeCell ref="G983:G984"/>
    <mergeCell ref="H983:H984"/>
    <mergeCell ref="I983:I984"/>
    <mergeCell ref="J983:J984"/>
    <mergeCell ref="K983:K984"/>
    <mergeCell ref="P983:P984"/>
    <mergeCell ref="Q983:Q984"/>
    <mergeCell ref="R983:R984"/>
    <mergeCell ref="A985:A988"/>
    <mergeCell ref="B985:B988"/>
    <mergeCell ref="C985:C988"/>
    <mergeCell ref="F985:F988"/>
    <mergeCell ref="G985:G988"/>
    <mergeCell ref="H985:H988"/>
    <mergeCell ref="I985:I988"/>
    <mergeCell ref="J985:J988"/>
    <mergeCell ref="K985:K988"/>
    <mergeCell ref="P985:P988"/>
    <mergeCell ref="Q985:Q988"/>
    <mergeCell ref="R985:R988"/>
    <mergeCell ref="A989:A991"/>
    <mergeCell ref="B989:B991"/>
    <mergeCell ref="C989:C991"/>
    <mergeCell ref="F989:F991"/>
    <mergeCell ref="G989:G991"/>
    <mergeCell ref="H989:H991"/>
    <mergeCell ref="I989:I991"/>
    <mergeCell ref="J989:J991"/>
    <mergeCell ref="K989:K991"/>
    <mergeCell ref="P989:P991"/>
    <mergeCell ref="Q989:Q991"/>
    <mergeCell ref="R989:R991"/>
    <mergeCell ref="A993:A996"/>
    <mergeCell ref="B993:B996"/>
    <mergeCell ref="C993:C996"/>
    <mergeCell ref="F993:F996"/>
    <mergeCell ref="G993:G996"/>
    <mergeCell ref="H993:H996"/>
    <mergeCell ref="I993:I996"/>
    <mergeCell ref="J993:J996"/>
    <mergeCell ref="K993:K996"/>
    <mergeCell ref="P993:P996"/>
    <mergeCell ref="Q993:Q996"/>
    <mergeCell ref="R993:R996"/>
    <mergeCell ref="A999:A1005"/>
    <mergeCell ref="B999:B1005"/>
    <mergeCell ref="C999:C1005"/>
    <mergeCell ref="F999:F1005"/>
    <mergeCell ref="G999:G1005"/>
    <mergeCell ref="H999:H1005"/>
    <mergeCell ref="I999:I1005"/>
    <mergeCell ref="J999:J1005"/>
    <mergeCell ref="K999:K1005"/>
    <mergeCell ref="P999:P1005"/>
    <mergeCell ref="Q999:Q1005"/>
    <mergeCell ref="R999:R1005"/>
    <mergeCell ref="A1007:A1011"/>
    <mergeCell ref="B1007:B1011"/>
    <mergeCell ref="C1007:C1011"/>
    <mergeCell ref="F1007:F1011"/>
    <mergeCell ref="G1007:G1011"/>
    <mergeCell ref="H1007:H1011"/>
    <mergeCell ref="I1007:I1011"/>
    <mergeCell ref="J1007:J1011"/>
    <mergeCell ref="K1007:K1011"/>
    <mergeCell ref="P1007:P1011"/>
    <mergeCell ref="Q1007:Q1011"/>
    <mergeCell ref="R1007:R1011"/>
    <mergeCell ref="A1012:A1021"/>
    <mergeCell ref="B1012:B1021"/>
    <mergeCell ref="C1012:C1021"/>
    <mergeCell ref="F1012:F1021"/>
    <mergeCell ref="G1012:G1021"/>
    <mergeCell ref="H1012:H1021"/>
    <mergeCell ref="I1012:I1021"/>
    <mergeCell ref="J1012:J1021"/>
    <mergeCell ref="K1012:K1021"/>
    <mergeCell ref="P1012:P1021"/>
    <mergeCell ref="Q1012:Q1021"/>
    <mergeCell ref="R1012:R1021"/>
    <mergeCell ref="A1023:A1025"/>
    <mergeCell ref="B1023:B1025"/>
    <mergeCell ref="C1023:C1025"/>
    <mergeCell ref="F1023:F1025"/>
    <mergeCell ref="G1023:G1025"/>
    <mergeCell ref="H1023:H1025"/>
    <mergeCell ref="I1023:I1025"/>
    <mergeCell ref="J1023:J1025"/>
    <mergeCell ref="K1023:K1025"/>
    <mergeCell ref="P1023:P1025"/>
    <mergeCell ref="Q1023:Q1025"/>
    <mergeCell ref="R1023:R1025"/>
    <mergeCell ref="A1027:A1037"/>
    <mergeCell ref="B1027:B1037"/>
    <mergeCell ref="C1027:C1037"/>
    <mergeCell ref="F1027:F1037"/>
    <mergeCell ref="G1027:G1037"/>
    <mergeCell ref="H1027:H1037"/>
    <mergeCell ref="I1027:I1037"/>
    <mergeCell ref="J1027:J1037"/>
    <mergeCell ref="K1027:K1037"/>
    <mergeCell ref="P1027:P1037"/>
    <mergeCell ref="Q1027:Q1037"/>
    <mergeCell ref="R1027:R1037"/>
    <mergeCell ref="A1038:A1043"/>
    <mergeCell ref="B1038:B1043"/>
    <mergeCell ref="C1038:C1043"/>
    <mergeCell ref="F1038:F1043"/>
    <mergeCell ref="G1038:G1043"/>
    <mergeCell ref="H1038:H1043"/>
    <mergeCell ref="I1038:I1043"/>
    <mergeCell ref="J1038:J1043"/>
    <mergeCell ref="K1038:K1043"/>
    <mergeCell ref="P1038:P1043"/>
    <mergeCell ref="Q1038:Q1043"/>
    <mergeCell ref="R1038:R1043"/>
    <mergeCell ref="A1044:A1045"/>
    <mergeCell ref="B1044:B1045"/>
    <mergeCell ref="C1044:C1045"/>
    <mergeCell ref="F1044:F1045"/>
    <mergeCell ref="G1044:G1045"/>
    <mergeCell ref="H1044:H1045"/>
    <mergeCell ref="I1044:I1045"/>
    <mergeCell ref="J1044:J1045"/>
    <mergeCell ref="K1044:K1045"/>
    <mergeCell ref="P1044:P1045"/>
    <mergeCell ref="Q1044:Q1045"/>
    <mergeCell ref="R1044:R1045"/>
    <mergeCell ref="A1046:A1048"/>
    <mergeCell ref="B1046:B1048"/>
    <mergeCell ref="C1046:C1048"/>
    <mergeCell ref="F1046:F1048"/>
    <mergeCell ref="G1046:G1048"/>
    <mergeCell ref="H1046:H1048"/>
    <mergeCell ref="I1046:I1048"/>
    <mergeCell ref="J1046:J1048"/>
    <mergeCell ref="K1046:K1048"/>
    <mergeCell ref="P1046:P1048"/>
    <mergeCell ref="Q1046:Q1048"/>
    <mergeCell ref="R1046:R1048"/>
    <mergeCell ref="A1049:A1053"/>
    <mergeCell ref="B1049:B1053"/>
    <mergeCell ref="C1049:C1053"/>
    <mergeCell ref="F1049:F1053"/>
    <mergeCell ref="G1049:G1053"/>
    <mergeCell ref="H1049:H1053"/>
    <mergeCell ref="I1049:I1053"/>
    <mergeCell ref="J1049:J1053"/>
    <mergeCell ref="K1049:K1053"/>
    <mergeCell ref="P1049:P1053"/>
    <mergeCell ref="Q1049:Q1053"/>
    <mergeCell ref="R1049:R1053"/>
    <mergeCell ref="A1054:A1058"/>
    <mergeCell ref="B1054:B1058"/>
    <mergeCell ref="C1054:C1058"/>
    <mergeCell ref="F1054:F1058"/>
    <mergeCell ref="G1054:G1058"/>
    <mergeCell ref="H1054:H1058"/>
    <mergeCell ref="I1054:I1058"/>
    <mergeCell ref="J1054:J1058"/>
    <mergeCell ref="K1054:K1058"/>
    <mergeCell ref="P1054:P1058"/>
    <mergeCell ref="Q1054:Q1058"/>
    <mergeCell ref="R1054:R1058"/>
    <mergeCell ref="A1059:A1061"/>
    <mergeCell ref="B1059:B1061"/>
    <mergeCell ref="C1059:C1061"/>
    <mergeCell ref="F1059:F1061"/>
    <mergeCell ref="G1059:G1061"/>
    <mergeCell ref="H1059:H1061"/>
    <mergeCell ref="I1059:I1061"/>
    <mergeCell ref="J1059:J1061"/>
    <mergeCell ref="K1059:K1061"/>
    <mergeCell ref="P1059:P1061"/>
    <mergeCell ref="Q1059:Q1061"/>
    <mergeCell ref="R1059:R1061"/>
    <mergeCell ref="A1062:A1063"/>
    <mergeCell ref="B1062:B1063"/>
    <mergeCell ref="C1062:C1063"/>
    <mergeCell ref="F1062:F1063"/>
    <mergeCell ref="G1062:G1063"/>
    <mergeCell ref="H1062:H1063"/>
    <mergeCell ref="I1062:I1063"/>
    <mergeCell ref="J1062:J1063"/>
    <mergeCell ref="K1062:K1063"/>
    <mergeCell ref="P1062:P1063"/>
    <mergeCell ref="Q1062:Q1063"/>
    <mergeCell ref="R1062:R1063"/>
    <mergeCell ref="A1065:A1068"/>
    <mergeCell ref="B1065:B1068"/>
    <mergeCell ref="C1065:C1068"/>
    <mergeCell ref="F1065:F1068"/>
    <mergeCell ref="G1065:G1068"/>
    <mergeCell ref="H1065:H1068"/>
    <mergeCell ref="I1065:I1068"/>
    <mergeCell ref="J1065:J1068"/>
    <mergeCell ref="K1065:K1068"/>
    <mergeCell ref="P1065:P1068"/>
    <mergeCell ref="Q1065:Q1068"/>
    <mergeCell ref="R1065:R1068"/>
    <mergeCell ref="A1069:A1071"/>
    <mergeCell ref="B1069:B1071"/>
    <mergeCell ref="C1069:C1071"/>
    <mergeCell ref="F1069:F1071"/>
    <mergeCell ref="G1069:G1071"/>
    <mergeCell ref="H1069:H1071"/>
    <mergeCell ref="I1069:I1071"/>
    <mergeCell ref="J1069:J1071"/>
    <mergeCell ref="K1069:K1071"/>
    <mergeCell ref="P1069:P1071"/>
    <mergeCell ref="Q1069:Q1071"/>
    <mergeCell ref="R1069:R1071"/>
    <mergeCell ref="A1072:A1073"/>
    <mergeCell ref="B1072:B1073"/>
    <mergeCell ref="C1072:C1073"/>
    <mergeCell ref="F1072:F1073"/>
    <mergeCell ref="G1072:G1073"/>
    <mergeCell ref="H1072:H1073"/>
    <mergeCell ref="I1072:I1073"/>
    <mergeCell ref="J1072:J1073"/>
    <mergeCell ref="K1072:K1073"/>
    <mergeCell ref="P1072:P1073"/>
    <mergeCell ref="Q1072:Q1073"/>
    <mergeCell ref="R1072:R1073"/>
    <mergeCell ref="A1075:A1078"/>
    <mergeCell ref="B1075:B1078"/>
    <mergeCell ref="C1075:C1078"/>
    <mergeCell ref="F1075:F1078"/>
    <mergeCell ref="G1075:G1078"/>
    <mergeCell ref="H1075:H1078"/>
    <mergeCell ref="I1075:I1078"/>
    <mergeCell ref="J1075:J1078"/>
    <mergeCell ref="K1075:K1078"/>
    <mergeCell ref="P1075:P1078"/>
    <mergeCell ref="Q1075:Q1078"/>
    <mergeCell ref="R1075:R1078"/>
    <mergeCell ref="A1079:A1081"/>
    <mergeCell ref="B1079:B1081"/>
    <mergeCell ref="C1079:C1081"/>
    <mergeCell ref="F1079:F1081"/>
    <mergeCell ref="G1079:G1081"/>
    <mergeCell ref="H1079:H1081"/>
    <mergeCell ref="I1079:I1081"/>
    <mergeCell ref="J1079:J1081"/>
    <mergeCell ref="K1079:K1081"/>
    <mergeCell ref="P1079:P1081"/>
    <mergeCell ref="Q1079:Q1081"/>
    <mergeCell ref="R1079:R1081"/>
    <mergeCell ref="A1082:A1089"/>
    <mergeCell ref="B1082:B1089"/>
    <mergeCell ref="C1082:C1089"/>
    <mergeCell ref="F1082:F1089"/>
    <mergeCell ref="G1082:G1089"/>
    <mergeCell ref="H1082:H1089"/>
    <mergeCell ref="I1082:I1089"/>
    <mergeCell ref="J1082:J1089"/>
    <mergeCell ref="K1082:K1089"/>
    <mergeCell ref="P1082:P1089"/>
    <mergeCell ref="Q1082:Q1089"/>
    <mergeCell ref="R1082:R1089"/>
    <mergeCell ref="A1091:A1099"/>
    <mergeCell ref="B1091:B1099"/>
    <mergeCell ref="C1091:C1099"/>
    <mergeCell ref="F1091:F1099"/>
    <mergeCell ref="G1091:G1099"/>
    <mergeCell ref="H1091:H1099"/>
    <mergeCell ref="I1091:I1099"/>
    <mergeCell ref="J1091:J1099"/>
    <mergeCell ref="K1091:K1099"/>
    <mergeCell ref="P1091:P1099"/>
    <mergeCell ref="Q1091:Q1099"/>
    <mergeCell ref="R1091:R1099"/>
    <mergeCell ref="A1101:A1102"/>
    <mergeCell ref="B1101:B1102"/>
    <mergeCell ref="C1101:C1102"/>
    <mergeCell ref="F1101:F1102"/>
    <mergeCell ref="G1101:G1102"/>
    <mergeCell ref="H1101:H1102"/>
    <mergeCell ref="I1101:I1102"/>
    <mergeCell ref="J1101:J1102"/>
    <mergeCell ref="K1101:K1102"/>
    <mergeCell ref="P1101:P1102"/>
    <mergeCell ref="Q1101:Q1102"/>
    <mergeCell ref="R1101:R1102"/>
    <mergeCell ref="A1103:A1108"/>
    <mergeCell ref="B1103:B1108"/>
    <mergeCell ref="C1103:C1108"/>
    <mergeCell ref="F1103:F1108"/>
    <mergeCell ref="G1103:G1108"/>
    <mergeCell ref="H1103:H1108"/>
    <mergeCell ref="I1103:I1108"/>
    <mergeCell ref="J1103:J1108"/>
    <mergeCell ref="K1103:K1108"/>
    <mergeCell ref="P1103:P1108"/>
    <mergeCell ref="Q1103:Q1108"/>
    <mergeCell ref="R1103:R1108"/>
    <mergeCell ref="A1111:A1112"/>
    <mergeCell ref="B1111:B1112"/>
    <mergeCell ref="C1111:C1112"/>
    <mergeCell ref="F1111:F1112"/>
    <mergeCell ref="G1111:G1112"/>
    <mergeCell ref="H1111:H1112"/>
    <mergeCell ref="I1111:I1112"/>
    <mergeCell ref="J1111:J1112"/>
    <mergeCell ref="K1111:K1112"/>
    <mergeCell ref="P1111:P1112"/>
    <mergeCell ref="Q1111:Q1112"/>
    <mergeCell ref="R1111:R1112"/>
    <mergeCell ref="A1114:A1115"/>
    <mergeCell ref="B1114:B1115"/>
    <mergeCell ref="C1114:C1115"/>
    <mergeCell ref="F1114:F1115"/>
    <mergeCell ref="G1114:G1115"/>
    <mergeCell ref="H1114:H1115"/>
    <mergeCell ref="I1114:I1115"/>
    <mergeCell ref="J1114:J1115"/>
    <mergeCell ref="K1114:K1115"/>
    <mergeCell ref="P1114:P1115"/>
    <mergeCell ref="Q1114:Q1115"/>
    <mergeCell ref="R1114:R1115"/>
    <mergeCell ref="A1118:A1124"/>
    <mergeCell ref="B1118:B1124"/>
    <mergeCell ref="C1118:C1124"/>
    <mergeCell ref="F1118:F1124"/>
    <mergeCell ref="G1118:G1124"/>
    <mergeCell ref="H1118:H1124"/>
    <mergeCell ref="I1118:I1124"/>
    <mergeCell ref="J1118:J1124"/>
    <mergeCell ref="K1118:K1124"/>
    <mergeCell ref="P1118:P1124"/>
    <mergeCell ref="Q1118:Q1124"/>
    <mergeCell ref="R1118:R1124"/>
    <mergeCell ref="A1125:A1128"/>
    <mergeCell ref="B1125:B1128"/>
    <mergeCell ref="C1125:C1128"/>
    <mergeCell ref="F1125:F1128"/>
    <mergeCell ref="G1125:G1128"/>
    <mergeCell ref="H1125:H1128"/>
    <mergeCell ref="I1125:I1128"/>
    <mergeCell ref="J1125:J1128"/>
    <mergeCell ref="K1125:K1128"/>
    <mergeCell ref="P1125:P1128"/>
    <mergeCell ref="Q1125:Q1128"/>
    <mergeCell ref="R1125:R1128"/>
    <mergeCell ref="A1129:A1134"/>
    <mergeCell ref="B1129:B1134"/>
    <mergeCell ref="C1129:C1134"/>
    <mergeCell ref="F1129:F1134"/>
    <mergeCell ref="G1129:G1134"/>
    <mergeCell ref="H1129:H1134"/>
    <mergeCell ref="I1129:I1134"/>
    <mergeCell ref="J1129:J1134"/>
    <mergeCell ref="K1129:K1134"/>
    <mergeCell ref="P1129:P1134"/>
    <mergeCell ref="Q1129:Q1134"/>
    <mergeCell ref="R1129:R1134"/>
    <mergeCell ref="A1135:A1139"/>
    <mergeCell ref="B1135:B1139"/>
    <mergeCell ref="C1135:C1139"/>
    <mergeCell ref="F1135:F1139"/>
    <mergeCell ref="G1135:G1139"/>
    <mergeCell ref="H1135:H1139"/>
    <mergeCell ref="I1135:I1139"/>
    <mergeCell ref="J1135:J1139"/>
    <mergeCell ref="K1135:K1139"/>
    <mergeCell ref="P1135:P1139"/>
    <mergeCell ref="Q1135:Q1139"/>
    <mergeCell ref="R1135:R1139"/>
    <mergeCell ref="A1141:A1148"/>
    <mergeCell ref="B1141:B1148"/>
    <mergeCell ref="C1141:C1148"/>
    <mergeCell ref="F1141:F1148"/>
    <mergeCell ref="G1141:G1148"/>
    <mergeCell ref="H1141:H1148"/>
    <mergeCell ref="I1141:I1148"/>
    <mergeCell ref="J1141:J1148"/>
    <mergeCell ref="K1141:K1148"/>
    <mergeCell ref="P1141:P1148"/>
    <mergeCell ref="Q1141:Q1148"/>
    <mergeCell ref="R1141:R1148"/>
    <mergeCell ref="A1150:A1153"/>
    <mergeCell ref="B1150:B1153"/>
    <mergeCell ref="C1150:C1153"/>
    <mergeCell ref="F1150:F1153"/>
    <mergeCell ref="G1150:G1153"/>
    <mergeCell ref="H1150:H1153"/>
    <mergeCell ref="I1150:I1153"/>
    <mergeCell ref="J1150:J1153"/>
    <mergeCell ref="K1150:K1153"/>
    <mergeCell ref="P1150:P1153"/>
    <mergeCell ref="Q1150:Q1153"/>
    <mergeCell ref="R1150:R1153"/>
    <mergeCell ref="A1154:A1156"/>
    <mergeCell ref="B1154:B1156"/>
    <mergeCell ref="C1154:C1156"/>
    <mergeCell ref="F1154:F1156"/>
    <mergeCell ref="G1154:G1156"/>
    <mergeCell ref="H1154:H1156"/>
    <mergeCell ref="I1154:I1156"/>
    <mergeCell ref="J1154:J1156"/>
    <mergeCell ref="K1154:K1156"/>
    <mergeCell ref="P1154:P1156"/>
    <mergeCell ref="Q1154:Q1156"/>
    <mergeCell ref="R1154:R1156"/>
    <mergeCell ref="A1157:A1159"/>
    <mergeCell ref="B1157:B1159"/>
    <mergeCell ref="C1157:C1159"/>
    <mergeCell ref="F1157:F1159"/>
    <mergeCell ref="G1157:G1159"/>
    <mergeCell ref="H1157:H1159"/>
    <mergeCell ref="I1157:I1159"/>
    <mergeCell ref="J1157:J1159"/>
    <mergeCell ref="K1157:K1159"/>
    <mergeCell ref="P1157:P1159"/>
    <mergeCell ref="Q1157:Q1159"/>
    <mergeCell ref="R1157:R1159"/>
    <mergeCell ref="A1160:A1171"/>
    <mergeCell ref="B1160:B1171"/>
    <mergeCell ref="C1160:C1171"/>
    <mergeCell ref="F1160:F1171"/>
    <mergeCell ref="G1160:G1171"/>
    <mergeCell ref="H1160:H1171"/>
    <mergeCell ref="I1160:I1171"/>
    <mergeCell ref="J1160:J1171"/>
    <mergeCell ref="K1160:K1171"/>
    <mergeCell ref="P1160:P1171"/>
    <mergeCell ref="Q1160:Q1171"/>
    <mergeCell ref="R1160:R1171"/>
    <mergeCell ref="A1172:A1173"/>
    <mergeCell ref="B1172:B1173"/>
    <mergeCell ref="C1172:C1173"/>
    <mergeCell ref="F1172:F1173"/>
    <mergeCell ref="G1172:G1173"/>
    <mergeCell ref="H1172:H1173"/>
    <mergeCell ref="I1172:I1173"/>
    <mergeCell ref="J1172:J1173"/>
    <mergeCell ref="K1172:K1173"/>
    <mergeCell ref="P1172:P1173"/>
    <mergeCell ref="Q1172:Q1173"/>
    <mergeCell ref="R1172:R1173"/>
    <mergeCell ref="A1174:A1178"/>
    <mergeCell ref="B1174:B1178"/>
    <mergeCell ref="C1174:C1178"/>
    <mergeCell ref="F1174:F1178"/>
    <mergeCell ref="G1174:G1178"/>
    <mergeCell ref="H1174:H1178"/>
    <mergeCell ref="I1174:I1178"/>
    <mergeCell ref="J1174:J1178"/>
    <mergeCell ref="K1174:K1178"/>
    <mergeCell ref="P1174:P1178"/>
    <mergeCell ref="Q1174:Q1178"/>
    <mergeCell ref="R1174:R1178"/>
    <mergeCell ref="A1179:A1185"/>
    <mergeCell ref="B1179:B1185"/>
    <mergeCell ref="C1179:C1185"/>
    <mergeCell ref="F1179:F1185"/>
    <mergeCell ref="G1179:G1185"/>
    <mergeCell ref="H1179:H1185"/>
    <mergeCell ref="I1179:I1185"/>
    <mergeCell ref="J1179:J1185"/>
    <mergeCell ref="K1179:K1185"/>
    <mergeCell ref="P1179:P1185"/>
    <mergeCell ref="Q1179:Q1185"/>
    <mergeCell ref="R1179:R1185"/>
    <mergeCell ref="A1186:A1193"/>
    <mergeCell ref="B1186:B1193"/>
    <mergeCell ref="C1186:C1193"/>
    <mergeCell ref="F1186:F1193"/>
    <mergeCell ref="G1186:G1193"/>
    <mergeCell ref="H1186:H1193"/>
    <mergeCell ref="I1186:I1193"/>
    <mergeCell ref="J1186:J1193"/>
    <mergeCell ref="K1186:K1193"/>
    <mergeCell ref="P1186:P1193"/>
    <mergeCell ref="Q1186:Q1193"/>
    <mergeCell ref="R1186:R1193"/>
    <mergeCell ref="A1194:A1199"/>
    <mergeCell ref="B1194:B1199"/>
    <mergeCell ref="C1194:C1199"/>
    <mergeCell ref="F1194:F1199"/>
    <mergeCell ref="G1194:G1199"/>
    <mergeCell ref="H1194:H1199"/>
    <mergeCell ref="I1194:I1199"/>
    <mergeCell ref="J1194:J1199"/>
    <mergeCell ref="K1194:K1199"/>
    <mergeCell ref="P1194:P1199"/>
    <mergeCell ref="Q1194:Q1199"/>
    <mergeCell ref="R1194:R1199"/>
    <mergeCell ref="A1200:A1203"/>
    <mergeCell ref="B1200:B1203"/>
    <mergeCell ref="C1200:C1203"/>
    <mergeCell ref="F1200:F1203"/>
    <mergeCell ref="G1200:G1203"/>
    <mergeCell ref="H1200:H1203"/>
    <mergeCell ref="I1200:I1203"/>
    <mergeCell ref="J1200:J1203"/>
    <mergeCell ref="K1200:K1203"/>
    <mergeCell ref="P1200:P1203"/>
    <mergeCell ref="Q1200:Q1203"/>
    <mergeCell ref="R1200:R1203"/>
    <mergeCell ref="A1204:A1217"/>
    <mergeCell ref="B1204:B1217"/>
    <mergeCell ref="C1204:C1217"/>
    <mergeCell ref="F1204:F1217"/>
    <mergeCell ref="G1204:G1217"/>
    <mergeCell ref="H1204:H1217"/>
    <mergeCell ref="I1204:I1217"/>
    <mergeCell ref="J1204:J1217"/>
    <mergeCell ref="K1204:K1217"/>
    <mergeCell ref="P1204:P1217"/>
    <mergeCell ref="Q1204:Q1217"/>
    <mergeCell ref="R1204:R1217"/>
    <mergeCell ref="A1218:A1220"/>
    <mergeCell ref="B1218:B1220"/>
    <mergeCell ref="C1218:C1220"/>
    <mergeCell ref="F1218:F1220"/>
    <mergeCell ref="G1218:G1220"/>
    <mergeCell ref="H1218:H1220"/>
    <mergeCell ref="I1218:I1220"/>
    <mergeCell ref="J1218:J1220"/>
    <mergeCell ref="K1218:K1220"/>
    <mergeCell ref="P1218:P1220"/>
    <mergeCell ref="Q1218:Q1220"/>
    <mergeCell ref="R1218:R1220"/>
    <mergeCell ref="A1221:A1223"/>
    <mergeCell ref="B1221:B1223"/>
    <mergeCell ref="C1221:C1223"/>
    <mergeCell ref="F1221:F1223"/>
    <mergeCell ref="G1221:G1223"/>
    <mergeCell ref="H1221:H1223"/>
    <mergeCell ref="I1221:I1223"/>
    <mergeCell ref="J1221:J1223"/>
    <mergeCell ref="K1221:K1223"/>
    <mergeCell ref="P1221:P1223"/>
    <mergeCell ref="Q1221:Q1223"/>
    <mergeCell ref="R1221:R1223"/>
    <mergeCell ref="A1224:A1226"/>
    <mergeCell ref="B1224:B1226"/>
    <mergeCell ref="C1224:C1226"/>
    <mergeCell ref="F1224:F1226"/>
    <mergeCell ref="G1224:G1226"/>
    <mergeCell ref="H1224:H1226"/>
    <mergeCell ref="I1224:I1226"/>
    <mergeCell ref="J1224:J1226"/>
    <mergeCell ref="K1224:K1226"/>
    <mergeCell ref="P1224:P1226"/>
    <mergeCell ref="Q1224:Q1226"/>
    <mergeCell ref="R1224:R1226"/>
    <mergeCell ref="A1227:A1232"/>
    <mergeCell ref="B1227:B1232"/>
    <mergeCell ref="C1227:C1232"/>
    <mergeCell ref="F1227:F1232"/>
    <mergeCell ref="G1227:G1232"/>
    <mergeCell ref="H1227:H1232"/>
    <mergeCell ref="I1227:I1232"/>
    <mergeCell ref="J1227:J1232"/>
    <mergeCell ref="K1227:K1232"/>
    <mergeCell ref="P1227:P1232"/>
    <mergeCell ref="Q1227:Q1232"/>
    <mergeCell ref="R1227:R1232"/>
    <mergeCell ref="A1235:A1251"/>
    <mergeCell ref="B1235:B1251"/>
    <mergeCell ref="C1235:C1251"/>
    <mergeCell ref="F1235:F1251"/>
    <mergeCell ref="G1235:G1251"/>
    <mergeCell ref="H1235:H1251"/>
    <mergeCell ref="I1235:I1251"/>
    <mergeCell ref="J1235:J1251"/>
    <mergeCell ref="K1235:K1251"/>
    <mergeCell ref="P1235:P1251"/>
    <mergeCell ref="Q1235:Q1251"/>
    <mergeCell ref="R1235:R1251"/>
    <mergeCell ref="A1252:A1253"/>
    <mergeCell ref="B1252:B1253"/>
    <mergeCell ref="C1252:C1253"/>
    <mergeCell ref="F1252:F1253"/>
    <mergeCell ref="G1252:G1253"/>
    <mergeCell ref="H1252:H1253"/>
    <mergeCell ref="I1252:I1253"/>
    <mergeCell ref="J1252:J1253"/>
    <mergeCell ref="K1252:K1253"/>
    <mergeCell ref="P1252:P1253"/>
    <mergeCell ref="Q1252:Q1253"/>
    <mergeCell ref="R1252:R1253"/>
    <mergeCell ref="A1254:A1256"/>
    <mergeCell ref="B1254:B1256"/>
    <mergeCell ref="C1254:C1256"/>
    <mergeCell ref="F1254:F1256"/>
    <mergeCell ref="G1254:G1256"/>
    <mergeCell ref="H1254:H1256"/>
    <mergeCell ref="I1254:I1256"/>
    <mergeCell ref="J1254:J1256"/>
    <mergeCell ref="K1254:K1256"/>
    <mergeCell ref="P1254:P1256"/>
    <mergeCell ref="Q1254:Q1256"/>
    <mergeCell ref="R1254:R1256"/>
    <mergeCell ref="A1258:A1259"/>
    <mergeCell ref="B1258:B1259"/>
    <mergeCell ref="C1258:C1259"/>
    <mergeCell ref="F1258:F1259"/>
    <mergeCell ref="G1258:G1259"/>
    <mergeCell ref="H1258:H1259"/>
    <mergeCell ref="I1258:I1259"/>
    <mergeCell ref="J1258:J1259"/>
    <mergeCell ref="K1258:K1259"/>
    <mergeCell ref="P1258:P1259"/>
    <mergeCell ref="Q1258:Q1259"/>
    <mergeCell ref="R1258:R1259"/>
    <mergeCell ref="A1260:A1261"/>
    <mergeCell ref="B1260:B1261"/>
    <mergeCell ref="C1260:C1261"/>
    <mergeCell ref="F1260:F1261"/>
    <mergeCell ref="G1260:G1261"/>
    <mergeCell ref="H1260:H1261"/>
    <mergeCell ref="I1260:I1261"/>
    <mergeCell ref="J1260:J1261"/>
    <mergeCell ref="K1260:K1261"/>
    <mergeCell ref="P1260:P1261"/>
    <mergeCell ref="Q1260:Q1261"/>
    <mergeCell ref="R1260:R1261"/>
    <mergeCell ref="A1262:A1271"/>
    <mergeCell ref="B1262:B1271"/>
    <mergeCell ref="C1262:C1271"/>
    <mergeCell ref="F1262:F1271"/>
    <mergeCell ref="G1262:G1271"/>
    <mergeCell ref="H1262:H1271"/>
    <mergeCell ref="I1262:I1271"/>
    <mergeCell ref="J1262:J1271"/>
    <mergeCell ref="K1262:K1271"/>
    <mergeCell ref="P1262:P1271"/>
    <mergeCell ref="Q1262:Q1271"/>
    <mergeCell ref="R1262:R1271"/>
    <mergeCell ref="A1272:A1276"/>
    <mergeCell ref="B1272:B1276"/>
    <mergeCell ref="C1272:C1276"/>
    <mergeCell ref="F1272:F1276"/>
    <mergeCell ref="G1272:G1276"/>
    <mergeCell ref="H1272:H1276"/>
    <mergeCell ref="I1272:I1276"/>
    <mergeCell ref="J1272:J1276"/>
    <mergeCell ref="K1272:K1276"/>
    <mergeCell ref="P1272:P1276"/>
    <mergeCell ref="Q1272:Q1276"/>
    <mergeCell ref="R1272:R1276"/>
    <mergeCell ref="A1277:A1284"/>
    <mergeCell ref="B1277:B1284"/>
    <mergeCell ref="C1277:C1284"/>
    <mergeCell ref="F1277:F1284"/>
    <mergeCell ref="G1277:G1284"/>
    <mergeCell ref="H1277:H1284"/>
    <mergeCell ref="I1277:I1284"/>
    <mergeCell ref="J1277:J1284"/>
    <mergeCell ref="K1277:K1284"/>
    <mergeCell ref="P1277:P1284"/>
    <mergeCell ref="Q1277:Q1284"/>
    <mergeCell ref="R1277:R1284"/>
    <mergeCell ref="A1285:A1290"/>
    <mergeCell ref="B1285:B1290"/>
    <mergeCell ref="C1285:C1290"/>
    <mergeCell ref="F1285:F1290"/>
    <mergeCell ref="G1285:G1290"/>
    <mergeCell ref="H1285:H1290"/>
    <mergeCell ref="I1285:I1290"/>
    <mergeCell ref="J1285:J1290"/>
    <mergeCell ref="K1285:K1290"/>
    <mergeCell ref="P1285:P1290"/>
    <mergeCell ref="Q1285:Q1290"/>
    <mergeCell ref="R1285:R1290"/>
    <mergeCell ref="A1291:A1297"/>
    <mergeCell ref="B1291:B1297"/>
    <mergeCell ref="C1291:C1297"/>
    <mergeCell ref="F1291:F1297"/>
    <mergeCell ref="G1291:G1297"/>
    <mergeCell ref="H1291:H1297"/>
    <mergeCell ref="I1291:I1297"/>
    <mergeCell ref="J1291:J1297"/>
    <mergeCell ref="K1291:K1297"/>
    <mergeCell ref="P1291:P1297"/>
    <mergeCell ref="Q1291:Q1297"/>
    <mergeCell ref="R1291:R1297"/>
    <mergeCell ref="A1298:A1306"/>
    <mergeCell ref="B1298:B1306"/>
    <mergeCell ref="C1298:C1306"/>
    <mergeCell ref="F1298:F1306"/>
    <mergeCell ref="G1298:G1306"/>
    <mergeCell ref="H1298:H1306"/>
    <mergeCell ref="I1298:I1306"/>
    <mergeCell ref="J1298:J1306"/>
    <mergeCell ref="K1298:K1306"/>
    <mergeCell ref="P1298:P1306"/>
    <mergeCell ref="Q1298:Q1306"/>
    <mergeCell ref="R1298:R1306"/>
    <mergeCell ref="A1307:A1309"/>
    <mergeCell ref="B1307:B1309"/>
    <mergeCell ref="C1307:C1309"/>
    <mergeCell ref="F1307:F1309"/>
    <mergeCell ref="G1307:G1309"/>
    <mergeCell ref="H1307:H1309"/>
    <mergeCell ref="I1307:I1309"/>
    <mergeCell ref="J1307:J1309"/>
    <mergeCell ref="K1307:K1309"/>
    <mergeCell ref="P1307:P1309"/>
    <mergeCell ref="Q1307:Q1309"/>
    <mergeCell ref="R1307:R1309"/>
    <mergeCell ref="A1310:A1311"/>
    <mergeCell ref="B1310:B1311"/>
    <mergeCell ref="C1310:C1311"/>
    <mergeCell ref="F1310:F1311"/>
    <mergeCell ref="G1310:G1311"/>
    <mergeCell ref="H1310:H1311"/>
    <mergeCell ref="I1310:I1311"/>
    <mergeCell ref="J1310:J1311"/>
    <mergeCell ref="K1310:K1311"/>
    <mergeCell ref="P1310:P1311"/>
    <mergeCell ref="Q1310:Q1311"/>
    <mergeCell ref="R1310:R1311"/>
    <mergeCell ref="A1312:A1318"/>
    <mergeCell ref="B1312:B1318"/>
    <mergeCell ref="C1312:C1318"/>
    <mergeCell ref="F1312:F1318"/>
    <mergeCell ref="G1312:G1318"/>
    <mergeCell ref="H1312:H1318"/>
    <mergeCell ref="I1312:I1318"/>
    <mergeCell ref="J1312:J1318"/>
    <mergeCell ref="K1312:K1318"/>
    <mergeCell ref="P1312:P1318"/>
    <mergeCell ref="Q1312:Q1318"/>
    <mergeCell ref="R1312:R1318"/>
    <mergeCell ref="A1320:A1321"/>
    <mergeCell ref="B1320:B1321"/>
    <mergeCell ref="C1320:C1321"/>
    <mergeCell ref="E1320:E1321"/>
    <mergeCell ref="F1320:F1321"/>
    <mergeCell ref="G1320:G1321"/>
    <mergeCell ref="H1320:H1321"/>
    <mergeCell ref="I1320:I1321"/>
    <mergeCell ref="J1320:J1321"/>
    <mergeCell ref="K1320:K1321"/>
    <mergeCell ref="P1320:P1321"/>
    <mergeCell ref="Q1320:Q1321"/>
    <mergeCell ref="R1320:R1321"/>
    <mergeCell ref="A1322:A1331"/>
    <mergeCell ref="B1322:B1331"/>
    <mergeCell ref="C1322:C1331"/>
    <mergeCell ref="E1322:E1331"/>
    <mergeCell ref="F1322:F1331"/>
    <mergeCell ref="G1322:G1331"/>
    <mergeCell ref="H1322:H1331"/>
    <mergeCell ref="I1322:I1331"/>
    <mergeCell ref="J1322:J1331"/>
    <mergeCell ref="K1322:K1331"/>
    <mergeCell ref="P1322:P1331"/>
    <mergeCell ref="Q1322:Q1331"/>
    <mergeCell ref="R1322:R1331"/>
    <mergeCell ref="A1332:A1336"/>
    <mergeCell ref="B1332:B1336"/>
    <mergeCell ref="C1332:C1336"/>
    <mergeCell ref="E1332:E1336"/>
    <mergeCell ref="F1332:F1336"/>
    <mergeCell ref="G1332:G1336"/>
    <mergeCell ref="H1332:H1336"/>
    <mergeCell ref="I1332:I1336"/>
    <mergeCell ref="J1332:J1336"/>
    <mergeCell ref="K1332:K1336"/>
    <mergeCell ref="P1332:P1336"/>
    <mergeCell ref="Q1332:Q1336"/>
    <mergeCell ref="R1332:R1336"/>
    <mergeCell ref="A1337:A1345"/>
    <mergeCell ref="B1337:B1345"/>
    <mergeCell ref="C1337:C1345"/>
    <mergeCell ref="E1337:E1345"/>
    <mergeCell ref="F1337:F1345"/>
    <mergeCell ref="G1337:G1345"/>
    <mergeCell ref="H1337:H1345"/>
    <mergeCell ref="I1337:I1345"/>
    <mergeCell ref="J1337:J1345"/>
    <mergeCell ref="K1337:K1345"/>
    <mergeCell ref="P1337:P1345"/>
    <mergeCell ref="Q1337:Q1345"/>
    <mergeCell ref="R1337:R1345"/>
    <mergeCell ref="A1346:A1349"/>
    <mergeCell ref="B1346:B1349"/>
    <mergeCell ref="C1346:C1349"/>
    <mergeCell ref="E1346:E1349"/>
    <mergeCell ref="F1346:F1349"/>
    <mergeCell ref="G1346:G1349"/>
    <mergeCell ref="H1346:H1349"/>
    <mergeCell ref="I1346:I1349"/>
    <mergeCell ref="J1346:J1349"/>
    <mergeCell ref="K1346:K1349"/>
    <mergeCell ref="P1346:P1349"/>
    <mergeCell ref="Q1346:Q1349"/>
    <mergeCell ref="R1346:R1349"/>
    <mergeCell ref="A1350:A1354"/>
    <mergeCell ref="B1350:B1354"/>
    <mergeCell ref="C1350:C1354"/>
    <mergeCell ref="E1350:E1354"/>
    <mergeCell ref="F1350:F1354"/>
    <mergeCell ref="G1350:G1354"/>
    <mergeCell ref="H1350:H1354"/>
    <mergeCell ref="I1350:I1354"/>
    <mergeCell ref="J1350:J1354"/>
    <mergeCell ref="K1350:K1354"/>
    <mergeCell ref="P1350:P1354"/>
    <mergeCell ref="Q1350:Q1354"/>
    <mergeCell ref="R1350:R1354"/>
    <mergeCell ref="A1356:A1358"/>
    <mergeCell ref="B1356:B1358"/>
    <mergeCell ref="C1356:C1358"/>
    <mergeCell ref="E1356:E1358"/>
    <mergeCell ref="F1356:F1358"/>
    <mergeCell ref="G1356:G1358"/>
    <mergeCell ref="H1356:H1358"/>
    <mergeCell ref="I1356:I1358"/>
    <mergeCell ref="J1356:J1358"/>
    <mergeCell ref="K1356:K1358"/>
    <mergeCell ref="P1356:P1358"/>
    <mergeCell ref="Q1356:Q1358"/>
    <mergeCell ref="R1356:R1358"/>
    <mergeCell ref="A1359:A1360"/>
    <mergeCell ref="B1359:B1360"/>
    <mergeCell ref="C1359:C1360"/>
    <mergeCell ref="E1359:E1360"/>
    <mergeCell ref="F1359:F1360"/>
    <mergeCell ref="G1359:G1360"/>
    <mergeCell ref="H1359:H1360"/>
    <mergeCell ref="I1359:I1360"/>
    <mergeCell ref="J1359:J1360"/>
    <mergeCell ref="K1359:K1360"/>
    <mergeCell ref="P1359:P1360"/>
    <mergeCell ref="Q1359:Q1360"/>
    <mergeCell ref="R1359:R1360"/>
    <mergeCell ref="A1361:A1362"/>
    <mergeCell ref="B1361:B1362"/>
    <mergeCell ref="C1361:C1362"/>
    <mergeCell ref="E1361:E1362"/>
    <mergeCell ref="F1361:F1362"/>
    <mergeCell ref="G1361:G1362"/>
    <mergeCell ref="H1361:H1362"/>
    <mergeCell ref="I1361:I1362"/>
    <mergeCell ref="J1361:J1362"/>
    <mergeCell ref="K1361:K1362"/>
    <mergeCell ref="P1361:P1362"/>
    <mergeCell ref="Q1361:Q1362"/>
    <mergeCell ref="R1361:R1362"/>
    <mergeCell ref="A1368:A1371"/>
    <mergeCell ref="B1368:B1371"/>
    <mergeCell ref="C1368:C1371"/>
    <mergeCell ref="F1368:F1371"/>
    <mergeCell ref="G1368:G1371"/>
    <mergeCell ref="H1368:H1371"/>
    <mergeCell ref="I1368:I1371"/>
    <mergeCell ref="J1368:J1371"/>
    <mergeCell ref="K1368:K1371"/>
    <mergeCell ref="P1368:P1371"/>
    <mergeCell ref="Q1368:Q1371"/>
    <mergeCell ref="R1368:R1371"/>
    <mergeCell ref="A1373:A1374"/>
    <mergeCell ref="B1373:B1374"/>
    <mergeCell ref="C1373:C1374"/>
    <mergeCell ref="F1373:F1374"/>
    <mergeCell ref="G1373:G1374"/>
    <mergeCell ref="H1373:H1374"/>
    <mergeCell ref="I1373:I1374"/>
    <mergeCell ref="J1373:J1374"/>
    <mergeCell ref="K1373:K1374"/>
    <mergeCell ref="P1373:P1374"/>
    <mergeCell ref="Q1373:Q1374"/>
    <mergeCell ref="R1373:R1374"/>
    <mergeCell ref="A1375:A1376"/>
    <mergeCell ref="B1375:B1376"/>
    <mergeCell ref="C1375:C1376"/>
    <mergeCell ref="F1375:F1376"/>
    <mergeCell ref="G1375:G1376"/>
    <mergeCell ref="H1375:H1376"/>
    <mergeCell ref="I1375:I1376"/>
    <mergeCell ref="J1375:J1376"/>
    <mergeCell ref="K1375:K1376"/>
    <mergeCell ref="P1375:P1376"/>
    <mergeCell ref="Q1375:Q1376"/>
    <mergeCell ref="R1375:R1376"/>
    <mergeCell ref="A1377:A1386"/>
    <mergeCell ref="B1377:B1386"/>
    <mergeCell ref="C1377:C1386"/>
    <mergeCell ref="F1377:F1386"/>
    <mergeCell ref="G1377:G1386"/>
    <mergeCell ref="H1377:H1386"/>
    <mergeCell ref="I1377:I1386"/>
    <mergeCell ref="J1377:J1386"/>
    <mergeCell ref="K1377:K1386"/>
    <mergeCell ref="P1377:P1386"/>
    <mergeCell ref="Q1377:Q1386"/>
    <mergeCell ref="R1377:R1386"/>
    <mergeCell ref="A1387:A1392"/>
    <mergeCell ref="B1387:B1392"/>
    <mergeCell ref="C1387:C1392"/>
    <mergeCell ref="F1387:F1392"/>
    <mergeCell ref="G1387:G1392"/>
    <mergeCell ref="H1387:H1392"/>
    <mergeCell ref="I1387:I1392"/>
    <mergeCell ref="J1387:J1392"/>
    <mergeCell ref="K1387:K1392"/>
    <mergeCell ref="P1387:P1392"/>
    <mergeCell ref="Q1387:Q1392"/>
    <mergeCell ref="R1387:R1392"/>
    <mergeCell ref="A1393:A1416"/>
    <mergeCell ref="B1393:B1416"/>
    <mergeCell ref="C1393:C1416"/>
    <mergeCell ref="F1393:F1416"/>
    <mergeCell ref="G1393:G1416"/>
    <mergeCell ref="H1393:H1416"/>
    <mergeCell ref="I1393:I1416"/>
    <mergeCell ref="J1393:J1416"/>
    <mergeCell ref="K1393:K1416"/>
    <mergeCell ref="P1393:P1416"/>
    <mergeCell ref="Q1393:Q1416"/>
    <mergeCell ref="R1393:R1416"/>
    <mergeCell ref="A1417:A1418"/>
    <mergeCell ref="B1417:B1418"/>
    <mergeCell ref="C1417:C1418"/>
    <mergeCell ref="F1417:F1418"/>
    <mergeCell ref="G1417:G1418"/>
    <mergeCell ref="H1417:H1418"/>
    <mergeCell ref="I1417:I1418"/>
    <mergeCell ref="J1417:J1418"/>
    <mergeCell ref="K1417:K1418"/>
    <mergeCell ref="P1417:P1418"/>
    <mergeCell ref="Q1417:Q1418"/>
    <mergeCell ref="R1417:R1418"/>
    <mergeCell ref="A1419:A1422"/>
    <mergeCell ref="B1419:B1422"/>
    <mergeCell ref="C1419:C1422"/>
    <mergeCell ref="F1419:F1422"/>
    <mergeCell ref="G1419:G1422"/>
    <mergeCell ref="H1419:H1422"/>
    <mergeCell ref="I1419:I1422"/>
    <mergeCell ref="J1419:J1422"/>
    <mergeCell ref="K1419:K1422"/>
    <mergeCell ref="P1419:P1422"/>
    <mergeCell ref="Q1419:Q1422"/>
    <mergeCell ref="R1419:R1422"/>
    <mergeCell ref="A1423:A1426"/>
    <mergeCell ref="B1423:B1426"/>
    <mergeCell ref="C1423:C1426"/>
    <mergeCell ref="F1423:F1426"/>
    <mergeCell ref="G1423:G1426"/>
    <mergeCell ref="H1423:H1426"/>
    <mergeCell ref="I1423:I1426"/>
    <mergeCell ref="J1423:J1426"/>
    <mergeCell ref="K1423:K1426"/>
    <mergeCell ref="P1423:P1426"/>
    <mergeCell ref="Q1423:Q1426"/>
    <mergeCell ref="R1423:R1426"/>
    <mergeCell ref="A1427:A1433"/>
    <mergeCell ref="B1427:B1433"/>
    <mergeCell ref="C1427:C1433"/>
    <mergeCell ref="F1427:F1433"/>
    <mergeCell ref="G1427:G1433"/>
    <mergeCell ref="H1427:H1433"/>
    <mergeCell ref="I1427:I1433"/>
    <mergeCell ref="J1427:J1433"/>
    <mergeCell ref="K1427:K1433"/>
    <mergeCell ref="P1427:P1433"/>
    <mergeCell ref="Q1427:Q1433"/>
    <mergeCell ref="R1427:R1433"/>
    <mergeCell ref="A1434:A1441"/>
    <mergeCell ref="B1434:B1441"/>
    <mergeCell ref="C1434:C1441"/>
    <mergeCell ref="F1434:F1441"/>
    <mergeCell ref="G1434:G1441"/>
    <mergeCell ref="H1434:H1441"/>
    <mergeCell ref="I1434:I1441"/>
    <mergeCell ref="J1434:J1441"/>
    <mergeCell ref="K1434:K1441"/>
    <mergeCell ref="P1434:P1441"/>
    <mergeCell ref="Q1434:Q1441"/>
    <mergeCell ref="R1434:R1441"/>
    <mergeCell ref="A1442:A1446"/>
    <mergeCell ref="B1442:B1446"/>
    <mergeCell ref="C1442:C1446"/>
    <mergeCell ref="F1442:F1446"/>
    <mergeCell ref="G1442:G1446"/>
    <mergeCell ref="H1442:H1446"/>
    <mergeCell ref="I1442:I1446"/>
    <mergeCell ref="J1442:J1446"/>
    <mergeCell ref="K1442:K1446"/>
    <mergeCell ref="P1442:P1446"/>
    <mergeCell ref="Q1442:Q1446"/>
    <mergeCell ref="R1442:R1446"/>
    <mergeCell ref="A1447:A1449"/>
    <mergeCell ref="B1447:B1449"/>
    <mergeCell ref="C1447:C1449"/>
    <mergeCell ref="F1447:F1449"/>
    <mergeCell ref="G1447:G1449"/>
    <mergeCell ref="H1447:H1449"/>
    <mergeCell ref="I1447:I1449"/>
    <mergeCell ref="J1447:J1449"/>
    <mergeCell ref="K1447:K1449"/>
    <mergeCell ref="P1447:P1449"/>
    <mergeCell ref="Q1447:Q1449"/>
    <mergeCell ref="R1447:R1449"/>
    <mergeCell ref="A1453:A1456"/>
    <mergeCell ref="B1453:B1456"/>
    <mergeCell ref="C1453:C1456"/>
    <mergeCell ref="F1453:F1456"/>
    <mergeCell ref="G1453:G1456"/>
    <mergeCell ref="H1453:H1456"/>
    <mergeCell ref="I1453:I1456"/>
    <mergeCell ref="J1453:J1456"/>
    <mergeCell ref="K1453:K1456"/>
    <mergeCell ref="P1453:P1456"/>
    <mergeCell ref="Q1453:Q1456"/>
    <mergeCell ref="R1453:R1456"/>
    <mergeCell ref="A1457:A1459"/>
    <mergeCell ref="B1457:B1459"/>
    <mergeCell ref="C1457:C1459"/>
    <mergeCell ref="F1457:F1459"/>
    <mergeCell ref="G1457:G1459"/>
    <mergeCell ref="H1457:H1459"/>
    <mergeCell ref="I1457:I1459"/>
    <mergeCell ref="J1457:J1459"/>
    <mergeCell ref="K1457:K1459"/>
    <mergeCell ref="P1457:P1459"/>
    <mergeCell ref="Q1457:Q1459"/>
    <mergeCell ref="R1457:R1459"/>
    <mergeCell ref="A1460:A1465"/>
    <mergeCell ref="B1460:B1465"/>
    <mergeCell ref="C1460:C1465"/>
    <mergeCell ref="F1460:F1465"/>
    <mergeCell ref="G1460:G1465"/>
    <mergeCell ref="H1460:H1465"/>
    <mergeCell ref="I1460:I1465"/>
    <mergeCell ref="J1460:J1465"/>
    <mergeCell ref="K1460:K1465"/>
    <mergeCell ref="P1460:P1465"/>
    <mergeCell ref="Q1460:Q1465"/>
    <mergeCell ref="R1460:R1465"/>
    <mergeCell ref="A1466:A1471"/>
    <mergeCell ref="B1466:B1471"/>
    <mergeCell ref="C1466:C1471"/>
    <mergeCell ref="F1466:F1471"/>
    <mergeCell ref="G1466:G1471"/>
    <mergeCell ref="H1466:H1471"/>
    <mergeCell ref="I1466:I1471"/>
    <mergeCell ref="J1466:J1471"/>
    <mergeCell ref="K1466:K1471"/>
    <mergeCell ref="P1466:P1471"/>
    <mergeCell ref="Q1466:Q1471"/>
    <mergeCell ref="R1466:R1471"/>
    <mergeCell ref="A1473:A1478"/>
    <mergeCell ref="B1473:B1478"/>
    <mergeCell ref="C1473:C1478"/>
    <mergeCell ref="F1473:F1478"/>
    <mergeCell ref="G1473:G1478"/>
    <mergeCell ref="H1473:H1478"/>
    <mergeCell ref="I1473:I1478"/>
    <mergeCell ref="J1473:J1478"/>
    <mergeCell ref="K1473:K1478"/>
    <mergeCell ref="P1473:P1478"/>
    <mergeCell ref="Q1473:Q1478"/>
    <mergeCell ref="R1473:R1478"/>
    <mergeCell ref="A1485:A1488"/>
    <mergeCell ref="B1485:B1488"/>
    <mergeCell ref="C1485:C1488"/>
    <mergeCell ref="F1485:F1488"/>
    <mergeCell ref="G1485:G1488"/>
    <mergeCell ref="H1485:H1488"/>
    <mergeCell ref="I1485:I1488"/>
    <mergeCell ref="J1485:J1488"/>
    <mergeCell ref="K1485:K1488"/>
    <mergeCell ref="P1485:P1488"/>
    <mergeCell ref="Q1485:Q1488"/>
    <mergeCell ref="R1485:R1488"/>
    <mergeCell ref="A1490:A1495"/>
    <mergeCell ref="B1490:B1495"/>
    <mergeCell ref="C1490:C1495"/>
    <mergeCell ref="F1490:F1495"/>
    <mergeCell ref="G1490:G1495"/>
    <mergeCell ref="H1490:H1495"/>
    <mergeCell ref="I1490:I1495"/>
    <mergeCell ref="J1490:J1495"/>
    <mergeCell ref="K1490:K1495"/>
    <mergeCell ref="P1490:P1495"/>
    <mergeCell ref="Q1490:Q1495"/>
    <mergeCell ref="R1490:R1495"/>
    <mergeCell ref="A1496:A1501"/>
    <mergeCell ref="B1496:B1501"/>
    <mergeCell ref="C1496:C1501"/>
    <mergeCell ref="F1496:F1501"/>
    <mergeCell ref="G1496:G1501"/>
    <mergeCell ref="H1496:H1501"/>
    <mergeCell ref="I1496:I1501"/>
    <mergeCell ref="J1496:J1501"/>
    <mergeCell ref="K1496:K1501"/>
    <mergeCell ref="P1496:P1501"/>
    <mergeCell ref="Q1496:Q1501"/>
    <mergeCell ref="R1496:R1501"/>
    <mergeCell ref="A1502:A1503"/>
    <mergeCell ref="B1502:B1503"/>
    <mergeCell ref="C1502:C1503"/>
    <mergeCell ref="F1502:F1503"/>
    <mergeCell ref="G1502:G1503"/>
    <mergeCell ref="H1502:H1503"/>
    <mergeCell ref="I1502:I1503"/>
    <mergeCell ref="J1502:J1503"/>
    <mergeCell ref="K1502:K1503"/>
    <mergeCell ref="P1502:P1503"/>
    <mergeCell ref="Q1502:Q1503"/>
    <mergeCell ref="R1502:R1503"/>
    <mergeCell ref="A1505:A1506"/>
    <mergeCell ref="B1505:B1506"/>
    <mergeCell ref="C1505:C1506"/>
    <mergeCell ref="F1505:F1506"/>
    <mergeCell ref="G1505:G1506"/>
    <mergeCell ref="H1505:H1506"/>
    <mergeCell ref="I1505:I1506"/>
    <mergeCell ref="J1505:J1506"/>
    <mergeCell ref="K1505:K1506"/>
    <mergeCell ref="P1505:P1506"/>
    <mergeCell ref="Q1505:Q1506"/>
    <mergeCell ref="R1505:R1506"/>
    <mergeCell ref="A1507:A1509"/>
    <mergeCell ref="B1507:B1509"/>
    <mergeCell ref="C1507:C1509"/>
    <mergeCell ref="F1507:F1509"/>
    <mergeCell ref="G1507:G1509"/>
    <mergeCell ref="H1507:H1509"/>
    <mergeCell ref="I1507:I1509"/>
    <mergeCell ref="J1507:J1509"/>
    <mergeCell ref="K1507:K1509"/>
    <mergeCell ref="P1507:P1509"/>
    <mergeCell ref="Q1507:Q1509"/>
    <mergeCell ref="R1507:R1509"/>
    <mergeCell ref="A1510:A1513"/>
    <mergeCell ref="B1510:B1513"/>
    <mergeCell ref="C1510:C1513"/>
    <mergeCell ref="F1510:F1513"/>
    <mergeCell ref="G1510:G1513"/>
    <mergeCell ref="H1510:H1513"/>
    <mergeCell ref="I1510:I1513"/>
    <mergeCell ref="J1510:J1513"/>
    <mergeCell ref="K1510:K1513"/>
    <mergeCell ref="P1510:P1513"/>
    <mergeCell ref="Q1510:Q1513"/>
    <mergeCell ref="R1510:R1513"/>
    <mergeCell ref="A1514:A1515"/>
    <mergeCell ref="B1514:B1515"/>
    <mergeCell ref="C1514:C1515"/>
    <mergeCell ref="F1514:F1515"/>
    <mergeCell ref="G1514:G1515"/>
    <mergeCell ref="H1514:H1515"/>
    <mergeCell ref="I1514:I1515"/>
    <mergeCell ref="J1514:J1515"/>
    <mergeCell ref="K1514:K1515"/>
    <mergeCell ref="P1514:P1515"/>
    <mergeCell ref="Q1514:Q1515"/>
    <mergeCell ref="R1514:R1515"/>
    <mergeCell ref="A1516:A1519"/>
    <mergeCell ref="B1516:B1519"/>
    <mergeCell ref="C1516:C1519"/>
    <mergeCell ref="F1516:F1519"/>
    <mergeCell ref="G1516:G1519"/>
    <mergeCell ref="H1516:H1519"/>
    <mergeCell ref="I1516:I1519"/>
    <mergeCell ref="J1516:J1519"/>
    <mergeCell ref="K1516:K1519"/>
    <mergeCell ref="P1516:P1519"/>
    <mergeCell ref="Q1516:Q1519"/>
    <mergeCell ref="R1516:R1519"/>
    <mergeCell ref="A1521:A1536"/>
    <mergeCell ref="B1521:B1536"/>
    <mergeCell ref="C1521:C1536"/>
    <mergeCell ref="F1521:F1536"/>
    <mergeCell ref="G1521:G1536"/>
    <mergeCell ref="H1521:H1536"/>
    <mergeCell ref="I1521:I1536"/>
    <mergeCell ref="J1521:J1536"/>
    <mergeCell ref="K1521:K1536"/>
    <mergeCell ref="P1521:P1536"/>
    <mergeCell ref="Q1521:Q1536"/>
    <mergeCell ref="R1521:R1536"/>
    <mergeCell ref="A1537:A1538"/>
    <mergeCell ref="B1537:B1538"/>
    <mergeCell ref="C1537:C1538"/>
    <mergeCell ref="F1537:F1538"/>
    <mergeCell ref="G1537:G1538"/>
    <mergeCell ref="H1537:H1538"/>
    <mergeCell ref="I1537:I1538"/>
    <mergeCell ref="J1537:J1538"/>
    <mergeCell ref="K1537:K1538"/>
    <mergeCell ref="P1537:P1538"/>
    <mergeCell ref="Q1537:Q1538"/>
    <mergeCell ref="R1537:R1538"/>
    <mergeCell ref="A1540:A1555"/>
    <mergeCell ref="B1540:B1555"/>
    <mergeCell ref="C1540:C1555"/>
    <mergeCell ref="F1540:F1555"/>
    <mergeCell ref="G1540:G1555"/>
    <mergeCell ref="H1540:H1555"/>
    <mergeCell ref="I1540:I1555"/>
    <mergeCell ref="J1540:J1555"/>
    <mergeCell ref="K1540:K1555"/>
    <mergeCell ref="P1540:P1555"/>
    <mergeCell ref="Q1540:Q1555"/>
    <mergeCell ref="R1540:R1555"/>
    <mergeCell ref="A1557:A1559"/>
    <mergeCell ref="B1557:B1559"/>
    <mergeCell ref="C1557:C1559"/>
    <mergeCell ref="F1557:F1559"/>
    <mergeCell ref="G1557:G1559"/>
    <mergeCell ref="H1557:H1559"/>
    <mergeCell ref="I1557:I1559"/>
    <mergeCell ref="J1557:J1559"/>
    <mergeCell ref="K1557:K1559"/>
    <mergeCell ref="P1557:P1559"/>
    <mergeCell ref="Q1557:Q1559"/>
    <mergeCell ref="R1557:R1559"/>
    <mergeCell ref="A1561:A1562"/>
    <mergeCell ref="B1561:B1562"/>
    <mergeCell ref="C1561:C1562"/>
    <mergeCell ref="F1561:F1562"/>
    <mergeCell ref="G1561:G1562"/>
    <mergeCell ref="H1561:H1562"/>
    <mergeCell ref="I1561:I1562"/>
    <mergeCell ref="J1561:J1562"/>
    <mergeCell ref="K1561:K1562"/>
    <mergeCell ref="P1561:P1562"/>
    <mergeCell ref="Q1561:Q1562"/>
    <mergeCell ref="R1561:R1562"/>
    <mergeCell ref="A1563:A1565"/>
    <mergeCell ref="B1563:B1565"/>
    <mergeCell ref="C1563:C1565"/>
    <mergeCell ref="F1563:F1565"/>
    <mergeCell ref="G1563:G1565"/>
    <mergeCell ref="H1563:H1565"/>
    <mergeCell ref="I1563:I1565"/>
    <mergeCell ref="J1563:J1565"/>
    <mergeCell ref="K1563:K1565"/>
    <mergeCell ref="P1563:P1565"/>
    <mergeCell ref="Q1563:Q1565"/>
    <mergeCell ref="R1563:R1565"/>
    <mergeCell ref="A1566:A1568"/>
    <mergeCell ref="B1566:B1568"/>
    <mergeCell ref="C1566:C1568"/>
    <mergeCell ref="F1566:F1568"/>
    <mergeCell ref="G1566:G1568"/>
    <mergeCell ref="H1566:H1568"/>
    <mergeCell ref="I1566:I1568"/>
    <mergeCell ref="J1566:J1568"/>
    <mergeCell ref="K1566:K1568"/>
    <mergeCell ref="P1566:P1568"/>
    <mergeCell ref="Q1566:Q1568"/>
    <mergeCell ref="R1566:R1568"/>
    <mergeCell ref="A1569:A1570"/>
    <mergeCell ref="B1569:B1570"/>
    <mergeCell ref="C1569:C1570"/>
    <mergeCell ref="F1569:F1570"/>
    <mergeCell ref="G1569:G1570"/>
    <mergeCell ref="H1569:H1570"/>
    <mergeCell ref="I1569:I1570"/>
    <mergeCell ref="J1569:J1570"/>
    <mergeCell ref="K1569:K1570"/>
    <mergeCell ref="P1569:P1570"/>
    <mergeCell ref="Q1569:Q1570"/>
    <mergeCell ref="R1569:R1570"/>
    <mergeCell ref="A1571:A1577"/>
    <mergeCell ref="B1571:B1577"/>
    <mergeCell ref="C1571:C1577"/>
    <mergeCell ref="F1571:F1577"/>
    <mergeCell ref="G1571:G1577"/>
    <mergeCell ref="H1571:H1577"/>
    <mergeCell ref="I1571:I1577"/>
    <mergeCell ref="J1571:J1577"/>
    <mergeCell ref="K1571:K1577"/>
    <mergeCell ref="P1571:P1577"/>
    <mergeCell ref="Q1571:Q1577"/>
    <mergeCell ref="R1571:R1577"/>
    <mergeCell ref="A1578:A1588"/>
    <mergeCell ref="B1578:B1588"/>
    <mergeCell ref="C1578:C1588"/>
    <mergeCell ref="F1578:F1588"/>
    <mergeCell ref="G1578:G1588"/>
    <mergeCell ref="H1578:H1588"/>
    <mergeCell ref="I1578:I1588"/>
    <mergeCell ref="J1578:J1588"/>
    <mergeCell ref="K1578:K1588"/>
    <mergeCell ref="P1578:P1588"/>
    <mergeCell ref="Q1578:Q1588"/>
    <mergeCell ref="R1578:R1588"/>
    <mergeCell ref="A1589:A1594"/>
    <mergeCell ref="B1589:B1594"/>
    <mergeCell ref="C1589:C1594"/>
    <mergeCell ref="F1589:F1594"/>
    <mergeCell ref="G1589:G1594"/>
    <mergeCell ref="H1589:H1594"/>
    <mergeCell ref="I1589:I1594"/>
    <mergeCell ref="J1589:J1594"/>
    <mergeCell ref="K1589:K1594"/>
    <mergeCell ref="P1589:P1594"/>
    <mergeCell ref="Q1589:Q1594"/>
    <mergeCell ref="R1589:R1594"/>
    <mergeCell ref="A1595:A1600"/>
    <mergeCell ref="B1595:B1600"/>
    <mergeCell ref="C1595:C1600"/>
    <mergeCell ref="F1595:F1600"/>
    <mergeCell ref="G1595:G1600"/>
    <mergeCell ref="H1595:H1600"/>
    <mergeCell ref="I1595:I1600"/>
    <mergeCell ref="J1595:J1600"/>
    <mergeCell ref="K1595:K1600"/>
    <mergeCell ref="P1595:P1600"/>
    <mergeCell ref="Q1595:Q1600"/>
    <mergeCell ref="R1595:R1600"/>
    <mergeCell ref="A1601:A1602"/>
    <mergeCell ref="B1601:B1602"/>
    <mergeCell ref="C1601:C1602"/>
    <mergeCell ref="F1601:F1602"/>
    <mergeCell ref="G1601:G1602"/>
    <mergeCell ref="H1601:H1602"/>
    <mergeCell ref="I1601:I1602"/>
    <mergeCell ref="J1601:J1602"/>
    <mergeCell ref="K1601:K1602"/>
    <mergeCell ref="P1601:P1602"/>
    <mergeCell ref="Q1601:Q1602"/>
    <mergeCell ref="R1601:R1602"/>
    <mergeCell ref="A1603:A1605"/>
    <mergeCell ref="B1603:B1605"/>
    <mergeCell ref="C1603:C1605"/>
    <mergeCell ref="F1603:F1605"/>
    <mergeCell ref="G1603:G1605"/>
    <mergeCell ref="H1603:H1605"/>
    <mergeCell ref="I1603:I1605"/>
    <mergeCell ref="J1603:J1605"/>
    <mergeCell ref="K1603:K1605"/>
    <mergeCell ref="P1603:P1605"/>
    <mergeCell ref="Q1603:Q1605"/>
    <mergeCell ref="R1603:R1605"/>
    <mergeCell ref="A1608:A1609"/>
    <mergeCell ref="B1608:B1609"/>
    <mergeCell ref="C1608:C1609"/>
    <mergeCell ref="F1608:F1609"/>
    <mergeCell ref="G1608:G1609"/>
    <mergeCell ref="H1608:H1609"/>
    <mergeCell ref="I1608:I1609"/>
    <mergeCell ref="J1608:J1609"/>
    <mergeCell ref="K1608:K1609"/>
    <mergeCell ref="P1608:P1609"/>
    <mergeCell ref="Q1608:Q1609"/>
    <mergeCell ref="R1608:R1609"/>
    <mergeCell ref="A1613:A1614"/>
    <mergeCell ref="B1613:B1614"/>
    <mergeCell ref="C1613:C1614"/>
    <mergeCell ref="F1613:F1614"/>
    <mergeCell ref="G1613:G1614"/>
    <mergeCell ref="H1613:H1614"/>
    <mergeCell ref="I1613:I1614"/>
    <mergeCell ref="J1613:J1614"/>
    <mergeCell ref="K1613:K1614"/>
    <mergeCell ref="P1613:P1614"/>
    <mergeCell ref="Q1613:Q1614"/>
    <mergeCell ref="R1613:R1614"/>
    <mergeCell ref="A1615:A1621"/>
    <mergeCell ref="B1615:B1621"/>
    <mergeCell ref="C1615:C1621"/>
    <mergeCell ref="F1615:F1621"/>
    <mergeCell ref="G1615:G1621"/>
    <mergeCell ref="H1615:H1621"/>
    <mergeCell ref="I1615:I1621"/>
    <mergeCell ref="J1615:J1621"/>
    <mergeCell ref="K1615:K1621"/>
    <mergeCell ref="P1615:P1621"/>
    <mergeCell ref="Q1615:Q1621"/>
    <mergeCell ref="R1615:R1621"/>
    <mergeCell ref="A1622:A1626"/>
    <mergeCell ref="B1622:B1626"/>
    <mergeCell ref="C1622:C1626"/>
    <mergeCell ref="F1622:F1626"/>
    <mergeCell ref="G1622:G1626"/>
    <mergeCell ref="H1622:H1626"/>
    <mergeCell ref="I1622:I1626"/>
    <mergeCell ref="J1622:J1626"/>
    <mergeCell ref="K1622:K1626"/>
    <mergeCell ref="P1622:P1626"/>
    <mergeCell ref="Q1622:Q1626"/>
    <mergeCell ref="R1622:R1626"/>
    <mergeCell ref="A1627:A1629"/>
    <mergeCell ref="B1627:B1629"/>
    <mergeCell ref="C1627:C1629"/>
    <mergeCell ref="F1627:F1629"/>
    <mergeCell ref="G1627:G1629"/>
    <mergeCell ref="H1627:H1629"/>
    <mergeCell ref="I1627:I1629"/>
    <mergeCell ref="J1627:J1629"/>
    <mergeCell ref="K1627:K1629"/>
    <mergeCell ref="P1627:P1629"/>
    <mergeCell ref="Q1627:Q1629"/>
    <mergeCell ref="R1627:R1629"/>
    <mergeCell ref="A1630:A1631"/>
    <mergeCell ref="B1630:B1631"/>
    <mergeCell ref="C1630:C1631"/>
    <mergeCell ref="F1630:F1631"/>
    <mergeCell ref="G1630:G1631"/>
    <mergeCell ref="H1630:H1631"/>
    <mergeCell ref="I1630:I1631"/>
    <mergeCell ref="J1630:J1631"/>
    <mergeCell ref="K1630:K1631"/>
    <mergeCell ref="P1630:P1631"/>
    <mergeCell ref="Q1630:Q1631"/>
    <mergeCell ref="R1630:R1631"/>
    <mergeCell ref="A1633:A1637"/>
    <mergeCell ref="B1633:B1637"/>
    <mergeCell ref="C1633:C1637"/>
    <mergeCell ref="F1633:F1637"/>
    <mergeCell ref="G1633:G1637"/>
    <mergeCell ref="H1633:H1637"/>
    <mergeCell ref="I1633:I1637"/>
    <mergeCell ref="J1633:J1637"/>
    <mergeCell ref="K1633:K1637"/>
    <mergeCell ref="P1633:P1637"/>
    <mergeCell ref="Q1633:Q1637"/>
    <mergeCell ref="R1633:R1637"/>
    <mergeCell ref="A1638:A1639"/>
    <mergeCell ref="B1638:B1639"/>
    <mergeCell ref="C1638:C1639"/>
    <mergeCell ref="F1638:F1639"/>
    <mergeCell ref="G1638:G1639"/>
    <mergeCell ref="H1638:H1639"/>
    <mergeCell ref="I1638:I1639"/>
    <mergeCell ref="J1638:J1639"/>
    <mergeCell ref="K1638:K1639"/>
    <mergeCell ref="P1638:P1639"/>
    <mergeCell ref="Q1638:Q1639"/>
    <mergeCell ref="R1638:R1639"/>
    <mergeCell ref="A1641:A1646"/>
    <mergeCell ref="B1641:B1646"/>
    <mergeCell ref="C1641:C1646"/>
    <mergeCell ref="F1641:F1646"/>
    <mergeCell ref="G1641:G1646"/>
    <mergeCell ref="H1641:H1646"/>
    <mergeCell ref="I1641:I1646"/>
    <mergeCell ref="J1641:J1646"/>
    <mergeCell ref="K1641:K1646"/>
    <mergeCell ref="P1641:P1646"/>
    <mergeCell ref="Q1641:Q1646"/>
    <mergeCell ref="R1641:R1646"/>
    <mergeCell ref="A1647:A1657"/>
    <mergeCell ref="B1647:B1657"/>
    <mergeCell ref="C1647:C1657"/>
    <mergeCell ref="F1647:F1657"/>
    <mergeCell ref="G1647:G1657"/>
    <mergeCell ref="H1647:H1657"/>
    <mergeCell ref="I1647:I1657"/>
    <mergeCell ref="J1647:J1657"/>
    <mergeCell ref="K1647:K1657"/>
    <mergeCell ref="P1647:P1657"/>
    <mergeCell ref="Q1647:Q1657"/>
    <mergeCell ref="R1647:R1657"/>
    <mergeCell ref="A1658:A1660"/>
    <mergeCell ref="B1658:B1660"/>
    <mergeCell ref="C1658:C1660"/>
    <mergeCell ref="F1658:F1660"/>
    <mergeCell ref="G1658:G1660"/>
    <mergeCell ref="H1658:H1660"/>
    <mergeCell ref="I1658:I1660"/>
    <mergeCell ref="J1658:J1660"/>
    <mergeCell ref="K1658:K1660"/>
    <mergeCell ref="P1658:P1660"/>
    <mergeCell ref="Q1658:Q1660"/>
    <mergeCell ref="R1658:R1660"/>
    <mergeCell ref="A1661:A1665"/>
    <mergeCell ref="B1661:B1665"/>
    <mergeCell ref="C1661:C1665"/>
    <mergeCell ref="F1661:F1665"/>
    <mergeCell ref="G1661:G1665"/>
    <mergeCell ref="H1661:H1665"/>
    <mergeCell ref="I1661:I1665"/>
    <mergeCell ref="J1661:J1665"/>
    <mergeCell ref="K1661:K1665"/>
    <mergeCell ref="P1661:P1665"/>
    <mergeCell ref="Q1661:Q1665"/>
    <mergeCell ref="R1661:R1665"/>
    <mergeCell ref="A1666:A1667"/>
    <mergeCell ref="B1666:B1667"/>
    <mergeCell ref="C1666:C1667"/>
    <mergeCell ref="F1666:F1667"/>
    <mergeCell ref="G1666:G1667"/>
    <mergeCell ref="H1666:H1667"/>
    <mergeCell ref="I1666:I1667"/>
    <mergeCell ref="J1666:J1667"/>
    <mergeCell ref="K1666:K1667"/>
    <mergeCell ref="P1666:P1667"/>
    <mergeCell ref="Q1666:Q1667"/>
    <mergeCell ref="R1666:R1667"/>
    <mergeCell ref="A1668:A1672"/>
    <mergeCell ref="B1668:B1672"/>
    <mergeCell ref="C1668:C1672"/>
    <mergeCell ref="F1668:F1672"/>
    <mergeCell ref="G1668:G1672"/>
    <mergeCell ref="H1668:H1672"/>
    <mergeCell ref="I1668:I1672"/>
    <mergeCell ref="J1668:J1672"/>
    <mergeCell ref="K1668:K1672"/>
    <mergeCell ref="P1668:P1672"/>
    <mergeCell ref="Q1668:Q1672"/>
    <mergeCell ref="R1668:R1672"/>
    <mergeCell ref="A1674:A1675"/>
    <mergeCell ref="B1674:B1675"/>
    <mergeCell ref="C1674:C1675"/>
    <mergeCell ref="E1674:E1675"/>
    <mergeCell ref="F1674:F1675"/>
    <mergeCell ref="G1674:G1675"/>
    <mergeCell ref="H1674:H1675"/>
    <mergeCell ref="I1674:I1675"/>
    <mergeCell ref="J1674:J1675"/>
    <mergeCell ref="K1674:K1675"/>
    <mergeCell ref="P1674:P1675"/>
    <mergeCell ref="Q1674:Q1675"/>
    <mergeCell ref="R1674:R1675"/>
    <mergeCell ref="A1676:A1681"/>
    <mergeCell ref="B1676:B1681"/>
    <mergeCell ref="C1676:C1681"/>
    <mergeCell ref="F1676:F1681"/>
    <mergeCell ref="G1676:G1681"/>
    <mergeCell ref="H1676:H1681"/>
    <mergeCell ref="I1676:I1681"/>
    <mergeCell ref="J1676:J1681"/>
    <mergeCell ref="K1676:K1681"/>
    <mergeCell ref="P1676:P1681"/>
    <mergeCell ref="Q1676:Q1681"/>
    <mergeCell ref="R1676:R1681"/>
    <mergeCell ref="A1682:A1687"/>
    <mergeCell ref="B1682:B1687"/>
    <mergeCell ref="C1682:C1687"/>
    <mergeCell ref="F1682:F1687"/>
    <mergeCell ref="G1682:G1687"/>
    <mergeCell ref="H1682:H1687"/>
    <mergeCell ref="I1682:I1687"/>
    <mergeCell ref="J1682:J1687"/>
    <mergeCell ref="K1682:K1687"/>
    <mergeCell ref="P1682:P1687"/>
    <mergeCell ref="Q1682:Q1687"/>
    <mergeCell ref="R1682:R1687"/>
    <mergeCell ref="A1688:A1693"/>
    <mergeCell ref="B1688:B1693"/>
    <mergeCell ref="C1688:C1693"/>
    <mergeCell ref="F1688:F1693"/>
    <mergeCell ref="G1688:G1693"/>
    <mergeCell ref="H1688:H1693"/>
    <mergeCell ref="I1688:I1693"/>
    <mergeCell ref="J1688:J1693"/>
    <mergeCell ref="K1688:K1693"/>
    <mergeCell ref="P1688:P1693"/>
    <mergeCell ref="Q1688:Q1693"/>
    <mergeCell ref="R1688:R1693"/>
    <mergeCell ref="A1695:A1700"/>
    <mergeCell ref="B1695:B1700"/>
    <mergeCell ref="C1695:C1700"/>
    <mergeCell ref="F1695:F1700"/>
    <mergeCell ref="G1695:G1700"/>
    <mergeCell ref="H1695:H1700"/>
    <mergeCell ref="I1695:I1700"/>
    <mergeCell ref="J1695:J1700"/>
    <mergeCell ref="K1695:K1700"/>
    <mergeCell ref="P1695:P1700"/>
    <mergeCell ref="Q1695:Q1700"/>
    <mergeCell ref="R1695:R1700"/>
    <mergeCell ref="A1701:A1704"/>
    <mergeCell ref="B1701:B1704"/>
    <mergeCell ref="C1701:C1704"/>
    <mergeCell ref="F1701:F1704"/>
    <mergeCell ref="G1701:G1704"/>
    <mergeCell ref="H1701:H1704"/>
    <mergeCell ref="I1701:I1704"/>
    <mergeCell ref="J1701:J1704"/>
    <mergeCell ref="K1701:K1704"/>
    <mergeCell ref="P1701:P1704"/>
    <mergeCell ref="Q1701:Q1704"/>
    <mergeCell ref="R1701:R1704"/>
    <mergeCell ref="A1705:A1707"/>
    <mergeCell ref="B1705:B1707"/>
    <mergeCell ref="C1705:C1707"/>
    <mergeCell ref="F1705:F1707"/>
    <mergeCell ref="G1705:G1707"/>
    <mergeCell ref="H1705:H1707"/>
    <mergeCell ref="I1705:I1707"/>
    <mergeCell ref="J1705:J1707"/>
    <mergeCell ref="K1705:K1707"/>
    <mergeCell ref="P1705:P1707"/>
    <mergeCell ref="Q1705:Q1707"/>
    <mergeCell ref="R1705:R1707"/>
    <mergeCell ref="A1709:A1710"/>
    <mergeCell ref="B1709:B1710"/>
    <mergeCell ref="C1709:C1710"/>
    <mergeCell ref="F1709:F1710"/>
    <mergeCell ref="G1709:G1710"/>
    <mergeCell ref="H1709:H1710"/>
    <mergeCell ref="I1709:I1710"/>
    <mergeCell ref="J1709:J1710"/>
    <mergeCell ref="K1709:K1710"/>
    <mergeCell ref="P1709:P1710"/>
    <mergeCell ref="Q1709:Q1710"/>
    <mergeCell ref="R1709:R1710"/>
    <mergeCell ref="A1711:A1713"/>
    <mergeCell ref="B1711:B1713"/>
    <mergeCell ref="C1711:C1713"/>
    <mergeCell ref="F1711:F1713"/>
    <mergeCell ref="G1711:G1713"/>
    <mergeCell ref="H1711:H1713"/>
    <mergeCell ref="I1711:I1713"/>
    <mergeCell ref="J1711:J1713"/>
    <mergeCell ref="K1711:K1713"/>
    <mergeCell ref="P1711:P1713"/>
    <mergeCell ref="Q1711:Q1713"/>
    <mergeCell ref="R1711:R1713"/>
    <mergeCell ref="A1717:A1719"/>
    <mergeCell ref="B1717:B1719"/>
    <mergeCell ref="C1717:C1719"/>
    <mergeCell ref="F1717:F1719"/>
    <mergeCell ref="G1717:G1719"/>
    <mergeCell ref="H1717:H1719"/>
    <mergeCell ref="I1717:I1719"/>
    <mergeCell ref="J1717:J1719"/>
    <mergeCell ref="K1717:K1719"/>
    <mergeCell ref="P1717:P1719"/>
    <mergeCell ref="Q1717:Q1719"/>
    <mergeCell ref="R1717:R1719"/>
    <mergeCell ref="A1721:A1726"/>
    <mergeCell ref="B1721:B1726"/>
    <mergeCell ref="C1721:C1726"/>
    <mergeCell ref="F1721:F1726"/>
    <mergeCell ref="G1721:G1726"/>
    <mergeCell ref="H1721:H1726"/>
    <mergeCell ref="I1721:I1726"/>
    <mergeCell ref="J1721:J1726"/>
    <mergeCell ref="K1721:K1726"/>
    <mergeCell ref="P1721:P1726"/>
    <mergeCell ref="Q1721:Q1726"/>
    <mergeCell ref="R1721:R1726"/>
    <mergeCell ref="A1727:A1729"/>
    <mergeCell ref="B1727:B1729"/>
    <mergeCell ref="C1727:C1729"/>
    <mergeCell ref="F1727:F1729"/>
    <mergeCell ref="G1727:G1729"/>
    <mergeCell ref="H1727:H1729"/>
    <mergeCell ref="I1727:I1729"/>
    <mergeCell ref="J1727:J1729"/>
    <mergeCell ref="K1727:K1729"/>
    <mergeCell ref="P1727:P1729"/>
    <mergeCell ref="Q1727:Q1729"/>
    <mergeCell ref="R1727:R1729"/>
    <mergeCell ref="A1730:A1731"/>
    <mergeCell ref="B1730:B1731"/>
    <mergeCell ref="C1730:C1731"/>
    <mergeCell ref="F1730:F1731"/>
    <mergeCell ref="G1730:G1731"/>
    <mergeCell ref="H1730:H1731"/>
    <mergeCell ref="I1730:I1731"/>
    <mergeCell ref="J1730:J1731"/>
    <mergeCell ref="K1730:K1731"/>
    <mergeCell ref="P1730:P1731"/>
    <mergeCell ref="Q1730:Q1731"/>
    <mergeCell ref="R1730:R1731"/>
    <mergeCell ref="A1732:A1736"/>
    <mergeCell ref="B1732:B1736"/>
    <mergeCell ref="C1732:C1736"/>
    <mergeCell ref="F1732:F1736"/>
    <mergeCell ref="G1732:G1736"/>
    <mergeCell ref="H1732:H1736"/>
    <mergeCell ref="I1732:I1736"/>
    <mergeCell ref="J1732:J1736"/>
    <mergeCell ref="K1732:K1736"/>
    <mergeCell ref="P1732:P1736"/>
    <mergeCell ref="Q1732:Q1736"/>
    <mergeCell ref="R1732:R1736"/>
    <mergeCell ref="A1737:A1738"/>
    <mergeCell ref="B1737:B1738"/>
    <mergeCell ref="C1737:C1738"/>
    <mergeCell ref="F1737:F1738"/>
    <mergeCell ref="G1737:G1738"/>
    <mergeCell ref="H1737:H1738"/>
    <mergeCell ref="I1737:I1738"/>
    <mergeCell ref="J1737:J1738"/>
    <mergeCell ref="K1737:K1738"/>
    <mergeCell ref="P1737:P1738"/>
    <mergeCell ref="Q1737:Q1738"/>
    <mergeCell ref="R1737:R1738"/>
    <mergeCell ref="A1739:A1746"/>
    <mergeCell ref="B1739:B1746"/>
    <mergeCell ref="C1739:C1746"/>
    <mergeCell ref="F1739:F1746"/>
    <mergeCell ref="G1739:G1746"/>
    <mergeCell ref="H1739:H1746"/>
    <mergeCell ref="I1739:I1746"/>
    <mergeCell ref="J1739:J1746"/>
    <mergeCell ref="K1739:K1746"/>
    <mergeCell ref="P1739:P1746"/>
    <mergeCell ref="Q1739:Q1746"/>
    <mergeCell ref="R1739:R1746"/>
    <mergeCell ref="A1747:A1749"/>
    <mergeCell ref="B1747:B1749"/>
    <mergeCell ref="C1747:C1749"/>
    <mergeCell ref="F1747:F1749"/>
    <mergeCell ref="G1747:G1749"/>
    <mergeCell ref="H1747:H1749"/>
    <mergeCell ref="I1747:I1749"/>
    <mergeCell ref="J1747:J1749"/>
    <mergeCell ref="K1747:K1749"/>
    <mergeCell ref="P1747:P1749"/>
    <mergeCell ref="Q1747:Q1749"/>
    <mergeCell ref="R1747:R1749"/>
    <mergeCell ref="A1751:A1757"/>
    <mergeCell ref="B1751:B1757"/>
    <mergeCell ref="C1751:C1757"/>
    <mergeCell ref="F1751:F1757"/>
    <mergeCell ref="G1751:G1757"/>
    <mergeCell ref="H1751:H1757"/>
    <mergeCell ref="I1751:I1757"/>
    <mergeCell ref="J1751:J1757"/>
    <mergeCell ref="K1751:K1757"/>
    <mergeCell ref="P1751:P1757"/>
    <mergeCell ref="Q1751:Q1757"/>
    <mergeCell ref="R1751:R1757"/>
    <mergeCell ref="A1762:A1764"/>
    <mergeCell ref="B1762:B1764"/>
    <mergeCell ref="C1762:C1764"/>
    <mergeCell ref="F1762:F1764"/>
    <mergeCell ref="G1762:G1764"/>
    <mergeCell ref="H1762:H1764"/>
    <mergeCell ref="I1762:I1764"/>
    <mergeCell ref="J1762:J1764"/>
    <mergeCell ref="K1762:K1764"/>
    <mergeCell ref="P1762:P1764"/>
    <mergeCell ref="Q1762:Q1764"/>
    <mergeCell ref="R1762:R1764"/>
    <mergeCell ref="A1766:A1770"/>
    <mergeCell ref="B1766:B1770"/>
    <mergeCell ref="C1766:C1770"/>
    <mergeCell ref="F1766:F1770"/>
    <mergeCell ref="G1766:G1770"/>
    <mergeCell ref="H1766:H1770"/>
    <mergeCell ref="I1766:I1770"/>
    <mergeCell ref="J1766:J1770"/>
    <mergeCell ref="K1766:K1770"/>
    <mergeCell ref="P1766:P1770"/>
    <mergeCell ref="Q1766:Q1770"/>
    <mergeCell ref="R1766:R1770"/>
    <mergeCell ref="A1771:A1774"/>
    <mergeCell ref="B1771:B1774"/>
    <mergeCell ref="C1771:C1774"/>
    <mergeCell ref="F1771:F1774"/>
    <mergeCell ref="G1771:G1774"/>
    <mergeCell ref="H1771:H1774"/>
    <mergeCell ref="I1771:I1774"/>
    <mergeCell ref="J1771:J1774"/>
    <mergeCell ref="K1771:K1774"/>
    <mergeCell ref="P1771:P1774"/>
    <mergeCell ref="Q1771:Q1774"/>
    <mergeCell ref="R1771:R1774"/>
    <mergeCell ref="A1775:A1776"/>
    <mergeCell ref="B1775:B1776"/>
    <mergeCell ref="C1775:C1776"/>
    <mergeCell ref="F1775:F1776"/>
    <mergeCell ref="G1775:G1776"/>
    <mergeCell ref="H1775:H1776"/>
    <mergeCell ref="I1775:I1776"/>
    <mergeCell ref="J1775:J1776"/>
    <mergeCell ref="K1775:K1776"/>
    <mergeCell ref="P1775:P1776"/>
    <mergeCell ref="Q1775:Q1776"/>
    <mergeCell ref="R1775:R1776"/>
    <mergeCell ref="A1778:A1780"/>
    <mergeCell ref="B1778:B1780"/>
    <mergeCell ref="C1778:C1780"/>
    <mergeCell ref="F1778:F1780"/>
    <mergeCell ref="G1778:G1780"/>
    <mergeCell ref="H1778:H1780"/>
    <mergeCell ref="I1778:I1780"/>
    <mergeCell ref="J1778:J1780"/>
    <mergeCell ref="K1778:K1780"/>
    <mergeCell ref="P1778:P1780"/>
    <mergeCell ref="Q1778:Q1780"/>
    <mergeCell ref="R1778:R1780"/>
    <mergeCell ref="A1781:A1783"/>
    <mergeCell ref="B1781:B1783"/>
    <mergeCell ref="C1781:C1783"/>
    <mergeCell ref="F1781:F1783"/>
    <mergeCell ref="G1781:G1783"/>
    <mergeCell ref="H1781:H1783"/>
    <mergeCell ref="I1781:I1783"/>
    <mergeCell ref="J1781:J1783"/>
    <mergeCell ref="K1781:K1783"/>
    <mergeCell ref="P1781:P1783"/>
    <mergeCell ref="Q1781:Q1783"/>
    <mergeCell ref="R1781:R1783"/>
    <mergeCell ref="A1785:A1788"/>
    <mergeCell ref="B1785:B1788"/>
    <mergeCell ref="C1785:C1788"/>
    <mergeCell ref="F1785:F1788"/>
    <mergeCell ref="G1785:G1788"/>
    <mergeCell ref="H1785:H1788"/>
    <mergeCell ref="I1785:I1788"/>
    <mergeCell ref="J1785:J1788"/>
    <mergeCell ref="K1785:K1788"/>
    <mergeCell ref="P1785:P1788"/>
    <mergeCell ref="Q1785:Q1788"/>
    <mergeCell ref="R1785:R1788"/>
    <mergeCell ref="A1789:A1790"/>
    <mergeCell ref="B1789:B1790"/>
    <mergeCell ref="C1789:C1790"/>
    <mergeCell ref="F1789:F1790"/>
    <mergeCell ref="G1789:G1790"/>
    <mergeCell ref="H1789:H1790"/>
    <mergeCell ref="I1789:I1790"/>
    <mergeCell ref="J1789:J1790"/>
    <mergeCell ref="K1789:K1790"/>
    <mergeCell ref="P1789:P1790"/>
    <mergeCell ref="Q1789:Q1790"/>
    <mergeCell ref="R1789:R1790"/>
    <mergeCell ref="A1791:A1792"/>
    <mergeCell ref="B1791:B1792"/>
    <mergeCell ref="C1791:C1792"/>
    <mergeCell ref="F1791:F1792"/>
    <mergeCell ref="G1791:G1792"/>
    <mergeCell ref="H1791:H1792"/>
    <mergeCell ref="I1791:I1792"/>
    <mergeCell ref="J1791:J1792"/>
    <mergeCell ref="K1791:K1792"/>
    <mergeCell ref="P1791:P1792"/>
    <mergeCell ref="Q1791:Q1792"/>
    <mergeCell ref="R1791:R1792"/>
    <mergeCell ref="A1794:A1801"/>
    <mergeCell ref="B1794:B1801"/>
    <mergeCell ref="C1794:C1801"/>
    <mergeCell ref="F1794:F1801"/>
    <mergeCell ref="G1794:G1801"/>
    <mergeCell ref="H1794:H1801"/>
    <mergeCell ref="I1794:I1801"/>
    <mergeCell ref="J1794:J1801"/>
    <mergeCell ref="K1794:K1801"/>
    <mergeCell ref="P1794:P1801"/>
    <mergeCell ref="Q1794:Q1801"/>
    <mergeCell ref="R1794:R1801"/>
    <mergeCell ref="A1802:A1803"/>
    <mergeCell ref="B1802:B1803"/>
    <mergeCell ref="C1802:C1803"/>
    <mergeCell ref="F1802:F1803"/>
    <mergeCell ref="G1802:G1803"/>
    <mergeCell ref="H1802:H1803"/>
    <mergeCell ref="I1802:I1803"/>
    <mergeCell ref="J1802:J1803"/>
    <mergeCell ref="K1802:K1803"/>
    <mergeCell ref="P1802:P1803"/>
    <mergeCell ref="Q1802:Q1803"/>
    <mergeCell ref="R1802:R1803"/>
    <mergeCell ref="A1804:A1809"/>
    <mergeCell ref="B1804:B1809"/>
    <mergeCell ref="C1804:C1809"/>
    <mergeCell ref="F1804:F1809"/>
    <mergeCell ref="G1804:G1809"/>
    <mergeCell ref="H1804:H1809"/>
    <mergeCell ref="I1804:I1809"/>
    <mergeCell ref="J1804:J1809"/>
    <mergeCell ref="K1804:K1809"/>
    <mergeCell ref="P1804:P1809"/>
    <mergeCell ref="Q1804:Q1809"/>
    <mergeCell ref="R1804:R1809"/>
    <mergeCell ref="A1810:A1816"/>
    <mergeCell ref="B1810:B1816"/>
    <mergeCell ref="C1810:C1816"/>
    <mergeCell ref="F1810:F1816"/>
    <mergeCell ref="G1810:G1816"/>
    <mergeCell ref="H1810:H1816"/>
    <mergeCell ref="I1810:I1816"/>
    <mergeCell ref="J1810:J1816"/>
    <mergeCell ref="K1810:K1816"/>
    <mergeCell ref="P1810:P1816"/>
    <mergeCell ref="Q1810:Q1816"/>
    <mergeCell ref="R1810:R1816"/>
    <mergeCell ref="A1817:A1820"/>
    <mergeCell ref="B1817:B1820"/>
    <mergeCell ref="C1817:C1820"/>
    <mergeCell ref="F1817:F1820"/>
    <mergeCell ref="G1817:G1820"/>
    <mergeCell ref="H1817:H1820"/>
    <mergeCell ref="I1817:I1820"/>
    <mergeCell ref="J1817:J1820"/>
    <mergeCell ref="K1817:K1820"/>
    <mergeCell ref="P1817:P1820"/>
    <mergeCell ref="Q1817:Q1820"/>
    <mergeCell ref="R1817:R1820"/>
    <mergeCell ref="A1821:A1826"/>
    <mergeCell ref="B1821:B1826"/>
    <mergeCell ref="C1821:C1826"/>
    <mergeCell ref="F1821:F1826"/>
    <mergeCell ref="G1821:G1826"/>
    <mergeCell ref="H1821:H1826"/>
    <mergeCell ref="I1821:I1826"/>
    <mergeCell ref="J1821:J1826"/>
    <mergeCell ref="K1821:K1826"/>
    <mergeCell ref="P1821:P1826"/>
    <mergeCell ref="Q1821:Q1826"/>
    <mergeCell ref="R1821:R1826"/>
    <mergeCell ref="A1827:A1835"/>
    <mergeCell ref="B1827:B1835"/>
    <mergeCell ref="C1827:C1835"/>
    <mergeCell ref="F1827:F1835"/>
    <mergeCell ref="G1827:G1835"/>
    <mergeCell ref="H1827:H1835"/>
    <mergeCell ref="I1827:I1835"/>
    <mergeCell ref="J1827:J1835"/>
    <mergeCell ref="K1827:K1835"/>
    <mergeCell ref="P1827:P1835"/>
    <mergeCell ref="Q1827:Q1835"/>
    <mergeCell ref="R1827:R1835"/>
    <mergeCell ref="A1836:A1841"/>
    <mergeCell ref="B1836:B1841"/>
    <mergeCell ref="C1836:C1841"/>
    <mergeCell ref="F1836:F1841"/>
    <mergeCell ref="G1836:G1841"/>
    <mergeCell ref="H1836:H1841"/>
    <mergeCell ref="I1836:I1841"/>
    <mergeCell ref="J1836:J1841"/>
    <mergeCell ref="K1836:K1841"/>
    <mergeCell ref="P1836:P1841"/>
    <mergeCell ref="Q1836:Q1841"/>
    <mergeCell ref="R1836:R1841"/>
    <mergeCell ref="A1842:A1847"/>
    <mergeCell ref="B1842:B1847"/>
    <mergeCell ref="C1842:C1847"/>
    <mergeCell ref="F1842:F1847"/>
    <mergeCell ref="G1842:G1847"/>
    <mergeCell ref="H1842:H1847"/>
    <mergeCell ref="I1842:I1847"/>
    <mergeCell ref="J1842:J1847"/>
    <mergeCell ref="K1842:K1847"/>
    <mergeCell ref="P1842:P1847"/>
    <mergeCell ref="Q1842:Q1847"/>
    <mergeCell ref="R1842:R1847"/>
    <mergeCell ref="A1848:A1859"/>
    <mergeCell ref="B1848:B1859"/>
    <mergeCell ref="C1848:C1859"/>
    <mergeCell ref="F1848:F1859"/>
    <mergeCell ref="G1848:G1859"/>
    <mergeCell ref="H1848:H1859"/>
    <mergeCell ref="I1848:I1859"/>
    <mergeCell ref="J1848:J1859"/>
    <mergeCell ref="K1848:K1859"/>
    <mergeCell ref="P1848:P1859"/>
    <mergeCell ref="Q1848:Q1859"/>
    <mergeCell ref="R1848:R1859"/>
    <mergeCell ref="A1860:A1875"/>
    <mergeCell ref="B1860:B1875"/>
    <mergeCell ref="C1860:C1875"/>
    <mergeCell ref="F1860:F1875"/>
    <mergeCell ref="G1860:G1875"/>
    <mergeCell ref="H1860:H1875"/>
    <mergeCell ref="I1860:I1875"/>
    <mergeCell ref="J1860:J1875"/>
    <mergeCell ref="K1860:K1875"/>
    <mergeCell ref="P1860:P1875"/>
    <mergeCell ref="Q1860:Q1875"/>
    <mergeCell ref="R1860:R1875"/>
    <mergeCell ref="A1877:A1878"/>
    <mergeCell ref="B1877:B1878"/>
    <mergeCell ref="C1877:C1878"/>
    <mergeCell ref="F1877:F1878"/>
    <mergeCell ref="G1877:G1878"/>
    <mergeCell ref="H1877:H1878"/>
    <mergeCell ref="I1877:I1878"/>
    <mergeCell ref="J1877:J1878"/>
    <mergeCell ref="K1877:K1878"/>
    <mergeCell ref="P1877:P1878"/>
    <mergeCell ref="Q1877:Q1878"/>
    <mergeCell ref="R1877:R1878"/>
    <mergeCell ref="A1879:A1887"/>
    <mergeCell ref="B1879:B1887"/>
    <mergeCell ref="C1879:C1887"/>
    <mergeCell ref="F1879:F1887"/>
    <mergeCell ref="G1879:G1887"/>
    <mergeCell ref="H1879:H1887"/>
    <mergeCell ref="I1879:I1887"/>
    <mergeCell ref="J1879:J1887"/>
    <mergeCell ref="K1879:K1887"/>
    <mergeCell ref="P1879:P1887"/>
    <mergeCell ref="Q1879:Q1887"/>
    <mergeCell ref="R1879:R1887"/>
    <mergeCell ref="A1888:A1898"/>
    <mergeCell ref="B1888:B1898"/>
    <mergeCell ref="C1888:C1898"/>
    <mergeCell ref="F1888:F1898"/>
    <mergeCell ref="G1888:G1898"/>
    <mergeCell ref="H1888:H1898"/>
    <mergeCell ref="I1888:I1898"/>
    <mergeCell ref="J1888:J1898"/>
    <mergeCell ref="K1888:K1898"/>
    <mergeCell ref="P1888:P1898"/>
    <mergeCell ref="Q1888:Q1898"/>
    <mergeCell ref="R1888:R1898"/>
    <mergeCell ref="A1899:A1905"/>
    <mergeCell ref="B1899:B1905"/>
    <mergeCell ref="C1899:C1905"/>
    <mergeCell ref="F1899:F1905"/>
    <mergeCell ref="G1899:G1905"/>
    <mergeCell ref="H1899:H1905"/>
    <mergeCell ref="I1899:I1905"/>
    <mergeCell ref="J1899:J1905"/>
    <mergeCell ref="K1899:K1905"/>
    <mergeCell ref="P1899:P1905"/>
    <mergeCell ref="Q1899:Q1905"/>
    <mergeCell ref="R1899:R1905"/>
    <mergeCell ref="A1906:A1910"/>
    <mergeCell ref="B1906:B1910"/>
    <mergeCell ref="C1906:C1910"/>
    <mergeCell ref="F1906:F1910"/>
    <mergeCell ref="G1906:G1910"/>
    <mergeCell ref="H1906:H1910"/>
    <mergeCell ref="I1906:I1910"/>
    <mergeCell ref="J1906:J1910"/>
    <mergeCell ref="K1906:K1910"/>
    <mergeCell ref="P1906:P1910"/>
    <mergeCell ref="Q1906:Q1910"/>
    <mergeCell ref="R1906:R1910"/>
    <mergeCell ref="A1911:A1914"/>
    <mergeCell ref="B1911:B1914"/>
    <mergeCell ref="C1911:C1914"/>
    <mergeCell ref="F1911:F1914"/>
    <mergeCell ref="G1911:G1914"/>
    <mergeCell ref="H1911:H1914"/>
    <mergeCell ref="I1911:I1914"/>
    <mergeCell ref="J1911:J1914"/>
    <mergeCell ref="K1911:K1914"/>
    <mergeCell ref="P1911:P1914"/>
    <mergeCell ref="Q1911:Q1914"/>
    <mergeCell ref="R1911:R1914"/>
    <mergeCell ref="A1918:A1920"/>
    <mergeCell ref="B1918:B1920"/>
    <mergeCell ref="C1918:C1920"/>
    <mergeCell ref="F1918:F1920"/>
    <mergeCell ref="G1918:G1920"/>
    <mergeCell ref="H1918:H1920"/>
    <mergeCell ref="I1918:I1920"/>
    <mergeCell ref="J1918:J1920"/>
    <mergeCell ref="K1918:K1920"/>
    <mergeCell ref="P1918:P1920"/>
    <mergeCell ref="Q1918:Q1920"/>
    <mergeCell ref="R1918:R1920"/>
    <mergeCell ref="A1921:A1927"/>
    <mergeCell ref="B1921:B1927"/>
    <mergeCell ref="C1921:C1927"/>
    <mergeCell ref="F1921:F1927"/>
    <mergeCell ref="G1921:G1927"/>
    <mergeCell ref="H1921:H1927"/>
    <mergeCell ref="I1921:I1927"/>
    <mergeCell ref="J1921:J1927"/>
    <mergeCell ref="K1921:K1927"/>
    <mergeCell ref="P1921:P1927"/>
    <mergeCell ref="Q1921:Q1927"/>
    <mergeCell ref="R1921:R1927"/>
    <mergeCell ref="A1928:A1931"/>
    <mergeCell ref="B1928:B1931"/>
    <mergeCell ref="C1928:C1931"/>
    <mergeCell ref="F1928:F1931"/>
    <mergeCell ref="G1928:G1931"/>
    <mergeCell ref="H1928:H1931"/>
    <mergeCell ref="I1928:I1931"/>
    <mergeCell ref="J1928:J1931"/>
    <mergeCell ref="K1928:K1931"/>
    <mergeCell ref="P1928:P1931"/>
    <mergeCell ref="Q1928:Q1931"/>
    <mergeCell ref="R1928:R1931"/>
    <mergeCell ref="A1932:A1934"/>
    <mergeCell ref="B1932:B1934"/>
    <mergeCell ref="C1932:C1934"/>
    <mergeCell ref="F1932:F1934"/>
    <mergeCell ref="G1932:G1934"/>
    <mergeCell ref="H1932:H1934"/>
    <mergeCell ref="I1932:I1934"/>
    <mergeCell ref="J1932:J1934"/>
    <mergeCell ref="K1932:K1934"/>
    <mergeCell ref="P1932:P1934"/>
    <mergeCell ref="Q1932:Q1934"/>
    <mergeCell ref="R1932:R1934"/>
    <mergeCell ref="A1940:A1941"/>
    <mergeCell ref="B1940:B1941"/>
    <mergeCell ref="C1940:C1941"/>
    <mergeCell ref="F1940:F1941"/>
    <mergeCell ref="G1940:G1941"/>
    <mergeCell ref="H1940:H1941"/>
    <mergeCell ref="I1940:I1941"/>
    <mergeCell ref="J1940:J1941"/>
    <mergeCell ref="K1940:K1941"/>
    <mergeCell ref="P1940:P1941"/>
    <mergeCell ref="Q1940:Q1941"/>
    <mergeCell ref="R1940:R1941"/>
    <mergeCell ref="A1944:A1945"/>
    <mergeCell ref="B1944:B1945"/>
    <mergeCell ref="C1944:C1945"/>
    <mergeCell ref="F1944:F1945"/>
    <mergeCell ref="G1944:G1945"/>
    <mergeCell ref="H1944:H1945"/>
    <mergeCell ref="I1944:I1945"/>
    <mergeCell ref="J1944:J1945"/>
    <mergeCell ref="K1944:K1945"/>
    <mergeCell ref="P1944:P1945"/>
    <mergeCell ref="Q1944:Q1945"/>
    <mergeCell ref="R1944:R1945"/>
    <mergeCell ref="A1946:A1947"/>
    <mergeCell ref="B1946:B1947"/>
    <mergeCell ref="C1946:C1947"/>
    <mergeCell ref="F1946:F1947"/>
    <mergeCell ref="G1946:G1947"/>
    <mergeCell ref="H1946:H1947"/>
    <mergeCell ref="I1946:I1947"/>
    <mergeCell ref="J1946:J1947"/>
    <mergeCell ref="K1946:K1947"/>
    <mergeCell ref="P1946:P1947"/>
    <mergeCell ref="Q1946:Q1947"/>
    <mergeCell ref="R1946:R1947"/>
    <mergeCell ref="A1948:A1951"/>
    <mergeCell ref="B1948:B1951"/>
    <mergeCell ref="C1948:C1951"/>
    <mergeCell ref="F1948:F1951"/>
    <mergeCell ref="G1948:G1951"/>
    <mergeCell ref="H1948:H1951"/>
    <mergeCell ref="I1948:I1951"/>
    <mergeCell ref="J1948:J1951"/>
    <mergeCell ref="K1948:K1951"/>
    <mergeCell ref="P1948:P1951"/>
    <mergeCell ref="Q1948:Q1951"/>
    <mergeCell ref="R1948:R1951"/>
    <mergeCell ref="A1953:A1962"/>
    <mergeCell ref="B1953:B1962"/>
    <mergeCell ref="C1953:C1962"/>
    <mergeCell ref="F1953:F1962"/>
    <mergeCell ref="G1953:G1962"/>
    <mergeCell ref="H1953:H1962"/>
    <mergeCell ref="I1953:I1962"/>
    <mergeCell ref="J1953:J1962"/>
    <mergeCell ref="K1953:K1962"/>
    <mergeCell ref="P1953:P1962"/>
    <mergeCell ref="Q1953:Q1962"/>
    <mergeCell ref="R1953:R1962"/>
    <mergeCell ref="A1964:A1966"/>
    <mergeCell ref="B1964:B1966"/>
    <mergeCell ref="C1964:C1966"/>
    <mergeCell ref="F1964:F1966"/>
    <mergeCell ref="G1964:G1966"/>
    <mergeCell ref="H1964:H1966"/>
    <mergeCell ref="I1964:I1966"/>
    <mergeCell ref="J1964:J1966"/>
    <mergeCell ref="K1964:K1966"/>
    <mergeCell ref="P1964:P1966"/>
    <mergeCell ref="Q1964:Q1966"/>
    <mergeCell ref="R1964:R1966"/>
    <mergeCell ref="A1967:A1973"/>
    <mergeCell ref="B1967:B1973"/>
    <mergeCell ref="C1967:C1973"/>
    <mergeCell ref="F1967:F1973"/>
    <mergeCell ref="G1967:G1973"/>
    <mergeCell ref="H1967:H1973"/>
    <mergeCell ref="I1967:I1973"/>
    <mergeCell ref="J1967:J1973"/>
    <mergeCell ref="K1967:K1973"/>
    <mergeCell ref="P1967:P1973"/>
    <mergeCell ref="Q1967:Q1973"/>
    <mergeCell ref="R1967:R1973"/>
    <mergeCell ref="A1974:A1977"/>
    <mergeCell ref="B1974:B1977"/>
    <mergeCell ref="C1974:C1977"/>
    <mergeCell ref="F1974:F1977"/>
    <mergeCell ref="G1974:G1977"/>
    <mergeCell ref="H1974:H1977"/>
    <mergeCell ref="I1974:I1977"/>
    <mergeCell ref="J1974:J1977"/>
    <mergeCell ref="K1974:K1977"/>
    <mergeCell ref="P1974:P1977"/>
    <mergeCell ref="Q1974:Q1977"/>
    <mergeCell ref="R1974:R1977"/>
    <mergeCell ref="A1978:A1980"/>
    <mergeCell ref="B1978:B1980"/>
    <mergeCell ref="C1978:C1980"/>
    <mergeCell ref="F1978:F1980"/>
    <mergeCell ref="G1978:G1980"/>
    <mergeCell ref="H1978:H1980"/>
    <mergeCell ref="I1978:I1980"/>
    <mergeCell ref="J1978:J1980"/>
    <mergeCell ref="K1978:K1980"/>
    <mergeCell ref="P1978:P1980"/>
    <mergeCell ref="Q1978:Q1980"/>
    <mergeCell ref="R1978:R1980"/>
    <mergeCell ref="A1982:A1984"/>
    <mergeCell ref="B1982:B1984"/>
    <mergeCell ref="C1982:C1984"/>
    <mergeCell ref="F1982:F1984"/>
    <mergeCell ref="G1982:G1984"/>
    <mergeCell ref="H1982:H1984"/>
    <mergeCell ref="I1982:I1984"/>
    <mergeCell ref="J1982:J1984"/>
    <mergeCell ref="K1982:K1984"/>
    <mergeCell ref="P1982:P1984"/>
    <mergeCell ref="Q1982:Q1984"/>
    <mergeCell ref="R1982:R1984"/>
    <mergeCell ref="A1985:A1987"/>
    <mergeCell ref="B1985:B1987"/>
    <mergeCell ref="C1985:C1987"/>
    <mergeCell ref="F1985:F1987"/>
    <mergeCell ref="G1985:G1987"/>
    <mergeCell ref="H1985:H1987"/>
    <mergeCell ref="I1985:I1987"/>
    <mergeCell ref="J1985:J1987"/>
    <mergeCell ref="K1985:K1987"/>
    <mergeCell ref="P1985:P1987"/>
    <mergeCell ref="Q1985:Q1987"/>
    <mergeCell ref="R1985:R1987"/>
    <mergeCell ref="A1988:A1992"/>
    <mergeCell ref="B1988:B1992"/>
    <mergeCell ref="C1988:C1992"/>
    <mergeCell ref="F1988:F1992"/>
    <mergeCell ref="G1988:G1992"/>
    <mergeCell ref="H1988:H1992"/>
    <mergeCell ref="I1988:I1992"/>
    <mergeCell ref="J1988:J1992"/>
    <mergeCell ref="K1988:K1992"/>
    <mergeCell ref="P1988:P1992"/>
    <mergeCell ref="Q1988:Q1992"/>
    <mergeCell ref="R1988:R1992"/>
    <mergeCell ref="A1995:A1996"/>
    <mergeCell ref="B1995:B1996"/>
    <mergeCell ref="C1995:C1996"/>
    <mergeCell ref="F1995:F1996"/>
    <mergeCell ref="G1995:G1996"/>
    <mergeCell ref="H1995:H1996"/>
    <mergeCell ref="I1995:I1996"/>
    <mergeCell ref="J1995:J1996"/>
    <mergeCell ref="K1995:K1996"/>
    <mergeCell ref="P1995:P1996"/>
    <mergeCell ref="Q1995:Q1996"/>
    <mergeCell ref="R1995:R1996"/>
    <mergeCell ref="A2001:A2002"/>
    <mergeCell ref="B2001:B2002"/>
    <mergeCell ref="C2001:C2002"/>
    <mergeCell ref="F2001:F2002"/>
    <mergeCell ref="G2001:G2002"/>
    <mergeCell ref="H2001:H2002"/>
    <mergeCell ref="I2001:I2002"/>
    <mergeCell ref="J2001:J2002"/>
    <mergeCell ref="K2001:K2002"/>
    <mergeCell ref="P2001:P2002"/>
    <mergeCell ref="Q2001:Q2002"/>
    <mergeCell ref="R2001:R2002"/>
    <mergeCell ref="A2007:A2009"/>
    <mergeCell ref="B2007:B2009"/>
    <mergeCell ref="C2007:C2009"/>
    <mergeCell ref="F2007:F2009"/>
    <mergeCell ref="G2007:G2009"/>
    <mergeCell ref="H2007:H2009"/>
    <mergeCell ref="I2007:I2009"/>
    <mergeCell ref="J2007:J2009"/>
    <mergeCell ref="K2007:K2009"/>
    <mergeCell ref="P2007:P2009"/>
    <mergeCell ref="Q2007:Q2009"/>
    <mergeCell ref="R2007:R2009"/>
    <mergeCell ref="A2011:A2012"/>
    <mergeCell ref="B2011:B2012"/>
    <mergeCell ref="C2011:C2012"/>
    <mergeCell ref="F2011:F2012"/>
    <mergeCell ref="G2011:G2012"/>
    <mergeCell ref="H2011:H2012"/>
    <mergeCell ref="I2011:I2012"/>
    <mergeCell ref="J2011:J2012"/>
    <mergeCell ref="K2011:K2012"/>
    <mergeCell ref="P2011:P2012"/>
    <mergeCell ref="Q2011:Q2012"/>
    <mergeCell ref="R2011:R2012"/>
    <mergeCell ref="A2013:A2014"/>
    <mergeCell ref="B2013:B2014"/>
    <mergeCell ref="C2013:C2014"/>
    <mergeCell ref="F2013:F2014"/>
    <mergeCell ref="G2013:G2014"/>
    <mergeCell ref="H2013:H2014"/>
    <mergeCell ref="I2013:I2014"/>
    <mergeCell ref="J2013:J2014"/>
    <mergeCell ref="K2013:K2014"/>
    <mergeCell ref="P2013:P2014"/>
    <mergeCell ref="Q2013:Q2014"/>
    <mergeCell ref="R2013:R2014"/>
    <mergeCell ref="A2017:A2019"/>
    <mergeCell ref="B2017:B2019"/>
    <mergeCell ref="C2017:C2019"/>
    <mergeCell ref="F2017:F2019"/>
    <mergeCell ref="G2017:G2019"/>
    <mergeCell ref="H2017:H2019"/>
    <mergeCell ref="I2017:I2019"/>
    <mergeCell ref="J2017:J2019"/>
    <mergeCell ref="K2017:K2019"/>
    <mergeCell ref="P2017:P2019"/>
    <mergeCell ref="Q2017:Q2019"/>
    <mergeCell ref="R2017:R2019"/>
    <mergeCell ref="A2021:A2026"/>
    <mergeCell ref="B2021:B2026"/>
    <mergeCell ref="C2021:C2026"/>
    <mergeCell ref="F2021:F2026"/>
    <mergeCell ref="G2021:G2026"/>
    <mergeCell ref="H2021:H2026"/>
    <mergeCell ref="I2021:I2026"/>
    <mergeCell ref="J2021:J2026"/>
    <mergeCell ref="K2021:K2026"/>
    <mergeCell ref="P2021:P2026"/>
    <mergeCell ref="Q2021:Q2026"/>
    <mergeCell ref="R2021:R2026"/>
    <mergeCell ref="A2027:A2029"/>
    <mergeCell ref="B2027:B2029"/>
    <mergeCell ref="C2027:C2029"/>
    <mergeCell ref="F2027:F2029"/>
    <mergeCell ref="G2027:G2029"/>
    <mergeCell ref="H2027:H2029"/>
    <mergeCell ref="I2027:I2029"/>
    <mergeCell ref="J2027:J2029"/>
    <mergeCell ref="K2027:K2029"/>
    <mergeCell ref="P2027:P2029"/>
    <mergeCell ref="Q2027:Q2029"/>
    <mergeCell ref="R2027:R2029"/>
    <mergeCell ref="A2034:A2040"/>
    <mergeCell ref="B2034:B2040"/>
    <mergeCell ref="C2034:C2040"/>
    <mergeCell ref="F2034:F2040"/>
    <mergeCell ref="G2034:G2040"/>
    <mergeCell ref="H2034:H2040"/>
    <mergeCell ref="I2034:I2040"/>
    <mergeCell ref="J2034:J2040"/>
    <mergeCell ref="K2034:K2040"/>
    <mergeCell ref="P2034:P2040"/>
    <mergeCell ref="Q2034:Q2040"/>
    <mergeCell ref="R2034:R2040"/>
    <mergeCell ref="A2044:A2049"/>
    <mergeCell ref="B2044:B2049"/>
    <mergeCell ref="C2044:C2049"/>
    <mergeCell ref="F2044:F2049"/>
    <mergeCell ref="G2044:G2049"/>
    <mergeCell ref="H2044:H2049"/>
    <mergeCell ref="I2044:I2049"/>
    <mergeCell ref="J2044:J2049"/>
    <mergeCell ref="K2044:K2049"/>
    <mergeCell ref="P2044:P2049"/>
    <mergeCell ref="Q2044:Q2049"/>
    <mergeCell ref="R2044:R2049"/>
    <mergeCell ref="A2052:A2061"/>
    <mergeCell ref="B2052:B2061"/>
    <mergeCell ref="C2052:C2061"/>
    <mergeCell ref="F2052:F2061"/>
    <mergeCell ref="G2052:G2061"/>
    <mergeCell ref="H2052:H2061"/>
    <mergeCell ref="I2052:I2061"/>
    <mergeCell ref="J2052:J2061"/>
    <mergeCell ref="K2052:K2061"/>
    <mergeCell ref="P2052:P2061"/>
    <mergeCell ref="Q2052:Q2061"/>
    <mergeCell ref="R2052:R2061"/>
    <mergeCell ref="A2063:A2069"/>
    <mergeCell ref="B2063:B2069"/>
    <mergeCell ref="C2063:C2069"/>
    <mergeCell ref="F2063:F2069"/>
    <mergeCell ref="G2063:G2069"/>
    <mergeCell ref="H2063:H2069"/>
    <mergeCell ref="I2063:I2069"/>
    <mergeCell ref="J2063:J2069"/>
    <mergeCell ref="K2063:K2069"/>
    <mergeCell ref="P2063:P2069"/>
    <mergeCell ref="Q2063:Q2069"/>
    <mergeCell ref="R2063:R2069"/>
    <mergeCell ref="A2070:A2071"/>
    <mergeCell ref="B2070:B2071"/>
    <mergeCell ref="C2070:C2071"/>
    <mergeCell ref="F2070:F2071"/>
    <mergeCell ref="G2070:G2071"/>
    <mergeCell ref="H2070:H2071"/>
    <mergeCell ref="I2070:I2071"/>
    <mergeCell ref="J2070:J2071"/>
    <mergeCell ref="K2070:K2071"/>
    <mergeCell ref="P2070:P2071"/>
    <mergeCell ref="Q2070:Q2071"/>
    <mergeCell ref="R2070:R2071"/>
    <mergeCell ref="A2072:A2074"/>
    <mergeCell ref="B2072:B2074"/>
    <mergeCell ref="C2072:C2074"/>
    <mergeCell ref="F2072:F2074"/>
    <mergeCell ref="G2072:G2074"/>
    <mergeCell ref="H2072:H2074"/>
    <mergeCell ref="I2072:I2074"/>
    <mergeCell ref="J2072:J2074"/>
    <mergeCell ref="K2072:K2074"/>
    <mergeCell ref="P2072:P2074"/>
    <mergeCell ref="Q2072:Q2074"/>
    <mergeCell ref="R2072:R2074"/>
    <mergeCell ref="A2075:A2080"/>
    <mergeCell ref="B2075:B2080"/>
    <mergeCell ref="C2075:C2080"/>
    <mergeCell ref="F2075:F2080"/>
    <mergeCell ref="G2075:G2080"/>
    <mergeCell ref="H2075:H2080"/>
    <mergeCell ref="I2075:I2080"/>
    <mergeCell ref="J2075:J2080"/>
    <mergeCell ref="K2075:K2080"/>
    <mergeCell ref="P2075:P2080"/>
    <mergeCell ref="Q2075:Q2080"/>
    <mergeCell ref="R2075:R2080"/>
    <mergeCell ref="A2081:A2085"/>
    <mergeCell ref="B2081:B2085"/>
    <mergeCell ref="C2081:C2085"/>
    <mergeCell ref="F2081:F2085"/>
    <mergeCell ref="G2081:G2085"/>
    <mergeCell ref="H2081:H2085"/>
    <mergeCell ref="I2081:I2085"/>
    <mergeCell ref="J2081:J2085"/>
    <mergeCell ref="K2081:K2085"/>
    <mergeCell ref="P2081:P2085"/>
    <mergeCell ref="Q2081:Q2085"/>
    <mergeCell ref="R2081:R2085"/>
    <mergeCell ref="A2086:A2089"/>
    <mergeCell ref="B2086:B2089"/>
    <mergeCell ref="C2086:C2089"/>
    <mergeCell ref="F2086:F2089"/>
    <mergeCell ref="G2086:G2089"/>
    <mergeCell ref="H2086:H2089"/>
    <mergeCell ref="I2086:I2089"/>
    <mergeCell ref="J2086:J2089"/>
    <mergeCell ref="K2086:K2089"/>
    <mergeCell ref="P2086:P2089"/>
    <mergeCell ref="Q2086:Q2089"/>
    <mergeCell ref="R2086:R2089"/>
    <mergeCell ref="A2090:A2095"/>
    <mergeCell ref="B2090:B2095"/>
    <mergeCell ref="C2090:C2095"/>
    <mergeCell ref="F2090:F2095"/>
    <mergeCell ref="G2090:G2095"/>
    <mergeCell ref="H2090:H2095"/>
    <mergeCell ref="I2090:I2095"/>
    <mergeCell ref="J2090:J2095"/>
    <mergeCell ref="K2090:K2095"/>
    <mergeCell ref="P2090:P2095"/>
    <mergeCell ref="Q2090:Q2095"/>
    <mergeCell ref="R2090:R2095"/>
    <mergeCell ref="A2096:A2102"/>
    <mergeCell ref="B2096:B2102"/>
    <mergeCell ref="C2096:C2102"/>
    <mergeCell ref="F2096:F2102"/>
    <mergeCell ref="G2096:G2102"/>
    <mergeCell ref="H2096:H2102"/>
    <mergeCell ref="I2096:I2102"/>
    <mergeCell ref="J2096:J2102"/>
    <mergeCell ref="K2096:K2102"/>
    <mergeCell ref="P2096:P2102"/>
    <mergeCell ref="Q2096:Q2102"/>
    <mergeCell ref="R2096:R2102"/>
    <mergeCell ref="A2104:A2105"/>
    <mergeCell ref="B2104:B2105"/>
    <mergeCell ref="C2104:C2105"/>
    <mergeCell ref="F2104:F2105"/>
    <mergeCell ref="G2104:G2105"/>
    <mergeCell ref="H2104:H2105"/>
    <mergeCell ref="I2104:I2105"/>
    <mergeCell ref="J2104:J2105"/>
    <mergeCell ref="K2104:K2105"/>
    <mergeCell ref="P2104:P2105"/>
    <mergeCell ref="Q2104:Q2105"/>
    <mergeCell ref="R2104:R2105"/>
    <mergeCell ref="A2106:A2107"/>
    <mergeCell ref="B2106:B2107"/>
    <mergeCell ref="C2106:C2107"/>
    <mergeCell ref="F2106:F2107"/>
    <mergeCell ref="G2106:G2107"/>
    <mergeCell ref="H2106:H2107"/>
    <mergeCell ref="I2106:I2107"/>
    <mergeCell ref="J2106:J2107"/>
    <mergeCell ref="K2106:K2107"/>
    <mergeCell ref="P2106:P2107"/>
    <mergeCell ref="Q2106:Q2107"/>
    <mergeCell ref="R2106:R2107"/>
    <mergeCell ref="A2108:A2126"/>
    <mergeCell ref="B2108:B2126"/>
    <mergeCell ref="C2108:C2126"/>
    <mergeCell ref="F2108:F2126"/>
    <mergeCell ref="G2108:G2126"/>
    <mergeCell ref="H2108:H2126"/>
    <mergeCell ref="I2108:I2126"/>
    <mergeCell ref="J2108:J2126"/>
    <mergeCell ref="K2108:K2126"/>
    <mergeCell ref="P2108:P2126"/>
    <mergeCell ref="Q2108:Q2126"/>
    <mergeCell ref="R2108:R2126"/>
    <mergeCell ref="A2127:A2129"/>
    <mergeCell ref="B2127:B2129"/>
    <mergeCell ref="C2127:C2129"/>
    <mergeCell ref="F2127:F2129"/>
    <mergeCell ref="G2127:G2129"/>
    <mergeCell ref="H2127:H2129"/>
    <mergeCell ref="I2127:I2129"/>
    <mergeCell ref="J2127:J2129"/>
    <mergeCell ref="K2127:K2129"/>
    <mergeCell ref="P2127:P2129"/>
    <mergeCell ref="Q2127:Q2129"/>
    <mergeCell ref="R2127:R2129"/>
    <mergeCell ref="A2131:A2133"/>
    <mergeCell ref="B2131:B2133"/>
    <mergeCell ref="C2131:C2133"/>
    <mergeCell ref="F2131:F2133"/>
    <mergeCell ref="G2131:G2133"/>
    <mergeCell ref="H2131:H2133"/>
    <mergeCell ref="I2131:I2133"/>
    <mergeCell ref="J2131:J2133"/>
    <mergeCell ref="K2131:K2133"/>
    <mergeCell ref="P2131:P2133"/>
    <mergeCell ref="Q2131:Q2133"/>
    <mergeCell ref="R2131:R2133"/>
    <mergeCell ref="A2134:A2147"/>
    <mergeCell ref="B2134:B2147"/>
    <mergeCell ref="C2134:C2147"/>
    <mergeCell ref="F2134:F2147"/>
    <mergeCell ref="G2134:G2147"/>
    <mergeCell ref="H2134:H2147"/>
    <mergeCell ref="I2134:I2147"/>
    <mergeCell ref="J2134:J2147"/>
    <mergeCell ref="K2134:K2147"/>
    <mergeCell ref="P2134:P2147"/>
    <mergeCell ref="Q2134:Q2147"/>
    <mergeCell ref="R2134:R2147"/>
    <mergeCell ref="A2148:A2151"/>
    <mergeCell ref="B2148:B2151"/>
    <mergeCell ref="C2148:C2151"/>
    <mergeCell ref="F2148:F2151"/>
    <mergeCell ref="G2148:G2151"/>
    <mergeCell ref="H2148:H2151"/>
    <mergeCell ref="I2148:I2151"/>
    <mergeCell ref="J2148:J2151"/>
    <mergeCell ref="K2148:K2151"/>
    <mergeCell ref="P2148:P2151"/>
    <mergeCell ref="Q2148:Q2151"/>
    <mergeCell ref="R2148:R2151"/>
    <mergeCell ref="A2152:A2153"/>
    <mergeCell ref="B2152:B2153"/>
    <mergeCell ref="C2152:C2153"/>
    <mergeCell ref="F2152:F2153"/>
    <mergeCell ref="G2152:G2153"/>
    <mergeCell ref="H2152:H2153"/>
    <mergeCell ref="I2152:I2153"/>
    <mergeCell ref="J2152:J2153"/>
    <mergeCell ref="K2152:K2153"/>
    <mergeCell ref="P2152:P2153"/>
    <mergeCell ref="Q2152:Q2153"/>
    <mergeCell ref="R2152:R2153"/>
    <mergeCell ref="A2154:A2161"/>
    <mergeCell ref="B2154:B2161"/>
    <mergeCell ref="C2154:C2161"/>
    <mergeCell ref="F2154:F2161"/>
    <mergeCell ref="G2154:G2161"/>
    <mergeCell ref="H2154:H2161"/>
    <mergeCell ref="I2154:I2161"/>
    <mergeCell ref="J2154:J2161"/>
    <mergeCell ref="K2154:K2161"/>
    <mergeCell ref="P2154:P2161"/>
    <mergeCell ref="Q2154:Q2161"/>
    <mergeCell ref="R2154:R2161"/>
    <mergeCell ref="A2163:A2168"/>
    <mergeCell ref="B2163:B2168"/>
    <mergeCell ref="C2163:C2168"/>
    <mergeCell ref="F2163:F2168"/>
    <mergeCell ref="G2163:G2168"/>
    <mergeCell ref="H2163:H2168"/>
    <mergeCell ref="I2163:I2168"/>
    <mergeCell ref="J2163:J2168"/>
    <mergeCell ref="K2163:K2168"/>
    <mergeCell ref="P2163:P2168"/>
    <mergeCell ref="Q2163:Q2168"/>
    <mergeCell ref="R2163:R2168"/>
    <mergeCell ref="A2169:A2172"/>
    <mergeCell ref="B2169:B2172"/>
    <mergeCell ref="C2169:C2172"/>
    <mergeCell ref="F2169:F2172"/>
    <mergeCell ref="G2169:G2172"/>
    <mergeCell ref="H2169:H2172"/>
    <mergeCell ref="I2169:I2172"/>
    <mergeCell ref="J2169:J2172"/>
    <mergeCell ref="K2169:K2172"/>
    <mergeCell ref="P2169:P2172"/>
    <mergeCell ref="Q2169:Q2172"/>
    <mergeCell ref="R2169:R2172"/>
    <mergeCell ref="A2173:A2174"/>
    <mergeCell ref="B2173:B2174"/>
    <mergeCell ref="C2173:C2174"/>
    <mergeCell ref="F2173:F2174"/>
    <mergeCell ref="G2173:G2174"/>
    <mergeCell ref="H2173:H2174"/>
    <mergeCell ref="I2173:I2174"/>
    <mergeCell ref="J2173:J2174"/>
    <mergeCell ref="K2173:K2174"/>
    <mergeCell ref="P2173:P2174"/>
    <mergeCell ref="Q2173:Q2174"/>
    <mergeCell ref="R2173:R2174"/>
    <mergeCell ref="A2175:A2177"/>
    <mergeCell ref="B2175:B2177"/>
    <mergeCell ref="C2175:C2177"/>
    <mergeCell ref="F2175:F2177"/>
    <mergeCell ref="G2175:G2177"/>
    <mergeCell ref="H2175:H2177"/>
    <mergeCell ref="I2175:I2177"/>
    <mergeCell ref="J2175:J2177"/>
    <mergeCell ref="K2175:K2177"/>
    <mergeCell ref="P2175:P2177"/>
    <mergeCell ref="Q2175:Q2177"/>
    <mergeCell ref="R2175:R2177"/>
    <mergeCell ref="A2178:A2185"/>
    <mergeCell ref="B2178:B2185"/>
    <mergeCell ref="C2178:C2185"/>
    <mergeCell ref="F2178:F2185"/>
    <mergeCell ref="G2178:G2185"/>
    <mergeCell ref="H2178:H2185"/>
    <mergeCell ref="I2178:I2185"/>
    <mergeCell ref="J2178:J2185"/>
    <mergeCell ref="K2178:K2185"/>
    <mergeCell ref="P2178:P2185"/>
    <mergeCell ref="Q2178:Q2185"/>
    <mergeCell ref="R2178:R2185"/>
    <mergeCell ref="A2186:A2187"/>
    <mergeCell ref="B2186:B2187"/>
    <mergeCell ref="C2186:C2187"/>
    <mergeCell ref="F2186:F2187"/>
    <mergeCell ref="G2186:G2187"/>
    <mergeCell ref="H2186:H2187"/>
    <mergeCell ref="I2186:I2187"/>
    <mergeCell ref="J2186:J2187"/>
    <mergeCell ref="K2186:K2187"/>
    <mergeCell ref="P2186:P2187"/>
    <mergeCell ref="Q2186:Q2187"/>
    <mergeCell ref="R2186:R2187"/>
    <mergeCell ref="A2189:A2196"/>
    <mergeCell ref="B2189:B2196"/>
    <mergeCell ref="C2189:C2196"/>
    <mergeCell ref="F2189:F2196"/>
    <mergeCell ref="G2189:G2196"/>
    <mergeCell ref="H2189:H2196"/>
    <mergeCell ref="I2189:I2196"/>
    <mergeCell ref="J2189:J2196"/>
    <mergeCell ref="K2189:K2196"/>
    <mergeCell ref="P2189:P2196"/>
    <mergeCell ref="Q2189:Q2196"/>
    <mergeCell ref="R2189:R2196"/>
    <mergeCell ref="A2198:A2200"/>
    <mergeCell ref="B2198:B2200"/>
    <mergeCell ref="C2198:C2200"/>
    <mergeCell ref="F2198:F2200"/>
    <mergeCell ref="G2198:G2200"/>
    <mergeCell ref="H2198:H2200"/>
    <mergeCell ref="I2198:I2200"/>
    <mergeCell ref="J2198:J2200"/>
    <mergeCell ref="K2198:K2200"/>
    <mergeCell ref="P2198:P2200"/>
    <mergeCell ref="Q2198:Q2200"/>
    <mergeCell ref="R2198:R2200"/>
    <mergeCell ref="A2201:A2205"/>
    <mergeCell ref="B2201:B2205"/>
    <mergeCell ref="C2201:C2205"/>
    <mergeCell ref="F2201:F2205"/>
    <mergeCell ref="G2201:G2205"/>
    <mergeCell ref="H2201:H2205"/>
    <mergeCell ref="I2201:I2205"/>
    <mergeCell ref="J2201:J2205"/>
    <mergeCell ref="K2201:K2205"/>
    <mergeCell ref="P2201:P2205"/>
    <mergeCell ref="Q2201:Q2205"/>
    <mergeCell ref="R2201:R2205"/>
    <mergeCell ref="A2206:A2210"/>
    <mergeCell ref="B2206:B2210"/>
    <mergeCell ref="C2206:C2210"/>
    <mergeCell ref="F2206:F2210"/>
    <mergeCell ref="G2206:G2210"/>
    <mergeCell ref="H2206:H2210"/>
    <mergeCell ref="I2206:I2210"/>
    <mergeCell ref="J2206:J2210"/>
    <mergeCell ref="K2206:K2210"/>
    <mergeCell ref="P2206:P2210"/>
    <mergeCell ref="Q2206:Q2210"/>
    <mergeCell ref="R2206:R2210"/>
    <mergeCell ref="A2211:A2213"/>
    <mergeCell ref="B2211:B2213"/>
    <mergeCell ref="C2211:C2213"/>
    <mergeCell ref="F2211:F2213"/>
    <mergeCell ref="G2211:G2213"/>
    <mergeCell ref="H2211:H2213"/>
    <mergeCell ref="I2211:I2213"/>
    <mergeCell ref="J2211:J2213"/>
    <mergeCell ref="K2211:K2213"/>
    <mergeCell ref="P2211:P2213"/>
    <mergeCell ref="Q2211:Q2213"/>
    <mergeCell ref="R2211:R2213"/>
    <mergeCell ref="A2214:A2215"/>
    <mergeCell ref="B2214:B2215"/>
    <mergeCell ref="C2214:C2215"/>
    <mergeCell ref="F2214:F2215"/>
    <mergeCell ref="G2214:G2215"/>
    <mergeCell ref="H2214:H2215"/>
    <mergeCell ref="I2214:I2215"/>
    <mergeCell ref="J2214:J2215"/>
    <mergeCell ref="K2214:K2215"/>
    <mergeCell ref="P2214:P2215"/>
    <mergeCell ref="Q2214:Q2215"/>
    <mergeCell ref="R2214:R2215"/>
    <mergeCell ref="A2221:A2222"/>
    <mergeCell ref="B2221:B2222"/>
    <mergeCell ref="C2221:C2222"/>
    <mergeCell ref="F2221:F2222"/>
    <mergeCell ref="G2221:G2222"/>
    <mergeCell ref="H2221:H2222"/>
    <mergeCell ref="I2221:I2222"/>
    <mergeCell ref="J2221:J2222"/>
    <mergeCell ref="K2221:K2222"/>
    <mergeCell ref="P2221:P2222"/>
    <mergeCell ref="Q2221:Q2222"/>
    <mergeCell ref="R2221:R2222"/>
    <mergeCell ref="A2225:A2233"/>
    <mergeCell ref="B2225:B2233"/>
    <mergeCell ref="C2225:C2233"/>
    <mergeCell ref="F2225:F2233"/>
    <mergeCell ref="G2225:G2233"/>
    <mergeCell ref="H2225:H2233"/>
    <mergeCell ref="I2225:I2233"/>
    <mergeCell ref="J2225:J2233"/>
    <mergeCell ref="K2225:K2233"/>
    <mergeCell ref="P2225:P2233"/>
    <mergeCell ref="Q2225:Q2233"/>
    <mergeCell ref="R2225:R2233"/>
    <mergeCell ref="A2234:A2243"/>
    <mergeCell ref="B2234:B2243"/>
    <mergeCell ref="C2234:C2243"/>
    <mergeCell ref="F2234:F2243"/>
    <mergeCell ref="G2234:G2243"/>
    <mergeCell ref="H2234:H2243"/>
    <mergeCell ref="I2234:I2243"/>
    <mergeCell ref="J2234:J2243"/>
    <mergeCell ref="K2234:K2243"/>
    <mergeCell ref="P2234:P2243"/>
    <mergeCell ref="Q2234:Q2243"/>
    <mergeCell ref="R2234:R2243"/>
    <mergeCell ref="A2245:A2247"/>
    <mergeCell ref="B2245:B2247"/>
    <mergeCell ref="C2245:C2247"/>
    <mergeCell ref="F2245:F2247"/>
    <mergeCell ref="G2245:G2247"/>
    <mergeCell ref="H2245:H2247"/>
    <mergeCell ref="I2245:I2247"/>
    <mergeCell ref="J2245:J2247"/>
    <mergeCell ref="K2245:K2247"/>
    <mergeCell ref="P2245:P2247"/>
    <mergeCell ref="Q2245:Q2247"/>
    <mergeCell ref="R2245:R2247"/>
    <mergeCell ref="A2248:A2252"/>
    <mergeCell ref="B2248:B2252"/>
    <mergeCell ref="C2248:C2252"/>
    <mergeCell ref="F2248:F2252"/>
    <mergeCell ref="G2248:G2252"/>
    <mergeCell ref="H2248:H2252"/>
    <mergeCell ref="I2248:I2252"/>
    <mergeCell ref="J2248:J2252"/>
    <mergeCell ref="K2248:K2252"/>
    <mergeCell ref="P2248:P2252"/>
    <mergeCell ref="Q2248:Q2252"/>
    <mergeCell ref="R2248:R2252"/>
    <mergeCell ref="A2253:A2259"/>
    <mergeCell ref="B2253:B2259"/>
    <mergeCell ref="C2253:C2259"/>
    <mergeCell ref="F2253:F2259"/>
    <mergeCell ref="G2253:G2259"/>
    <mergeCell ref="H2253:H2259"/>
    <mergeCell ref="I2253:I2259"/>
    <mergeCell ref="J2253:J2259"/>
    <mergeCell ref="K2253:K2259"/>
    <mergeCell ref="P2253:P2259"/>
    <mergeCell ref="Q2253:Q2259"/>
    <mergeCell ref="R2253:R2259"/>
    <mergeCell ref="A2260:A2262"/>
    <mergeCell ref="B2260:B2262"/>
    <mergeCell ref="C2260:C2262"/>
    <mergeCell ref="F2260:F2262"/>
    <mergeCell ref="G2260:G2262"/>
    <mergeCell ref="H2260:H2262"/>
    <mergeCell ref="I2260:I2262"/>
    <mergeCell ref="J2260:J2262"/>
    <mergeCell ref="K2260:K2262"/>
    <mergeCell ref="P2260:P2262"/>
    <mergeCell ref="Q2260:Q2262"/>
    <mergeCell ref="R2260:R2262"/>
    <mergeCell ref="A2263:A2264"/>
    <mergeCell ref="B2263:B2264"/>
    <mergeCell ref="C2263:C2264"/>
    <mergeCell ref="F2263:F2264"/>
    <mergeCell ref="G2263:G2264"/>
    <mergeCell ref="H2263:H2264"/>
    <mergeCell ref="I2263:I2264"/>
    <mergeCell ref="J2263:J2264"/>
    <mergeCell ref="K2263:K2264"/>
    <mergeCell ref="P2263:P2264"/>
    <mergeCell ref="Q2263:Q2264"/>
    <mergeCell ref="R2263:R2264"/>
    <mergeCell ref="A2266:A2267"/>
    <mergeCell ref="B2266:B2267"/>
    <mergeCell ref="C2266:C2267"/>
    <mergeCell ref="F2266:F2267"/>
    <mergeCell ref="G2266:G2267"/>
    <mergeCell ref="H2266:H2267"/>
    <mergeCell ref="I2266:I2267"/>
    <mergeCell ref="J2266:J2267"/>
    <mergeCell ref="K2266:K2267"/>
    <mergeCell ref="P2266:P2267"/>
    <mergeCell ref="Q2266:Q2267"/>
    <mergeCell ref="R2266:R2267"/>
    <mergeCell ref="A2269:A2273"/>
    <mergeCell ref="B2269:B2273"/>
    <mergeCell ref="C2269:C2273"/>
    <mergeCell ref="F2269:F2273"/>
    <mergeCell ref="G2269:G2273"/>
    <mergeCell ref="H2269:H2273"/>
    <mergeCell ref="I2269:I2273"/>
    <mergeCell ref="J2269:J2273"/>
    <mergeCell ref="K2269:K2273"/>
    <mergeCell ref="P2269:P2273"/>
    <mergeCell ref="Q2269:Q2273"/>
    <mergeCell ref="R2269:R2273"/>
    <mergeCell ref="A2274:A2276"/>
    <mergeCell ref="B2274:B2276"/>
    <mergeCell ref="C2274:C2276"/>
    <mergeCell ref="F2274:F2276"/>
    <mergeCell ref="G2274:G2276"/>
    <mergeCell ref="H2274:H2276"/>
    <mergeCell ref="I2274:I2276"/>
    <mergeCell ref="J2274:J2276"/>
    <mergeCell ref="K2274:K2276"/>
    <mergeCell ref="P2274:P2276"/>
    <mergeCell ref="Q2274:Q2276"/>
    <mergeCell ref="R2274:R2276"/>
    <mergeCell ref="A2277:A2279"/>
    <mergeCell ref="B2277:B2279"/>
    <mergeCell ref="C2277:C2279"/>
    <mergeCell ref="F2277:F2279"/>
    <mergeCell ref="G2277:G2279"/>
    <mergeCell ref="H2277:H2279"/>
    <mergeCell ref="I2277:I2279"/>
    <mergeCell ref="J2277:J2279"/>
    <mergeCell ref="K2277:K2279"/>
    <mergeCell ref="P2277:P2279"/>
    <mergeCell ref="Q2277:Q2279"/>
    <mergeCell ref="R2277:R2279"/>
    <mergeCell ref="A2281:A2282"/>
    <mergeCell ref="B2281:B2282"/>
    <mergeCell ref="C2281:C2282"/>
    <mergeCell ref="F2281:F2282"/>
    <mergeCell ref="G2281:G2282"/>
    <mergeCell ref="H2281:H2282"/>
    <mergeCell ref="I2281:I2282"/>
    <mergeCell ref="J2281:J2282"/>
    <mergeCell ref="K2281:K2282"/>
    <mergeCell ref="P2281:P2282"/>
    <mergeCell ref="Q2281:Q2282"/>
    <mergeCell ref="R2281:R2282"/>
    <mergeCell ref="A2285:A2286"/>
    <mergeCell ref="B2285:B2286"/>
    <mergeCell ref="C2285:C2286"/>
    <mergeCell ref="F2285:F2286"/>
    <mergeCell ref="G2285:G2286"/>
    <mergeCell ref="H2285:H2286"/>
    <mergeCell ref="I2285:I2286"/>
    <mergeCell ref="J2285:J2286"/>
    <mergeCell ref="K2285:K2286"/>
    <mergeCell ref="P2285:P2286"/>
    <mergeCell ref="Q2285:Q2286"/>
    <mergeCell ref="R2285:R2286"/>
    <mergeCell ref="A2288:A2297"/>
    <mergeCell ref="B2288:B2297"/>
    <mergeCell ref="C2288:C2297"/>
    <mergeCell ref="F2288:F2297"/>
    <mergeCell ref="G2288:G2297"/>
    <mergeCell ref="H2288:H2297"/>
    <mergeCell ref="I2288:I2297"/>
    <mergeCell ref="J2288:J2297"/>
    <mergeCell ref="K2288:K2297"/>
    <mergeCell ref="P2288:P2297"/>
    <mergeCell ref="Q2288:Q2297"/>
    <mergeCell ref="R2288:R2297"/>
    <mergeCell ref="A2310:A2312"/>
    <mergeCell ref="B2310:B2312"/>
    <mergeCell ref="C2310:C2312"/>
    <mergeCell ref="F2310:F2312"/>
    <mergeCell ref="G2310:G2312"/>
    <mergeCell ref="H2310:H2312"/>
    <mergeCell ref="I2310:I2312"/>
    <mergeCell ref="J2310:J2312"/>
    <mergeCell ref="K2310:K2312"/>
    <mergeCell ref="P2310:P2312"/>
    <mergeCell ref="Q2310:Q2312"/>
    <mergeCell ref="R2310:R2312"/>
    <mergeCell ref="A2313:A2314"/>
    <mergeCell ref="B2313:B2314"/>
    <mergeCell ref="C2313:C2314"/>
    <mergeCell ref="F2313:F2314"/>
    <mergeCell ref="G2313:G2314"/>
    <mergeCell ref="H2313:H2314"/>
    <mergeCell ref="I2313:I2314"/>
    <mergeCell ref="J2313:J2314"/>
    <mergeCell ref="K2313:K2314"/>
    <mergeCell ref="P2313:P2314"/>
    <mergeCell ref="Q2313:Q2314"/>
    <mergeCell ref="R2313:R2314"/>
    <mergeCell ref="A2315:A2316"/>
    <mergeCell ref="B2315:B2316"/>
    <mergeCell ref="C2315:C2316"/>
    <mergeCell ref="F2315:F2316"/>
    <mergeCell ref="G2315:G2316"/>
    <mergeCell ref="H2315:H2316"/>
    <mergeCell ref="I2315:I2316"/>
    <mergeCell ref="J2315:J2316"/>
    <mergeCell ref="K2315:K2316"/>
    <mergeCell ref="P2315:P2316"/>
    <mergeCell ref="Q2315:Q2316"/>
    <mergeCell ref="R2315:R2316"/>
    <mergeCell ref="A2323:A2324"/>
    <mergeCell ref="B2323:B2324"/>
    <mergeCell ref="C2323:C2324"/>
    <mergeCell ref="F2323:F2324"/>
    <mergeCell ref="G2323:G2324"/>
    <mergeCell ref="H2323:H2324"/>
    <mergeCell ref="I2323:I2324"/>
    <mergeCell ref="J2323:J2324"/>
    <mergeCell ref="K2323:K2324"/>
    <mergeCell ref="P2323:P2324"/>
    <mergeCell ref="Q2323:Q2324"/>
    <mergeCell ref="R2323:R2324"/>
    <mergeCell ref="A2327:A2329"/>
    <mergeCell ref="B2327:B2329"/>
    <mergeCell ref="C2327:C2329"/>
    <mergeCell ref="F2327:F2329"/>
    <mergeCell ref="G2327:G2329"/>
    <mergeCell ref="H2327:H2329"/>
    <mergeCell ref="I2327:I2329"/>
    <mergeCell ref="J2327:J2329"/>
    <mergeCell ref="K2327:K2329"/>
    <mergeCell ref="P2327:P2329"/>
    <mergeCell ref="Q2327:Q2329"/>
    <mergeCell ref="R2327:R2329"/>
    <mergeCell ref="A2330:A2334"/>
    <mergeCell ref="B2330:B2334"/>
    <mergeCell ref="C2330:C2334"/>
    <mergeCell ref="F2330:F2334"/>
    <mergeCell ref="G2330:G2334"/>
    <mergeCell ref="H2330:H2334"/>
    <mergeCell ref="I2330:I2334"/>
    <mergeCell ref="J2330:J2334"/>
    <mergeCell ref="K2330:K2334"/>
    <mergeCell ref="P2330:P2334"/>
    <mergeCell ref="Q2330:Q2334"/>
    <mergeCell ref="R2330:R2334"/>
    <mergeCell ref="A2335:A2337"/>
    <mergeCell ref="B2335:B2337"/>
    <mergeCell ref="C2335:C2337"/>
    <mergeCell ref="F2335:F2337"/>
    <mergeCell ref="G2335:G2337"/>
    <mergeCell ref="H2335:H2337"/>
    <mergeCell ref="I2335:I2337"/>
    <mergeCell ref="J2335:J2337"/>
    <mergeCell ref="K2335:K2337"/>
    <mergeCell ref="P2335:P2337"/>
    <mergeCell ref="Q2335:Q2337"/>
    <mergeCell ref="R2335:R2337"/>
    <mergeCell ref="A2338:A2343"/>
    <mergeCell ref="B2338:B2343"/>
    <mergeCell ref="C2338:C2343"/>
    <mergeCell ref="F2338:F2343"/>
    <mergeCell ref="G2338:G2343"/>
    <mergeCell ref="H2338:H2343"/>
    <mergeCell ref="I2338:I2343"/>
    <mergeCell ref="J2338:J2343"/>
    <mergeCell ref="K2338:K2343"/>
    <mergeCell ref="P2338:P2343"/>
    <mergeCell ref="Q2338:Q2343"/>
    <mergeCell ref="R2338:R2343"/>
    <mergeCell ref="A2345:A2346"/>
    <mergeCell ref="B2345:B2346"/>
    <mergeCell ref="C2345:C2346"/>
    <mergeCell ref="F2345:F2346"/>
    <mergeCell ref="G2345:G2346"/>
    <mergeCell ref="H2345:H2346"/>
    <mergeCell ref="I2345:I2346"/>
    <mergeCell ref="J2345:J2346"/>
    <mergeCell ref="K2345:K2346"/>
    <mergeCell ref="P2345:P2346"/>
    <mergeCell ref="Q2345:Q2346"/>
    <mergeCell ref="R2345:R2346"/>
    <mergeCell ref="A2347:A2348"/>
    <mergeCell ref="B2347:B2348"/>
    <mergeCell ref="C2347:C2348"/>
    <mergeCell ref="F2347:F2348"/>
    <mergeCell ref="G2347:G2348"/>
    <mergeCell ref="H2347:H2348"/>
    <mergeCell ref="I2347:I2348"/>
    <mergeCell ref="J2347:J2348"/>
    <mergeCell ref="K2347:K2348"/>
    <mergeCell ref="P2347:P2348"/>
    <mergeCell ref="Q2347:Q2348"/>
    <mergeCell ref="R2347:R2348"/>
    <mergeCell ref="A2349:A2352"/>
    <mergeCell ref="B2349:B2352"/>
    <mergeCell ref="C2349:C2352"/>
    <mergeCell ref="F2349:F2352"/>
    <mergeCell ref="G2349:G2352"/>
    <mergeCell ref="H2349:H2352"/>
    <mergeCell ref="I2349:I2352"/>
    <mergeCell ref="J2349:J2352"/>
    <mergeCell ref="K2349:K2352"/>
    <mergeCell ref="P2349:P2352"/>
    <mergeCell ref="Q2349:Q2352"/>
    <mergeCell ref="R2349:R2352"/>
    <mergeCell ref="A2354:A2355"/>
    <mergeCell ref="B2354:B2355"/>
    <mergeCell ref="C2354:C2355"/>
    <mergeCell ref="F2354:F2355"/>
    <mergeCell ref="G2354:G2355"/>
    <mergeCell ref="H2354:H2355"/>
    <mergeCell ref="I2354:I2355"/>
    <mergeCell ref="J2354:J2355"/>
    <mergeCell ref="K2354:K2355"/>
    <mergeCell ref="P2354:P2355"/>
    <mergeCell ref="Q2354:Q2355"/>
    <mergeCell ref="R2354:R2355"/>
    <mergeCell ref="A2356:A2362"/>
    <mergeCell ref="B2356:B2362"/>
    <mergeCell ref="C2356:C2362"/>
    <mergeCell ref="F2356:F2362"/>
    <mergeCell ref="G2356:G2362"/>
    <mergeCell ref="H2356:H2362"/>
    <mergeCell ref="I2356:I2362"/>
    <mergeCell ref="J2356:J2362"/>
    <mergeCell ref="K2356:K2362"/>
    <mergeCell ref="P2356:P2362"/>
    <mergeCell ref="Q2356:Q2362"/>
    <mergeCell ref="R2356:R2362"/>
    <mergeCell ref="A2363:A2367"/>
    <mergeCell ref="B2363:B2367"/>
    <mergeCell ref="C2363:C2367"/>
    <mergeCell ref="F2363:F2367"/>
    <mergeCell ref="G2363:G2367"/>
    <mergeCell ref="H2363:H2367"/>
    <mergeCell ref="I2363:I2367"/>
    <mergeCell ref="J2363:J2367"/>
    <mergeCell ref="K2363:K2367"/>
    <mergeCell ref="P2363:P2367"/>
    <mergeCell ref="Q2363:Q2367"/>
    <mergeCell ref="R2363:R2367"/>
    <mergeCell ref="A2368:A2372"/>
    <mergeCell ref="B2368:B2372"/>
    <mergeCell ref="C2368:C2372"/>
    <mergeCell ref="F2368:F2372"/>
    <mergeCell ref="G2368:G2372"/>
    <mergeCell ref="H2368:H2372"/>
    <mergeCell ref="I2368:I2372"/>
    <mergeCell ref="J2368:J2372"/>
    <mergeCell ref="K2368:K2372"/>
    <mergeCell ref="P2368:P2372"/>
    <mergeCell ref="Q2368:Q2372"/>
    <mergeCell ref="R2368:R2372"/>
    <mergeCell ref="A2373:A2381"/>
    <mergeCell ref="B2373:B2381"/>
    <mergeCell ref="C2373:C2381"/>
    <mergeCell ref="F2373:F2381"/>
    <mergeCell ref="G2373:G2381"/>
    <mergeCell ref="H2373:H2381"/>
    <mergeCell ref="I2373:I2381"/>
    <mergeCell ref="J2373:J2381"/>
    <mergeCell ref="K2373:K2381"/>
    <mergeCell ref="P2373:P2381"/>
    <mergeCell ref="Q2373:Q2381"/>
    <mergeCell ref="R2373:R2381"/>
    <mergeCell ref="A2383:A2386"/>
    <mergeCell ref="B2383:B2386"/>
    <mergeCell ref="C2383:C2386"/>
    <mergeCell ref="F2383:F2386"/>
    <mergeCell ref="G2383:G2386"/>
    <mergeCell ref="H2383:H2386"/>
    <mergeCell ref="I2383:I2386"/>
    <mergeCell ref="J2383:J2386"/>
    <mergeCell ref="K2383:K2386"/>
    <mergeCell ref="P2383:P2386"/>
    <mergeCell ref="Q2383:Q2386"/>
    <mergeCell ref="R2383:R2386"/>
    <mergeCell ref="A2387:A2388"/>
    <mergeCell ref="B2387:B2388"/>
    <mergeCell ref="C2387:C2388"/>
    <mergeCell ref="F2387:F2388"/>
    <mergeCell ref="G2387:G2388"/>
    <mergeCell ref="H2387:H2388"/>
    <mergeCell ref="I2387:I2388"/>
    <mergeCell ref="J2387:J2388"/>
    <mergeCell ref="K2387:K2388"/>
    <mergeCell ref="P2387:P2388"/>
    <mergeCell ref="Q2387:Q2388"/>
    <mergeCell ref="R2387:R2388"/>
    <mergeCell ref="A2389:A2401"/>
    <mergeCell ref="B2389:B2401"/>
    <mergeCell ref="C2389:C2401"/>
    <mergeCell ref="F2389:F2401"/>
    <mergeCell ref="G2389:G2401"/>
    <mergeCell ref="H2389:H2401"/>
    <mergeCell ref="I2389:I2401"/>
    <mergeCell ref="J2389:J2401"/>
    <mergeCell ref="K2389:K2401"/>
    <mergeCell ref="P2389:P2401"/>
    <mergeCell ref="Q2389:Q2401"/>
    <mergeCell ref="R2389:R2401"/>
    <mergeCell ref="A2403:A2407"/>
    <mergeCell ref="B2403:B2407"/>
    <mergeCell ref="C2403:C2407"/>
    <mergeCell ref="F2403:F2407"/>
    <mergeCell ref="G2403:G2407"/>
    <mergeCell ref="H2403:H2407"/>
    <mergeCell ref="I2403:I2407"/>
    <mergeCell ref="J2403:J2407"/>
    <mergeCell ref="K2403:K2407"/>
    <mergeCell ref="P2403:P2407"/>
    <mergeCell ref="Q2403:Q2407"/>
    <mergeCell ref="R2403:R2407"/>
    <mergeCell ref="A2408:A2411"/>
    <mergeCell ref="B2408:B2411"/>
    <mergeCell ref="C2408:C2411"/>
    <mergeCell ref="F2408:F2411"/>
    <mergeCell ref="G2408:G2411"/>
    <mergeCell ref="H2408:H2411"/>
    <mergeCell ref="I2408:I2411"/>
    <mergeCell ref="J2408:J2411"/>
    <mergeCell ref="K2408:K2411"/>
    <mergeCell ref="P2408:P2411"/>
    <mergeCell ref="Q2408:Q2411"/>
    <mergeCell ref="R2408:R2411"/>
    <mergeCell ref="A2412:A2416"/>
    <mergeCell ref="B2412:B2416"/>
    <mergeCell ref="C2412:C2416"/>
    <mergeCell ref="F2412:F2416"/>
    <mergeCell ref="G2412:G2416"/>
    <mergeCell ref="H2412:H2416"/>
    <mergeCell ref="I2412:I2416"/>
    <mergeCell ref="J2412:J2416"/>
    <mergeCell ref="K2412:K2416"/>
    <mergeCell ref="P2412:P2416"/>
    <mergeCell ref="Q2412:Q2416"/>
    <mergeCell ref="R2412:R2416"/>
    <mergeCell ref="A2421:A2424"/>
    <mergeCell ref="B2421:B2424"/>
    <mergeCell ref="C2421:C2424"/>
    <mergeCell ref="F2421:F2424"/>
    <mergeCell ref="G2421:G2424"/>
    <mergeCell ref="H2421:H2424"/>
    <mergeCell ref="I2421:I2424"/>
    <mergeCell ref="J2421:J2424"/>
    <mergeCell ref="K2421:K2424"/>
    <mergeCell ref="P2421:P2424"/>
    <mergeCell ref="Q2421:Q2424"/>
    <mergeCell ref="R2421:R2424"/>
    <mergeCell ref="A2425:A2431"/>
    <mergeCell ref="B2425:B2431"/>
    <mergeCell ref="C2425:C2431"/>
    <mergeCell ref="F2425:F2431"/>
    <mergeCell ref="G2425:G2431"/>
    <mergeCell ref="H2425:H2431"/>
    <mergeCell ref="I2425:I2431"/>
    <mergeCell ref="J2425:J2431"/>
    <mergeCell ref="K2425:K2431"/>
    <mergeCell ref="P2425:P2431"/>
    <mergeCell ref="Q2425:Q2431"/>
    <mergeCell ref="R2425:R2431"/>
    <mergeCell ref="A2432:A2434"/>
    <mergeCell ref="B2432:B2434"/>
    <mergeCell ref="C2432:C2434"/>
    <mergeCell ref="F2432:F2434"/>
    <mergeCell ref="G2432:G2434"/>
    <mergeCell ref="H2432:H2434"/>
    <mergeCell ref="I2432:I2434"/>
    <mergeCell ref="J2432:J2434"/>
    <mergeCell ref="K2432:K2434"/>
    <mergeCell ref="P2432:P2434"/>
    <mergeCell ref="Q2432:Q2434"/>
    <mergeCell ref="R2432:R2434"/>
    <mergeCell ref="A2435:A2440"/>
    <mergeCell ref="B2435:B2440"/>
    <mergeCell ref="C2435:C2440"/>
    <mergeCell ref="F2435:F2440"/>
    <mergeCell ref="G2435:G2440"/>
    <mergeCell ref="H2435:H2440"/>
    <mergeCell ref="I2435:I2440"/>
    <mergeCell ref="J2435:J2440"/>
    <mergeCell ref="K2435:K2440"/>
    <mergeCell ref="P2435:P2440"/>
    <mergeCell ref="Q2435:Q2440"/>
    <mergeCell ref="R2435:R2440"/>
    <mergeCell ref="A2441:A2444"/>
    <mergeCell ref="B2441:B2444"/>
    <mergeCell ref="C2441:C2444"/>
    <mergeCell ref="F2441:F2444"/>
    <mergeCell ref="G2441:G2444"/>
    <mergeCell ref="H2441:H2444"/>
    <mergeCell ref="I2441:I2444"/>
    <mergeCell ref="J2441:J2444"/>
    <mergeCell ref="K2441:K2444"/>
    <mergeCell ref="P2441:P2444"/>
    <mergeCell ref="Q2441:Q2444"/>
    <mergeCell ref="R2441:R2444"/>
    <mergeCell ref="A2445:A2456"/>
    <mergeCell ref="B2445:B2456"/>
    <mergeCell ref="C2445:C2456"/>
    <mergeCell ref="F2445:F2456"/>
    <mergeCell ref="G2445:G2456"/>
    <mergeCell ref="H2445:H2456"/>
    <mergeCell ref="I2445:I2456"/>
    <mergeCell ref="J2445:J2456"/>
    <mergeCell ref="K2445:K2456"/>
    <mergeCell ref="P2445:P2456"/>
    <mergeCell ref="Q2445:Q2456"/>
    <mergeCell ref="R2445:R2456"/>
    <mergeCell ref="A2457:A2458"/>
    <mergeCell ref="B2457:B2458"/>
    <mergeCell ref="C2457:C2458"/>
    <mergeCell ref="F2457:F2458"/>
    <mergeCell ref="G2457:G2458"/>
    <mergeCell ref="H2457:H2458"/>
    <mergeCell ref="I2457:I2458"/>
    <mergeCell ref="J2457:J2458"/>
    <mergeCell ref="K2457:K2458"/>
    <mergeCell ref="P2457:P2458"/>
    <mergeCell ref="Q2457:Q2458"/>
    <mergeCell ref="R2457:R2458"/>
    <mergeCell ref="A2459:A2462"/>
    <mergeCell ref="B2459:B2462"/>
    <mergeCell ref="C2459:C2462"/>
    <mergeCell ref="F2459:F2462"/>
    <mergeCell ref="G2459:G2462"/>
    <mergeCell ref="H2459:H2462"/>
    <mergeCell ref="I2459:I2462"/>
    <mergeCell ref="J2459:J2462"/>
    <mergeCell ref="K2459:K2462"/>
    <mergeCell ref="P2459:P2462"/>
    <mergeCell ref="Q2459:Q2462"/>
    <mergeCell ref="R2459:R2462"/>
    <mergeCell ref="A2463:A2465"/>
    <mergeCell ref="B2463:B2465"/>
    <mergeCell ref="C2463:C2465"/>
    <mergeCell ref="F2463:F2465"/>
    <mergeCell ref="G2463:G2465"/>
    <mergeCell ref="H2463:H2465"/>
    <mergeCell ref="I2463:I2465"/>
    <mergeCell ref="J2463:J2465"/>
    <mergeCell ref="K2463:K2465"/>
    <mergeCell ref="P2463:P2465"/>
    <mergeCell ref="Q2463:Q2465"/>
    <mergeCell ref="R2463:R2465"/>
    <mergeCell ref="A2466:A2472"/>
    <mergeCell ref="B2466:B2472"/>
    <mergeCell ref="C2466:C2472"/>
    <mergeCell ref="F2466:F2472"/>
    <mergeCell ref="G2466:G2472"/>
    <mergeCell ref="H2466:H2472"/>
    <mergeCell ref="I2466:I2472"/>
    <mergeCell ref="J2466:J2472"/>
    <mergeCell ref="K2466:K2472"/>
    <mergeCell ref="P2466:P2472"/>
    <mergeCell ref="Q2466:Q2472"/>
    <mergeCell ref="R2466:R2472"/>
    <mergeCell ref="A2474:A2476"/>
    <mergeCell ref="B2474:B2476"/>
    <mergeCell ref="C2474:C2476"/>
    <mergeCell ref="F2474:F2476"/>
    <mergeCell ref="G2474:G2476"/>
    <mergeCell ref="H2474:H2476"/>
    <mergeCell ref="I2474:I2476"/>
    <mergeCell ref="J2474:J2476"/>
    <mergeCell ref="K2474:K2476"/>
    <mergeCell ref="P2474:P2476"/>
    <mergeCell ref="Q2474:Q2476"/>
    <mergeCell ref="R2474:R2476"/>
    <mergeCell ref="A2479:A2481"/>
    <mergeCell ref="B2479:B2481"/>
    <mergeCell ref="C2479:C2481"/>
    <mergeCell ref="F2479:F2481"/>
    <mergeCell ref="G2479:G2481"/>
    <mergeCell ref="H2479:H2481"/>
    <mergeCell ref="I2479:I2481"/>
    <mergeCell ref="J2479:J2481"/>
    <mergeCell ref="K2479:K2481"/>
    <mergeCell ref="P2479:P2481"/>
    <mergeCell ref="Q2479:Q2481"/>
    <mergeCell ref="R2479:R2481"/>
    <mergeCell ref="A2482:A2484"/>
    <mergeCell ref="B2482:B2484"/>
    <mergeCell ref="C2482:C2484"/>
    <mergeCell ref="F2482:F2484"/>
    <mergeCell ref="G2482:G2484"/>
    <mergeCell ref="H2482:H2484"/>
    <mergeCell ref="I2482:I2484"/>
    <mergeCell ref="J2482:J2484"/>
    <mergeCell ref="K2482:K2484"/>
    <mergeCell ref="P2482:P2484"/>
    <mergeCell ref="Q2482:Q2484"/>
    <mergeCell ref="R2482:R2484"/>
    <mergeCell ref="A2485:A2488"/>
    <mergeCell ref="B2485:B2488"/>
    <mergeCell ref="C2485:C2488"/>
    <mergeCell ref="F2485:F2488"/>
    <mergeCell ref="G2485:G2488"/>
    <mergeCell ref="H2485:H2488"/>
    <mergeCell ref="I2485:I2488"/>
    <mergeCell ref="J2485:J2488"/>
    <mergeCell ref="K2485:K2488"/>
    <mergeCell ref="P2485:P2488"/>
    <mergeCell ref="Q2485:Q2488"/>
    <mergeCell ref="R2485:R2488"/>
    <mergeCell ref="A2490:A2492"/>
    <mergeCell ref="B2490:B2492"/>
    <mergeCell ref="C2490:C2492"/>
    <mergeCell ref="F2490:F2492"/>
    <mergeCell ref="G2490:G2492"/>
    <mergeCell ref="H2490:H2492"/>
    <mergeCell ref="I2490:I2492"/>
    <mergeCell ref="J2490:J2492"/>
    <mergeCell ref="K2490:K2492"/>
    <mergeCell ref="P2490:P2492"/>
    <mergeCell ref="Q2490:Q2492"/>
    <mergeCell ref="R2490:R2492"/>
    <mergeCell ref="A2493:A2497"/>
    <mergeCell ref="B2493:B2497"/>
    <mergeCell ref="C2493:C2497"/>
    <mergeCell ref="F2493:F2497"/>
    <mergeCell ref="G2493:G2497"/>
    <mergeCell ref="H2493:H2497"/>
    <mergeCell ref="I2493:I2497"/>
    <mergeCell ref="J2493:J2497"/>
    <mergeCell ref="K2493:K2497"/>
    <mergeCell ref="P2493:P2497"/>
    <mergeCell ref="Q2493:Q2497"/>
    <mergeCell ref="R2493:R2497"/>
    <mergeCell ref="A2498:A2506"/>
    <mergeCell ref="B2498:B2506"/>
    <mergeCell ref="C2498:C2506"/>
    <mergeCell ref="F2498:F2506"/>
    <mergeCell ref="G2498:G2506"/>
    <mergeCell ref="H2498:H2506"/>
    <mergeCell ref="I2498:I2506"/>
    <mergeCell ref="J2498:J2506"/>
    <mergeCell ref="K2498:K2506"/>
    <mergeCell ref="P2498:P2506"/>
    <mergeCell ref="Q2498:Q2506"/>
    <mergeCell ref="R2498:R2506"/>
    <mergeCell ref="A2507:A2509"/>
    <mergeCell ref="B2507:B2509"/>
    <mergeCell ref="C2507:C2509"/>
    <mergeCell ref="F2507:F2509"/>
    <mergeCell ref="G2507:G2509"/>
    <mergeCell ref="H2507:H2509"/>
    <mergeCell ref="I2507:I2509"/>
    <mergeCell ref="J2507:J2509"/>
    <mergeCell ref="K2507:K2509"/>
    <mergeCell ref="P2507:P2509"/>
    <mergeCell ref="Q2507:Q2509"/>
    <mergeCell ref="R2507:R2509"/>
    <mergeCell ref="A2510:A2511"/>
    <mergeCell ref="B2510:B2511"/>
    <mergeCell ref="C2510:C2511"/>
    <mergeCell ref="F2510:F2511"/>
    <mergeCell ref="G2510:G2511"/>
    <mergeCell ref="H2510:H2511"/>
    <mergeCell ref="I2510:I2511"/>
    <mergeCell ref="J2510:J2511"/>
    <mergeCell ref="K2510:K2511"/>
    <mergeCell ref="P2510:P2511"/>
    <mergeCell ref="Q2510:Q2511"/>
    <mergeCell ref="R2510:R2511"/>
    <mergeCell ref="A2514:A2516"/>
    <mergeCell ref="B2514:B2516"/>
    <mergeCell ref="C2514:C2516"/>
    <mergeCell ref="F2514:F2516"/>
    <mergeCell ref="G2514:G2516"/>
    <mergeCell ref="H2514:H2516"/>
    <mergeCell ref="I2514:I2516"/>
    <mergeCell ref="J2514:J2516"/>
    <mergeCell ref="K2514:K2516"/>
    <mergeCell ref="P2514:P2516"/>
    <mergeCell ref="Q2514:Q2516"/>
    <mergeCell ref="R2514:R2516"/>
    <mergeCell ref="A2517:A2519"/>
    <mergeCell ref="B2517:B2519"/>
    <mergeCell ref="C2517:C2519"/>
    <mergeCell ref="F2517:F2519"/>
    <mergeCell ref="G2517:G2519"/>
    <mergeCell ref="H2517:H2519"/>
    <mergeCell ref="I2517:I2519"/>
    <mergeCell ref="J2517:J2519"/>
    <mergeCell ref="K2517:K2519"/>
    <mergeCell ref="P2517:P2519"/>
    <mergeCell ref="Q2517:Q2519"/>
    <mergeCell ref="R2517:R2519"/>
    <mergeCell ref="A2520:A2521"/>
    <mergeCell ref="B2520:B2521"/>
    <mergeCell ref="C2520:C2521"/>
    <mergeCell ref="F2520:F2521"/>
    <mergeCell ref="G2520:G2521"/>
    <mergeCell ref="H2520:H2521"/>
    <mergeCell ref="I2520:I2521"/>
    <mergeCell ref="J2520:J2521"/>
    <mergeCell ref="K2520:K2521"/>
    <mergeCell ref="P2520:P2521"/>
    <mergeCell ref="Q2520:Q2521"/>
    <mergeCell ref="R2520:R2521"/>
    <mergeCell ref="A2522:A2524"/>
    <mergeCell ref="B2522:B2524"/>
    <mergeCell ref="C2522:C2524"/>
    <mergeCell ref="F2522:F2524"/>
    <mergeCell ref="G2522:G2524"/>
    <mergeCell ref="H2522:H2524"/>
    <mergeCell ref="I2522:I2524"/>
    <mergeCell ref="J2522:J2524"/>
    <mergeCell ref="K2522:K2524"/>
    <mergeCell ref="P2522:P2524"/>
    <mergeCell ref="Q2522:Q2524"/>
    <mergeCell ref="R2522:R2524"/>
    <mergeCell ref="A2527:A2530"/>
    <mergeCell ref="B2527:B2530"/>
    <mergeCell ref="C2527:C2530"/>
    <mergeCell ref="F2527:F2530"/>
    <mergeCell ref="G2527:G2530"/>
    <mergeCell ref="H2527:H2530"/>
    <mergeCell ref="I2527:I2530"/>
    <mergeCell ref="J2527:J2530"/>
    <mergeCell ref="K2527:K2530"/>
    <mergeCell ref="P2527:P2530"/>
    <mergeCell ref="Q2527:Q2530"/>
    <mergeCell ref="R2527:R2530"/>
    <mergeCell ref="A2531:A2535"/>
    <mergeCell ref="B2531:B2535"/>
    <mergeCell ref="C2531:C2535"/>
    <mergeCell ref="F2531:F2535"/>
    <mergeCell ref="G2531:G2535"/>
    <mergeCell ref="H2531:H2535"/>
    <mergeCell ref="I2531:I2535"/>
    <mergeCell ref="J2531:J2535"/>
    <mergeCell ref="K2531:K2535"/>
    <mergeCell ref="P2531:P2535"/>
    <mergeCell ref="Q2531:Q2535"/>
    <mergeCell ref="R2531:R2535"/>
    <mergeCell ref="A2536:A2546"/>
    <mergeCell ref="B2536:B2546"/>
    <mergeCell ref="C2536:C2546"/>
    <mergeCell ref="F2536:F2546"/>
    <mergeCell ref="G2536:G2546"/>
    <mergeCell ref="H2536:H2546"/>
    <mergeCell ref="I2536:I2546"/>
    <mergeCell ref="J2536:J2546"/>
    <mergeCell ref="K2536:K2546"/>
    <mergeCell ref="P2536:P2546"/>
    <mergeCell ref="Q2536:Q2546"/>
    <mergeCell ref="R2536:R2546"/>
    <mergeCell ref="A2547:A2556"/>
    <mergeCell ref="B2547:B2556"/>
    <mergeCell ref="C2547:C2556"/>
    <mergeCell ref="F2547:F2556"/>
    <mergeCell ref="G2547:G2556"/>
    <mergeCell ref="H2547:H2556"/>
    <mergeCell ref="I2547:I2556"/>
    <mergeCell ref="J2547:J2556"/>
    <mergeCell ref="K2547:K2556"/>
    <mergeCell ref="P2547:P2556"/>
    <mergeCell ref="Q2547:Q2556"/>
    <mergeCell ref="R2547:R2556"/>
    <mergeCell ref="A2557:A2562"/>
    <mergeCell ref="B2557:B2562"/>
    <mergeCell ref="C2557:C2562"/>
    <mergeCell ref="F2557:F2562"/>
    <mergeCell ref="G2557:G2562"/>
    <mergeCell ref="H2557:H2562"/>
    <mergeCell ref="I2557:I2562"/>
    <mergeCell ref="J2557:J2562"/>
    <mergeCell ref="K2557:K2562"/>
    <mergeCell ref="P2557:P2562"/>
    <mergeCell ref="Q2557:Q2562"/>
    <mergeCell ref="R2557:R2562"/>
    <mergeCell ref="A2563:A2567"/>
    <mergeCell ref="B2563:B2567"/>
    <mergeCell ref="C2563:C2567"/>
    <mergeCell ref="F2563:F2567"/>
    <mergeCell ref="G2563:G2567"/>
    <mergeCell ref="H2563:H2567"/>
    <mergeCell ref="I2563:I2567"/>
    <mergeCell ref="J2563:J2567"/>
    <mergeCell ref="K2563:K2567"/>
    <mergeCell ref="P2563:P2567"/>
    <mergeCell ref="Q2563:Q2567"/>
    <mergeCell ref="R2563:R2567"/>
    <mergeCell ref="A2568:A2571"/>
    <mergeCell ref="B2568:B2571"/>
    <mergeCell ref="C2568:C2571"/>
    <mergeCell ref="F2568:F2571"/>
    <mergeCell ref="G2568:G2571"/>
    <mergeCell ref="H2568:H2571"/>
    <mergeCell ref="I2568:I2571"/>
    <mergeCell ref="J2568:J2571"/>
    <mergeCell ref="K2568:K2571"/>
    <mergeCell ref="P2568:P2571"/>
    <mergeCell ref="Q2568:Q2571"/>
    <mergeCell ref="R2568:R2571"/>
    <mergeCell ref="A2572:A2575"/>
    <mergeCell ref="B2572:B2575"/>
    <mergeCell ref="C2572:C2575"/>
    <mergeCell ref="F2572:F2575"/>
    <mergeCell ref="G2572:G2575"/>
    <mergeCell ref="H2572:H2575"/>
    <mergeCell ref="I2572:I2575"/>
    <mergeCell ref="J2572:J2575"/>
    <mergeCell ref="K2572:K2575"/>
    <mergeCell ref="P2572:P2575"/>
    <mergeCell ref="Q2572:Q2575"/>
    <mergeCell ref="R2572:R2575"/>
    <mergeCell ref="A2583:A2585"/>
    <mergeCell ref="B2583:B2585"/>
    <mergeCell ref="C2583:C2585"/>
    <mergeCell ref="F2583:F2585"/>
    <mergeCell ref="G2583:G2585"/>
    <mergeCell ref="H2583:H2585"/>
    <mergeCell ref="I2583:I2585"/>
    <mergeCell ref="J2583:J2585"/>
    <mergeCell ref="K2583:K2585"/>
    <mergeCell ref="P2583:P2585"/>
    <mergeCell ref="Q2583:Q2585"/>
    <mergeCell ref="R2583:R2585"/>
    <mergeCell ref="A2586:A2588"/>
    <mergeCell ref="B2586:B2588"/>
    <mergeCell ref="C2586:C2588"/>
    <mergeCell ref="F2586:F2588"/>
    <mergeCell ref="G2586:G2588"/>
    <mergeCell ref="H2586:H2588"/>
    <mergeCell ref="I2586:I2588"/>
    <mergeCell ref="J2586:J2588"/>
    <mergeCell ref="K2586:K2588"/>
    <mergeCell ref="P2586:P2588"/>
    <mergeCell ref="Q2586:Q2588"/>
    <mergeCell ref="R2586:R2588"/>
    <mergeCell ref="A2593:A2594"/>
    <mergeCell ref="B2593:B2594"/>
    <mergeCell ref="C2593:C2594"/>
    <mergeCell ref="F2593:F2594"/>
    <mergeCell ref="G2593:G2594"/>
    <mergeCell ref="H2593:H2594"/>
    <mergeCell ref="I2593:I2594"/>
    <mergeCell ref="J2593:J2594"/>
    <mergeCell ref="K2593:K2594"/>
    <mergeCell ref="P2593:P2594"/>
    <mergeCell ref="Q2593:Q2594"/>
    <mergeCell ref="R2593:R2594"/>
    <mergeCell ref="A2595:A2597"/>
    <mergeCell ref="B2595:B2597"/>
    <mergeCell ref="C2595:C2597"/>
    <mergeCell ref="F2595:F2597"/>
    <mergeCell ref="G2595:G2597"/>
    <mergeCell ref="H2595:H2597"/>
    <mergeCell ref="I2595:I2597"/>
    <mergeCell ref="J2595:J2597"/>
    <mergeCell ref="K2595:K2597"/>
    <mergeCell ref="P2595:P2597"/>
    <mergeCell ref="Q2595:Q2597"/>
    <mergeCell ref="R2595:R2597"/>
    <mergeCell ref="A2598:A2604"/>
    <mergeCell ref="B2598:B2604"/>
    <mergeCell ref="C2598:C2604"/>
    <mergeCell ref="F2598:F2604"/>
    <mergeCell ref="G2598:G2604"/>
    <mergeCell ref="H2598:H2604"/>
    <mergeCell ref="I2598:I2604"/>
    <mergeCell ref="J2598:J2604"/>
    <mergeCell ref="K2598:K2604"/>
    <mergeCell ref="P2598:P2604"/>
    <mergeCell ref="Q2598:Q2604"/>
    <mergeCell ref="R2598:R2604"/>
    <mergeCell ref="A2605:A2612"/>
    <mergeCell ref="B2605:B2612"/>
    <mergeCell ref="C2605:C2612"/>
    <mergeCell ref="F2605:F2612"/>
    <mergeCell ref="G2605:G2612"/>
    <mergeCell ref="H2605:H2612"/>
    <mergeCell ref="I2605:I2612"/>
    <mergeCell ref="J2605:J2612"/>
    <mergeCell ref="K2605:K2612"/>
    <mergeCell ref="P2605:P2612"/>
    <mergeCell ref="Q2605:Q2612"/>
    <mergeCell ref="R2605:R2612"/>
    <mergeCell ref="A2613:A2615"/>
    <mergeCell ref="B2613:B2615"/>
    <mergeCell ref="C2613:C2615"/>
    <mergeCell ref="F2613:F2615"/>
    <mergeCell ref="G2613:G2615"/>
    <mergeCell ref="H2613:H2615"/>
    <mergeCell ref="I2613:I2615"/>
    <mergeCell ref="J2613:J2615"/>
    <mergeCell ref="K2613:K2615"/>
    <mergeCell ref="P2613:P2615"/>
    <mergeCell ref="Q2613:Q2615"/>
    <mergeCell ref="R2613:R2615"/>
    <mergeCell ref="A2616:A2624"/>
    <mergeCell ref="B2616:B2624"/>
    <mergeCell ref="C2616:C2624"/>
    <mergeCell ref="F2616:F2624"/>
    <mergeCell ref="G2616:G2624"/>
    <mergeCell ref="H2616:H2624"/>
    <mergeCell ref="I2616:I2624"/>
    <mergeCell ref="J2616:J2624"/>
    <mergeCell ref="K2616:K2624"/>
    <mergeCell ref="P2616:P2624"/>
    <mergeCell ref="Q2616:Q2624"/>
    <mergeCell ref="R2616:R2624"/>
    <mergeCell ref="A2625:A2638"/>
    <mergeCell ref="B2625:B2638"/>
    <mergeCell ref="C2625:C2638"/>
    <mergeCell ref="F2625:F2638"/>
    <mergeCell ref="G2625:G2638"/>
    <mergeCell ref="H2625:H2638"/>
    <mergeCell ref="I2625:I2638"/>
    <mergeCell ref="J2625:J2638"/>
    <mergeCell ref="K2625:K2638"/>
    <mergeCell ref="P2625:P2638"/>
    <mergeCell ref="Q2625:Q2638"/>
    <mergeCell ref="R2625:R2638"/>
    <mergeCell ref="A2640:A2641"/>
    <mergeCell ref="B2640:B2641"/>
    <mergeCell ref="C2640:C2641"/>
    <mergeCell ref="F2640:F2641"/>
    <mergeCell ref="G2640:G2641"/>
    <mergeCell ref="H2640:H2641"/>
    <mergeCell ref="I2640:I2641"/>
    <mergeCell ref="J2640:J2641"/>
    <mergeCell ref="K2640:K2641"/>
    <mergeCell ref="P2640:P2641"/>
    <mergeCell ref="Q2640:Q2641"/>
    <mergeCell ref="R2640:R2641"/>
    <mergeCell ref="A2642:A2656"/>
    <mergeCell ref="B2642:B2656"/>
    <mergeCell ref="C2642:C2656"/>
    <mergeCell ref="F2642:F2656"/>
    <mergeCell ref="G2642:G2656"/>
    <mergeCell ref="H2642:H2656"/>
    <mergeCell ref="I2642:I2656"/>
    <mergeCell ref="J2642:J2656"/>
    <mergeCell ref="K2642:K2656"/>
    <mergeCell ref="P2642:P2656"/>
    <mergeCell ref="Q2642:Q2656"/>
    <mergeCell ref="R2642:R2656"/>
    <mergeCell ref="A2657:A2663"/>
    <mergeCell ref="B2657:B2663"/>
    <mergeCell ref="C2657:C2663"/>
    <mergeCell ref="F2657:F2663"/>
    <mergeCell ref="G2657:G2663"/>
    <mergeCell ref="H2657:H2663"/>
    <mergeCell ref="I2657:I2663"/>
    <mergeCell ref="J2657:J2663"/>
    <mergeCell ref="K2657:K2663"/>
    <mergeCell ref="P2657:P2663"/>
    <mergeCell ref="Q2657:Q2663"/>
    <mergeCell ref="R2657:R2663"/>
    <mergeCell ref="A2664:A2666"/>
    <mergeCell ref="B2664:B2666"/>
    <mergeCell ref="C2664:C2666"/>
    <mergeCell ref="F2664:F2666"/>
    <mergeCell ref="G2664:G2666"/>
    <mergeCell ref="H2664:H2666"/>
    <mergeCell ref="I2664:I2666"/>
    <mergeCell ref="J2664:J2666"/>
    <mergeCell ref="K2664:K2666"/>
    <mergeCell ref="P2664:P2666"/>
    <mergeCell ref="Q2664:Q2666"/>
    <mergeCell ref="R2664:R2666"/>
    <mergeCell ref="A2667:A2678"/>
    <mergeCell ref="B2667:B2678"/>
    <mergeCell ref="C2667:C2678"/>
    <mergeCell ref="F2667:F2678"/>
    <mergeCell ref="G2667:G2678"/>
    <mergeCell ref="H2667:H2678"/>
    <mergeCell ref="I2667:I2678"/>
    <mergeCell ref="J2667:J2678"/>
    <mergeCell ref="K2667:K2678"/>
    <mergeCell ref="P2667:P2678"/>
    <mergeCell ref="Q2667:Q2678"/>
    <mergeCell ref="R2667:R2678"/>
    <mergeCell ref="A2679:A2684"/>
    <mergeCell ref="B2679:B2684"/>
    <mergeCell ref="C2679:C2684"/>
    <mergeCell ref="F2679:F2684"/>
    <mergeCell ref="G2679:G2684"/>
    <mergeCell ref="H2679:H2684"/>
    <mergeCell ref="I2679:I2684"/>
    <mergeCell ref="J2679:J2684"/>
    <mergeCell ref="K2679:K2684"/>
    <mergeCell ref="P2679:P2684"/>
    <mergeCell ref="Q2679:Q2684"/>
    <mergeCell ref="R2679:R2684"/>
    <mergeCell ref="A2685:A2717"/>
    <mergeCell ref="B2685:B2717"/>
    <mergeCell ref="C2685:C2717"/>
    <mergeCell ref="F2685:F2717"/>
    <mergeCell ref="G2685:G2717"/>
    <mergeCell ref="H2685:H2717"/>
    <mergeCell ref="I2685:I2717"/>
    <mergeCell ref="J2685:J2717"/>
    <mergeCell ref="K2685:K2717"/>
    <mergeCell ref="P2685:P2717"/>
    <mergeCell ref="Q2685:Q2717"/>
    <mergeCell ref="R2685:R2717"/>
    <mergeCell ref="A2718:A2746"/>
    <mergeCell ref="B2718:B2746"/>
    <mergeCell ref="C2718:C2746"/>
    <mergeCell ref="F2718:F2746"/>
    <mergeCell ref="G2718:G2746"/>
    <mergeCell ref="H2718:H2746"/>
    <mergeCell ref="I2718:I2746"/>
    <mergeCell ref="J2718:J2746"/>
    <mergeCell ref="K2718:K2746"/>
    <mergeCell ref="P2718:P2746"/>
    <mergeCell ref="Q2718:Q2746"/>
    <mergeCell ref="R2718:R2746"/>
    <mergeCell ref="A2750:A2751"/>
    <mergeCell ref="B2750:B2751"/>
    <mergeCell ref="C2750:C2751"/>
    <mergeCell ref="F2750:F2751"/>
    <mergeCell ref="G2750:G2751"/>
    <mergeCell ref="H2750:H2751"/>
    <mergeCell ref="I2750:I2751"/>
    <mergeCell ref="J2750:J2751"/>
    <mergeCell ref="K2750:K2751"/>
    <mergeCell ref="P2750:P2751"/>
    <mergeCell ref="Q2750:Q2751"/>
    <mergeCell ref="R2750:R2751"/>
    <mergeCell ref="A2752:A2759"/>
    <mergeCell ref="B2752:B2759"/>
    <mergeCell ref="C2752:C2759"/>
    <mergeCell ref="F2752:F2759"/>
    <mergeCell ref="G2752:G2759"/>
    <mergeCell ref="H2752:H2759"/>
    <mergeCell ref="I2752:I2759"/>
    <mergeCell ref="J2752:J2759"/>
    <mergeCell ref="K2752:K2759"/>
    <mergeCell ref="P2752:P2759"/>
    <mergeCell ref="Q2752:Q2759"/>
    <mergeCell ref="R2752:R2759"/>
    <mergeCell ref="A2760:A2765"/>
    <mergeCell ref="B2760:B2765"/>
    <mergeCell ref="C2760:C2765"/>
    <mergeCell ref="F2760:F2765"/>
    <mergeCell ref="G2760:G2765"/>
    <mergeCell ref="H2760:H2765"/>
    <mergeCell ref="I2760:I2765"/>
    <mergeCell ref="J2760:J2765"/>
    <mergeCell ref="K2760:K2765"/>
    <mergeCell ref="P2760:P2765"/>
    <mergeCell ref="Q2760:Q2765"/>
    <mergeCell ref="R2760:R2765"/>
    <mergeCell ref="A2766:A2771"/>
    <mergeCell ref="B2766:B2771"/>
    <mergeCell ref="C2766:C2771"/>
    <mergeCell ref="F2766:F2771"/>
    <mergeCell ref="G2766:G2771"/>
    <mergeCell ref="H2766:H2771"/>
    <mergeCell ref="I2766:I2771"/>
    <mergeCell ref="J2766:J2771"/>
    <mergeCell ref="K2766:K2771"/>
    <mergeCell ref="P2766:P2771"/>
    <mergeCell ref="Q2766:Q2771"/>
    <mergeCell ref="R2766:R2771"/>
    <mergeCell ref="A2772:A2779"/>
    <mergeCell ref="B2772:B2779"/>
    <mergeCell ref="C2772:C2779"/>
    <mergeCell ref="F2772:F2779"/>
    <mergeCell ref="G2772:G2779"/>
    <mergeCell ref="H2772:H2779"/>
    <mergeCell ref="I2772:I2779"/>
    <mergeCell ref="J2772:J2779"/>
    <mergeCell ref="K2772:K2779"/>
    <mergeCell ref="P2772:P2779"/>
    <mergeCell ref="Q2772:Q2779"/>
    <mergeCell ref="R2772:R2779"/>
    <mergeCell ref="A2780:A2781"/>
    <mergeCell ref="B2780:B2781"/>
    <mergeCell ref="C2780:C2781"/>
    <mergeCell ref="F2780:F2781"/>
    <mergeCell ref="G2780:G2781"/>
    <mergeCell ref="H2780:H2781"/>
    <mergeCell ref="I2780:I2781"/>
    <mergeCell ref="J2780:J2781"/>
    <mergeCell ref="K2780:K2781"/>
    <mergeCell ref="P2780:P2781"/>
    <mergeCell ref="Q2780:Q2781"/>
    <mergeCell ref="R2780:R2781"/>
    <mergeCell ref="A2782:A2790"/>
    <mergeCell ref="B2782:B2790"/>
    <mergeCell ref="C2782:C2790"/>
    <mergeCell ref="F2782:F2790"/>
    <mergeCell ref="G2782:G2790"/>
    <mergeCell ref="H2782:H2790"/>
    <mergeCell ref="I2782:I2790"/>
    <mergeCell ref="J2782:J2790"/>
    <mergeCell ref="K2782:K2790"/>
    <mergeCell ref="P2782:P2790"/>
    <mergeCell ref="Q2782:Q2790"/>
    <mergeCell ref="R2782:R2790"/>
    <mergeCell ref="A2791:A2800"/>
    <mergeCell ref="B2791:B2800"/>
    <mergeCell ref="C2791:C2800"/>
    <mergeCell ref="F2791:F2800"/>
    <mergeCell ref="G2791:G2800"/>
    <mergeCell ref="H2791:H2800"/>
    <mergeCell ref="I2791:I2800"/>
    <mergeCell ref="J2791:J2800"/>
    <mergeCell ref="K2791:K2800"/>
    <mergeCell ref="P2791:P2800"/>
    <mergeCell ref="Q2791:Q2800"/>
    <mergeCell ref="R2791:R2800"/>
    <mergeCell ref="A2801:A2813"/>
    <mergeCell ref="B2801:B2813"/>
    <mergeCell ref="C2801:C2813"/>
    <mergeCell ref="F2801:F2813"/>
    <mergeCell ref="G2801:G2813"/>
    <mergeCell ref="H2801:H2813"/>
    <mergeCell ref="I2801:I2813"/>
    <mergeCell ref="J2801:J2813"/>
    <mergeCell ref="K2801:K2813"/>
    <mergeCell ref="P2801:P2813"/>
    <mergeCell ref="Q2801:Q2813"/>
    <mergeCell ref="R2801:R2813"/>
    <mergeCell ref="A2814:A2819"/>
    <mergeCell ref="B2814:B2819"/>
    <mergeCell ref="C2814:C2819"/>
    <mergeCell ref="F2814:F2819"/>
    <mergeCell ref="G2814:G2819"/>
    <mergeCell ref="H2814:H2819"/>
    <mergeCell ref="I2814:I2819"/>
    <mergeCell ref="J2814:J2819"/>
    <mergeCell ref="K2814:K2819"/>
    <mergeCell ref="P2814:P2819"/>
    <mergeCell ref="Q2814:Q2819"/>
    <mergeCell ref="R2814:R2819"/>
    <mergeCell ref="A2820:A2824"/>
    <mergeCell ref="B2820:B2824"/>
    <mergeCell ref="C2820:C2824"/>
    <mergeCell ref="F2820:F2824"/>
    <mergeCell ref="G2820:G2824"/>
    <mergeCell ref="H2820:H2824"/>
    <mergeCell ref="I2820:I2824"/>
    <mergeCell ref="J2820:J2824"/>
    <mergeCell ref="K2820:K2824"/>
    <mergeCell ref="P2820:P2824"/>
    <mergeCell ref="Q2820:Q2824"/>
    <mergeCell ref="R2820:R2824"/>
    <mergeCell ref="A2826:A2827"/>
    <mergeCell ref="B2826:B2827"/>
    <mergeCell ref="C2826:C2827"/>
    <mergeCell ref="F2826:F2827"/>
    <mergeCell ref="G2826:G2827"/>
    <mergeCell ref="H2826:H2827"/>
    <mergeCell ref="I2826:I2827"/>
    <mergeCell ref="J2826:J2827"/>
    <mergeCell ref="K2826:K2827"/>
    <mergeCell ref="P2826:P2827"/>
    <mergeCell ref="Q2826:Q2827"/>
    <mergeCell ref="R2826:R2827"/>
    <mergeCell ref="A2828:A2832"/>
    <mergeCell ref="B2828:B2832"/>
    <mergeCell ref="C2828:C2832"/>
    <mergeCell ref="F2828:F2832"/>
    <mergeCell ref="G2828:G2832"/>
    <mergeCell ref="H2828:H2832"/>
    <mergeCell ref="I2828:I2832"/>
    <mergeCell ref="J2828:J2832"/>
    <mergeCell ref="K2828:K2832"/>
    <mergeCell ref="P2828:P2832"/>
    <mergeCell ref="Q2828:Q2832"/>
    <mergeCell ref="R2828:R2832"/>
    <mergeCell ref="A2835:A2836"/>
    <mergeCell ref="B2835:B2836"/>
    <mergeCell ref="C2835:C2836"/>
    <mergeCell ref="F2835:F2836"/>
    <mergeCell ref="G2835:G2836"/>
    <mergeCell ref="H2835:H2836"/>
    <mergeCell ref="I2835:I2836"/>
    <mergeCell ref="J2835:J2836"/>
    <mergeCell ref="K2835:K2836"/>
    <mergeCell ref="P2835:P2836"/>
    <mergeCell ref="Q2835:Q2836"/>
    <mergeCell ref="R2835:R2836"/>
    <mergeCell ref="A2837:A2839"/>
    <mergeCell ref="B2837:B2839"/>
    <mergeCell ref="C2837:C2839"/>
    <mergeCell ref="F2837:F2839"/>
    <mergeCell ref="G2837:G2839"/>
    <mergeCell ref="H2837:H2839"/>
    <mergeCell ref="I2837:I2839"/>
    <mergeCell ref="J2837:J2839"/>
    <mergeCell ref="K2837:K2839"/>
    <mergeCell ref="P2837:P2839"/>
    <mergeCell ref="Q2837:Q2839"/>
    <mergeCell ref="R2837:R2839"/>
    <mergeCell ref="A2841:A2843"/>
    <mergeCell ref="B2841:B2843"/>
    <mergeCell ref="C2841:C2843"/>
    <mergeCell ref="F2841:F2843"/>
    <mergeCell ref="G2841:G2843"/>
    <mergeCell ref="H2841:H2843"/>
    <mergeCell ref="I2841:I2843"/>
    <mergeCell ref="J2841:J2843"/>
    <mergeCell ref="K2841:K2843"/>
    <mergeCell ref="P2841:P2843"/>
    <mergeCell ref="Q2841:Q2843"/>
    <mergeCell ref="R2841:R2843"/>
    <mergeCell ref="A2846:A2850"/>
    <mergeCell ref="B2846:B2850"/>
    <mergeCell ref="C2846:C2850"/>
    <mergeCell ref="F2846:F2850"/>
    <mergeCell ref="G2846:G2850"/>
    <mergeCell ref="H2846:H2850"/>
    <mergeCell ref="I2846:I2850"/>
    <mergeCell ref="J2846:J2850"/>
    <mergeCell ref="K2846:K2850"/>
    <mergeCell ref="P2846:P2850"/>
    <mergeCell ref="Q2846:Q2850"/>
    <mergeCell ref="R2846:R2850"/>
    <mergeCell ref="A2851:A2853"/>
    <mergeCell ref="B2851:B2853"/>
    <mergeCell ref="C2851:C2853"/>
    <mergeCell ref="F2851:F2853"/>
    <mergeCell ref="G2851:G2853"/>
    <mergeCell ref="H2851:H2853"/>
    <mergeCell ref="I2851:I2853"/>
    <mergeCell ref="J2851:J2853"/>
    <mergeCell ref="K2851:K2853"/>
    <mergeCell ref="P2851:P2853"/>
    <mergeCell ref="Q2851:Q2853"/>
    <mergeCell ref="R2851:R2853"/>
    <mergeCell ref="A2855:A2857"/>
    <mergeCell ref="B2855:B2857"/>
    <mergeCell ref="C2855:C2857"/>
    <mergeCell ref="F2855:F2857"/>
    <mergeCell ref="G2855:G2857"/>
    <mergeCell ref="H2855:H2857"/>
    <mergeCell ref="I2855:I2857"/>
    <mergeCell ref="J2855:J2857"/>
    <mergeCell ref="K2855:K2857"/>
    <mergeCell ref="P2855:P2857"/>
    <mergeCell ref="Q2855:Q2857"/>
    <mergeCell ref="R2855:R2857"/>
    <mergeCell ref="A2859:A2861"/>
    <mergeCell ref="B2859:B2861"/>
    <mergeCell ref="C2859:C2861"/>
    <mergeCell ref="F2859:F2861"/>
    <mergeCell ref="G2859:G2861"/>
    <mergeCell ref="H2859:H2861"/>
    <mergeCell ref="I2859:I2861"/>
    <mergeCell ref="J2859:J2861"/>
    <mergeCell ref="K2859:K2861"/>
    <mergeCell ref="P2859:P2861"/>
    <mergeCell ref="Q2859:Q2861"/>
    <mergeCell ref="R2859:R2861"/>
    <mergeCell ref="A2862:A2868"/>
    <mergeCell ref="B2862:B2868"/>
    <mergeCell ref="C2862:C2868"/>
    <mergeCell ref="F2862:F2868"/>
    <mergeCell ref="G2862:G2868"/>
    <mergeCell ref="H2862:H2868"/>
    <mergeCell ref="I2862:I2868"/>
    <mergeCell ref="J2862:J2868"/>
    <mergeCell ref="K2862:K2868"/>
    <mergeCell ref="P2862:P2868"/>
    <mergeCell ref="Q2862:Q2868"/>
    <mergeCell ref="R2862:R2868"/>
    <mergeCell ref="A2869:A2871"/>
    <mergeCell ref="B2869:B2871"/>
    <mergeCell ref="C2869:C2871"/>
    <mergeCell ref="F2869:F2871"/>
    <mergeCell ref="G2869:G2871"/>
    <mergeCell ref="H2869:H2871"/>
    <mergeCell ref="I2869:I2871"/>
    <mergeCell ref="J2869:J2871"/>
    <mergeCell ref="K2869:K2871"/>
    <mergeCell ref="P2869:P2871"/>
    <mergeCell ref="Q2869:Q2871"/>
    <mergeCell ref="R2869:R2871"/>
    <mergeCell ref="A2873:A2874"/>
    <mergeCell ref="B2873:B2874"/>
    <mergeCell ref="C2873:C2874"/>
    <mergeCell ref="F2873:F2874"/>
    <mergeCell ref="G2873:G2874"/>
    <mergeCell ref="H2873:H2874"/>
    <mergeCell ref="I2873:I2874"/>
    <mergeCell ref="J2873:J2874"/>
    <mergeCell ref="K2873:K2874"/>
    <mergeCell ref="P2873:P2874"/>
    <mergeCell ref="Q2873:Q2874"/>
    <mergeCell ref="R2873:R2874"/>
    <mergeCell ref="A2875:A2878"/>
    <mergeCell ref="B2875:B2878"/>
    <mergeCell ref="C2875:C2878"/>
    <mergeCell ref="F2875:F2878"/>
    <mergeCell ref="G2875:G2878"/>
    <mergeCell ref="H2875:H2878"/>
    <mergeCell ref="I2875:I2878"/>
    <mergeCell ref="J2875:J2878"/>
    <mergeCell ref="K2875:K2878"/>
    <mergeCell ref="P2875:P2878"/>
    <mergeCell ref="Q2875:Q2878"/>
    <mergeCell ref="R2875:R2878"/>
    <mergeCell ref="A2879:A2884"/>
    <mergeCell ref="B2879:B2884"/>
    <mergeCell ref="C2879:C2884"/>
    <mergeCell ref="F2879:F2884"/>
    <mergeCell ref="G2879:G2884"/>
    <mergeCell ref="H2879:H2884"/>
    <mergeCell ref="I2879:I2884"/>
    <mergeCell ref="J2879:J2884"/>
    <mergeCell ref="K2879:K2884"/>
    <mergeCell ref="P2879:P2884"/>
    <mergeCell ref="Q2879:Q2884"/>
    <mergeCell ref="R2879:R2884"/>
    <mergeCell ref="A2885:A2886"/>
    <mergeCell ref="B2885:B2886"/>
    <mergeCell ref="C2885:C2886"/>
    <mergeCell ref="F2885:F2886"/>
    <mergeCell ref="G2885:G2886"/>
    <mergeCell ref="H2885:H2886"/>
    <mergeCell ref="I2885:I2886"/>
    <mergeCell ref="J2885:J2886"/>
    <mergeCell ref="K2885:K2886"/>
    <mergeCell ref="P2885:P2886"/>
    <mergeCell ref="Q2885:Q2886"/>
    <mergeCell ref="R2885:R2886"/>
    <mergeCell ref="A2887:A2889"/>
    <mergeCell ref="B2887:B2889"/>
    <mergeCell ref="C2887:C2889"/>
    <mergeCell ref="F2887:F2889"/>
    <mergeCell ref="G2887:G2889"/>
    <mergeCell ref="H2887:H2889"/>
    <mergeCell ref="I2887:I2889"/>
    <mergeCell ref="J2887:J2889"/>
    <mergeCell ref="K2887:K2889"/>
    <mergeCell ref="P2887:P2889"/>
    <mergeCell ref="Q2887:Q2889"/>
    <mergeCell ref="R2887:R2889"/>
    <mergeCell ref="A2890:A2901"/>
    <mergeCell ref="B2890:B2901"/>
    <mergeCell ref="C2890:C2901"/>
    <mergeCell ref="F2890:F2901"/>
    <mergeCell ref="G2890:G2901"/>
    <mergeCell ref="H2890:H2901"/>
    <mergeCell ref="I2890:I2901"/>
    <mergeCell ref="J2890:J2901"/>
    <mergeCell ref="K2890:K2901"/>
    <mergeCell ref="P2890:P2901"/>
    <mergeCell ref="Q2890:Q2901"/>
    <mergeCell ref="R2890:R2901"/>
    <mergeCell ref="A2902:A2909"/>
    <mergeCell ref="B2902:B2909"/>
    <mergeCell ref="C2902:C2909"/>
    <mergeCell ref="F2902:F2909"/>
    <mergeCell ref="G2902:G2909"/>
    <mergeCell ref="H2902:H2909"/>
    <mergeCell ref="I2902:I2909"/>
    <mergeCell ref="J2902:J2909"/>
    <mergeCell ref="K2902:K2909"/>
    <mergeCell ref="P2902:P2909"/>
    <mergeCell ref="Q2902:Q2909"/>
    <mergeCell ref="R2902:R2909"/>
    <mergeCell ref="A2912:A2914"/>
    <mergeCell ref="B2912:B2914"/>
    <mergeCell ref="C2912:C2914"/>
    <mergeCell ref="F2912:F2914"/>
    <mergeCell ref="G2912:G2914"/>
    <mergeCell ref="H2912:H2914"/>
    <mergeCell ref="I2912:I2914"/>
    <mergeCell ref="J2912:J2914"/>
    <mergeCell ref="K2912:K2914"/>
    <mergeCell ref="P2912:P2914"/>
    <mergeCell ref="Q2912:Q2914"/>
    <mergeCell ref="R2912:R2914"/>
    <mergeCell ref="A2916:A2920"/>
    <mergeCell ref="B2916:B2920"/>
    <mergeCell ref="C2916:C2920"/>
    <mergeCell ref="F2916:F2920"/>
    <mergeCell ref="G2916:G2920"/>
    <mergeCell ref="H2916:H2920"/>
    <mergeCell ref="I2916:I2920"/>
    <mergeCell ref="J2916:J2920"/>
    <mergeCell ref="K2916:K2920"/>
    <mergeCell ref="P2916:P2920"/>
    <mergeCell ref="Q2916:Q2920"/>
    <mergeCell ref="R2916:R2920"/>
    <mergeCell ref="A2922:A2928"/>
    <mergeCell ref="B2922:B2928"/>
    <mergeCell ref="C2922:C2928"/>
    <mergeCell ref="F2922:F2928"/>
    <mergeCell ref="G2922:G2928"/>
    <mergeCell ref="H2922:H2928"/>
    <mergeCell ref="I2922:I2928"/>
    <mergeCell ref="J2922:J2928"/>
    <mergeCell ref="K2922:K2928"/>
    <mergeCell ref="P2922:P2928"/>
    <mergeCell ref="Q2922:Q2928"/>
    <mergeCell ref="R2922:R2928"/>
    <mergeCell ref="A2930:A2933"/>
    <mergeCell ref="B2930:B2933"/>
    <mergeCell ref="C2930:C2933"/>
    <mergeCell ref="F2930:F2933"/>
    <mergeCell ref="G2930:G2933"/>
    <mergeCell ref="H2930:H2933"/>
    <mergeCell ref="I2930:I2933"/>
    <mergeCell ref="J2930:J2933"/>
    <mergeCell ref="K2930:K2933"/>
    <mergeCell ref="P2930:P2933"/>
    <mergeCell ref="Q2930:Q2933"/>
    <mergeCell ref="R2930:R2933"/>
    <mergeCell ref="A2934:A2943"/>
    <mergeCell ref="B2934:B2943"/>
    <mergeCell ref="C2934:C2943"/>
    <mergeCell ref="F2934:F2943"/>
    <mergeCell ref="G2934:G2943"/>
    <mergeCell ref="H2934:H2943"/>
    <mergeCell ref="I2934:I2943"/>
    <mergeCell ref="J2934:J2943"/>
    <mergeCell ref="K2934:K2943"/>
    <mergeCell ref="P2934:P2943"/>
    <mergeCell ref="Q2934:Q2943"/>
    <mergeCell ref="R2934:R2943"/>
    <mergeCell ref="A2944:A2949"/>
    <mergeCell ref="B2944:B2949"/>
    <mergeCell ref="C2944:C2949"/>
    <mergeCell ref="F2944:F2949"/>
    <mergeCell ref="G2944:G2949"/>
    <mergeCell ref="H2944:H2949"/>
    <mergeCell ref="I2944:I2949"/>
    <mergeCell ref="J2944:J2949"/>
    <mergeCell ref="K2944:K2949"/>
    <mergeCell ref="P2944:P2949"/>
    <mergeCell ref="Q2944:Q2949"/>
    <mergeCell ref="R2944:R2949"/>
    <mergeCell ref="A2950:A2957"/>
    <mergeCell ref="B2950:B2957"/>
    <mergeCell ref="C2950:C2957"/>
    <mergeCell ref="F2950:F2957"/>
    <mergeCell ref="G2950:G2957"/>
    <mergeCell ref="H2950:H2957"/>
    <mergeCell ref="I2950:I2957"/>
    <mergeCell ref="J2950:J2957"/>
    <mergeCell ref="K2950:K2957"/>
    <mergeCell ref="P2950:P2957"/>
    <mergeCell ref="Q2950:Q2957"/>
    <mergeCell ref="R2950:R2957"/>
    <mergeCell ref="A2959:A2968"/>
    <mergeCell ref="B2959:B2968"/>
    <mergeCell ref="C2959:C2968"/>
    <mergeCell ref="F2959:F2968"/>
    <mergeCell ref="G2959:G2968"/>
    <mergeCell ref="H2959:H2968"/>
    <mergeCell ref="I2959:I2968"/>
    <mergeCell ref="J2959:J2968"/>
    <mergeCell ref="K2959:K2968"/>
    <mergeCell ref="P2959:P2968"/>
    <mergeCell ref="Q2959:Q2968"/>
    <mergeCell ref="R2959:R2968"/>
    <mergeCell ref="A2969:A2970"/>
    <mergeCell ref="B2969:B2970"/>
    <mergeCell ref="C2969:C2970"/>
    <mergeCell ref="F2969:F2970"/>
    <mergeCell ref="G2969:G2970"/>
    <mergeCell ref="H2969:H2970"/>
    <mergeCell ref="I2969:I2970"/>
    <mergeCell ref="J2969:J2970"/>
    <mergeCell ref="K2969:K2970"/>
    <mergeCell ref="P2969:P2970"/>
    <mergeCell ref="Q2969:Q2970"/>
    <mergeCell ref="R2969:R2970"/>
    <mergeCell ref="A2971:A2974"/>
    <mergeCell ref="B2971:B2974"/>
    <mergeCell ref="C2971:C2974"/>
    <mergeCell ref="F2971:F2974"/>
    <mergeCell ref="G2971:G2974"/>
    <mergeCell ref="H2971:H2974"/>
    <mergeCell ref="I2971:I2974"/>
    <mergeCell ref="J2971:J2974"/>
    <mergeCell ref="K2971:K2974"/>
    <mergeCell ref="P2971:P2974"/>
    <mergeCell ref="Q2971:Q2974"/>
    <mergeCell ref="R2971:R2974"/>
    <mergeCell ref="A2975:A2976"/>
    <mergeCell ref="B2975:B2976"/>
    <mergeCell ref="C2975:C2976"/>
    <mergeCell ref="F2975:F2976"/>
    <mergeCell ref="G2975:G2976"/>
    <mergeCell ref="H2975:H2976"/>
    <mergeCell ref="I2975:I2976"/>
    <mergeCell ref="J2975:J2976"/>
    <mergeCell ref="K2975:K2976"/>
    <mergeCell ref="P2975:P2976"/>
    <mergeCell ref="Q2975:Q2976"/>
    <mergeCell ref="R2975:R2976"/>
    <mergeCell ref="A2979:A2980"/>
    <mergeCell ref="B2979:B2980"/>
    <mergeCell ref="C2979:C2980"/>
    <mergeCell ref="F2979:F2980"/>
    <mergeCell ref="G2979:G2980"/>
    <mergeCell ref="H2979:H2980"/>
    <mergeCell ref="I2979:I2980"/>
    <mergeCell ref="J2979:J2980"/>
    <mergeCell ref="K2979:K2980"/>
    <mergeCell ref="P2979:P2980"/>
    <mergeCell ref="Q2979:Q2980"/>
    <mergeCell ref="R2979:R2980"/>
    <mergeCell ref="A2981:A2983"/>
    <mergeCell ref="B2981:B2983"/>
    <mergeCell ref="C2981:C2983"/>
    <mergeCell ref="F2981:F2983"/>
    <mergeCell ref="G2981:G2983"/>
    <mergeCell ref="H2981:H2983"/>
    <mergeCell ref="I2981:I2983"/>
    <mergeCell ref="J2981:J2983"/>
    <mergeCell ref="K2981:K2983"/>
    <mergeCell ref="P2981:P2983"/>
    <mergeCell ref="Q2981:Q2983"/>
    <mergeCell ref="R2981:R2983"/>
    <mergeCell ref="A2984:A2986"/>
    <mergeCell ref="B2984:B2986"/>
    <mergeCell ref="C2984:C2986"/>
    <mergeCell ref="F2984:F2986"/>
    <mergeCell ref="G2984:G2986"/>
    <mergeCell ref="H2984:H2986"/>
    <mergeCell ref="I2984:I2986"/>
    <mergeCell ref="J2984:J2986"/>
    <mergeCell ref="K2984:K2986"/>
    <mergeCell ref="P2984:P2986"/>
    <mergeCell ref="Q2984:Q2986"/>
    <mergeCell ref="R2984:R2986"/>
    <mergeCell ref="A2988:A2991"/>
    <mergeCell ref="B2988:B2991"/>
    <mergeCell ref="C2988:C2991"/>
    <mergeCell ref="F2988:F2991"/>
    <mergeCell ref="G2988:G2991"/>
    <mergeCell ref="H2988:H2991"/>
    <mergeCell ref="I2988:I2991"/>
    <mergeCell ref="J2988:J2991"/>
    <mergeCell ref="K2988:K2991"/>
    <mergeCell ref="P2988:P2991"/>
    <mergeCell ref="Q2988:Q2991"/>
    <mergeCell ref="R2988:R2991"/>
    <mergeCell ref="A2992:A2994"/>
    <mergeCell ref="B2992:B2994"/>
    <mergeCell ref="C2992:C2994"/>
    <mergeCell ref="F2992:F2994"/>
    <mergeCell ref="G2992:G2994"/>
    <mergeCell ref="H2992:H2994"/>
    <mergeCell ref="I2992:I2994"/>
    <mergeCell ref="J2992:J2994"/>
    <mergeCell ref="K2992:K2994"/>
    <mergeCell ref="P2992:P2994"/>
    <mergeCell ref="Q2992:Q2994"/>
    <mergeCell ref="R2992:R2994"/>
    <mergeCell ref="A2995:A3002"/>
    <mergeCell ref="B2995:B3002"/>
    <mergeCell ref="C2995:C3002"/>
    <mergeCell ref="F2995:F3002"/>
    <mergeCell ref="G2995:G3002"/>
    <mergeCell ref="H2995:H3002"/>
    <mergeCell ref="I2995:I3002"/>
    <mergeCell ref="J2995:J3002"/>
    <mergeCell ref="K2995:K3002"/>
    <mergeCell ref="P2995:P3002"/>
    <mergeCell ref="Q2995:Q3002"/>
    <mergeCell ref="R2995:R3002"/>
    <mergeCell ref="A3003:A3008"/>
    <mergeCell ref="B3003:B3008"/>
    <mergeCell ref="C3003:C3008"/>
    <mergeCell ref="F3003:F3008"/>
    <mergeCell ref="G3003:G3008"/>
    <mergeCell ref="H3003:H3008"/>
    <mergeCell ref="I3003:I3008"/>
    <mergeCell ref="J3003:J3008"/>
    <mergeCell ref="K3003:K3008"/>
    <mergeCell ref="P3003:P3008"/>
    <mergeCell ref="Q3003:Q3008"/>
    <mergeCell ref="R3003:R3008"/>
    <mergeCell ref="A3009:A3014"/>
    <mergeCell ref="B3009:B3014"/>
    <mergeCell ref="C3009:C3014"/>
    <mergeCell ref="F3009:F3014"/>
    <mergeCell ref="G3009:G3014"/>
    <mergeCell ref="H3009:H3014"/>
    <mergeCell ref="I3009:I3014"/>
    <mergeCell ref="J3009:J3014"/>
    <mergeCell ref="K3009:K3014"/>
    <mergeCell ref="P3009:P3014"/>
    <mergeCell ref="Q3009:Q3014"/>
    <mergeCell ref="R3009:R3014"/>
    <mergeCell ref="A3016:A3026"/>
    <mergeCell ref="B3016:B3026"/>
    <mergeCell ref="C3016:C3026"/>
    <mergeCell ref="F3016:F3026"/>
    <mergeCell ref="G3016:G3026"/>
    <mergeCell ref="H3016:H3026"/>
    <mergeCell ref="I3016:I3026"/>
    <mergeCell ref="J3016:J3026"/>
    <mergeCell ref="K3016:K3026"/>
    <mergeCell ref="P3016:P3026"/>
    <mergeCell ref="Q3016:Q3026"/>
    <mergeCell ref="R3016:R3026"/>
    <mergeCell ref="A3031:A3032"/>
    <mergeCell ref="B3031:B3032"/>
    <mergeCell ref="C3031:C3032"/>
    <mergeCell ref="F3031:F3032"/>
    <mergeCell ref="G3031:G3032"/>
    <mergeCell ref="H3031:H3032"/>
    <mergeCell ref="I3031:I3032"/>
    <mergeCell ref="J3031:J3032"/>
    <mergeCell ref="K3031:K3032"/>
    <mergeCell ref="P3031:P3032"/>
    <mergeCell ref="Q3031:Q3032"/>
    <mergeCell ref="R3031:R3032"/>
    <mergeCell ref="A3034:A3035"/>
    <mergeCell ref="B3034:B3035"/>
    <mergeCell ref="C3034:C3035"/>
    <mergeCell ref="F3034:F3035"/>
    <mergeCell ref="G3034:G3035"/>
    <mergeCell ref="H3034:H3035"/>
    <mergeCell ref="I3034:I3035"/>
    <mergeCell ref="J3034:J3035"/>
    <mergeCell ref="K3034:K3035"/>
    <mergeCell ref="P3034:P3035"/>
    <mergeCell ref="Q3034:Q3035"/>
    <mergeCell ref="R3034:R3035"/>
    <mergeCell ref="A3037:A3038"/>
    <mergeCell ref="B3037:B3038"/>
    <mergeCell ref="C3037:C3038"/>
    <mergeCell ref="F3037:F3038"/>
    <mergeCell ref="G3037:G3038"/>
    <mergeCell ref="H3037:H3038"/>
    <mergeCell ref="I3037:I3038"/>
    <mergeCell ref="J3037:J3038"/>
    <mergeCell ref="K3037:K3038"/>
    <mergeCell ref="P3037:P3038"/>
    <mergeCell ref="Q3037:Q3038"/>
    <mergeCell ref="R3037:R3038"/>
    <mergeCell ref="A3043:A3048"/>
    <mergeCell ref="B3043:B3048"/>
    <mergeCell ref="C3043:C3048"/>
    <mergeCell ref="F3043:F3048"/>
    <mergeCell ref="G3043:G3048"/>
    <mergeCell ref="H3043:H3048"/>
    <mergeCell ref="I3043:I3048"/>
    <mergeCell ref="J3043:J3048"/>
    <mergeCell ref="K3043:K3048"/>
    <mergeCell ref="P3043:P3048"/>
    <mergeCell ref="Q3043:Q3048"/>
    <mergeCell ref="R3043:R3048"/>
    <mergeCell ref="A3058:A3059"/>
    <mergeCell ref="B3058:B3059"/>
    <mergeCell ref="C3058:C3059"/>
    <mergeCell ref="F3058:F3059"/>
    <mergeCell ref="G3058:G3059"/>
    <mergeCell ref="H3058:H3059"/>
    <mergeCell ref="I3058:I3059"/>
    <mergeCell ref="J3058:J3059"/>
    <mergeCell ref="K3058:K3059"/>
    <mergeCell ref="P3058:P3059"/>
    <mergeCell ref="Q3058:Q3059"/>
    <mergeCell ref="R3058:R3059"/>
    <mergeCell ref="A3060:A3074"/>
    <mergeCell ref="B3060:B3074"/>
    <mergeCell ref="C3060:C3074"/>
    <mergeCell ref="F3060:F3074"/>
    <mergeCell ref="G3060:G3074"/>
    <mergeCell ref="H3060:H3074"/>
    <mergeCell ref="I3060:I3074"/>
    <mergeCell ref="J3060:J3074"/>
    <mergeCell ref="K3060:K3074"/>
    <mergeCell ref="P3060:P3074"/>
    <mergeCell ref="Q3060:Q3074"/>
    <mergeCell ref="R3060:R3074"/>
    <mergeCell ref="A3075:A3104"/>
    <mergeCell ref="B3075:B3104"/>
    <mergeCell ref="C3075:C3104"/>
    <mergeCell ref="F3075:F3104"/>
    <mergeCell ref="G3075:G3104"/>
    <mergeCell ref="H3075:H3104"/>
    <mergeCell ref="I3075:I3104"/>
    <mergeCell ref="J3075:J3104"/>
    <mergeCell ref="K3075:K3104"/>
    <mergeCell ref="P3075:P3104"/>
    <mergeCell ref="Q3075:Q3104"/>
    <mergeCell ref="R3075:R3104"/>
    <mergeCell ref="A3105:A3110"/>
    <mergeCell ref="B3105:B3110"/>
    <mergeCell ref="C3105:C3110"/>
    <mergeCell ref="F3105:F3110"/>
    <mergeCell ref="G3105:G3110"/>
    <mergeCell ref="H3105:H3110"/>
    <mergeCell ref="I3105:I3110"/>
    <mergeCell ref="J3105:J3110"/>
    <mergeCell ref="K3105:K3110"/>
    <mergeCell ref="P3105:P3110"/>
    <mergeCell ref="Q3105:Q3110"/>
    <mergeCell ref="R3105:R3110"/>
    <mergeCell ref="A3111:A3112"/>
    <mergeCell ref="B3111:B3112"/>
    <mergeCell ref="C3111:C3112"/>
    <mergeCell ref="F3111:F3112"/>
    <mergeCell ref="G3111:G3112"/>
    <mergeCell ref="H3111:H3112"/>
    <mergeCell ref="I3111:I3112"/>
    <mergeCell ref="J3111:J3112"/>
    <mergeCell ref="K3111:K3112"/>
    <mergeCell ref="P3111:P3112"/>
    <mergeCell ref="Q3111:Q3112"/>
    <mergeCell ref="R3111:R3112"/>
    <mergeCell ref="A3115:A3121"/>
    <mergeCell ref="B3115:B3121"/>
    <mergeCell ref="C3115:C3121"/>
    <mergeCell ref="F3115:F3121"/>
    <mergeCell ref="G3115:G3121"/>
    <mergeCell ref="H3115:H3121"/>
    <mergeCell ref="I3115:I3121"/>
    <mergeCell ref="J3115:J3121"/>
    <mergeCell ref="K3115:K3121"/>
    <mergeCell ref="P3115:P3121"/>
    <mergeCell ref="Q3115:Q3121"/>
    <mergeCell ref="R3115:R3121"/>
    <mergeCell ref="A3123:A3133"/>
    <mergeCell ref="B3123:B3133"/>
    <mergeCell ref="C3123:C3133"/>
    <mergeCell ref="F3123:F3133"/>
    <mergeCell ref="G3123:G3133"/>
    <mergeCell ref="H3123:H3133"/>
    <mergeCell ref="I3123:I3133"/>
    <mergeCell ref="J3123:J3133"/>
    <mergeCell ref="K3123:K3133"/>
    <mergeCell ref="P3123:P3133"/>
    <mergeCell ref="Q3123:Q3133"/>
    <mergeCell ref="R3123:R3133"/>
    <mergeCell ref="A3134:A3138"/>
    <mergeCell ref="B3134:B3138"/>
    <mergeCell ref="C3134:C3138"/>
    <mergeCell ref="F3134:F3138"/>
    <mergeCell ref="G3134:G3138"/>
    <mergeCell ref="H3134:H3138"/>
    <mergeCell ref="I3134:I3138"/>
    <mergeCell ref="J3134:J3138"/>
    <mergeCell ref="K3134:K3138"/>
    <mergeCell ref="P3134:P3138"/>
    <mergeCell ref="Q3134:Q3138"/>
    <mergeCell ref="R3134:R3138"/>
    <mergeCell ref="A3139:A3142"/>
    <mergeCell ref="B3139:B3142"/>
    <mergeCell ref="C3139:C3142"/>
    <mergeCell ref="F3139:F3142"/>
    <mergeCell ref="G3139:G3142"/>
    <mergeCell ref="H3139:H3142"/>
    <mergeCell ref="I3139:I3142"/>
    <mergeCell ref="J3139:J3142"/>
    <mergeCell ref="K3139:K3142"/>
    <mergeCell ref="P3139:P3142"/>
    <mergeCell ref="Q3139:Q3142"/>
    <mergeCell ref="R3139:R3142"/>
    <mergeCell ref="A3144:A3146"/>
    <mergeCell ref="B3144:B3146"/>
    <mergeCell ref="C3144:C3146"/>
    <mergeCell ref="F3144:F3146"/>
    <mergeCell ref="G3144:G3146"/>
    <mergeCell ref="H3144:H3146"/>
    <mergeCell ref="I3144:I3146"/>
    <mergeCell ref="J3144:J3146"/>
    <mergeCell ref="K3144:K3146"/>
    <mergeCell ref="P3144:P3146"/>
    <mergeCell ref="Q3144:Q3146"/>
    <mergeCell ref="R3144:R3146"/>
    <mergeCell ref="A3147:A3150"/>
    <mergeCell ref="B3147:B3150"/>
    <mergeCell ref="C3147:C3150"/>
    <mergeCell ref="F3147:F3150"/>
    <mergeCell ref="G3147:G3150"/>
    <mergeCell ref="H3147:H3150"/>
    <mergeCell ref="I3147:I3150"/>
    <mergeCell ref="J3147:J3150"/>
    <mergeCell ref="K3147:K3150"/>
    <mergeCell ref="P3147:P3150"/>
    <mergeCell ref="Q3147:Q3150"/>
    <mergeCell ref="R3147:R3150"/>
    <mergeCell ref="A3153:A3154"/>
    <mergeCell ref="B3153:B3154"/>
    <mergeCell ref="C3153:C3154"/>
    <mergeCell ref="F3153:F3154"/>
    <mergeCell ref="G3153:G3154"/>
    <mergeCell ref="H3153:H3154"/>
    <mergeCell ref="I3153:I3154"/>
    <mergeCell ref="J3153:J3154"/>
    <mergeCell ref="K3153:K3154"/>
    <mergeCell ref="P3153:P3154"/>
    <mergeCell ref="Q3153:Q3154"/>
    <mergeCell ref="R3153:R3154"/>
    <mergeCell ref="A3155:A3167"/>
    <mergeCell ref="B3155:B3167"/>
    <mergeCell ref="C3155:C3167"/>
    <mergeCell ref="F3155:F3167"/>
    <mergeCell ref="G3155:G3167"/>
    <mergeCell ref="H3155:H3167"/>
    <mergeCell ref="I3155:I3167"/>
    <mergeCell ref="J3155:J3167"/>
    <mergeCell ref="K3155:K3167"/>
    <mergeCell ref="P3155:P3167"/>
    <mergeCell ref="Q3155:Q3167"/>
    <mergeCell ref="R3155:R3167"/>
    <mergeCell ref="A3168:A3170"/>
    <mergeCell ref="B3168:B3170"/>
    <mergeCell ref="C3168:C3170"/>
    <mergeCell ref="F3168:F3170"/>
    <mergeCell ref="G3168:G3170"/>
    <mergeCell ref="H3168:H3170"/>
    <mergeCell ref="I3168:I3170"/>
    <mergeCell ref="J3168:J3170"/>
    <mergeCell ref="K3168:K3170"/>
    <mergeCell ref="P3168:P3170"/>
    <mergeCell ref="Q3168:Q3170"/>
    <mergeCell ref="R3168:R3170"/>
    <mergeCell ref="A3171:A3173"/>
    <mergeCell ref="B3171:B3173"/>
    <mergeCell ref="C3171:C3173"/>
    <mergeCell ref="F3171:F3173"/>
    <mergeCell ref="G3171:G3173"/>
    <mergeCell ref="H3171:H3173"/>
    <mergeCell ref="I3171:I3173"/>
    <mergeCell ref="J3171:J3173"/>
    <mergeCell ref="K3171:K3173"/>
    <mergeCell ref="P3171:P3173"/>
    <mergeCell ref="Q3171:Q3173"/>
    <mergeCell ref="R3171:R3173"/>
    <mergeCell ref="A3175:A3185"/>
    <mergeCell ref="B3175:B3185"/>
    <mergeCell ref="C3175:C3185"/>
    <mergeCell ref="F3175:F3185"/>
    <mergeCell ref="G3175:G3185"/>
    <mergeCell ref="H3175:H3185"/>
    <mergeCell ref="I3175:I3185"/>
    <mergeCell ref="J3175:J3185"/>
    <mergeCell ref="K3175:K3185"/>
    <mergeCell ref="P3175:P3185"/>
    <mergeCell ref="Q3175:Q3185"/>
    <mergeCell ref="R3175:R3185"/>
    <mergeCell ref="A3186:A3188"/>
    <mergeCell ref="B3186:B3188"/>
    <mergeCell ref="C3186:C3188"/>
    <mergeCell ref="F3186:F3188"/>
    <mergeCell ref="G3186:G3188"/>
    <mergeCell ref="H3186:H3188"/>
    <mergeCell ref="I3186:I3188"/>
    <mergeCell ref="J3186:J3188"/>
    <mergeCell ref="K3186:K3188"/>
    <mergeCell ref="P3186:P3188"/>
    <mergeCell ref="Q3186:Q3188"/>
    <mergeCell ref="R3186:R3188"/>
    <mergeCell ref="A3189:A3190"/>
    <mergeCell ref="B3189:B3190"/>
    <mergeCell ref="C3189:C3190"/>
    <mergeCell ref="F3189:F3190"/>
    <mergeCell ref="G3189:G3190"/>
    <mergeCell ref="H3189:H3190"/>
    <mergeCell ref="I3189:I3190"/>
    <mergeCell ref="J3189:J3190"/>
    <mergeCell ref="K3189:K3190"/>
    <mergeCell ref="P3189:P3190"/>
    <mergeCell ref="Q3189:Q3190"/>
    <mergeCell ref="R3189:R3190"/>
    <mergeCell ref="A3192:A3199"/>
    <mergeCell ref="B3192:B3199"/>
    <mergeCell ref="C3192:C3199"/>
    <mergeCell ref="F3192:F3199"/>
    <mergeCell ref="G3192:G3199"/>
    <mergeCell ref="H3192:H3199"/>
    <mergeCell ref="I3192:I3199"/>
    <mergeCell ref="J3192:J3199"/>
    <mergeCell ref="K3192:K3199"/>
    <mergeCell ref="P3192:P3199"/>
    <mergeCell ref="Q3192:Q3199"/>
    <mergeCell ref="R3192:R3199"/>
    <mergeCell ref="A3200:A3206"/>
    <mergeCell ref="B3200:B3206"/>
    <mergeCell ref="C3200:C3206"/>
    <mergeCell ref="F3200:F3206"/>
    <mergeCell ref="G3200:G3206"/>
    <mergeCell ref="H3200:H3206"/>
    <mergeCell ref="I3200:I3206"/>
    <mergeCell ref="J3200:J3206"/>
    <mergeCell ref="K3200:K3206"/>
    <mergeCell ref="P3200:P3206"/>
    <mergeCell ref="Q3200:Q3206"/>
    <mergeCell ref="R3200:R3206"/>
    <mergeCell ref="A3208:A3211"/>
    <mergeCell ref="B3208:B3211"/>
    <mergeCell ref="C3208:C3211"/>
    <mergeCell ref="F3208:F3211"/>
    <mergeCell ref="G3208:G3211"/>
    <mergeCell ref="H3208:H3211"/>
    <mergeCell ref="I3208:I3211"/>
    <mergeCell ref="J3208:J3211"/>
    <mergeCell ref="K3208:K3211"/>
    <mergeCell ref="P3208:P3211"/>
    <mergeCell ref="Q3208:Q3211"/>
    <mergeCell ref="R3208:R3211"/>
    <mergeCell ref="A3213:A3215"/>
    <mergeCell ref="B3213:B3215"/>
    <mergeCell ref="C3213:C3215"/>
    <mergeCell ref="F3213:F3215"/>
    <mergeCell ref="G3213:G3215"/>
    <mergeCell ref="H3213:H3215"/>
    <mergeCell ref="I3213:I3215"/>
    <mergeCell ref="J3213:J3215"/>
    <mergeCell ref="K3213:K3215"/>
    <mergeCell ref="P3213:P3215"/>
    <mergeCell ref="Q3213:Q3215"/>
    <mergeCell ref="R3213:R3215"/>
    <mergeCell ref="A3218:A3219"/>
    <mergeCell ref="B3218:B3219"/>
    <mergeCell ref="C3218:C3219"/>
    <mergeCell ref="F3218:F3219"/>
    <mergeCell ref="G3218:G3219"/>
    <mergeCell ref="H3218:H3219"/>
    <mergeCell ref="I3218:I3219"/>
    <mergeCell ref="J3218:J3219"/>
    <mergeCell ref="K3218:K3219"/>
    <mergeCell ref="P3218:P3219"/>
    <mergeCell ref="Q3218:Q3219"/>
    <mergeCell ref="R3218:R3219"/>
    <mergeCell ref="A3221:A3225"/>
    <mergeCell ref="B3221:B3225"/>
    <mergeCell ref="C3221:C3225"/>
    <mergeCell ref="F3221:F3225"/>
    <mergeCell ref="G3221:G3225"/>
    <mergeCell ref="H3221:H3225"/>
    <mergeCell ref="I3221:I3225"/>
    <mergeCell ref="J3221:J3225"/>
    <mergeCell ref="K3221:K3225"/>
    <mergeCell ref="P3221:P3225"/>
    <mergeCell ref="Q3221:Q3225"/>
    <mergeCell ref="R3221:R3225"/>
    <mergeCell ref="A3226:A3232"/>
    <mergeCell ref="B3226:B3232"/>
    <mergeCell ref="C3226:C3232"/>
    <mergeCell ref="F3226:F3232"/>
    <mergeCell ref="G3226:G3232"/>
    <mergeCell ref="H3226:H3232"/>
    <mergeCell ref="I3226:I3232"/>
    <mergeCell ref="J3226:J3232"/>
    <mergeCell ref="K3226:K3232"/>
    <mergeCell ref="P3226:P3232"/>
    <mergeCell ref="Q3226:Q3232"/>
    <mergeCell ref="R3226:R3232"/>
    <mergeCell ref="A3233:A3239"/>
    <mergeCell ref="B3233:B3239"/>
    <mergeCell ref="C3233:C3239"/>
    <mergeCell ref="F3233:F3239"/>
    <mergeCell ref="G3233:G3239"/>
    <mergeCell ref="H3233:H3239"/>
    <mergeCell ref="I3233:I3239"/>
    <mergeCell ref="J3233:J3239"/>
    <mergeCell ref="K3233:K3239"/>
    <mergeCell ref="P3233:P3239"/>
    <mergeCell ref="Q3233:Q3239"/>
    <mergeCell ref="R3233:R3239"/>
    <mergeCell ref="A3240:A3253"/>
    <mergeCell ref="B3240:B3253"/>
    <mergeCell ref="C3240:C3253"/>
    <mergeCell ref="F3240:F3253"/>
    <mergeCell ref="G3240:G3253"/>
    <mergeCell ref="H3240:H3253"/>
    <mergeCell ref="I3240:I3253"/>
    <mergeCell ref="J3240:J3253"/>
    <mergeCell ref="K3240:K3253"/>
    <mergeCell ref="P3240:P3253"/>
    <mergeCell ref="Q3240:Q3253"/>
    <mergeCell ref="R3240:R3253"/>
    <mergeCell ref="A3254:A3260"/>
    <mergeCell ref="B3254:B3260"/>
    <mergeCell ref="C3254:C3260"/>
    <mergeCell ref="F3254:F3260"/>
    <mergeCell ref="G3254:G3260"/>
    <mergeCell ref="H3254:H3260"/>
    <mergeCell ref="I3254:I3260"/>
    <mergeCell ref="J3254:J3260"/>
    <mergeCell ref="K3254:K3260"/>
    <mergeCell ref="P3254:P3260"/>
    <mergeCell ref="Q3254:Q3260"/>
    <mergeCell ref="R3254:R3260"/>
    <mergeCell ref="A3262:A3263"/>
    <mergeCell ref="B3262:B3263"/>
    <mergeCell ref="C3262:C3263"/>
    <mergeCell ref="F3262:F3263"/>
    <mergeCell ref="G3262:G3263"/>
    <mergeCell ref="H3262:H3263"/>
    <mergeCell ref="I3262:I3263"/>
    <mergeCell ref="J3262:J3263"/>
    <mergeCell ref="K3262:K3263"/>
    <mergeCell ref="P3262:P3263"/>
    <mergeCell ref="Q3262:Q3263"/>
    <mergeCell ref="R3262:R3263"/>
    <mergeCell ref="A3264:A3266"/>
    <mergeCell ref="B3264:B3266"/>
    <mergeCell ref="C3264:C3266"/>
    <mergeCell ref="F3264:F3266"/>
    <mergeCell ref="G3264:G3266"/>
    <mergeCell ref="H3264:H3266"/>
    <mergeCell ref="I3264:I3266"/>
    <mergeCell ref="J3264:J3266"/>
    <mergeCell ref="K3264:K3266"/>
    <mergeCell ref="P3264:P3266"/>
    <mergeCell ref="Q3264:Q3266"/>
    <mergeCell ref="R3264:R3266"/>
    <mergeCell ref="A3268:A3270"/>
    <mergeCell ref="B3268:B3270"/>
    <mergeCell ref="C3268:C3270"/>
    <mergeCell ref="F3268:F3270"/>
    <mergeCell ref="G3268:G3270"/>
    <mergeCell ref="H3268:H3270"/>
    <mergeCell ref="I3268:I3270"/>
    <mergeCell ref="J3268:J3270"/>
    <mergeCell ref="K3268:K3270"/>
    <mergeCell ref="P3268:P3270"/>
    <mergeCell ref="Q3268:Q3270"/>
    <mergeCell ref="R3268:R3270"/>
    <mergeCell ref="A3271:A3281"/>
    <mergeCell ref="B3271:B3281"/>
    <mergeCell ref="C3271:C3281"/>
    <mergeCell ref="F3271:F3281"/>
    <mergeCell ref="G3271:G3281"/>
    <mergeCell ref="H3271:H3281"/>
    <mergeCell ref="I3271:I3281"/>
    <mergeCell ref="J3271:J3281"/>
    <mergeCell ref="K3271:K3281"/>
    <mergeCell ref="P3271:P3281"/>
    <mergeCell ref="Q3271:Q3281"/>
    <mergeCell ref="R3271:R3281"/>
    <mergeCell ref="A3285:A3288"/>
    <mergeCell ref="B3285:B3288"/>
    <mergeCell ref="C3285:C3288"/>
    <mergeCell ref="F3285:F3288"/>
    <mergeCell ref="G3285:G3288"/>
    <mergeCell ref="H3285:H3288"/>
    <mergeCell ref="I3285:I3288"/>
    <mergeCell ref="J3285:J3288"/>
    <mergeCell ref="K3285:K3288"/>
    <mergeCell ref="P3285:P3288"/>
    <mergeCell ref="Q3285:Q3288"/>
    <mergeCell ref="R3285:R3288"/>
    <mergeCell ref="A3289:A3301"/>
    <mergeCell ref="B3289:B3301"/>
    <mergeCell ref="C3289:C3301"/>
    <mergeCell ref="F3289:F3301"/>
    <mergeCell ref="G3289:G3301"/>
    <mergeCell ref="H3289:H3301"/>
    <mergeCell ref="I3289:I3301"/>
    <mergeCell ref="J3289:J3301"/>
    <mergeCell ref="K3289:K3301"/>
    <mergeCell ref="P3289:P3301"/>
    <mergeCell ref="Q3289:Q3301"/>
    <mergeCell ref="R3289:R3301"/>
    <mergeCell ref="A3302:A3304"/>
    <mergeCell ref="B3302:B3304"/>
    <mergeCell ref="C3302:C3304"/>
    <mergeCell ref="F3302:F3304"/>
    <mergeCell ref="G3302:G3304"/>
    <mergeCell ref="H3302:H3304"/>
    <mergeCell ref="I3302:I3304"/>
    <mergeCell ref="J3302:J3304"/>
    <mergeCell ref="K3302:K3304"/>
    <mergeCell ref="P3302:P3304"/>
    <mergeCell ref="Q3302:Q3304"/>
    <mergeCell ref="R3302:R3304"/>
    <mergeCell ref="A3305:A3307"/>
    <mergeCell ref="B3305:B3307"/>
    <mergeCell ref="C3305:C3307"/>
    <mergeCell ref="F3305:F3307"/>
    <mergeCell ref="G3305:G3307"/>
    <mergeCell ref="H3305:H3307"/>
    <mergeCell ref="I3305:I3307"/>
    <mergeCell ref="J3305:J3307"/>
    <mergeCell ref="K3305:K3307"/>
    <mergeCell ref="P3305:P3307"/>
    <mergeCell ref="Q3305:Q3307"/>
    <mergeCell ref="R3305:R3307"/>
    <mergeCell ref="A3309:A3316"/>
    <mergeCell ref="B3309:B3316"/>
    <mergeCell ref="C3309:C3316"/>
    <mergeCell ref="F3309:F3316"/>
    <mergeCell ref="G3309:G3316"/>
    <mergeCell ref="H3309:H3316"/>
    <mergeCell ref="I3309:I3316"/>
    <mergeCell ref="J3309:J3316"/>
    <mergeCell ref="K3309:K3316"/>
    <mergeCell ref="P3309:P3316"/>
    <mergeCell ref="Q3309:Q3316"/>
    <mergeCell ref="R3309:R3316"/>
    <mergeCell ref="A3317:A3319"/>
    <mergeCell ref="B3317:B3319"/>
    <mergeCell ref="C3317:C3319"/>
    <mergeCell ref="F3317:F3319"/>
    <mergeCell ref="G3317:G3319"/>
    <mergeCell ref="H3317:H3319"/>
    <mergeCell ref="I3317:I3319"/>
    <mergeCell ref="J3317:J3319"/>
    <mergeCell ref="K3317:K3319"/>
    <mergeCell ref="P3317:P3319"/>
    <mergeCell ref="Q3317:Q3319"/>
    <mergeCell ref="R3317:R3319"/>
    <mergeCell ref="A3320:A3321"/>
    <mergeCell ref="B3320:B3321"/>
    <mergeCell ref="C3320:C3321"/>
    <mergeCell ref="F3320:F3321"/>
    <mergeCell ref="G3320:G3321"/>
    <mergeCell ref="H3320:H3321"/>
    <mergeCell ref="I3320:I3321"/>
    <mergeCell ref="J3320:J3321"/>
    <mergeCell ref="K3320:K3321"/>
    <mergeCell ref="P3320:P3321"/>
    <mergeCell ref="Q3320:Q3321"/>
    <mergeCell ref="R3320:R3321"/>
    <mergeCell ref="A3325:D3325"/>
    <mergeCell ref="E3325:F3325"/>
    <mergeCell ref="G3325:H3325"/>
  </mergeCells>
  <printOptions headings="false" gridLines="false" gridLinesSet="true" horizontalCentered="false" verticalCentered="false"/>
  <pageMargins left="0.118055555555556" right="0.118055555555556" top="0.7875" bottom="0.393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Q95"/>
  <sheetViews>
    <sheetView showFormulas="false" showGridLines="true" showRowColHeaders="true" showZeros="true" rightToLeft="false" tabSelected="false" showOutlineSymbols="true" defaultGridColor="true" view="normal" topLeftCell="A47" colorId="64" zoomScale="80" zoomScaleNormal="80" zoomScalePageLayoutView="100" workbookViewId="0">
      <selection pane="topLeft" activeCell="Q60" activeCellId="0" sqref="Q60"/>
    </sheetView>
  </sheetViews>
  <sheetFormatPr defaultColWidth="9.18359375" defaultRowHeight="14.25" zeroHeight="false" outlineLevelRow="0" outlineLevelCol="0"/>
  <cols>
    <col collapsed="false" customWidth="true" hidden="false" outlineLevel="0" max="1" min="1" style="44" width="11.73"/>
    <col collapsed="false" customWidth="true" hidden="false" outlineLevel="0" max="2" min="2" style="44" width="9"/>
    <col collapsed="false" customWidth="true" hidden="false" outlineLevel="0" max="3" min="3" style="44" width="17.18"/>
    <col collapsed="false" customWidth="true" hidden="false" outlineLevel="0" max="4" min="4" style="44" width="14.73"/>
    <col collapsed="false" customWidth="true" hidden="false" outlineLevel="0" max="5" min="5" style="44" width="12.18"/>
    <col collapsed="false" customWidth="true" hidden="false" outlineLevel="0" max="6" min="6" style="44" width="12.45"/>
    <col collapsed="false" customWidth="true" hidden="false" outlineLevel="0" max="7" min="7" style="44" width="9.82"/>
    <col collapsed="false" customWidth="true" hidden="false" outlineLevel="0" max="8" min="8" style="44" width="8.27"/>
    <col collapsed="false" customWidth="true" hidden="false" outlineLevel="0" max="9" min="9" style="44" width="9.27"/>
    <col collapsed="false" customWidth="true" hidden="false" outlineLevel="0" max="10" min="10" style="44" width="9.54"/>
    <col collapsed="false" customWidth="true" hidden="false" outlineLevel="0" max="11" min="11" style="44" width="12.54"/>
    <col collapsed="false" customWidth="true" hidden="false" outlineLevel="0" max="12" min="12" style="44" width="16.45"/>
    <col collapsed="false" customWidth="true" hidden="false" outlineLevel="0" max="13" min="13" style="44" width="17.18"/>
    <col collapsed="false" customWidth="true" hidden="false" outlineLevel="0" max="14" min="14" style="44" width="7.54"/>
    <col collapsed="false" customWidth="true" hidden="false" outlineLevel="0" max="15" min="15" style="44" width="13.73"/>
    <col collapsed="false" customWidth="true" hidden="false" outlineLevel="0" max="16" min="16" style="44" width="12.18"/>
    <col collapsed="false" customWidth="false" hidden="false" outlineLevel="0" max="16384" min="17" style="44" width="9.18"/>
  </cols>
  <sheetData>
    <row r="1" customFormat="false" ht="16.5" hidden="false" customHeight="true" outlineLevel="0" collapsed="false">
      <c r="A1" s="826" t="s">
        <v>3625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</row>
    <row r="2" customFormat="false" ht="16.5" hidden="false" customHeight="true" outlineLevel="0" collapsed="false">
      <c r="A2" s="2100" t="s">
        <v>3353</v>
      </c>
      <c r="B2" s="2101" t="s">
        <v>2178</v>
      </c>
      <c r="C2" s="2101" t="s">
        <v>3354</v>
      </c>
      <c r="D2" s="2101" t="s">
        <v>1</v>
      </c>
      <c r="E2" s="2101" t="s">
        <v>2179</v>
      </c>
      <c r="F2" s="2101" t="s">
        <v>3626</v>
      </c>
      <c r="G2" s="2101" t="s">
        <v>2184</v>
      </c>
      <c r="H2" s="2101" t="s">
        <v>2185</v>
      </c>
      <c r="I2" s="2101" t="s">
        <v>3356</v>
      </c>
      <c r="J2" s="2101" t="s">
        <v>31</v>
      </c>
      <c r="K2" s="2101" t="s">
        <v>4</v>
      </c>
      <c r="L2" s="2101" t="s">
        <v>1647</v>
      </c>
      <c r="M2" s="2102" t="s">
        <v>1648</v>
      </c>
      <c r="N2" s="2103" t="s">
        <v>2181</v>
      </c>
      <c r="O2" s="2104" t="s">
        <v>3627</v>
      </c>
    </row>
    <row r="3" customFormat="false" ht="16.5" hidden="false" customHeight="true" outlineLevel="0" collapsed="false">
      <c r="A3" s="1917" t="n">
        <v>7</v>
      </c>
      <c r="B3" s="859" t="n">
        <v>2024</v>
      </c>
      <c r="C3" s="2057" t="n">
        <v>45658</v>
      </c>
      <c r="D3" s="859" t="s">
        <v>19</v>
      </c>
      <c r="E3" s="859" t="s">
        <v>1652</v>
      </c>
      <c r="F3" s="859" t="s">
        <v>3364</v>
      </c>
      <c r="G3" s="2105" t="n">
        <v>107</v>
      </c>
      <c r="H3" s="869" t="n">
        <v>15</v>
      </c>
      <c r="I3" s="582" t="n">
        <f aca="false">G3*H3</f>
        <v>1605</v>
      </c>
      <c r="J3" s="2106" t="n">
        <v>39.2</v>
      </c>
      <c r="K3" s="2107" t="n">
        <f aca="false">VEN!T57</f>
        <v>0.746471959917477</v>
      </c>
      <c r="L3" s="2108" t="n">
        <f aca="false">I3*J3</f>
        <v>62916</v>
      </c>
      <c r="M3" s="2109" t="n">
        <f aca="false">L3*K3</f>
        <v>46965.029830168</v>
      </c>
      <c r="N3" s="270" t="n">
        <v>23</v>
      </c>
      <c r="O3" s="2110" t="n">
        <f aca="false">J3*K3</f>
        <v>29.2617008287651</v>
      </c>
    </row>
    <row r="4" customFormat="false" ht="16.5" hidden="false" customHeight="true" outlineLevel="0" collapsed="false">
      <c r="A4" s="1917" t="n">
        <v>181</v>
      </c>
      <c r="B4" s="859" t="n">
        <v>2024</v>
      </c>
      <c r="C4" s="2057" t="n">
        <v>45689</v>
      </c>
      <c r="D4" s="859" t="s">
        <v>52</v>
      </c>
      <c r="E4" s="859" t="s">
        <v>1651</v>
      </c>
      <c r="F4" s="859" t="s">
        <v>3364</v>
      </c>
      <c r="G4" s="2105" t="n">
        <v>6</v>
      </c>
      <c r="H4" s="869" t="n">
        <v>15</v>
      </c>
      <c r="I4" s="582" t="n">
        <f aca="false">G4*H4</f>
        <v>90</v>
      </c>
      <c r="J4" s="2106" t="n">
        <v>29.4107</v>
      </c>
      <c r="K4" s="2107" t="n">
        <f aca="false">VEN!T7</f>
        <v>0.481893150497586</v>
      </c>
      <c r="L4" s="2108" t="n">
        <f aca="false">I4*J4</f>
        <v>2646.963</v>
      </c>
      <c r="M4" s="2109" t="n">
        <f aca="false">L4*K4</f>
        <v>1275.55333932054</v>
      </c>
      <c r="N4" s="270" t="n">
        <v>25</v>
      </c>
      <c r="O4" s="2110" t="n">
        <f aca="false">J4*K4</f>
        <v>14.1728148813394</v>
      </c>
    </row>
    <row r="5" customFormat="false" ht="16.5" hidden="false" customHeight="true" outlineLevel="0" collapsed="false">
      <c r="A5" s="1917" t="n">
        <v>230</v>
      </c>
      <c r="B5" s="859" t="n">
        <v>2024</v>
      </c>
      <c r="C5" s="2057" t="n">
        <v>45689</v>
      </c>
      <c r="D5" s="859" t="s">
        <v>17</v>
      </c>
      <c r="E5" s="859" t="s">
        <v>1651</v>
      </c>
      <c r="F5" s="859" t="s">
        <v>3364</v>
      </c>
      <c r="G5" s="2105" t="n">
        <v>2</v>
      </c>
      <c r="H5" s="869" t="n">
        <v>15</v>
      </c>
      <c r="I5" s="582" t="n">
        <f aca="false">G5*H5</f>
        <v>30</v>
      </c>
      <c r="J5" s="2106" t="n">
        <v>23.8775</v>
      </c>
      <c r="K5" s="2107" t="n">
        <f aca="false">VEN!T50</f>
        <v>0.574558329338418</v>
      </c>
      <c r="L5" s="2108" t="n">
        <f aca="false">I5*J5</f>
        <v>716.325</v>
      </c>
      <c r="M5" s="2109" t="n">
        <f aca="false">L5*K5</f>
        <v>411.570495263343</v>
      </c>
      <c r="N5" s="270" t="s">
        <v>2119</v>
      </c>
      <c r="O5" s="2110" t="n">
        <f aca="false">J5*K5</f>
        <v>13.7190165087781</v>
      </c>
    </row>
    <row r="6" customFormat="false" ht="16.5" hidden="false" customHeight="true" outlineLevel="0" collapsed="false">
      <c r="A6" s="1917" t="n">
        <v>275</v>
      </c>
      <c r="B6" s="859" t="n">
        <v>2024</v>
      </c>
      <c r="C6" s="2057" t="n">
        <v>45870</v>
      </c>
      <c r="D6" s="859" t="s">
        <v>52</v>
      </c>
      <c r="E6" s="859" t="s">
        <v>1652</v>
      </c>
      <c r="F6" s="859" t="s">
        <v>3364</v>
      </c>
      <c r="G6" s="2105" t="n">
        <v>1</v>
      </c>
      <c r="H6" s="869" t="n">
        <v>15</v>
      </c>
      <c r="I6" s="582" t="n">
        <f aca="false">G6*H6</f>
        <v>15</v>
      </c>
      <c r="J6" s="2106" t="n">
        <v>37.2514</v>
      </c>
      <c r="K6" s="2107" t="n">
        <f aca="false">VEN!T8</f>
        <v>0.445204332693797</v>
      </c>
      <c r="L6" s="2108" t="n">
        <f aca="false">I6*J6</f>
        <v>558.771</v>
      </c>
      <c r="M6" s="2109" t="n">
        <f aca="false">L6*K6</f>
        <v>248.767270183645</v>
      </c>
      <c r="N6" s="270" t="s">
        <v>2119</v>
      </c>
      <c r="O6" s="2110" t="n">
        <f aca="false">J6*K6</f>
        <v>16.5844846789097</v>
      </c>
    </row>
    <row r="7" customFormat="false" ht="16.5" hidden="false" customHeight="true" outlineLevel="0" collapsed="false">
      <c r="A7" s="1917" t="n">
        <v>283</v>
      </c>
      <c r="B7" s="859" t="n">
        <v>2024</v>
      </c>
      <c r="C7" s="2057" t="n">
        <v>45870</v>
      </c>
      <c r="D7" s="859" t="s">
        <v>21</v>
      </c>
      <c r="E7" s="859" t="s">
        <v>3393</v>
      </c>
      <c r="F7" s="859" t="s">
        <v>3364</v>
      </c>
      <c r="G7" s="2105" t="n">
        <v>185</v>
      </c>
      <c r="H7" s="869" t="n">
        <v>10</v>
      </c>
      <c r="I7" s="582" t="n">
        <f aca="false">G7*H7</f>
        <v>1850</v>
      </c>
      <c r="J7" s="2106" t="n">
        <v>1</v>
      </c>
      <c r="K7" s="2107" t="n">
        <f aca="false">VEN!T65</f>
        <v>5.25452841072974</v>
      </c>
      <c r="L7" s="2108" t="n">
        <f aca="false">I7*J7</f>
        <v>1850</v>
      </c>
      <c r="M7" s="2109" t="n">
        <f aca="false">L7*K7</f>
        <v>9720.87755985001</v>
      </c>
      <c r="N7" s="270" t="s">
        <v>2119</v>
      </c>
      <c r="O7" s="2110" t="n">
        <f aca="false">J7*K7</f>
        <v>5.25452841072974</v>
      </c>
    </row>
    <row r="8" customFormat="false" ht="16.5" hidden="false" customHeight="true" outlineLevel="0" collapsed="false">
      <c r="A8" s="2111" t="n">
        <v>289</v>
      </c>
      <c r="B8" s="2020" t="n">
        <v>2024</v>
      </c>
      <c r="C8" s="1990" t="n">
        <v>45870</v>
      </c>
      <c r="D8" s="859" t="s">
        <v>18</v>
      </c>
      <c r="E8" s="859" t="s">
        <v>1651</v>
      </c>
      <c r="F8" s="859" t="s">
        <v>3364</v>
      </c>
      <c r="G8" s="2105" t="n">
        <v>35</v>
      </c>
      <c r="H8" s="869" t="n">
        <v>15</v>
      </c>
      <c r="I8" s="582" t="n">
        <f aca="false">G8*H8</f>
        <v>525</v>
      </c>
      <c r="J8" s="2106" t="n">
        <v>25.5918</v>
      </c>
      <c r="K8" s="2107" t="n">
        <f aca="false">VEN!T53</f>
        <v>0.639964122099511</v>
      </c>
      <c r="L8" s="2108" t="n">
        <f aca="false">I8*J8</f>
        <v>13435.695</v>
      </c>
      <c r="M8" s="2109" t="n">
        <f aca="false">L8*K8</f>
        <v>8598.36275547179</v>
      </c>
      <c r="N8" s="270" t="s">
        <v>2119</v>
      </c>
      <c r="O8" s="2110" t="n">
        <f aca="false">J8*K8</f>
        <v>16.3778338199463</v>
      </c>
    </row>
    <row r="9" customFormat="false" ht="16.5" hidden="false" customHeight="true" outlineLevel="0" collapsed="false">
      <c r="A9" s="2111" t="n">
        <v>294</v>
      </c>
      <c r="B9" s="2020" t="n">
        <v>2024</v>
      </c>
      <c r="C9" s="1990" t="n">
        <v>45870</v>
      </c>
      <c r="D9" s="859" t="s">
        <v>42</v>
      </c>
      <c r="E9" s="859" t="s">
        <v>1652</v>
      </c>
      <c r="F9" s="859" t="s">
        <v>3364</v>
      </c>
      <c r="G9" s="2105" t="n">
        <v>113</v>
      </c>
      <c r="H9" s="869" t="n">
        <v>15</v>
      </c>
      <c r="I9" s="582" t="n">
        <f aca="false">G9*H9</f>
        <v>1695</v>
      </c>
      <c r="J9" s="2106" t="n">
        <v>39.7058</v>
      </c>
      <c r="K9" s="2107" t="n">
        <f aca="false">VEN!T20</f>
        <v>0.424118295128576</v>
      </c>
      <c r="L9" s="2108" t="n">
        <f aca="false">I9*J9</f>
        <v>67301.331</v>
      </c>
      <c r="M9" s="2109" t="n">
        <f aca="false">L9*K9</f>
        <v>28543.725763604</v>
      </c>
      <c r="N9" s="270" t="s">
        <v>2119</v>
      </c>
      <c r="O9" s="2110" t="n">
        <f aca="false">J9*K9</f>
        <v>16.8399562027162</v>
      </c>
    </row>
    <row r="10" customFormat="false" ht="16.5" hidden="false" customHeight="true" outlineLevel="0" collapsed="false">
      <c r="A10" s="2111" t="n">
        <v>300</v>
      </c>
      <c r="B10" s="2020" t="n">
        <v>2024</v>
      </c>
      <c r="C10" s="1990" t="n">
        <v>45870</v>
      </c>
      <c r="D10" s="859" t="s">
        <v>7</v>
      </c>
      <c r="E10" s="859" t="s">
        <v>1652</v>
      </c>
      <c r="F10" s="859" t="s">
        <v>3364</v>
      </c>
      <c r="G10" s="2105" t="n">
        <v>44</v>
      </c>
      <c r="H10" s="869" t="n">
        <v>15</v>
      </c>
      <c r="I10" s="582" t="n">
        <f aca="false">G10*H10</f>
        <v>660</v>
      </c>
      <c r="J10" s="2106" t="n">
        <v>35.4888</v>
      </c>
      <c r="K10" s="2107" t="n">
        <f aca="false">VEN!T16</f>
        <v>0.46001109123329</v>
      </c>
      <c r="L10" s="2108" t="n">
        <f aca="false">I10*J10</f>
        <v>23422.608</v>
      </c>
      <c r="M10" s="2109" t="n">
        <f aca="false">L10*K10</f>
        <v>10774.6594656096</v>
      </c>
      <c r="N10" s="270" t="s">
        <v>2119</v>
      </c>
      <c r="O10" s="2110" t="n">
        <f aca="false">J10*K10</f>
        <v>16.32524161456</v>
      </c>
    </row>
    <row r="11" customFormat="false" ht="16.5" hidden="false" customHeight="true" outlineLevel="0" collapsed="false">
      <c r="A11" s="2111" t="n">
        <v>324</v>
      </c>
      <c r="B11" s="2020" t="n">
        <v>2024</v>
      </c>
      <c r="C11" s="1990" t="n">
        <v>45870</v>
      </c>
      <c r="D11" s="859" t="s">
        <v>11</v>
      </c>
      <c r="E11" s="859" t="s">
        <v>1652</v>
      </c>
      <c r="F11" s="859" t="s">
        <v>3364</v>
      </c>
      <c r="G11" s="2105" t="n">
        <v>5</v>
      </c>
      <c r="H11" s="869" t="n">
        <v>15</v>
      </c>
      <c r="I11" s="582" t="n">
        <f aca="false">G11*H11</f>
        <v>75</v>
      </c>
      <c r="J11" s="2106" t="n">
        <v>9.4423</v>
      </c>
      <c r="K11" s="2107" t="n">
        <f aca="false">VEN!T28</f>
        <v>3.25</v>
      </c>
      <c r="L11" s="2108" t="n">
        <f aca="false">I11*J11</f>
        <v>708.1725</v>
      </c>
      <c r="M11" s="2109" t="n">
        <f aca="false">L11*K11</f>
        <v>2301.560625</v>
      </c>
      <c r="N11" s="270" t="n">
        <v>25</v>
      </c>
      <c r="O11" s="2110" t="n">
        <f aca="false">J11*K11</f>
        <v>30.687475</v>
      </c>
    </row>
    <row r="12" customFormat="false" ht="16.5" hidden="false" customHeight="true" outlineLevel="0" collapsed="false">
      <c r="A12" s="2111" t="n">
        <v>345</v>
      </c>
      <c r="B12" s="2020" t="n">
        <v>2024</v>
      </c>
      <c r="C12" s="1990" t="n">
        <v>45870</v>
      </c>
      <c r="D12" s="859" t="s">
        <v>3337</v>
      </c>
      <c r="E12" s="859" t="s">
        <v>2131</v>
      </c>
      <c r="F12" s="859" t="s">
        <v>3364</v>
      </c>
      <c r="G12" s="2105" t="n">
        <v>56</v>
      </c>
      <c r="H12" s="869" t="n">
        <v>25</v>
      </c>
      <c r="I12" s="582" t="n">
        <f aca="false">G12*H12</f>
        <v>1400</v>
      </c>
      <c r="J12" s="2106" t="n">
        <v>62.3026</v>
      </c>
      <c r="K12" s="2107" t="n">
        <f aca="false">VEN!T9</f>
        <v>0.317619252873563</v>
      </c>
      <c r="L12" s="2108" t="n">
        <f aca="false">I12*J12</f>
        <v>87223.64</v>
      </c>
      <c r="M12" s="2109" t="n">
        <f aca="false">L12*K12</f>
        <v>27703.9073697126</v>
      </c>
      <c r="N12" s="270" t="s">
        <v>2119</v>
      </c>
      <c r="O12" s="2110" t="n">
        <f aca="false">J12*K12</f>
        <v>19.7885052640805</v>
      </c>
    </row>
    <row r="13" customFormat="false" ht="16.5" hidden="false" customHeight="true" outlineLevel="0" collapsed="false">
      <c r="A13" s="2111" t="n">
        <v>346</v>
      </c>
      <c r="B13" s="2020" t="n">
        <v>2024</v>
      </c>
      <c r="C13" s="1990" t="n">
        <v>45870</v>
      </c>
      <c r="D13" s="859" t="s">
        <v>42</v>
      </c>
      <c r="E13" s="859" t="s">
        <v>1731</v>
      </c>
      <c r="F13" s="859" t="s">
        <v>3364</v>
      </c>
      <c r="G13" s="2105" t="n">
        <v>29</v>
      </c>
      <c r="H13" s="869" t="n">
        <v>25</v>
      </c>
      <c r="I13" s="582" t="n">
        <f aca="false">G13*H13</f>
        <v>725</v>
      </c>
      <c r="J13" s="2106" t="n">
        <v>60.1114</v>
      </c>
      <c r="K13" s="2107" t="n">
        <f aca="false">VEN!T17</f>
        <v>0.33478672985782</v>
      </c>
      <c r="L13" s="2108" t="n">
        <f aca="false">I13*J13</f>
        <v>43580.765</v>
      </c>
      <c r="M13" s="2109" t="n">
        <f aca="false">L13*K13</f>
        <v>14590.2617990521</v>
      </c>
      <c r="N13" s="270" t="s">
        <v>2119</v>
      </c>
      <c r="O13" s="2110" t="n">
        <f aca="false">J13*K13</f>
        <v>20.1244990331754</v>
      </c>
    </row>
    <row r="14" customFormat="false" ht="16.5" hidden="false" customHeight="true" outlineLevel="0" collapsed="false">
      <c r="A14" s="2111" t="n">
        <v>350</v>
      </c>
      <c r="B14" s="2020" t="n">
        <v>2024</v>
      </c>
      <c r="C14" s="1990" t="n">
        <v>45870</v>
      </c>
      <c r="D14" s="859" t="s">
        <v>52</v>
      </c>
      <c r="E14" s="859" t="s">
        <v>1652</v>
      </c>
      <c r="F14" s="859" t="s">
        <v>3364</v>
      </c>
      <c r="G14" s="2105" t="n">
        <v>5</v>
      </c>
      <c r="H14" s="869" t="n">
        <v>15</v>
      </c>
      <c r="I14" s="582" t="n">
        <f aca="false">G14*H14</f>
        <v>75</v>
      </c>
      <c r="J14" s="2106" t="n">
        <v>37.7416</v>
      </c>
      <c r="K14" s="2107" t="n">
        <f aca="false">VEN!T8</f>
        <v>0.445204332693797</v>
      </c>
      <c r="L14" s="2108" t="n">
        <f aca="false">I14*J14</f>
        <v>2830.62</v>
      </c>
      <c r="M14" s="2109" t="n">
        <f aca="false">L14*K14</f>
        <v>1260.20428820971</v>
      </c>
      <c r="N14" s="270" t="n">
        <v>24</v>
      </c>
      <c r="O14" s="2110" t="n">
        <f aca="false">J14*K14</f>
        <v>16.8027238427962</v>
      </c>
    </row>
    <row r="15" customFormat="false" ht="16.5" hidden="false" customHeight="true" outlineLevel="0" collapsed="false">
      <c r="A15" s="2111" t="n">
        <v>354</v>
      </c>
      <c r="B15" s="2020" t="n">
        <v>2024</v>
      </c>
      <c r="C15" s="1990" t="n">
        <v>45901</v>
      </c>
      <c r="D15" s="859" t="s">
        <v>7</v>
      </c>
      <c r="E15" s="859" t="s">
        <v>1731</v>
      </c>
      <c r="F15" s="859" t="s">
        <v>3364</v>
      </c>
      <c r="G15" s="2105" t="n">
        <v>136</v>
      </c>
      <c r="H15" s="869" t="n">
        <v>25</v>
      </c>
      <c r="I15" s="582" t="n">
        <f aca="false">G15*H15</f>
        <v>3400</v>
      </c>
      <c r="J15" s="2106" t="n">
        <v>60.4238</v>
      </c>
      <c r="K15" s="2107" t="n">
        <f aca="false">VEN!T13</f>
        <v>0.3</v>
      </c>
      <c r="L15" s="2108" t="n">
        <f aca="false">I15*J15</f>
        <v>205440.92</v>
      </c>
      <c r="M15" s="2109" t="n">
        <f aca="false">L15*K15</f>
        <v>61632.276</v>
      </c>
      <c r="N15" s="270" t="s">
        <v>2119</v>
      </c>
      <c r="O15" s="2110" t="n">
        <f aca="false">J15*K15</f>
        <v>18.12714</v>
      </c>
    </row>
    <row r="16" customFormat="false" ht="16.5" hidden="false" customHeight="true" outlineLevel="0" collapsed="false">
      <c r="A16" s="2111" t="n">
        <v>414</v>
      </c>
      <c r="B16" s="2020" t="n">
        <v>2024</v>
      </c>
      <c r="C16" s="1990" t="n">
        <v>45901</v>
      </c>
      <c r="D16" s="859" t="s">
        <v>52</v>
      </c>
      <c r="E16" s="859" t="s">
        <v>1731</v>
      </c>
      <c r="F16" s="859" t="s">
        <v>3364</v>
      </c>
      <c r="G16" s="2105" t="n">
        <v>5</v>
      </c>
      <c r="H16" s="869" t="n">
        <v>25</v>
      </c>
      <c r="I16" s="582" t="n">
        <f aca="false">G16*H16</f>
        <v>125</v>
      </c>
      <c r="J16" s="2106" t="n">
        <v>65.2373</v>
      </c>
      <c r="K16" s="2107" t="n">
        <f aca="false">VEN!T5</f>
        <v>0.2656675944334</v>
      </c>
      <c r="L16" s="2108" t="n">
        <f aca="false">I16*J16</f>
        <v>8154.6625</v>
      </c>
      <c r="M16" s="2109" t="n">
        <f aca="false">L16*K16</f>
        <v>2166.42956979125</v>
      </c>
      <c r="N16" s="270" t="s">
        <v>2119</v>
      </c>
      <c r="O16" s="2110" t="n">
        <f aca="false">J16*K16</f>
        <v>17.33143655833</v>
      </c>
    </row>
    <row r="17" customFormat="false" ht="16.5" hidden="false" customHeight="true" outlineLevel="0" collapsed="false">
      <c r="A17" s="2111" t="n">
        <v>415</v>
      </c>
      <c r="B17" s="2020" t="n">
        <v>2024</v>
      </c>
      <c r="C17" s="1990" t="n">
        <v>45901</v>
      </c>
      <c r="D17" s="859" t="s">
        <v>52</v>
      </c>
      <c r="E17" s="859" t="s">
        <v>1731</v>
      </c>
      <c r="F17" s="859" t="s">
        <v>3364</v>
      </c>
      <c r="G17" s="2105" t="n">
        <v>3</v>
      </c>
      <c r="H17" s="869" t="n">
        <v>25</v>
      </c>
      <c r="I17" s="582" t="n">
        <f aca="false">G17*H17</f>
        <v>75</v>
      </c>
      <c r="J17" s="2106" t="n">
        <v>65.2373</v>
      </c>
      <c r="K17" s="2107" t="n">
        <f aca="false">VEN!T5</f>
        <v>0.2656675944334</v>
      </c>
      <c r="L17" s="2108" t="n">
        <f aca="false">I17*J17</f>
        <v>4892.7975</v>
      </c>
      <c r="M17" s="2109" t="n">
        <f aca="false">L17*K17</f>
        <v>1299.85774187475</v>
      </c>
      <c r="N17" s="270" t="n">
        <v>15</v>
      </c>
      <c r="O17" s="2110" t="n">
        <f aca="false">J17*K17</f>
        <v>17.33143655833</v>
      </c>
    </row>
    <row r="18" customFormat="false" ht="16.5" hidden="false" customHeight="true" outlineLevel="0" collapsed="false">
      <c r="A18" s="2111" t="s">
        <v>3425</v>
      </c>
      <c r="B18" s="2020" t="n">
        <v>2024</v>
      </c>
      <c r="C18" s="1990" t="n">
        <v>45931</v>
      </c>
      <c r="D18" s="859" t="s">
        <v>12</v>
      </c>
      <c r="E18" s="859" t="s">
        <v>1651</v>
      </c>
      <c r="F18" s="859" t="s">
        <v>3364</v>
      </c>
      <c r="G18" s="2105" t="n">
        <v>20</v>
      </c>
      <c r="H18" s="869" t="n">
        <v>15</v>
      </c>
      <c r="I18" s="582" t="n">
        <f aca="false">G18*H18</f>
        <v>300</v>
      </c>
      <c r="J18" s="2106" t="n">
        <v>17.9446</v>
      </c>
      <c r="K18" s="2107" t="n">
        <f aca="false">VEN!T31</f>
        <v>2.78454851033217</v>
      </c>
      <c r="L18" s="2108" t="n">
        <f aca="false">I18*J18</f>
        <v>5383.38</v>
      </c>
      <c r="M18" s="2109" t="n">
        <f aca="false">L18*K18</f>
        <v>14990.282759552</v>
      </c>
      <c r="N18" s="270" t="n">
        <v>24</v>
      </c>
      <c r="O18" s="2110" t="n">
        <f aca="false">J18*K18</f>
        <v>49.9676091985066</v>
      </c>
    </row>
    <row r="19" customFormat="false" ht="16.5" hidden="false" customHeight="true" outlineLevel="0" collapsed="false">
      <c r="A19" s="2111" t="n">
        <v>447</v>
      </c>
      <c r="B19" s="2020" t="n">
        <v>2024</v>
      </c>
      <c r="C19" s="1990" t="n">
        <v>45931</v>
      </c>
      <c r="D19" s="859" t="s">
        <v>12</v>
      </c>
      <c r="E19" s="859" t="s">
        <v>1651</v>
      </c>
      <c r="F19" s="859" t="s">
        <v>3364</v>
      </c>
      <c r="G19" s="2105" t="n">
        <v>42</v>
      </c>
      <c r="H19" s="869" t="n">
        <v>15</v>
      </c>
      <c r="I19" s="582" t="n">
        <f aca="false">G19*H19</f>
        <v>630</v>
      </c>
      <c r="J19" s="2106" t="n">
        <v>18.1711</v>
      </c>
      <c r="K19" s="2107" t="n">
        <f aca="false">VEN!T31</f>
        <v>2.78454851033217</v>
      </c>
      <c r="L19" s="2108" t="n">
        <f aca="false">I19*J19</f>
        <v>11447.793</v>
      </c>
      <c r="M19" s="2109" t="n">
        <f aca="false">L19*K19</f>
        <v>31876.934944741</v>
      </c>
      <c r="N19" s="270" t="s">
        <v>2119</v>
      </c>
      <c r="O19" s="2110" t="n">
        <f aca="false">J19*K19</f>
        <v>50.5983094360968</v>
      </c>
    </row>
    <row r="20" customFormat="false" ht="16.5" hidden="false" customHeight="true" outlineLevel="0" collapsed="false">
      <c r="A20" s="2111" t="n">
        <v>479</v>
      </c>
      <c r="B20" s="2020" t="n">
        <v>2024</v>
      </c>
      <c r="C20" s="1990" t="n">
        <v>45931</v>
      </c>
      <c r="D20" s="859" t="s">
        <v>7</v>
      </c>
      <c r="E20" s="859" t="s">
        <v>1652</v>
      </c>
      <c r="F20" s="859" t="s">
        <v>3364</v>
      </c>
      <c r="G20" s="2105" t="n">
        <v>116</v>
      </c>
      <c r="H20" s="869" t="n">
        <v>15</v>
      </c>
      <c r="I20" s="582" t="n">
        <f aca="false">G20*H20</f>
        <v>1740</v>
      </c>
      <c r="J20" s="2106" t="n">
        <v>38.6749</v>
      </c>
      <c r="K20" s="2107" t="n">
        <f aca="false">VEN!T16</f>
        <v>0.46001109123329</v>
      </c>
      <c r="L20" s="2108" t="n">
        <f aca="false">I20*J20</f>
        <v>67294.326</v>
      </c>
      <c r="M20" s="2109" t="n">
        <f aca="false">L20*K20</f>
        <v>30956.1363370688</v>
      </c>
      <c r="N20" s="270" t="n">
        <v>23</v>
      </c>
      <c r="O20" s="2110" t="n">
        <f aca="false">J20*K20</f>
        <v>17.7908829523384</v>
      </c>
    </row>
    <row r="21" customFormat="false" ht="16.5" hidden="false" customHeight="true" outlineLevel="0" collapsed="false">
      <c r="A21" s="2111" t="n">
        <v>479</v>
      </c>
      <c r="B21" s="2020" t="n">
        <v>2024</v>
      </c>
      <c r="C21" s="1990" t="n">
        <v>45931</v>
      </c>
      <c r="D21" s="859" t="s">
        <v>7</v>
      </c>
      <c r="E21" s="859" t="s">
        <v>1652</v>
      </c>
      <c r="F21" s="859" t="s">
        <v>3364</v>
      </c>
      <c r="G21" s="2105" t="n">
        <v>7</v>
      </c>
      <c r="H21" s="869" t="n">
        <v>15</v>
      </c>
      <c r="I21" s="582" t="n">
        <f aca="false">G21*H21</f>
        <v>105</v>
      </c>
      <c r="J21" s="2106" t="n">
        <v>38.6749</v>
      </c>
      <c r="K21" s="2107" t="n">
        <f aca="false">VEN!T16</f>
        <v>0.46001109123329</v>
      </c>
      <c r="L21" s="2108" t="n">
        <f aca="false">I21*J21</f>
        <v>4060.8645</v>
      </c>
      <c r="M21" s="2109" t="n">
        <f aca="false">L21*K21</f>
        <v>1868.04270999553</v>
      </c>
      <c r="N21" s="270" t="s">
        <v>2119</v>
      </c>
      <c r="O21" s="2110" t="n">
        <f aca="false">J21*K21</f>
        <v>17.7908829523384</v>
      </c>
    </row>
    <row r="22" customFormat="false" ht="16.5" hidden="false" customHeight="true" outlineLevel="0" collapsed="false">
      <c r="A22" s="2111" t="n">
        <v>533</v>
      </c>
      <c r="B22" s="2020" t="n">
        <v>2024</v>
      </c>
      <c r="C22" s="1990" t="n">
        <v>45962</v>
      </c>
      <c r="D22" s="859" t="s">
        <v>173</v>
      </c>
      <c r="E22" s="859" t="s">
        <v>3393</v>
      </c>
      <c r="F22" s="859" t="s">
        <v>3364</v>
      </c>
      <c r="G22" s="2105" t="n">
        <v>75</v>
      </c>
      <c r="H22" s="869" t="n">
        <v>30</v>
      </c>
      <c r="I22" s="582" t="n">
        <f aca="false">G22*H22</f>
        <v>2250</v>
      </c>
      <c r="J22" s="2106" t="n">
        <v>1</v>
      </c>
      <c r="K22" s="2107"/>
      <c r="L22" s="2108" t="n">
        <f aca="false">I22*J22</f>
        <v>2250</v>
      </c>
      <c r="M22" s="2109" t="n">
        <f aca="false">L22*K22</f>
        <v>0</v>
      </c>
      <c r="N22" s="270" t="n">
        <v>18</v>
      </c>
      <c r="O22" s="2110" t="n">
        <f aca="false">J22*K22</f>
        <v>0</v>
      </c>
    </row>
    <row r="23" customFormat="false" ht="16.5" hidden="false" customHeight="true" outlineLevel="0" collapsed="false">
      <c r="A23" s="2111" t="n">
        <v>534</v>
      </c>
      <c r="B23" s="2020" t="n">
        <v>2024</v>
      </c>
      <c r="C23" s="1990" t="n">
        <v>45962</v>
      </c>
      <c r="D23" s="859" t="s">
        <v>7</v>
      </c>
      <c r="E23" s="859" t="s">
        <v>1651</v>
      </c>
      <c r="F23" s="859" t="s">
        <v>3367</v>
      </c>
      <c r="G23" s="2105" t="n">
        <v>30</v>
      </c>
      <c r="H23" s="869" t="n">
        <v>10</v>
      </c>
      <c r="I23" s="582" t="n">
        <f aca="false">G23*H23</f>
        <v>300</v>
      </c>
      <c r="J23" s="2106" t="n">
        <v>26.6035</v>
      </c>
      <c r="K23" s="2107" t="n">
        <f aca="false">VEN!T15</f>
        <v>0.496223999326628</v>
      </c>
      <c r="L23" s="2108" t="n">
        <f aca="false">I23*J23</f>
        <v>7981.05</v>
      </c>
      <c r="M23" s="2109" t="n">
        <f aca="false">L23*K23</f>
        <v>3960.38854982579</v>
      </c>
      <c r="N23" s="270" t="n">
        <v>25</v>
      </c>
      <c r="O23" s="2110" t="n">
        <f aca="false">J23*K23</f>
        <v>13.201295166086</v>
      </c>
    </row>
    <row r="24" customFormat="false" ht="16.5" hidden="false" customHeight="true" outlineLevel="0" collapsed="false">
      <c r="A24" s="2111" t="n">
        <v>535</v>
      </c>
      <c r="B24" s="2020" t="n">
        <v>2024</v>
      </c>
      <c r="C24" s="1990" t="n">
        <v>45962</v>
      </c>
      <c r="D24" s="859" t="s">
        <v>7</v>
      </c>
      <c r="E24" s="859" t="s">
        <v>1651</v>
      </c>
      <c r="F24" s="859" t="s">
        <v>3364</v>
      </c>
      <c r="G24" s="2105" t="n">
        <v>157</v>
      </c>
      <c r="H24" s="869" t="n">
        <v>15</v>
      </c>
      <c r="I24" s="582" t="n">
        <f aca="false">G24*H24</f>
        <v>2355</v>
      </c>
      <c r="J24" s="2106" t="n">
        <v>24.8202</v>
      </c>
      <c r="K24" s="2107" t="n">
        <f aca="false">VEN!T15</f>
        <v>0.496223999326628</v>
      </c>
      <c r="L24" s="2108" t="n">
        <f aca="false">I24*J24</f>
        <v>58451.571</v>
      </c>
      <c r="M24" s="2109" t="n">
        <f aca="false">L24*K24</f>
        <v>29005.0723285444</v>
      </c>
      <c r="N24" s="270" t="s">
        <v>2119</v>
      </c>
      <c r="O24" s="2110" t="n">
        <f aca="false">J24*K24</f>
        <v>12.3163789080868</v>
      </c>
    </row>
    <row r="25" customFormat="false" ht="16.5" hidden="false" customHeight="true" outlineLevel="0" collapsed="false">
      <c r="A25" s="2111" t="n">
        <v>560</v>
      </c>
      <c r="B25" s="2020" t="n">
        <v>2024</v>
      </c>
      <c r="C25" s="1990" t="n">
        <v>45962</v>
      </c>
      <c r="D25" s="859" t="s">
        <v>23</v>
      </c>
      <c r="E25" s="859" t="s">
        <v>3393</v>
      </c>
      <c r="F25" s="859" t="s">
        <v>3364</v>
      </c>
      <c r="G25" s="2105" t="n">
        <v>84</v>
      </c>
      <c r="H25" s="869" t="n">
        <v>15</v>
      </c>
      <c r="I25" s="582" t="n">
        <f aca="false">G25*H25</f>
        <v>1260</v>
      </c>
      <c r="J25" s="2106" t="n">
        <v>1</v>
      </c>
      <c r="K25" s="2107" t="n">
        <f aca="false">VEN!T64</f>
        <v>40.7651752147878</v>
      </c>
      <c r="L25" s="2108" t="n">
        <f aca="false">I25*J25</f>
        <v>1260</v>
      </c>
      <c r="M25" s="2109" t="n">
        <f aca="false">L25*K25</f>
        <v>51364.1207706326</v>
      </c>
      <c r="N25" s="270" t="s">
        <v>2119</v>
      </c>
      <c r="O25" s="2110" t="n">
        <f aca="false">J25*K25</f>
        <v>40.7651752147878</v>
      </c>
    </row>
    <row r="26" customFormat="false" ht="16.5" hidden="false" customHeight="true" outlineLevel="0" collapsed="false">
      <c r="A26" s="2111" t="s">
        <v>3392</v>
      </c>
      <c r="B26" s="2020" t="n">
        <v>2024</v>
      </c>
      <c r="C26" s="1990" t="n">
        <v>45962</v>
      </c>
      <c r="D26" s="859" t="s">
        <v>7</v>
      </c>
      <c r="E26" s="859" t="s">
        <v>1651</v>
      </c>
      <c r="F26" s="859" t="s">
        <v>3374</v>
      </c>
      <c r="G26" s="2105" t="n">
        <v>20</v>
      </c>
      <c r="H26" s="869" t="n">
        <v>10</v>
      </c>
      <c r="I26" s="582" t="n">
        <f aca="false">G26*H26</f>
        <v>200</v>
      </c>
      <c r="J26" s="2106" t="n">
        <v>24.7106</v>
      </c>
      <c r="K26" s="2107" t="n">
        <f aca="false">VEN!T15</f>
        <v>0.496223999326628</v>
      </c>
      <c r="L26" s="2108" t="n">
        <f aca="false">I26*J26</f>
        <v>4942.12</v>
      </c>
      <c r="M26" s="2109" t="n">
        <f aca="false">L26*K26</f>
        <v>2452.39855155212</v>
      </c>
      <c r="N26" s="270" t="n">
        <v>25</v>
      </c>
      <c r="O26" s="2110" t="n">
        <f aca="false">J26*K26</f>
        <v>12.2619927577606</v>
      </c>
    </row>
    <row r="27" customFormat="false" ht="16.5" hidden="false" customHeight="true" outlineLevel="0" collapsed="false">
      <c r="A27" s="2111" t="n">
        <v>566</v>
      </c>
      <c r="B27" s="2020" t="n">
        <v>2024</v>
      </c>
      <c r="C27" s="1990" t="n">
        <v>45962</v>
      </c>
      <c r="D27" s="859" t="s">
        <v>23</v>
      </c>
      <c r="E27" s="859" t="s">
        <v>3393</v>
      </c>
      <c r="F27" s="859" t="s">
        <v>3364</v>
      </c>
      <c r="G27" s="2105" t="n">
        <v>290</v>
      </c>
      <c r="H27" s="869" t="n">
        <v>15</v>
      </c>
      <c r="I27" s="582" t="n">
        <f aca="false">G27*H27</f>
        <v>4350</v>
      </c>
      <c r="J27" s="2106" t="n">
        <v>1</v>
      </c>
      <c r="K27" s="2107" t="n">
        <f aca="false">VEN!T64</f>
        <v>40.7651752147878</v>
      </c>
      <c r="L27" s="2108" t="n">
        <f aca="false">I27*J27</f>
        <v>4350</v>
      </c>
      <c r="M27" s="2109" t="n">
        <f aca="false">L27*K27</f>
        <v>177328.512184327</v>
      </c>
      <c r="N27" s="270" t="s">
        <v>2119</v>
      </c>
      <c r="O27" s="2110" t="n">
        <f aca="false">J27*K27</f>
        <v>40.7651752147878</v>
      </c>
    </row>
    <row r="28" customFormat="false" ht="16.5" hidden="false" customHeight="true" outlineLevel="0" collapsed="false">
      <c r="A28" s="2111" t="n">
        <v>585</v>
      </c>
      <c r="B28" s="2020" t="n">
        <v>2024</v>
      </c>
      <c r="C28" s="1990" t="n">
        <v>45962</v>
      </c>
      <c r="D28" s="859" t="s">
        <v>21</v>
      </c>
      <c r="E28" s="859" t="s">
        <v>3393</v>
      </c>
      <c r="F28" s="859" t="s">
        <v>3364</v>
      </c>
      <c r="G28" s="2105" t="n">
        <v>7</v>
      </c>
      <c r="H28" s="869" t="n">
        <v>15</v>
      </c>
      <c r="I28" s="582" t="n">
        <f aca="false">G28*H28</f>
        <v>105</v>
      </c>
      <c r="J28" s="2106" t="n">
        <v>1</v>
      </c>
      <c r="K28" s="2107" t="n">
        <f aca="false">VEN!T65</f>
        <v>5.25452841072974</v>
      </c>
      <c r="L28" s="2108" t="n">
        <f aca="false">I28*J28</f>
        <v>105</v>
      </c>
      <c r="M28" s="2109" t="n">
        <f aca="false">L28*K28</f>
        <v>551.725483126623</v>
      </c>
      <c r="N28" s="270" t="s">
        <v>3628</v>
      </c>
      <c r="O28" s="2110" t="n">
        <f aca="false">J28*K28</f>
        <v>5.25452841072974</v>
      </c>
    </row>
    <row r="29" customFormat="false" ht="16.5" hidden="false" customHeight="true" outlineLevel="0" collapsed="false">
      <c r="A29" s="2111" t="n">
        <v>590</v>
      </c>
      <c r="B29" s="2020" t="n">
        <v>2024</v>
      </c>
      <c r="C29" s="1990" t="n">
        <v>45962</v>
      </c>
      <c r="D29" s="859" t="s">
        <v>23</v>
      </c>
      <c r="E29" s="859" t="s">
        <v>3393</v>
      </c>
      <c r="F29" s="859" t="s">
        <v>3364</v>
      </c>
      <c r="G29" s="2105" t="n">
        <v>30</v>
      </c>
      <c r="H29" s="869" t="n">
        <v>15</v>
      </c>
      <c r="I29" s="582" t="n">
        <f aca="false">G29*H29</f>
        <v>450</v>
      </c>
      <c r="J29" s="2106" t="n">
        <v>1</v>
      </c>
      <c r="K29" s="2107" t="n">
        <f aca="false">VEN!T64</f>
        <v>40.7651752147878</v>
      </c>
      <c r="L29" s="2108" t="n">
        <f aca="false">I29*J29</f>
        <v>450</v>
      </c>
      <c r="M29" s="2109" t="n">
        <f aca="false">L29*K29</f>
        <v>18344.3288466545</v>
      </c>
      <c r="N29" s="270" t="n">
        <v>25</v>
      </c>
      <c r="O29" s="2110" t="n">
        <f aca="false">J29*K29</f>
        <v>40.7651752147878</v>
      </c>
    </row>
    <row r="30" customFormat="false" ht="16.5" hidden="false" customHeight="true" outlineLevel="0" collapsed="false">
      <c r="A30" s="2111" t="n">
        <v>609</v>
      </c>
      <c r="B30" s="2020" t="n">
        <v>2024</v>
      </c>
      <c r="C30" s="1990" t="n">
        <v>45962</v>
      </c>
      <c r="D30" s="859" t="s">
        <v>173</v>
      </c>
      <c r="E30" s="859" t="s">
        <v>3393</v>
      </c>
      <c r="F30" s="859" t="s">
        <v>3364</v>
      </c>
      <c r="G30" s="2105" t="n">
        <v>10</v>
      </c>
      <c r="H30" s="869" t="n">
        <v>30</v>
      </c>
      <c r="I30" s="582" t="n">
        <f aca="false">G30*H30</f>
        <v>300</v>
      </c>
      <c r="J30" s="2106" t="n">
        <v>1</v>
      </c>
      <c r="K30" s="2107"/>
      <c r="L30" s="2108" t="n">
        <f aca="false">I30*J30</f>
        <v>300</v>
      </c>
      <c r="M30" s="2109" t="n">
        <f aca="false">L30*K30</f>
        <v>0</v>
      </c>
      <c r="N30" s="270" t="n">
        <v>19</v>
      </c>
      <c r="O30" s="2110" t="n">
        <f aca="false">J30*K30</f>
        <v>0</v>
      </c>
    </row>
    <row r="31" customFormat="false" ht="16.5" hidden="false" customHeight="true" outlineLevel="0" collapsed="false">
      <c r="A31" s="2111" t="n">
        <v>628</v>
      </c>
      <c r="B31" s="2020" t="n">
        <v>2024</v>
      </c>
      <c r="C31" s="1990" t="n">
        <v>45992</v>
      </c>
      <c r="D31" s="859" t="s">
        <v>7</v>
      </c>
      <c r="E31" s="859" t="s">
        <v>1651</v>
      </c>
      <c r="F31" s="859" t="s">
        <v>3375</v>
      </c>
      <c r="G31" s="2105" t="n">
        <v>192</v>
      </c>
      <c r="H31" s="869" t="n">
        <v>15</v>
      </c>
      <c r="I31" s="582" t="n">
        <f aca="false">G31*H31</f>
        <v>2880</v>
      </c>
      <c r="J31" s="2106" t="n">
        <v>25.9743</v>
      </c>
      <c r="K31" s="2107" t="n">
        <f aca="false">VEN!T15</f>
        <v>0.496223999326628</v>
      </c>
      <c r="L31" s="2108" t="n">
        <f aca="false">I31*J31</f>
        <v>74805.984</v>
      </c>
      <c r="M31" s="2109" t="n">
        <f aca="false">L31*K31</f>
        <v>37120.5245540438</v>
      </c>
      <c r="N31" s="270" t="n">
        <v>24</v>
      </c>
      <c r="O31" s="2110" t="n">
        <f aca="false">J31*K31</f>
        <v>12.8890710257096</v>
      </c>
    </row>
    <row r="32" customFormat="false" ht="16.5" hidden="false" customHeight="true" outlineLevel="0" collapsed="false">
      <c r="A32" s="2111" t="n">
        <v>629</v>
      </c>
      <c r="B32" s="2020" t="n">
        <v>2024</v>
      </c>
      <c r="C32" s="1990" t="n">
        <v>45992</v>
      </c>
      <c r="D32" s="859" t="s">
        <v>7</v>
      </c>
      <c r="E32" s="859" t="s">
        <v>1651</v>
      </c>
      <c r="F32" s="859" t="s">
        <v>3375</v>
      </c>
      <c r="G32" s="2105" t="n">
        <v>16</v>
      </c>
      <c r="H32" s="869" t="n">
        <v>15</v>
      </c>
      <c r="I32" s="582" t="n">
        <f aca="false">G32*H32</f>
        <v>240</v>
      </c>
      <c r="J32" s="2106" t="n">
        <v>25.9743</v>
      </c>
      <c r="K32" s="2107" t="n">
        <f aca="false">VEN!T15</f>
        <v>0.496223999326628</v>
      </c>
      <c r="L32" s="2108" t="n">
        <f aca="false">I32*J32</f>
        <v>6233.832</v>
      </c>
      <c r="M32" s="2109" t="n">
        <f aca="false">L32*K32</f>
        <v>3093.37704617031</v>
      </c>
      <c r="N32" s="270" t="n">
        <v>25</v>
      </c>
      <c r="O32" s="2110" t="n">
        <f aca="false">J32*K32</f>
        <v>12.8890710257096</v>
      </c>
    </row>
    <row r="33" customFormat="false" ht="16.5" hidden="false" customHeight="true" outlineLevel="0" collapsed="false">
      <c r="A33" s="2111" t="n">
        <v>630</v>
      </c>
      <c r="B33" s="2020" t="n">
        <v>2024</v>
      </c>
      <c r="C33" s="1990" t="n">
        <v>45992</v>
      </c>
      <c r="D33" s="859" t="s">
        <v>7</v>
      </c>
      <c r="E33" s="859" t="s">
        <v>1651</v>
      </c>
      <c r="F33" s="859" t="s">
        <v>3364</v>
      </c>
      <c r="G33" s="2105" t="n">
        <v>6</v>
      </c>
      <c r="H33" s="869" t="n">
        <v>15</v>
      </c>
      <c r="I33" s="582" t="n">
        <f aca="false">G33*H33</f>
        <v>90</v>
      </c>
      <c r="J33" s="2106" t="n">
        <v>26.0687</v>
      </c>
      <c r="K33" s="2107" t="n">
        <f aca="false">VEN!T15</f>
        <v>0.496223999326628</v>
      </c>
      <c r="L33" s="2108" t="n">
        <f aca="false">I33*J33</f>
        <v>2346.183</v>
      </c>
      <c r="M33" s="2109" t="n">
        <f aca="false">L33*K33</f>
        <v>1164.23231141215</v>
      </c>
      <c r="N33" s="270" t="n">
        <v>25</v>
      </c>
      <c r="O33" s="2110" t="n">
        <f aca="false">J33*K33</f>
        <v>12.9359145712461</v>
      </c>
    </row>
    <row r="34" customFormat="false" ht="16.5" hidden="false" customHeight="true" outlineLevel="0" collapsed="false">
      <c r="A34" s="2111" t="n">
        <v>636</v>
      </c>
      <c r="B34" s="2020" t="n">
        <v>2024</v>
      </c>
      <c r="C34" s="1990" t="n">
        <v>45992</v>
      </c>
      <c r="D34" s="859" t="s">
        <v>22</v>
      </c>
      <c r="E34" s="859" t="s">
        <v>2133</v>
      </c>
      <c r="F34" s="859" t="s">
        <v>3364</v>
      </c>
      <c r="G34" s="2105" t="n">
        <v>9</v>
      </c>
      <c r="H34" s="869" t="n">
        <v>30</v>
      </c>
      <c r="I34" s="582" t="n">
        <f aca="false">G34*H34</f>
        <v>270</v>
      </c>
      <c r="J34" s="2106" t="n">
        <v>93.4</v>
      </c>
      <c r="K34" s="2107" t="n">
        <f aca="false">VEN!T61</f>
        <v>0.318418518518519</v>
      </c>
      <c r="L34" s="2108" t="n">
        <f aca="false">I34*J34</f>
        <v>25218</v>
      </c>
      <c r="M34" s="2109" t="n">
        <f aca="false">L34*K34</f>
        <v>8029.8782</v>
      </c>
      <c r="N34" s="270" t="n">
        <v>15</v>
      </c>
      <c r="O34" s="2110" t="n">
        <f aca="false">J34*K34</f>
        <v>29.7402896296296</v>
      </c>
    </row>
    <row r="35" customFormat="false" ht="16.5" hidden="false" customHeight="true" outlineLevel="0" collapsed="false">
      <c r="A35" s="2111" t="n">
        <v>643</v>
      </c>
      <c r="B35" s="2020" t="n">
        <v>2024</v>
      </c>
      <c r="C35" s="1990" t="n">
        <v>45992</v>
      </c>
      <c r="D35" s="859" t="s">
        <v>11</v>
      </c>
      <c r="E35" s="859" t="s">
        <v>1651</v>
      </c>
      <c r="F35" s="859" t="s">
        <v>3364</v>
      </c>
      <c r="G35" s="2105" t="n">
        <v>147</v>
      </c>
      <c r="H35" s="869" t="n">
        <v>15</v>
      </c>
      <c r="I35" s="582" t="n">
        <f aca="false">G35*H35</f>
        <v>2205</v>
      </c>
      <c r="J35" s="2106" t="n">
        <v>11.535</v>
      </c>
      <c r="K35" s="2107" t="n">
        <f aca="false">VEN!T27</f>
        <v>3.81534727870092</v>
      </c>
      <c r="L35" s="2108" t="n">
        <f aca="false">I35*J35</f>
        <v>25434.675</v>
      </c>
      <c r="M35" s="2109" t="n">
        <f aca="false">L35*K35</f>
        <v>97042.1180458923</v>
      </c>
      <c r="N35" s="270" t="s">
        <v>2119</v>
      </c>
      <c r="O35" s="2110" t="n">
        <f aca="false">J35*K35</f>
        <v>44.0100308598151</v>
      </c>
    </row>
    <row r="36" customFormat="false" ht="16.5" hidden="false" customHeight="true" outlineLevel="0" collapsed="false">
      <c r="A36" s="2111" t="n">
        <v>644</v>
      </c>
      <c r="B36" s="2020" t="n">
        <v>2024</v>
      </c>
      <c r="C36" s="1990" t="n">
        <v>45992</v>
      </c>
      <c r="D36" s="859" t="s">
        <v>11</v>
      </c>
      <c r="E36" s="859" t="s">
        <v>1651</v>
      </c>
      <c r="F36" s="859" t="s">
        <v>3364</v>
      </c>
      <c r="G36" s="2105" t="n">
        <v>267</v>
      </c>
      <c r="H36" s="869" t="n">
        <v>15</v>
      </c>
      <c r="I36" s="582" t="n">
        <f aca="false">G36*H36</f>
        <v>4005</v>
      </c>
      <c r="J36" s="2106" t="n">
        <v>11.7389</v>
      </c>
      <c r="K36" s="2107" t="n">
        <f aca="false">VEN!T27</f>
        <v>3.81534727870092</v>
      </c>
      <c r="L36" s="2108" t="n">
        <f aca="false">I36*J36</f>
        <v>47014.2945</v>
      </c>
      <c r="M36" s="2109" t="n">
        <f aca="false">L36*K36</f>
        <v>179375.860580619</v>
      </c>
      <c r="N36" s="270" t="n">
        <v>22</v>
      </c>
      <c r="O36" s="2110" t="n">
        <f aca="false">J36*K36</f>
        <v>44.7879801699422</v>
      </c>
    </row>
    <row r="37" customFormat="false" ht="16.5" hidden="false" customHeight="true" outlineLevel="0" collapsed="false">
      <c r="A37" s="2111" t="n">
        <v>649</v>
      </c>
      <c r="B37" s="2020" t="n">
        <v>2024</v>
      </c>
      <c r="C37" s="1990" t="n">
        <v>45992</v>
      </c>
      <c r="D37" s="859" t="s">
        <v>12</v>
      </c>
      <c r="E37" s="859" t="s">
        <v>1651</v>
      </c>
      <c r="F37" s="859" t="s">
        <v>3375</v>
      </c>
      <c r="G37" s="2105" t="n">
        <v>37</v>
      </c>
      <c r="H37" s="869" t="n">
        <v>15</v>
      </c>
      <c r="I37" s="582" t="n">
        <f aca="false">G37*H37</f>
        <v>555</v>
      </c>
      <c r="J37" s="2106" t="n">
        <v>17.0637</v>
      </c>
      <c r="K37" s="2107" t="n">
        <f aca="false">VEN!T31</f>
        <v>2.78454851033217</v>
      </c>
      <c r="L37" s="2108" t="n">
        <f aca="false">I37*J37</f>
        <v>9470.3535</v>
      </c>
      <c r="M37" s="2109" t="n">
        <f aca="false">L37*K37</f>
        <v>26370.658730744</v>
      </c>
      <c r="N37" s="270" t="n">
        <v>25</v>
      </c>
      <c r="O37" s="2110" t="n">
        <f aca="false">J37*K37</f>
        <v>47.514700415755</v>
      </c>
    </row>
    <row r="38" customFormat="false" ht="16.5" hidden="false" customHeight="true" outlineLevel="0" collapsed="false">
      <c r="A38" s="2111" t="n">
        <v>653</v>
      </c>
      <c r="B38" s="2020" t="n">
        <v>2024</v>
      </c>
      <c r="C38" s="1990" t="n">
        <v>45992</v>
      </c>
      <c r="D38" s="859" t="s">
        <v>15</v>
      </c>
      <c r="E38" s="859" t="s">
        <v>2130</v>
      </c>
      <c r="F38" s="859" t="s">
        <v>3364</v>
      </c>
      <c r="G38" s="2105" t="n">
        <v>117</v>
      </c>
      <c r="H38" s="869" t="n">
        <v>25</v>
      </c>
      <c r="I38" s="582" t="n">
        <f aca="false">G38*H38</f>
        <v>2925</v>
      </c>
      <c r="J38" s="2106" t="n">
        <v>52.3816</v>
      </c>
      <c r="K38" s="2107" t="n">
        <f aca="false">VEN!T39</f>
        <v>0.481134259259259</v>
      </c>
      <c r="L38" s="2108" t="n">
        <f aca="false">I38*J38</f>
        <v>153216.18</v>
      </c>
      <c r="M38" s="2109" t="n">
        <f aca="false">L38*K38</f>
        <v>73717.5532708333</v>
      </c>
      <c r="N38" s="270" t="n">
        <v>18</v>
      </c>
      <c r="O38" s="2110" t="n">
        <f aca="false">J38*K38</f>
        <v>25.2025823148148</v>
      </c>
    </row>
    <row r="39" customFormat="false" ht="16.5" hidden="false" customHeight="true" outlineLevel="0" collapsed="false">
      <c r="A39" s="2111" t="n">
        <v>684</v>
      </c>
      <c r="B39" s="2020" t="n">
        <v>2024</v>
      </c>
      <c r="C39" s="1990" t="n">
        <v>45992</v>
      </c>
      <c r="D39" s="859" t="s">
        <v>21</v>
      </c>
      <c r="E39" s="859" t="s">
        <v>3393</v>
      </c>
      <c r="F39" s="859" t="s">
        <v>3364</v>
      </c>
      <c r="G39" s="2105" t="n">
        <v>710</v>
      </c>
      <c r="H39" s="869" t="n">
        <v>10</v>
      </c>
      <c r="I39" s="582" t="n">
        <f aca="false">G39*H39</f>
        <v>7100</v>
      </c>
      <c r="J39" s="2106" t="n">
        <v>1</v>
      </c>
      <c r="K39" s="2107" t="n">
        <f aca="false">VEN!T65</f>
        <v>5.25452841072974</v>
      </c>
      <c r="L39" s="2108" t="n">
        <f aca="false">I39*J39</f>
        <v>7100</v>
      </c>
      <c r="M39" s="2109" t="n">
        <f aca="false">L39*K39</f>
        <v>37307.1517161811</v>
      </c>
      <c r="N39" s="270" t="s">
        <v>3628</v>
      </c>
      <c r="O39" s="2110" t="n">
        <f aca="false">J39*K39</f>
        <v>5.25452841072974</v>
      </c>
    </row>
    <row r="40" customFormat="false" ht="16.5" hidden="false" customHeight="true" outlineLevel="0" collapsed="false">
      <c r="A40" s="2111" t="n">
        <v>687</v>
      </c>
      <c r="B40" s="2020" t="n">
        <v>2024</v>
      </c>
      <c r="C40" s="1990" t="n">
        <v>45992</v>
      </c>
      <c r="D40" s="859" t="s">
        <v>42</v>
      </c>
      <c r="E40" s="859" t="s">
        <v>2619</v>
      </c>
      <c r="F40" s="859" t="s">
        <v>3364</v>
      </c>
      <c r="G40" s="2105" t="n">
        <v>57</v>
      </c>
      <c r="H40" s="869" t="n">
        <v>30</v>
      </c>
      <c r="I40" s="582" t="n">
        <f aca="false">G40*H40</f>
        <v>1710</v>
      </c>
      <c r="J40" s="2106" t="n">
        <v>90.9</v>
      </c>
      <c r="K40" s="2107" t="n">
        <f aca="false">VEN!T18</f>
        <v>0.323855626122658</v>
      </c>
      <c r="L40" s="2108" t="n">
        <f aca="false">I40*J40</f>
        <v>155439</v>
      </c>
      <c r="M40" s="2109" t="n">
        <f aca="false">L40*K40</f>
        <v>50339.7946688799</v>
      </c>
      <c r="N40" s="270" t="n">
        <v>16</v>
      </c>
      <c r="O40" s="2110" t="n">
        <f aca="false">J40*K40</f>
        <v>29.4384764145497</v>
      </c>
    </row>
    <row r="41" customFormat="false" ht="16.5" hidden="false" customHeight="true" outlineLevel="0" collapsed="false">
      <c r="A41" s="2111" t="n">
        <v>716</v>
      </c>
      <c r="B41" s="2020" t="n">
        <v>2024</v>
      </c>
      <c r="C41" s="1990" t="n">
        <v>45992</v>
      </c>
      <c r="D41" s="859" t="s">
        <v>42</v>
      </c>
      <c r="E41" s="859" t="s">
        <v>1651</v>
      </c>
      <c r="F41" s="859" t="s">
        <v>3367</v>
      </c>
      <c r="G41" s="2105" t="n">
        <v>13</v>
      </c>
      <c r="H41" s="869" t="n">
        <v>15</v>
      </c>
      <c r="I41" s="582" t="n">
        <f aca="false">G41*H41</f>
        <v>195</v>
      </c>
      <c r="J41" s="2106" t="n">
        <v>27.4947</v>
      </c>
      <c r="K41" s="2107" t="n">
        <f aca="false">VEN!T19</f>
        <v>0.473432687929763</v>
      </c>
      <c r="L41" s="2108" t="n">
        <f aca="false">I41*J41</f>
        <v>5361.4665</v>
      </c>
      <c r="M41" s="2109" t="n">
        <f aca="false">L41*K41</f>
        <v>2538.29349634038</v>
      </c>
      <c r="N41" s="270" t="n">
        <v>24</v>
      </c>
      <c r="O41" s="2110" t="n">
        <f aca="false">J41*K41</f>
        <v>13.0168897248225</v>
      </c>
    </row>
    <row r="42" customFormat="false" ht="16.5" hidden="false" customHeight="true" outlineLevel="0" collapsed="false">
      <c r="A42" s="2111" t="n">
        <v>13</v>
      </c>
      <c r="B42" s="2020" t="n">
        <v>2025</v>
      </c>
      <c r="C42" s="1990" t="n">
        <v>46023</v>
      </c>
      <c r="D42" s="859" t="s">
        <v>3337</v>
      </c>
      <c r="E42" s="859" t="s">
        <v>1652</v>
      </c>
      <c r="F42" s="859" t="s">
        <v>3364</v>
      </c>
      <c r="G42" s="2105" t="n">
        <v>2</v>
      </c>
      <c r="H42" s="869" t="n">
        <v>15</v>
      </c>
      <c r="I42" s="582" t="n">
        <f aca="false">G42*H42</f>
        <v>30</v>
      </c>
      <c r="J42" s="2106" t="n">
        <v>43.3244</v>
      </c>
      <c r="K42" s="2107" t="n">
        <f aca="false">VEN!T12</f>
        <v>0.314302799980818</v>
      </c>
      <c r="L42" s="2108" t="n">
        <f aca="false">I42*J42</f>
        <v>1299.732</v>
      </c>
      <c r="M42" s="2109" t="n">
        <f aca="false">L42*K42</f>
        <v>408.509406824669</v>
      </c>
      <c r="N42" s="270" t="n">
        <v>25</v>
      </c>
      <c r="O42" s="2110" t="n">
        <f aca="false">J42*K42</f>
        <v>13.616980227489</v>
      </c>
    </row>
    <row r="43" customFormat="false" ht="16.5" hidden="false" customHeight="true" outlineLevel="0" collapsed="false">
      <c r="A43" s="2111" t="n">
        <v>34</v>
      </c>
      <c r="B43" s="2020" t="n">
        <v>2025</v>
      </c>
      <c r="C43" s="1990" t="n">
        <v>46023</v>
      </c>
      <c r="D43" s="859" t="s">
        <v>18</v>
      </c>
      <c r="E43" s="859" t="s">
        <v>1651</v>
      </c>
      <c r="F43" s="859" t="s">
        <v>3364</v>
      </c>
      <c r="G43" s="2105" t="n">
        <v>2</v>
      </c>
      <c r="H43" s="869" t="n">
        <v>15</v>
      </c>
      <c r="I43" s="582" t="n">
        <f aca="false">G43*H43</f>
        <v>30</v>
      </c>
      <c r="J43" s="2106" t="n">
        <v>29.212</v>
      </c>
      <c r="K43" s="2107" t="n">
        <f aca="false">VEN!T53</f>
        <v>0.639964122099511</v>
      </c>
      <c r="L43" s="2108" t="n">
        <f aca="false">I43*J43</f>
        <v>876.36</v>
      </c>
      <c r="M43" s="2109" t="n">
        <f aca="false">L43*K43</f>
        <v>560.838958043127</v>
      </c>
      <c r="N43" s="270" t="n">
        <v>25</v>
      </c>
      <c r="O43" s="2110" t="n">
        <f aca="false">J43*K43</f>
        <v>18.6946319347709</v>
      </c>
    </row>
    <row r="44" customFormat="false" ht="16.5" hidden="false" customHeight="true" outlineLevel="0" collapsed="false">
      <c r="A44" s="2111" t="n">
        <v>47</v>
      </c>
      <c r="B44" s="2020" t="n">
        <v>2025</v>
      </c>
      <c r="C44" s="1990" t="n">
        <v>46023</v>
      </c>
      <c r="D44" s="859" t="s">
        <v>42</v>
      </c>
      <c r="E44" s="859" t="s">
        <v>1651</v>
      </c>
      <c r="F44" s="859" t="s">
        <v>3367</v>
      </c>
      <c r="G44" s="2105" t="n">
        <v>53</v>
      </c>
      <c r="H44" s="869" t="n">
        <v>15</v>
      </c>
      <c r="I44" s="582" t="n">
        <f aca="false">G44*H44</f>
        <v>795</v>
      </c>
      <c r="J44" s="2106" t="n">
        <v>25.5693</v>
      </c>
      <c r="K44" s="2107" t="n">
        <f aca="false">VEN!T19</f>
        <v>0.473432687929763</v>
      </c>
      <c r="L44" s="2108" t="n">
        <f aca="false">I44*J44</f>
        <v>20327.5935</v>
      </c>
      <c r="M44" s="2109" t="n">
        <f aca="false">L44*K44</f>
        <v>9623.74722984858</v>
      </c>
      <c r="N44" s="270" t="n">
        <v>22</v>
      </c>
      <c r="O44" s="2110" t="n">
        <f aca="false">J44*K44</f>
        <v>12.1053424274825</v>
      </c>
    </row>
    <row r="45" customFormat="false" ht="16.5" hidden="false" customHeight="true" outlineLevel="0" collapsed="false">
      <c r="A45" s="2111" t="n">
        <v>59</v>
      </c>
      <c r="B45" s="2020" t="n">
        <v>2025</v>
      </c>
      <c r="C45" s="1990" t="n">
        <v>46023</v>
      </c>
      <c r="D45" s="859" t="s">
        <v>10</v>
      </c>
      <c r="E45" s="859" t="s">
        <v>1652</v>
      </c>
      <c r="F45" s="859" t="s">
        <v>3375</v>
      </c>
      <c r="G45" s="2105" t="n">
        <v>5</v>
      </c>
      <c r="H45" s="869" t="n">
        <v>15</v>
      </c>
      <c r="I45" s="582" t="n">
        <f aca="false">G45*H45</f>
        <v>75</v>
      </c>
      <c r="J45" s="2106" t="n">
        <v>31.2713</v>
      </c>
      <c r="K45" s="2107" t="n">
        <f aca="false">VEN!T25</f>
        <v>0.29360427564008</v>
      </c>
      <c r="L45" s="2108" t="n">
        <f aca="false">I45*J45</f>
        <v>2345.3475</v>
      </c>
      <c r="M45" s="2109" t="n">
        <f aca="false">L45*K45</f>
        <v>688.604053861773</v>
      </c>
      <c r="N45" s="270" t="n">
        <v>24</v>
      </c>
      <c r="O45" s="2110" t="n">
        <f aca="false">J45*K45</f>
        <v>9.18138738482364</v>
      </c>
    </row>
    <row r="46" customFormat="false" ht="16.5" hidden="false" customHeight="true" outlineLevel="0" collapsed="false">
      <c r="A46" s="2111" t="n">
        <v>76</v>
      </c>
      <c r="B46" s="2020" t="n">
        <v>2025</v>
      </c>
      <c r="C46" s="1990" t="n">
        <v>46023</v>
      </c>
      <c r="D46" s="859" t="s">
        <v>17</v>
      </c>
      <c r="E46" s="859" t="s">
        <v>1651</v>
      </c>
      <c r="F46" s="859" t="s">
        <v>3364</v>
      </c>
      <c r="G46" s="2105" t="n">
        <v>2</v>
      </c>
      <c r="H46" s="869" t="n">
        <v>15</v>
      </c>
      <c r="I46" s="582" t="n">
        <f aca="false">G46*H46</f>
        <v>30</v>
      </c>
      <c r="J46" s="2106" t="n">
        <v>28.5143</v>
      </c>
      <c r="K46" s="2107" t="n">
        <f aca="false">VEN!T50</f>
        <v>0.574558329338418</v>
      </c>
      <c r="L46" s="2108" t="n">
        <f aca="false">I46*J46</f>
        <v>855.429</v>
      </c>
      <c r="M46" s="2109" t="n">
        <f aca="false">L46*K46</f>
        <v>491.493857107634</v>
      </c>
      <c r="N46" s="270" t="n">
        <v>25</v>
      </c>
      <c r="O46" s="2110" t="n">
        <f aca="false">J46*K46</f>
        <v>16.3831285702545</v>
      </c>
    </row>
    <row r="47" customFormat="false" ht="16.5" hidden="false" customHeight="true" outlineLevel="0" collapsed="false">
      <c r="A47" s="2111" t="n">
        <v>96</v>
      </c>
      <c r="B47" s="2020" t="n">
        <v>2025</v>
      </c>
      <c r="C47" s="1990" t="n">
        <v>46023</v>
      </c>
      <c r="D47" s="859" t="s">
        <v>42</v>
      </c>
      <c r="E47" s="859" t="s">
        <v>1651</v>
      </c>
      <c r="F47" s="859" t="s">
        <v>3364</v>
      </c>
      <c r="G47" s="2105" t="n">
        <v>29</v>
      </c>
      <c r="H47" s="869" t="n">
        <v>15</v>
      </c>
      <c r="I47" s="582" t="n">
        <f aca="false">G47*H47</f>
        <v>435</v>
      </c>
      <c r="J47" s="2106" t="n">
        <v>22.4604</v>
      </c>
      <c r="K47" s="2107" t="n">
        <f aca="false">VEN!T19</f>
        <v>0.473432687929763</v>
      </c>
      <c r="L47" s="2108" t="n">
        <f aca="false">I47*J47</f>
        <v>9770.274</v>
      </c>
      <c r="M47" s="2109" t="n">
        <f aca="false">L47*K47</f>
        <v>4625.56708163028</v>
      </c>
      <c r="N47" s="270" t="n">
        <v>22</v>
      </c>
      <c r="O47" s="2110" t="n">
        <f aca="false">J47*K47</f>
        <v>10.6334875439776</v>
      </c>
    </row>
    <row r="48" customFormat="false" ht="16.5" hidden="false" customHeight="true" outlineLevel="0" collapsed="false">
      <c r="A48" s="2111" t="n">
        <v>97</v>
      </c>
      <c r="B48" s="2020" t="n">
        <v>2025</v>
      </c>
      <c r="C48" s="1990" t="n">
        <v>46023</v>
      </c>
      <c r="D48" s="859" t="s">
        <v>22</v>
      </c>
      <c r="E48" s="859" t="s">
        <v>1651</v>
      </c>
      <c r="F48" s="859" t="s">
        <v>3364</v>
      </c>
      <c r="G48" s="2105" t="n">
        <v>46</v>
      </c>
      <c r="H48" s="869" t="n">
        <v>15</v>
      </c>
      <c r="I48" s="582" t="n">
        <f aca="false">G48*H48</f>
        <v>690</v>
      </c>
      <c r="J48" s="2106" t="n">
        <v>29.6706</v>
      </c>
      <c r="K48" s="2107" t="n">
        <f aca="false">VEN!T62</f>
        <v>1.00809691934926</v>
      </c>
      <c r="L48" s="2108" t="n">
        <f aca="false">I48*J48</f>
        <v>20472.714</v>
      </c>
      <c r="M48" s="2109" t="n">
        <f aca="false">L48*K48</f>
        <v>20638.4799141184</v>
      </c>
      <c r="N48" s="270" t="n">
        <v>24</v>
      </c>
      <c r="O48" s="2110" t="n">
        <f aca="false">J48*K48</f>
        <v>29.910840455244</v>
      </c>
    </row>
    <row r="49" customFormat="false" ht="16.5" hidden="false" customHeight="true" outlineLevel="0" collapsed="false">
      <c r="A49" s="2111" t="n">
        <v>101</v>
      </c>
      <c r="B49" s="2020" t="n">
        <v>2025</v>
      </c>
      <c r="C49" s="1990" t="n">
        <v>46023</v>
      </c>
      <c r="D49" s="859" t="s">
        <v>42</v>
      </c>
      <c r="E49" s="859" t="s">
        <v>1651</v>
      </c>
      <c r="F49" s="859" t="s">
        <v>3364</v>
      </c>
      <c r="G49" s="2105" t="n">
        <v>666</v>
      </c>
      <c r="H49" s="869" t="n">
        <v>15</v>
      </c>
      <c r="I49" s="582" t="n">
        <f aca="false">G49*H49</f>
        <v>9990</v>
      </c>
      <c r="J49" s="2106" t="n">
        <v>39.3818</v>
      </c>
      <c r="K49" s="2107" t="n">
        <f aca="false">VEN!T19</f>
        <v>0.473432687929763</v>
      </c>
      <c r="L49" s="2108" t="n">
        <f aca="false">I49*J49</f>
        <v>393424.182</v>
      </c>
      <c r="M49" s="2109" t="n">
        <f aca="false">L49*K49</f>
        <v>186259.867980828</v>
      </c>
      <c r="N49" s="270" t="s">
        <v>3629</v>
      </c>
      <c r="O49" s="2110" t="n">
        <f aca="false">J49*K49</f>
        <v>18.6446314295123</v>
      </c>
    </row>
    <row r="50" customFormat="false" ht="16.5" hidden="false" customHeight="true" outlineLevel="0" collapsed="false">
      <c r="A50" s="2111" t="n">
        <v>103</v>
      </c>
      <c r="B50" s="2020" t="n">
        <v>2025</v>
      </c>
      <c r="C50" s="1990" t="n">
        <v>46023</v>
      </c>
      <c r="D50" s="859" t="s">
        <v>13</v>
      </c>
      <c r="E50" s="859" t="s">
        <v>1651</v>
      </c>
      <c r="F50" s="859" t="s">
        <v>3367</v>
      </c>
      <c r="G50" s="2105" t="n">
        <v>1</v>
      </c>
      <c r="H50" s="869" t="n">
        <v>15</v>
      </c>
      <c r="I50" s="582" t="n">
        <f aca="false">G50*H50</f>
        <v>15</v>
      </c>
      <c r="J50" s="2106" t="n">
        <v>20.7928</v>
      </c>
      <c r="K50" s="2107" t="n">
        <f aca="false">VEN!T42</f>
        <v>0.692085194689985</v>
      </c>
      <c r="L50" s="2108" t="n">
        <f aca="false">I50*J50</f>
        <v>311.892</v>
      </c>
      <c r="M50" s="2109" t="n">
        <f aca="false">L50*K50</f>
        <v>215.855835542249</v>
      </c>
      <c r="N50" s="270" t="n">
        <v>25</v>
      </c>
      <c r="O50" s="2110" t="n">
        <f aca="false">J50*K50</f>
        <v>14.3903890361499</v>
      </c>
    </row>
    <row r="51" customFormat="false" ht="16.5" hidden="false" customHeight="true" outlineLevel="0" collapsed="false">
      <c r="A51" s="2111" t="n">
        <v>112</v>
      </c>
      <c r="B51" s="2020" t="n">
        <v>2025</v>
      </c>
      <c r="C51" s="1990" t="n">
        <v>46023</v>
      </c>
      <c r="D51" s="859" t="s">
        <v>52</v>
      </c>
      <c r="E51" s="859" t="s">
        <v>2131</v>
      </c>
      <c r="F51" s="859" t="s">
        <v>3364</v>
      </c>
      <c r="G51" s="2105" t="n">
        <v>29</v>
      </c>
      <c r="H51" s="869" t="n">
        <v>25</v>
      </c>
      <c r="I51" s="582" t="n">
        <f aca="false">G51*H51</f>
        <v>725</v>
      </c>
      <c r="J51" s="2106" t="n">
        <v>65.1573</v>
      </c>
      <c r="K51" s="2107" t="n">
        <f aca="false">VEN!T5</f>
        <v>0.2656675944334</v>
      </c>
      <c r="L51" s="2108" t="n">
        <f aca="false">I51*J51</f>
        <v>47239.0425</v>
      </c>
      <c r="M51" s="2109" t="n">
        <f aca="false">L51*K51</f>
        <v>12549.8827843121</v>
      </c>
      <c r="N51" s="270" t="n">
        <v>16</v>
      </c>
      <c r="O51" s="2110" t="n">
        <f aca="false">J51*K51</f>
        <v>17.3101831507753</v>
      </c>
    </row>
    <row r="52" customFormat="false" ht="16.5" hidden="false" customHeight="true" outlineLevel="0" collapsed="false">
      <c r="A52" s="2111" t="n">
        <v>114</v>
      </c>
      <c r="B52" s="2020" t="n">
        <v>2025</v>
      </c>
      <c r="C52" s="1990" t="n">
        <v>46023</v>
      </c>
      <c r="D52" s="859" t="s">
        <v>10</v>
      </c>
      <c r="E52" s="859" t="s">
        <v>1652</v>
      </c>
      <c r="F52" s="859" t="s">
        <v>3364</v>
      </c>
      <c r="G52" s="2105" t="n">
        <v>3</v>
      </c>
      <c r="H52" s="869" t="n">
        <v>15</v>
      </c>
      <c r="I52" s="582" t="n">
        <f aca="false">G52*H52</f>
        <v>45</v>
      </c>
      <c r="J52" s="2106" t="n">
        <v>37.3301</v>
      </c>
      <c r="K52" s="2107" t="n">
        <f aca="false">VEN!T25</f>
        <v>0.29360427564008</v>
      </c>
      <c r="L52" s="2108" t="n">
        <f aca="false">I52*J52</f>
        <v>1679.8545</v>
      </c>
      <c r="M52" s="2109" t="n">
        <f aca="false">L52*K52</f>
        <v>493.212463653229</v>
      </c>
      <c r="N52" s="270" t="n">
        <v>25</v>
      </c>
      <c r="O52" s="2110" t="n">
        <f aca="false">J52*K52</f>
        <v>10.9602769700718</v>
      </c>
    </row>
    <row r="53" customFormat="false" ht="16.5" hidden="false" customHeight="true" outlineLevel="0" collapsed="false">
      <c r="A53" s="2111" t="n">
        <v>124</v>
      </c>
      <c r="B53" s="2020" t="n">
        <v>2025</v>
      </c>
      <c r="C53" s="1990" t="n">
        <v>46054</v>
      </c>
      <c r="D53" s="859" t="s">
        <v>52</v>
      </c>
      <c r="E53" s="859" t="s">
        <v>2619</v>
      </c>
      <c r="F53" s="859" t="s">
        <v>3364</v>
      </c>
      <c r="G53" s="2105" t="n">
        <v>1</v>
      </c>
      <c r="H53" s="869" t="n">
        <v>30</v>
      </c>
      <c r="I53" s="582" t="n">
        <f aca="false">G53*H53</f>
        <v>30</v>
      </c>
      <c r="J53" s="2106" t="n">
        <v>94.3</v>
      </c>
      <c r="K53" s="2107" t="n">
        <f aca="false">VEN!T6</f>
        <v>0.286175476980599</v>
      </c>
      <c r="L53" s="2108" t="n">
        <f aca="false">I53*J53</f>
        <v>2829</v>
      </c>
      <c r="M53" s="2109" t="n">
        <f aca="false">L53*K53</f>
        <v>809.590424378114</v>
      </c>
      <c r="N53" s="270" t="n">
        <v>15</v>
      </c>
      <c r="O53" s="2110" t="n">
        <f aca="false">J53*K53</f>
        <v>26.9863474792705</v>
      </c>
    </row>
    <row r="54" customFormat="false" ht="16.5" hidden="false" customHeight="true" outlineLevel="0" collapsed="false">
      <c r="A54" s="2111" t="n">
        <v>127</v>
      </c>
      <c r="B54" s="2020" t="n">
        <v>2025</v>
      </c>
      <c r="C54" s="1990" t="n">
        <v>46054</v>
      </c>
      <c r="D54" s="859" t="s">
        <v>3337</v>
      </c>
      <c r="E54" s="859" t="s">
        <v>2619</v>
      </c>
      <c r="F54" s="859" t="s">
        <v>3364</v>
      </c>
      <c r="G54" s="2105" t="n">
        <v>3</v>
      </c>
      <c r="H54" s="869" t="n">
        <v>30</v>
      </c>
      <c r="I54" s="582" t="n">
        <f aca="false">G54*H54</f>
        <v>90</v>
      </c>
      <c r="J54" s="2106" t="n">
        <v>99.1355</v>
      </c>
      <c r="K54" s="2107" t="n">
        <f aca="false">VEN!T10</f>
        <v>0.265793694186258</v>
      </c>
      <c r="L54" s="2108" t="n">
        <f aca="false">I54*J54</f>
        <v>8922.195</v>
      </c>
      <c r="M54" s="2109" t="n">
        <f aca="false">L54*K54</f>
        <v>2371.46316930016</v>
      </c>
      <c r="N54" s="270" t="n">
        <v>15</v>
      </c>
      <c r="O54" s="2110" t="n">
        <f aca="false">J54*K54</f>
        <v>26.3495907700018</v>
      </c>
    </row>
    <row r="55" customFormat="false" ht="16.5" hidden="false" customHeight="true" outlineLevel="0" collapsed="false">
      <c r="A55" s="2111" t="n">
        <v>143</v>
      </c>
      <c r="B55" s="2020" t="n">
        <v>2025</v>
      </c>
      <c r="C55" s="1990" t="n">
        <v>46054</v>
      </c>
      <c r="D55" s="859" t="s">
        <v>42</v>
      </c>
      <c r="E55" s="859" t="s">
        <v>1651</v>
      </c>
      <c r="F55" s="859" t="s">
        <v>3364</v>
      </c>
      <c r="G55" s="2105" t="n">
        <v>528</v>
      </c>
      <c r="H55" s="869" t="n">
        <v>15</v>
      </c>
      <c r="I55" s="582" t="n">
        <f aca="false">G55*H55</f>
        <v>7920</v>
      </c>
      <c r="J55" s="2106" t="n">
        <v>42.9938</v>
      </c>
      <c r="K55" s="2107" t="n">
        <f aca="false">VEN!T19</f>
        <v>0.473432687929763</v>
      </c>
      <c r="L55" s="2108" t="n">
        <f aca="false">I55*J55</f>
        <v>340510.896</v>
      </c>
      <c r="M55" s="2109" t="n">
        <f aca="false">L55*K55</f>
        <v>161208.988762652</v>
      </c>
      <c r="N55" s="270" t="n">
        <v>21</v>
      </c>
      <c r="O55" s="2110" t="n">
        <f aca="false">J55*K55</f>
        <v>20.3546702983146</v>
      </c>
    </row>
    <row r="56" customFormat="false" ht="16.5" hidden="false" customHeight="true" outlineLevel="0" collapsed="false">
      <c r="A56" s="2111" t="n">
        <v>155</v>
      </c>
      <c r="B56" s="2020" t="n">
        <v>2025</v>
      </c>
      <c r="C56" s="1990" t="n">
        <v>46054</v>
      </c>
      <c r="D56" s="859" t="s">
        <v>52</v>
      </c>
      <c r="E56" s="859" t="s">
        <v>1651</v>
      </c>
      <c r="F56" s="859" t="s">
        <v>3364</v>
      </c>
      <c r="G56" s="2105" t="n">
        <v>269</v>
      </c>
      <c r="H56" s="869" t="n">
        <v>15</v>
      </c>
      <c r="I56" s="582" t="n">
        <f aca="false">G56*H56</f>
        <v>4035</v>
      </c>
      <c r="J56" s="2106" t="n">
        <v>27.3193</v>
      </c>
      <c r="K56" s="2107" t="n">
        <f aca="false">VEN!T7</f>
        <v>0.481893150497586</v>
      </c>
      <c r="L56" s="2108" t="n">
        <f aca="false">I56*J56</f>
        <v>110233.3755</v>
      </c>
      <c r="M56" s="2109" t="n">
        <f aca="false">L56*K56</f>
        <v>53120.7086096785</v>
      </c>
      <c r="N56" s="270" t="n">
        <v>23</v>
      </c>
      <c r="O56" s="2110" t="n">
        <f aca="false">J56*K56</f>
        <v>13.1649835463887</v>
      </c>
    </row>
    <row r="57" customFormat="false" ht="16.5" hidden="false" customHeight="true" outlineLevel="0" collapsed="false">
      <c r="A57" s="2111" t="n">
        <v>160</v>
      </c>
      <c r="B57" s="2020" t="n">
        <v>2025</v>
      </c>
      <c r="C57" s="1990" t="n">
        <v>46054</v>
      </c>
      <c r="D57" s="859" t="s">
        <v>3337</v>
      </c>
      <c r="E57" s="859" t="s">
        <v>1652</v>
      </c>
      <c r="F57" s="859" t="s">
        <v>3364</v>
      </c>
      <c r="G57" s="2105" t="n">
        <v>85</v>
      </c>
      <c r="H57" s="869" t="n">
        <v>15</v>
      </c>
      <c r="I57" s="582" t="n">
        <f aca="false">G57*H57</f>
        <v>1275</v>
      </c>
      <c r="J57" s="2106" t="n">
        <v>41.0017</v>
      </c>
      <c r="K57" s="2107" t="n">
        <f aca="false">VEN!T12</f>
        <v>0.314302799980818</v>
      </c>
      <c r="L57" s="2108" t="n">
        <f aca="false">I57*J57</f>
        <v>52277.1675</v>
      </c>
      <c r="M57" s="2109" t="n">
        <f aca="false">L57*K57</f>
        <v>16430.8601203162</v>
      </c>
      <c r="N57" s="270" t="n">
        <v>28</v>
      </c>
      <c r="O57" s="2110" t="n">
        <f aca="false">J57*K57</f>
        <v>12.8869491139735</v>
      </c>
    </row>
    <row r="58" customFormat="false" ht="16.5" hidden="false" customHeight="true" outlineLevel="0" collapsed="false">
      <c r="A58" s="2111" t="n">
        <v>162</v>
      </c>
      <c r="B58" s="2020" t="n">
        <v>2025</v>
      </c>
      <c r="C58" s="1990" t="n">
        <v>46054</v>
      </c>
      <c r="D58" s="859" t="s">
        <v>3337</v>
      </c>
      <c r="E58" s="859" t="s">
        <v>1652</v>
      </c>
      <c r="F58" s="859" t="s">
        <v>3364</v>
      </c>
      <c r="G58" s="2105" t="n">
        <v>9</v>
      </c>
      <c r="H58" s="869" t="n">
        <v>15</v>
      </c>
      <c r="I58" s="582" t="n">
        <f aca="false">G58*H58</f>
        <v>135</v>
      </c>
      <c r="J58" s="2106" t="n">
        <v>40.8746</v>
      </c>
      <c r="K58" s="2107" t="n">
        <f aca="false">VEN!T12</f>
        <v>0.314302799980818</v>
      </c>
      <c r="L58" s="2108" t="n">
        <f aca="false">I58*J58</f>
        <v>5518.071</v>
      </c>
      <c r="M58" s="2109" t="n">
        <f aca="false">L58*K58</f>
        <v>1734.34516579295</v>
      </c>
      <c r="N58" s="270" t="n">
        <v>28</v>
      </c>
      <c r="O58" s="2110" t="n">
        <f aca="false">J58*K58</f>
        <v>12.8470012280959</v>
      </c>
    </row>
    <row r="59" customFormat="false" ht="16.5" hidden="false" customHeight="true" outlineLevel="0" collapsed="false">
      <c r="A59" s="2111" t="n">
        <v>196</v>
      </c>
      <c r="B59" s="2020" t="n">
        <v>2025</v>
      </c>
      <c r="C59" s="1990" t="n">
        <v>46054</v>
      </c>
      <c r="D59" s="859" t="s">
        <v>13</v>
      </c>
      <c r="E59" s="859" t="s">
        <v>2619</v>
      </c>
      <c r="F59" s="859" t="s">
        <v>3364</v>
      </c>
      <c r="G59" s="2105" t="n">
        <v>3</v>
      </c>
      <c r="H59" s="869" t="n">
        <v>25</v>
      </c>
      <c r="I59" s="582" t="n">
        <f aca="false">G59*H59</f>
        <v>75</v>
      </c>
      <c r="J59" s="2106" t="n">
        <v>92.3545</v>
      </c>
      <c r="K59" s="2107" t="n">
        <f aca="false">VEN!T35</f>
        <v>0.273103055453843</v>
      </c>
      <c r="L59" s="2108" t="n">
        <f aca="false">I59*J59</f>
        <v>6926.5875</v>
      </c>
      <c r="M59" s="2109" t="n">
        <f aca="false">L59*K59</f>
        <v>1891.67221011839</v>
      </c>
      <c r="N59" s="270" t="n">
        <v>18</v>
      </c>
      <c r="O59" s="2110" t="n">
        <f aca="false">J59*K59</f>
        <v>25.2222961349119</v>
      </c>
    </row>
    <row r="60" customFormat="false" ht="16.5" hidden="false" customHeight="true" outlineLevel="0" collapsed="false">
      <c r="A60" s="2111" t="n">
        <v>200</v>
      </c>
      <c r="B60" s="2020" t="n">
        <v>2025</v>
      </c>
      <c r="C60" s="1990" t="n">
        <v>46054</v>
      </c>
      <c r="D60" s="859" t="s">
        <v>10</v>
      </c>
      <c r="E60" s="859" t="s">
        <v>1651</v>
      </c>
      <c r="F60" s="859" t="s">
        <v>3364</v>
      </c>
      <c r="G60" s="2105" t="n">
        <v>84</v>
      </c>
      <c r="H60" s="869" t="n">
        <v>15</v>
      </c>
      <c r="I60" s="582" t="n">
        <f aca="false">G60*H60</f>
        <v>1260</v>
      </c>
      <c r="J60" s="2106" t="n">
        <v>28.59</v>
      </c>
      <c r="K60" s="2107" t="n">
        <f aca="false">VEN!T24</f>
        <v>0.348570622974751</v>
      </c>
      <c r="L60" s="2108" t="n">
        <f aca="false">I60*J60</f>
        <v>36023.4</v>
      </c>
      <c r="M60" s="2109" t="n">
        <f aca="false">L60*K60</f>
        <v>12556.6989796687</v>
      </c>
      <c r="N60" s="270" t="n">
        <v>22</v>
      </c>
      <c r="O60" s="2110" t="n">
        <f aca="false">J60*K60</f>
        <v>9.96563411084815</v>
      </c>
    </row>
    <row r="61" customFormat="false" ht="16.5" hidden="false" customHeight="true" outlineLevel="0" collapsed="false">
      <c r="A61" s="2111" t="n">
        <v>202</v>
      </c>
      <c r="B61" s="2020" t="n">
        <v>2025</v>
      </c>
      <c r="C61" s="1990" t="n">
        <v>46054</v>
      </c>
      <c r="D61" s="859" t="s">
        <v>10</v>
      </c>
      <c r="E61" s="859" t="s">
        <v>1651</v>
      </c>
      <c r="F61" s="859" t="s">
        <v>3364</v>
      </c>
      <c r="G61" s="2105" t="n">
        <v>196</v>
      </c>
      <c r="H61" s="869" t="n">
        <v>15</v>
      </c>
      <c r="I61" s="582" t="n">
        <f aca="false">G61*H61</f>
        <v>2940</v>
      </c>
      <c r="J61" s="2106" t="n">
        <v>28.954</v>
      </c>
      <c r="K61" s="2107" t="n">
        <f aca="false">VEN!T24</f>
        <v>0.348570622974751</v>
      </c>
      <c r="L61" s="2108" t="n">
        <f aca="false">I61*J61</f>
        <v>85124.76</v>
      </c>
      <c r="M61" s="2109" t="n">
        <f aca="false">L61*K61</f>
        <v>29671.9906237762</v>
      </c>
      <c r="N61" s="270" t="n">
        <v>22</v>
      </c>
      <c r="O61" s="2110" t="n">
        <f aca="false">J61*K61</f>
        <v>10.092513817611</v>
      </c>
    </row>
    <row r="62" customFormat="false" ht="16.5" hidden="false" customHeight="true" outlineLevel="0" collapsed="false">
      <c r="A62" s="2111" t="n">
        <v>203</v>
      </c>
      <c r="B62" s="2020" t="n">
        <v>2025</v>
      </c>
      <c r="C62" s="1990" t="n">
        <v>46082</v>
      </c>
      <c r="D62" s="859" t="s">
        <v>42</v>
      </c>
      <c r="E62" s="859" t="s">
        <v>2131</v>
      </c>
      <c r="F62" s="859" t="s">
        <v>3364</v>
      </c>
      <c r="G62" s="2105" t="n">
        <v>2</v>
      </c>
      <c r="H62" s="869" t="n">
        <v>25</v>
      </c>
      <c r="I62" s="582" t="n">
        <f aca="false">G62*H62</f>
        <v>50</v>
      </c>
      <c r="J62" s="2106" t="n">
        <v>75.9485</v>
      </c>
      <c r="K62" s="2107" t="n">
        <f aca="false">VEN!T17</f>
        <v>0.33478672985782</v>
      </c>
      <c r="L62" s="2108" t="n">
        <f aca="false">I62*J62</f>
        <v>3797.425</v>
      </c>
      <c r="M62" s="2109" t="n">
        <f aca="false">L62*K62</f>
        <v>1271.32749763033</v>
      </c>
      <c r="N62" s="270" t="n">
        <v>15</v>
      </c>
      <c r="O62" s="2110" t="n">
        <f aca="false">J62*K62</f>
        <v>25.4265499526066</v>
      </c>
    </row>
    <row r="63" customFormat="false" ht="16.5" hidden="false" customHeight="true" outlineLevel="0" collapsed="false">
      <c r="A63" s="2111" t="n">
        <v>207</v>
      </c>
      <c r="B63" s="2020" t="n">
        <v>2025</v>
      </c>
      <c r="C63" s="1990" t="n">
        <v>46082</v>
      </c>
      <c r="D63" s="859" t="s">
        <v>3337</v>
      </c>
      <c r="E63" s="859" t="s">
        <v>1652</v>
      </c>
      <c r="F63" s="859" t="s">
        <v>3364</v>
      </c>
      <c r="G63" s="2105" t="n">
        <v>216</v>
      </c>
      <c r="H63" s="869" t="n">
        <v>15</v>
      </c>
      <c r="I63" s="582" t="n">
        <f aca="false">G63*H63</f>
        <v>3240</v>
      </c>
      <c r="J63" s="2106" t="n">
        <v>41.9146</v>
      </c>
      <c r="K63" s="2107" t="n">
        <f aca="false">VEN!T12</f>
        <v>0.314302799980818</v>
      </c>
      <c r="L63" s="2108" t="n">
        <f aca="false">I63*J63</f>
        <v>135803.304</v>
      </c>
      <c r="M63" s="2109" t="n">
        <f aca="false">L63*K63</f>
        <v>42683.3586938462</v>
      </c>
      <c r="N63" s="270" t="n">
        <v>28</v>
      </c>
      <c r="O63" s="2110" t="n">
        <f aca="false">J63*K63</f>
        <v>13.173876140076</v>
      </c>
    </row>
    <row r="64" customFormat="false" ht="16.5" hidden="false" customHeight="true" outlineLevel="0" collapsed="false">
      <c r="A64" s="2111" t="n">
        <v>214</v>
      </c>
      <c r="B64" s="2020" t="n">
        <v>2025</v>
      </c>
      <c r="C64" s="1990" t="n">
        <v>46113</v>
      </c>
      <c r="D64" s="859" t="s">
        <v>10</v>
      </c>
      <c r="E64" s="859" t="s">
        <v>2619</v>
      </c>
      <c r="F64" s="859" t="s">
        <v>3364</v>
      </c>
      <c r="G64" s="2105" t="n">
        <v>9</v>
      </c>
      <c r="H64" s="869" t="n">
        <v>30</v>
      </c>
      <c r="I64" s="582" t="n">
        <f aca="false">G64*H64</f>
        <v>270</v>
      </c>
      <c r="J64" s="2106" t="n">
        <v>95.0665</v>
      </c>
      <c r="K64" s="2107" t="n">
        <f aca="false">VEN!T23</f>
        <v>0.149396710941053</v>
      </c>
      <c r="L64" s="2108" t="n">
        <f aca="false">I64*J64</f>
        <v>25667.955</v>
      </c>
      <c r="M64" s="2109" t="n">
        <f aca="false">L64*K64</f>
        <v>3834.70805358297</v>
      </c>
      <c r="N64" s="270" t="n">
        <v>15</v>
      </c>
      <c r="O64" s="2110" t="n">
        <f aca="false">J64*K64</f>
        <v>14.2026224206777</v>
      </c>
    </row>
    <row r="65" customFormat="false" ht="16.5" hidden="false" customHeight="true" outlineLevel="0" collapsed="false">
      <c r="A65" s="2111" t="n">
        <v>215</v>
      </c>
      <c r="B65" s="2020" t="n">
        <v>2025</v>
      </c>
      <c r="C65" s="1990" t="n">
        <v>46113</v>
      </c>
      <c r="D65" s="859" t="s">
        <v>10</v>
      </c>
      <c r="E65" s="859" t="s">
        <v>1652</v>
      </c>
      <c r="F65" s="859" t="s">
        <v>3364</v>
      </c>
      <c r="G65" s="2105" t="n">
        <v>80</v>
      </c>
      <c r="H65" s="869" t="n">
        <v>15</v>
      </c>
      <c r="I65" s="582" t="n">
        <f aca="false">G65*H65</f>
        <v>1200</v>
      </c>
      <c r="J65" s="2106" t="n">
        <v>39.3277</v>
      </c>
      <c r="K65" s="2107" t="n">
        <f aca="false">VEN!T25</f>
        <v>0.29360427564008</v>
      </c>
      <c r="L65" s="2108" t="n">
        <f aca="false">I65*J65</f>
        <v>47193.24</v>
      </c>
      <c r="M65" s="2109" t="n">
        <f aca="false">L65*K65</f>
        <v>13856.1370453085</v>
      </c>
      <c r="N65" s="270" t="n">
        <v>24</v>
      </c>
      <c r="O65" s="2110" t="n">
        <f aca="false">J65*K65</f>
        <v>11.5467808710904</v>
      </c>
    </row>
    <row r="66" customFormat="false" ht="16.5" hidden="false" customHeight="true" outlineLevel="0" collapsed="false">
      <c r="A66" s="2111"/>
      <c r="B66" s="2020"/>
      <c r="C66" s="1990"/>
      <c r="D66" s="859"/>
      <c r="E66" s="859"/>
      <c r="F66" s="859"/>
      <c r="G66" s="2105"/>
      <c r="H66" s="869"/>
      <c r="I66" s="582"/>
      <c r="J66" s="2106"/>
      <c r="K66" s="2107"/>
      <c r="L66" s="2108"/>
      <c r="M66" s="2109"/>
      <c r="N66" s="270"/>
      <c r="O66" s="2110"/>
    </row>
    <row r="67" customFormat="false" ht="16.5" hidden="false" customHeight="true" outlineLevel="0" collapsed="false">
      <c r="A67" s="2020"/>
      <c r="B67" s="2020"/>
      <c r="C67" s="2020"/>
      <c r="D67" s="2020"/>
      <c r="E67" s="2020"/>
      <c r="F67" s="2020"/>
      <c r="G67" s="2112" t="n">
        <f aca="false">SUBTOTAL(109,G3:G66)</f>
        <v>5514</v>
      </c>
      <c r="H67" s="2020"/>
      <c r="I67" s="2113" t="n">
        <f aca="false">SUBTOTAL(109,I3:I66)</f>
        <v>84245</v>
      </c>
      <c r="J67" s="2020"/>
      <c r="K67" s="2020"/>
      <c r="L67" s="2114" t="n">
        <f aca="false">SUBTOTAL(109,L3:L66)</f>
        <v>2565025.141</v>
      </c>
      <c r="M67" s="2115" t="n">
        <f aca="false">SUBTOTAL(109,M3:M66)</f>
        <v>1674288.33888207</v>
      </c>
      <c r="N67" s="270"/>
      <c r="O67" s="2116"/>
    </row>
    <row r="68" customFormat="false" ht="16.5" hidden="false" customHeight="true" outlineLevel="0" collapsed="false">
      <c r="A68" s="479"/>
      <c r="B68" s="479"/>
      <c r="C68" s="479"/>
      <c r="D68" s="479"/>
      <c r="E68" s="479"/>
      <c r="F68" s="479"/>
      <c r="G68" s="2117"/>
      <c r="H68" s="479"/>
      <c r="I68" s="103"/>
      <c r="J68" s="479"/>
      <c r="K68" s="479"/>
      <c r="L68" s="103"/>
      <c r="M68" s="2118"/>
      <c r="N68" s="6"/>
      <c r="O68" s="689"/>
    </row>
    <row r="69" customFormat="false" ht="14.25" hidden="false" customHeight="false" outlineLevel="0" collapsed="false">
      <c r="A69" s="2119" t="s">
        <v>3630</v>
      </c>
      <c r="B69" s="2119"/>
      <c r="C69" s="2119"/>
      <c r="D69" s="2119"/>
      <c r="E69" s="2119"/>
      <c r="F69" s="2119"/>
      <c r="G69" s="689"/>
      <c r="I69" s="689"/>
      <c r="L69" s="689"/>
      <c r="M69" s="689"/>
    </row>
    <row r="70" customFormat="false" ht="14.25" hidden="false" customHeight="false" outlineLevel="0" collapsed="false">
      <c r="A70" s="425"/>
      <c r="B70" s="425"/>
      <c r="C70" s="425" t="s">
        <v>3631</v>
      </c>
      <c r="D70" s="2119" t="s">
        <v>3632</v>
      </c>
      <c r="E70" s="2119"/>
      <c r="F70" s="2119"/>
      <c r="G70" s="2119"/>
      <c r="H70" s="2119"/>
      <c r="I70" s="2119"/>
      <c r="J70" s="2119"/>
      <c r="K70" s="2119"/>
      <c r="L70" s="2119"/>
      <c r="M70" s="689"/>
    </row>
    <row r="71" customFormat="false" ht="14.25" hidden="false" customHeight="false" outlineLevel="0" collapsed="false">
      <c r="A71" s="425"/>
      <c r="B71" s="425"/>
      <c r="C71" s="425"/>
      <c r="D71" s="425" t="s">
        <v>1651</v>
      </c>
      <c r="E71" s="425" t="s">
        <v>1652</v>
      </c>
      <c r="F71" s="425" t="s">
        <v>2130</v>
      </c>
      <c r="G71" s="2120" t="s">
        <v>1734</v>
      </c>
      <c r="H71" s="425" t="s">
        <v>2131</v>
      </c>
      <c r="I71" s="2120" t="s">
        <v>1731</v>
      </c>
      <c r="J71" s="425" t="s">
        <v>2619</v>
      </c>
      <c r="K71" s="2120" t="s">
        <v>2133</v>
      </c>
      <c r="L71" s="2120" t="s">
        <v>3633</v>
      </c>
      <c r="M71" s="2120" t="s">
        <v>3634</v>
      </c>
      <c r="O71" s="425" t="s">
        <v>3635</v>
      </c>
      <c r="P71" s="425" t="s">
        <v>3636</v>
      </c>
    </row>
    <row r="72" customFormat="false" ht="14.25" hidden="false" customHeight="false" outlineLevel="0" collapsed="false">
      <c r="A72" s="1929" t="s">
        <v>5</v>
      </c>
      <c r="B72" s="479"/>
      <c r="C72" s="1928" t="n">
        <f aca="false">SUMIFS(M3:M66,D3:D66,"Marandu")</f>
        <v>72730.9940277486</v>
      </c>
      <c r="D72" s="97" t="n">
        <f aca="false">SUMIFS(I3:I66,D3:D66,"Marandu",E3:E66,"golden")</f>
        <v>4125</v>
      </c>
      <c r="E72" s="97" t="n">
        <f aca="false">SUMIFS(I3:I66,D3:D66,"Marandu",E3:E66,"podium")</f>
        <v>90</v>
      </c>
      <c r="F72" s="97" t="n">
        <f aca="false">SUMIFS(I3:I66,D3:D66,"Marandu",E3:E66,"35 vc")</f>
        <v>0</v>
      </c>
      <c r="G72" s="97" t="n">
        <f aca="false">SUMIFS(I3:I66,D3:D66,"Marandu",E3:E66," ppa 35")</f>
        <v>0</v>
      </c>
      <c r="H72" s="97" t="n">
        <f aca="false">SUMIFS(I3:I66,D3:D66,"Marandu",E3:E66,"50 vc")</f>
        <v>725</v>
      </c>
      <c r="I72" s="97" t="n">
        <f aca="false">SUMIFS(I3:I66,D3:D66,"Marandu",E3:E66,"ppa 50")</f>
        <v>200</v>
      </c>
      <c r="J72" s="97" t="n">
        <f aca="false">SUMIFS(I3:I66,D3:D66,"Marandu",E3:E66,"76 vc")</f>
        <v>30</v>
      </c>
      <c r="K72" s="97" t="n">
        <f aca="false">SUMIFS(I3:I66,D3:D66,"Marandu",E3:E66,"convencional")</f>
        <v>0</v>
      </c>
      <c r="L72" s="689" t="n">
        <f aca="false">SUM(D72:K72)</f>
        <v>5170</v>
      </c>
      <c r="M72" s="689" t="n">
        <f aca="false">(D72*25.71)+(E72*37.5)+(H72*60)+(I72*60)+(J72*90)</f>
        <v>167628.75</v>
      </c>
      <c r="O72" s="53" t="n">
        <f aca="false">SUMIFS(L3:L66,D3:D66,"MarandU")</f>
        <v>179385.232</v>
      </c>
      <c r="P72" s="2121" t="n">
        <f aca="false">O72-M72</f>
        <v>11756.482</v>
      </c>
    </row>
    <row r="73" customFormat="false" ht="14.25" hidden="false" customHeight="false" outlineLevel="0" collapsed="false">
      <c r="A73" s="1929" t="s">
        <v>6</v>
      </c>
      <c r="B73" s="479"/>
      <c r="C73" s="1928" t="n">
        <f aca="false">SUMIFS(M3:M66,D3:D66,"Piata")</f>
        <v>91332.4439257929</v>
      </c>
      <c r="D73" s="97" t="n">
        <f aca="false">SUMIFS(I3:I66,D3:D66,"Piata",E3:E66,"golden")</f>
        <v>0</v>
      </c>
      <c r="E73" s="97" t="n">
        <f aca="false">SUMIFS(I3:I66,D3:D66,"piata",E3:E66,"podium")</f>
        <v>4680</v>
      </c>
      <c r="F73" s="97" t="n">
        <f aca="false">SUMIFS(I3:I66,D3:D66,"Piata",E3:E66,"35 vc")</f>
        <v>0</v>
      </c>
      <c r="G73" s="97" t="n">
        <f aca="false">SUMIFS(I3:I66,D3:D66,"Piata",E3:E66," ppa 35")</f>
        <v>0</v>
      </c>
      <c r="H73" s="97" t="n">
        <f aca="false">SUMIFS(I3:I66,D3:D66,"Piata",E3:E66,"50 vc")</f>
        <v>1400</v>
      </c>
      <c r="I73" s="97" t="n">
        <f aca="false">SUMIFS(I3:I66,D3:D66,"Piata",E3:E66,"ppa 50")</f>
        <v>0</v>
      </c>
      <c r="J73" s="97" t="n">
        <f aca="false">SUMIFS(I3:I66,D3:D66,"Piata",E3:E66,"76 vc")</f>
        <v>90</v>
      </c>
      <c r="K73" s="97" t="n">
        <f aca="false">SUMIFS(I3:I66,D3:D66,"Piata",E3:E66,"80 VC")</f>
        <v>0</v>
      </c>
      <c r="L73" s="689" t="n">
        <f aca="false">SUM(D73:K73)</f>
        <v>6170</v>
      </c>
      <c r="M73" s="689" t="n">
        <f aca="false">(D73*30)+(E73*45)+(H73*60)+(I73*60)+(J73*90)</f>
        <v>302700</v>
      </c>
      <c r="O73" s="53" t="n">
        <f aca="false">SUMIFS(L3:L66,D3:D66,"piata")</f>
        <v>291044.1095</v>
      </c>
      <c r="P73" s="2121" t="n">
        <f aca="false">O73-M73</f>
        <v>-11655.8905</v>
      </c>
      <c r="Q73" s="44" t="s">
        <v>3637</v>
      </c>
    </row>
    <row r="74" customFormat="false" ht="14.25" hidden="false" customHeight="false" outlineLevel="0" collapsed="false">
      <c r="A74" s="1929" t="s">
        <v>7</v>
      </c>
      <c r="B74" s="479"/>
      <c r="C74" s="1928" t="n">
        <f aca="false">SUMIFS(M3:M66,D3:D66,"Decumbens")</f>
        <v>182027.107854222</v>
      </c>
      <c r="D74" s="97" t="n">
        <f aca="false">SUMIFS(I3:I66,D3:D66,"Decumbens",E3:E66,"golden")</f>
        <v>6065</v>
      </c>
      <c r="E74" s="97" t="n">
        <f aca="false">SUMIFS(I3:I66,D3:D66,"Decumbens",E3:E66,"podium")</f>
        <v>2505</v>
      </c>
      <c r="F74" s="97" t="n">
        <f aca="false">SUMIFS(I3:I66,D3:D66,"Decumbens",E3:E66,"35 vc")</f>
        <v>0</v>
      </c>
      <c r="G74" s="97" t="n">
        <f aca="false">SUMIFS(I3:I66,D3:D66,"Decumbens",E3:E66," ppa 35")</f>
        <v>0</v>
      </c>
      <c r="H74" s="97" t="n">
        <f aca="false">SUMIFS(I3:I66,D3:D66,"Decumbens",E3:E66,"50 vc")</f>
        <v>0</v>
      </c>
      <c r="I74" s="97" t="n">
        <f aca="false">SUMIFS(I3:I66,D3:D66,"Decumbens",E3:E66,"ppa 50")</f>
        <v>3400</v>
      </c>
      <c r="J74" s="97" t="n">
        <f aca="false">SUMIFS(I3:I66,D3:D66,"Decumbens",E3:E66,"76 vc")</f>
        <v>0</v>
      </c>
      <c r="K74" s="97" t="n">
        <f aca="false">SUMIFS(I3:I66,D3:D66,"Decumbens",E3:E66,"convencional")</f>
        <v>0</v>
      </c>
      <c r="L74" s="689" t="n">
        <f aca="false">SUM(D74:K74)</f>
        <v>11970</v>
      </c>
      <c r="M74" s="689" t="n">
        <f aca="false">(D74*25.71)+(E74*37.5)+(H74*60)+(I74*60)+(J74*90)</f>
        <v>453868.65</v>
      </c>
      <c r="O74" s="53" t="n">
        <f aca="false">SUMIFS(L3:L66,D3:D66,"Decumbens")</f>
        <v>454979.4585</v>
      </c>
      <c r="P74" s="2121" t="n">
        <f aca="false">O74-M74</f>
        <v>1110.80850000004</v>
      </c>
    </row>
    <row r="75" customFormat="false" ht="14.25" hidden="false" customHeight="false" outlineLevel="0" collapsed="false">
      <c r="A75" s="1929" t="s">
        <v>8</v>
      </c>
      <c r="C75" s="1928" t="n">
        <f aca="false">SUMIFS(M3:M66,D3:D66,"Xaraes")</f>
        <v>459001.574280466</v>
      </c>
      <c r="D75" s="97" t="n">
        <f aca="false">SUMIFS($I$3:$I$66,$D$3:$D$66,"Xaraes",$E$3:$E$66,"golden")</f>
        <v>19335</v>
      </c>
      <c r="E75" s="97" t="n">
        <f aca="false">SUMIFS($I$3:$I$66,$D$3:$D$66,"Xaraes",$E$3:$E$66,"podium")</f>
        <v>1695</v>
      </c>
      <c r="F75" s="97" t="n">
        <f aca="false">SUMIFS($I$3:$I$66,$D$3:$D$66,"Xaraes",$E$3:$E$66,"35 vc")</f>
        <v>0</v>
      </c>
      <c r="G75" s="97" t="n">
        <f aca="false">SUMIFS($I$3:$I$66,$D$3:$D$66,"Xaraes",$E$3:$E$66," ppa 35")</f>
        <v>0</v>
      </c>
      <c r="H75" s="97" t="n">
        <f aca="false">SUMIFS($I$3:$I$66,$D$3:$D$66,"Xaraes",$E$3:$E$66,"50 vc")</f>
        <v>50</v>
      </c>
      <c r="I75" s="97" t="n">
        <f aca="false">SUMIFS($I$3:$I$66,$D$3:$D$66,"Xaraes",$E$3:$E$66,"ppa 50")</f>
        <v>725</v>
      </c>
      <c r="J75" s="97" t="n">
        <f aca="false">SUMIFS($I$3:$I$66,$D$3:$D$66,"Xaraes",$E$3:$E$66,"76 vc")</f>
        <v>1710</v>
      </c>
      <c r="K75" s="97" t="n">
        <f aca="false">SUMIFS($I$3:$I$66,$D$3:$D$66,"Xaraes",$E$3:$E$66,"convencional")</f>
        <v>0</v>
      </c>
      <c r="L75" s="689" t="n">
        <f aca="false">SUM(D75:K75)</f>
        <v>23515</v>
      </c>
      <c r="M75" s="689" t="n">
        <f aca="false">(D75*30)+(E75*45)+(H75*60)+(I75*60)+(J75*90)</f>
        <v>856725</v>
      </c>
      <c r="O75" s="53" t="n">
        <f aca="false">SUMIFS(L3:L66,D3:D66,"Xaraes")</f>
        <v>1039512.933</v>
      </c>
      <c r="P75" s="2121" t="n">
        <f aca="false">O75-M75</f>
        <v>182787.933</v>
      </c>
    </row>
    <row r="76" customFormat="false" ht="14.25" hidden="false" customHeight="false" outlineLevel="0" collapsed="false">
      <c r="A76" s="1929" t="s">
        <v>9</v>
      </c>
      <c r="C76" s="1928" t="n">
        <f aca="false">SUMIFS(M3:M66,D3:D66,"MG-4")</f>
        <v>0</v>
      </c>
      <c r="D76" s="97" t="n">
        <f aca="false">SUMIFS($I$3:$I$66,$D$3:$D$66,"MG-4",$E$3:$E$66,"golden")</f>
        <v>0</v>
      </c>
      <c r="E76" s="97" t="n">
        <f aca="false">SUMIFS($I$3:$I$66,$D$3:$D$66,"MG-4",$E$3:$E$66,"podium")</f>
        <v>0</v>
      </c>
      <c r="F76" s="97" t="n">
        <f aca="false">SUMIFS($I$3:$I$66,$D$3:$D$66,"MG-4",$E$3:$E$66,"35 vc")</f>
        <v>0</v>
      </c>
      <c r="G76" s="97" t="n">
        <f aca="false">SUMIFS($I$3:$I$66,$D$3:$D$66,"MG-4",$E$3:$E$66," ppa 35")</f>
        <v>0</v>
      </c>
      <c r="H76" s="97" t="n">
        <f aca="false">SUMIFS($I$3:$I$66,$D$3:$D$66,"MG-4",$E$3:$E$66,"50 vc")</f>
        <v>0</v>
      </c>
      <c r="I76" s="97" t="n">
        <f aca="false">SUMIFS($I$3:$I$66,$D$3:$D$66,"mg-4",$E$3:$E$66,"ppa 50")</f>
        <v>0</v>
      </c>
      <c r="J76" s="97" t="n">
        <f aca="false">SUMIFS($I$3:$I$66,$D$3:$D$66,"MG-4",$E$3:$E$66,"76 vc")</f>
        <v>0</v>
      </c>
      <c r="K76" s="97" t="n">
        <f aca="false">SUMIFS($I$3:$I$66,$D$3:$D$66,"MG-4",$E$3:$E$66,"convencional")</f>
        <v>0</v>
      </c>
      <c r="L76" s="689" t="n">
        <f aca="false">SUM(D76:K76)</f>
        <v>0</v>
      </c>
      <c r="M76" s="689" t="n">
        <f aca="false">(D76*25.71)+(E76*37.5)+(H76*60)+(I76*60)+(J76*90)</f>
        <v>0</v>
      </c>
      <c r="O76" s="53" t="n">
        <f aca="false">SUMIFS(L3:L66,D3:D66,"Mg-4")</f>
        <v>0</v>
      </c>
      <c r="P76" s="2121" t="n">
        <f aca="false">O76-M76</f>
        <v>0</v>
      </c>
    </row>
    <row r="77" customFormat="false" ht="14.25" hidden="false" customHeight="false" outlineLevel="0" collapsed="false">
      <c r="A77" s="1929" t="s">
        <v>10</v>
      </c>
      <c r="C77" s="1928" t="n">
        <f aca="false">SUMIFS(M3:M66,D3:D66,"Ruziziensis")</f>
        <v>61101.3512198513</v>
      </c>
      <c r="D77" s="97" t="n">
        <f aca="false">SUMIFS($I$3:$I$66,$D$3:$D$66,"rUZIZIENSIS",$E$3:$E$66,"golden")</f>
        <v>4200</v>
      </c>
      <c r="E77" s="97" t="n">
        <f aca="false">SUMIFS($I$3:$I$66,$D$3:$D$66,"rUZIZIENSIS",$E$3:$E$66,"podium")</f>
        <v>1320</v>
      </c>
      <c r="F77" s="97" t="n">
        <f aca="false">SUMIFS($I$3:$I$66,$D$3:$D$66,"rUZIZIENSIS",$E$3:$E$66,"35 vc")</f>
        <v>0</v>
      </c>
      <c r="G77" s="97" t="n">
        <f aca="false">SUMIFS($I$3:$I$66,$D$3:$D$66,"Ruziziensis",$E$3:$E$66," ppa 35")</f>
        <v>0</v>
      </c>
      <c r="H77" s="97" t="n">
        <f aca="false">SUMIFS($I$3:$I$66,$D$3:$D$66,"Ruziziensis",$E$3:$E$66,"50 vc")</f>
        <v>0</v>
      </c>
      <c r="I77" s="97" t="n">
        <f aca="false">SUMIFS($I$3:$I$66,$D$3:$D$66,"Ruziziensis",$E$3:$E$66,"ppa 50")</f>
        <v>0</v>
      </c>
      <c r="J77" s="97" t="n">
        <f aca="false">SUMIFS($I$3:$I$66,$D$3:$D$66,"Ruziziensis",$E$3:$E$66,"76 vc")</f>
        <v>270</v>
      </c>
      <c r="K77" s="97" t="n">
        <f aca="false">SUMIFS($I$3:$I$66,$D$3:$D$66,"Ruziziensis",$E$3:$E$66,"80 VC")</f>
        <v>0</v>
      </c>
      <c r="L77" s="689" t="n">
        <f aca="false">SUM(D77:K77)</f>
        <v>5790</v>
      </c>
      <c r="M77" s="689" t="n">
        <f aca="false">(D77*25.71)+(E77*38.3)+(H77*60)+(I77*60)+(J77*90)+(K77*90)</f>
        <v>182838</v>
      </c>
      <c r="O77" s="53" t="n">
        <f aca="false">SUMIFS(L3:L66,D3:D66,"Ruziziensis")</f>
        <v>198034.557</v>
      </c>
      <c r="P77" s="2121" t="n">
        <f aca="false">O77-M77</f>
        <v>15196.557</v>
      </c>
    </row>
    <row r="78" customFormat="false" ht="14.25" hidden="false" customHeight="false" outlineLevel="0" collapsed="false">
      <c r="A78" s="1929" t="s">
        <v>11</v>
      </c>
      <c r="C78" s="1928" t="n">
        <f aca="false">SUMIFS(M3:M66,D3:D66,"Humidicola")</f>
        <v>278719.539251511</v>
      </c>
      <c r="D78" s="97" t="n">
        <f aca="false">SUMIFS($I$3:$I$66,$D$3:$D$66,"Humidicola",$E$3:$E$66,"golden")</f>
        <v>6210</v>
      </c>
      <c r="E78" s="97" t="n">
        <f aca="false">SUMIFS($I$3:$I$66,$D$3:$D$66,"Humidicola",$E$3:$E$66,"podium")</f>
        <v>75</v>
      </c>
      <c r="F78" s="97" t="n">
        <f aca="false">SUMIFS($I$3:$I$66,$D$3:$D$66,"Humidicola",$E$3:$E$66,"35 vc")</f>
        <v>0</v>
      </c>
      <c r="G78" s="97" t="n">
        <f aca="false">SUMIFS($I$3:$I$66,$D$3:$D$66,"Humidicola",$E$3:$E$66," ppa 35")</f>
        <v>0</v>
      </c>
      <c r="H78" s="97" t="n">
        <f aca="false">SUMIFS($I$3:$I$66,$D$3:$D$66,"Humidicola",$E$3:$E$66,"50 vc")</f>
        <v>0</v>
      </c>
      <c r="I78" s="97" t="n">
        <f aca="false">SUMIFS($I$3:$I$66,$D$3:$D$66,"Humidicola",$E$3:$E$66,"ppa 50")</f>
        <v>0</v>
      </c>
      <c r="J78" s="97" t="n">
        <f aca="false">SUMIFS($I$3:$I$66,$D$3:$D$66,"Humidicola",$E$3:$E$66,"76 vc")</f>
        <v>0</v>
      </c>
      <c r="K78" s="97" t="n">
        <f aca="false">SUMIFS($I$3:$I$66,$D$3:$D$66,"Humidicola",$E$3:$E$66,"convencional")</f>
        <v>0</v>
      </c>
      <c r="L78" s="689" t="n">
        <f aca="false">SUM(D78:K78)</f>
        <v>6285</v>
      </c>
      <c r="M78" s="689" t="n">
        <f aca="false">(D78*14)+(E78*20)+(H78*60)+(I78*60)+(J78*90)</f>
        <v>88440</v>
      </c>
      <c r="O78" s="2121" t="n">
        <f aca="false">SUMIFS(L3:L66,D3:D66,"Humidicola")</f>
        <v>73157.142</v>
      </c>
      <c r="P78" s="2121" t="n">
        <f aca="false">O78-M78</f>
        <v>-15282.858</v>
      </c>
    </row>
    <row r="79" customFormat="false" ht="14.25" hidden="false" customHeight="false" outlineLevel="0" collapsed="false">
      <c r="A79" s="1929" t="s">
        <v>12</v>
      </c>
      <c r="C79" s="1928" t="n">
        <f aca="false">SUMIFS(M3:M66,D3:D66,"Llanero")</f>
        <v>73237.876435037</v>
      </c>
      <c r="D79" s="97" t="n">
        <f aca="false">SUMIFS($I$3:$I$66,$D$3:$D$66,"Llanero",$E$3:$E$66,"golden")</f>
        <v>1485</v>
      </c>
      <c r="E79" s="97" t="n">
        <f aca="false">SUMIFS($I$3:$I$66,$D$3:$D$66,"Llanero",$E$3:$E$66,"podium")</f>
        <v>0</v>
      </c>
      <c r="F79" s="97" t="n">
        <f aca="false">SUMIFS($I$3:$I$66,$D$3:$D$66,"Llanero",$E$3:$E$66,"35 vc")</f>
        <v>0</v>
      </c>
      <c r="G79" s="97" t="n">
        <f aca="false">SUMIFS($I$3:$I$66,$D$3:$D$66,"Llanero",$E$3:$E$66," ppa 35")</f>
        <v>0</v>
      </c>
      <c r="H79" s="97" t="n">
        <f aca="false">SUMIFS($I$3:$I$66,$D$3:$D$66,"Llanero",$E$3:$E$66,"50 vc")</f>
        <v>0</v>
      </c>
      <c r="I79" s="97" t="n">
        <f aca="false">SUMIFS($I$3:$I$66,$D$3:$D$66,"Llanero",$E$3:$E$66,"ppa 50")</f>
        <v>0</v>
      </c>
      <c r="J79" s="97" t="n">
        <f aca="false">SUMIFS($I$3:$I$66,$D$3:$D$66,"Llanero",$E$3:$E$66,"76 vc")</f>
        <v>0</v>
      </c>
      <c r="K79" s="97" t="n">
        <f aca="false">SUMIFS($I$3:$I$66,$D$3:$D$66,"llanero",$E$3:$E$66,"convencional")</f>
        <v>0</v>
      </c>
      <c r="L79" s="275" t="n">
        <f aca="false">SUM(D79:K79)</f>
        <v>1485</v>
      </c>
      <c r="M79" s="275" t="n">
        <f aca="false">(D79*18)+(E79*25.71)+(H79*60)+(I79*60)+(J79*90)</f>
        <v>26730</v>
      </c>
      <c r="O79" s="2122" t="n">
        <f aca="false">SUMIFS(L3:L66,D3:D66,"Llanero")</f>
        <v>26301.5265</v>
      </c>
      <c r="P79" s="2121" t="n">
        <f aca="false">O79-M79</f>
        <v>-428.4735</v>
      </c>
    </row>
    <row r="80" customFormat="false" ht="14.25" hidden="false" customHeight="false" outlineLevel="0" collapsed="false">
      <c r="A80" s="1929" t="s">
        <v>13</v>
      </c>
      <c r="C80" s="1928" t="n">
        <f aca="false">SUMIFS(M3:M66,D3:D66,"Mombaça")</f>
        <v>2107.52804566064</v>
      </c>
      <c r="D80" s="97" t="n">
        <f aca="false">SUMIFS($I$3:$I$66,$D$3:$D$66,"Mombaça",$E$3:$E$66,"golden")</f>
        <v>15</v>
      </c>
      <c r="E80" s="97" t="n">
        <f aca="false">SUMIFS($I$3:$I$66,$D$3:$D$66,"Mombaça",$E$3:$E$66,"podium")</f>
        <v>0</v>
      </c>
      <c r="F80" s="97" t="n">
        <f aca="false">SUMIFS($I$3:$I$66,$D$3:$D$66,"Mombaça",$E$3:$E$66,"35 vc")</f>
        <v>0</v>
      </c>
      <c r="G80" s="97" t="n">
        <f aca="false">SUMIFS($I$3:$I$66,$D$3:$D$66,"Mombaça",$E$3:$E$66," ppa 35")</f>
        <v>0</v>
      </c>
      <c r="H80" s="97" t="n">
        <f aca="false">SUMIFS($I$3:$I$66,$D$3:$D$66,"Mombaça",$E$3:$E$66,"50 vc")</f>
        <v>0</v>
      </c>
      <c r="I80" s="97" t="n">
        <f aca="false">SUMIFS($I$3:$I$66,$D$3:$D$66,"Mombaça",$E$3:$E$66,"ppa 50")</f>
        <v>0</v>
      </c>
      <c r="J80" s="97" t="n">
        <f aca="false">SUMIFS($I$3:$I$66,$D$3:$D$66,"Mombaça",$E$3:$E$66,"76 vc")</f>
        <v>75</v>
      </c>
      <c r="K80" s="97" t="n">
        <f aca="false">SUMIFS($I$3:$I$66,$D$3:$D$66,"Mombaça",$E$3:$E$66,"convencional")</f>
        <v>0</v>
      </c>
      <c r="L80" s="689" t="n">
        <f aca="false">SUM(D80:K80)</f>
        <v>90</v>
      </c>
      <c r="M80" s="689" t="n">
        <f aca="false">(D80*22.5)+(E80*37.5)+(F80*40)+(G80*40)+(H80*55)+(I80*55)+(J80*90)+(K80*90)</f>
        <v>7087.5</v>
      </c>
      <c r="O80" s="53" t="n">
        <f aca="false">SUMIFS(L3:L66,D3:D66,"Mombaça")</f>
        <v>7238.4795</v>
      </c>
      <c r="P80" s="2121" t="n">
        <f aca="false">O80-M80</f>
        <v>150.9795</v>
      </c>
    </row>
    <row r="81" customFormat="false" ht="14.25" hidden="false" customHeight="false" outlineLevel="0" collapsed="false">
      <c r="A81" s="1929" t="s">
        <v>14</v>
      </c>
      <c r="C81" s="1928" t="n">
        <f aca="false">SUMIFS(M3:M66,D3:D66,"Tanzania")</f>
        <v>0</v>
      </c>
      <c r="D81" s="97" t="n">
        <f aca="false">SUMIFS($I$3:$I$66,$D$3:$D$66,"Tanzania",$E$3:$E$66,"golden")</f>
        <v>0</v>
      </c>
      <c r="E81" s="97" t="n">
        <f aca="false">SUMIFS($I$3:$I$66,$D$3:$D$66,"Tanzania",$E$3:$E$66,"podium")</f>
        <v>0</v>
      </c>
      <c r="F81" s="97" t="n">
        <f aca="false">SUMIFS($I$3:$I$66,$D$3:$D$66,"Tanzania",$E$3:$E$66,"35 vc")</f>
        <v>0</v>
      </c>
      <c r="G81" s="97" t="n">
        <f aca="false">SUMIFS($I$3:$I$66,$D$3:$D$66,"Tanzania",$E$3:$E$66," ppa 35")</f>
        <v>0</v>
      </c>
      <c r="H81" s="97" t="n">
        <f aca="false">SUMIFS($I$3:$I$66,$D$3:$D$66,"Tanzania",$E$3:$E$66,"50 vc")</f>
        <v>0</v>
      </c>
      <c r="I81" s="97" t="n">
        <f aca="false">SUMIFS($I$3:$I$66,$D$3:$D$66,"Tanzania",$E$3:$E$66,"ppa 50")</f>
        <v>0</v>
      </c>
      <c r="J81" s="97" t="n">
        <f aca="false">SUMIFS($I$3:$I$66,$D$3:$D$66,"Tanzania",$E$3:$E$66,"76 vc")</f>
        <v>0</v>
      </c>
      <c r="K81" s="97" t="n">
        <f aca="false">SUMIFS($I$3:$I$66,$D$3:$D$66,"Tanzania",$E$3:$E$66,"convencional")</f>
        <v>0</v>
      </c>
      <c r="L81" s="689" t="n">
        <f aca="false">SUM(D81:K81)</f>
        <v>0</v>
      </c>
      <c r="M81" s="689" t="n">
        <f aca="false">(D81*22.5)+(E81*37.5)+(F81*40)+(G81*40)+(H81*55)+(I81*55)+(J81*90)+(K81*90)</f>
        <v>0</v>
      </c>
      <c r="O81" s="53" t="n">
        <f aca="false">SUMIFS(L3:L66,D3:D66,"Tanzania")</f>
        <v>0</v>
      </c>
      <c r="P81" s="2121" t="n">
        <f aca="false">O81-M81</f>
        <v>0</v>
      </c>
    </row>
    <row r="82" customFormat="false" ht="14.25" hidden="false" customHeight="false" outlineLevel="0" collapsed="false">
      <c r="A82" s="1929" t="s">
        <v>15</v>
      </c>
      <c r="C82" s="1928" t="n">
        <f aca="false">SUMIFS(M3:M66,D3:D66,"Massai")</f>
        <v>73717.5532708333</v>
      </c>
      <c r="D82" s="97" t="n">
        <f aca="false">SUMIFS($I$3:$I$66,$D$3:$D$66,"Massai",$E$3:$E$66,"golden")</f>
        <v>0</v>
      </c>
      <c r="E82" s="97" t="n">
        <f aca="false">SUMIFS($I$3:$I$66,$D$3:$D$66,"Massai",$E$3:$E$66,"podium")</f>
        <v>0</v>
      </c>
      <c r="F82" s="97" t="n">
        <f aca="false">SUMIFS($I$3:$I$66,$D$3:$D$66,"Massai",$E$3:$E$66,"35 vc")</f>
        <v>2925</v>
      </c>
      <c r="G82" s="97" t="n">
        <f aca="false">SUMIFS($I$3:$I$66,$D$3:$D$66,"Massai",$E$3:$E$66," ppa 35")</f>
        <v>0</v>
      </c>
      <c r="H82" s="97" t="n">
        <f aca="false">SUMIFS($I$3:$I$66,$D$3:$D$66,"Massai",$E$3:$E$66,"50 vc")</f>
        <v>0</v>
      </c>
      <c r="I82" s="97" t="n">
        <f aca="false">SUMIFS($I$3:$I$66,$D$3:$D$66,"Massai",$E$3:$E$66,"ppa 50")</f>
        <v>0</v>
      </c>
      <c r="J82" s="97" t="n">
        <f aca="false">SUMIFS($I$3:$I$66,$D$3:$D$66,"Massai",$E$3:$E$66,"76 vc")</f>
        <v>0</v>
      </c>
      <c r="K82" s="97" t="n">
        <f aca="false">SUMIFS($I$3:$I$66,$D$3:$D$66,"Massai",$E$3:$E$66,"convencional")</f>
        <v>0</v>
      </c>
      <c r="L82" s="689" t="n">
        <f aca="false">SUM(D82:K82)</f>
        <v>2925</v>
      </c>
      <c r="M82" s="689" t="n">
        <f aca="false">(D82*22.5)+(E82*37.5)+(F82*40)+(G82*40)+(H82*55)+(I82*55)+(J82*90)+(K82*90)</f>
        <v>117000</v>
      </c>
      <c r="O82" s="53" t="n">
        <f aca="false">SUMIFS(L3:L66,D3:D66,"Massai")</f>
        <v>153216.18</v>
      </c>
      <c r="P82" s="2121" t="n">
        <f aca="false">O82-M82</f>
        <v>36216.18</v>
      </c>
    </row>
    <row r="83" customFormat="false" ht="14.25" hidden="false" customHeight="false" outlineLevel="0" collapsed="false">
      <c r="A83" s="1929" t="s">
        <v>16</v>
      </c>
      <c r="C83" s="1928" t="n">
        <f aca="false">SUMIFS(M3:M66,D3:D66,"Aruana")</f>
        <v>0</v>
      </c>
      <c r="D83" s="97" t="n">
        <f aca="false">SUMIFS($I$3:$I$66,$D$3:$D$66,"Aruana",$E$3:$E$66,"golden")</f>
        <v>0</v>
      </c>
      <c r="E83" s="97" t="n">
        <f aca="false">SUMIFS($I$3:$I$66,$D$3:$D$66,"Aruana",$E$3:$E$66,"podium")</f>
        <v>0</v>
      </c>
      <c r="F83" s="97" t="n">
        <f aca="false">SUMIFS($I$3:$I$66,$D$3:$D$66,"Aruana",$E$3:$E$66,"35 vc")</f>
        <v>0</v>
      </c>
      <c r="G83" s="97" t="n">
        <f aca="false">SUMIFS($I$3:$I$66,$D$3:$D$66,"Aruana",$E$3:$E$66," ppa 35")</f>
        <v>0</v>
      </c>
      <c r="H83" s="97" t="n">
        <f aca="false">SUMIFS($I$3:$I$66,$D$3:$D$66,"Aruana",$E$3:$E$66,"50 vc")</f>
        <v>0</v>
      </c>
      <c r="I83" s="97" t="n">
        <f aca="false">SUMIFS($I$3:$I$66,$D$3:$D$66,"Aruana",$E$3:$E$66,"ppa 50")</f>
        <v>0</v>
      </c>
      <c r="J83" s="97" t="n">
        <f aca="false">SUMIFS($I$3:$I$66,$D$3:$D$66,"Aruana",$E$3:$E$66,"76 vc")</f>
        <v>0</v>
      </c>
      <c r="K83" s="97" t="n">
        <f aca="false">SUMIFS($I$3:$I$66,$D$3:$D$66,"Aruana",$E$3:$E$66,"convencional")</f>
        <v>0</v>
      </c>
      <c r="L83" s="275" t="n">
        <f aca="false">SUM(D83:K83)</f>
        <v>0</v>
      </c>
      <c r="M83" s="275" t="n">
        <f aca="false">(D83*22.5)+(E83*37.5)+(F83*40)+(G83*40)+(H83*55)+(I83*55)+(J83*90)+(K83*90)</f>
        <v>0</v>
      </c>
      <c r="O83" s="2121" t="n">
        <f aca="false">SUMIFS(L3:L66,D3:D66,"Aruana")</f>
        <v>0</v>
      </c>
      <c r="P83" s="2121" t="n">
        <f aca="false">O83-M83</f>
        <v>0</v>
      </c>
    </row>
    <row r="84" customFormat="false" ht="14.25" hidden="false" customHeight="false" outlineLevel="0" collapsed="false">
      <c r="A84" s="1929" t="s">
        <v>17</v>
      </c>
      <c r="C84" s="1928" t="n">
        <f aca="false">SUMIFS(M3:M66,D3:D66,"Zuri")</f>
        <v>903.064352370976</v>
      </c>
      <c r="D84" s="97" t="n">
        <f aca="false">SUMIFS($I$3:$I$66,$D$3:$D$66,"Zuri",$E$3:$E$66,"golden")</f>
        <v>60</v>
      </c>
      <c r="E84" s="97" t="n">
        <f aca="false">SUMIFS($I$3:$I$66,$D$3:$D$66,"Zuri",$E$3:$E$66,"podium")</f>
        <v>0</v>
      </c>
      <c r="F84" s="97" t="n">
        <f aca="false">SUMIFS($I$3:$I$66,$D$3:$D$66,"Zuri",$E$3:$E$66,"35 vc")</f>
        <v>0</v>
      </c>
      <c r="G84" s="97" t="n">
        <f aca="false">SUMIFS($I$3:$I$66,$D$3:$D$66,"Zuri",$E$3:$E$66,"ppa 35")</f>
        <v>0</v>
      </c>
      <c r="H84" s="97" t="n">
        <f aca="false">SUMIFS($I$3:$I$66,$D$3:$D$66,"Zuri",$E$3:$E$66,"50 vc")</f>
        <v>0</v>
      </c>
      <c r="I84" s="97" t="n">
        <f aca="false">SUMIFS($I$3:$I$66,$D$3:$D$66,"Zuri",$E$3:$E$66,"ppa 50")</f>
        <v>0</v>
      </c>
      <c r="J84" s="97" t="n">
        <f aca="false">SUMIFS($I$3:$I$66,$D$3:$D$66,"Zuri",$E$3:$E$66,"76 vc")</f>
        <v>0</v>
      </c>
      <c r="K84" s="97" t="n">
        <f aca="false">SUMIFS($I$3:$I$66,$D$3:$D$66,"Zuri",$E$3:$E$66,"80 VC")</f>
        <v>0</v>
      </c>
      <c r="L84" s="689" t="n">
        <f aca="false">SUM(D84:K84)</f>
        <v>60</v>
      </c>
      <c r="M84" s="689" t="n">
        <f aca="false">(D84*22.5)+(E84*37.5)+(F84*40)+(G84*40)+(H84*55)+(I84*55)+(J84*90)+(K84*90)</f>
        <v>1350</v>
      </c>
      <c r="O84" s="53" t="n">
        <f aca="false">SUMIFS(L3:L66,D3:D66,"Zuri")</f>
        <v>1571.754</v>
      </c>
      <c r="P84" s="2121" t="n">
        <f aca="false">O84-M84</f>
        <v>221.754</v>
      </c>
    </row>
    <row r="85" customFormat="false" ht="14.25" hidden="false" customHeight="false" outlineLevel="0" collapsed="false">
      <c r="A85" s="1929" t="s">
        <v>3351</v>
      </c>
      <c r="C85" s="1928" t="n">
        <f aca="false">SUMIFS(M3:M66,D3:D66,"Paiaguas")</f>
        <v>9159.20171351491</v>
      </c>
      <c r="D85" s="97" t="n">
        <f aca="false">SUMIFS($I$3:$I$66,$D$3:$D$66,"Paiaguas",$E$3:$E$66,"golden")</f>
        <v>555</v>
      </c>
      <c r="E85" s="97" t="n">
        <f aca="false">SUMIFS($I$3:$I$66,$D$3:$D$66,"Paiaguas",$E$3:$E$66,"podium")</f>
        <v>0</v>
      </c>
      <c r="F85" s="97" t="n">
        <f aca="false">SUMIFS($I$3:$I$66,$D$3:$D$66,"Paiaguas",$E$3:$E$66,"35 vc")</f>
        <v>0</v>
      </c>
      <c r="G85" s="97" t="n">
        <f aca="false">SUMIFS($I$3:$I$66,$D$3:$D$66,"Paiaguas",$E$3:$E$66," ppa 35")</f>
        <v>0</v>
      </c>
      <c r="H85" s="97" t="n">
        <f aca="false">SUMIFS($I$3:$I$66,$D$3:$D$66,"Paiaguas",$E$3:$E$66,"50 vc")</f>
        <v>0</v>
      </c>
      <c r="I85" s="97" t="n">
        <f aca="false">SUMIFS($I$3:$I$66,$D$3:$D$66,"Paiaguas",$E$3:$E$66,"ppa 50")</f>
        <v>0</v>
      </c>
      <c r="J85" s="97" t="n">
        <f aca="false">SUMIFS($I$3:$I$66,$D$3:$D$66,"Paiaguas",$E$3:$E$66,"76 vc")</f>
        <v>0</v>
      </c>
      <c r="K85" s="97" t="n">
        <f aca="false">SUMIFS($I$3:$I$66,$D$3:$D$66,"Paiaguas",$E$3:$E$66,"80 VC")</f>
        <v>0</v>
      </c>
      <c r="L85" s="689" t="n">
        <f aca="false">SUM(D85:K85)</f>
        <v>555</v>
      </c>
      <c r="M85" s="689" t="n">
        <f aca="false">(D85*25.71)+(E85*34.62)+(H85*60)+(I85*60)+(K85*90)</f>
        <v>14269.05</v>
      </c>
      <c r="O85" s="53" t="n">
        <f aca="false">SUMIFS(L3:L66,D3:D66,"Paiaguas")</f>
        <v>14312.055</v>
      </c>
      <c r="P85" s="2121" t="n">
        <f aca="false">O85-M85</f>
        <v>43.0049999999992</v>
      </c>
    </row>
    <row r="86" customFormat="false" ht="14.25" hidden="false" customHeight="false" outlineLevel="0" collapsed="false">
      <c r="A86" s="1929" t="s">
        <v>19</v>
      </c>
      <c r="C86" s="1928" t="n">
        <f aca="false">SUMIFS(M3:M66,D3:D66,"Tamani")</f>
        <v>46965.029830168</v>
      </c>
      <c r="D86" s="97" t="n">
        <f aca="false">SUMIFS($I$3:$I$66,$D$3:$D$66,"Tamani",$E$3:$E$66,"golden")</f>
        <v>0</v>
      </c>
      <c r="E86" s="97" t="n">
        <f aca="false">SUMIFS($I$3:$I$66,$D$3:$D$66,"Tamani",$E$3:$E$66,"podium")</f>
        <v>1605</v>
      </c>
      <c r="F86" s="97" t="n">
        <f aca="false">SUMIFS($I$3:$I$66,$D$3:$D$66,"Tamani",$E$3:$E$66,"35 vc")</f>
        <v>0</v>
      </c>
      <c r="G86" s="97" t="n">
        <f aca="false">SUMIFS($I$3:$I$66,$D$3:$D$66,"Tamani",$E$3:$E$66," ppa 35")</f>
        <v>0</v>
      </c>
      <c r="H86" s="97" t="n">
        <f aca="false">SUMIFS($I$3:$I$66,$D$3:$D$66,"Tamani",$E$3:$E$66,"50 vc")</f>
        <v>0</v>
      </c>
      <c r="I86" s="97" t="n">
        <f aca="false">SUMIFS($I$3:$I$66,$D$3:$D$66,"Tamani",$E$3:$E$66,"ppa 50")</f>
        <v>0</v>
      </c>
      <c r="J86" s="97" t="n">
        <f aca="false">SUMIFS($I$3:$I$66,$D$3:$D$66,"Tamani",$E$3:$E$66,"76 vc")</f>
        <v>0</v>
      </c>
      <c r="K86" s="97" t="n">
        <f aca="false">SUMIFS($I$3:$I$66,$D$3:$D$66,"Tamani",$E$3:$E$66,"convencional")</f>
        <v>0</v>
      </c>
      <c r="L86" s="689" t="n">
        <f aca="false">SUM(D86:K86)</f>
        <v>1605</v>
      </c>
      <c r="M86" s="689" t="n">
        <f aca="false">(D86*22.5)+(E86*37.5)+(F86*40)+(G86*40)+(H86*55)+(I86*55)+(J86*90)+(K86*90)</f>
        <v>60187.5</v>
      </c>
      <c r="O86" s="53" t="n">
        <f aca="false">SUMIFS(L3:L66,D3:D66,"Tamani")</f>
        <v>62916</v>
      </c>
      <c r="P86" s="2121" t="n">
        <f aca="false">O86-M86</f>
        <v>2728.50000000001</v>
      </c>
    </row>
    <row r="87" customFormat="false" ht="14.25" hidden="false" customHeight="false" outlineLevel="0" collapsed="false">
      <c r="A87" s="52" t="s">
        <v>20</v>
      </c>
      <c r="C87" s="1928" t="n">
        <f aca="false">SUMIFS(M3:M66,D3:D66,"Integra")</f>
        <v>0</v>
      </c>
      <c r="D87" s="97" t="n">
        <f aca="false">SUMIFS($I$3:$I$66,$D$3:$D$66,"Integra",$E$3:$E$66,"golden")</f>
        <v>0</v>
      </c>
      <c r="E87" s="97" t="n">
        <f aca="false">SUMIFS($I$3:$I$66,$D$3:$D$66,"Integra",$E$3:$E$66,"podium")</f>
        <v>0</v>
      </c>
      <c r="F87" s="97" t="n">
        <f aca="false">SUMIFS($I$3:$I$66,$D$3:$D$66,"Integra",$E$3:$E$66,"35 vc")</f>
        <v>0</v>
      </c>
      <c r="G87" s="97" t="n">
        <f aca="false">SUMIFS($I$3:$I$66,$D$3:$D$66,"Integra",$E$3:$E$66," ppa 35")</f>
        <v>0</v>
      </c>
      <c r="H87" s="97" t="n">
        <f aca="false">SUMIFS($I$3:$I$66,$D$3:$D$66,"Integra",$E$3:$E$66,"70 vc")</f>
        <v>0</v>
      </c>
      <c r="I87" s="97" t="n">
        <f aca="false">SUMIFS($I$3:$I$66,$D$3:$D$66,"Integra",$E$3:$E$66,"ppa 50")</f>
        <v>0</v>
      </c>
      <c r="J87" s="97" t="n">
        <f aca="false">SUMIFS($I$3:$I$66,$D$3:$D$66,"Integra",$E$3:$E$66,"76 vc")</f>
        <v>0</v>
      </c>
      <c r="K87" s="97" t="n">
        <f aca="false">SUMIFS($I$3:$I$66,$D$3:$D$66,"Integra",$E$3:$E$66,"convencional")</f>
        <v>0</v>
      </c>
      <c r="L87" s="689" t="n">
        <f aca="false">SUM(D87:K87)</f>
        <v>0</v>
      </c>
      <c r="M87" s="689" t="n">
        <f aca="false">(D87*25.71)+(E87*38.29)+(H87*60)+(I87*60)+(J87*90)</f>
        <v>0</v>
      </c>
      <c r="O87" s="53" t="n">
        <f aca="false">SUMIFS(L3:L66,D3:D66,"Integra")</f>
        <v>0</v>
      </c>
      <c r="P87" s="2121" t="n">
        <f aca="false">O87-M87</f>
        <v>0</v>
      </c>
    </row>
    <row r="88" customFormat="false" ht="14.25" hidden="false" customHeight="false" outlineLevel="0" collapsed="false">
      <c r="A88" s="52" t="s">
        <v>22</v>
      </c>
      <c r="C88" s="1928" t="n">
        <f aca="false">SUMIFS(M3:M66,D3:D66,"Quenia")</f>
        <v>28668.3581141184</v>
      </c>
      <c r="D88" s="97" t="n">
        <f aca="false">SUMIFS($I$3:$I$66,$D$3:$D$66,"Quenia",$E$3:$E$66,"golden")</f>
        <v>690</v>
      </c>
      <c r="E88" s="97" t="n">
        <f aca="false">SUMIFS($I$3:$I$66,$D$3:$D$66,"Quenia",$E$3:$E$66,"podium")</f>
        <v>0</v>
      </c>
      <c r="F88" s="97" t="n">
        <f aca="false">SUMIFS($I$3:$I$66,$D$3:$D$66,"Quenia",$E$3:$E$66,"35 vc")</f>
        <v>0</v>
      </c>
      <c r="G88" s="97" t="n">
        <f aca="false">SUMIFS($I$3:$I$66,$D$3:$D$66,"Quenia",$E$3:$E$66," ppa 35")</f>
        <v>0</v>
      </c>
      <c r="H88" s="97" t="n">
        <f aca="false">SUMIFS($I$3:$I$66,$D$3:$D$66,"Quenia",$E$3:$E$66,"50 vc")</f>
        <v>0</v>
      </c>
      <c r="I88" s="97" t="n">
        <f aca="false">SUMIFS($I$3:$I$66,$D$3:$D$66,"Quenia",$E$3:$E$66,"ppa 50")</f>
        <v>0</v>
      </c>
      <c r="J88" s="97" t="n">
        <f aca="false">SUMIFS($I$3:$I$66,$D$3:$D$66,"Quenia",$E$3:$E$66,"76 vc")</f>
        <v>0</v>
      </c>
      <c r="K88" s="97" t="n">
        <f aca="false">SUMIFS($I$3:$I$66,$D$3:$D$66,"Quenia",$E$3:$E$66,"80 VC")</f>
        <v>270</v>
      </c>
      <c r="L88" s="689" t="n">
        <f aca="false">SUM(D88:K88)</f>
        <v>960</v>
      </c>
      <c r="M88" s="689" t="n">
        <f aca="false">(D88*22.5)+(E88*37.5)+(F88*40)+(G88*40)+(H88*55)+(I88*55)+(J88*90)+(K88*90)</f>
        <v>39825</v>
      </c>
      <c r="O88" s="53" t="n">
        <f aca="false">SUMIFS(L3:L66,D3:D66,"Quenia")</f>
        <v>45690.714</v>
      </c>
      <c r="P88" s="2121" t="n">
        <f aca="false">O88-M88</f>
        <v>5865.714</v>
      </c>
    </row>
    <row r="89" customFormat="false" ht="14.25" hidden="false" customHeight="false" outlineLevel="0" collapsed="false">
      <c r="A89" s="52" t="s">
        <v>172</v>
      </c>
      <c r="C89" s="1928" t="n">
        <f aca="false">SUMIFS(M3:M66,D3:D66,"Sorgo")</f>
        <v>0</v>
      </c>
      <c r="D89" s="97" t="n">
        <f aca="false">SUMIFS($I$3:$I$66,$D$3:$D$66,"Sorgo",$E$3:$E$66,"golden")</f>
        <v>0</v>
      </c>
      <c r="E89" s="97" t="n">
        <f aca="false">SUMIFS($I$3:$I$66,$D$3:$D$66,"Sorgo",$E$3:$E$66,"podium")</f>
        <v>0</v>
      </c>
      <c r="F89" s="97" t="n">
        <f aca="false">SUMIFS($I$3:$I$66,$D$3:$D$66,"Sorgo",$E$3:$E$66,"35 vc")</f>
        <v>0</v>
      </c>
      <c r="G89" s="97" t="n">
        <f aca="false">SUMIFS($I$3:$I$66,$D$3:$D$66,"Sorgo",$E$3:$E$66," ppa 35")</f>
        <v>0</v>
      </c>
      <c r="H89" s="97" t="n">
        <f aca="false">SUMIFS($I$3:$I$66,$D$3:$D$66,"Sorgo",$E$3:$E$66,"50 vc")</f>
        <v>0</v>
      </c>
      <c r="I89" s="97" t="n">
        <f aca="false">SUMIFS($I$3:$I$66,$D$3:$D$66,"Sorgo",$E$3:$E$66,"ppa 50")</f>
        <v>0</v>
      </c>
      <c r="J89" s="97" t="n">
        <f aca="false">SUMIFS($I$3:$I$66,$D$3:$D$66,"Sorgo",$E$3:$E$66,"76 vc")</f>
        <v>0</v>
      </c>
      <c r="K89" s="97" t="n">
        <f aca="false">SUMIFS($I$3:$I$66,$D$3:$D$66,"Sorgo",$E$3:$E$66,"convencional")</f>
        <v>0</v>
      </c>
      <c r="L89" s="689" t="n">
        <f aca="false">SUM(D89:K89)</f>
        <v>0</v>
      </c>
      <c r="M89" s="689" t="n">
        <f aca="false">(D89*25.71)+(E89*37.5)+(H89*60)+(I89*60)+(J89*90)+(K89*1)</f>
        <v>0</v>
      </c>
      <c r="O89" s="53" t="n">
        <f aca="false">SUMIFS(L3:L66,D3:D66,"Sorgo")</f>
        <v>0</v>
      </c>
      <c r="P89" s="2121" t="n">
        <f aca="false">O89-M89</f>
        <v>0</v>
      </c>
    </row>
    <row r="90" customFormat="false" ht="14.25" hidden="false" customHeight="false" outlineLevel="0" collapsed="false">
      <c r="A90" s="52" t="s">
        <v>173</v>
      </c>
      <c r="C90" s="1928" t="n">
        <f aca="false">SUMIFS(M3:M66,D3:D66,"Crotalaria")</f>
        <v>0</v>
      </c>
      <c r="D90" s="97" t="n">
        <f aca="false">SUMIFS($I$3:$I$66,$D$3:$D$66,"Crotalaria",$E$3:$E$66,"golden")</f>
        <v>0</v>
      </c>
      <c r="E90" s="97" t="n">
        <f aca="false">SUMIFS($I$3:$I$66,$D$3:$D$66,"Crotalaria",$E$3:$E$66,"podium")</f>
        <v>0</v>
      </c>
      <c r="F90" s="97" t="n">
        <f aca="false">SUMIFS($I$3:$I$66,$D$3:$D$66,"Crotalaria",$E$3:$E$66,"35 vc")</f>
        <v>0</v>
      </c>
      <c r="G90" s="97" t="n">
        <f aca="false">SUMIFS($I$3:$I$66,$D$3:$D$66,"Crotalaria",$E$3:$E$66," ppa 35")</f>
        <v>0</v>
      </c>
      <c r="H90" s="97" t="n">
        <f aca="false">SUMIFS($I$3:$I$66,$D$3:$D$66,"Crotalaria",$E$3:$E$66,"50 vc")</f>
        <v>0</v>
      </c>
      <c r="I90" s="97" t="n">
        <f aca="false">SUMIFS($I$3:$I$66,$D$3:$D$66,"Crotalaria",$E$3:$E$66,"ppa 50")</f>
        <v>0</v>
      </c>
      <c r="J90" s="97" t="n">
        <f aca="false">SUMIFS($I$3:$I$66,$D$3:$D$66,"Crotalaria",$E$3:$E$66,"76 vc")</f>
        <v>0</v>
      </c>
      <c r="K90" s="97" t="n">
        <f aca="false">SUMIFS($I$3:$I$66,$D$3:$D$66,"Crotalaria",$E$3:$E$66,"convencional")</f>
        <v>2550</v>
      </c>
      <c r="L90" s="689" t="n">
        <f aca="false">SUM(D90:K90)</f>
        <v>2550</v>
      </c>
      <c r="M90" s="689" t="n">
        <f aca="false">(D90*25.71)+(E90*37.5)+(H90*60)+(I90*60)+(J90*90)+(K90*1)</f>
        <v>2550</v>
      </c>
      <c r="O90" s="53" t="n">
        <f aca="false">SUMIFS(L3:L66,D3:D66,"Crotalaria")</f>
        <v>2550</v>
      </c>
      <c r="P90" s="2121" t="n">
        <f aca="false">O90-M90</f>
        <v>0</v>
      </c>
    </row>
    <row r="91" customFormat="false" ht="14.25" hidden="false" customHeight="false" outlineLevel="0" collapsed="false">
      <c r="A91" s="1929" t="s">
        <v>23</v>
      </c>
      <c r="C91" s="1928" t="n">
        <f aca="false">SUMIFS(M3:M66,D3:D66,"Estilosante")</f>
        <v>247036.961801614</v>
      </c>
      <c r="D91" s="97" t="n">
        <f aca="false">SUMIFS($I$3:$I$66,$D$3:$D$66,"Estilosante",$E$3:$E$66,"golden")</f>
        <v>0</v>
      </c>
      <c r="E91" s="97" t="n">
        <f aca="false">SUMIFS($I$3:$I$66,$D$3:$D$66,"Estilosante",$E$3:$E$66,"podium")</f>
        <v>0</v>
      </c>
      <c r="F91" s="97" t="n">
        <f aca="false">SUMIFS($I$3:$I$66,$D$3:$D$66,"Estilosante",$E$3:$E$66,"35 vc")</f>
        <v>0</v>
      </c>
      <c r="G91" s="97" t="n">
        <f aca="false">SUMIFS($I$3:$I$66,$D$3:$D$66,"Estilosante",$E$3:$E$66," ppa 35")</f>
        <v>0</v>
      </c>
      <c r="H91" s="97" t="n">
        <f aca="false">SUMIFS($I$3:$I$66,$D$3:$D$66,"Estilosante",$E$3:$E$66,"50 vc")</f>
        <v>0</v>
      </c>
      <c r="I91" s="97" t="n">
        <f aca="false">SUMIFS($I$3:$I$66,$D$3:$D$66,"Estilosante",$E$3:$E$66,"ppa 50")</f>
        <v>0</v>
      </c>
      <c r="J91" s="97" t="n">
        <f aca="false">SUMIFS($I$3:$I$66,$D$3:$D$66,"Estilosante",$E$3:$E$66,"76 vc")</f>
        <v>0</v>
      </c>
      <c r="K91" s="97" t="n">
        <f aca="false">SUMIFS($I$3:$I$66,$D$3:$D$66,"Estilosante",$E$3:$E$66,"convencional")</f>
        <v>6060</v>
      </c>
      <c r="L91" s="689" t="n">
        <f aca="false">SUM(D91:K91)</f>
        <v>6060</v>
      </c>
      <c r="M91" s="689" t="n">
        <f aca="false">(D91*25.71)+(E91*37.5)+(H91*60)+(I91*60)+(J91*90)+(K91*1)</f>
        <v>6060</v>
      </c>
      <c r="O91" s="53" t="n">
        <f aca="false">SUMIFS(L3:L66,D3:D66,"Estilosante")</f>
        <v>6060</v>
      </c>
      <c r="P91" s="2121" t="n">
        <f aca="false">O91-M91</f>
        <v>0</v>
      </c>
    </row>
    <row r="92" customFormat="false" ht="14.25" hidden="false" customHeight="false" outlineLevel="0" collapsed="false">
      <c r="A92" s="52" t="s">
        <v>21</v>
      </c>
      <c r="C92" s="1928" t="n">
        <f aca="false">SUMIFS(M3:M66,D3:D66,"Milheto")</f>
        <v>47579.7547591578</v>
      </c>
      <c r="D92" s="97" t="n">
        <f aca="false">SUMIFS($I$3:$I$66,$D$3:$D$66,"Milheto",$E$3:$E$66,"golden")</f>
        <v>0</v>
      </c>
      <c r="E92" s="97" t="n">
        <f aca="false">SUMIFS($I$3:$I$66,$D$3:$D$66,"Milheto",$E$3:$E$66,"podium")</f>
        <v>0</v>
      </c>
      <c r="F92" s="97" t="n">
        <f aca="false">SUMIFS($I$3:$I$66,$D$3:$D$66,"Milheto",$E$3:$E$66,"35 vc")</f>
        <v>0</v>
      </c>
      <c r="G92" s="97" t="n">
        <f aca="false">SUMIFS($I$3:$I$66,$D$3:$D$66,"Milheto",$E$3:$E$66," ppa 35")</f>
        <v>0</v>
      </c>
      <c r="H92" s="97" t="n">
        <f aca="false">SUMIFS($I$3:$I$66,$D$3:$D$66,"Milheto",$E$3:$E$66,"50 vc")</f>
        <v>0</v>
      </c>
      <c r="I92" s="97" t="n">
        <f aca="false">SUMIFS($I$3:$I$66,$D$3:$D$66,"Milheto",$E$3:$E$66,"ppa 50")</f>
        <v>0</v>
      </c>
      <c r="J92" s="97" t="n">
        <f aca="false">SUMIFS($I$3:$I$66,$D$3:$D$66,"Milheto",$E$3:$E$66,"76 vc")</f>
        <v>0</v>
      </c>
      <c r="K92" s="97" t="n">
        <f aca="false">SUMIFS($I$3:$I$66,$D$3:$D$66,"Milheto",$E$3:$E$66,"convencional")</f>
        <v>9055</v>
      </c>
      <c r="L92" s="689" t="n">
        <f aca="false">SUM(D92:K92)</f>
        <v>9055</v>
      </c>
      <c r="M92" s="689" t="n">
        <f aca="false">(D92*25.71)+(E92*37.5)+(H92*60)+(I92*60)+(J92*90)+(K92*1)</f>
        <v>9055</v>
      </c>
      <c r="O92" s="53" t="n">
        <f aca="false">SUMIFS(L3:L66,D3:D66,"Milheto")</f>
        <v>9055</v>
      </c>
      <c r="P92" s="2121" t="n">
        <f aca="false">O92-M92</f>
        <v>0</v>
      </c>
    </row>
    <row r="93" customFormat="false" ht="14.25" hidden="false" customHeight="false" outlineLevel="0" collapsed="false">
      <c r="A93" s="1929" t="s">
        <v>74</v>
      </c>
      <c r="C93" s="1928" t="n">
        <f aca="false">SUMIFS(M3:M66,D3:D66,"Andropogon")</f>
        <v>0</v>
      </c>
      <c r="D93" s="97" t="n">
        <f aca="false">SUMIFS($I$3:$I$66,$D$3:$D$66,"Andropogon",$E$3:$E$66,"golden")</f>
        <v>0</v>
      </c>
      <c r="E93" s="97" t="n">
        <f aca="false">SUMIFS($I$3:$I$66,$D$3:$D$66,"Andropogon",$E$3:$E$66,"podium")</f>
        <v>0</v>
      </c>
      <c r="F93" s="97" t="n">
        <f aca="false">SUMIFS($I$3:$I$66,$D$3:$D$66,"Andropogon",$E$3:$E$66,"35 vc")</f>
        <v>0</v>
      </c>
      <c r="G93" s="97" t="n">
        <f aca="false">SUMIFS($I$3:$I$66,$D$3:$D$66,"Andropogon",$E$3:$E$66," ppa 35")</f>
        <v>0</v>
      </c>
      <c r="H93" s="97" t="n">
        <f aca="false">SUMIFS($I$3:$I$66,$D$3:$D$66,"Andropogon",$E$3:$E$66,"50 vc")</f>
        <v>0</v>
      </c>
      <c r="I93" s="97" t="n">
        <f aca="false">SUMIFS($I$3:$I$66,$D$3:$D$66,"Andropogon",$E$3:$E$66,"ppa 50")</f>
        <v>0</v>
      </c>
      <c r="J93" s="97" t="n">
        <f aca="false">SUMIFS($I$3:$I$66,$D$3:$D$66,"Andropogon",$E$3:$E$66,"76 vc")</f>
        <v>0</v>
      </c>
      <c r="K93" s="97" t="n">
        <f aca="false">SUMIFS($I$3:$I$66,$D$3:$D$66,"Sudão",$E$3:$E$66,"convencional")</f>
        <v>0</v>
      </c>
      <c r="L93" s="689" t="n">
        <f aca="false">SUM(D93:K93)</f>
        <v>0</v>
      </c>
      <c r="M93" s="689" t="n">
        <f aca="false">(D93*25.71)+(E93*37.5)+(H93*60)+(I93*60)+(J93*90)+(K93*1)</f>
        <v>0</v>
      </c>
      <c r="O93" s="53" t="n">
        <f aca="false">SUMIFS(L3:L66,D3:D66,"Sudão")</f>
        <v>0</v>
      </c>
      <c r="P93" s="2121" t="n">
        <f aca="false">O93-M93</f>
        <v>0</v>
      </c>
    </row>
    <row r="94" customFormat="false" ht="14.25" hidden="false" customHeight="false" outlineLevel="0" collapsed="false">
      <c r="D94" s="48"/>
    </row>
    <row r="95" customFormat="false" ht="14.25" hidden="false" customHeight="false" outlineLevel="0" collapsed="false">
      <c r="C95" s="213" t="n">
        <f aca="false">SUM(C72:C93)</f>
        <v>1674288.33888207</v>
      </c>
      <c r="D95" s="514" t="n">
        <f aca="false">SUM(D72:D93)</f>
        <v>42740</v>
      </c>
      <c r="E95" s="514" t="n">
        <f aca="false">SUM(E72:E93)</f>
        <v>11970</v>
      </c>
      <c r="F95" s="514" t="n">
        <f aca="false">SUM(F72:F93)</f>
        <v>2925</v>
      </c>
      <c r="G95" s="514" t="n">
        <f aca="false">SUM(G72:G93)</f>
        <v>0</v>
      </c>
      <c r="H95" s="514" t="n">
        <f aca="false">SUM(H72:H93)</f>
        <v>2175</v>
      </c>
      <c r="I95" s="514" t="n">
        <f aca="false">SUM(I72:I93)</f>
        <v>4325</v>
      </c>
      <c r="J95" s="514" t="n">
        <f aca="false">SUM(J72:J93)</f>
        <v>2175</v>
      </c>
      <c r="K95" s="514" t="n">
        <f aca="false">SUM(K72:K93)</f>
        <v>17935</v>
      </c>
      <c r="L95" s="514" t="n">
        <f aca="false">SUM(L72:L93)</f>
        <v>84245</v>
      </c>
      <c r="M95" s="514" t="n">
        <f aca="false">SUM(M72:M93)</f>
        <v>2336314.45</v>
      </c>
      <c r="O95" s="514" t="n">
        <f aca="false">SUM(O72:O93)</f>
        <v>2565025.141</v>
      </c>
      <c r="P95" s="2123" t="n">
        <f aca="false">SUM(P72:P93)</f>
        <v>228710.691</v>
      </c>
    </row>
  </sheetData>
  <autoFilter ref="A2:O65"/>
  <mergeCells count="3">
    <mergeCell ref="A1:O1"/>
    <mergeCell ref="A69:F69"/>
    <mergeCell ref="D70:L70"/>
  </mergeCells>
  <printOptions headings="false" gridLines="false" gridLinesSet="true" horizontalCentered="false" verticalCentered="false"/>
  <pageMargins left="0.118055555555556" right="0.118055555555556" top="0.7875" bottom="0.393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AD30"/>
  <sheetViews>
    <sheetView showFormulas="false" showGridLines="true" showRowColHeaders="true" showZeros="true" rightToLeft="false" tabSelected="false" showOutlineSymbols="true" defaultGridColor="true" view="normal" topLeftCell="G5" colorId="64" zoomScale="80" zoomScaleNormal="80" zoomScalePageLayoutView="100" workbookViewId="0">
      <selection pane="topLeft" activeCell="V24" activeCellId="0" sqref="V24"/>
    </sheetView>
  </sheetViews>
  <sheetFormatPr defaultColWidth="9.18359375" defaultRowHeight="14.25" zeroHeight="false" outlineLevelRow="0" outlineLevelCol="0"/>
  <cols>
    <col collapsed="false" customWidth="true" hidden="false" outlineLevel="0" max="3" min="1" style="44" width="11.54"/>
    <col collapsed="false" customWidth="true" hidden="false" outlineLevel="0" max="5" min="4" style="44" width="11.73"/>
    <col collapsed="false" customWidth="true" hidden="false" outlineLevel="0" max="6" min="6" style="44" width="12.27"/>
    <col collapsed="false" customWidth="true" hidden="false" outlineLevel="0" max="7" min="7" style="44" width="10.73"/>
    <col collapsed="false" customWidth="true" hidden="false" outlineLevel="0" max="8" min="8" style="44" width="10.54"/>
    <col collapsed="false" customWidth="true" hidden="false" outlineLevel="0" max="9" min="9" style="44" width="11.27"/>
    <col collapsed="false" customWidth="true" hidden="false" outlineLevel="0" max="10" min="10" style="44" width="10.45"/>
    <col collapsed="false" customWidth="true" hidden="false" outlineLevel="0" max="11" min="11" style="44" width="12"/>
    <col collapsed="false" customWidth="true" hidden="false" outlineLevel="0" max="13" min="12" style="44" width="11.45"/>
    <col collapsed="false" customWidth="true" hidden="false" outlineLevel="0" max="14" min="14" style="44" width="17.54"/>
    <col collapsed="false" customWidth="true" hidden="false" outlineLevel="0" max="15" min="15" style="44" width="12.09"/>
    <col collapsed="false" customWidth="true" hidden="false" outlineLevel="0" max="16" min="16" style="44" width="12.54"/>
    <col collapsed="false" customWidth="true" hidden="false" outlineLevel="0" max="17" min="17" style="44" width="11.54"/>
    <col collapsed="false" customWidth="true" hidden="false" outlineLevel="0" max="18" min="18" style="44" width="16.82"/>
    <col collapsed="false" customWidth="true" hidden="false" outlineLevel="0" max="19" min="19" style="44" width="11.82"/>
    <col collapsed="false" customWidth="true" hidden="false" outlineLevel="0" max="20" min="20" style="44" width="13.09"/>
    <col collapsed="false" customWidth="true" hidden="false" outlineLevel="0" max="21" min="21" style="44" width="17.27"/>
    <col collapsed="false" customWidth="true" hidden="false" outlineLevel="0" max="22" min="22" style="44" width="12.27"/>
    <col collapsed="false" customWidth="true" hidden="false" outlineLevel="0" max="23" min="23" style="44" width="9.54"/>
    <col collapsed="false" customWidth="true" hidden="false" outlineLevel="0" max="24" min="24" style="44" width="16.54"/>
    <col collapsed="false" customWidth="true" hidden="false" outlineLevel="0" max="25" min="25" style="44" width="16.18"/>
    <col collapsed="false" customWidth="true" hidden="false" outlineLevel="0" max="26" min="26" style="44" width="16.82"/>
    <col collapsed="false" customWidth="true" hidden="false" outlineLevel="0" max="27" min="27" style="44" width="16.27"/>
    <col collapsed="false" customWidth="true" hidden="false" outlineLevel="0" max="29" min="28" style="44" width="16.82"/>
    <col collapsed="false" customWidth="false" hidden="false" outlineLevel="0" max="16384" min="30" style="44" width="9.18"/>
  </cols>
  <sheetData>
    <row r="1" customFormat="false" ht="20.25" hidden="false" customHeight="true" outlineLevel="0" collapsed="false">
      <c r="A1" s="2124" t="s">
        <v>3638</v>
      </c>
      <c r="B1" s="2124"/>
      <c r="C1" s="2124"/>
      <c r="D1" s="2124"/>
      <c r="E1" s="2124"/>
      <c r="F1" s="2124"/>
      <c r="G1" s="2124"/>
      <c r="H1" s="2124"/>
      <c r="I1" s="2124"/>
      <c r="J1" s="2124"/>
      <c r="K1" s="2124"/>
      <c r="L1" s="2124"/>
      <c r="M1" s="2124"/>
      <c r="N1" s="2124"/>
      <c r="O1" s="2124"/>
      <c r="P1" s="2124"/>
      <c r="Q1" s="2124"/>
      <c r="R1" s="2124"/>
      <c r="S1" s="2124"/>
      <c r="T1" s="2124"/>
      <c r="U1" s="2124"/>
      <c r="V1" s="2124"/>
      <c r="W1" s="2124"/>
      <c r="X1" s="2124"/>
      <c r="Y1" s="2124"/>
      <c r="Z1" s="2124"/>
      <c r="AA1" s="2124"/>
      <c r="AB1" s="2124"/>
      <c r="AC1" s="2124"/>
      <c r="AD1" s="2124"/>
    </row>
    <row r="2" customFormat="false" ht="15" hidden="false" customHeight="true" outlineLevel="0" collapsed="false">
      <c r="A2" s="2125"/>
      <c r="B2" s="2126" t="s">
        <v>3639</v>
      </c>
      <c r="C2" s="2126"/>
      <c r="D2" s="2126" t="s">
        <v>3640</v>
      </c>
      <c r="E2" s="2126"/>
      <c r="F2" s="2126"/>
      <c r="G2" s="2126"/>
      <c r="H2" s="2126"/>
      <c r="I2" s="2126"/>
      <c r="J2" s="2126"/>
      <c r="K2" s="2127"/>
      <c r="L2" s="2127"/>
      <c r="M2" s="2127"/>
      <c r="N2" s="2127"/>
      <c r="O2" s="2127"/>
      <c r="P2" s="2127"/>
      <c r="Q2" s="2127"/>
      <c r="R2" s="2127"/>
      <c r="S2" s="2127"/>
      <c r="T2" s="2127"/>
      <c r="U2" s="2127"/>
      <c r="V2" s="2128"/>
      <c r="W2" s="2129"/>
      <c r="Z2" s="2129"/>
      <c r="AA2" s="2129"/>
      <c r="AB2" s="2129"/>
    </row>
    <row r="3" customFormat="false" ht="46.25" hidden="false" customHeight="false" outlineLevel="0" collapsed="false">
      <c r="A3" s="2130"/>
      <c r="B3" s="2131" t="s">
        <v>3641</v>
      </c>
      <c r="C3" s="2131" t="s">
        <v>3642</v>
      </c>
      <c r="D3" s="2126" t="s">
        <v>3643</v>
      </c>
      <c r="E3" s="2126" t="s">
        <v>3644</v>
      </c>
      <c r="F3" s="2126" t="s">
        <v>3645</v>
      </c>
      <c r="G3" s="2126" t="s">
        <v>3297</v>
      </c>
      <c r="H3" s="2126" t="s">
        <v>3299</v>
      </c>
      <c r="I3" s="2126" t="s">
        <v>3298</v>
      </c>
      <c r="J3" s="2126" t="s">
        <v>3300</v>
      </c>
      <c r="K3" s="2132" t="s">
        <v>1675</v>
      </c>
      <c r="L3" s="2131" t="s">
        <v>3646</v>
      </c>
      <c r="M3" s="2133" t="s">
        <v>4</v>
      </c>
      <c r="N3" s="2134" t="s">
        <v>1648</v>
      </c>
      <c r="O3" s="2135" t="s">
        <v>3647</v>
      </c>
      <c r="P3" s="2136" t="s">
        <v>3648</v>
      </c>
      <c r="Q3" s="2137" t="s">
        <v>4</v>
      </c>
      <c r="R3" s="2134" t="s">
        <v>1648</v>
      </c>
      <c r="S3" s="2138" t="s">
        <v>3649</v>
      </c>
      <c r="T3" s="2137" t="s">
        <v>4</v>
      </c>
      <c r="U3" s="2139" t="s">
        <v>1648</v>
      </c>
      <c r="V3" s="2140" t="s">
        <v>3650</v>
      </c>
      <c r="W3" s="2141" t="s">
        <v>3651</v>
      </c>
      <c r="X3" s="2142" t="s">
        <v>3643</v>
      </c>
      <c r="Y3" s="2142" t="s">
        <v>3652</v>
      </c>
      <c r="Z3" s="2143" t="s">
        <v>3653</v>
      </c>
      <c r="AA3" s="2143" t="s">
        <v>2149</v>
      </c>
      <c r="AB3" s="2143" t="s">
        <v>3654</v>
      </c>
      <c r="AC3" s="2142" t="s">
        <v>1675</v>
      </c>
    </row>
    <row r="4" customFormat="false" ht="14.25" hidden="false" customHeight="false" outlineLevel="0" collapsed="false">
      <c r="A4" s="2144" t="s">
        <v>5</v>
      </c>
      <c r="B4" s="2145" t="n">
        <f aca="false">LOT!D3327</f>
        <v>179385.2321</v>
      </c>
      <c r="C4" s="2146" t="n">
        <f aca="false">'P.L'!M72</f>
        <v>167628.75</v>
      </c>
      <c r="D4" s="2146" t="n">
        <f aca="false">NC!D4-NC!E4</f>
        <v>-0.197000000305707</v>
      </c>
      <c r="E4" s="2146"/>
      <c r="F4" s="2146" t="n">
        <f aca="false">NC!E4</f>
        <v>203385.6</v>
      </c>
      <c r="G4" s="2147" t="n">
        <f aca="false">BRU!G2522</f>
        <v>0</v>
      </c>
      <c r="H4" s="2147" t="n">
        <f aca="false">BRU!I2522</f>
        <v>15314.4</v>
      </c>
      <c r="I4" s="2147" t="n">
        <f aca="false">BRU!H2522</f>
        <v>5144.4</v>
      </c>
      <c r="J4" s="2147" t="n">
        <f aca="false">BRU!K2522</f>
        <v>0</v>
      </c>
      <c r="K4" s="2146" t="n">
        <f aca="false">B4+D4+F4+G4+H4+I4+J4+E4</f>
        <v>403229.4351</v>
      </c>
      <c r="L4" s="2148" t="n">
        <f aca="false">C4+D4</f>
        <v>167628.553</v>
      </c>
      <c r="M4" s="2149" t="n">
        <f aca="false">T4</f>
        <v>0.413617915212503</v>
      </c>
      <c r="N4" s="2150" t="n">
        <f aca="false">L4*M4</f>
        <v>69334.1726219484</v>
      </c>
      <c r="O4" s="2145" t="n">
        <f aca="false">B4+D4</f>
        <v>179385.0351</v>
      </c>
      <c r="P4" s="2151" t="n">
        <f aca="false">'SAL.(3)'!N6</f>
        <v>10412.55</v>
      </c>
      <c r="Q4" s="2149" t="n">
        <f aca="false">T4</f>
        <v>0.413617915212503</v>
      </c>
      <c r="R4" s="2150" t="n">
        <f aca="false">P4*Q4</f>
        <v>4306.81722304593</v>
      </c>
      <c r="S4" s="2152" t="n">
        <f aca="false">L4-P4</f>
        <v>157216.003</v>
      </c>
      <c r="T4" s="2149" t="n">
        <f aca="false">'SAL.(3)'!U6</f>
        <v>0.413617915212503</v>
      </c>
      <c r="U4" s="2153" t="n">
        <f aca="false">S4*T4</f>
        <v>65027.3553989025</v>
      </c>
      <c r="V4" s="2154" t="n">
        <f aca="false">O4-P4</f>
        <v>168972.4851</v>
      </c>
      <c r="W4" s="2155" t="n">
        <f aca="false">'SAL. '!C63</f>
        <v>0.25</v>
      </c>
      <c r="X4" s="2156" t="n">
        <f aca="false">D4*W4</f>
        <v>-0.0492500000764267</v>
      </c>
      <c r="Y4" s="2156" t="n">
        <f aca="false">F4*W4</f>
        <v>50846.4</v>
      </c>
      <c r="Z4" s="2156" t="n">
        <f aca="false">'P.L'!C72</f>
        <v>72730.9940277486</v>
      </c>
      <c r="AA4" s="2156" t="n">
        <f aca="false">'P.B'!C175</f>
        <v>170860.137213681</v>
      </c>
      <c r="AB4" s="2156" t="n">
        <f aca="false">(G4+H4+I4+J4)*W4</f>
        <v>5114.7</v>
      </c>
      <c r="AC4" s="2157" t="n">
        <f aca="false">X4+Y4+Z4+AA4+AB4</f>
        <v>299552.18199143</v>
      </c>
    </row>
    <row r="5" customFormat="false" ht="14.25" hidden="false" customHeight="false" outlineLevel="0" collapsed="false">
      <c r="A5" s="2144" t="s">
        <v>6</v>
      </c>
      <c r="B5" s="2147" t="n">
        <f aca="false">LOT!D3328</f>
        <v>291044.1095</v>
      </c>
      <c r="C5" s="2146" t="n">
        <f aca="false">'P.L'!M73</f>
        <v>302700</v>
      </c>
      <c r="D5" s="2146" t="n">
        <f aca="false">NC!D5-NC!E5</f>
        <v>-0.199300000211224</v>
      </c>
      <c r="E5" s="2146"/>
      <c r="F5" s="2146" t="n">
        <f aca="false">NC!E5</f>
        <v>759360</v>
      </c>
      <c r="G5" s="2147" t="n">
        <f aca="false">BRU!G2523</f>
        <v>15490</v>
      </c>
      <c r="H5" s="2147" t="n">
        <f aca="false">BRU!I2523</f>
        <v>0</v>
      </c>
      <c r="I5" s="2147" t="n">
        <f aca="false">BRU!H2523</f>
        <v>0</v>
      </c>
      <c r="J5" s="2147" t="n">
        <f aca="false">BRU!K2523</f>
        <v>728</v>
      </c>
      <c r="K5" s="2146" t="n">
        <f aca="false">B5+D5+F5+G5+H5+I5+J5+E5</f>
        <v>1066621.9102</v>
      </c>
      <c r="L5" s="2148" t="n">
        <f aca="false">C5+D5</f>
        <v>302699.8007</v>
      </c>
      <c r="M5" s="2149" t="n">
        <f aca="false">T5</f>
        <v>0.330003592277479</v>
      </c>
      <c r="N5" s="2150" t="n">
        <f aca="false">L5*M5</f>
        <v>99892.0216126769</v>
      </c>
      <c r="O5" s="2147" t="n">
        <f aca="false">B5+D5</f>
        <v>291043.9102</v>
      </c>
      <c r="P5" s="2151" t="n">
        <f aca="false">'SAL.(3)'!N7</f>
        <v>661350</v>
      </c>
      <c r="Q5" s="2149" t="n">
        <f aca="false">T5</f>
        <v>0.330003592277479</v>
      </c>
      <c r="R5" s="2150" t="n">
        <f aca="false">P5*Q5</f>
        <v>218247.875752711</v>
      </c>
      <c r="S5" s="2152" t="n">
        <f aca="false">L5-P5</f>
        <v>-358650.1993</v>
      </c>
      <c r="T5" s="2149" t="n">
        <f aca="false">'SAL.(3)'!U7</f>
        <v>0.330003592277479</v>
      </c>
      <c r="U5" s="2158" t="n">
        <f aca="false">S5*T5</f>
        <v>-118355.854140034</v>
      </c>
      <c r="V5" s="2159" t="n">
        <f aca="false">O5-P5</f>
        <v>-370306.0898</v>
      </c>
      <c r="W5" s="2155" t="n">
        <f aca="false">'SAL. '!C64</f>
        <v>0.27</v>
      </c>
      <c r="X5" s="2156" t="n">
        <f aca="false">D5*W5</f>
        <v>-0.0538110000570305</v>
      </c>
      <c r="Y5" s="2156" t="n">
        <f aca="false">F5*W5</f>
        <v>205027.2</v>
      </c>
      <c r="Z5" s="2156" t="n">
        <f aca="false">'P.L'!C73</f>
        <v>91332.4439257929</v>
      </c>
      <c r="AA5" s="2156" t="n">
        <f aca="false">'P.B'!C176</f>
        <v>163600.042408216</v>
      </c>
      <c r="AB5" s="2156" t="n">
        <f aca="false">(G5+H5+I5+J5)*W5</f>
        <v>4378.86</v>
      </c>
      <c r="AC5" s="2157" t="n">
        <f aca="false">X5+Y5+Z5+AA5+AB5</f>
        <v>464338.492523009</v>
      </c>
    </row>
    <row r="6" customFormat="false" ht="14.25" hidden="false" customHeight="false" outlineLevel="0" collapsed="false">
      <c r="A6" s="2144" t="s">
        <v>7</v>
      </c>
      <c r="B6" s="2147" t="n">
        <f aca="false">LOT!D3329</f>
        <v>454979.4585</v>
      </c>
      <c r="C6" s="2146" t="n">
        <f aca="false">'P.L'!M74</f>
        <v>453868.65</v>
      </c>
      <c r="D6" s="2146" t="n">
        <f aca="false">NC!D6-NC!E6</f>
        <v>362086.0015</v>
      </c>
      <c r="E6" s="2146"/>
      <c r="F6" s="2146" t="n">
        <f aca="false">NC!E6</f>
        <v>141873.4</v>
      </c>
      <c r="G6" s="2147" t="n">
        <f aca="false">BRU!G2524</f>
        <v>40205</v>
      </c>
      <c r="H6" s="2147" t="n">
        <f aca="false">BRU!I2524</f>
        <v>42533.6</v>
      </c>
      <c r="I6" s="2147" t="n">
        <f aca="false">BRU!H2524</f>
        <v>9919.8</v>
      </c>
      <c r="J6" s="2147" t="n">
        <f aca="false">BRU!K2524</f>
        <v>0</v>
      </c>
      <c r="K6" s="2146" t="n">
        <f aca="false">B6+D6+F6+G6+H6+I6+J6+E6</f>
        <v>1051597.26</v>
      </c>
      <c r="L6" s="2148" t="n">
        <f aca="false">C6+D6</f>
        <v>815954.6515</v>
      </c>
      <c r="M6" s="2149" t="n">
        <f aca="false">T6</f>
        <v>0.473303869956965</v>
      </c>
      <c r="N6" s="2150" t="n">
        <f aca="false">L6*M6</f>
        <v>386194.494264336</v>
      </c>
      <c r="O6" s="2147" t="n">
        <f aca="false">B6+D6</f>
        <v>817065.46</v>
      </c>
      <c r="P6" s="2151" t="n">
        <f aca="false">'SAL.(3)'!N8</f>
        <v>305434.8</v>
      </c>
      <c r="Q6" s="2149" t="n">
        <f aca="false">T6</f>
        <v>0.473303869956965</v>
      </c>
      <c r="R6" s="2150" t="n">
        <f aca="false">P6*Q6</f>
        <v>144563.472859532</v>
      </c>
      <c r="S6" s="2152" t="n">
        <f aca="false">L6-P6</f>
        <v>510519.8515</v>
      </c>
      <c r="T6" s="2149" t="n">
        <f aca="false">'SAL.(3)'!U8</f>
        <v>0.473303869956965</v>
      </c>
      <c r="U6" s="2153" t="n">
        <f aca="false">S6*T6</f>
        <v>241631.021404805</v>
      </c>
      <c r="V6" s="2154" t="n">
        <f aca="false">O6-P6</f>
        <v>511630.66</v>
      </c>
      <c r="W6" s="2155" t="n">
        <f aca="false">'SAL. '!C65</f>
        <v>0.32</v>
      </c>
      <c r="X6" s="2156" t="n">
        <f aca="false">D6*W6</f>
        <v>115867.52048</v>
      </c>
      <c r="Y6" s="2156" t="n">
        <f aca="false">F6*W6</f>
        <v>45399.488</v>
      </c>
      <c r="Z6" s="2156" t="n">
        <f aca="false">'P.L'!C74</f>
        <v>182027.107854222</v>
      </c>
      <c r="AA6" s="2156" t="n">
        <f aca="false">'P.B'!C177</f>
        <v>164240.310470481</v>
      </c>
      <c r="AB6" s="2156" t="n">
        <f aca="false">(G6+H6+I6+J6)*W6</f>
        <v>29650.688</v>
      </c>
      <c r="AC6" s="2157" t="n">
        <f aca="false">X6+Y6+Z6+AA6+AB6</f>
        <v>537185.114804703</v>
      </c>
    </row>
    <row r="7" customFormat="false" ht="14.25" hidden="false" customHeight="false" outlineLevel="0" collapsed="false">
      <c r="A7" s="2144" t="s">
        <v>8</v>
      </c>
      <c r="B7" s="2147" t="n">
        <f aca="false">LOT!D3330</f>
        <v>1039512.933</v>
      </c>
      <c r="C7" s="2146" t="n">
        <f aca="false">'P.L'!M75</f>
        <v>856725</v>
      </c>
      <c r="D7" s="2146" t="n">
        <f aca="false">NC!D7-NC!E7</f>
        <v>50721.0003000002</v>
      </c>
      <c r="E7" s="2146"/>
      <c r="F7" s="2146" t="n">
        <f aca="false">NC!E7</f>
        <v>140460.3</v>
      </c>
      <c r="G7" s="2147" t="n">
        <f aca="false">BRU!G2525</f>
        <v>0</v>
      </c>
      <c r="H7" s="2147" t="n">
        <f aca="false">BRU!I2525</f>
        <v>2464</v>
      </c>
      <c r="I7" s="2147" t="n">
        <f aca="false">BRU!H2525</f>
        <v>0</v>
      </c>
      <c r="J7" s="2147" t="n">
        <f aca="false">BRU!K2525</f>
        <v>0</v>
      </c>
      <c r="K7" s="2146" t="n">
        <f aca="false">B7+D7+F7+G7+H7+I7+J7+E7</f>
        <v>1233158.2333</v>
      </c>
      <c r="L7" s="2148" t="n">
        <f aca="false">C7+D7</f>
        <v>907446.0003</v>
      </c>
      <c r="M7" s="2149" t="n">
        <f aca="false">T7</f>
        <v>0.447889191671956</v>
      </c>
      <c r="N7" s="2150" t="n">
        <f aca="false">L7*M7</f>
        <v>406435.255560316</v>
      </c>
      <c r="O7" s="2147" t="n">
        <f aca="false">B7+D7</f>
        <v>1090233.9333</v>
      </c>
      <c r="P7" s="2151" t="n">
        <f aca="false">'SAL.(3)'!N9</f>
        <v>14100</v>
      </c>
      <c r="Q7" s="2149" t="n">
        <f aca="false">T7</f>
        <v>0.447889191671956</v>
      </c>
      <c r="R7" s="2150" t="n">
        <f aca="false">P7*Q7</f>
        <v>6315.23760257458</v>
      </c>
      <c r="S7" s="2152" t="n">
        <f aca="false">L7-P7</f>
        <v>893346.0003</v>
      </c>
      <c r="T7" s="2149" t="n">
        <f aca="false">'SAL.(3)'!U9</f>
        <v>0.447889191671956</v>
      </c>
      <c r="U7" s="2153" t="n">
        <f aca="false">S7*T7</f>
        <v>400120.017957742</v>
      </c>
      <c r="V7" s="2154" t="n">
        <f aca="false">O7-P7</f>
        <v>1076133.9333</v>
      </c>
      <c r="W7" s="2155" t="n">
        <f aca="false">'SAL. '!C66</f>
        <v>0.19</v>
      </c>
      <c r="X7" s="2156" t="n">
        <f aca="false">D7*W7</f>
        <v>9636.99005700003</v>
      </c>
      <c r="Y7" s="2156" t="n">
        <f aca="false">F7*W7</f>
        <v>26687.457</v>
      </c>
      <c r="Z7" s="2156" t="n">
        <f aca="false">'P.L'!C75</f>
        <v>459001.574280466</v>
      </c>
      <c r="AA7" s="2156" t="n">
        <f aca="false">'P.B'!C178</f>
        <v>72432.6669102138</v>
      </c>
      <c r="AB7" s="2156" t="n">
        <f aca="false">(G7+H7+I7+J7)*W7</f>
        <v>468.16</v>
      </c>
      <c r="AC7" s="2157" t="n">
        <f aca="false">X7+Y7+Z7+AA7+AB7</f>
        <v>568226.84824768</v>
      </c>
    </row>
    <row r="8" customFormat="false" ht="14.25" hidden="false" customHeight="false" outlineLevel="0" collapsed="false">
      <c r="A8" s="2144" t="s">
        <v>9</v>
      </c>
      <c r="B8" s="2147" t="n">
        <f aca="false">LOT!D3331</f>
        <v>0</v>
      </c>
      <c r="C8" s="2146" t="n">
        <f aca="false">'P.L'!M76</f>
        <v>0</v>
      </c>
      <c r="D8" s="2146" t="n">
        <f aca="false">NC!D8-NC!E8</f>
        <v>0</v>
      </c>
      <c r="E8" s="2146"/>
      <c r="F8" s="2146" t="n">
        <f aca="false">NC!E8</f>
        <v>0</v>
      </c>
      <c r="G8" s="2147" t="n">
        <f aca="false">BRU!G2526</f>
        <v>0</v>
      </c>
      <c r="H8" s="2147" t="n">
        <f aca="false">BRU!I2526</f>
        <v>0</v>
      </c>
      <c r="I8" s="2147" t="n">
        <f aca="false">BRU!H2526</f>
        <v>0</v>
      </c>
      <c r="J8" s="2147" t="n">
        <f aca="false">BRU!K2526</f>
        <v>0</v>
      </c>
      <c r="K8" s="2146" t="n">
        <f aca="false">B8+D8+F8+G8+H8+I8+J8+E8</f>
        <v>0</v>
      </c>
      <c r="L8" s="2148" t="n">
        <f aca="false">C8+D8</f>
        <v>0</v>
      </c>
      <c r="M8" s="2149" t="n">
        <f aca="false">T8</f>
        <v>0</v>
      </c>
      <c r="N8" s="2150" t="n">
        <f aca="false">L8*M8</f>
        <v>0</v>
      </c>
      <c r="O8" s="2147" t="n">
        <f aca="false">B8+D8</f>
        <v>0</v>
      </c>
      <c r="P8" s="2151" t="n">
        <f aca="false">'SAL.(3)'!N10</f>
        <v>0</v>
      </c>
      <c r="Q8" s="2149" t="n">
        <f aca="false">T8</f>
        <v>0</v>
      </c>
      <c r="R8" s="2150" t="n">
        <f aca="false">P8*Q8</f>
        <v>0</v>
      </c>
      <c r="S8" s="2152" t="n">
        <f aca="false">L8-P8</f>
        <v>0</v>
      </c>
      <c r="T8" s="2149" t="n">
        <f aca="false">'SAL.(3)'!U10</f>
        <v>0</v>
      </c>
      <c r="U8" s="2153" t="n">
        <f aca="false">S8*T8</f>
        <v>0</v>
      </c>
      <c r="V8" s="2159" t="n">
        <f aca="false">O8-P8</f>
        <v>0</v>
      </c>
      <c r="W8" s="2155" t="n">
        <f aca="false">'SAL. '!C67</f>
        <v>0.24</v>
      </c>
      <c r="X8" s="2156" t="n">
        <f aca="false">D8*W8</f>
        <v>0</v>
      </c>
      <c r="Y8" s="2156" t="n">
        <f aca="false">F8*W8</f>
        <v>0</v>
      </c>
      <c r="Z8" s="2156" t="n">
        <f aca="false">'P.L'!C76</f>
        <v>0</v>
      </c>
      <c r="AA8" s="2156" t="n">
        <f aca="false">'P.B'!C179</f>
        <v>0</v>
      </c>
      <c r="AB8" s="2156" t="n">
        <f aca="false">(G8+H8+I8+J8)*W8</f>
        <v>0</v>
      </c>
      <c r="AC8" s="2157" t="n">
        <f aca="false">X8+Y8+Z8+AA8+AB8</f>
        <v>0</v>
      </c>
    </row>
    <row r="9" customFormat="false" ht="14.25" hidden="false" customHeight="false" outlineLevel="0" collapsed="false">
      <c r="A9" s="2144" t="s">
        <v>10</v>
      </c>
      <c r="B9" s="2147" t="n">
        <f aca="false">LOT!D3332</f>
        <v>198034.94604313</v>
      </c>
      <c r="C9" s="2146" t="n">
        <f aca="false">'P.L'!M77</f>
        <v>182838</v>
      </c>
      <c r="D9" s="2146" t="n">
        <f aca="false">NC!D9-NC!E9</f>
        <v>4663011.6245</v>
      </c>
      <c r="E9" s="2146"/>
      <c r="F9" s="2146" t="n">
        <f aca="false">NC!E9</f>
        <v>9033383.9</v>
      </c>
      <c r="G9" s="2147" t="n">
        <f aca="false">BRU!G2527</f>
        <v>43071.6</v>
      </c>
      <c r="H9" s="2147" t="n">
        <f aca="false">BRU!I2527</f>
        <v>587417.5</v>
      </c>
      <c r="I9" s="2147" t="n">
        <f aca="false">BRU!H2527</f>
        <v>709705.1</v>
      </c>
      <c r="J9" s="2147" t="n">
        <f aca="false">BRU!K2527</f>
        <v>0</v>
      </c>
      <c r="K9" s="2146" t="n">
        <f aca="false">B9+D9+F9+G9+H9+I9+J9+E9</f>
        <v>15234624.6705431</v>
      </c>
      <c r="L9" s="2148" t="n">
        <f aca="false">C9+D9</f>
        <v>4845849.6245</v>
      </c>
      <c r="M9" s="2149" t="n">
        <f aca="false">T9</f>
        <v>0.18547624378788</v>
      </c>
      <c r="N9" s="2150" t="n">
        <f aca="false">L9*M9</f>
        <v>898789.98631317</v>
      </c>
      <c r="O9" s="2147" t="n">
        <f aca="false">B9+D9</f>
        <v>4861046.57054313</v>
      </c>
      <c r="P9" s="2151" t="n">
        <f aca="false">'SAL.(3)'!N11</f>
        <v>35310388.5</v>
      </c>
      <c r="Q9" s="2149" t="n">
        <f aca="false">T9</f>
        <v>0.18547624378788</v>
      </c>
      <c r="R9" s="2150" t="n">
        <f aca="false">P9*Q9</f>
        <v>6549238.22567077</v>
      </c>
      <c r="S9" s="2152" t="n">
        <f aca="false">L9-P9</f>
        <v>-30464538.8755</v>
      </c>
      <c r="T9" s="2149" t="n">
        <f aca="false">'SAL.(3)'!U11</f>
        <v>0.18547624378788</v>
      </c>
      <c r="U9" s="2158" t="n">
        <f aca="false">S9*T9</f>
        <v>-5650448.2393576</v>
      </c>
      <c r="V9" s="2159" t="n">
        <f aca="false">O9-P9</f>
        <v>-30449341.9294569</v>
      </c>
      <c r="W9" s="2155" t="n">
        <f aca="false">'SAL. '!C68</f>
        <v>0.09</v>
      </c>
      <c r="X9" s="2156" t="n">
        <f aca="false">D9*W9</f>
        <v>419671.046205</v>
      </c>
      <c r="Y9" s="2156" t="n">
        <f aca="false">F9*W9</f>
        <v>813004.551</v>
      </c>
      <c r="Z9" s="2156" t="n">
        <f aca="false">'P.L'!C77</f>
        <v>61101.3512198513</v>
      </c>
      <c r="AA9" s="2156" t="n">
        <f aca="false">'P.B'!C180</f>
        <v>1430059.90273074</v>
      </c>
      <c r="AB9" s="2156" t="n">
        <f aca="false">(G9+H9+I9+J9)*W9</f>
        <v>120617.478</v>
      </c>
      <c r="AC9" s="2157" t="n">
        <f aca="false">X9+Y9+Z9+AA9+AB9</f>
        <v>2844454.32915559</v>
      </c>
    </row>
    <row r="10" customFormat="false" ht="14.25" hidden="false" customHeight="false" outlineLevel="0" collapsed="false">
      <c r="A10" s="2144" t="s">
        <v>11</v>
      </c>
      <c r="B10" s="2147" t="n">
        <f aca="false">LOT!D3333</f>
        <v>73153.8335</v>
      </c>
      <c r="C10" s="2146" t="n">
        <f aca="false">'P.L'!M78</f>
        <v>88440</v>
      </c>
      <c r="D10" s="2146" t="n">
        <f aca="false">NC!D10-NC!E10</f>
        <v>0.00200000000768341</v>
      </c>
      <c r="E10" s="2146"/>
      <c r="F10" s="2146" t="n">
        <f aca="false">NC!E10</f>
        <v>213229.26</v>
      </c>
      <c r="G10" s="2147" t="n">
        <f aca="false">BRU!G2528</f>
        <v>0</v>
      </c>
      <c r="H10" s="2147" t="n">
        <f aca="false">BRU!I2528</f>
        <v>74027.864</v>
      </c>
      <c r="I10" s="2147" t="n">
        <f aca="false">BRU!H2528</f>
        <v>0</v>
      </c>
      <c r="J10" s="2147" t="n">
        <f aca="false">BRU!K2528</f>
        <v>0</v>
      </c>
      <c r="K10" s="2146" t="n">
        <f aca="false">B10+D10+F10+G10+H10+I10+J10+E10</f>
        <v>360410.9595</v>
      </c>
      <c r="L10" s="2148" t="n">
        <f aca="false">C10+D10</f>
        <v>88440.002</v>
      </c>
      <c r="M10" s="2149" t="n">
        <f aca="false">T10</f>
        <v>3.80622112578537</v>
      </c>
      <c r="N10" s="2150" t="n">
        <f aca="false">L10*M10</f>
        <v>336622.2039769</v>
      </c>
      <c r="O10" s="2147" t="n">
        <f aca="false">B10+D10</f>
        <v>73153.8355</v>
      </c>
      <c r="P10" s="2151" t="n">
        <f aca="false">'SAL.(3)'!N12</f>
        <v>0</v>
      </c>
      <c r="Q10" s="2149" t="n">
        <f aca="false">T10</f>
        <v>3.80622112578537</v>
      </c>
      <c r="R10" s="2150" t="n">
        <f aca="false">P10*Q10</f>
        <v>0</v>
      </c>
      <c r="S10" s="2152" t="n">
        <f aca="false">L10-P10</f>
        <v>88440.002</v>
      </c>
      <c r="T10" s="2149" t="n">
        <f aca="false">'SAL.(3)'!U12</f>
        <v>3.80622112578537</v>
      </c>
      <c r="U10" s="2153" t="n">
        <f aca="false">S10*T10</f>
        <v>336622.2039769</v>
      </c>
      <c r="V10" s="2154" t="n">
        <f aca="false">O10-P10</f>
        <v>73153.8355</v>
      </c>
      <c r="W10" s="2155" t="n">
        <f aca="false">'SAL. '!C69</f>
        <v>2.5</v>
      </c>
      <c r="X10" s="2156" t="n">
        <f aca="false">D10*W10</f>
        <v>0.00500000001920853</v>
      </c>
      <c r="Y10" s="2156" t="n">
        <f aca="false">F10*W10</f>
        <v>533073.15</v>
      </c>
      <c r="Z10" s="2156" t="n">
        <f aca="false">'P.L'!C78</f>
        <v>278719.539251511</v>
      </c>
      <c r="AA10" s="2156" t="n">
        <f aca="false">'P.B'!C181</f>
        <v>949885.664324171</v>
      </c>
      <c r="AB10" s="2156" t="n">
        <f aca="false">(G10+H10+I10+J10)*W10</f>
        <v>185069.66</v>
      </c>
      <c r="AC10" s="2157" t="n">
        <f aca="false">X10+Y10+Z10+AA10+AB10</f>
        <v>1946748.01857568</v>
      </c>
    </row>
    <row r="11" customFormat="false" ht="14.25" hidden="false" customHeight="false" outlineLevel="0" collapsed="false">
      <c r="A11" s="2144" t="s">
        <v>12</v>
      </c>
      <c r="B11" s="2147" t="n">
        <f aca="false">LOT!D3334</f>
        <v>26301.5265</v>
      </c>
      <c r="C11" s="2146" t="n">
        <f aca="false">'P.L'!M79</f>
        <v>26730</v>
      </c>
      <c r="D11" s="2146" t="n">
        <f aca="false">NC!D11-NC!E11</f>
        <v>0.447599999955855</v>
      </c>
      <c r="E11" s="2146"/>
      <c r="F11" s="2146" t="n">
        <f aca="false">NC!E11</f>
        <v>630752</v>
      </c>
      <c r="G11" s="2147" t="n">
        <f aca="false">BRU!G2529</f>
        <v>22448.7</v>
      </c>
      <c r="H11" s="2147" t="n">
        <f aca="false">BRU!I2529</f>
        <v>120.6</v>
      </c>
      <c r="I11" s="2147" t="n">
        <f aca="false">BRU!H2529</f>
        <v>41005.4</v>
      </c>
      <c r="J11" s="2147" t="n">
        <f aca="false">BRU!K2529</f>
        <v>0</v>
      </c>
      <c r="K11" s="2146" t="n">
        <f aca="false">B11+D11+F11+G11+H11+I11+J11+E11</f>
        <v>720628.6741</v>
      </c>
      <c r="L11" s="2148" t="n">
        <f aca="false">C11+D11</f>
        <v>26730.4476</v>
      </c>
      <c r="M11" s="2149" t="n">
        <f aca="false">T11</f>
        <v>2.72587232531805</v>
      </c>
      <c r="N11" s="2150" t="n">
        <f aca="false">L11*M11</f>
        <v>72863.7873562041</v>
      </c>
      <c r="O11" s="2147" t="n">
        <f aca="false">B11+D11</f>
        <v>26301.9741</v>
      </c>
      <c r="P11" s="2151" t="n">
        <f aca="false">'SAL.(3)'!N13</f>
        <v>20520</v>
      </c>
      <c r="Q11" s="2149" t="n">
        <f aca="false">T11</f>
        <v>2.72587232531805</v>
      </c>
      <c r="R11" s="2150" t="n">
        <f aca="false">P11*Q11</f>
        <v>55934.9001155263</v>
      </c>
      <c r="S11" s="2152" t="n">
        <f aca="false">L11-P11</f>
        <v>6210.44759999996</v>
      </c>
      <c r="T11" s="2149" t="n">
        <f aca="false">'SAL.(3)'!U13</f>
        <v>2.72587232531805</v>
      </c>
      <c r="U11" s="2153" t="n">
        <f aca="false">S11*T11</f>
        <v>16928.8872406778</v>
      </c>
      <c r="V11" s="2154" t="n">
        <f aca="false">O11-P11</f>
        <v>5781.97409999996</v>
      </c>
      <c r="W11" s="2155" t="n">
        <f aca="false">'SAL. '!C70</f>
        <v>1.8</v>
      </c>
      <c r="X11" s="2156" t="n">
        <f aca="false">D11*W11</f>
        <v>0.80567999992054</v>
      </c>
      <c r="Y11" s="2156" t="n">
        <f aca="false">F11*W11</f>
        <v>1135353.6</v>
      </c>
      <c r="Z11" s="2156" t="n">
        <f aca="false">'P.L'!C79</f>
        <v>73237.876435037</v>
      </c>
      <c r="AA11" s="2156" t="n">
        <f aca="false">'P.B'!C182</f>
        <v>1441184.07736537</v>
      </c>
      <c r="AB11" s="2156" t="n">
        <f aca="false">(G11+H11+I11+J11)*W11</f>
        <v>114434.46</v>
      </c>
      <c r="AC11" s="2157" t="n">
        <f aca="false">X11+Y11+Z11+AA11+AB11</f>
        <v>2764210.8194804</v>
      </c>
    </row>
    <row r="12" customFormat="false" ht="14.25" hidden="false" customHeight="false" outlineLevel="0" collapsed="false">
      <c r="A12" s="2144" t="s">
        <v>13</v>
      </c>
      <c r="B12" s="2147" t="n">
        <f aca="false">LOT!D3335</f>
        <v>7238.51860000002</v>
      </c>
      <c r="C12" s="2146" t="n">
        <f aca="false">'P.L'!M80</f>
        <v>7087.5</v>
      </c>
      <c r="D12" s="2146" t="n">
        <f aca="false">NC!D12-NC!E12</f>
        <v>70688.7991999999</v>
      </c>
      <c r="E12" s="2146"/>
      <c r="F12" s="2146" t="n">
        <f aca="false">NC!E12</f>
        <v>0</v>
      </c>
      <c r="G12" s="2147" t="n">
        <f aca="false">BRU!G2530</f>
        <v>1587509.9604</v>
      </c>
      <c r="H12" s="2147" t="n">
        <f aca="false">BRU!I2530</f>
        <v>1613913.1</v>
      </c>
      <c r="I12" s="2147" t="n">
        <f aca="false">BRU!H2530</f>
        <v>0</v>
      </c>
      <c r="J12" s="2147" t="n">
        <f aca="false">BRU!K2530</f>
        <v>0</v>
      </c>
      <c r="K12" s="2146" t="n">
        <f aca="false">B12+D12+F12+G12+H12+I12+J12+E12</f>
        <v>3279350.3782</v>
      </c>
      <c r="L12" s="2148" t="n">
        <f aca="false">C12+D12</f>
        <v>77776.2991999999</v>
      </c>
      <c r="M12" s="2149" t="n">
        <f aca="false">T12</f>
        <v>0.430843140584599</v>
      </c>
      <c r="N12" s="2150" t="n">
        <f aca="false">L12*M12</f>
        <v>33509.3850103754</v>
      </c>
      <c r="O12" s="2147" t="n">
        <f aca="false">B12+D12</f>
        <v>77927.3177999999</v>
      </c>
      <c r="P12" s="2151" t="n">
        <f aca="false">'SAL.(3)'!N14</f>
        <v>379937.5</v>
      </c>
      <c r="Q12" s="2149" t="n">
        <f aca="false">T12</f>
        <v>0.430843140584599</v>
      </c>
      <c r="R12" s="2150" t="n">
        <f aca="false">P12*Q12</f>
        <v>163693.465725861</v>
      </c>
      <c r="S12" s="2152" t="n">
        <f aca="false">L12-P12</f>
        <v>-302161.2008</v>
      </c>
      <c r="T12" s="2149" t="n">
        <f aca="false">'SAL.(3)'!U14</f>
        <v>0.430843140584599</v>
      </c>
      <c r="U12" s="2158" t="n">
        <f aca="false">S12*T12</f>
        <v>-130184.080715486</v>
      </c>
      <c r="V12" s="2154" t="n">
        <f aca="false">O12-P12</f>
        <v>-302010.1822</v>
      </c>
      <c r="W12" s="2155" t="n">
        <f aca="false">'SAL. '!C71</f>
        <v>0.26</v>
      </c>
      <c r="X12" s="2156" t="n">
        <f aca="false">D12*W12</f>
        <v>18379.087792</v>
      </c>
      <c r="Y12" s="2156" t="n">
        <f aca="false">F12*W12</f>
        <v>0</v>
      </c>
      <c r="Z12" s="2156" t="n">
        <f aca="false">'P.L'!C80</f>
        <v>2107.52804566064</v>
      </c>
      <c r="AA12" s="2156" t="n">
        <f aca="false">'P.B'!C183</f>
        <v>14794.4619690204</v>
      </c>
      <c r="AB12" s="2156" t="n">
        <f aca="false">(G12+H12+I12+J12)*W12</f>
        <v>832369.995704</v>
      </c>
      <c r="AC12" s="2157" t="n">
        <f aca="false">X12+Y12+Z12+AA12+AB12</f>
        <v>867651.073510681</v>
      </c>
    </row>
    <row r="13" customFormat="false" ht="14.25" hidden="false" customHeight="false" outlineLevel="0" collapsed="false">
      <c r="A13" s="2144" t="s">
        <v>14</v>
      </c>
      <c r="B13" s="2147" t="n">
        <f aca="false">LOT!D3336</f>
        <v>0</v>
      </c>
      <c r="C13" s="2146" t="n">
        <f aca="false">'P.L'!M81</f>
        <v>0</v>
      </c>
      <c r="D13" s="2146" t="n">
        <f aca="false">NC!D13-NC!E13</f>
        <v>0</v>
      </c>
      <c r="E13" s="2146"/>
      <c r="F13" s="2146" t="n">
        <f aca="false">NC!E13</f>
        <v>32447</v>
      </c>
      <c r="G13" s="2147" t="n">
        <f aca="false">BRU!G2531</f>
        <v>0</v>
      </c>
      <c r="H13" s="2147" t="n">
        <f aca="false">BRU!I2531</f>
        <v>0</v>
      </c>
      <c r="I13" s="2147" t="n">
        <f aca="false">BRU!H2531</f>
        <v>0</v>
      </c>
      <c r="J13" s="2147" t="n">
        <f aca="false">BRU!K2531</f>
        <v>0</v>
      </c>
      <c r="K13" s="2146" t="n">
        <f aca="false">B13+D13+F13+G13+H13+I13+J13+E13</f>
        <v>32447</v>
      </c>
      <c r="L13" s="2148" t="n">
        <f aca="false">C13+D13</f>
        <v>0</v>
      </c>
      <c r="M13" s="2149" t="n">
        <f aca="false">T13</f>
        <v>0</v>
      </c>
      <c r="N13" s="2150" t="n">
        <f aca="false">L13*M13</f>
        <v>0</v>
      </c>
      <c r="O13" s="2147" t="n">
        <f aca="false">B13+D13</f>
        <v>0</v>
      </c>
      <c r="P13" s="2151" t="n">
        <f aca="false">'SAL.(3)'!N15</f>
        <v>0</v>
      </c>
      <c r="Q13" s="2149" t="n">
        <f aca="false">T13</f>
        <v>0</v>
      </c>
      <c r="R13" s="2150" t="n">
        <f aca="false">P13*Q13</f>
        <v>0</v>
      </c>
      <c r="S13" s="2152" t="n">
        <f aca="false">L13-P13</f>
        <v>0</v>
      </c>
      <c r="T13" s="2149" t="n">
        <f aca="false">'SAL.(3)'!U15</f>
        <v>0</v>
      </c>
      <c r="U13" s="2153" t="n">
        <f aca="false">S13*T13</f>
        <v>0</v>
      </c>
      <c r="V13" s="2159" t="n">
        <f aca="false">O13-P13</f>
        <v>0</v>
      </c>
      <c r="W13" s="2155" t="n">
        <f aca="false">'SAL. '!C72</f>
        <v>0.2</v>
      </c>
      <c r="X13" s="2156" t="n">
        <f aca="false">D13*W13</f>
        <v>0</v>
      </c>
      <c r="Y13" s="2156" t="n">
        <f aca="false">F13*W13</f>
        <v>6489.4</v>
      </c>
      <c r="Z13" s="2156" t="n">
        <f aca="false">'P.L'!C81</f>
        <v>0</v>
      </c>
      <c r="AA13" s="2156" t="n">
        <f aca="false">'P.B'!C184</f>
        <v>0</v>
      </c>
      <c r="AB13" s="2156" t="n">
        <f aca="false">(G13+H13+I13+J13)*W13</f>
        <v>0</v>
      </c>
      <c r="AC13" s="2157" t="n">
        <f aca="false">X13+Y13+Z13+AA13+AB13</f>
        <v>6489.4</v>
      </c>
    </row>
    <row r="14" customFormat="false" ht="14.25" hidden="false" customHeight="false" outlineLevel="0" collapsed="false">
      <c r="A14" s="2144" t="s">
        <v>15</v>
      </c>
      <c r="B14" s="2147" t="n">
        <f aca="false">LOT!D3337</f>
        <v>153216.1785</v>
      </c>
      <c r="C14" s="2146" t="n">
        <f aca="false">'P.L'!M82</f>
        <v>117000</v>
      </c>
      <c r="D14" s="2146" t="n">
        <f aca="false">NC!D14-NC!E14</f>
        <v>0.000199999936739914</v>
      </c>
      <c r="E14" s="2146"/>
      <c r="F14" s="2146" t="n">
        <f aca="false">NC!E14</f>
        <v>0</v>
      </c>
      <c r="G14" s="2147" t="n">
        <f aca="false">BRU!G2532</f>
        <v>30523</v>
      </c>
      <c r="H14" s="2147" t="n">
        <f aca="false">BRU!I2532</f>
        <v>358599.8</v>
      </c>
      <c r="I14" s="2147" t="n">
        <f aca="false">BRU!H2532</f>
        <v>99270</v>
      </c>
      <c r="J14" s="2147" t="n">
        <f aca="false">BRU!K2532</f>
        <v>142766.6</v>
      </c>
      <c r="K14" s="2146" t="n">
        <f aca="false">B14+D14+F14+G14+H14+I14+J14+E14</f>
        <v>784375.5787</v>
      </c>
      <c r="L14" s="2148" t="n">
        <f aca="false">C14+D14</f>
        <v>117000.0002</v>
      </c>
      <c r="M14" s="2149" t="n">
        <f aca="false">T14</f>
        <v>0.597381162167584</v>
      </c>
      <c r="N14" s="2150" t="n">
        <f aca="false">L14*M14</f>
        <v>69893.5960930835</v>
      </c>
      <c r="O14" s="2147" t="n">
        <f aca="false">B14+D14</f>
        <v>153216.1787</v>
      </c>
      <c r="P14" s="2151" t="n">
        <f aca="false">'SAL.(3)'!N16</f>
        <v>57712.5</v>
      </c>
      <c r="Q14" s="2149" t="n">
        <f aca="false">T14</f>
        <v>0.597381162167584</v>
      </c>
      <c r="R14" s="2150" t="n">
        <f aca="false">P14*Q14</f>
        <v>34476.3603215967</v>
      </c>
      <c r="S14" s="2152" t="n">
        <f aca="false">L14-P14</f>
        <v>59287.5001999999</v>
      </c>
      <c r="T14" s="2149" t="n">
        <f aca="false">'SAL.(3)'!U16</f>
        <v>0.597381162167584</v>
      </c>
      <c r="U14" s="2153" t="n">
        <f aca="false">S14*T14</f>
        <v>35417.2357714868</v>
      </c>
      <c r="V14" s="2154" t="n">
        <f aca="false">O14-P14</f>
        <v>95503.6786999999</v>
      </c>
      <c r="W14" s="2155" t="n">
        <f aca="false">'SAL. '!C73</f>
        <v>0.3</v>
      </c>
      <c r="X14" s="2156" t="n">
        <f aca="false">D14*W14</f>
        <v>5.99999810219742E-005</v>
      </c>
      <c r="Y14" s="2156" t="n">
        <f aca="false">F14*W14</f>
        <v>0</v>
      </c>
      <c r="Z14" s="2156" t="n">
        <f aca="false">'P.L'!C82</f>
        <v>73717.5532708333</v>
      </c>
      <c r="AA14" s="2156" t="n">
        <f aca="false">'P.B'!C185</f>
        <v>21214.6606453756</v>
      </c>
      <c r="AB14" s="2156" t="n">
        <f aca="false">(G14+H14+I14+J14)*W14</f>
        <v>189347.82</v>
      </c>
      <c r="AC14" s="2157" t="n">
        <f aca="false">X14+Y14+Z14+AA14+AB14</f>
        <v>284280.033976209</v>
      </c>
    </row>
    <row r="15" customFormat="false" ht="14.25" hidden="false" customHeight="false" outlineLevel="0" collapsed="false">
      <c r="A15" s="2144" t="s">
        <v>16</v>
      </c>
      <c r="B15" s="2147" t="n">
        <f aca="false">LOT!D3338</f>
        <v>-2.61479726759717E-012</v>
      </c>
      <c r="C15" s="2146" t="n">
        <f aca="false">'P.L'!M83</f>
        <v>0</v>
      </c>
      <c r="D15" s="2146" t="n">
        <f aca="false">NC!D15-NC!E15</f>
        <v>135184.9</v>
      </c>
      <c r="E15" s="2146"/>
      <c r="F15" s="2146" t="n">
        <f aca="false">NC!E15</f>
        <v>0</v>
      </c>
      <c r="G15" s="2147" t="n">
        <f aca="false">BRU!G2533</f>
        <v>0</v>
      </c>
      <c r="H15" s="2147" t="n">
        <f aca="false">BRU!I2533</f>
        <v>0</v>
      </c>
      <c r="I15" s="2147" t="n">
        <f aca="false">BRU!H2533</f>
        <v>0</v>
      </c>
      <c r="J15" s="2147" t="n">
        <f aca="false">BRU!K2533</f>
        <v>0</v>
      </c>
      <c r="K15" s="2146" t="n">
        <f aca="false">B15+D15+F15+G15+H15+I15+J15+E15</f>
        <v>135184.9</v>
      </c>
      <c r="L15" s="2148" t="n">
        <f aca="false">C15+D15</f>
        <v>135184.9</v>
      </c>
      <c r="M15" s="2149" t="n">
        <f aca="false">T15</f>
        <v>0.816441240240529</v>
      </c>
      <c r="N15" s="2150" t="n">
        <f aca="false">L15*M15</f>
        <v>110370.527417792</v>
      </c>
      <c r="O15" s="2147" t="n">
        <f aca="false">B15+D15</f>
        <v>135184.9</v>
      </c>
      <c r="P15" s="2151" t="n">
        <f aca="false">'SAL.(3)'!N17</f>
        <v>0</v>
      </c>
      <c r="Q15" s="2149" t="n">
        <f aca="false">T15</f>
        <v>0.816441240240529</v>
      </c>
      <c r="R15" s="2150" t="n">
        <f aca="false">P15*Q15</f>
        <v>0</v>
      </c>
      <c r="S15" s="2152" t="n">
        <f aca="false">L15-P15</f>
        <v>135184.9</v>
      </c>
      <c r="T15" s="2149" t="n">
        <f aca="false">'SAL.(3)'!U17</f>
        <v>0.816441240240529</v>
      </c>
      <c r="U15" s="2153" t="n">
        <f aca="false">S15*T15</f>
        <v>110370.527417792</v>
      </c>
      <c r="V15" s="2154" t="n">
        <f aca="false">O15-P15</f>
        <v>135184.9</v>
      </c>
      <c r="W15" s="2155" t="n">
        <f aca="false">'SAL. '!C74</f>
        <v>0.41</v>
      </c>
      <c r="X15" s="2156" t="n">
        <f aca="false">D15*W15</f>
        <v>55425.809</v>
      </c>
      <c r="Y15" s="2156" t="n">
        <f aca="false">F15*W15</f>
        <v>0</v>
      </c>
      <c r="Z15" s="2156" t="n">
        <f aca="false">'P.L'!C83</f>
        <v>0</v>
      </c>
      <c r="AA15" s="2156" t="n">
        <f aca="false">'P.B'!C186</f>
        <v>90598.6912246799</v>
      </c>
      <c r="AB15" s="2156" t="n">
        <f aca="false">(G15+H15+I15+J15)*W15</f>
        <v>0</v>
      </c>
      <c r="AC15" s="2157" t="n">
        <f aca="false">X15+Y15+Z15+AA15+AB15</f>
        <v>146024.50022468</v>
      </c>
    </row>
    <row r="16" customFormat="false" ht="14.25" hidden="false" customHeight="false" outlineLevel="0" collapsed="false">
      <c r="A16" s="2144" t="s">
        <v>17</v>
      </c>
      <c r="B16" s="2147" t="n">
        <f aca="false">LOT!D3339</f>
        <v>1571.81939999983</v>
      </c>
      <c r="C16" s="2146" t="n">
        <f aca="false">'P.L'!M84</f>
        <v>1350</v>
      </c>
      <c r="D16" s="2146" t="n">
        <f aca="false">NC!D16-NC!E16-NC!F16</f>
        <v>0.300000000162981</v>
      </c>
      <c r="E16" s="2146" t="n">
        <f aca="false">NC!F16</f>
        <v>0</v>
      </c>
      <c r="F16" s="2146" t="n">
        <f aca="false">NC!E16</f>
        <v>230957.7</v>
      </c>
      <c r="G16" s="2147" t="n">
        <f aca="false">BRU!G2534</f>
        <v>-0.400000000008731</v>
      </c>
      <c r="H16" s="2147" t="n">
        <f aca="false">BRU!I2534</f>
        <v>0</v>
      </c>
      <c r="I16" s="2147" t="n">
        <f aca="false">BRU!H2534</f>
        <v>0</v>
      </c>
      <c r="J16" s="2147" t="n">
        <f aca="false">BRU!K2534</f>
        <v>0</v>
      </c>
      <c r="K16" s="2146" t="n">
        <f aca="false">B16+D16+F16+G16+H16+I16+J16+E16</f>
        <v>232529.4194</v>
      </c>
      <c r="L16" s="2148" t="n">
        <f aca="false">C16+D16</f>
        <v>1350.30000000016</v>
      </c>
      <c r="M16" s="2149" t="n">
        <f aca="false">T16</f>
        <v>0.521054039099719</v>
      </c>
      <c r="N16" s="2150" t="n">
        <f aca="false">L16*M16</f>
        <v>703.579268996435</v>
      </c>
      <c r="O16" s="2147" t="n">
        <f aca="false">B16+D16</f>
        <v>1572.1194</v>
      </c>
      <c r="P16" s="2151" t="n">
        <f aca="false">'SAL.(3)'!N18</f>
        <v>64125</v>
      </c>
      <c r="Q16" s="2149" t="n">
        <f aca="false">T16</f>
        <v>0.521054039099719</v>
      </c>
      <c r="R16" s="2150" t="n">
        <f aca="false">P16*Q16</f>
        <v>33412.5902572695</v>
      </c>
      <c r="S16" s="2152" t="n">
        <f aca="false">L16-P16</f>
        <v>-62774.6999999998</v>
      </c>
      <c r="T16" s="2149" t="n">
        <f aca="false">'SAL.(3)'!U18</f>
        <v>0.521054039099719</v>
      </c>
      <c r="U16" s="2158" t="n">
        <f aca="false">S16*T16</f>
        <v>-32709.010988273</v>
      </c>
      <c r="V16" s="2154" t="n">
        <f aca="false">O16-P16</f>
        <v>-62552.8806</v>
      </c>
      <c r="W16" s="2155" t="n">
        <f aca="false">'SAL. '!C75</f>
        <v>0.22</v>
      </c>
      <c r="X16" s="2156" t="n">
        <f aca="false">D16*W16</f>
        <v>0.0660000000358559</v>
      </c>
      <c r="Y16" s="2156" t="n">
        <f aca="false">F16*W16</f>
        <v>50810.694</v>
      </c>
      <c r="Z16" s="2156" t="n">
        <f aca="false">'P.L'!C84</f>
        <v>903.064352370976</v>
      </c>
      <c r="AA16" s="2156" t="n">
        <f aca="false">'P.B'!C187</f>
        <v>74467.6415211857</v>
      </c>
      <c r="AB16" s="2156" t="n">
        <f aca="false">(G16+H16+I16+J16)*W16</f>
        <v>-0.0880000000019209</v>
      </c>
      <c r="AC16" s="2157" t="n">
        <f aca="false">X16+Y16+Z16+AA16+AB16</f>
        <v>126181.377873557</v>
      </c>
    </row>
    <row r="17" customFormat="false" ht="14.25" hidden="false" customHeight="false" outlineLevel="0" collapsed="false">
      <c r="A17" s="2144" t="s">
        <v>3351</v>
      </c>
      <c r="B17" s="2147" t="n">
        <f aca="false">LOT!D3340</f>
        <v>14312.055</v>
      </c>
      <c r="C17" s="2146" t="n">
        <f aca="false">'P.L'!M85</f>
        <v>14269.05</v>
      </c>
      <c r="D17" s="2146" t="n">
        <f aca="false">NC!D17-NC!E17-NC!F17</f>
        <v>731635.3003</v>
      </c>
      <c r="E17" s="2146" t="n">
        <f aca="false">NC!F17</f>
        <v>0</v>
      </c>
      <c r="F17" s="2146" t="n">
        <f aca="false">NC!E17</f>
        <v>0</v>
      </c>
      <c r="G17" s="2147" t="n">
        <f aca="false">BRU!G2535</f>
        <v>6256</v>
      </c>
      <c r="H17" s="2147" t="n">
        <f aca="false">BRU!I2535</f>
        <v>0</v>
      </c>
      <c r="I17" s="2147" t="n">
        <f aca="false">BRU!H2535</f>
        <v>0</v>
      </c>
      <c r="J17" s="2147" t="n">
        <f aca="false">BRU!K2535</f>
        <v>0</v>
      </c>
      <c r="K17" s="2146" t="n">
        <f aca="false">B17+D17+F17+G17+H17+I17+J17+E17</f>
        <v>752203.3553</v>
      </c>
      <c r="L17" s="2148" t="n">
        <f aca="false">C17+D17</f>
        <v>745904.3503</v>
      </c>
      <c r="M17" s="2149" t="n">
        <f aca="false">T17</f>
        <v>0.428033397251299</v>
      </c>
      <c r="N17" s="2150" t="n">
        <f aca="false">L17*M17</f>
        <v>319271.973083432</v>
      </c>
      <c r="O17" s="2147" t="n">
        <f aca="false">B17+D17</f>
        <v>745947.3553</v>
      </c>
      <c r="P17" s="2151" t="n">
        <f aca="false">'SAL.(3)'!N19</f>
        <v>9255.6</v>
      </c>
      <c r="Q17" s="2149" t="n">
        <f aca="false">T17</f>
        <v>0.428033397251299</v>
      </c>
      <c r="R17" s="2150" t="n">
        <f aca="false">P17*Q17</f>
        <v>3961.70591159912</v>
      </c>
      <c r="S17" s="2152" t="n">
        <f aca="false">L17-P17</f>
        <v>736648.7503</v>
      </c>
      <c r="T17" s="2149" t="n">
        <f aca="false">'SAL.(3)'!U19</f>
        <v>0.428033397251299</v>
      </c>
      <c r="U17" s="2153" t="n">
        <f aca="false">S17*T17</f>
        <v>315310.267171833</v>
      </c>
      <c r="V17" s="2154" t="n">
        <f aca="false">O17-P17</f>
        <v>736691.7553</v>
      </c>
      <c r="W17" s="2155" t="n">
        <f aca="false">'SAL. '!C76</f>
        <v>0.3</v>
      </c>
      <c r="X17" s="2156" t="n">
        <f aca="false">D17*W17</f>
        <v>219490.59009</v>
      </c>
      <c r="Y17" s="2156" t="n">
        <f aca="false">F17*W17</f>
        <v>0</v>
      </c>
      <c r="Z17" s="2156" t="n">
        <f aca="false">'P.L'!C85</f>
        <v>9159.20171351491</v>
      </c>
      <c r="AA17" s="2156" t="n">
        <f aca="false">'P.B'!C188</f>
        <v>258722.672516249</v>
      </c>
      <c r="AB17" s="2156" t="n">
        <f aca="false">(G17+H17+I17+J17)*W17</f>
        <v>1876.8</v>
      </c>
      <c r="AC17" s="2157" t="n">
        <f aca="false">X17+Y17+Z17+AA17+AB17</f>
        <v>489249.264319764</v>
      </c>
    </row>
    <row r="18" customFormat="false" ht="14.25" hidden="false" customHeight="false" outlineLevel="0" collapsed="false">
      <c r="A18" s="2144" t="s">
        <v>19</v>
      </c>
      <c r="B18" s="2147" t="n">
        <f aca="false">LOT!D3341</f>
        <v>62916.0000000001</v>
      </c>
      <c r="C18" s="2146" t="n">
        <f aca="false">'P.L'!M86</f>
        <v>60187.5</v>
      </c>
      <c r="D18" s="2146" t="n">
        <f aca="false">NC!D18-NC!E18</f>
        <v>108625.2435</v>
      </c>
      <c r="E18" s="2146"/>
      <c r="F18" s="2146" t="n">
        <f aca="false">NC!E18</f>
        <v>504822.5</v>
      </c>
      <c r="G18" s="2147" t="n">
        <f aca="false">BRU!G2536</f>
        <v>162206.8</v>
      </c>
      <c r="H18" s="2147" t="n">
        <f aca="false">BRU!I2536</f>
        <v>0</v>
      </c>
      <c r="I18" s="2147" t="n">
        <f aca="false">BRU!H2536</f>
        <v>0</v>
      </c>
      <c r="J18" s="2147" t="n">
        <f aca="false">BRU!K2536</f>
        <v>0</v>
      </c>
      <c r="K18" s="2146" t="n">
        <f aca="false">B18+D18+F18+G18+H18+I18+J18+E18</f>
        <v>838570.5435</v>
      </c>
      <c r="L18" s="2148" t="n">
        <f aca="false">C18+D18</f>
        <v>168812.7435</v>
      </c>
      <c r="M18" s="2149" t="n">
        <f aca="false">T18</f>
        <v>0.824631984043177</v>
      </c>
      <c r="N18" s="2150" t="n">
        <f aca="false">L18*M18</f>
        <v>139208.387604177</v>
      </c>
      <c r="O18" s="2147" t="n">
        <f aca="false">B18+D18</f>
        <v>171541.2435</v>
      </c>
      <c r="P18" s="2151" t="n">
        <f aca="false">'SAL.(3)'!N20</f>
        <v>17550</v>
      </c>
      <c r="Q18" s="2149" t="n">
        <f aca="false">T18</f>
        <v>0.824631984043177</v>
      </c>
      <c r="R18" s="2150" t="n">
        <f aca="false">P18*Q18</f>
        <v>14472.2913199578</v>
      </c>
      <c r="S18" s="2152" t="n">
        <f aca="false">L18-P18</f>
        <v>151262.7435</v>
      </c>
      <c r="T18" s="2149" t="n">
        <f aca="false">'SAL.(3)'!U20</f>
        <v>0.824631984043177</v>
      </c>
      <c r="U18" s="2153" t="n">
        <f aca="false">S18*T18</f>
        <v>124736.096284219</v>
      </c>
      <c r="V18" s="2154" t="n">
        <f aca="false">O18-P18</f>
        <v>153991.2435</v>
      </c>
      <c r="W18" s="2155" t="n">
        <f aca="false">'SAL. '!C77</f>
        <v>0.42</v>
      </c>
      <c r="X18" s="2156" t="n">
        <f aca="false">D18*W18</f>
        <v>45622.60227</v>
      </c>
      <c r="Y18" s="2156" t="n">
        <f aca="false">F18*W18</f>
        <v>212025.45</v>
      </c>
      <c r="Z18" s="2156" t="n">
        <f aca="false">'P.L'!C86</f>
        <v>46965.029830168</v>
      </c>
      <c r="AA18" s="2156" t="n">
        <f aca="false">'P.B'!C189</f>
        <v>385624.886707814</v>
      </c>
      <c r="AB18" s="2156" t="n">
        <f aca="false">(G18+H18+I18+J18)*W18</f>
        <v>68126.856</v>
      </c>
      <c r="AC18" s="2157" t="n">
        <f aca="false">X18+Y18+Z18+AA18+AB18</f>
        <v>758364.824807982</v>
      </c>
    </row>
    <row r="19" customFormat="false" ht="14.25" hidden="false" customHeight="false" outlineLevel="0" collapsed="false">
      <c r="A19" s="2144" t="s">
        <v>20</v>
      </c>
      <c r="B19" s="2147" t="n">
        <f aca="false">LOT!D3342</f>
        <v>-3.12638803734444E-011</v>
      </c>
      <c r="C19" s="2146" t="n">
        <f aca="false">'P.L'!M87</f>
        <v>0</v>
      </c>
      <c r="D19" s="2146" t="n">
        <f aca="false">NC!D19-NC!E19-NC!F19</f>
        <v>-0.300000000046566</v>
      </c>
      <c r="E19" s="2146" t="n">
        <f aca="false">NC!F19</f>
        <v>0</v>
      </c>
      <c r="F19" s="2146" t="n">
        <f aca="false">NC!E19</f>
        <v>956125</v>
      </c>
      <c r="G19" s="2147" t="n">
        <f aca="false">BRU!G2539</f>
        <v>0</v>
      </c>
      <c r="H19" s="2147" t="n">
        <f aca="false">BRU!I2539</f>
        <v>0</v>
      </c>
      <c r="I19" s="2147" t="n">
        <f aca="false">BRU!H2539</f>
        <v>40442.4</v>
      </c>
      <c r="J19" s="2147" t="n">
        <f aca="false">BRU!K2539</f>
        <v>0</v>
      </c>
      <c r="K19" s="2146" t="n">
        <f aca="false">B19+D19+F19+G19+H19+I19+J19+E19</f>
        <v>996567.1</v>
      </c>
      <c r="L19" s="2148" t="n">
        <f aca="false">C19+D19</f>
        <v>-0.300000000046566</v>
      </c>
      <c r="M19" s="2149" t="n">
        <f aca="false">T19</f>
        <v>0.263592938657216</v>
      </c>
      <c r="N19" s="2150" t="n">
        <f aca="false">L19*M19</f>
        <v>-0.0790778816094392</v>
      </c>
      <c r="O19" s="2147" t="n">
        <f aca="false">B19+D19</f>
        <v>-0.30000000007783</v>
      </c>
      <c r="P19" s="2151" t="n">
        <f aca="false">'SAL.(3)'!N21</f>
        <v>0</v>
      </c>
      <c r="Q19" s="2149" t="n">
        <f aca="false">T19</f>
        <v>0.263592938657216</v>
      </c>
      <c r="R19" s="2150" t="n">
        <f aca="false">P19*Q19</f>
        <v>0</v>
      </c>
      <c r="S19" s="2152" t="n">
        <f aca="false">L19-P19</f>
        <v>-0.300000000046566</v>
      </c>
      <c r="T19" s="2149" t="n">
        <f aca="false">'SAL.(3)'!U21</f>
        <v>0.263592938657216</v>
      </c>
      <c r="U19" s="2153" t="n">
        <f aca="false">S19*T19</f>
        <v>-0.0790778816094392</v>
      </c>
      <c r="V19" s="2154" t="n">
        <f aca="false">O19-P19</f>
        <v>-0.30000000007783</v>
      </c>
      <c r="W19" s="2155" t="n">
        <v>0.15</v>
      </c>
      <c r="X19" s="2156" t="n">
        <f aca="false">D19*W19</f>
        <v>-0.0450000000069849</v>
      </c>
      <c r="Y19" s="2156" t="n">
        <f aca="false">F19*W19</f>
        <v>143418.75</v>
      </c>
      <c r="Z19" s="2156" t="n">
        <f aca="false">'P.L'!C87</f>
        <v>0</v>
      </c>
      <c r="AA19" s="2156" t="n">
        <f aca="false">'P.B'!C190</f>
        <v>93804.9283764669</v>
      </c>
      <c r="AB19" s="2156" t="n">
        <f aca="false">(G19+H19+I19+J19)*W19</f>
        <v>6066.36</v>
      </c>
      <c r="AC19" s="2157" t="n">
        <f aca="false">X19+Y19+Z19+AA19+AB19</f>
        <v>243289.993376467</v>
      </c>
    </row>
    <row r="20" customFormat="false" ht="14.25" hidden="false" customHeight="false" outlineLevel="0" collapsed="false">
      <c r="A20" s="2144" t="s">
        <v>22</v>
      </c>
      <c r="B20" s="2147" t="n">
        <f aca="false">LOT!D3348</f>
        <v>45690.714</v>
      </c>
      <c r="C20" s="2146" t="n">
        <f aca="false">'P.L'!M88</f>
        <v>39825</v>
      </c>
      <c r="D20" s="2146" t="n">
        <f aca="false">NC!D20-NC!E20-NC!F20</f>
        <v>245922.2</v>
      </c>
      <c r="E20" s="2146" t="n">
        <f aca="false">NC!F20</f>
        <v>23911.2</v>
      </c>
      <c r="F20" s="2146" t="n">
        <f aca="false">NC!E20</f>
        <v>0</v>
      </c>
      <c r="G20" s="2147" t="n">
        <f aca="false">BRU!G2538</f>
        <v>0</v>
      </c>
      <c r="H20" s="2147" t="n">
        <f aca="false">BRU!I2538</f>
        <v>0</v>
      </c>
      <c r="I20" s="2147" t="n">
        <f aca="false">BRU!H2538</f>
        <v>0</v>
      </c>
      <c r="J20" s="2147" t="n">
        <f aca="false">BRU!K2538</f>
        <v>0</v>
      </c>
      <c r="K20" s="2146" t="n">
        <f aca="false">B20+D20+F20+G20+H20+I20+J20+E20</f>
        <v>315524.114</v>
      </c>
      <c r="L20" s="2148" t="n">
        <f aca="false">C20+D20</f>
        <v>285747.2</v>
      </c>
      <c r="M20" s="2149" t="n">
        <f aca="false">T20</f>
        <v>0.4925</v>
      </c>
      <c r="N20" s="2150" t="n">
        <f aca="false">L20*M20</f>
        <v>140730.496</v>
      </c>
      <c r="O20" s="2147" t="n">
        <f aca="false">B20+D20</f>
        <v>291612.914</v>
      </c>
      <c r="P20" s="2151" t="n">
        <f aca="false">'SAL.(3)'!N22</f>
        <v>0</v>
      </c>
      <c r="Q20" s="2149" t="n">
        <f aca="false">T20</f>
        <v>0.4925</v>
      </c>
      <c r="R20" s="2150" t="n">
        <f aca="false">P20*Q20</f>
        <v>0</v>
      </c>
      <c r="S20" s="2152" t="n">
        <f aca="false">L20-P20</f>
        <v>285747.2</v>
      </c>
      <c r="T20" s="2149" t="n">
        <f aca="false">'SAL.(3)'!U22</f>
        <v>0.4925</v>
      </c>
      <c r="U20" s="2153" t="n">
        <f aca="false">S20*T20</f>
        <v>140730.496</v>
      </c>
      <c r="V20" s="2154" t="n">
        <f aca="false">O20-P20</f>
        <v>291612.914</v>
      </c>
      <c r="W20" s="2155" t="n">
        <v>0.5</v>
      </c>
      <c r="X20" s="2156" t="n">
        <f aca="false">D20*W20</f>
        <v>122961.1</v>
      </c>
      <c r="Y20" s="2156" t="n">
        <f aca="false">F20*W20</f>
        <v>0</v>
      </c>
      <c r="Z20" s="2156"/>
      <c r="AA20" s="2156" t="n">
        <f aca="false">'P.B'!C192</f>
        <v>204701.910417357</v>
      </c>
      <c r="AB20" s="2156" t="n">
        <f aca="false">(G20+H20+I20+J20)*W20</f>
        <v>0</v>
      </c>
      <c r="AC20" s="2157" t="n">
        <f aca="false">X20+Y20+Z20+AA20+AB20</f>
        <v>327663.010417358</v>
      </c>
    </row>
    <row r="21" customFormat="false" ht="14.25" hidden="false" customHeight="false" outlineLevel="0" collapsed="false">
      <c r="A21" s="2144" t="s">
        <v>2144</v>
      </c>
      <c r="B21" s="2147" t="n">
        <f aca="false">LOT!D3349</f>
        <v>0</v>
      </c>
      <c r="C21" s="2146"/>
      <c r="D21" s="2146" t="n">
        <f aca="false">NC!D27-NC!E27</f>
        <v>0</v>
      </c>
      <c r="E21" s="2146"/>
      <c r="F21" s="2146" t="n">
        <f aca="false">NC!E27</f>
        <v>0</v>
      </c>
      <c r="G21" s="2147" t="n">
        <f aca="false">BRU!G2540</f>
        <v>0</v>
      </c>
      <c r="H21" s="2147" t="n">
        <f aca="false">BRU!I2540</f>
        <v>0</v>
      </c>
      <c r="I21" s="2147" t="n">
        <f aca="false">BRU!H2540</f>
        <v>0</v>
      </c>
      <c r="J21" s="2147" t="n">
        <f aca="false">BRU!K2540</f>
        <v>0</v>
      </c>
      <c r="K21" s="2146" t="n">
        <f aca="false">B21+D21+F21+G21+H21+I21+J21+E21</f>
        <v>0</v>
      </c>
      <c r="L21" s="2148" t="n">
        <f aca="false">C21+D21</f>
        <v>0</v>
      </c>
      <c r="M21" s="2149"/>
      <c r="N21" s="2150"/>
      <c r="O21" s="2147" t="n">
        <f aca="false">B21+D21</f>
        <v>0</v>
      </c>
      <c r="P21" s="2151" t="n">
        <f aca="false">'SAL.(3)'!N23</f>
        <v>0</v>
      </c>
      <c r="Q21" s="2149" t="n">
        <f aca="false">T21</f>
        <v>0</v>
      </c>
      <c r="R21" s="2150" t="n">
        <f aca="false">P21*Q21</f>
        <v>0</v>
      </c>
      <c r="S21" s="2152" t="n">
        <f aca="false">L21-P21</f>
        <v>0</v>
      </c>
      <c r="T21" s="2149"/>
      <c r="U21" s="2153" t="n">
        <f aca="false">S21*T21</f>
        <v>0</v>
      </c>
      <c r="V21" s="2154" t="n">
        <f aca="false">O21-P21</f>
        <v>0</v>
      </c>
      <c r="W21" s="2155"/>
      <c r="X21" s="2156"/>
      <c r="Y21" s="2156"/>
      <c r="Z21" s="2156"/>
      <c r="AA21" s="2156" t="n">
        <v>0</v>
      </c>
      <c r="AB21" s="2156" t="n">
        <f aca="false">(G21+H21+I21+J21)*W21</f>
        <v>0</v>
      </c>
      <c r="AC21" s="2157" t="n">
        <f aca="false">X21+Y21+Z21+AA21+AB21</f>
        <v>0</v>
      </c>
    </row>
    <row r="22" customFormat="false" ht="14.25" hidden="false" customHeight="false" outlineLevel="0" collapsed="false">
      <c r="A22" s="2144" t="s">
        <v>172</v>
      </c>
      <c r="B22" s="2147" t="n">
        <f aca="false">LOT!D3343</f>
        <v>0</v>
      </c>
      <c r="C22" s="2146" t="n">
        <f aca="false">'P.L'!M89</f>
        <v>0</v>
      </c>
      <c r="D22" s="2146" t="n">
        <f aca="false">NC!D21-NC!E21</f>
        <v>4082</v>
      </c>
      <c r="E22" s="2146"/>
      <c r="F22" s="2146" t="n">
        <f aca="false">NC!E21</f>
        <v>0</v>
      </c>
      <c r="G22" s="2147" t="n">
        <f aca="false">BRU!G2537</f>
        <v>0</v>
      </c>
      <c r="H22" s="2147" t="n">
        <f aca="false">BRU!I2537</f>
        <v>0</v>
      </c>
      <c r="I22" s="2147" t="n">
        <f aca="false">BRU!H2537</f>
        <v>0</v>
      </c>
      <c r="J22" s="2147" t="n">
        <f aca="false">BRU!K2537</f>
        <v>353</v>
      </c>
      <c r="K22" s="2146" t="n">
        <f aca="false">B22+D22+F22+G22+H22+I22+J22+E22</f>
        <v>4435</v>
      </c>
      <c r="L22" s="2148" t="n">
        <f aca="false">C22+D22</f>
        <v>4082</v>
      </c>
      <c r="M22" s="2149" t="n">
        <f aca="false">T22</f>
        <v>0</v>
      </c>
      <c r="N22" s="2150" t="n">
        <f aca="false">L22*M22</f>
        <v>0</v>
      </c>
      <c r="O22" s="2147" t="n">
        <f aca="false">B22+D22</f>
        <v>4082</v>
      </c>
      <c r="P22" s="2151" t="n">
        <f aca="false">'SAL.(3)'!N24</f>
        <v>0</v>
      </c>
      <c r="Q22" s="2149" t="n">
        <f aca="false">T22</f>
        <v>0</v>
      </c>
      <c r="R22" s="2150" t="n">
        <f aca="false">P22*Q22</f>
        <v>0</v>
      </c>
      <c r="S22" s="2152" t="n">
        <f aca="false">L22-P22</f>
        <v>4082</v>
      </c>
      <c r="T22" s="2149" t="n">
        <f aca="false">'SAL.(3)'!U24</f>
        <v>0</v>
      </c>
      <c r="U22" s="2153" t="n">
        <f aca="false">S22*T22</f>
        <v>0</v>
      </c>
      <c r="V22" s="2154" t="n">
        <f aca="false">O22-P22</f>
        <v>4082</v>
      </c>
      <c r="W22" s="2155" t="n">
        <v>40</v>
      </c>
      <c r="X22" s="2156" t="n">
        <f aca="false">D22*W22</f>
        <v>163280</v>
      </c>
      <c r="Y22" s="2156" t="n">
        <f aca="false">F22*W22</f>
        <v>0</v>
      </c>
      <c r="Z22" s="2156" t="n">
        <f aca="false">'P.L'!C89</f>
        <v>0</v>
      </c>
      <c r="AA22" s="2156" t="n">
        <f aca="false">'P.B'!C191</f>
        <v>44902</v>
      </c>
      <c r="AB22" s="2156" t="n">
        <f aca="false">(G22+H22+I22+J22)*W22</f>
        <v>14120</v>
      </c>
      <c r="AC22" s="2157" t="n">
        <f aca="false">X22+Y22+Z22+AA22+AB22</f>
        <v>222302</v>
      </c>
    </row>
    <row r="23" customFormat="false" ht="14.25" hidden="false" customHeight="false" outlineLevel="0" collapsed="false">
      <c r="A23" s="2144" t="s">
        <v>173</v>
      </c>
      <c r="B23" s="2147" t="n">
        <f aca="false">LOT!D3344</f>
        <v>2550</v>
      </c>
      <c r="C23" s="2146" t="n">
        <f aca="false">'P.L'!M90</f>
        <v>2550</v>
      </c>
      <c r="D23" s="2146" t="n">
        <f aca="false">NC!D22-NC!E22</f>
        <v>2004</v>
      </c>
      <c r="E23" s="2146"/>
      <c r="F23" s="2146" t="n">
        <f aca="false">NC!E22</f>
        <v>0</v>
      </c>
      <c r="G23" s="2147" t="n">
        <f aca="false">BRU!G2545</f>
        <v>0</v>
      </c>
      <c r="H23" s="2147" t="n">
        <f aca="false">BRU!I2545</f>
        <v>0</v>
      </c>
      <c r="I23" s="2147" t="n">
        <f aca="false">BRU!H2540</f>
        <v>0</v>
      </c>
      <c r="J23" s="2147" t="n">
        <f aca="false">BRU!K2540</f>
        <v>0</v>
      </c>
      <c r="K23" s="2146" t="n">
        <f aca="false">B23+D23+F23+G23+H23+I23+J23+E23</f>
        <v>4554</v>
      </c>
      <c r="L23" s="2148" t="n">
        <f aca="false">C23+D23</f>
        <v>4554</v>
      </c>
      <c r="M23" s="2149" t="n">
        <f aca="false">T23</f>
        <v>0</v>
      </c>
      <c r="N23" s="2150" t="n">
        <f aca="false">L23*M23</f>
        <v>0</v>
      </c>
      <c r="O23" s="2147" t="n">
        <f aca="false">B23+D23</f>
        <v>4554</v>
      </c>
      <c r="P23" s="2151" t="n">
        <f aca="false">'SAL.(3)'!N25</f>
        <v>0</v>
      </c>
      <c r="Q23" s="2149" t="n">
        <f aca="false">T23</f>
        <v>0</v>
      </c>
      <c r="R23" s="2150" t="n">
        <f aca="false">P23*Q23</f>
        <v>0</v>
      </c>
      <c r="S23" s="2152" t="n">
        <f aca="false">L23-P23</f>
        <v>4554</v>
      </c>
      <c r="T23" s="2149" t="n">
        <f aca="false">'SAL.(3)'!U25</f>
        <v>0</v>
      </c>
      <c r="U23" s="2153" t="n">
        <f aca="false">S23*T23</f>
        <v>0</v>
      </c>
      <c r="V23" s="2154" t="n">
        <f aca="false">O23-P23</f>
        <v>4554</v>
      </c>
      <c r="W23" s="2155" t="n">
        <v>13</v>
      </c>
      <c r="X23" s="2156" t="n">
        <f aca="false">D23*W23</f>
        <v>26052</v>
      </c>
      <c r="Y23" s="2156" t="n">
        <f aca="false">F23*W23</f>
        <v>0</v>
      </c>
      <c r="Z23" s="2156" t="n">
        <f aca="false">'P.L'!C90</f>
        <v>0</v>
      </c>
      <c r="AA23" s="2156" t="n">
        <f aca="false">'P.B'!C197</f>
        <v>0</v>
      </c>
      <c r="AB23" s="2156" t="n">
        <f aca="false">(G23+H23+I23+J23)*W23</f>
        <v>0</v>
      </c>
      <c r="AC23" s="2157" t="n">
        <f aca="false">X23+Y23+Z23+AA23+AB23</f>
        <v>26052</v>
      </c>
    </row>
    <row r="24" customFormat="false" ht="14.25" hidden="false" customHeight="false" outlineLevel="0" collapsed="false">
      <c r="A24" s="2144" t="s">
        <v>23</v>
      </c>
      <c r="B24" s="2147" t="n">
        <f aca="false">LOT!D3345</f>
        <v>6060</v>
      </c>
      <c r="C24" s="2146" t="n">
        <f aca="false">'P.L'!M91</f>
        <v>6060</v>
      </c>
      <c r="D24" s="2146" t="n">
        <f aca="false">NC!D23-NC!E23</f>
        <v>0</v>
      </c>
      <c r="E24" s="2146"/>
      <c r="F24" s="2146" t="n">
        <f aca="false">NC!E23</f>
        <v>0</v>
      </c>
      <c r="G24" s="2147" t="n">
        <f aca="false">BRU!G2541</f>
        <v>1080</v>
      </c>
      <c r="H24" s="2147" t="n">
        <f aca="false">BRU!I2541</f>
        <v>508</v>
      </c>
      <c r="I24" s="2147" t="n">
        <f aca="false">BRU!H2541</f>
        <v>0</v>
      </c>
      <c r="J24" s="2147" t="n">
        <f aca="false">BRU!K2541</f>
        <v>542</v>
      </c>
      <c r="K24" s="2146" t="n">
        <f aca="false">B24+D24+F24+G24+H24+I24+J24+E24</f>
        <v>8190</v>
      </c>
      <c r="L24" s="2148" t="n">
        <f aca="false">C24+D24</f>
        <v>6060</v>
      </c>
      <c r="M24" s="2149" t="n">
        <f aca="false">T24</f>
        <v>40.7651752147878</v>
      </c>
      <c r="N24" s="2150" t="n">
        <f aca="false">L24*M24</f>
        <v>247036.961801614</v>
      </c>
      <c r="O24" s="2147" t="n">
        <f aca="false">B24+D24</f>
        <v>6060</v>
      </c>
      <c r="P24" s="2151" t="n">
        <f aca="false">'SAL.(3)'!N26</f>
        <v>0</v>
      </c>
      <c r="Q24" s="2149" t="n">
        <f aca="false">T24</f>
        <v>40.7651752147878</v>
      </c>
      <c r="R24" s="2150" t="n">
        <f aca="false">P24*Q24</f>
        <v>0</v>
      </c>
      <c r="S24" s="2152" t="n">
        <f aca="false">L24-P24</f>
        <v>6060</v>
      </c>
      <c r="T24" s="2149" t="n">
        <f aca="false">'SAL.(3)'!U26</f>
        <v>40.7651752147878</v>
      </c>
      <c r="U24" s="2153" t="n">
        <f aca="false">S24*T24</f>
        <v>247036.961801614</v>
      </c>
      <c r="V24" s="2154" t="n">
        <f aca="false">O24-P24</f>
        <v>6060</v>
      </c>
      <c r="W24" s="2155" t="n">
        <v>15</v>
      </c>
      <c r="X24" s="2156" t="n">
        <f aca="false">D24*W24</f>
        <v>0</v>
      </c>
      <c r="Y24" s="2156" t="n">
        <f aca="false">F24*W24</f>
        <v>0</v>
      </c>
      <c r="Z24" s="2156" t="n">
        <f aca="false">'P.L'!C91</f>
        <v>247036.961801614</v>
      </c>
      <c r="AA24" s="2156" t="n">
        <f aca="false">'P.B'!C193</f>
        <v>400</v>
      </c>
      <c r="AB24" s="2156" t="n">
        <f aca="false">(G24+H24+I24+J24)*W24</f>
        <v>31950</v>
      </c>
      <c r="AC24" s="2157" t="n">
        <f aca="false">X24+Y24+Z24+AA24+AB24</f>
        <v>279386.961801614</v>
      </c>
    </row>
    <row r="25" customFormat="false" ht="14.25" hidden="false" customHeight="false" outlineLevel="0" collapsed="false">
      <c r="A25" s="2144" t="s">
        <v>21</v>
      </c>
      <c r="B25" s="2147" t="n">
        <f aca="false">LOT!D3346</f>
        <v>9055</v>
      </c>
      <c r="C25" s="2146" t="n">
        <f aca="false">'P.L'!M92</f>
        <v>9055</v>
      </c>
      <c r="D25" s="2146" t="n">
        <f aca="false">NC!D25-NC!E25</f>
        <v>0</v>
      </c>
      <c r="E25" s="2146"/>
      <c r="F25" s="2146" t="n">
        <f aca="false">NC!E25</f>
        <v>0</v>
      </c>
      <c r="G25" s="2147" t="n">
        <f aca="false">BRU!G2542</f>
        <v>0</v>
      </c>
      <c r="H25" s="2147" t="n">
        <f aca="false">BRU!I2543</f>
        <v>0</v>
      </c>
      <c r="I25" s="2147" t="n">
        <f aca="false">BRU!H2542</f>
        <v>0</v>
      </c>
      <c r="J25" s="2147" t="n">
        <f aca="false">BRU!K2542</f>
        <v>0</v>
      </c>
      <c r="K25" s="2146" t="n">
        <f aca="false">B25+D25+F25+G25+H25+I25+J25+E25</f>
        <v>9055</v>
      </c>
      <c r="L25" s="2148" t="n">
        <f aca="false">C25+D25</f>
        <v>9055</v>
      </c>
      <c r="M25" s="2149" t="n">
        <f aca="false">T25</f>
        <v>5.25452841072974</v>
      </c>
      <c r="N25" s="2150" t="n">
        <f aca="false">L25*M25</f>
        <v>47579.7547591578</v>
      </c>
      <c r="O25" s="2147" t="n">
        <f aca="false">B25+D25</f>
        <v>9055</v>
      </c>
      <c r="P25" s="2151" t="n">
        <f aca="false">'SAL.(3)'!N27</f>
        <v>300</v>
      </c>
      <c r="Q25" s="2149" t="n">
        <f aca="false">T25</f>
        <v>5.25452841072974</v>
      </c>
      <c r="R25" s="2150" t="n">
        <f aca="false">P25*Q25</f>
        <v>1576.35852321892</v>
      </c>
      <c r="S25" s="2152" t="n">
        <f aca="false">L25-P25</f>
        <v>8755</v>
      </c>
      <c r="T25" s="2149" t="n">
        <f aca="false">'SAL.(3)'!U27</f>
        <v>5.25452841072974</v>
      </c>
      <c r="U25" s="2153" t="n">
        <f aca="false">S25*T25</f>
        <v>46003.3962359389</v>
      </c>
      <c r="V25" s="2154" t="n">
        <f aca="false">O25-P25</f>
        <v>8755</v>
      </c>
      <c r="W25" s="2155" t="n">
        <v>2.6</v>
      </c>
      <c r="X25" s="2156" t="n">
        <f aca="false">D25*W25</f>
        <v>0</v>
      </c>
      <c r="Y25" s="2156" t="n">
        <f aca="false">F25*W25</f>
        <v>0</v>
      </c>
      <c r="Z25" s="2156" t="n">
        <f aca="false">'P.L'!C92</f>
        <v>47579.7547591578</v>
      </c>
      <c r="AA25" s="2156" t="n">
        <f aca="false">'P.B'!C194</f>
        <v>0</v>
      </c>
      <c r="AB25" s="2156" t="n">
        <f aca="false">(G25+H25+I25+J25)*W25</f>
        <v>0</v>
      </c>
      <c r="AC25" s="2157" t="n">
        <f aca="false">X25+Y25+Z25+AA25+AB25</f>
        <v>47579.7547591578</v>
      </c>
    </row>
    <row r="26" customFormat="false" ht="14.25" hidden="false" customHeight="false" outlineLevel="0" collapsed="false">
      <c r="A26" s="2144" t="s">
        <v>74</v>
      </c>
      <c r="B26" s="2147" t="n">
        <f aca="false">LOT!D3350</f>
        <v>0</v>
      </c>
      <c r="C26" s="2146" t="n">
        <f aca="false">'P.L'!M93</f>
        <v>0</v>
      </c>
      <c r="D26" s="2146" t="n">
        <f aca="false">NC!D26-NC!E26</f>
        <v>15711</v>
      </c>
      <c r="E26" s="2146"/>
      <c r="F26" s="2146" t="n">
        <f aca="false">NC!E26</f>
        <v>0</v>
      </c>
      <c r="G26" s="2147" t="n">
        <f aca="false">BRU!G2543</f>
        <v>0</v>
      </c>
      <c r="H26" s="2147" t="n">
        <f aca="false">BRU!I2544</f>
        <v>0</v>
      </c>
      <c r="I26" s="2147" t="n">
        <f aca="false">BRU!H2543</f>
        <v>0</v>
      </c>
      <c r="J26" s="2147" t="n">
        <f aca="false">BRU!K2543</f>
        <v>0</v>
      </c>
      <c r="K26" s="2146" t="n">
        <f aca="false">B26+D26+F26+G26+H26+I26+J26+E26</f>
        <v>15711</v>
      </c>
      <c r="L26" s="2148" t="n">
        <f aca="false">C26+D26</f>
        <v>15711</v>
      </c>
      <c r="M26" s="200"/>
      <c r="N26" s="2150"/>
      <c r="O26" s="2147" t="n">
        <f aca="false">B26+D26</f>
        <v>15711</v>
      </c>
      <c r="P26" s="2151" t="n">
        <f aca="false">'SAL.(3)'!N28</f>
        <v>0</v>
      </c>
      <c r="Q26" s="2149" t="n">
        <f aca="false">T26</f>
        <v>0</v>
      </c>
      <c r="R26" s="2150" t="n">
        <f aca="false">P26*Q26</f>
        <v>0</v>
      </c>
      <c r="S26" s="2152" t="n">
        <f aca="false">L26-P26</f>
        <v>15711</v>
      </c>
      <c r="T26" s="2149"/>
      <c r="U26" s="2150" t="n">
        <f aca="false">S26*T26</f>
        <v>0</v>
      </c>
      <c r="V26" s="2154" t="n">
        <f aca="false">O26-P26</f>
        <v>15711</v>
      </c>
      <c r="W26" s="2155" t="n">
        <v>15</v>
      </c>
      <c r="X26" s="2156" t="n">
        <f aca="false">D26*W26</f>
        <v>235665</v>
      </c>
      <c r="Y26" s="2156" t="n">
        <f aca="false">F26*W26</f>
        <v>0</v>
      </c>
      <c r="Z26" s="2156"/>
      <c r="AA26" s="2156" t="n">
        <f aca="false">'P.B'!C196</f>
        <v>0</v>
      </c>
      <c r="AB26" s="2156" t="n">
        <f aca="false">(G26+H26+I26+J26)*W26</f>
        <v>0</v>
      </c>
      <c r="AC26" s="2157" t="n">
        <f aca="false">X26+Y26+Z26+AA26+AB26</f>
        <v>235665</v>
      </c>
    </row>
    <row r="27" customFormat="false" ht="14.25" hidden="false" customHeight="false" outlineLevel="0" collapsed="false">
      <c r="A27" s="2144" t="s">
        <v>24</v>
      </c>
      <c r="B27" s="2147" t="n">
        <f aca="false">LOT!D3347</f>
        <v>0</v>
      </c>
      <c r="C27" s="2146"/>
      <c r="D27" s="2146" t="n">
        <f aca="false">NC!D24-NC!E24</f>
        <v>11322</v>
      </c>
      <c r="E27" s="2146"/>
      <c r="F27" s="2146" t="n">
        <f aca="false">NC!E24</f>
        <v>0</v>
      </c>
      <c r="G27" s="2147" t="n">
        <f aca="false">BRU!G2544</f>
        <v>0</v>
      </c>
      <c r="H27" s="2147" t="n">
        <f aca="false">BRU!I2542</f>
        <v>0</v>
      </c>
      <c r="I27" s="2147" t="n">
        <f aca="false">BRU!H2544</f>
        <v>0</v>
      </c>
      <c r="J27" s="2147" t="n">
        <f aca="false">BRU!K2544</f>
        <v>0</v>
      </c>
      <c r="K27" s="2146" t="n">
        <f aca="false">B27+D27+F27+G27+H27+I27+J27+E27</f>
        <v>11322</v>
      </c>
      <c r="L27" s="2148" t="n">
        <f aca="false">C27+D27</f>
        <v>11322</v>
      </c>
      <c r="N27" s="2160"/>
      <c r="O27" s="2147" t="n">
        <f aca="false">B27+D27</f>
        <v>11322</v>
      </c>
      <c r="P27" s="2151" t="n">
        <f aca="false">'SAL.(3)'!N29</f>
        <v>0</v>
      </c>
      <c r="Q27" s="200" t="n">
        <f aca="false">T27</f>
        <v>0</v>
      </c>
      <c r="R27" s="2150" t="n">
        <f aca="false">P27*Q27</f>
        <v>0</v>
      </c>
      <c r="S27" s="2152" t="n">
        <f aca="false">L27-P27</f>
        <v>11322</v>
      </c>
      <c r="T27" s="2161" t="n">
        <f aca="false">'SAL.(3)'!U29</f>
        <v>0</v>
      </c>
      <c r="U27" s="2153" t="n">
        <f aca="false">S27*T27</f>
        <v>0</v>
      </c>
      <c r="V27" s="2154" t="n">
        <f aca="false">O27-P27</f>
        <v>11322</v>
      </c>
      <c r="W27" s="2155"/>
      <c r="X27" s="2156" t="n">
        <f aca="false">D27*W27</f>
        <v>0</v>
      </c>
      <c r="Y27" s="2156" t="n">
        <f aca="false">F27*W27</f>
        <v>0</v>
      </c>
      <c r="Z27" s="2156" t="n">
        <f aca="false">'P.L'!C93</f>
        <v>0</v>
      </c>
      <c r="AA27" s="2156" t="n">
        <f aca="false">'P.B'!C195</f>
        <v>0</v>
      </c>
      <c r="AB27" s="2156" t="n">
        <f aca="false">(G27+H27+I27+J27)*W27</f>
        <v>0</v>
      </c>
      <c r="AC27" s="2157" t="n">
        <f aca="false">X27+Y27+Z27+AA27+AB27</f>
        <v>0</v>
      </c>
    </row>
    <row r="28" customFormat="false" ht="14.25" hidden="false" customHeight="false" outlineLevel="0" collapsed="false">
      <c r="A28" s="2162" t="s">
        <v>1675</v>
      </c>
      <c r="B28" s="2163" t="n">
        <f aca="false">SUM(B4:B27)</f>
        <v>2565022.32464313</v>
      </c>
      <c r="C28" s="2163" t="n">
        <f aca="false">SUM(C4:C27)</f>
        <v>2336314.45</v>
      </c>
      <c r="D28" s="2163" t="n">
        <f aca="false">SUM(D4:D27)</f>
        <v>6400994.1228</v>
      </c>
      <c r="E28" s="2163" t="n">
        <f aca="false">SUM(E4:E27)</f>
        <v>23911.2</v>
      </c>
      <c r="F28" s="2163" t="n">
        <f aca="false">SUM(F4:F27)</f>
        <v>12846796.66</v>
      </c>
      <c r="G28" s="2163" t="n">
        <f aca="false">SUM(G4:G27)</f>
        <v>1908790.6604</v>
      </c>
      <c r="H28" s="2163" t="n">
        <f aca="false">SUM(H4:H27)</f>
        <v>2694898.864</v>
      </c>
      <c r="I28" s="2163" t="n">
        <f aca="false">SUM(I4:I27)</f>
        <v>905487.1</v>
      </c>
      <c r="J28" s="2163" t="n">
        <f aca="false">SUM(J4:J27)</f>
        <v>144389.6</v>
      </c>
      <c r="K28" s="2164" t="n">
        <f aca="false">SUM(K4:K27)</f>
        <v>27490290.5318431</v>
      </c>
      <c r="L28" s="2165" t="n">
        <f aca="false">SUM(L4:L27)</f>
        <v>8737308.5728</v>
      </c>
      <c r="M28" s="2166" t="n">
        <f aca="false">N28/L28</f>
        <v>0.386667870948688</v>
      </c>
      <c r="N28" s="2167" t="n">
        <f aca="false">SUM(N4:N27)</f>
        <v>3378436.5036663</v>
      </c>
      <c r="O28" s="2165" t="n">
        <f aca="false">SUM(O4:O27)</f>
        <v>8966016.44744313</v>
      </c>
      <c r="P28" s="2165" t="n">
        <f aca="false">SUM(P4:P27)</f>
        <v>36851086.45</v>
      </c>
      <c r="Q28" s="2166" t="n">
        <f aca="false">R28/P28</f>
        <v>0.196200437973347</v>
      </c>
      <c r="R28" s="2167" t="n">
        <f aca="false">SUM(R4:R27)</f>
        <v>7230199.30128366</v>
      </c>
      <c r="S28" s="2168" t="n">
        <f aca="false">SUM(S4:S27)</f>
        <v>-28113777.8772</v>
      </c>
      <c r="T28" s="2166" t="n">
        <f aca="false">U28/S28</f>
        <v>0.137006232831522</v>
      </c>
      <c r="U28" s="2169" t="n">
        <f aca="false">SUM(U4:U27)</f>
        <v>-3851762.79761736</v>
      </c>
      <c r="V28" s="2168" t="n">
        <f aca="false">SUM(V4:V27)</f>
        <v>-27885070.0025569</v>
      </c>
      <c r="W28" s="2170"/>
      <c r="X28" s="2171" t="n">
        <f aca="false">SUM(X4:X27)</f>
        <v>1432052.474573</v>
      </c>
      <c r="Y28" s="2171" t="n">
        <f aca="false">SUM(Y4:Y27)</f>
        <v>3222136.14</v>
      </c>
      <c r="Z28" s="2171" t="n">
        <f aca="false">SUM(Z4:Z27)</f>
        <v>1645619.98076795</v>
      </c>
      <c r="AA28" s="2171" t="n">
        <f aca="false">SUM(AA4:AA27)</f>
        <v>5581494.65480102</v>
      </c>
      <c r="AB28" s="2171" t="n">
        <f aca="false">SUM(AB4:AB27)</f>
        <v>1603591.749704</v>
      </c>
      <c r="AC28" s="2172" t="n">
        <f aca="false">SUM(AC4:AC27)</f>
        <v>13484894.999846</v>
      </c>
    </row>
    <row r="30" customFormat="false" ht="14.25" hidden="false" customHeight="false" outlineLevel="0" collapsed="false">
      <c r="AB30" s="200"/>
    </row>
  </sheetData>
  <mergeCells count="4">
    <mergeCell ref="A1:AD1"/>
    <mergeCell ref="B2:C2"/>
    <mergeCell ref="D2:J2"/>
    <mergeCell ref="K2:U2"/>
  </mergeCells>
  <printOptions headings="false" gridLines="false" gridLinesSet="true" horizontalCentered="false" verticalCentered="false"/>
  <pageMargins left="0.118055555555556" right="0.11805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T3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P22" activeCellId="0" sqref="P22"/>
    </sheetView>
  </sheetViews>
  <sheetFormatPr defaultColWidth="9.18359375" defaultRowHeight="14.25" zeroHeight="false" outlineLevelRow="0" outlineLevelCol="0"/>
  <cols>
    <col collapsed="false" customWidth="true" hidden="false" outlineLevel="0" max="1" min="1" style="44" width="13.45"/>
    <col collapsed="false" customWidth="true" hidden="true" outlineLevel="0" max="2" min="2" style="44" width="13.54"/>
    <col collapsed="false" customWidth="true" hidden="false" outlineLevel="0" max="3" min="3" style="44" width="19.82"/>
    <col collapsed="false" customWidth="true" hidden="false" outlineLevel="0" max="4" min="4" style="44" width="14"/>
    <col collapsed="false" customWidth="true" hidden="false" outlineLevel="0" max="5" min="5" style="44" width="12.73"/>
    <col collapsed="false" customWidth="true" hidden="false" outlineLevel="0" max="6" min="6" style="44" width="13.09"/>
    <col collapsed="false" customWidth="true" hidden="false" outlineLevel="0" max="7" min="7" style="44" width="12.18"/>
    <col collapsed="false" customWidth="true" hidden="false" outlineLevel="0" max="10" min="8" style="44" width="13.18"/>
    <col collapsed="false" customWidth="true" hidden="false" outlineLevel="0" max="11" min="11" style="44" width="15"/>
    <col collapsed="false" customWidth="true" hidden="true" outlineLevel="0" max="12" min="12" style="44" width="15"/>
    <col collapsed="false" customWidth="true" hidden="false" outlineLevel="0" max="13" min="13" style="44" width="13"/>
    <col collapsed="false" customWidth="true" hidden="false" outlineLevel="0" max="14" min="14" style="44" width="17.18"/>
    <col collapsed="false" customWidth="false" hidden="false" outlineLevel="0" max="15" min="15" style="44" width="9.18"/>
    <col collapsed="false" customWidth="true" hidden="false" outlineLevel="0" max="16" min="16" style="44" width="13.73"/>
    <col collapsed="false" customWidth="false" hidden="false" outlineLevel="0" max="16384" min="17" style="44" width="9.18"/>
  </cols>
  <sheetData>
    <row r="1" customFormat="false" ht="19.7" hidden="false" customHeight="false" outlineLevel="0" collapsed="false">
      <c r="A1" s="2173" t="s">
        <v>2161</v>
      </c>
      <c r="B1" s="2173"/>
      <c r="C1" s="2173"/>
      <c r="D1" s="2173"/>
      <c r="E1" s="2173"/>
      <c r="F1" s="2173"/>
      <c r="G1" s="2173"/>
      <c r="H1" s="2173"/>
      <c r="I1" s="2173"/>
      <c r="J1" s="2173"/>
      <c r="K1" s="2173"/>
      <c r="L1" s="2173"/>
      <c r="M1" s="2173"/>
      <c r="N1" s="2173"/>
    </row>
    <row r="2" customFormat="false" ht="32.25" hidden="false" customHeight="true" outlineLevel="0" collapsed="false">
      <c r="A2" s="2174"/>
      <c r="B2" s="2175" t="s">
        <v>2121</v>
      </c>
      <c r="C2" s="2175"/>
      <c r="D2" s="2175"/>
      <c r="E2" s="2175"/>
      <c r="F2" s="2175"/>
      <c r="G2" s="2175"/>
      <c r="H2" s="2136" t="s">
        <v>3648</v>
      </c>
      <c r="I2" s="2176" t="s">
        <v>3655</v>
      </c>
      <c r="J2" s="2131" t="s">
        <v>3656</v>
      </c>
      <c r="K2" s="799" t="s">
        <v>3657</v>
      </c>
      <c r="L2" s="799" t="s">
        <v>3658</v>
      </c>
      <c r="M2" s="799" t="s">
        <v>3659</v>
      </c>
      <c r="N2" s="2177" t="s">
        <v>3660</v>
      </c>
    </row>
    <row r="3" customFormat="false" ht="15.75" hidden="false" customHeight="true" outlineLevel="0" collapsed="false">
      <c r="A3" s="2174"/>
      <c r="B3" s="2178" t="s">
        <v>3641</v>
      </c>
      <c r="C3" s="2178" t="s">
        <v>3642</v>
      </c>
      <c r="D3" s="2179" t="s">
        <v>3661</v>
      </c>
      <c r="E3" s="2180" t="s">
        <v>3662</v>
      </c>
      <c r="F3" s="2181" t="s">
        <v>3663</v>
      </c>
      <c r="G3" s="2182" t="s">
        <v>3664</v>
      </c>
      <c r="H3" s="2136"/>
      <c r="I3" s="2176"/>
      <c r="J3" s="2131"/>
      <c r="K3" s="799"/>
      <c r="L3" s="799"/>
      <c r="M3" s="799"/>
      <c r="N3" s="2177"/>
    </row>
    <row r="4" customFormat="false" ht="14.25" hidden="false" customHeight="false" outlineLevel="0" collapsed="false">
      <c r="A4" s="533" t="s">
        <v>5</v>
      </c>
      <c r="B4" s="2183" t="n">
        <f aca="false">LOT!D3327</f>
        <v>179385.2321</v>
      </c>
      <c r="C4" s="2183" t="n">
        <f aca="false">'P.L'!M72</f>
        <v>167628.75</v>
      </c>
      <c r="D4" s="854" t="n">
        <f aca="false">BRU!F2522</f>
        <v>203385.403</v>
      </c>
      <c r="E4" s="2184" t="n">
        <v>203385.6</v>
      </c>
      <c r="F4" s="2185"/>
      <c r="G4" s="854" t="n">
        <f aca="false">D4-E4-F4</f>
        <v>-0.197000000305707</v>
      </c>
      <c r="H4" s="2186" t="n">
        <f aca="false">'SAL.(3)'!N6</f>
        <v>10412.55</v>
      </c>
      <c r="I4" s="2186" t="n">
        <f aca="false">'SAL.(3)'!Q6</f>
        <v>0</v>
      </c>
      <c r="J4" s="2186" t="n">
        <f aca="false">'SAL.(3)'!S6</f>
        <v>-0.400000000023283</v>
      </c>
      <c r="K4" s="2187" t="n">
        <f aca="false">C4+G4-H4+I4+J4</f>
        <v>157215.603</v>
      </c>
      <c r="L4" s="2188" t="n">
        <f aca="false">B4+G4-H4+I4+J4</f>
        <v>168972.0851</v>
      </c>
      <c r="M4" s="2189" t="n">
        <f aca="false">'SAL. '!C63</f>
        <v>0.25</v>
      </c>
      <c r="N4" s="2190" t="n">
        <f aca="false">K4*M4</f>
        <v>39303.9007499999</v>
      </c>
    </row>
    <row r="5" customFormat="false" ht="14.25" hidden="false" customHeight="false" outlineLevel="0" collapsed="false">
      <c r="A5" s="541" t="s">
        <v>6</v>
      </c>
      <c r="B5" s="2183" t="n">
        <f aca="false">LOT!D3328</f>
        <v>291044.1095</v>
      </c>
      <c r="C5" s="2183" t="n">
        <f aca="false">'P.L'!M73</f>
        <v>302700</v>
      </c>
      <c r="D5" s="854" t="n">
        <f aca="false">BRU!F2523</f>
        <v>759359.8007</v>
      </c>
      <c r="E5" s="2184" t="n">
        <v>759360</v>
      </c>
      <c r="F5" s="2185"/>
      <c r="G5" s="854" t="n">
        <f aca="false">D5-E5-F5</f>
        <v>-0.199300000211224</v>
      </c>
      <c r="H5" s="2186" t="n">
        <f aca="false">'SAL.(3)'!N7</f>
        <v>661350</v>
      </c>
      <c r="I5" s="2186" t="n">
        <f aca="false">'SAL.(3)'!Q7</f>
        <v>0</v>
      </c>
      <c r="J5" s="2186" t="n">
        <f aca="false">'SAL.(3)'!S7</f>
        <v>0.599999999860302</v>
      </c>
      <c r="K5" s="2187" t="n">
        <f aca="false">C5+G5-H5+I5+J5</f>
        <v>-358649.5993</v>
      </c>
      <c r="L5" s="2188" t="n">
        <f aca="false">B5+G5-H5+I5+J5</f>
        <v>-370305.4898</v>
      </c>
      <c r="M5" s="2189" t="n">
        <f aca="false">'SAL. '!C64</f>
        <v>0.27</v>
      </c>
      <c r="N5" s="2191" t="n">
        <f aca="false">K5*M5</f>
        <v>-96835.3918110001</v>
      </c>
    </row>
    <row r="6" customFormat="false" ht="14.25" hidden="false" customHeight="false" outlineLevel="0" collapsed="false">
      <c r="A6" s="541" t="s">
        <v>7</v>
      </c>
      <c r="B6" s="2183" t="n">
        <f aca="false">LOT!D3329</f>
        <v>454979.4585</v>
      </c>
      <c r="C6" s="2183" t="n">
        <f aca="false">'P.L'!M74</f>
        <v>453868.65</v>
      </c>
      <c r="D6" s="854" t="n">
        <f aca="false">BRU!F2524</f>
        <v>503959.4015</v>
      </c>
      <c r="E6" s="2184" t="n">
        <v>141873.4</v>
      </c>
      <c r="F6" s="2185"/>
      <c r="G6" s="854" t="n">
        <f aca="false">D6-E6-F6</f>
        <v>362086.0015</v>
      </c>
      <c r="H6" s="2186" t="n">
        <f aca="false">'SAL.(3)'!N8</f>
        <v>305434.8</v>
      </c>
      <c r="I6" s="2186" t="n">
        <f aca="false">'SAL.(3)'!Q8</f>
        <v>0</v>
      </c>
      <c r="J6" s="2186" t="n">
        <f aca="false">'SAL.(3)'!S8</f>
        <v>0.237399360048585</v>
      </c>
      <c r="K6" s="2187" t="n">
        <f aca="false">C6+G6-H6+I6+J6</f>
        <v>510520.08889936</v>
      </c>
      <c r="L6" s="2188" t="n">
        <f aca="false">B6+G6-H6+I6+J6</f>
        <v>511630.89739936</v>
      </c>
      <c r="M6" s="2189" t="n">
        <f aca="false">'SAL. '!C65</f>
        <v>0.32</v>
      </c>
      <c r="N6" s="2192" t="n">
        <f aca="false">K6*M6</f>
        <v>163366.428447795</v>
      </c>
    </row>
    <row r="7" customFormat="false" ht="14.25" hidden="false" customHeight="false" outlineLevel="0" collapsed="false">
      <c r="A7" s="541" t="s">
        <v>8</v>
      </c>
      <c r="B7" s="2183" t="n">
        <f aca="false">LOT!D3330</f>
        <v>1039512.933</v>
      </c>
      <c r="C7" s="2183" t="n">
        <f aca="false">'P.L'!M75</f>
        <v>856725</v>
      </c>
      <c r="D7" s="854" t="n">
        <f aca="false">BRU!F2525</f>
        <v>191181.3003</v>
      </c>
      <c r="E7" s="2184" t="n">
        <v>140460.3</v>
      </c>
      <c r="F7" s="2185"/>
      <c r="G7" s="854" t="n">
        <f aca="false">D7-E7-F7</f>
        <v>50721.0003000002</v>
      </c>
      <c r="H7" s="2186" t="n">
        <f aca="false">'SAL.(3)'!N9</f>
        <v>14100</v>
      </c>
      <c r="I7" s="2186" t="n">
        <f aca="false">'SAL.(3)'!Q9</f>
        <v>0</v>
      </c>
      <c r="J7" s="2186" t="n">
        <f aca="false">'SAL.(3)'!S9</f>
        <v>0.25</v>
      </c>
      <c r="K7" s="2187" t="n">
        <f aca="false">C7+G7-H7+I7+J7</f>
        <v>893346.2503</v>
      </c>
      <c r="L7" s="2188" t="n">
        <f aca="false">B7+G7-H7+I7+J7</f>
        <v>1076134.1833</v>
      </c>
      <c r="M7" s="2193" t="n">
        <f aca="false">'SAL. '!C66</f>
        <v>0.19</v>
      </c>
      <c r="N7" s="2192" t="n">
        <f aca="false">K7*M7</f>
        <v>169735.787557</v>
      </c>
    </row>
    <row r="8" customFormat="false" ht="14.25" hidden="false" customHeight="false" outlineLevel="0" collapsed="false">
      <c r="A8" s="541" t="s">
        <v>9</v>
      </c>
      <c r="B8" s="2183" t="n">
        <f aca="false">LOT!D3331</f>
        <v>0</v>
      </c>
      <c r="C8" s="2183" t="n">
        <f aca="false">'P.L'!M76</f>
        <v>0</v>
      </c>
      <c r="D8" s="854" t="n">
        <f aca="false">BRU!F2526</f>
        <v>0</v>
      </c>
      <c r="E8" s="2194"/>
      <c r="F8" s="2185"/>
      <c r="G8" s="854" t="n">
        <f aca="false">D8-E8-F8</f>
        <v>0</v>
      </c>
      <c r="H8" s="2186" t="n">
        <f aca="false">'SAL.(3)'!N10</f>
        <v>0</v>
      </c>
      <c r="I8" s="2186" t="n">
        <f aca="false">'SAL.(3)'!Q10</f>
        <v>0</v>
      </c>
      <c r="J8" s="2186" t="n">
        <f aca="false">'SAL.(3)'!S10</f>
        <v>0</v>
      </c>
      <c r="K8" s="2187" t="n">
        <f aca="false">C8+G8-H8+I8+J8</f>
        <v>0</v>
      </c>
      <c r="L8" s="2188" t="n">
        <f aca="false">B8+G8-H8+I8+J8</f>
        <v>0</v>
      </c>
      <c r="M8" s="2189" t="n">
        <f aca="false">'SAL. '!C67</f>
        <v>0.24</v>
      </c>
      <c r="N8" s="2192" t="n">
        <f aca="false">K8*M8</f>
        <v>0</v>
      </c>
    </row>
    <row r="9" customFormat="false" ht="14.25" hidden="false" customHeight="false" outlineLevel="0" collapsed="false">
      <c r="A9" s="541" t="s">
        <v>10</v>
      </c>
      <c r="B9" s="2183" t="n">
        <f aca="false">LOT!D3332</f>
        <v>198034.94604313</v>
      </c>
      <c r="C9" s="2183" t="n">
        <f aca="false">'P.L'!M77</f>
        <v>182838</v>
      </c>
      <c r="D9" s="854" t="n">
        <f aca="false">BRU!F2527</f>
        <v>13696395.5245</v>
      </c>
      <c r="E9" s="2184" t="n">
        <v>9033383.9</v>
      </c>
      <c r="F9" s="2185"/>
      <c r="G9" s="854" t="n">
        <f aca="false">D9-E9-F9</f>
        <v>4663011.6245</v>
      </c>
      <c r="H9" s="2186" t="n">
        <f aca="false">'SAL.(3)'!N11</f>
        <v>35310388.5</v>
      </c>
      <c r="I9" s="2186" t="n">
        <f aca="false">'SAL.(3)'!R11</f>
        <v>0</v>
      </c>
      <c r="J9" s="2186" t="n">
        <f aca="false">'SAL.(3)'!S11</f>
        <v>0</v>
      </c>
      <c r="K9" s="2187" t="n">
        <f aca="false">C9+G9-H9+I9+J9</f>
        <v>-30464538.8755</v>
      </c>
      <c r="L9" s="2188" t="n">
        <f aca="false">B9+G9-H9+I9+J9</f>
        <v>-30449341.9294569</v>
      </c>
      <c r="M9" s="2189" t="n">
        <f aca="false">'SAL. '!C68</f>
        <v>0.09</v>
      </c>
      <c r="N9" s="2191" t="n">
        <f aca="false">K9*M9</f>
        <v>-2741808.498795</v>
      </c>
    </row>
    <row r="10" customFormat="false" ht="14.25" hidden="false" customHeight="false" outlineLevel="0" collapsed="false">
      <c r="A10" s="541" t="s">
        <v>11</v>
      </c>
      <c r="B10" s="2183" t="n">
        <f aca="false">LOT!D3333</f>
        <v>73153.8335</v>
      </c>
      <c r="C10" s="2183" t="n">
        <f aca="false">'P.L'!M78</f>
        <v>88440</v>
      </c>
      <c r="D10" s="854" t="n">
        <f aca="false">BRU!F2528</f>
        <v>213229.262</v>
      </c>
      <c r="E10" s="2184" t="n">
        <f aca="false">BRU!T202+BRU!T222+BRU!T230+BRU!T258</f>
        <v>213229.26</v>
      </c>
      <c r="F10" s="2185"/>
      <c r="G10" s="854" t="n">
        <f aca="false">D10-E10-F10</f>
        <v>0.00200000000768341</v>
      </c>
      <c r="H10" s="2186" t="n">
        <f aca="false">'SAL.(3)'!N12</f>
        <v>0</v>
      </c>
      <c r="I10" s="2186" t="n">
        <f aca="false">'SAL.(3)'!Q12</f>
        <v>0</v>
      </c>
      <c r="J10" s="2186" t="n">
        <f aca="false">'SAL.(3)'!S12</f>
        <v>0.454000000070664</v>
      </c>
      <c r="K10" s="2187" t="n">
        <f aca="false">C10+G10-H10+I10+J10</f>
        <v>88440.4560000001</v>
      </c>
      <c r="L10" s="2188" t="n">
        <f aca="false">B10+G10-H10+I10+J10</f>
        <v>73154.2895</v>
      </c>
      <c r="M10" s="2189" t="n">
        <f aca="false">'SAL. '!C69</f>
        <v>2.5</v>
      </c>
      <c r="N10" s="2192" t="n">
        <f aca="false">K10*M10</f>
        <v>221101.14</v>
      </c>
    </row>
    <row r="11" customFormat="false" ht="14.25" hidden="false" customHeight="false" outlineLevel="0" collapsed="false">
      <c r="A11" s="541" t="s">
        <v>12</v>
      </c>
      <c r="B11" s="2183" t="n">
        <f aca="false">LOT!D3334</f>
        <v>26301.5265</v>
      </c>
      <c r="C11" s="2183" t="n">
        <f aca="false">'P.L'!M79</f>
        <v>26730</v>
      </c>
      <c r="D11" s="854" t="n">
        <f aca="false">BRU!F2529</f>
        <v>630752.4476</v>
      </c>
      <c r="E11" s="2194" t="n">
        <v>630752</v>
      </c>
      <c r="F11" s="2185"/>
      <c r="G11" s="854" t="n">
        <f aca="false">D11-E11-F11</f>
        <v>0.447599999955855</v>
      </c>
      <c r="H11" s="2186" t="n">
        <f aca="false">'SAL.(3)'!N13</f>
        <v>20520</v>
      </c>
      <c r="I11" s="2186" t="n">
        <f aca="false">'SAL.(3)'!Q13</f>
        <v>0</v>
      </c>
      <c r="J11" s="2186" t="n">
        <f aca="false">'SAL.(3)'!S13</f>
        <v>0</v>
      </c>
      <c r="K11" s="2187" t="n">
        <f aca="false">C11+G11-H11+I11+J11</f>
        <v>6210.44759999996</v>
      </c>
      <c r="L11" s="2188" t="n">
        <f aca="false">B11+G11-H11+I11+J11</f>
        <v>5781.97409999996</v>
      </c>
      <c r="M11" s="2189" t="n">
        <f aca="false">'SAL. '!C70</f>
        <v>1.8</v>
      </c>
      <c r="N11" s="2192" t="n">
        <f aca="false">K11*M11</f>
        <v>11178.8056799999</v>
      </c>
    </row>
    <row r="12" customFormat="false" ht="14.25" hidden="false" customHeight="false" outlineLevel="0" collapsed="false">
      <c r="A12" s="541" t="s">
        <v>13</v>
      </c>
      <c r="B12" s="2183" t="n">
        <f aca="false">LOT!D3335</f>
        <v>7238.51860000002</v>
      </c>
      <c r="C12" s="2183" t="n">
        <f aca="false">'P.L'!M80</f>
        <v>7087.5</v>
      </c>
      <c r="D12" s="854" t="n">
        <f aca="false">BRU!F2530</f>
        <v>70688.7991999999</v>
      </c>
      <c r="E12" s="2184"/>
      <c r="F12" s="2185"/>
      <c r="G12" s="854" t="n">
        <f aca="false">D12-E12-F12</f>
        <v>70688.7991999999</v>
      </c>
      <c r="H12" s="2186" t="n">
        <f aca="false">'SAL.(3)'!N14</f>
        <v>379937.5</v>
      </c>
      <c r="I12" s="2186" t="n">
        <f aca="false">'SAL.(3)'!Q14</f>
        <v>0</v>
      </c>
      <c r="J12" s="2186" t="n">
        <f aca="false">'SAL.(3)'!S14</f>
        <v>-0.500000000043656</v>
      </c>
      <c r="K12" s="2187" t="n">
        <f aca="false">C12+G12-H12+I12+J12</f>
        <v>-302161.7008</v>
      </c>
      <c r="L12" s="2188" t="n">
        <f aca="false">B12+G12-H12+I12+J12</f>
        <v>-302010.6822</v>
      </c>
      <c r="M12" s="2189" t="n">
        <f aca="false">'SAL. '!C71</f>
        <v>0.26</v>
      </c>
      <c r="N12" s="2191" t="n">
        <f aca="false">K12*M12</f>
        <v>-78562.042208</v>
      </c>
      <c r="P12" s="475"/>
    </row>
    <row r="13" customFormat="false" ht="14.25" hidden="false" customHeight="false" outlineLevel="0" collapsed="false">
      <c r="A13" s="541" t="s">
        <v>14</v>
      </c>
      <c r="B13" s="2183" t="n">
        <f aca="false">LOT!D3336</f>
        <v>0</v>
      </c>
      <c r="C13" s="2183" t="n">
        <f aca="false">'P.L'!M81</f>
        <v>0</v>
      </c>
      <c r="D13" s="854" t="n">
        <f aca="false">BRU!F2531</f>
        <v>32447</v>
      </c>
      <c r="E13" s="2194" t="n">
        <v>32447</v>
      </c>
      <c r="F13" s="2185"/>
      <c r="G13" s="854" t="n">
        <f aca="false">D13-E13-F13</f>
        <v>0</v>
      </c>
      <c r="H13" s="2186" t="n">
        <f aca="false">'SAL.(3)'!N15</f>
        <v>0</v>
      </c>
      <c r="I13" s="2186" t="n">
        <f aca="false">'SAL.(3)'!Q15</f>
        <v>0</v>
      </c>
      <c r="J13" s="2186" t="n">
        <f aca="false">'SAL.(3)'!S15</f>
        <v>0</v>
      </c>
      <c r="K13" s="2187" t="n">
        <f aca="false">C13+G13-H13+I13+J13</f>
        <v>0</v>
      </c>
      <c r="L13" s="2188" t="n">
        <f aca="false">B13+G13-H13+I13+J13</f>
        <v>0</v>
      </c>
      <c r="M13" s="2189" t="n">
        <f aca="false">'SAL. '!C72</f>
        <v>0.2</v>
      </c>
      <c r="N13" s="2192" t="n">
        <f aca="false">K13*M13</f>
        <v>0</v>
      </c>
    </row>
    <row r="14" customFormat="false" ht="14.25" hidden="false" customHeight="false" outlineLevel="0" collapsed="false">
      <c r="A14" s="541" t="s">
        <v>15</v>
      </c>
      <c r="B14" s="2183" t="n">
        <f aca="false">LOT!D3337</f>
        <v>153216.1785</v>
      </c>
      <c r="C14" s="2183" t="n">
        <f aca="false">'P.L'!M82</f>
        <v>117000</v>
      </c>
      <c r="D14" s="854" t="n">
        <f aca="false">BRU!F2532</f>
        <v>0.000199999936739914</v>
      </c>
      <c r="E14" s="2184"/>
      <c r="F14" s="2185"/>
      <c r="G14" s="854" t="n">
        <f aca="false">D14-E14-F14</f>
        <v>0.000199999936739914</v>
      </c>
      <c r="H14" s="2186" t="n">
        <f aca="false">'SAL.(3)'!N16</f>
        <v>57712.5</v>
      </c>
      <c r="I14" s="2186" t="n">
        <f aca="false">'SAL.(3)'!Q16</f>
        <v>0</v>
      </c>
      <c r="J14" s="2186" t="n">
        <f aca="false">'SAL.(3)'!S16</f>
        <v>0</v>
      </c>
      <c r="K14" s="2187" t="n">
        <f aca="false">C14+G14-H14+I14+J14</f>
        <v>59287.5001999999</v>
      </c>
      <c r="L14" s="2188" t="n">
        <f aca="false">B14+G14-H14+I14+J14</f>
        <v>95503.6786999999</v>
      </c>
      <c r="M14" s="2189" t="n">
        <f aca="false">'SAL. '!C73</f>
        <v>0.3</v>
      </c>
      <c r="N14" s="2192" t="n">
        <f aca="false">K14*M14</f>
        <v>17786.25006</v>
      </c>
      <c r="T14" s="56"/>
    </row>
    <row r="15" customFormat="false" ht="14.25" hidden="false" customHeight="false" outlineLevel="0" collapsed="false">
      <c r="A15" s="541" t="s">
        <v>16</v>
      </c>
      <c r="B15" s="2183" t="n">
        <f aca="false">LOT!D3338</f>
        <v>-2.61479726759717E-012</v>
      </c>
      <c r="C15" s="2183" t="n">
        <f aca="false">'P.L'!M83</f>
        <v>0</v>
      </c>
      <c r="D15" s="854" t="n">
        <f aca="false">BRU!F2533</f>
        <v>135184.9</v>
      </c>
      <c r="E15" s="2194"/>
      <c r="F15" s="2185"/>
      <c r="G15" s="854" t="n">
        <f aca="false">D15-E15-F15</f>
        <v>135184.9</v>
      </c>
      <c r="H15" s="2186" t="n">
        <f aca="false">'SAL.(3)'!N17</f>
        <v>0</v>
      </c>
      <c r="I15" s="2186" t="n">
        <f aca="false">'SAL.(3)'!Q17</f>
        <v>0</v>
      </c>
      <c r="J15" s="2186" t="n">
        <f aca="false">'SAL.(3)'!S17</f>
        <v>0</v>
      </c>
      <c r="K15" s="2187" t="n">
        <f aca="false">C15+G15-H15+I15+J15</f>
        <v>135184.9</v>
      </c>
      <c r="L15" s="2188" t="n">
        <f aca="false">B15+G15-H15+I15+J15</f>
        <v>135184.9</v>
      </c>
      <c r="M15" s="2189" t="n">
        <f aca="false">'SAL. '!C74</f>
        <v>0.41</v>
      </c>
      <c r="N15" s="2192" t="n">
        <f aca="false">K15*M15</f>
        <v>55425.809</v>
      </c>
    </row>
    <row r="16" customFormat="false" ht="14.25" hidden="false" customHeight="false" outlineLevel="0" collapsed="false">
      <c r="A16" s="541" t="s">
        <v>17</v>
      </c>
      <c r="B16" s="2183" t="n">
        <f aca="false">LOT!D3339</f>
        <v>1571.81939999983</v>
      </c>
      <c r="C16" s="2183" t="n">
        <f aca="false">'P.L'!M84</f>
        <v>1350</v>
      </c>
      <c r="D16" s="854" t="n">
        <f aca="false">BRU!F2534</f>
        <v>230958</v>
      </c>
      <c r="E16" s="2194" t="n">
        <v>230957.7</v>
      </c>
      <c r="F16" s="2185"/>
      <c r="G16" s="854" t="n">
        <f aca="false">D16-E16-F16</f>
        <v>0.300000000162981</v>
      </c>
      <c r="H16" s="2186" t="n">
        <f aca="false">'SAL.(3)'!N18</f>
        <v>64125</v>
      </c>
      <c r="I16" s="2186" t="n">
        <f aca="false">'SAL.(3)'!Q18</f>
        <v>0</v>
      </c>
      <c r="J16" s="2186" t="n">
        <f aca="false">'SAL.(3)'!S18</f>
        <v>0</v>
      </c>
      <c r="K16" s="2187" t="n">
        <f aca="false">C16+G16-H16+I16+J16</f>
        <v>-62774.6999999998</v>
      </c>
      <c r="L16" s="2188" t="n">
        <f aca="false">B16+G16-H16+I16+J16</f>
        <v>-62552.8806</v>
      </c>
      <c r="M16" s="2189" t="n">
        <f aca="false">'SAL. '!C75</f>
        <v>0.22</v>
      </c>
      <c r="N16" s="2191" t="n">
        <f aca="false">K16*M16</f>
        <v>-13810.434</v>
      </c>
    </row>
    <row r="17" customFormat="false" ht="14.25" hidden="false" customHeight="false" outlineLevel="0" collapsed="false">
      <c r="A17" s="541" t="s">
        <v>3351</v>
      </c>
      <c r="B17" s="2183" t="n">
        <f aca="false">LOT!D3340</f>
        <v>14312.055</v>
      </c>
      <c r="C17" s="2183" t="n">
        <f aca="false">'P.L'!M85</f>
        <v>14269.05</v>
      </c>
      <c r="D17" s="854" t="n">
        <f aca="false">BRU!F2535</f>
        <v>731635.3003</v>
      </c>
      <c r="E17" s="2194"/>
      <c r="F17" s="2185"/>
      <c r="G17" s="854" t="n">
        <f aca="false">D17-E17-F17</f>
        <v>731635.3003</v>
      </c>
      <c r="H17" s="2186" t="n">
        <f aca="false">'SAL.(3)'!N19</f>
        <v>9255.6</v>
      </c>
      <c r="I17" s="2186" t="n">
        <f aca="false">'SAL.(3)'!Q19</f>
        <v>0</v>
      </c>
      <c r="J17" s="2186" t="n">
        <f aca="false">'SAL.(3)'!S19</f>
        <v>0</v>
      </c>
      <c r="K17" s="2187" t="n">
        <f aca="false">C17+G17-H17+I17+J17</f>
        <v>736648.7503</v>
      </c>
      <c r="L17" s="2188" t="n">
        <f aca="false">B17+G17-H17+I17+J17</f>
        <v>736691.7553</v>
      </c>
      <c r="M17" s="2189" t="n">
        <f aca="false">'SAL. '!C76</f>
        <v>0.3</v>
      </c>
      <c r="N17" s="2192" t="n">
        <f aca="false">K17*M17</f>
        <v>220994.62509</v>
      </c>
    </row>
    <row r="18" customFormat="false" ht="14.25" hidden="false" customHeight="false" outlineLevel="0" collapsed="false">
      <c r="A18" s="541" t="s">
        <v>19</v>
      </c>
      <c r="B18" s="2183" t="n">
        <f aca="false">LOT!D3341</f>
        <v>62916.0000000001</v>
      </c>
      <c r="C18" s="2183" t="n">
        <f aca="false">'P.L'!M86</f>
        <v>60187.5</v>
      </c>
      <c r="D18" s="854" t="n">
        <f aca="false">BRU!F2536</f>
        <v>613447.7435</v>
      </c>
      <c r="E18" s="2184" t="n">
        <v>504822.5</v>
      </c>
      <c r="F18" s="2185"/>
      <c r="G18" s="854" t="n">
        <f aca="false">D18-E18-F18</f>
        <v>108625.2435</v>
      </c>
      <c r="H18" s="2186" t="n">
        <f aca="false">'SAL.(3)'!N20</f>
        <v>17550</v>
      </c>
      <c r="I18" s="2186" t="n">
        <f aca="false">'SAL.(3)'!Q20</f>
        <v>0</v>
      </c>
      <c r="J18" s="2186" t="n">
        <f aca="false">'SAL.(3)'!S20</f>
        <v>0</v>
      </c>
      <c r="K18" s="2187" t="n">
        <f aca="false">C18+G18-H18+I18+J18</f>
        <v>151262.7435</v>
      </c>
      <c r="L18" s="2188" t="n">
        <f aca="false">B18+G18-H18+I18+J18</f>
        <v>153991.2435</v>
      </c>
      <c r="M18" s="2189" t="n">
        <f aca="false">'SAL. '!C77</f>
        <v>0.42</v>
      </c>
      <c r="N18" s="2192" t="n">
        <f aca="false">K18*M18</f>
        <v>63530.35227</v>
      </c>
    </row>
    <row r="19" customFormat="false" ht="14.25" hidden="false" customHeight="false" outlineLevel="0" collapsed="false">
      <c r="A19" s="541" t="s">
        <v>20</v>
      </c>
      <c r="B19" s="2183" t="n">
        <f aca="false">LOT!D3342</f>
        <v>-3.12638803734444E-011</v>
      </c>
      <c r="C19" s="2183" t="n">
        <f aca="false">'P.L'!M87</f>
        <v>0</v>
      </c>
      <c r="D19" s="854" t="n">
        <f aca="false">BRU!F2539</f>
        <v>956124.7</v>
      </c>
      <c r="E19" s="2194" t="n">
        <v>956125</v>
      </c>
      <c r="F19" s="2185"/>
      <c r="G19" s="854" t="n">
        <f aca="false">D19-E19-F19</f>
        <v>-0.300000000046566</v>
      </c>
      <c r="H19" s="2186" t="n">
        <f aca="false">'SAL.(3)'!N21</f>
        <v>0</v>
      </c>
      <c r="I19" s="2186" t="n">
        <f aca="false">'SAL.(3)'!Q21</f>
        <v>0</v>
      </c>
      <c r="J19" s="2186" t="n">
        <f aca="false">'SAL.(3)'!S21</f>
        <v>0</v>
      </c>
      <c r="K19" s="2187" t="n">
        <f aca="false">C19+G19-H19+I19+J19</f>
        <v>-0.300000000046566</v>
      </c>
      <c r="L19" s="2188" t="n">
        <f aca="false">B19+G19-H19+I19+J19</f>
        <v>-0.30000000007783</v>
      </c>
      <c r="M19" s="2189" t="n">
        <f aca="false">'SAL. '!C78</f>
        <v>0.15</v>
      </c>
      <c r="N19" s="2195" t="n">
        <f aca="false">K19*M19</f>
        <v>-0.0450000000069849</v>
      </c>
    </row>
    <row r="20" customFormat="false" ht="14.25" hidden="false" customHeight="false" outlineLevel="0" collapsed="false">
      <c r="A20" s="541" t="s">
        <v>22</v>
      </c>
      <c r="B20" s="2183" t="n">
        <f aca="false">LOT!D3348</f>
        <v>45690.714</v>
      </c>
      <c r="C20" s="2183" t="n">
        <f aca="false">'P.L'!M88</f>
        <v>39825</v>
      </c>
      <c r="D20" s="854" t="n">
        <f aca="false">BRU!F2538</f>
        <v>269833.4</v>
      </c>
      <c r="E20" s="2194"/>
      <c r="F20" s="2185" t="n">
        <v>23911.2</v>
      </c>
      <c r="G20" s="854" t="n">
        <f aca="false">D20-E20-F20</f>
        <v>245922.2</v>
      </c>
      <c r="H20" s="2186" t="n">
        <f aca="false">'SAL.(3)'!N22</f>
        <v>0</v>
      </c>
      <c r="I20" s="2186" t="n">
        <f aca="false">'SAL.(3)'!Q22</f>
        <v>0</v>
      </c>
      <c r="J20" s="2186" t="n">
        <f aca="false">'SAL.(3)'!S22</f>
        <v>0.100000000034925</v>
      </c>
      <c r="K20" s="2187" t="n">
        <f aca="false">C20+G20-H20+I20+J20</f>
        <v>285747.3</v>
      </c>
      <c r="L20" s="2188" t="n">
        <f aca="false">B20+G20-H20+I20+J20</f>
        <v>291613.014</v>
      </c>
      <c r="M20" s="2189" t="n">
        <f aca="false">'SAL. '!C80</f>
        <v>0.5</v>
      </c>
      <c r="N20" s="2192" t="n">
        <f aca="false">K20*M20</f>
        <v>142873.65</v>
      </c>
    </row>
    <row r="21" customFormat="false" ht="14.25" hidden="false" customHeight="false" outlineLevel="0" collapsed="false">
      <c r="A21" s="541" t="s">
        <v>172</v>
      </c>
      <c r="B21" s="2183" t="n">
        <f aca="false">LOT!D3343</f>
        <v>0</v>
      </c>
      <c r="C21" s="2183" t="n">
        <f aca="false">'P.L'!M89</f>
        <v>0</v>
      </c>
      <c r="D21" s="854" t="n">
        <f aca="false">BRU!F2537</f>
        <v>4082</v>
      </c>
      <c r="E21" s="2194"/>
      <c r="F21" s="2185"/>
      <c r="G21" s="854" t="n">
        <f aca="false">D21-E21-F21</f>
        <v>4082</v>
      </c>
      <c r="H21" s="2186" t="n">
        <f aca="false">'SAL.(3)'!N24</f>
        <v>0</v>
      </c>
      <c r="I21" s="2186" t="n">
        <f aca="false">'SAL.(3)'!Q24</f>
        <v>0</v>
      </c>
      <c r="J21" s="2186" t="n">
        <f aca="false">'SAL.(3)'!S24</f>
        <v>0</v>
      </c>
      <c r="K21" s="2187" t="n">
        <f aca="false">C21+G21-H21+I21+J21</f>
        <v>4082</v>
      </c>
      <c r="L21" s="2188" t="n">
        <f aca="false">B21+G21-H21+I21+J21</f>
        <v>4082</v>
      </c>
      <c r="M21" s="2189" t="n">
        <f aca="false">'SAL. '!C83</f>
        <v>39.77</v>
      </c>
      <c r="N21" s="2192" t="n">
        <f aca="false">K21*M21</f>
        <v>162341.14</v>
      </c>
    </row>
    <row r="22" customFormat="false" ht="14.25" hidden="false" customHeight="false" outlineLevel="0" collapsed="false">
      <c r="A22" s="541" t="s">
        <v>173</v>
      </c>
      <c r="B22" s="2183" t="n">
        <f aca="false">LOT!D3344</f>
        <v>2550</v>
      </c>
      <c r="C22" s="2183" t="n">
        <f aca="false">'P.L'!M90</f>
        <v>2550</v>
      </c>
      <c r="D22" s="854" t="n">
        <f aca="false">BRU!F2545</f>
        <v>2004</v>
      </c>
      <c r="E22" s="2194"/>
      <c r="F22" s="2185"/>
      <c r="G22" s="854" t="n">
        <f aca="false">D22-E22-F22</f>
        <v>2004</v>
      </c>
      <c r="H22" s="2186" t="n">
        <f aca="false">'SAL.(3)'!N25</f>
        <v>0</v>
      </c>
      <c r="I22" s="2186" t="n">
        <f aca="false">'SAL.(3)'!Q25</f>
        <v>0</v>
      </c>
      <c r="J22" s="2186" t="n">
        <f aca="false">'SAL.(3)'!S25</f>
        <v>0</v>
      </c>
      <c r="K22" s="2187" t="n">
        <f aca="false">C22+G22-H22+I22+J22</f>
        <v>4554</v>
      </c>
      <c r="L22" s="2188" t="n">
        <f aca="false">B22+G22-H22+I22+J22</f>
        <v>4554</v>
      </c>
      <c r="M22" s="2189" t="n">
        <f aca="false">'SAL. '!C85</f>
        <v>10</v>
      </c>
      <c r="N22" s="2192" t="n">
        <f aca="false">K22*M22</f>
        <v>45540</v>
      </c>
    </row>
    <row r="23" customFormat="false" ht="14.25" hidden="false" customHeight="false" outlineLevel="0" collapsed="false">
      <c r="A23" s="541" t="s">
        <v>23</v>
      </c>
      <c r="B23" s="2183" t="n">
        <f aca="false">LOT!D3345</f>
        <v>6060</v>
      </c>
      <c r="C23" s="2183" t="n">
        <f aca="false">'P.L'!L91</f>
        <v>6060</v>
      </c>
      <c r="D23" s="854" t="n">
        <f aca="false">BRU!F2541</f>
        <v>0</v>
      </c>
      <c r="E23" s="2194"/>
      <c r="F23" s="2185"/>
      <c r="G23" s="854" t="n">
        <f aca="false">D23-E23-F23</f>
        <v>0</v>
      </c>
      <c r="H23" s="2186" t="n">
        <f aca="false">'SAL.(3)'!N26</f>
        <v>0</v>
      </c>
      <c r="I23" s="2186" t="n">
        <f aca="false">'SAL.(3)'!Q26</f>
        <v>0</v>
      </c>
      <c r="J23" s="2186" t="n">
        <f aca="false">'SAL.(3)'!S26</f>
        <v>0</v>
      </c>
      <c r="K23" s="2187" t="n">
        <f aca="false">C23+G23-H23+I23+J23</f>
        <v>6060</v>
      </c>
      <c r="L23" s="2188" t="n">
        <f aca="false">B23+G23-H23+I23+J23</f>
        <v>6060</v>
      </c>
      <c r="M23" s="2189" t="n">
        <f aca="false">'SAL. '!C82</f>
        <v>15</v>
      </c>
      <c r="N23" s="2192" t="n">
        <f aca="false">K23*M23</f>
        <v>90900</v>
      </c>
    </row>
    <row r="24" customFormat="false" ht="14.25" hidden="false" customHeight="false" outlineLevel="0" collapsed="false">
      <c r="A24" s="541" t="s">
        <v>24</v>
      </c>
      <c r="B24" s="2183" t="n">
        <f aca="false">LOT!D3347</f>
        <v>0</v>
      </c>
      <c r="C24" s="2183"/>
      <c r="D24" s="854" t="n">
        <f aca="false">BRU!F2542</f>
        <v>11322</v>
      </c>
      <c r="E24" s="2194"/>
      <c r="F24" s="2185"/>
      <c r="G24" s="854" t="n">
        <f aca="false">D24-E24-F24</f>
        <v>11322</v>
      </c>
      <c r="H24" s="2186" t="n">
        <f aca="false">'SAL.(3)'!N29</f>
        <v>0</v>
      </c>
      <c r="I24" s="2186" t="n">
        <f aca="false">'SAL.(3)'!Q29</f>
        <v>0</v>
      </c>
      <c r="J24" s="2186" t="n">
        <f aca="false">'SAL.(3)'!S29</f>
        <v>0</v>
      </c>
      <c r="K24" s="2187" t="n">
        <f aca="false">C24+G24-H24+I24+J24</f>
        <v>11322</v>
      </c>
      <c r="L24" s="2188" t="n">
        <f aca="false">B24+G24-H24+I24+J24</f>
        <v>11322</v>
      </c>
      <c r="M24" s="2189" t="n">
        <f aca="false">'SAL. '!C86</f>
        <v>0</v>
      </c>
      <c r="N24" s="2192" t="n">
        <f aca="false">K24*M24</f>
        <v>0</v>
      </c>
    </row>
    <row r="25" customFormat="false" ht="14.25" hidden="false" customHeight="false" outlineLevel="0" collapsed="false">
      <c r="A25" s="541" t="s">
        <v>21</v>
      </c>
      <c r="B25" s="2183" t="n">
        <f aca="false">LOT!D3346</f>
        <v>9055</v>
      </c>
      <c r="C25" s="2183" t="n">
        <f aca="false">'P.L'!M92</f>
        <v>9055</v>
      </c>
      <c r="D25" s="854" t="n">
        <f aca="false">BRU!F2543</f>
        <v>0</v>
      </c>
      <c r="E25" s="2196"/>
      <c r="F25" s="2197"/>
      <c r="G25" s="854" t="n">
        <f aca="false">D25-E25-F25</f>
        <v>0</v>
      </c>
      <c r="H25" s="2198" t="n">
        <f aca="false">'SAL.(3)'!N27</f>
        <v>300</v>
      </c>
      <c r="I25" s="2186" t="n">
        <f aca="false">'SAL.(3)'!Q27</f>
        <v>0</v>
      </c>
      <c r="J25" s="2186" t="n">
        <f aca="false">'SAL.(3)'!S27</f>
        <v>0</v>
      </c>
      <c r="K25" s="2187" t="n">
        <f aca="false">C25+G25-H25+I25+J25</f>
        <v>8755</v>
      </c>
      <c r="L25" s="2188" t="n">
        <f aca="false">B25+G25-H25+I25+J25</f>
        <v>8755</v>
      </c>
      <c r="M25" s="2199" t="n">
        <f aca="false">'SAL. '!C79</f>
        <v>2.6</v>
      </c>
      <c r="N25" s="2192" t="n">
        <f aca="false">K25*M25</f>
        <v>22763</v>
      </c>
    </row>
    <row r="26" customFormat="false" ht="14.25" hidden="false" customHeight="false" outlineLevel="0" collapsed="false">
      <c r="A26" s="541" t="s">
        <v>74</v>
      </c>
      <c r="B26" s="2183" t="n">
        <f aca="false">LOT!D3350</f>
        <v>0</v>
      </c>
      <c r="C26" s="2183" t="n">
        <f aca="false">'P.L'!M93</f>
        <v>0</v>
      </c>
      <c r="D26" s="854" t="n">
        <f aca="false">BRU!F2544</f>
        <v>15711</v>
      </c>
      <c r="E26" s="2196"/>
      <c r="F26" s="2197"/>
      <c r="G26" s="854" t="n">
        <f aca="false">D26-E26-F26</f>
        <v>15711</v>
      </c>
      <c r="H26" s="2198" t="n">
        <f aca="false">'SAL.(3)'!N28</f>
        <v>0</v>
      </c>
      <c r="I26" s="2186" t="n">
        <f aca="false">'SAL.(3)'!Q28</f>
        <v>0</v>
      </c>
      <c r="J26" s="2186" t="n">
        <f aca="false">'SAL.(3)'!S28</f>
        <v>0</v>
      </c>
      <c r="K26" s="2187" t="n">
        <f aca="false">C26+G26-H26+I26+J26</f>
        <v>15711</v>
      </c>
      <c r="L26" s="2188" t="n">
        <f aca="false">B26+G26-H26+I26+J26</f>
        <v>15711</v>
      </c>
      <c r="M26" s="2199" t="n">
        <f aca="false">'SAL. '!C84</f>
        <v>5</v>
      </c>
      <c r="N26" s="2192" t="n">
        <f aca="false">K26*M26</f>
        <v>78555</v>
      </c>
    </row>
    <row r="27" customFormat="false" ht="14.25" hidden="false" customHeight="false" outlineLevel="0" collapsed="false">
      <c r="A27" s="541" t="s">
        <v>2144</v>
      </c>
      <c r="B27" s="2183" t="n">
        <f aca="false">LOT!D3349</f>
        <v>0</v>
      </c>
      <c r="C27" s="2183"/>
      <c r="D27" s="854" t="n">
        <f aca="false">BRU!F2540</f>
        <v>0</v>
      </c>
      <c r="E27" s="2196"/>
      <c r="F27" s="2197"/>
      <c r="G27" s="854" t="n">
        <f aca="false">D27-E27-F27</f>
        <v>0</v>
      </c>
      <c r="H27" s="2198" t="n">
        <f aca="false">'SAL.(3)'!N23</f>
        <v>0</v>
      </c>
      <c r="I27" s="2186" t="n">
        <f aca="false">'SAL.(3)'!Q23</f>
        <v>0</v>
      </c>
      <c r="J27" s="2186" t="n">
        <f aca="false">'SAL.(3)'!S23</f>
        <v>0</v>
      </c>
      <c r="K27" s="2187" t="n">
        <f aca="false">C27+G27-H27+I27+J27</f>
        <v>0</v>
      </c>
      <c r="L27" s="2188" t="n">
        <f aca="false">B27+G27-H27+I27+J27</f>
        <v>0</v>
      </c>
      <c r="M27" s="2199" t="n">
        <f aca="false">'SAL. '!C81</f>
        <v>0</v>
      </c>
      <c r="N27" s="2192" t="n">
        <f aca="false">K27*M27</f>
        <v>0</v>
      </c>
    </row>
    <row r="28" customFormat="false" ht="14.25" hidden="false" customHeight="false" outlineLevel="0" collapsed="false">
      <c r="A28" s="2200"/>
      <c r="B28" s="2201"/>
      <c r="C28" s="2201"/>
      <c r="D28" s="877"/>
      <c r="E28" s="2202"/>
      <c r="F28" s="2203"/>
      <c r="G28" s="877"/>
      <c r="H28" s="2204"/>
      <c r="I28" s="2204"/>
      <c r="J28" s="2204"/>
      <c r="K28" s="2187"/>
      <c r="L28" s="2205"/>
      <c r="M28" s="2206"/>
      <c r="N28" s="2192"/>
    </row>
    <row r="29" customFormat="false" ht="14.25" hidden="false" customHeight="false" outlineLevel="0" collapsed="false">
      <c r="A29" s="2207" t="s">
        <v>1675</v>
      </c>
      <c r="B29" s="2208" t="n">
        <f aca="false">SUM(B4:B28)</f>
        <v>2565022.32464313</v>
      </c>
      <c r="C29" s="2208" t="n">
        <f aca="false">SUM(C4:C28)</f>
        <v>2336314.45</v>
      </c>
      <c r="D29" s="2208" t="n">
        <f aca="false">SUM(D4:D28)</f>
        <v>19271701.9828</v>
      </c>
      <c r="E29" s="2209" t="n">
        <f aca="false">SUM(E4:E28)</f>
        <v>12846796.66</v>
      </c>
      <c r="F29" s="2210" t="n">
        <f aca="false">SUM(F4:F28)</f>
        <v>23911.2</v>
      </c>
      <c r="G29" s="2211" t="n">
        <f aca="false">SUM(G4:G28)</f>
        <v>6400994.1228</v>
      </c>
      <c r="H29" s="2211" t="n">
        <f aca="false">SUM(H4:H28)</f>
        <v>36851086.45</v>
      </c>
      <c r="I29" s="2211" t="n">
        <f aca="false">SUM(I4:I28)</f>
        <v>0</v>
      </c>
      <c r="J29" s="2211" t="n">
        <f aca="false">SUM(J4:J28)</f>
        <v>0.741399359947536</v>
      </c>
      <c r="K29" s="2212" t="n">
        <f aca="false">SUM(K4:K28)</f>
        <v>-28113777.1358006</v>
      </c>
      <c r="L29" s="2212" t="n">
        <f aca="false">SUM(L4:L28)</f>
        <v>-27885069.2611575</v>
      </c>
      <c r="M29" s="2213"/>
      <c r="N29" s="2214" t="n">
        <f aca="false">SUM(N4:N28)</f>
        <v>-1425620.5229592</v>
      </c>
    </row>
    <row r="31" customFormat="false" ht="14.25" hidden="false" customHeight="false" outlineLevel="0" collapsed="false">
      <c r="A31" s="52"/>
    </row>
    <row r="32" customFormat="false" ht="14.25" hidden="false" customHeight="false" outlineLevel="0" collapsed="false">
      <c r="A32" s="52"/>
      <c r="F32" s="9"/>
    </row>
  </sheetData>
  <mergeCells count="10">
    <mergeCell ref="A1:N1"/>
    <mergeCell ref="A2:A3"/>
    <mergeCell ref="B2:G2"/>
    <mergeCell ref="H2:H3"/>
    <mergeCell ref="I2:I3"/>
    <mergeCell ref="J2:J3"/>
    <mergeCell ref="K2:K3"/>
    <mergeCell ref="L2:L3"/>
    <mergeCell ref="M2:M3"/>
    <mergeCell ref="N2:N3"/>
  </mergeCells>
  <printOptions headings="false" gridLines="false" gridLinesSet="true" horizontalCentered="false" verticalCentered="false"/>
  <pageMargins left="0.118055555555556" right="0.11805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BL149"/>
  <sheetViews>
    <sheetView showFormulas="false" showGridLines="false" showRowColHeaders="true" showZeros="true" rightToLeft="false" tabSelected="false" showOutlineSymbols="true" defaultGridColor="true" view="normal" topLeftCell="A126" colorId="64" zoomScale="80" zoomScaleNormal="80" zoomScalePageLayoutView="100" workbookViewId="0">
      <pane xSplit="1" ySplit="0" topLeftCell="AV126" activePane="topRight" state="frozen"/>
      <selection pane="topLeft" activeCell="A126" activeCellId="0" sqref="A126"/>
      <selection pane="topRight" activeCell="BH144" activeCellId="0" sqref="BH144"/>
    </sheetView>
  </sheetViews>
  <sheetFormatPr defaultColWidth="9.18359375" defaultRowHeight="14.25" zeroHeight="false" outlineLevelRow="0" outlineLevelCol="0"/>
  <cols>
    <col collapsed="false" customWidth="true" hidden="false" outlineLevel="0" max="1" min="1" style="0" width="15.27"/>
    <col collapsed="false" customWidth="true" hidden="false" outlineLevel="0" max="3" min="2" style="0" width="12.27"/>
    <col collapsed="false" customWidth="true" hidden="false" outlineLevel="0" max="4" min="4" style="0" width="17.45"/>
    <col collapsed="false" customWidth="true" hidden="false" outlineLevel="0" max="5" min="5" style="0" width="11.82"/>
    <col collapsed="false" customWidth="true" hidden="false" outlineLevel="0" max="6" min="6" style="0" width="8.73"/>
    <col collapsed="false" customWidth="true" hidden="false" outlineLevel="0" max="8" min="7" style="0" width="13.82"/>
    <col collapsed="false" customWidth="true" hidden="false" outlineLevel="0" max="9" min="9" style="0" width="18"/>
    <col collapsed="false" customWidth="true" hidden="false" outlineLevel="0" max="10" min="10" style="0" width="13.82"/>
    <col collapsed="false" customWidth="true" hidden="false" outlineLevel="0" max="11" min="11" style="0" width="9"/>
    <col collapsed="false" customWidth="true" hidden="false" outlineLevel="0" max="13" min="12" style="0" width="12.27"/>
    <col collapsed="false" customWidth="true" hidden="false" outlineLevel="0" max="14" min="14" style="0" width="18"/>
    <col collapsed="false" customWidth="true" hidden="false" outlineLevel="0" max="15" min="15" style="0" width="11.54"/>
    <col collapsed="false" customWidth="true" hidden="false" outlineLevel="0" max="16" min="16" style="0" width="8.73"/>
    <col collapsed="false" customWidth="true" hidden="false" outlineLevel="0" max="17" min="17" style="0" width="12.27"/>
    <col collapsed="false" customWidth="true" hidden="false" outlineLevel="0" max="18" min="18" style="0" width="11.82"/>
    <col collapsed="false" customWidth="true" hidden="false" outlineLevel="0" max="19" min="19" style="0" width="17.54"/>
    <col collapsed="false" customWidth="true" hidden="false" outlineLevel="0" max="20" min="20" style="0" width="14.54"/>
    <col collapsed="false" customWidth="true" hidden="false" outlineLevel="0" max="21" min="21" style="0" width="8.45"/>
    <col collapsed="false" customWidth="true" hidden="false" outlineLevel="0" max="23" min="22" style="0" width="12.27"/>
    <col collapsed="false" customWidth="true" hidden="false" outlineLevel="0" max="24" min="24" style="0" width="18"/>
    <col collapsed="false" customWidth="true" hidden="false" outlineLevel="0" max="25" min="25" style="0" width="12.27"/>
    <col collapsed="false" customWidth="true" hidden="false" outlineLevel="0" max="26" min="26" style="0" width="8.45"/>
    <col collapsed="false" customWidth="true" hidden="false" outlineLevel="0" max="27" min="27" style="0" width="12.73"/>
    <col collapsed="false" customWidth="true" hidden="false" outlineLevel="0" max="28" min="28" style="0" width="8.45"/>
    <col collapsed="false" customWidth="true" hidden="false" outlineLevel="0" max="29" min="29" style="0" width="17.82"/>
    <col collapsed="false" customWidth="true" hidden="false" outlineLevel="0" max="33" min="30" style="0" width="14.82"/>
    <col collapsed="false" customWidth="true" hidden="false" outlineLevel="0" max="34" min="34" style="0" width="17.54"/>
    <col collapsed="false" customWidth="true" hidden="false" outlineLevel="0" max="35" min="35" style="0" width="14.82"/>
    <col collapsed="false" customWidth="true" hidden="false" outlineLevel="0" max="36" min="36" style="0" width="8.45"/>
    <col collapsed="false" customWidth="true" hidden="false" outlineLevel="0" max="37" min="37" style="0" width="12.18"/>
    <col collapsed="false" customWidth="true" hidden="false" outlineLevel="0" max="38" min="38" style="0" width="8.45"/>
    <col collapsed="false" customWidth="true" hidden="false" outlineLevel="0" max="39" min="39" style="0" width="17.54"/>
    <col collapsed="false" customWidth="true" hidden="false" outlineLevel="0" max="40" min="40" style="0" width="12.18"/>
    <col collapsed="false" customWidth="true" hidden="false" outlineLevel="0" max="42" min="41" style="0" width="13.45"/>
    <col collapsed="false" customWidth="true" hidden="false" outlineLevel="0" max="43" min="43" style="0" width="10.54"/>
    <col collapsed="false" customWidth="true" hidden="false" outlineLevel="0" max="44" min="44" style="0" width="17.45"/>
    <col collapsed="false" customWidth="true" hidden="false" outlineLevel="0" max="45" min="45" style="0" width="13.45"/>
    <col collapsed="false" customWidth="true" hidden="false" outlineLevel="0" max="46" min="46" style="0" width="9.82"/>
    <col collapsed="false" customWidth="true" hidden="false" outlineLevel="0" max="47" min="47" style="0" width="13.82"/>
    <col collapsed="false" customWidth="true" hidden="false" outlineLevel="0" max="48" min="48" style="0" width="9.73"/>
    <col collapsed="false" customWidth="true" hidden="false" outlineLevel="0" max="49" min="49" style="0" width="18"/>
    <col collapsed="false" customWidth="true" hidden="false" outlineLevel="0" max="50" min="50" style="0" width="13.45"/>
    <col collapsed="false" customWidth="true" hidden="false" outlineLevel="0" max="51" min="51" style="0" width="10.54"/>
    <col collapsed="false" customWidth="true" hidden="false" outlineLevel="0" max="52" min="52" style="0" width="13.82"/>
    <col collapsed="false" customWidth="true" hidden="false" outlineLevel="0" max="53" min="53" style="0" width="13.45"/>
    <col collapsed="false" customWidth="true" hidden="false" outlineLevel="0" max="54" min="54" style="0" width="18.18"/>
    <col collapsed="false" customWidth="true" hidden="false" outlineLevel="0" max="56" min="55" style="0" width="13.45"/>
    <col collapsed="false" customWidth="true" hidden="false" outlineLevel="0" max="57" min="57" style="0" width="18"/>
    <col collapsed="false" customWidth="true" hidden="false" outlineLevel="0" max="58" min="58" style="0" width="12.54"/>
    <col collapsed="false" customWidth="true" hidden="false" outlineLevel="0" max="59" min="59" style="0" width="17.45"/>
    <col collapsed="false" customWidth="true" hidden="false" outlineLevel="0" max="60" min="60" style="2" width="12.18"/>
    <col collapsed="false" customWidth="true" hidden="false" outlineLevel="0" max="61" min="61" style="0" width="11.45"/>
  </cols>
  <sheetData>
    <row r="1" customFormat="false" ht="19.7" hidden="false" customHeight="false" outlineLevel="0" collapsed="false">
      <c r="A1" s="2215"/>
      <c r="B1" s="2216" t="s">
        <v>3665</v>
      </c>
      <c r="C1" s="2216"/>
      <c r="D1" s="2216"/>
      <c r="E1" s="2216"/>
      <c r="F1" s="2215"/>
      <c r="G1" s="2216" t="s">
        <v>3665</v>
      </c>
      <c r="H1" s="2216"/>
      <c r="I1" s="2216"/>
      <c r="J1" s="2216"/>
      <c r="K1" s="2215"/>
      <c r="L1" s="2216" t="s">
        <v>3665</v>
      </c>
      <c r="M1" s="2216"/>
      <c r="N1" s="2216"/>
      <c r="O1" s="2216"/>
      <c r="P1" s="2215"/>
      <c r="Q1" s="2216" t="s">
        <v>3665</v>
      </c>
      <c r="R1" s="2216"/>
      <c r="S1" s="2216"/>
      <c r="T1" s="2216"/>
      <c r="U1" s="2215"/>
      <c r="V1" s="2216" t="s">
        <v>3665</v>
      </c>
      <c r="W1" s="2216"/>
      <c r="X1" s="2216"/>
      <c r="Y1" s="2216"/>
      <c r="Z1" s="2215"/>
      <c r="AA1" s="2216" t="s">
        <v>3665</v>
      </c>
      <c r="AB1" s="2216"/>
      <c r="AC1" s="2216"/>
      <c r="AD1" s="2216"/>
      <c r="AE1" s="2215"/>
      <c r="AF1" s="2216" t="s">
        <v>3665</v>
      </c>
      <c r="AG1" s="2216"/>
      <c r="AH1" s="2216"/>
      <c r="AI1" s="2216"/>
      <c r="AJ1" s="2215"/>
      <c r="AK1" s="2216" t="s">
        <v>3665</v>
      </c>
      <c r="AL1" s="2216"/>
      <c r="AM1" s="2216"/>
      <c r="AN1" s="2216"/>
      <c r="AO1" s="2215"/>
      <c r="AP1" s="2216" t="s">
        <v>3665</v>
      </c>
      <c r="AQ1" s="2216"/>
      <c r="AR1" s="2216"/>
      <c r="AS1" s="2216"/>
      <c r="AT1" s="2215"/>
      <c r="AU1" s="2216" t="s">
        <v>3665</v>
      </c>
      <c r="AV1" s="2216"/>
      <c r="AW1" s="2216"/>
      <c r="AX1" s="2216"/>
      <c r="AY1" s="2217"/>
      <c r="AZ1" s="2216" t="s">
        <v>3665</v>
      </c>
      <c r="BA1" s="2216"/>
      <c r="BB1" s="2216"/>
      <c r="BC1" s="2216"/>
      <c r="BD1" s="2215"/>
      <c r="BE1" s="2216" t="s">
        <v>3665</v>
      </c>
      <c r="BF1" s="2216"/>
      <c r="BG1" s="2216"/>
      <c r="BH1" s="2216"/>
      <c r="BI1" s="316"/>
      <c r="BJ1" s="316"/>
      <c r="BK1" s="316"/>
      <c r="BL1" s="316"/>
    </row>
    <row r="2" customFormat="false" ht="17.35" hidden="false" customHeight="false" outlineLevel="0" collapsed="false">
      <c r="A2" s="316"/>
      <c r="B2" s="2218" t="s">
        <v>3666</v>
      </c>
      <c r="C2" s="2218"/>
      <c r="D2" s="2218"/>
      <c r="E2" s="2218"/>
      <c r="F2" s="316"/>
      <c r="G2" s="2218" t="s">
        <v>3666</v>
      </c>
      <c r="H2" s="2218"/>
      <c r="I2" s="2218"/>
      <c r="J2" s="2218"/>
      <c r="K2" s="316"/>
      <c r="L2" s="2218" t="s">
        <v>3666</v>
      </c>
      <c r="M2" s="2218"/>
      <c r="N2" s="2218"/>
      <c r="O2" s="2218"/>
      <c r="P2" s="316"/>
      <c r="Q2" s="2218" t="s">
        <v>3666</v>
      </c>
      <c r="R2" s="2218"/>
      <c r="S2" s="2218"/>
      <c r="T2" s="2218"/>
      <c r="U2" s="316"/>
      <c r="V2" s="2218" t="s">
        <v>3666</v>
      </c>
      <c r="W2" s="2218"/>
      <c r="X2" s="2218"/>
      <c r="Y2" s="2218"/>
      <c r="Z2" s="316"/>
      <c r="AA2" s="2218" t="s">
        <v>3666</v>
      </c>
      <c r="AB2" s="2218"/>
      <c r="AC2" s="2218"/>
      <c r="AD2" s="2218"/>
      <c r="AE2" s="316"/>
      <c r="AF2" s="2218" t="s">
        <v>3666</v>
      </c>
      <c r="AG2" s="2218"/>
      <c r="AH2" s="2218"/>
      <c r="AI2" s="2218"/>
      <c r="AJ2" s="316"/>
      <c r="AK2" s="2218" t="s">
        <v>3666</v>
      </c>
      <c r="AL2" s="2218"/>
      <c r="AM2" s="2218"/>
      <c r="AN2" s="2218"/>
      <c r="AO2" s="316"/>
      <c r="AP2" s="2218" t="s">
        <v>3666</v>
      </c>
      <c r="AQ2" s="2218"/>
      <c r="AR2" s="2218"/>
      <c r="AS2" s="2218"/>
      <c r="AT2" s="316"/>
      <c r="AU2" s="2218" t="s">
        <v>3666</v>
      </c>
      <c r="AV2" s="2218"/>
      <c r="AW2" s="2218"/>
      <c r="AX2" s="2218"/>
      <c r="AY2" s="2219"/>
      <c r="AZ2" s="2218" t="s">
        <v>3666</v>
      </c>
      <c r="BA2" s="2218"/>
      <c r="BB2" s="2218"/>
      <c r="BC2" s="2218"/>
      <c r="BD2" s="316"/>
      <c r="BE2" s="2218" t="s">
        <v>3666</v>
      </c>
      <c r="BF2" s="2218"/>
      <c r="BG2" s="2218"/>
      <c r="BH2" s="2218"/>
    </row>
    <row r="3" customFormat="false" ht="15" hidden="false" customHeight="false" outlineLevel="0" collapsed="false">
      <c r="A3" s="2220"/>
      <c r="B3" s="2221" t="s">
        <v>3667</v>
      </c>
      <c r="C3" s="2221"/>
      <c r="D3" s="2221"/>
      <c r="E3" s="2222" t="n">
        <f aca="false">D24/D126</f>
        <v>0.685163898000099</v>
      </c>
      <c r="F3" s="2223"/>
      <c r="G3" s="2221" t="s">
        <v>3668</v>
      </c>
      <c r="H3" s="2221"/>
      <c r="I3" s="2221"/>
      <c r="J3" s="2222" t="n">
        <f aca="false">I24/I126</f>
        <v>0.522359934437164</v>
      </c>
      <c r="K3" s="2223"/>
      <c r="L3" s="2221" t="s">
        <v>3669</v>
      </c>
      <c r="M3" s="2221"/>
      <c r="N3" s="2221"/>
      <c r="O3" s="2224" t="n">
        <f aca="false">N24/N126</f>
        <v>0.618041389846737</v>
      </c>
      <c r="P3" s="2225"/>
      <c r="Q3" s="2226" t="s">
        <v>3670</v>
      </c>
      <c r="R3" s="2226"/>
      <c r="S3" s="2226"/>
      <c r="T3" s="2224" t="n">
        <f aca="false">S24/S126</f>
        <v>0.601051372943131</v>
      </c>
      <c r="U3" s="2225"/>
      <c r="V3" s="2227" t="n">
        <v>0.9375</v>
      </c>
      <c r="W3" s="2227"/>
      <c r="X3" s="2227"/>
      <c r="Y3" s="2224" t="n">
        <f aca="false">X24/X126</f>
        <v>0.599987026523796</v>
      </c>
      <c r="Z3" s="2225"/>
      <c r="AA3" s="2227" t="n">
        <v>0.941176470588235</v>
      </c>
      <c r="AB3" s="2227"/>
      <c r="AC3" s="2227"/>
      <c r="AD3" s="2224" t="n">
        <f aca="false">AC24/AC126</f>
        <v>0.567758317507149</v>
      </c>
      <c r="AE3" s="2225"/>
      <c r="AF3" s="2227" t="n">
        <v>0.944444444444444</v>
      </c>
      <c r="AG3" s="2227"/>
      <c r="AH3" s="2227"/>
      <c r="AI3" s="2224" t="n">
        <f aca="false">AH24/AH126</f>
        <v>0.661908248374249</v>
      </c>
      <c r="AJ3" s="2225"/>
      <c r="AK3" s="2227" t="n">
        <v>0.947368421052632</v>
      </c>
      <c r="AL3" s="2227"/>
      <c r="AM3" s="2227"/>
      <c r="AN3" s="2224" t="n">
        <f aca="false">AM24/AM126</f>
        <v>0.693806372383057</v>
      </c>
      <c r="AO3" s="2225"/>
      <c r="AP3" s="2227" t="n">
        <v>0.95</v>
      </c>
      <c r="AQ3" s="2227"/>
      <c r="AR3" s="2227"/>
      <c r="AS3" s="2224" t="n">
        <f aca="false">AR24/AR126</f>
        <v>0.651015450410587</v>
      </c>
      <c r="AT3" s="2225"/>
      <c r="AU3" s="2227" t="n">
        <v>0.952380952380952</v>
      </c>
      <c r="AV3" s="2227"/>
      <c r="AW3" s="2227"/>
      <c r="AX3" s="2224" t="n">
        <f aca="false">AW24/AW126</f>
        <v>0.803754318602003</v>
      </c>
      <c r="AY3" s="2225"/>
      <c r="AZ3" s="2227" t="n">
        <v>0.954545454545455</v>
      </c>
      <c r="BA3" s="2227"/>
      <c r="BB3" s="2227"/>
      <c r="BC3" s="2224" t="n">
        <f aca="false">BB24/BB126</f>
        <v>0.862086598869176</v>
      </c>
      <c r="BD3" s="2225"/>
      <c r="BE3" s="2221" t="s">
        <v>3671</v>
      </c>
      <c r="BF3" s="2221"/>
      <c r="BG3" s="2221"/>
      <c r="BH3" s="2224" t="n">
        <f aca="false">BG24/BG126</f>
        <v>0.978620078158952</v>
      </c>
    </row>
    <row r="4" s="57" customFormat="true" ht="15" hidden="false" customHeight="true" outlineLevel="0" collapsed="false">
      <c r="A4" s="2228" t="s">
        <v>1</v>
      </c>
      <c r="B4" s="2229" t="s">
        <v>1647</v>
      </c>
      <c r="C4" s="2230"/>
      <c r="D4" s="2230" t="s">
        <v>1648</v>
      </c>
      <c r="E4" s="2231" t="s">
        <v>3672</v>
      </c>
      <c r="F4" s="2230"/>
      <c r="G4" s="2229" t="s">
        <v>1647</v>
      </c>
      <c r="H4" s="2230"/>
      <c r="I4" s="2230" t="s">
        <v>1648</v>
      </c>
      <c r="J4" s="2231" t="s">
        <v>3672</v>
      </c>
      <c r="K4" s="2230"/>
      <c r="L4" s="2229" t="s">
        <v>1647</v>
      </c>
      <c r="M4" s="2230"/>
      <c r="N4" s="2230" t="s">
        <v>1648</v>
      </c>
      <c r="O4" s="2231" t="s">
        <v>3672</v>
      </c>
      <c r="P4" s="2230"/>
      <c r="Q4" s="2229" t="s">
        <v>1647</v>
      </c>
      <c r="R4" s="2230"/>
      <c r="S4" s="2230" t="s">
        <v>1648</v>
      </c>
      <c r="T4" s="2231" t="s">
        <v>3672</v>
      </c>
      <c r="U4" s="2230"/>
      <c r="V4" s="2229" t="s">
        <v>1647</v>
      </c>
      <c r="W4" s="2230"/>
      <c r="X4" s="2230" t="s">
        <v>1648</v>
      </c>
      <c r="Y4" s="2231" t="s">
        <v>3672</v>
      </c>
      <c r="Z4" s="2230"/>
      <c r="AA4" s="2229" t="s">
        <v>1647</v>
      </c>
      <c r="AB4" s="2230"/>
      <c r="AC4" s="2230" t="s">
        <v>1648</v>
      </c>
      <c r="AD4" s="2231" t="s">
        <v>3672</v>
      </c>
      <c r="AE4" s="2230"/>
      <c r="AF4" s="2229" t="s">
        <v>1647</v>
      </c>
      <c r="AG4" s="2230"/>
      <c r="AH4" s="2230" t="s">
        <v>1648</v>
      </c>
      <c r="AI4" s="2231" t="s">
        <v>3672</v>
      </c>
      <c r="AJ4" s="2230"/>
      <c r="AK4" s="2229" t="s">
        <v>1647</v>
      </c>
      <c r="AL4" s="2230"/>
      <c r="AM4" s="2230" t="s">
        <v>1648</v>
      </c>
      <c r="AN4" s="2231" t="s">
        <v>3672</v>
      </c>
      <c r="AO4" s="2230"/>
      <c r="AP4" s="2229" t="s">
        <v>1647</v>
      </c>
      <c r="AQ4" s="2230"/>
      <c r="AR4" s="2230" t="s">
        <v>1648</v>
      </c>
      <c r="AS4" s="2231" t="s">
        <v>3672</v>
      </c>
      <c r="AT4" s="2230"/>
      <c r="AU4" s="2229" t="s">
        <v>1647</v>
      </c>
      <c r="AV4" s="2230"/>
      <c r="AW4" s="2230" t="s">
        <v>1648</v>
      </c>
      <c r="AX4" s="2231" t="s">
        <v>3672</v>
      </c>
      <c r="AY4" s="2230"/>
      <c r="AZ4" s="2229" t="s">
        <v>1647</v>
      </c>
      <c r="BA4" s="2230"/>
      <c r="BB4" s="2230" t="s">
        <v>1648</v>
      </c>
      <c r="BC4" s="2231" t="s">
        <v>3672</v>
      </c>
      <c r="BD4" s="2230"/>
      <c r="BE4" s="2229" t="s">
        <v>1647</v>
      </c>
      <c r="BF4" s="2230"/>
      <c r="BG4" s="2230" t="s">
        <v>1648</v>
      </c>
      <c r="BH4" s="2231" t="s">
        <v>3672</v>
      </c>
    </row>
    <row r="5" customFormat="false" ht="14.25" hidden="false" customHeight="false" outlineLevel="0" collapsed="false">
      <c r="A5" s="9" t="str">
        <f aca="false">'COM.'!A4</f>
        <v>Marandú</v>
      </c>
      <c r="B5" s="2232" t="n">
        <f aca="false">'[3]Vendas Real'!$J$26</f>
        <v>12823780</v>
      </c>
      <c r="C5" s="51"/>
      <c r="D5" s="203" t="n">
        <f aca="false">'[3]Vendas Real'!$K$26</f>
        <v>1960998.99</v>
      </c>
      <c r="E5" s="2233" t="n">
        <f aca="false">D5/B5</f>
        <v>0.152918951354437</v>
      </c>
      <c r="F5" s="100"/>
      <c r="G5" s="2234" t="n">
        <f aca="false">'[4]VR Geral'!$C$27</f>
        <v>14593050</v>
      </c>
      <c r="H5" s="45"/>
      <c r="I5" s="410" t="n">
        <f aca="false">'[4]VR Geral'!$D$27</f>
        <v>1762415.95</v>
      </c>
      <c r="J5" s="2233" t="n">
        <f aca="false">I5/G5</f>
        <v>0.120770911495541</v>
      </c>
      <c r="K5" s="100"/>
      <c r="L5" s="2232" t="n">
        <f aca="false">[5]VENDA!$P$24</f>
        <v>8029460</v>
      </c>
      <c r="M5" s="51"/>
      <c r="N5" s="203" t="n">
        <f aca="false">[5]VENDA!$Q$24</f>
        <v>1329313.7</v>
      </c>
      <c r="O5" s="2233" t="n">
        <f aca="false">N5/L5</f>
        <v>0.165554557840751</v>
      </c>
      <c r="P5" s="100"/>
      <c r="Q5" s="2234" t="n">
        <f aca="false">[6]VENDA!$P$25</f>
        <v>11700750</v>
      </c>
      <c r="R5" s="45"/>
      <c r="S5" s="2235" t="n">
        <f aca="false">[6]VENDA!$Q$25</f>
        <v>1384128.15</v>
      </c>
      <c r="T5" s="2233" t="n">
        <f aca="false">S5/Q5</f>
        <v>0.118293968335363</v>
      </c>
      <c r="U5" s="100"/>
      <c r="V5" s="2234" t="n">
        <f aca="false">[7]VEND!$P$26</f>
        <v>10267125</v>
      </c>
      <c r="W5" s="100"/>
      <c r="X5" s="203" t="n">
        <f aca="false">[7]VEND!$Q$26</f>
        <v>1366262.55</v>
      </c>
      <c r="Y5" s="2233" t="n">
        <f aca="false">X5/V5</f>
        <v>0.133071580408342</v>
      </c>
      <c r="Z5" s="100"/>
      <c r="AA5" s="2234" t="n">
        <f aca="false">[8]VEND!$P$26</f>
        <v>5031844</v>
      </c>
      <c r="AB5" s="100"/>
      <c r="AC5" s="203" t="n">
        <f aca="false">[8]VEND!$Q26</f>
        <v>2028853.45</v>
      </c>
      <c r="AD5" s="2233" t="n">
        <f aca="false">AC5/AA5</f>
        <v>0.403202772184511</v>
      </c>
      <c r="AE5" s="100"/>
      <c r="AF5" s="2234" t="n">
        <f aca="false">'[9]HIST.'!$AF$5</f>
        <v>9798110</v>
      </c>
      <c r="AG5" s="100"/>
      <c r="AH5" s="203" t="n">
        <f aca="false">'[9]HIST.'!$AH$5</f>
        <v>1749962.26</v>
      </c>
      <c r="AI5" s="2233" t="n">
        <f aca="false">AH5/AF5</f>
        <v>0.178602022226736</v>
      </c>
      <c r="AJ5" s="100"/>
      <c r="AK5" s="2234" t="n">
        <f aca="false">'[10]HIST.'!AK5</f>
        <v>8024882</v>
      </c>
      <c r="AL5" s="100"/>
      <c r="AM5" s="203" t="n">
        <f aca="false">'[10]HIST.'!AM5</f>
        <v>981630</v>
      </c>
      <c r="AN5" s="2233" t="n">
        <f aca="false">AM5/AK5</f>
        <v>0.122323293974915</v>
      </c>
      <c r="AO5" s="100"/>
      <c r="AP5" s="2234" t="n">
        <f aca="false">'[11]HIST.'!AP5</f>
        <v>10572455</v>
      </c>
      <c r="AQ5" s="100"/>
      <c r="AR5" s="203" t="n">
        <f aca="false">'[11]HIST.'!AR5</f>
        <v>2657016.03</v>
      </c>
      <c r="AS5" s="2233" t="n">
        <f aca="false">AR5/AP5</f>
        <v>0.251314952865725</v>
      </c>
      <c r="AT5" s="100"/>
      <c r="AU5" s="2234" t="n">
        <f aca="false">'[12]HIST.'!$AU$5</f>
        <v>14841630</v>
      </c>
      <c r="AV5" s="100"/>
      <c r="AW5" s="203" t="n">
        <f aca="false">'[12]HIST.'!$AW$5</f>
        <v>6954322.175</v>
      </c>
      <c r="AX5" s="2233" t="n">
        <f aca="false">AW5/AU5</f>
        <v>0.468568625885432</v>
      </c>
      <c r="AY5" s="100"/>
      <c r="AZ5" s="2236" t="n">
        <f aca="false">[13]VENDA!Q75+[13]VENDA!Q77+[13]VENDA!Q78+[13]VENDA!Q76</f>
        <v>16985960</v>
      </c>
      <c r="BA5" s="98"/>
      <c r="BB5" s="2237" t="n">
        <f aca="false">[13]VENDA!R75+[13]VENDA!R77+[13]VENDA!R78+[13]VENDA!R76</f>
        <v>14276006.1</v>
      </c>
      <c r="BC5" s="2233" t="n">
        <f aca="false">BB5/AZ5</f>
        <v>0.840459185115236</v>
      </c>
      <c r="BD5" s="100"/>
      <c r="BE5" s="2236" t="n">
        <f aca="false">VEN!R75+VEN!R77+VEN!R78+VEN!R76</f>
        <v>22918961.2821</v>
      </c>
      <c r="BF5" s="98"/>
      <c r="BG5" s="2237" t="n">
        <f aca="false">VEN!S75+VEN!S77+VEN!S78+VEN!S76</f>
        <v>9493421.17</v>
      </c>
      <c r="BH5" s="2233" t="n">
        <f aca="false">BG5/BE5</f>
        <v>0.414216903338219</v>
      </c>
    </row>
    <row r="6" customFormat="false" ht="14.25" hidden="false" customHeight="false" outlineLevel="0" collapsed="false">
      <c r="A6" s="9" t="str">
        <f aca="false">'COM.'!A5</f>
        <v>Piatã</v>
      </c>
      <c r="B6" s="2232" t="n">
        <f aca="false">'[3]Vendas Real'!$J$30</f>
        <v>5244020</v>
      </c>
      <c r="C6" s="51"/>
      <c r="D6" s="203" t="n">
        <f aca="false">'[3]Vendas Real'!$K$30</f>
        <v>898052.05</v>
      </c>
      <c r="E6" s="2233" t="n">
        <f aca="false">D6/B6</f>
        <v>0.171252598197566</v>
      </c>
      <c r="F6" s="100"/>
      <c r="G6" s="2234" t="n">
        <f aca="false">'[4]VR Geral'!$C$31</f>
        <v>4421820</v>
      </c>
      <c r="H6" s="45"/>
      <c r="I6" s="410" t="n">
        <f aca="false">'[4]VR Geral'!$D$31</f>
        <v>649096.9</v>
      </c>
      <c r="J6" s="2233" t="n">
        <f aca="false">I6/G6</f>
        <v>0.14679405765047</v>
      </c>
      <c r="K6" s="100"/>
      <c r="L6" s="2232" t="n">
        <f aca="false">[5]VENDA!$P$25</f>
        <v>14622525</v>
      </c>
      <c r="M6" s="51"/>
      <c r="N6" s="203" t="n">
        <f aca="false">[5]VENDA!$Q$25</f>
        <v>2256673.02</v>
      </c>
      <c r="O6" s="2233" t="n">
        <f aca="false">N6/L6</f>
        <v>0.154328545856478</v>
      </c>
      <c r="P6" s="100"/>
      <c r="Q6" s="2234" t="n">
        <f aca="false">[6]VENDA!$P$26</f>
        <v>14637150</v>
      </c>
      <c r="R6" s="45"/>
      <c r="S6" s="2235" t="n">
        <f aca="false">[6]VENDA!$Q$26</f>
        <v>1749634.8</v>
      </c>
      <c r="T6" s="2233" t="n">
        <f aca="false">S6/Q6</f>
        <v>0.119533843678585</v>
      </c>
      <c r="U6" s="100"/>
      <c r="V6" s="2234" t="n">
        <f aca="false">[7]VEND!$P$27</f>
        <v>11055900</v>
      </c>
      <c r="W6" s="100"/>
      <c r="X6" s="203" t="n">
        <f aca="false">[7]VEND!$Q$27</f>
        <v>1535790.2</v>
      </c>
      <c r="Y6" s="2233" t="n">
        <f aca="false">X6/V6</f>
        <v>0.138911368590526</v>
      </c>
      <c r="Z6" s="100"/>
      <c r="AA6" s="2234" t="n">
        <f aca="false">[8]VEND!$P$27</f>
        <v>8221946</v>
      </c>
      <c r="AB6" s="100"/>
      <c r="AC6" s="203" t="n">
        <f aca="false">[8]VEND!$Q27</f>
        <v>3532052.8</v>
      </c>
      <c r="AD6" s="2233" t="n">
        <f aca="false">AC6/AA6</f>
        <v>0.429588421038036</v>
      </c>
      <c r="AE6" s="100"/>
      <c r="AF6" s="2234" t="n">
        <f aca="false">'[9]HIST.'!$AF$6</f>
        <v>12432760</v>
      </c>
      <c r="AG6" s="100"/>
      <c r="AH6" s="203" t="n">
        <f aca="false">'[9]HIST.'!$AH$6</f>
        <v>2362830.63</v>
      </c>
      <c r="AI6" s="2233" t="n">
        <f aca="false">AH6/AF6</f>
        <v>0.190048760693523</v>
      </c>
      <c r="AJ6" s="100"/>
      <c r="AK6" s="2234" t="n">
        <f aca="false">'[10]HIST.'!AK6</f>
        <v>11755678</v>
      </c>
      <c r="AL6" s="100"/>
      <c r="AM6" s="203" t="n">
        <f aca="false">'[10]HIST.'!AM6</f>
        <v>1600189.05</v>
      </c>
      <c r="AN6" s="2233" t="n">
        <f aca="false">AM6/AK6</f>
        <v>0.136120524056545</v>
      </c>
      <c r="AO6" s="100"/>
      <c r="AP6" s="2234" t="n">
        <f aca="false">'[11]HIST.'!AP6</f>
        <v>13818385</v>
      </c>
      <c r="AQ6" s="100"/>
      <c r="AR6" s="203" t="n">
        <f aca="false">'[11]HIST.'!AR6</f>
        <v>3550067.8</v>
      </c>
      <c r="AS6" s="2233" t="n">
        <f aca="false">AR6/AP6</f>
        <v>0.256909023739026</v>
      </c>
      <c r="AT6" s="100"/>
      <c r="AU6" s="2234" t="n">
        <f aca="false">'[12]HIST.'!$AU$6</f>
        <v>15016700</v>
      </c>
      <c r="AV6" s="100"/>
      <c r="AW6" s="203" t="n">
        <f aca="false">'[12]HIST.'!$AW$6</f>
        <v>7005933.535</v>
      </c>
      <c r="AX6" s="2233" t="n">
        <f aca="false">AW6/AU6</f>
        <v>0.466542817995965</v>
      </c>
      <c r="AY6" s="100"/>
      <c r="AZ6" s="2236" t="n">
        <f aca="false">[13]VENDA!Q79+[13]VENDA!Q81+[13]VENDA!Q82+[13]VENDA!Q80</f>
        <v>15505100</v>
      </c>
      <c r="BA6" s="98"/>
      <c r="BB6" s="2237" t="n">
        <f aca="false">[13]VENDA!R79+[13]VENDA!R81+[13]VENDA!R82+[13]VENDA!R80</f>
        <v>9678165.1</v>
      </c>
      <c r="BC6" s="2233" t="n">
        <f aca="false">BB6/AZ6</f>
        <v>0.62419236896247</v>
      </c>
      <c r="BD6" s="100"/>
      <c r="BE6" s="2236" t="n">
        <f aca="false">VEN!R79+VEN!R81+VEN!R82+VEN!R80</f>
        <v>20555205</v>
      </c>
      <c r="BF6" s="98"/>
      <c r="BG6" s="2237" t="n">
        <f aca="false">VEN!S79+VEN!S81+VEN!S82+VEN!S80</f>
        <v>6783291.49</v>
      </c>
      <c r="BH6" s="2233" t="n">
        <f aca="false">BG6/BE6</f>
        <v>0.330003592277479</v>
      </c>
    </row>
    <row r="7" customFormat="false" ht="14.25" hidden="false" customHeight="false" outlineLevel="0" collapsed="false">
      <c r="A7" s="9" t="str">
        <f aca="false">'COM.'!A6</f>
        <v>Decumbens</v>
      </c>
      <c r="B7" s="2232" t="n">
        <f aca="false">'[3]Vendas Real'!$J$27</f>
        <v>5603550</v>
      </c>
      <c r="C7" s="51"/>
      <c r="D7" s="203" t="n">
        <f aca="false">'[3]Vendas Real'!$K$27</f>
        <v>947553.25</v>
      </c>
      <c r="E7" s="2233" t="n">
        <f aca="false">D7/B7</f>
        <v>0.169098740976702</v>
      </c>
      <c r="F7" s="100"/>
      <c r="G7" s="2234" t="n">
        <f aca="false">'[4]VR Geral'!$C$28</f>
        <v>5562095</v>
      </c>
      <c r="H7" s="45"/>
      <c r="I7" s="410" t="n">
        <f aca="false">'[4]VR Geral'!$D$28</f>
        <v>854928.7</v>
      </c>
      <c r="J7" s="2233" t="n">
        <f aca="false">I7/G7</f>
        <v>0.153706238386795</v>
      </c>
      <c r="K7" s="100"/>
      <c r="L7" s="2232" t="n">
        <f aca="false">[5]VENDA!$P$26</f>
        <v>7630518</v>
      </c>
      <c r="M7" s="51"/>
      <c r="N7" s="203" t="n">
        <f aca="false">[5]VENDA!$Q$26</f>
        <v>1059622.79</v>
      </c>
      <c r="O7" s="2233" t="n">
        <f aca="false">N7/L7</f>
        <v>0.138866429513698</v>
      </c>
      <c r="P7" s="100"/>
      <c r="Q7" s="2234" t="n">
        <f aca="false">[6]VENDA!$P$27</f>
        <v>4954800</v>
      </c>
      <c r="R7" s="45"/>
      <c r="S7" s="2235" t="n">
        <f aca="false">[6]VENDA!$Q$27</f>
        <v>802393.95</v>
      </c>
      <c r="T7" s="2233" t="n">
        <f aca="false">S7/Q7</f>
        <v>0.161942752482441</v>
      </c>
      <c r="U7" s="100"/>
      <c r="V7" s="2234" t="n">
        <f aca="false">[7]VEND!$P$28</f>
        <v>2503200</v>
      </c>
      <c r="W7" s="100"/>
      <c r="X7" s="203" t="n">
        <f aca="false">[7]VEND!$Q$28</f>
        <v>433192.25</v>
      </c>
      <c r="Y7" s="2233" t="n">
        <f aca="false">X7/V7</f>
        <v>0.17305538910195</v>
      </c>
      <c r="Z7" s="100"/>
      <c r="AA7" s="2234" t="n">
        <f aca="false">[8]VEND!$P$28</f>
        <v>1691094</v>
      </c>
      <c r="AB7" s="100"/>
      <c r="AC7" s="203" t="n">
        <f aca="false">[8]VEND!$Q28</f>
        <v>601320.9</v>
      </c>
      <c r="AD7" s="2233" t="n">
        <f aca="false">AC7/AA7</f>
        <v>0.355581002593587</v>
      </c>
      <c r="AE7" s="100"/>
      <c r="AF7" s="2234" t="n">
        <f aca="false">'[9]HIST.'!$AF$7</f>
        <v>3287250</v>
      </c>
      <c r="AG7" s="100"/>
      <c r="AH7" s="203" t="n">
        <f aca="false">'[9]HIST.'!$AH$7</f>
        <v>767846.9</v>
      </c>
      <c r="AI7" s="2233" t="n">
        <f aca="false">AH7/AF7</f>
        <v>0.233583359951327</v>
      </c>
      <c r="AJ7" s="100"/>
      <c r="AK7" s="2234" t="n">
        <f aca="false">'[10]HIST.'!AK7</f>
        <v>2319014</v>
      </c>
      <c r="AL7" s="100"/>
      <c r="AM7" s="203" t="n">
        <f aca="false">'[10]HIST.'!AM7</f>
        <v>328175.4</v>
      </c>
      <c r="AN7" s="2233" t="n">
        <f aca="false">AM7/AK7</f>
        <v>0.141515057692623</v>
      </c>
      <c r="AO7" s="100"/>
      <c r="AP7" s="2234" t="n">
        <f aca="false">'[11]HIST.'!AP7</f>
        <v>4579845</v>
      </c>
      <c r="AQ7" s="100"/>
      <c r="AR7" s="203" t="n">
        <f aca="false">'[11]HIST.'!AR7</f>
        <v>826923.25</v>
      </c>
      <c r="AS7" s="2233" t="n">
        <f aca="false">AR7/AP7</f>
        <v>0.180557038502395</v>
      </c>
      <c r="AT7" s="100"/>
      <c r="AU7" s="2234" t="n">
        <f aca="false">'[12]HIST.'!$AU$7</f>
        <v>2456060</v>
      </c>
      <c r="AV7" s="100"/>
      <c r="AW7" s="203" t="n">
        <f aca="false">'[12]HIST.'!$AW$7</f>
        <v>1186219.593</v>
      </c>
      <c r="AX7" s="2233" t="n">
        <f aca="false">AW7/AU7</f>
        <v>0.482976634528472</v>
      </c>
      <c r="AY7" s="100"/>
      <c r="AZ7" s="2236" t="n">
        <f aca="false">[13]VENDA!Q83+[13]VENDA!Q85+[13]VENDA!Q86+[13]VENDA!Q84</f>
        <v>2404825</v>
      </c>
      <c r="BA7" s="98"/>
      <c r="BB7" s="2237" t="n">
        <f aca="false">[13]VENDA!R83+[13]VENDA!R85+[13]VENDA!R86+[13]VENDA!R84</f>
        <v>2410059.25</v>
      </c>
      <c r="BC7" s="2233" t="n">
        <f aca="false">BB7/AZ7</f>
        <v>1.00217656170407</v>
      </c>
      <c r="BD7" s="100"/>
      <c r="BE7" s="2236" t="n">
        <f aca="false">VEN!R83+VEN!R85+VEN!R86+VEN!R84</f>
        <v>3856450.86</v>
      </c>
      <c r="BF7" s="98"/>
      <c r="BG7" s="2237" t="n">
        <f aca="false">VEN!S83+VEN!S85+VEN!S86+VEN!S84</f>
        <v>1792066</v>
      </c>
      <c r="BH7" s="2233" t="n">
        <f aca="false">BG7/BE7</f>
        <v>0.464693072738907</v>
      </c>
    </row>
    <row r="8" customFormat="false" ht="14.25" hidden="false" customHeight="false" outlineLevel="0" collapsed="false">
      <c r="A8" s="9" t="str">
        <f aca="false">'COM.'!A7</f>
        <v>Xaraes</v>
      </c>
      <c r="B8" s="2232" t="n">
        <f aca="false">'[3]Vendas Real'!$J$29</f>
        <v>3272200</v>
      </c>
      <c r="C8" s="51"/>
      <c r="D8" s="203" t="n">
        <f aca="false">'[3]Vendas Real'!$K$29</f>
        <v>635733</v>
      </c>
      <c r="E8" s="2233" t="n">
        <f aca="false">D8/B8</f>
        <v>0.194283051158242</v>
      </c>
      <c r="F8" s="100"/>
      <c r="G8" s="2234" t="n">
        <f aca="false">'[4]VR Geral'!$C$30</f>
        <v>2424300</v>
      </c>
      <c r="H8" s="45"/>
      <c r="I8" s="410" t="n">
        <f aca="false">'[4]VR Geral'!$D$30</f>
        <v>363936.7</v>
      </c>
      <c r="J8" s="2233" t="n">
        <f aca="false">I8/G8</f>
        <v>0.150120323392319</v>
      </c>
      <c r="K8" s="100"/>
      <c r="L8" s="2232" t="n">
        <f aca="false">[5]VENDA!$P$27</f>
        <v>2820446</v>
      </c>
      <c r="M8" s="51"/>
      <c r="N8" s="203" t="n">
        <f aca="false">[5]VENDA!$Q$27</f>
        <v>413358.6</v>
      </c>
      <c r="O8" s="2233" t="n">
        <f aca="false">N8/L8</f>
        <v>0.146557884816799</v>
      </c>
      <c r="P8" s="100"/>
      <c r="Q8" s="2234" t="n">
        <f aca="false">[6]VENDA!$P$28</f>
        <v>3083850</v>
      </c>
      <c r="R8" s="45"/>
      <c r="S8" s="2235" t="n">
        <f aca="false">[6]VENDA!$Q$28</f>
        <v>512501.95</v>
      </c>
      <c r="T8" s="2233" t="n">
        <f aca="false">S8/Q8</f>
        <v>0.166189000762034</v>
      </c>
      <c r="U8" s="100"/>
      <c r="V8" s="2234" t="n">
        <f aca="false">[7]VEND!$P$29</f>
        <v>4061550</v>
      </c>
      <c r="W8" s="100"/>
      <c r="X8" s="203" t="n">
        <f aca="false">[7]VEND!$Q$29</f>
        <v>704494.25</v>
      </c>
      <c r="Y8" s="2233" t="n">
        <f aca="false">X8/V8</f>
        <v>0.173454530905689</v>
      </c>
      <c r="Z8" s="100"/>
      <c r="AA8" s="2234" t="n">
        <f aca="false">[8]VEND!$P$29</f>
        <v>2178961</v>
      </c>
      <c r="AB8" s="100"/>
      <c r="AC8" s="203" t="n">
        <f aca="false">[8]VEND!$Q29</f>
        <v>1014967.15</v>
      </c>
      <c r="AD8" s="2233" t="n">
        <f aca="false">AC8/AA8</f>
        <v>0.465803265868457</v>
      </c>
      <c r="AE8" s="100"/>
      <c r="AF8" s="2234" t="n">
        <f aca="false">'[9]HIST.'!$AF$8</f>
        <v>2188204</v>
      </c>
      <c r="AG8" s="100"/>
      <c r="AH8" s="203" t="n">
        <f aca="false">'[9]HIST.'!$AH$8</f>
        <v>621509.65</v>
      </c>
      <c r="AI8" s="2233" t="n">
        <f aca="false">AH8/AF8</f>
        <v>0.284027289046177</v>
      </c>
      <c r="AJ8" s="100"/>
      <c r="AK8" s="2234" t="n">
        <f aca="false">'[10]HIST.'!AK8</f>
        <v>2649996</v>
      </c>
      <c r="AL8" s="100"/>
      <c r="AM8" s="203" t="n">
        <f aca="false">'[10]HIST.'!AM8</f>
        <v>502314.65</v>
      </c>
      <c r="AN8" s="2233" t="n">
        <f aca="false">AM8/AK8</f>
        <v>0.18955298423092</v>
      </c>
      <c r="AO8" s="100"/>
      <c r="AP8" s="2234" t="n">
        <f aca="false">'[11]HIST.'!AP8</f>
        <v>5941893.3</v>
      </c>
      <c r="AQ8" s="100"/>
      <c r="AR8" s="203" t="n">
        <f aca="false">'[11]HIST.'!AR8</f>
        <v>1618111.66</v>
      </c>
      <c r="AS8" s="2233" t="n">
        <f aca="false">AR8/AP8</f>
        <v>0.272322570989284</v>
      </c>
      <c r="AT8" s="100"/>
      <c r="AU8" s="2234" t="n">
        <f aca="false">'[12]HIST.'!$AU$8</f>
        <v>4854525</v>
      </c>
      <c r="AV8" s="100"/>
      <c r="AW8" s="203" t="n">
        <f aca="false">'[12]HIST.'!$AW$8</f>
        <v>2361192.917</v>
      </c>
      <c r="AX8" s="2233" t="n">
        <f aca="false">AW8/AU8</f>
        <v>0.486390103460174</v>
      </c>
      <c r="AY8" s="100"/>
      <c r="AZ8" s="2236" t="n">
        <f aca="false">[13]VENDA!Q87+[13]VENDA!Q89+[13]VENDA!Q90+[13]VENDA!Q88</f>
        <v>6061330</v>
      </c>
      <c r="BA8" s="98"/>
      <c r="BB8" s="2237" t="n">
        <f aca="false">[13]VENDA!R87+[13]VENDA!R89+[13]VENDA!R90+[13]VENDA!R88</f>
        <v>7173929.15</v>
      </c>
      <c r="BC8" s="2233" t="n">
        <f aca="false">BB8/AZ8</f>
        <v>1.18355693387425</v>
      </c>
      <c r="BD8" s="100"/>
      <c r="BE8" s="2236" t="n">
        <f aca="false">VEN!R87+VEN!R89+VEN!R90+VEN!R88</f>
        <v>10347585</v>
      </c>
      <c r="BF8" s="98"/>
      <c r="BG8" s="2237" t="n">
        <f aca="false">VEN!S87+VEN!S89+VEN!S90+VEN!S88</f>
        <v>4645806.94</v>
      </c>
      <c r="BH8" s="2233" t="n">
        <f aca="false">BG8/BE8</f>
        <v>0.448974996581328</v>
      </c>
    </row>
    <row r="9" customFormat="false" ht="14.25" hidden="false" customHeight="false" outlineLevel="0" collapsed="false">
      <c r="A9" s="9" t="str">
        <f aca="false">'COM.'!A8</f>
        <v>MG-4</v>
      </c>
      <c r="B9" s="2232" t="n">
        <f aca="false">'[3]Vendas Real'!$J$28</f>
        <v>1475900</v>
      </c>
      <c r="C9" s="51"/>
      <c r="D9" s="203" t="n">
        <f aca="false">'[3]Vendas Real'!$K$28</f>
        <v>278019.25</v>
      </c>
      <c r="E9" s="2233" t="n">
        <f aca="false">D9/B9</f>
        <v>0.18837268785148</v>
      </c>
      <c r="F9" s="100"/>
      <c r="G9" s="2234" t="n">
        <f aca="false">'[4]VR Geral'!$C$29</f>
        <v>781500</v>
      </c>
      <c r="H9" s="45"/>
      <c r="I9" s="410" t="n">
        <f aca="false">'[4]VR Geral'!$D$29</f>
        <v>131170.35</v>
      </c>
      <c r="J9" s="2233" t="n">
        <f aca="false">I9/G9</f>
        <v>0.1678443378119</v>
      </c>
      <c r="K9" s="100"/>
      <c r="L9" s="2232" t="n">
        <f aca="false">[5]VENDA!$P$28</f>
        <v>605100</v>
      </c>
      <c r="M9" s="51"/>
      <c r="N9" s="203" t="n">
        <f aca="false">[5]VENDA!$Q$28</f>
        <v>104355.5</v>
      </c>
      <c r="O9" s="2233" t="n">
        <f aca="false">N9/L9</f>
        <v>0.172459923979508</v>
      </c>
      <c r="P9" s="100"/>
      <c r="Q9" s="2234" t="n">
        <f aca="false">[6]VENDA!$P$29</f>
        <v>333000</v>
      </c>
      <c r="R9" s="45"/>
      <c r="S9" s="2235" t="n">
        <f aca="false">[6]VENDA!$Q$29</f>
        <v>50662.5</v>
      </c>
      <c r="T9" s="2233" t="n">
        <f aca="false">S9/Q9</f>
        <v>0.15213963963964</v>
      </c>
      <c r="U9" s="100"/>
      <c r="V9" s="2234" t="n">
        <f aca="false">[7]VEND!$P$30</f>
        <v>109500</v>
      </c>
      <c r="W9" s="100"/>
      <c r="X9" s="203" t="n">
        <f aca="false">[7]VEND!$Q$30</f>
        <v>17592.5</v>
      </c>
      <c r="Y9" s="2233" t="n">
        <f aca="false">X9/V9</f>
        <v>0.160662100456621</v>
      </c>
      <c r="Z9" s="100"/>
      <c r="AA9" s="2234" t="n">
        <f aca="false">[8]VEND!$P$30</f>
        <v>40800</v>
      </c>
      <c r="AB9" s="100"/>
      <c r="AC9" s="203" t="n">
        <f aca="false">[8]VEND!$Q30</f>
        <v>16977.5</v>
      </c>
      <c r="AD9" s="2233" t="n">
        <f aca="false">AC9/AA9</f>
        <v>0.416115196078431</v>
      </c>
      <c r="AE9" s="100"/>
      <c r="AF9" s="2234" t="n">
        <f aca="false">'[9]HIST.'!$AF$9</f>
        <v>0</v>
      </c>
      <c r="AG9" s="100"/>
      <c r="AH9" s="203" t="n">
        <f aca="false">'[9]HIST.'!$AH$9</f>
        <v>0</v>
      </c>
      <c r="AI9" s="2233" t="n">
        <v>0</v>
      </c>
      <c r="AJ9" s="100"/>
      <c r="AK9" s="2234" t="n">
        <f aca="false">'[10]HIST.'!AK9</f>
        <v>0</v>
      </c>
      <c r="AL9" s="100"/>
      <c r="AM9" s="203" t="n">
        <f aca="false">'[10]HIST.'!AM9</f>
        <v>0</v>
      </c>
      <c r="AN9" s="2233" t="n">
        <v>0</v>
      </c>
      <c r="AO9" s="100"/>
      <c r="AP9" s="2234" t="n">
        <f aca="false">'[11]HIST.'!AP9</f>
        <v>270000</v>
      </c>
      <c r="AQ9" s="100"/>
      <c r="AR9" s="203" t="n">
        <f aca="false">'[11]HIST.'!AR9</f>
        <v>81000</v>
      </c>
      <c r="AS9" s="2233" t="n">
        <f aca="false">AR9/AP9</f>
        <v>0.3</v>
      </c>
      <c r="AT9" s="100"/>
      <c r="AU9" s="2234" t="n">
        <f aca="false">'[12]HIST.'!$AU$9</f>
        <v>2700</v>
      </c>
      <c r="AV9" s="100"/>
      <c r="AW9" s="203" t="n">
        <f aca="false">'[12]HIST.'!$AW$9</f>
        <v>2100</v>
      </c>
      <c r="AX9" s="2233" t="n">
        <f aca="false">AW9/AU9</f>
        <v>0.777777777777778</v>
      </c>
      <c r="AY9" s="100"/>
      <c r="AZ9" s="2236" t="n">
        <f aca="false">[13]VENDA!Q91</f>
        <v>0</v>
      </c>
      <c r="BA9" s="98"/>
      <c r="BB9" s="2237" t="n">
        <f aca="false">[13]VENDA!R91</f>
        <v>0</v>
      </c>
      <c r="BC9" s="2233" t="n">
        <v>0</v>
      </c>
      <c r="BD9" s="100"/>
      <c r="BE9" s="2236" t="n">
        <f aca="false">VEN!R91</f>
        <v>0</v>
      </c>
      <c r="BF9" s="98"/>
      <c r="BG9" s="2237" t="n">
        <f aca="false">VEN!S91</f>
        <v>0</v>
      </c>
      <c r="BH9" s="2233" t="e">
        <f aca="false">BG9/BE9</f>
        <v>#DIV/0!</v>
      </c>
    </row>
    <row r="10" customFormat="false" ht="14.25" hidden="false" customHeight="false" outlineLevel="0" collapsed="false">
      <c r="A10" s="9" t="str">
        <f aca="false">'COM.'!A9</f>
        <v>Ruziziensis</v>
      </c>
      <c r="B10" s="2232" t="n">
        <f aca="false">'[3]Vendas Real'!$J$31</f>
        <v>12391860</v>
      </c>
      <c r="C10" s="51"/>
      <c r="D10" s="203" t="n">
        <f aca="false">'[3]Vendas Real'!$K$31</f>
        <v>1164907.4</v>
      </c>
      <c r="E10" s="2233" t="n">
        <f aca="false">D10/B10</f>
        <v>0.0940058554567272</v>
      </c>
      <c r="F10" s="100"/>
      <c r="G10" s="2234" t="n">
        <f aca="false">'[4]VR Geral'!$C$32</f>
        <v>5573875</v>
      </c>
      <c r="H10" s="45"/>
      <c r="I10" s="410" t="n">
        <f aca="false">'[4]VR Geral'!$D$32</f>
        <v>791226.6</v>
      </c>
      <c r="J10" s="2233" t="n">
        <f aca="false">I10/G10</f>
        <v>0.14195269897513</v>
      </c>
      <c r="K10" s="100"/>
      <c r="L10" s="2232" t="n">
        <f aca="false">[5]VENDA!$P$29</f>
        <v>24029610</v>
      </c>
      <c r="M10" s="51"/>
      <c r="N10" s="203" t="n">
        <f aca="false">[5]VENDA!$Q$29</f>
        <v>2822453.55</v>
      </c>
      <c r="O10" s="2233" t="n">
        <f aca="false">N10/L10</f>
        <v>0.117457318283568</v>
      </c>
      <c r="P10" s="100"/>
      <c r="Q10" s="2234" t="n">
        <f aca="false">[6]VENDA!$P$30</f>
        <v>25864800</v>
      </c>
      <c r="R10" s="45"/>
      <c r="S10" s="2235" t="n">
        <f aca="false">[6]VENDA!$Q$30</f>
        <v>2373881.95</v>
      </c>
      <c r="T10" s="2233" t="n">
        <f aca="false">S10/Q10</f>
        <v>0.0917804100553648</v>
      </c>
      <c r="U10" s="100"/>
      <c r="V10" s="2234" t="n">
        <f aca="false">[7]VEND!$P$31</f>
        <v>23392337</v>
      </c>
      <c r="W10" s="100"/>
      <c r="X10" s="203" t="n">
        <f aca="false">[7]VEND!$Q$31</f>
        <v>2004675.43</v>
      </c>
      <c r="Y10" s="2233" t="n">
        <f aca="false">X10/V10</f>
        <v>0.0856979544198598</v>
      </c>
      <c r="Z10" s="100"/>
      <c r="AA10" s="2234" t="n">
        <f aca="false">[8]VEND!$P$31</f>
        <v>2203934</v>
      </c>
      <c r="AB10" s="100"/>
      <c r="AC10" s="203" t="n">
        <f aca="false">[8]VEND!$Q31</f>
        <v>1218470</v>
      </c>
      <c r="AD10" s="2233" t="n">
        <f aca="false">AC10/AA10</f>
        <v>0.552861383326361</v>
      </c>
      <c r="AE10" s="100"/>
      <c r="AF10" s="2234" t="n">
        <f aca="false">'[9]HIST.'!$AF$10</f>
        <v>13793390</v>
      </c>
      <c r="AG10" s="100"/>
      <c r="AH10" s="203" t="n">
        <f aca="false">'[9]HIST.'!$AH$10</f>
        <v>2484764.48</v>
      </c>
      <c r="AI10" s="2233" t="n">
        <f aca="false">AH10/AF10</f>
        <v>0.180141682356549</v>
      </c>
      <c r="AJ10" s="100"/>
      <c r="AK10" s="2234" t="n">
        <f aca="false">'[10]HIST.'!AK10</f>
        <v>35274718</v>
      </c>
      <c r="AL10" s="100"/>
      <c r="AM10" s="203" t="n">
        <f aca="false">'[10]HIST.'!AM10</f>
        <v>4385482.75</v>
      </c>
      <c r="AN10" s="2233" t="n">
        <f aca="false">AM10/AK10</f>
        <v>0.124323679922827</v>
      </c>
      <c r="AO10" s="100"/>
      <c r="AP10" s="2234" t="n">
        <f aca="false">'[11]HIST.'!AP10</f>
        <v>31471130</v>
      </c>
      <c r="AQ10" s="100"/>
      <c r="AR10" s="203" t="n">
        <f aca="false">'[11]HIST.'!AR10</f>
        <v>5802009.94</v>
      </c>
      <c r="AS10" s="2233" t="n">
        <f aca="false">AR10/AP10</f>
        <v>0.184359758928262</v>
      </c>
      <c r="AT10" s="100"/>
      <c r="AU10" s="2234" t="n">
        <f aca="false">'[12]HIST.'!$AU$10</f>
        <v>41120290</v>
      </c>
      <c r="AV10" s="100"/>
      <c r="AW10" s="203" t="n">
        <f aca="false">'[12]HIST.'!$AW$10</f>
        <v>8766799.8365</v>
      </c>
      <c r="AX10" s="2233" t="n">
        <f aca="false">AW10/AU10</f>
        <v>0.213198881537557</v>
      </c>
      <c r="AY10" s="100"/>
      <c r="AZ10" s="2236" t="n">
        <f aca="false">[13]VENDA!Q92+[13]VENDA!Q94+[13]VENDA!Q95+[13]VENDA!Q93</f>
        <v>37222240</v>
      </c>
      <c r="BA10" s="98"/>
      <c r="BB10" s="2237" t="n">
        <f aca="false">[13]VENDA!R92+[13]VENDA!R94+[13]VENDA!R95+[13]VENDA!R93</f>
        <v>16388318.73</v>
      </c>
      <c r="BC10" s="2233" t="n">
        <f aca="false">BB10/AZ10</f>
        <v>0.440282979476786</v>
      </c>
      <c r="BD10" s="100"/>
      <c r="BE10" s="2236" t="n">
        <f aca="false">VEN!R92+VEN!R94+VEN!R95+VEN!R93</f>
        <v>130768423.45</v>
      </c>
      <c r="BF10" s="98"/>
      <c r="BG10" s="2237" t="n">
        <f aca="false">VEN!S92+VEN!S94+VEN!S95+VEN!S93</f>
        <v>24241899.02</v>
      </c>
      <c r="BH10" s="2233" t="n">
        <f aca="false">BG10/BE10</f>
        <v>0.185380372267538</v>
      </c>
    </row>
    <row r="11" customFormat="false" ht="14.25" hidden="false" customHeight="false" outlineLevel="0" collapsed="false">
      <c r="A11" s="9" t="str">
        <f aca="false">'COM.'!A10</f>
        <v>Humidicola</v>
      </c>
      <c r="B11" s="2232" t="n">
        <f aca="false">'[3]Vendas Real'!$J$32</f>
        <v>1020310</v>
      </c>
      <c r="C11" s="51"/>
      <c r="D11" s="203" t="n">
        <f aca="false">'[3]Vendas Real'!$K$32</f>
        <v>571402</v>
      </c>
      <c r="E11" s="2233" t="n">
        <f aca="false">D11/B11</f>
        <v>0.560027834677696</v>
      </c>
      <c r="F11" s="100"/>
      <c r="G11" s="2234" t="n">
        <f aca="false">'[4]VR Geral'!$C$33</f>
        <v>525770</v>
      </c>
      <c r="H11" s="45"/>
      <c r="I11" s="410" t="n">
        <f aca="false">'[4]VR Geral'!$D$33</f>
        <v>361090</v>
      </c>
      <c r="J11" s="2233" t="n">
        <f aca="false">I11/G11</f>
        <v>0.686783194172357</v>
      </c>
      <c r="K11" s="100"/>
      <c r="L11" s="2232" t="n">
        <f aca="false">[5]VENDA!$P$30</f>
        <v>1445445</v>
      </c>
      <c r="M11" s="51"/>
      <c r="N11" s="203" t="n">
        <f aca="false">[5]VENDA!$Q$30</f>
        <v>1067226.7</v>
      </c>
      <c r="O11" s="2233" t="n">
        <f aca="false">N11/L11</f>
        <v>0.738337812922664</v>
      </c>
      <c r="P11" s="100"/>
      <c r="Q11" s="2234" t="n">
        <f aca="false">[6]VENDA!$P$31</f>
        <v>1106570</v>
      </c>
      <c r="R11" s="45"/>
      <c r="S11" s="2235" t="n">
        <f aca="false">[6]VENDA!$Q$31</f>
        <v>821713.1</v>
      </c>
      <c r="T11" s="2233" t="n">
        <f aca="false">S11/Q11</f>
        <v>0.742576700976893</v>
      </c>
      <c r="U11" s="100"/>
      <c r="V11" s="2234" t="n">
        <f aca="false">[7]VEND!$P$32</f>
        <v>513300</v>
      </c>
      <c r="W11" s="100"/>
      <c r="X11" s="203" t="n">
        <f aca="false">[7]VEND!$Q$32</f>
        <v>345516.5</v>
      </c>
      <c r="Y11" s="2233" t="n">
        <f aca="false">X11/V11</f>
        <v>0.673127800506526</v>
      </c>
      <c r="Z11" s="100"/>
      <c r="AA11" s="2234" t="n">
        <f aca="false">[8]VEND!$P$32</f>
        <v>1207294</v>
      </c>
      <c r="AB11" s="100"/>
      <c r="AC11" s="203" t="n">
        <f aca="false">[8]VEND!$Q32</f>
        <v>1131133.25</v>
      </c>
      <c r="AD11" s="2233" t="n">
        <f aca="false">AC11/AA11</f>
        <v>0.936916152983449</v>
      </c>
      <c r="AE11" s="100"/>
      <c r="AF11" s="2234" t="n">
        <f aca="false">'[9]HIST.'!$AF$11</f>
        <v>352835</v>
      </c>
      <c r="AG11" s="100"/>
      <c r="AH11" s="203" t="n">
        <f aca="false">'[9]HIST.'!$AH$11</f>
        <v>421976.66</v>
      </c>
      <c r="AI11" s="2233" t="n">
        <f aca="false">AH11/AF11</f>
        <v>1.19596032139669</v>
      </c>
      <c r="AJ11" s="100"/>
      <c r="AK11" s="2234" t="n">
        <f aca="false">'[10]HIST.'!AK11</f>
        <v>729665</v>
      </c>
      <c r="AL11" s="100"/>
      <c r="AM11" s="203" t="n">
        <f aca="false">'[10]HIST.'!AM11</f>
        <v>823143.5</v>
      </c>
      <c r="AN11" s="2233" t="n">
        <f aca="false">AM11/AK11</f>
        <v>1.12811153063392</v>
      </c>
      <c r="AO11" s="100"/>
      <c r="AP11" s="2234" t="n">
        <f aca="false">'[11]HIST.'!AP11</f>
        <v>419580</v>
      </c>
      <c r="AQ11" s="100"/>
      <c r="AR11" s="203" t="n">
        <f aca="false">'[11]HIST.'!AR11</f>
        <v>1087778.2</v>
      </c>
      <c r="AS11" s="2233" t="n">
        <f aca="false">AR11/AP11</f>
        <v>2.59254063587397</v>
      </c>
      <c r="AT11" s="100"/>
      <c r="AU11" s="2234" t="n">
        <f aca="false">'[12]HIST.'!$AU$11</f>
        <v>849590</v>
      </c>
      <c r="AV11" s="100"/>
      <c r="AW11" s="203" t="n">
        <f aca="false">'[12]HIST.'!$AW$11</f>
        <v>2221528.465</v>
      </c>
      <c r="AX11" s="2233" t="n">
        <f aca="false">AW11/AU11</f>
        <v>2.61482416812816</v>
      </c>
      <c r="AY11" s="100"/>
      <c r="AZ11" s="2236" t="n">
        <f aca="false">[13]VENDA!Q96+[13]VENDA!Q97+[13]VENDA!Q98</f>
        <v>823620</v>
      </c>
      <c r="BA11" s="98"/>
      <c r="BB11" s="2237" t="n">
        <f aca="false">[13]VENDA!R96+[13]VENDA!R97+[13]VENDA!R98</f>
        <v>3202037.2</v>
      </c>
      <c r="BC11" s="2233" t="n">
        <f aca="false">BB11/AZ11</f>
        <v>3.88776037493019</v>
      </c>
      <c r="BD11" s="100"/>
      <c r="BE11" s="2236" t="n">
        <f aca="false">VEN!R96+VEN!R97+VEN!R98</f>
        <v>1204100</v>
      </c>
      <c r="BF11" s="98"/>
      <c r="BG11" s="2237" t="n">
        <f aca="false">VEN!S96+VEN!S97+VEN!S98</f>
        <v>4597073.8855</v>
      </c>
      <c r="BH11" s="2233" t="n">
        <f aca="false">BG11/BE11</f>
        <v>3.81785058176231</v>
      </c>
    </row>
    <row r="12" customFormat="false" ht="14.25" hidden="false" customHeight="false" outlineLevel="0" collapsed="false">
      <c r="A12" s="9" t="str">
        <f aca="false">'COM.'!A11</f>
        <v>Llanero</v>
      </c>
      <c r="B12" s="2238" t="n">
        <f aca="false">'[3]Vendas Real'!$J$33</f>
        <v>2308010</v>
      </c>
      <c r="C12" s="390"/>
      <c r="D12" s="410" t="n">
        <f aca="false">'[3]Vendas Real'!$K$33</f>
        <v>724845.85</v>
      </c>
      <c r="E12" s="2233" t="n">
        <f aca="false">D12/B12</f>
        <v>0.314056633203496</v>
      </c>
      <c r="F12" s="100"/>
      <c r="G12" s="2234" t="n">
        <f aca="false">'[4]VR Geral'!$C$34</f>
        <v>1122660</v>
      </c>
      <c r="H12" s="45"/>
      <c r="I12" s="410" t="n">
        <f aca="false">'[4]VR Geral'!$D$34</f>
        <v>516128.4</v>
      </c>
      <c r="J12" s="2233" t="n">
        <f aca="false">I12/G12</f>
        <v>0.459737053070386</v>
      </c>
      <c r="K12" s="100"/>
      <c r="L12" s="2232" t="n">
        <f aca="false">[5]VENDA!$P$31</f>
        <v>1257580</v>
      </c>
      <c r="M12" s="51"/>
      <c r="N12" s="203" t="n">
        <f aca="false">[5]VENDA!$Q$31</f>
        <v>572996.4</v>
      </c>
      <c r="O12" s="2233" t="n">
        <f aca="false">N12/L12</f>
        <v>0.45563415448719</v>
      </c>
      <c r="P12" s="100"/>
      <c r="Q12" s="2234" t="n">
        <f aca="false">[6]VENDA!$P$32</f>
        <v>2212980</v>
      </c>
      <c r="R12" s="45"/>
      <c r="S12" s="2235" t="n">
        <f aca="false">[6]VENDA!$Q$32</f>
        <v>977485.5</v>
      </c>
      <c r="T12" s="2233" t="n">
        <f aca="false">S12/Q12</f>
        <v>0.441705528292167</v>
      </c>
      <c r="U12" s="100"/>
      <c r="V12" s="2234" t="n">
        <f aca="false">[7]VEND!$P$33</f>
        <v>1409700</v>
      </c>
      <c r="W12" s="100"/>
      <c r="X12" s="203" t="n">
        <f aca="false">[7]VEND!$Q$33</f>
        <v>448923.3</v>
      </c>
      <c r="Y12" s="2233" t="n">
        <f aca="false">X12/V12</f>
        <v>0.318453075122367</v>
      </c>
      <c r="Z12" s="100"/>
      <c r="AA12" s="2234" t="n">
        <f aca="false">[8]VEND!$P$33</f>
        <v>814586</v>
      </c>
      <c r="AB12" s="100"/>
      <c r="AC12" s="203" t="n">
        <f aca="false">[8]VEND!$Q33</f>
        <v>401199</v>
      </c>
      <c r="AD12" s="2233" t="n">
        <f aca="false">AC12/AA12</f>
        <v>0.492518899170867</v>
      </c>
      <c r="AE12" s="100"/>
      <c r="AF12" s="2234" t="n">
        <f aca="false">'[9]HIST.'!$AF$12</f>
        <v>883694</v>
      </c>
      <c r="AG12" s="100"/>
      <c r="AH12" s="203" t="n">
        <f aca="false">'[9]HIST.'!$AH$12</f>
        <v>334736</v>
      </c>
      <c r="AI12" s="2233" t="n">
        <f aca="false">AH12/AF12</f>
        <v>0.3787917537066</v>
      </c>
      <c r="AJ12" s="100"/>
      <c r="AK12" s="2234" t="n">
        <f aca="false">'[10]HIST.'!AK12</f>
        <v>789248</v>
      </c>
      <c r="AL12" s="100"/>
      <c r="AM12" s="203" t="n">
        <f aca="false">'[10]HIST.'!AM12</f>
        <v>483049.9</v>
      </c>
      <c r="AN12" s="2233" t="n">
        <f aca="false">AM12/AK12</f>
        <v>0.612038167977619</v>
      </c>
      <c r="AO12" s="100"/>
      <c r="AP12" s="2234" t="n">
        <f aca="false">'[11]HIST.'!AP12</f>
        <v>924593.1</v>
      </c>
      <c r="AQ12" s="100"/>
      <c r="AR12" s="203" t="n">
        <f aca="false">'[11]HIST.'!AR12</f>
        <v>828366.56</v>
      </c>
      <c r="AS12" s="2233" t="n">
        <f aca="false">AR12/AP12</f>
        <v>0.895925526591103</v>
      </c>
      <c r="AT12" s="100"/>
      <c r="AU12" s="2234" t="n">
        <f aca="false">'[12]HIST.'!$AU$12</f>
        <v>1225755</v>
      </c>
      <c r="AV12" s="100"/>
      <c r="AW12" s="203" t="n">
        <f aca="false">'[12]HIST.'!$AW$12</f>
        <v>1374936.99</v>
      </c>
      <c r="AX12" s="2233" t="n">
        <f aca="false">AW12/AU12</f>
        <v>1.1217062055631</v>
      </c>
      <c r="AY12" s="100"/>
      <c r="AZ12" s="2236" t="n">
        <f aca="false">[13]VENDA!Q99+[13]VENDA!Q101+[13]VENDA!Q102+[13]VENDA!Q100</f>
        <v>2283330</v>
      </c>
      <c r="BA12" s="98"/>
      <c r="BB12" s="2237" t="n">
        <f aca="false">[13]VENDA!R99+[13]VENDA!R101+[13]VENDA!R102+[13]VENDA!R100</f>
        <v>3986529.23</v>
      </c>
      <c r="BC12" s="2233" t="n">
        <f aca="false">BB12/AZ12</f>
        <v>1.74592775901863</v>
      </c>
      <c r="BD12" s="100"/>
      <c r="BE12" s="2236" t="n">
        <f aca="false">VEN!R99+VEN!R101+VEN!R102+VEN!R100</f>
        <v>874865.7</v>
      </c>
      <c r="BF12" s="98"/>
      <c r="BG12" s="2237" t="n">
        <f aca="false">VEN!S99+VEN!S101+VEN!S102+VEN!S100</f>
        <v>2384772.2</v>
      </c>
      <c r="BH12" s="2233" t="n">
        <f aca="false">BG12/BE12</f>
        <v>2.72587232531805</v>
      </c>
    </row>
    <row r="13" customFormat="false" ht="14.25" hidden="false" customHeight="false" outlineLevel="0" collapsed="false">
      <c r="A13" s="9" t="str">
        <f aca="false">'COM.'!A12</f>
        <v>Mombaça</v>
      </c>
      <c r="B13" s="2238" t="n">
        <f aca="false">'[3]Vendas Real'!$J$23</f>
        <v>1933580</v>
      </c>
      <c r="C13" s="390"/>
      <c r="D13" s="410" t="n">
        <f aca="false">'[3]Vendas Real'!$K$23</f>
        <v>457431.45</v>
      </c>
      <c r="E13" s="2233" t="n">
        <f aca="false">D13/B13</f>
        <v>0.236572290776694</v>
      </c>
      <c r="F13" s="100"/>
      <c r="G13" s="2234" t="n">
        <f aca="false">'[4]VR Geral'!$C$24</f>
        <v>1282925</v>
      </c>
      <c r="H13" s="45"/>
      <c r="I13" s="410" t="n">
        <f aca="false">'[4]VR Geral'!$D$24</f>
        <v>274307.7</v>
      </c>
      <c r="J13" s="2233" t="n">
        <f aca="false">I13/G13</f>
        <v>0.213814291560302</v>
      </c>
      <c r="K13" s="100"/>
      <c r="L13" s="2232" t="n">
        <f aca="false">[5]VENDA!$P$32</f>
        <v>3156252</v>
      </c>
      <c r="M13" s="51"/>
      <c r="N13" s="203" t="n">
        <f aca="false">[5]VENDA!$Q$32</f>
        <v>588589.1</v>
      </c>
      <c r="O13" s="2233" t="n">
        <f aca="false">N13/L13</f>
        <v>0.186483557079726</v>
      </c>
      <c r="P13" s="100"/>
      <c r="Q13" s="2234" t="n">
        <f aca="false">[6]VENDA!$P$33</f>
        <v>2603450</v>
      </c>
      <c r="R13" s="45"/>
      <c r="S13" s="2235" t="n">
        <f aca="false">[6]VENDA!$Q$33</f>
        <v>513216.25</v>
      </c>
      <c r="T13" s="2233" t="n">
        <f aca="false">S13/Q13</f>
        <v>0.197129289980603</v>
      </c>
      <c r="U13" s="100"/>
      <c r="V13" s="2234" t="n">
        <f aca="false">[7]VEND!$P$34</f>
        <v>5220375</v>
      </c>
      <c r="W13" s="100"/>
      <c r="X13" s="203" t="n">
        <f aca="false">[7]VEND!$Q$34</f>
        <v>1066265.6</v>
      </c>
      <c r="Y13" s="2233" t="n">
        <f aca="false">X13/V13</f>
        <v>0.204250767425712</v>
      </c>
      <c r="Z13" s="100"/>
      <c r="AA13" s="2234" t="n">
        <f aca="false">[8]VEND!$P$34</f>
        <v>2838667</v>
      </c>
      <c r="AB13" s="100"/>
      <c r="AC13" s="203" t="n">
        <f aca="false">[8]VEND!$Q34</f>
        <v>1609620.85</v>
      </c>
      <c r="AD13" s="2233" t="n">
        <f aca="false">AC13/AA13</f>
        <v>0.567034051546025</v>
      </c>
      <c r="AE13" s="100"/>
      <c r="AF13" s="2234" t="n">
        <f aca="false">'[9]HIST.'!$AF$13</f>
        <v>3600775</v>
      </c>
      <c r="AG13" s="100"/>
      <c r="AH13" s="203" t="n">
        <f aca="false">'[9]HIST.'!$AH$13</f>
        <v>1470394.5</v>
      </c>
      <c r="AI13" s="2233" t="n">
        <f aca="false">AH13/AF13</f>
        <v>0.408355006908235</v>
      </c>
      <c r="AJ13" s="100"/>
      <c r="AK13" s="2234" t="n">
        <f aca="false">'[10]HIST.'!AK13</f>
        <v>1953217</v>
      </c>
      <c r="AL13" s="100"/>
      <c r="AM13" s="203" t="n">
        <f aca="false">'[10]HIST.'!AM13</f>
        <v>412077.8</v>
      </c>
      <c r="AN13" s="2233" t="n">
        <f aca="false">AM13/AK13</f>
        <v>0.210973895885608</v>
      </c>
      <c r="AO13" s="100"/>
      <c r="AP13" s="2234" t="n">
        <f aca="false">'[11]HIST.'!AP13</f>
        <v>1732065</v>
      </c>
      <c r="AQ13" s="100"/>
      <c r="AR13" s="203" t="n">
        <f aca="false">'[11]HIST.'!AR13</f>
        <v>554537.39</v>
      </c>
      <c r="AS13" s="2233" t="n">
        <f aca="false">AR13/AP13</f>
        <v>0.320159688002471</v>
      </c>
      <c r="AT13" s="100"/>
      <c r="AU13" s="2234" t="n">
        <f aca="false">'[12]HIST.'!$AU$13</f>
        <v>4237200</v>
      </c>
      <c r="AV13" s="100"/>
      <c r="AW13" s="203" t="n">
        <f aca="false">'[12]HIST.'!$AW$13</f>
        <v>2495397.7325</v>
      </c>
      <c r="AX13" s="2233" t="n">
        <f aca="false">AW13/AU13</f>
        <v>0.588926114533182</v>
      </c>
      <c r="AY13" s="100"/>
      <c r="AZ13" s="2236" t="n">
        <f aca="false">[13]VENDA!Q103+[13]VENDA!Q106+[13]VENDA!Q107+[13]VENDA!Q104+[13]VENDA!Q105</f>
        <v>2849210</v>
      </c>
      <c r="BA13" s="98"/>
      <c r="BB13" s="2237" t="n">
        <f aca="false">[13]VENDA!R103+[13]VENDA!R106+[13]VENDA!R107+[13]VENDA!R104+[13]VENDA!R105</f>
        <v>3810401.22</v>
      </c>
      <c r="BC13" s="2233" t="n">
        <f aca="false">BB13/AZ13</f>
        <v>1.33735358924053</v>
      </c>
      <c r="BD13" s="100"/>
      <c r="BE13" s="2236" t="n">
        <f aca="false">VEN!R103+VEN!R106+VEN!R107+VEN!R104+VEN!R105</f>
        <v>11551911.475</v>
      </c>
      <c r="BF13" s="98"/>
      <c r="BG13" s="2237" t="n">
        <f aca="false">VEN!S103+VEN!S106+VEN!S107+VEN!S104+VEN!S105</f>
        <v>4983285.85</v>
      </c>
      <c r="BH13" s="2233" t="n">
        <f aca="false">BG13/BE13</f>
        <v>0.431381928504607</v>
      </c>
    </row>
    <row r="14" customFormat="false" ht="14.25" hidden="false" customHeight="false" outlineLevel="0" collapsed="false">
      <c r="A14" s="9" t="str">
        <f aca="false">'COM.'!A13</f>
        <v>Tanzania</v>
      </c>
      <c r="B14" s="2238" t="n">
        <f aca="false">'[3]Vendas Real'!$J$22</f>
        <v>2310590</v>
      </c>
      <c r="C14" s="390"/>
      <c r="D14" s="410" t="n">
        <f aca="false">'[3]Vendas Real'!$K$22</f>
        <v>502946.8</v>
      </c>
      <c r="E14" s="2233" t="n">
        <f aca="false">D14/B14</f>
        <v>0.217670292003341</v>
      </c>
      <c r="F14" s="100"/>
      <c r="G14" s="2234" t="n">
        <f aca="false">'[4]VR Geral'!$C$23</f>
        <v>600950</v>
      </c>
      <c r="H14" s="45"/>
      <c r="I14" s="410" t="n">
        <f aca="false">'[4]VR Geral'!$D$23</f>
        <v>137956.5</v>
      </c>
      <c r="J14" s="2233" t="n">
        <f aca="false">I14/G14</f>
        <v>0.229564023629254</v>
      </c>
      <c r="K14" s="100"/>
      <c r="L14" s="2232" t="n">
        <f aca="false">[5]VENDA!$P$33</f>
        <v>1312950</v>
      </c>
      <c r="M14" s="51"/>
      <c r="N14" s="203" t="n">
        <f aca="false">[5]VENDA!$Q$33</f>
        <v>220671.15</v>
      </c>
      <c r="O14" s="2233" t="n">
        <f aca="false">N14/L14</f>
        <v>0.168072775048555</v>
      </c>
      <c r="P14" s="100"/>
      <c r="Q14" s="2234" t="n">
        <f aca="false">[6]VENDA!$P$34</f>
        <v>1018425</v>
      </c>
      <c r="R14" s="45"/>
      <c r="S14" s="2235" t="n">
        <f aca="false">[6]VENDA!$Q$34</f>
        <v>194293.25</v>
      </c>
      <c r="T14" s="2233" t="n">
        <f aca="false">S14/Q14</f>
        <v>0.190778162358544</v>
      </c>
      <c r="U14" s="100"/>
      <c r="V14" s="2234" t="n">
        <f aca="false">[7]VEND!$P$35</f>
        <v>589115</v>
      </c>
      <c r="W14" s="100"/>
      <c r="X14" s="203" t="n">
        <f aca="false">[7]VEND!$Q$35</f>
        <v>125794.9</v>
      </c>
      <c r="Y14" s="2233" t="n">
        <f aca="false">X14/V14</f>
        <v>0.213531992904611</v>
      </c>
      <c r="Z14" s="100"/>
      <c r="AA14" s="2234" t="n">
        <f aca="false">[8]VEND!$P$35</f>
        <v>9600</v>
      </c>
      <c r="AB14" s="100"/>
      <c r="AC14" s="203" t="n">
        <f aca="false">[8]VEND!$Q35</f>
        <v>5925</v>
      </c>
      <c r="AD14" s="2233" t="n">
        <f aca="false">AC14/AA14</f>
        <v>0.6171875</v>
      </c>
      <c r="AE14" s="100"/>
      <c r="AF14" s="2234" t="n">
        <f aca="false">'[9]HIST.'!$AF$14</f>
        <v>80000</v>
      </c>
      <c r="AG14" s="100"/>
      <c r="AH14" s="203" t="n">
        <f aca="false">'[9]HIST.'!$AH$14</f>
        <v>20400</v>
      </c>
      <c r="AI14" s="2233" t="n">
        <f aca="false">AH14/AF14</f>
        <v>0.255</v>
      </c>
      <c r="AJ14" s="100"/>
      <c r="AK14" s="2234" t="n">
        <f aca="false">'[10]HIST.'!AK14</f>
        <v>40000</v>
      </c>
      <c r="AL14" s="100"/>
      <c r="AM14" s="203" t="n">
        <f aca="false">'[10]HIST.'!AM14</f>
        <v>7200</v>
      </c>
      <c r="AN14" s="2233" t="n">
        <f aca="false">AM14/AK14</f>
        <v>0.18</v>
      </c>
      <c r="AO14" s="100"/>
      <c r="AP14" s="2234" t="n">
        <f aca="false">'[11]HIST.'!AP14</f>
        <v>0</v>
      </c>
      <c r="AQ14" s="100"/>
      <c r="AR14" s="203" t="n">
        <f aca="false">'[11]HIST.'!AR14</f>
        <v>0</v>
      </c>
      <c r="AS14" s="2233" t="n">
        <v>0</v>
      </c>
      <c r="AT14" s="100"/>
      <c r="AU14" s="2234" t="n">
        <f aca="false">'[12]HIST.'!$AU$14</f>
        <v>15960</v>
      </c>
      <c r="AV14" s="100"/>
      <c r="AW14" s="203" t="n">
        <f aca="false">'[12]HIST.'!$AW$14</f>
        <v>16651.8</v>
      </c>
      <c r="AX14" s="2233" t="n">
        <f aca="false">AW14/AU14</f>
        <v>1.04334586466165</v>
      </c>
      <c r="AY14" s="100"/>
      <c r="AZ14" s="2236" t="n">
        <f aca="false">[13]VENDA!Q108</f>
        <v>46980</v>
      </c>
      <c r="BA14" s="98"/>
      <c r="BB14" s="2237" t="n">
        <f aca="false">[13]VENDA!R108</f>
        <v>74151</v>
      </c>
      <c r="BC14" s="2233" t="n">
        <f aca="false">BB14/AZ14</f>
        <v>1.57835249042146</v>
      </c>
      <c r="BD14" s="100"/>
      <c r="BE14" s="2236" t="n">
        <f aca="false">VEN!R108</f>
        <v>0</v>
      </c>
      <c r="BF14" s="98"/>
      <c r="BG14" s="2237" t="n">
        <f aca="false">VEN!S108</f>
        <v>0</v>
      </c>
      <c r="BH14" s="2233" t="e">
        <f aca="false">BG14/BE14</f>
        <v>#DIV/0!</v>
      </c>
    </row>
    <row r="15" customFormat="false" ht="14.25" hidden="false" customHeight="false" outlineLevel="0" collapsed="false">
      <c r="A15" s="9" t="str">
        <f aca="false">'COM.'!A14</f>
        <v>Massai</v>
      </c>
      <c r="B15" s="2238" t="n">
        <f aca="false">'[3]Vendas Real'!$J$24</f>
        <v>681900</v>
      </c>
      <c r="C15" s="390"/>
      <c r="D15" s="410" t="n">
        <f aca="false">'[3]Vendas Real'!$K$24</f>
        <v>334052.2</v>
      </c>
      <c r="E15" s="2233" t="n">
        <f aca="false">D15/B15</f>
        <v>0.489884440533803</v>
      </c>
      <c r="F15" s="100"/>
      <c r="G15" s="2234" t="n">
        <f aca="false">'[4]VR Geral'!$C$25</f>
        <v>27200</v>
      </c>
      <c r="H15" s="45"/>
      <c r="I15" s="410" t="n">
        <f aca="false">'[4]VR Geral'!$D$25</f>
        <v>19760</v>
      </c>
      <c r="J15" s="2233" t="n">
        <f aca="false">I15/G15</f>
        <v>0.726470588235294</v>
      </c>
      <c r="K15" s="100"/>
      <c r="L15" s="2232" t="n">
        <f aca="false">[5]VENDA!$P$34</f>
        <v>704000</v>
      </c>
      <c r="M15" s="51"/>
      <c r="N15" s="203" t="n">
        <f aca="false">[5]VENDA!$Q$34</f>
        <v>227063.8</v>
      </c>
      <c r="O15" s="2233" t="n">
        <f aca="false">N15/L15</f>
        <v>0.322533806818182</v>
      </c>
      <c r="P15" s="100"/>
      <c r="Q15" s="2234" t="n">
        <f aca="false">[6]VENDA!$P$35</f>
        <v>1014950</v>
      </c>
      <c r="R15" s="45"/>
      <c r="S15" s="2235" t="n">
        <f aca="false">[6]VENDA!$Q$35</f>
        <v>290920.62</v>
      </c>
      <c r="T15" s="2233" t="n">
        <f aca="false">S15/Q15</f>
        <v>0.286635420464062</v>
      </c>
      <c r="U15" s="100"/>
      <c r="V15" s="2234" t="n">
        <f aca="false">[7]VEND!$P$36</f>
        <v>1279500</v>
      </c>
      <c r="W15" s="100"/>
      <c r="X15" s="203" t="n">
        <f aca="false">[7]VEND!$Q$36</f>
        <v>365415.9</v>
      </c>
      <c r="Y15" s="2233" t="n">
        <f aca="false">X15/V15</f>
        <v>0.285592731535756</v>
      </c>
      <c r="Z15" s="100"/>
      <c r="AA15" s="2234" t="n">
        <f aca="false">[8]VEND!$P$36</f>
        <v>95517</v>
      </c>
      <c r="AB15" s="100"/>
      <c r="AC15" s="203" t="n">
        <f aca="false">[8]VEND!$Q36</f>
        <v>97608</v>
      </c>
      <c r="AD15" s="2233" t="n">
        <f aca="false">AC15/AA15</f>
        <v>1.02189139106128</v>
      </c>
      <c r="AE15" s="100"/>
      <c r="AF15" s="2234" t="n">
        <f aca="false">'[9]HIST.'!$AF$15</f>
        <v>135031</v>
      </c>
      <c r="AG15" s="100"/>
      <c r="AH15" s="203" t="n">
        <f aca="false">'[9]HIST.'!$AH$15</f>
        <v>102716</v>
      </c>
      <c r="AI15" s="2233" t="n">
        <f aca="false">AH15/AF15</f>
        <v>0.760684583540076</v>
      </c>
      <c r="AJ15" s="100"/>
      <c r="AK15" s="2234" t="n">
        <f aca="false">'[10]HIST.'!AK15</f>
        <v>483070</v>
      </c>
      <c r="AL15" s="100"/>
      <c r="AM15" s="203" t="n">
        <f aca="false">'[10]HIST.'!AM15</f>
        <v>127074.8</v>
      </c>
      <c r="AN15" s="2233" t="n">
        <f aca="false">AM15/AK15</f>
        <v>0.263056699857164</v>
      </c>
      <c r="AO15" s="100"/>
      <c r="AP15" s="2234" t="n">
        <f aca="false">'[11]HIST.'!AP15</f>
        <v>561750</v>
      </c>
      <c r="AQ15" s="100"/>
      <c r="AR15" s="203" t="n">
        <f aca="false">'[11]HIST.'!AR15</f>
        <v>189289.3</v>
      </c>
      <c r="AS15" s="2233" t="n">
        <f aca="false">AR15/AP15</f>
        <v>0.336963595905652</v>
      </c>
      <c r="AT15" s="100"/>
      <c r="AU15" s="2234" t="n">
        <f aca="false">'[12]HIST.'!$AU$15</f>
        <v>476765</v>
      </c>
      <c r="AV15" s="100"/>
      <c r="AW15" s="203" t="n">
        <f aca="false">'[12]HIST.'!$AW$15</f>
        <v>353430.44</v>
      </c>
      <c r="AX15" s="2233" t="n">
        <f aca="false">AW15/AU15</f>
        <v>0.741309534047172</v>
      </c>
      <c r="AY15" s="100"/>
      <c r="AZ15" s="2236" t="n">
        <f aca="false">[13]VENDA!Q109+[13]VENDA!Q112+[13]VENDA!Q113+[13]VENDA!Q110+[13]VENDA!Q111</f>
        <v>1484485</v>
      </c>
      <c r="BA15" s="98"/>
      <c r="BB15" s="2237" t="n">
        <f aca="false">[13]VENDA!R109+[13]VENDA!R112+[13]VENDA!R113+[13]VENDA!R110+[13]VENDA!R111</f>
        <v>2715220.82</v>
      </c>
      <c r="BC15" s="2233" t="n">
        <f aca="false">BB15/AZ15</f>
        <v>1.82906585112009</v>
      </c>
      <c r="BD15" s="100"/>
      <c r="BE15" s="2236" t="n">
        <f aca="false">VEN!R109+VEN!R112+VEN!R113+VEN!R110+VEN!R111</f>
        <v>4746431.625</v>
      </c>
      <c r="BF15" s="98"/>
      <c r="BG15" s="2237" t="n">
        <f aca="false">VEN!S109+VEN!S112+VEN!S113+VEN!S110+VEN!S111</f>
        <v>2829619.02</v>
      </c>
      <c r="BH15" s="2233" t="n">
        <f aca="false">BG15/BE15</f>
        <v>0.596157122562574</v>
      </c>
    </row>
    <row r="16" customFormat="false" ht="14.25" hidden="false" customHeight="false" outlineLevel="0" collapsed="false">
      <c r="A16" s="9" t="str">
        <f aca="false">'COM.'!A15</f>
        <v>Aruana</v>
      </c>
      <c r="B16" s="2238" t="n">
        <f aca="false">'[3]Vendas Real'!$J$25</f>
        <v>271060</v>
      </c>
      <c r="C16" s="390"/>
      <c r="D16" s="410" t="n">
        <f aca="false">'[3]Vendas Real'!$K$25</f>
        <v>111318.7</v>
      </c>
      <c r="E16" s="2233" t="n">
        <f aca="false">D16/B16</f>
        <v>0.410679185420202</v>
      </c>
      <c r="F16" s="100"/>
      <c r="G16" s="2234" t="n">
        <f aca="false">'[4]VR Geral'!$C$26</f>
        <v>292600</v>
      </c>
      <c r="H16" s="45"/>
      <c r="I16" s="410" t="n">
        <f aca="false">'[4]VR Geral'!$D$26</f>
        <v>98065.85</v>
      </c>
      <c r="J16" s="2233" t="n">
        <f aca="false">I16/G16</f>
        <v>0.335153280929597</v>
      </c>
      <c r="K16" s="100"/>
      <c r="L16" s="2232" t="n">
        <f aca="false">[5]VENDA!$P$35</f>
        <v>314000</v>
      </c>
      <c r="M16" s="51"/>
      <c r="N16" s="203" t="n">
        <f aca="false">[5]VENDA!$Q$35</f>
        <v>79392.5</v>
      </c>
      <c r="O16" s="2233" t="n">
        <f aca="false">N16/L16</f>
        <v>0.252842356687898</v>
      </c>
      <c r="P16" s="100"/>
      <c r="Q16" s="2234" t="n">
        <f aca="false">[6]VENDA!$P$36</f>
        <v>521850</v>
      </c>
      <c r="R16" s="45"/>
      <c r="S16" s="2235" t="n">
        <f aca="false">[6]VENDA!$Q$36</f>
        <v>140399.5</v>
      </c>
      <c r="T16" s="2233" t="n">
        <f aca="false">S16/Q16</f>
        <v>0.269041870269234</v>
      </c>
      <c r="U16" s="100"/>
      <c r="V16" s="2234" t="n">
        <f aca="false">[7]VEND!$P$37</f>
        <v>379100</v>
      </c>
      <c r="W16" s="100"/>
      <c r="X16" s="203" t="n">
        <f aca="false">[7]VEND!$Q$37</f>
        <v>92307</v>
      </c>
      <c r="Y16" s="2233" t="n">
        <f aca="false">X16/V16</f>
        <v>0.243489844368241</v>
      </c>
      <c r="Z16" s="100"/>
      <c r="AA16" s="2234" t="n">
        <f aca="false">[8]VEND!$P$37</f>
        <v>0</v>
      </c>
      <c r="AB16" s="100"/>
      <c r="AC16" s="203" t="n">
        <f aca="false">[8]VEND!$Q37</f>
        <v>0</v>
      </c>
      <c r="AD16" s="2233" t="n">
        <v>0</v>
      </c>
      <c r="AE16" s="100"/>
      <c r="AF16" s="2234" t="n">
        <f aca="false">'[9]HIST.'!$AF$16</f>
        <v>20000</v>
      </c>
      <c r="AG16" s="100"/>
      <c r="AH16" s="203" t="n">
        <f aca="false">'[9]HIST.'!$AH$16</f>
        <v>6960</v>
      </c>
      <c r="AI16" s="2233" t="n">
        <v>0</v>
      </c>
      <c r="AJ16" s="100"/>
      <c r="AK16" s="2234" t="n">
        <f aca="false">'[10]HIST.'!AK16</f>
        <v>110500</v>
      </c>
      <c r="AL16" s="100"/>
      <c r="AM16" s="203" t="n">
        <f aca="false">'[10]HIST.'!AM16</f>
        <v>49050</v>
      </c>
      <c r="AN16" s="2233" t="n">
        <f aca="false">AM16/AK16</f>
        <v>0.443891402714932</v>
      </c>
      <c r="AO16" s="100"/>
      <c r="AP16" s="2234" t="n">
        <f aca="false">'[11]HIST.'!AP16</f>
        <v>310840</v>
      </c>
      <c r="AQ16" s="100"/>
      <c r="AR16" s="203" t="n">
        <f aca="false">'[11]HIST.'!AR16</f>
        <v>137781.8</v>
      </c>
      <c r="AS16" s="2233" t="n">
        <f aca="false">AR16/AP16</f>
        <v>0.44325633766568</v>
      </c>
      <c r="AT16" s="100"/>
      <c r="AU16" s="2234" t="n">
        <f aca="false">'[12]HIST.'!$AU$16</f>
        <v>245100</v>
      </c>
      <c r="AV16" s="100"/>
      <c r="AW16" s="203" t="n">
        <f aca="false">'[12]HIST.'!$AW$16</f>
        <v>125598.078</v>
      </c>
      <c r="AX16" s="2233" t="n">
        <f aca="false">AW16/AU16</f>
        <v>0.51243605875153</v>
      </c>
      <c r="AY16" s="100"/>
      <c r="AZ16" s="2236" t="n">
        <f aca="false">[13]VENDA!Q114+[13]VENDA!Q115</f>
        <v>101250</v>
      </c>
      <c r="BA16" s="98"/>
      <c r="BB16" s="2237" t="n">
        <f aca="false">[13]VENDA!R114+[13]VENDA!R115</f>
        <v>176934.35</v>
      </c>
      <c r="BC16" s="2233" t="n">
        <f aca="false">BB16/AZ16</f>
        <v>1.74749975308642</v>
      </c>
      <c r="BD16" s="100"/>
      <c r="BE16" s="2236" t="n">
        <f aca="false">VEN!R114</f>
        <v>468135</v>
      </c>
      <c r="BF16" s="98"/>
      <c r="BG16" s="2237" t="n">
        <f aca="false">VEN!S114</f>
        <v>382204.72</v>
      </c>
      <c r="BH16" s="2233" t="n">
        <f aca="false">BG16/BE16</f>
        <v>0.816441240240529</v>
      </c>
    </row>
    <row r="17" customFormat="false" ht="14.25" hidden="false" customHeight="false" outlineLevel="0" collapsed="false">
      <c r="A17" s="9" t="s">
        <v>17</v>
      </c>
      <c r="B17" s="2238" t="n">
        <v>0</v>
      </c>
      <c r="C17" s="390"/>
      <c r="D17" s="410" t="n">
        <v>0</v>
      </c>
      <c r="E17" s="2233" t="n">
        <v>0</v>
      </c>
      <c r="F17" s="100"/>
      <c r="G17" s="2234" t="n">
        <v>0</v>
      </c>
      <c r="H17" s="45"/>
      <c r="I17" s="410" t="n">
        <v>0</v>
      </c>
      <c r="J17" s="2233" t="n">
        <v>0</v>
      </c>
      <c r="K17" s="100"/>
      <c r="L17" s="2232" t="n">
        <f aca="false">[5]VENDA!$P$36</f>
        <v>27090</v>
      </c>
      <c r="M17" s="51"/>
      <c r="N17" s="203" t="n">
        <f aca="false">[5]VENDA!$Q$36</f>
        <v>10500</v>
      </c>
      <c r="O17" s="2233" t="n">
        <f aca="false">N17/L17</f>
        <v>0.387596899224806</v>
      </c>
      <c r="P17" s="100"/>
      <c r="Q17" s="2234" t="n">
        <f aca="false">[6]VENDA!$P$37</f>
        <v>871425</v>
      </c>
      <c r="R17" s="45"/>
      <c r="S17" s="2235" t="n">
        <f aca="false">[6]VENDA!$Q$37</f>
        <v>199716.4</v>
      </c>
      <c r="T17" s="2233" t="n">
        <f aca="false">S17/Q17</f>
        <v>0.229183693375793</v>
      </c>
      <c r="U17" s="100"/>
      <c r="V17" s="2234" t="n">
        <f aca="false">[7]VEND!$P$38</f>
        <v>1782275</v>
      </c>
      <c r="W17" s="100"/>
      <c r="X17" s="203" t="n">
        <f aca="false">[7]VEND!$Q$38</f>
        <v>576036.65</v>
      </c>
      <c r="Y17" s="2233" t="n">
        <f aca="false">X17/V17</f>
        <v>0.323203013003044</v>
      </c>
      <c r="Z17" s="100"/>
      <c r="AA17" s="2234" t="n">
        <f aca="false">[8]VEND!$P$38</f>
        <v>310443</v>
      </c>
      <c r="AB17" s="100"/>
      <c r="AC17" s="203" t="n">
        <f aca="false">[8]VEND!$Q38</f>
        <v>293306</v>
      </c>
      <c r="AD17" s="2233" t="n">
        <f aca="false">AC17/AA17</f>
        <v>0.944798239934545</v>
      </c>
      <c r="AE17" s="100"/>
      <c r="AF17" s="2234" t="n">
        <f aca="false">'[9]HIST.'!$AF$17</f>
        <v>1661159.99935</v>
      </c>
      <c r="AG17" s="100"/>
      <c r="AH17" s="203" t="n">
        <f aca="false">'[9]HIST.'!$AH$17</f>
        <v>580873.82</v>
      </c>
      <c r="AI17" s="2233" t="n">
        <f aca="false">AH17/AF17</f>
        <v>0.349679633645941</v>
      </c>
      <c r="AJ17" s="100"/>
      <c r="AK17" s="2234" t="n">
        <f aca="false">'[10]HIST.'!AK17</f>
        <v>964705</v>
      </c>
      <c r="AL17" s="100"/>
      <c r="AM17" s="203" t="n">
        <f aca="false">'[10]HIST.'!AM17</f>
        <v>274431.2</v>
      </c>
      <c r="AN17" s="2233" t="n">
        <f aca="false">AM17/AK17</f>
        <v>0.284471626041121</v>
      </c>
      <c r="AO17" s="100"/>
      <c r="AP17" s="2234" t="n">
        <f aca="false">'[11]HIST.'!AP17</f>
        <v>1833678.1</v>
      </c>
      <c r="AQ17" s="100"/>
      <c r="AR17" s="203" t="n">
        <f aca="false">'[11]HIST.'!AR17</f>
        <v>613219.41</v>
      </c>
      <c r="AS17" s="2233" t="n">
        <f aca="false">AR17/AP17</f>
        <v>0.334420425264391</v>
      </c>
      <c r="AT17" s="100"/>
      <c r="AU17" s="2234" t="n">
        <f aca="false">'[12]HIST.'!$AU$17</f>
        <v>4241525</v>
      </c>
      <c r="AV17" s="100"/>
      <c r="AW17" s="203" t="n">
        <f aca="false">'[12]HIST.'!$AW$17</f>
        <v>2540902.671</v>
      </c>
      <c r="AX17" s="2233" t="n">
        <f aca="false">AW17/AU17</f>
        <v>0.599054036225179</v>
      </c>
      <c r="AY17" s="100"/>
      <c r="AZ17" s="2236" t="n">
        <f aca="false">[13]VENDA!Q116+[13]VENDA!Q119+[13]VENDA!Q120+[13]VENDA!Q117+[13]VENDA!Q118</f>
        <v>2928655</v>
      </c>
      <c r="BA17" s="98"/>
      <c r="BB17" s="2237" t="n">
        <f aca="false">[13]VENDA!R116+[13]VENDA!R119+[13]VENDA!R120+[13]VENDA!R117+[13]VENDA!R118</f>
        <v>5083866.7</v>
      </c>
      <c r="BC17" s="2233" t="n">
        <f aca="false">BB17/AZ17</f>
        <v>1.73590494612715</v>
      </c>
      <c r="BD17" s="100"/>
      <c r="BE17" s="2236" t="n">
        <f aca="false">VEN!R115+VEN!R118+VEN!R119+VEN!R116+VEN!R117</f>
        <v>5383355</v>
      </c>
      <c r="BF17" s="98"/>
      <c r="BG17" s="2237" t="n">
        <f aca="false">VEN!S115+VEN!S118+VEN!S119+VEN!S116+VEN!S117</f>
        <v>2809735.89</v>
      </c>
      <c r="BH17" s="2233" t="n">
        <f aca="false">BG17/BE17</f>
        <v>0.521930262819376</v>
      </c>
    </row>
    <row r="18" customFormat="false" ht="14.25" hidden="false" customHeight="false" outlineLevel="0" collapsed="false">
      <c r="A18" s="9" t="s">
        <v>18</v>
      </c>
      <c r="B18" s="2238" t="n">
        <v>0</v>
      </c>
      <c r="C18" s="390"/>
      <c r="D18" s="410" t="n">
        <v>0</v>
      </c>
      <c r="E18" s="2233" t="n">
        <v>0</v>
      </c>
      <c r="F18" s="100"/>
      <c r="G18" s="2234" t="n">
        <v>0</v>
      </c>
      <c r="H18" s="45"/>
      <c r="I18" s="410" t="n">
        <v>0</v>
      </c>
      <c r="J18" s="2233" t="n">
        <v>0</v>
      </c>
      <c r="K18" s="100"/>
      <c r="L18" s="2232" t="n">
        <v>0</v>
      </c>
      <c r="M18" s="51"/>
      <c r="N18" s="203" t="n">
        <v>0</v>
      </c>
      <c r="O18" s="2233" t="n">
        <v>0</v>
      </c>
      <c r="P18" s="100"/>
      <c r="Q18" s="2234" t="n">
        <f aca="false">[6]VENDA!$P$38</f>
        <v>381400</v>
      </c>
      <c r="R18" s="45"/>
      <c r="S18" s="2235" t="n">
        <f aca="false">[6]VENDA!$Q$38</f>
        <v>87409.5</v>
      </c>
      <c r="T18" s="2233" t="n">
        <f aca="false">S18/Q18</f>
        <v>0.229180650235973</v>
      </c>
      <c r="U18" s="100"/>
      <c r="V18" s="2234" t="n">
        <f aca="false">[7]VEND!$P$39</f>
        <v>484200</v>
      </c>
      <c r="W18" s="100"/>
      <c r="X18" s="203" t="n">
        <f aca="false">[7]VEND!$Q$39</f>
        <v>120664.3</v>
      </c>
      <c r="Y18" s="2233" t="n">
        <f aca="false">X18/V18</f>
        <v>0.249203428335399</v>
      </c>
      <c r="Z18" s="100"/>
      <c r="AA18" s="2234" t="n">
        <f aca="false">[8]VEND!$P$39</f>
        <v>108000</v>
      </c>
      <c r="AB18" s="100"/>
      <c r="AC18" s="203" t="n">
        <f aca="false">[8]VEND!$Q39</f>
        <v>32400</v>
      </c>
      <c r="AD18" s="2233" t="n">
        <f aca="false">AC18/AA18</f>
        <v>0.3</v>
      </c>
      <c r="AE18" s="100"/>
      <c r="AF18" s="2234" t="n">
        <f aca="false">'[9]HIST.'!$AF$18</f>
        <v>12000</v>
      </c>
      <c r="AG18" s="100"/>
      <c r="AH18" s="203" t="n">
        <f aca="false">'[9]HIST.'!$AH$18</f>
        <v>3820</v>
      </c>
      <c r="AI18" s="2233" t="n">
        <f aca="false">AH18/AF18</f>
        <v>0.318333333333333</v>
      </c>
      <c r="AJ18" s="100"/>
      <c r="AK18" s="2234" t="n">
        <f aca="false">'[10]HIST.'!AK18</f>
        <v>351450</v>
      </c>
      <c r="AL18" s="100"/>
      <c r="AM18" s="203" t="n">
        <f aca="false">'[10]HIST.'!AM18</f>
        <v>65981.95</v>
      </c>
      <c r="AN18" s="2233" t="n">
        <f aca="false">AM18/AK18</f>
        <v>0.187742068573054</v>
      </c>
      <c r="AO18" s="100"/>
      <c r="AP18" s="2234" t="n">
        <f aca="false">'[11]HIST.'!AP18</f>
        <v>1350</v>
      </c>
      <c r="AQ18" s="100"/>
      <c r="AR18" s="203" t="n">
        <f aca="false">'[11]HIST.'!AR18</f>
        <v>557.1</v>
      </c>
      <c r="AS18" s="2233" t="n">
        <f aca="false">AR18/AP18</f>
        <v>0.412666666666667</v>
      </c>
      <c r="AT18" s="100"/>
      <c r="AU18" s="2234" t="n">
        <f aca="false">'[12]HIST.'!$AU$18</f>
        <v>194565</v>
      </c>
      <c r="AV18" s="100"/>
      <c r="AW18" s="203" t="n">
        <f aca="false">'[12]HIST.'!$AW$18</f>
        <v>142085.1</v>
      </c>
      <c r="AX18" s="2233" t="n">
        <f aca="false">AW18/AU18</f>
        <v>0.730270603654306</v>
      </c>
      <c r="AY18" s="100"/>
      <c r="AZ18" s="2236" t="n">
        <f aca="false">[13]VENDA!Q121+[13]VENDA!Q122+[13]VENDA!Q123</f>
        <v>76860</v>
      </c>
      <c r="BA18" s="98"/>
      <c r="BB18" s="2237" t="n">
        <f aca="false">[13]VENDA!R121+[13]VENDA!R122+[13]VENDA!R123</f>
        <v>184951.65</v>
      </c>
      <c r="BC18" s="2233" t="n">
        <f aca="false">BB18/AZ18</f>
        <v>2.40634465261515</v>
      </c>
      <c r="BD18" s="100"/>
      <c r="BE18" s="2236" t="n">
        <f aca="false">VEN!R120+VEN!R121+VEN!R122</f>
        <v>2031208.794</v>
      </c>
      <c r="BF18" s="98"/>
      <c r="BG18" s="2237" t="n">
        <f aca="false">VEN!S120+VEN!S121+VEN!S122</f>
        <v>862464.2</v>
      </c>
      <c r="BH18" s="2233" t="n">
        <f aca="false">BG18/BE18</f>
        <v>0.424606373577959</v>
      </c>
    </row>
    <row r="19" customFormat="false" ht="14.25" hidden="false" customHeight="false" outlineLevel="0" collapsed="false">
      <c r="A19" s="9" t="s">
        <v>19</v>
      </c>
      <c r="B19" s="2238" t="n">
        <v>0</v>
      </c>
      <c r="C19" s="390"/>
      <c r="D19" s="410" t="n">
        <v>0</v>
      </c>
      <c r="E19" s="2233" t="n">
        <v>0</v>
      </c>
      <c r="F19" s="100"/>
      <c r="G19" s="2234" t="n">
        <v>0</v>
      </c>
      <c r="H19" s="45"/>
      <c r="I19" s="410" t="n">
        <v>0</v>
      </c>
      <c r="J19" s="2233" t="n">
        <v>0</v>
      </c>
      <c r="K19" s="100"/>
      <c r="L19" s="2232" t="n">
        <v>0</v>
      </c>
      <c r="M19" s="51"/>
      <c r="N19" s="203" t="n">
        <v>0</v>
      </c>
      <c r="O19" s="2233" t="n">
        <v>0</v>
      </c>
      <c r="P19" s="100"/>
      <c r="Q19" s="2234" t="n">
        <v>0</v>
      </c>
      <c r="R19" s="45"/>
      <c r="S19" s="2235" t="n">
        <v>0</v>
      </c>
      <c r="T19" s="2233" t="n">
        <v>0</v>
      </c>
      <c r="U19" s="100"/>
      <c r="V19" s="2234" t="n">
        <f aca="false">[7]VEND!$P$40</f>
        <v>87210</v>
      </c>
      <c r="W19" s="100"/>
      <c r="X19" s="203" t="n">
        <f aca="false">[7]VEND!$Q$40</f>
        <v>37431.4</v>
      </c>
      <c r="Y19" s="2233" t="n">
        <f aca="false">X19/V19</f>
        <v>0.429209952987043</v>
      </c>
      <c r="Z19" s="100"/>
      <c r="AA19" s="2234" t="n">
        <f aca="false">[8]VEND!$P$40</f>
        <v>84201</v>
      </c>
      <c r="AB19" s="100"/>
      <c r="AC19" s="203" t="n">
        <f aca="false">[8]VEND!$Q40</f>
        <v>86842.4</v>
      </c>
      <c r="AD19" s="2233" t="n">
        <f aca="false">AC19/AA19</f>
        <v>1.03137017375091</v>
      </c>
      <c r="AE19" s="100"/>
      <c r="AF19" s="2234" t="n">
        <f aca="false">'[9]HIST.'!$AF$19</f>
        <v>54020</v>
      </c>
      <c r="AG19" s="100"/>
      <c r="AH19" s="203" t="n">
        <f aca="false">'[9]HIST.'!$AH$19</f>
        <v>37490.7</v>
      </c>
      <c r="AI19" s="2233" t="n">
        <f aca="false">AH19/AF19</f>
        <v>0.694015179563125</v>
      </c>
      <c r="AJ19" s="100"/>
      <c r="AK19" s="2234" t="n">
        <f aca="false">'[10]HIST.'!AK19</f>
        <v>161268</v>
      </c>
      <c r="AL19" s="100"/>
      <c r="AM19" s="203" t="n">
        <f aca="false">'[10]HIST.'!AM19</f>
        <v>85092.7</v>
      </c>
      <c r="AN19" s="2233" t="n">
        <f aca="false">AM19/AK19</f>
        <v>0.527647766450877</v>
      </c>
      <c r="AO19" s="100"/>
      <c r="AP19" s="2234" t="n">
        <f aca="false">'[11]HIST.'!AP19</f>
        <v>177080</v>
      </c>
      <c r="AQ19" s="100"/>
      <c r="AR19" s="203" t="n">
        <f aca="false">'[11]HIST.'!AR19</f>
        <v>111700.4</v>
      </c>
      <c r="AS19" s="2233" t="n">
        <f aca="false">AR19/AP19</f>
        <v>0.630790603117235</v>
      </c>
      <c r="AT19" s="100"/>
      <c r="AU19" s="2234" t="n">
        <f aca="false">'[12]HIST.'!$AU$19</f>
        <v>877580</v>
      </c>
      <c r="AV19" s="100"/>
      <c r="AW19" s="203" t="n">
        <f aca="false">'[12]HIST.'!$AW$19</f>
        <v>685195.5415</v>
      </c>
      <c r="AX19" s="2233" t="n">
        <f aca="false">AW19/AU19</f>
        <v>0.780778437863215</v>
      </c>
      <c r="AY19" s="100"/>
      <c r="AZ19" s="2236" t="n">
        <f aca="false">[13]VENDA!Q124+[13]VENDA!Q125+[13]VENDA!Q126</f>
        <v>681560</v>
      </c>
      <c r="BA19" s="98"/>
      <c r="BB19" s="2237" t="n">
        <f aca="false">[13]VENDA!R124+[13]VENDA!R125+[13]VENDA!R126</f>
        <v>1319982.55</v>
      </c>
      <c r="BC19" s="2233" t="n">
        <f aca="false">BB19/AZ19</f>
        <v>1.93670777334351</v>
      </c>
      <c r="BD19" s="100"/>
      <c r="BE19" s="2236" t="n">
        <f aca="false">VEN!R123+VEN!R124+VEN!R125</f>
        <v>1059187.5</v>
      </c>
      <c r="BF19" s="98"/>
      <c r="BG19" s="2237" t="n">
        <f aca="false">VEN!S123+VEN!S124+VEN!S125</f>
        <v>888992.03</v>
      </c>
      <c r="BH19" s="2233" t="n">
        <f aca="false">BG19/BE19</f>
        <v>0.839315069333805</v>
      </c>
    </row>
    <row r="20" customFormat="false" ht="14.25" hidden="false" customHeight="false" outlineLevel="0" collapsed="false">
      <c r="A20" s="9" t="s">
        <v>3673</v>
      </c>
      <c r="B20" s="2238" t="n">
        <v>0</v>
      </c>
      <c r="C20" s="390"/>
      <c r="D20" s="410" t="n">
        <v>0</v>
      </c>
      <c r="E20" s="2233" t="n">
        <v>0</v>
      </c>
      <c r="F20" s="100"/>
      <c r="G20" s="2234" t="n">
        <v>0</v>
      </c>
      <c r="H20" s="45"/>
      <c r="I20" s="410" t="n">
        <v>0</v>
      </c>
      <c r="J20" s="2233" t="n">
        <v>0</v>
      </c>
      <c r="K20" s="100"/>
      <c r="L20" s="2232" t="n">
        <v>0</v>
      </c>
      <c r="M20" s="51"/>
      <c r="N20" s="203" t="n">
        <v>0</v>
      </c>
      <c r="O20" s="2233" t="n">
        <v>0</v>
      </c>
      <c r="P20" s="100"/>
      <c r="Q20" s="2234" t="n">
        <v>0</v>
      </c>
      <c r="R20" s="45"/>
      <c r="S20" s="2235" t="n">
        <v>0</v>
      </c>
      <c r="T20" s="2233" t="n">
        <v>0</v>
      </c>
      <c r="U20" s="100"/>
      <c r="V20" s="2234" t="n">
        <v>0</v>
      </c>
      <c r="W20" s="100"/>
      <c r="X20" s="203" t="n">
        <v>0</v>
      </c>
      <c r="Y20" s="2233" t="n">
        <v>0</v>
      </c>
      <c r="Z20" s="100"/>
      <c r="AA20" s="2234" t="n">
        <v>0</v>
      </c>
      <c r="AB20" s="100"/>
      <c r="AC20" s="203" t="n">
        <v>0</v>
      </c>
      <c r="AD20" s="2233" t="n">
        <v>0</v>
      </c>
      <c r="AE20" s="100"/>
      <c r="AF20" s="2234" t="n">
        <f aca="false">'[9]HIST.'!$AF$20</f>
        <v>137340</v>
      </c>
      <c r="AG20" s="100"/>
      <c r="AH20" s="203" t="n">
        <f aca="false">'[9]HIST.'!$AH$20</f>
        <v>61040</v>
      </c>
      <c r="AI20" s="2233" t="n">
        <f aca="false">AH20/AF20</f>
        <v>0.444444444444444</v>
      </c>
      <c r="AJ20" s="100"/>
      <c r="AK20" s="2234" t="n">
        <f aca="false">'[10]HIST.'!AK20</f>
        <v>0</v>
      </c>
      <c r="AL20" s="100"/>
      <c r="AM20" s="203" t="n">
        <f aca="false">'[10]HIST.'!AM20</f>
        <v>0</v>
      </c>
      <c r="AN20" s="2233" t="n">
        <v>0</v>
      </c>
      <c r="AO20" s="100"/>
      <c r="AP20" s="2234" t="n">
        <f aca="false">'[11]HIST.'!AP20</f>
        <v>17640</v>
      </c>
      <c r="AQ20" s="100"/>
      <c r="AR20" s="203" t="n">
        <f aca="false">'[11]HIST.'!AR20</f>
        <v>7802</v>
      </c>
      <c r="AS20" s="2233" t="n">
        <f aca="false">AR20/AP20</f>
        <v>0.442290249433107</v>
      </c>
      <c r="AT20" s="100"/>
      <c r="AU20" s="2234" t="n">
        <f aca="false">'[12]HIST.'!$AU$20</f>
        <v>248780</v>
      </c>
      <c r="AV20" s="100"/>
      <c r="AW20" s="203" t="n">
        <f aca="false">'[12]HIST.'!$AW$20</f>
        <v>159786.93</v>
      </c>
      <c r="AX20" s="2233" t="n">
        <f aca="false">AW20/AU20</f>
        <v>0.642282056435405</v>
      </c>
      <c r="AY20" s="100"/>
      <c r="AZ20" s="2236" t="n">
        <f aca="false">[13]VENDA!Q127</f>
        <v>104805</v>
      </c>
      <c r="BA20" s="98"/>
      <c r="BB20" s="2237" t="n">
        <f aca="false">[13]VENDA!R127</f>
        <v>212402.8</v>
      </c>
      <c r="BC20" s="2233" t="n">
        <f aca="false">BB20/AZ20</f>
        <v>2.02664758360765</v>
      </c>
      <c r="BD20" s="100"/>
      <c r="BE20" s="2236" t="n">
        <f aca="false">VEN!R126</f>
        <v>3365187.15</v>
      </c>
      <c r="BF20" s="98"/>
      <c r="BG20" s="2237" t="n">
        <f aca="false">VEN!S126</f>
        <v>887039.57</v>
      </c>
      <c r="BH20" s="2233" t="n">
        <f aca="false">BG20/BE20</f>
        <v>0.263592938657216</v>
      </c>
    </row>
    <row r="21" customFormat="false" ht="14.25" hidden="false" customHeight="false" outlineLevel="0" collapsed="false">
      <c r="A21" s="9" t="s">
        <v>22</v>
      </c>
      <c r="B21" s="2238" t="n">
        <v>0</v>
      </c>
      <c r="C21" s="390"/>
      <c r="D21" s="410" t="n">
        <v>0</v>
      </c>
      <c r="E21" s="2233" t="n">
        <v>0</v>
      </c>
      <c r="F21" s="100"/>
      <c r="G21" s="2234" t="n">
        <v>0</v>
      </c>
      <c r="H21" s="45"/>
      <c r="I21" s="410" t="n">
        <v>0</v>
      </c>
      <c r="J21" s="2233" t="n">
        <v>0</v>
      </c>
      <c r="K21" s="100"/>
      <c r="L21" s="2232" t="n">
        <v>0</v>
      </c>
      <c r="M21" s="51"/>
      <c r="N21" s="203" t="n">
        <v>0</v>
      </c>
      <c r="O21" s="2233" t="n">
        <v>0</v>
      </c>
      <c r="P21" s="100"/>
      <c r="Q21" s="2234" t="n">
        <v>0</v>
      </c>
      <c r="R21" s="45"/>
      <c r="S21" s="2235" t="n">
        <v>0</v>
      </c>
      <c r="T21" s="2233" t="n">
        <v>0</v>
      </c>
      <c r="U21" s="100"/>
      <c r="V21" s="2234" t="n">
        <v>0</v>
      </c>
      <c r="W21" s="100"/>
      <c r="X21" s="203" t="n">
        <v>0</v>
      </c>
      <c r="Y21" s="2233" t="n">
        <v>0</v>
      </c>
      <c r="Z21" s="100"/>
      <c r="AA21" s="2234" t="n">
        <v>0</v>
      </c>
      <c r="AB21" s="100"/>
      <c r="AC21" s="203" t="n">
        <v>0</v>
      </c>
      <c r="AD21" s="2233" t="n">
        <v>0</v>
      </c>
      <c r="AE21" s="100"/>
      <c r="AF21" s="2234" t="n">
        <f aca="false">'[9]HIST.'!$AF$21</f>
        <v>162392</v>
      </c>
      <c r="AG21" s="100"/>
      <c r="AH21" s="203" t="n">
        <f aca="false">'[9]HIST.'!$AH$21</f>
        <v>87099.7</v>
      </c>
      <c r="AI21" s="2233" t="n">
        <f aca="false">AH21/AF21</f>
        <v>0.536354623380462</v>
      </c>
      <c r="AJ21" s="100"/>
      <c r="AK21" s="2234" t="n">
        <f aca="false">'[10]HIST.'!AK21</f>
        <v>131057</v>
      </c>
      <c r="AL21" s="100"/>
      <c r="AM21" s="203" t="n">
        <f aca="false">'[10]HIST.'!AM21</f>
        <v>70380.85</v>
      </c>
      <c r="AN21" s="2233" t="n">
        <f aca="false">AM21/AK21</f>
        <v>0.537024729697765</v>
      </c>
      <c r="AO21" s="100"/>
      <c r="AP21" s="2234" t="n">
        <f aca="false">'[11]HIST.'!AP21</f>
        <v>107065</v>
      </c>
      <c r="AQ21" s="100"/>
      <c r="AR21" s="203" t="n">
        <f aca="false">'[11]HIST.'!AR21</f>
        <v>71983</v>
      </c>
      <c r="AS21" s="2233" t="n">
        <f aca="false">AR21/AP21</f>
        <v>0.67232989305562</v>
      </c>
      <c r="AT21" s="100"/>
      <c r="AU21" s="2234" t="n">
        <f aca="false">'[12]HIST.'!$AU$21</f>
        <v>152855</v>
      </c>
      <c r="AV21" s="100"/>
      <c r="AW21" s="203" t="n">
        <f aca="false">'[12]HIST.'!$AW$21</f>
        <v>140532.9</v>
      </c>
      <c r="AX21" s="2233" t="n">
        <f aca="false">AW21/AU21</f>
        <v>0.919387000752347</v>
      </c>
      <c r="AY21" s="100"/>
      <c r="AZ21" s="2236" t="n">
        <f aca="false">[13]VENDA!Q128+[13]VENDA!Q129+[13]VENDA!Q130</f>
        <v>21060</v>
      </c>
      <c r="BA21" s="98"/>
      <c r="BB21" s="2237" t="n">
        <f aca="false">[13]VENDA!R128+[13]VENDA!R129+[13]VENDA!R130</f>
        <v>156960</v>
      </c>
      <c r="BC21" s="2233" t="n">
        <f aca="false">BB21/AZ21</f>
        <v>7.45299145299145</v>
      </c>
      <c r="BD21" s="100"/>
      <c r="BE21" s="2236" t="n">
        <f aca="false">VEN!R127+VEN!R128+VEN!R129</f>
        <v>119137.5</v>
      </c>
      <c r="BF21" s="98"/>
      <c r="BG21" s="2237" t="n">
        <f aca="false">VEN!S127+VEN!S128+VEN!S129</f>
        <v>112653.62</v>
      </c>
      <c r="BH21" s="2233" t="n">
        <f aca="false">BG21/BE21</f>
        <v>0.945576497744203</v>
      </c>
    </row>
    <row r="22" customFormat="false" ht="14.25" hidden="false" customHeight="false" outlineLevel="0" collapsed="false">
      <c r="A22" s="9" t="s">
        <v>75</v>
      </c>
      <c r="B22" s="2238" t="n">
        <f aca="false">'[3]Vendas Real'!$J$34</f>
        <v>8510</v>
      </c>
      <c r="C22" s="390"/>
      <c r="D22" s="410" t="n">
        <f aca="false">'[3]Vendas Real'!$K$34</f>
        <v>64776</v>
      </c>
      <c r="E22" s="2233" t="n">
        <f aca="false">D22/B22</f>
        <v>7.6117508813161</v>
      </c>
      <c r="F22" s="100"/>
      <c r="G22" s="2234" t="n">
        <f aca="false">'[4]VR Geral'!$C$36</f>
        <v>4660</v>
      </c>
      <c r="H22" s="45"/>
      <c r="I22" s="410" t="n">
        <f aca="false">'[4]VR Geral'!$D$36</f>
        <v>35550.8</v>
      </c>
      <c r="J22" s="2233" t="n">
        <f aca="false">I22/G22</f>
        <v>7.62892703862661</v>
      </c>
      <c r="K22" s="100"/>
      <c r="L22" s="2232" t="n">
        <f aca="false">[5]VENDA!$P$37</f>
        <v>13620</v>
      </c>
      <c r="M22" s="51"/>
      <c r="N22" s="203" t="n">
        <f aca="false">[5]VENDA!$Q$37</f>
        <v>95708.3</v>
      </c>
      <c r="O22" s="2233" t="n">
        <f aca="false">N22/L22</f>
        <v>7.02704111600587</v>
      </c>
      <c r="P22" s="100"/>
      <c r="Q22" s="2234" t="n">
        <f aca="false">[6]VENDA!$P$39</f>
        <v>9985</v>
      </c>
      <c r="R22" s="45"/>
      <c r="S22" s="2235" t="n">
        <f aca="false">[6]VENDA!$Q$39</f>
        <v>66925.3</v>
      </c>
      <c r="T22" s="2233" t="n">
        <f aca="false">S22/Q22</f>
        <v>6.70258387581372</v>
      </c>
      <c r="U22" s="100"/>
      <c r="V22" s="2234" t="n">
        <f aca="false">[7]VEND!$P$41</f>
        <v>5880</v>
      </c>
      <c r="W22" s="100"/>
      <c r="X22" s="203" t="n">
        <f aca="false">[7]VEND!$Q$41</f>
        <v>32493</v>
      </c>
      <c r="Y22" s="2233" t="n">
        <f aca="false">X22/V22</f>
        <v>5.52602040816327</v>
      </c>
      <c r="Z22" s="100"/>
      <c r="AA22" s="2234" t="n">
        <f aca="false">[8]VEND!$P$41</f>
        <v>5740</v>
      </c>
      <c r="AB22" s="100"/>
      <c r="AC22" s="203" t="n">
        <f aca="false">[8]VEND!$Q41</f>
        <v>79012.4</v>
      </c>
      <c r="AD22" s="2233" t="n">
        <f aca="false">AC22/AA22</f>
        <v>13.7652264808362</v>
      </c>
      <c r="AE22" s="100"/>
      <c r="AF22" s="2234" t="n">
        <f aca="false">'[9]HIST.'!$AF$22</f>
        <v>23680</v>
      </c>
      <c r="AG22" s="100"/>
      <c r="AH22" s="203" t="n">
        <f aca="false">'[9]HIST.'!$AH$22</f>
        <v>292318.8</v>
      </c>
      <c r="AI22" s="2233" t="n">
        <f aca="false">AH22/AF22</f>
        <v>12.3445439189189</v>
      </c>
      <c r="AJ22" s="100"/>
      <c r="AK22" s="2234" t="n">
        <f aca="false">'[10]HIST.'!AK22</f>
        <v>26080</v>
      </c>
      <c r="AL22" s="100"/>
      <c r="AM22" s="203" t="n">
        <f aca="false">'[10]HIST.'!AM22</f>
        <v>338869.7</v>
      </c>
      <c r="AN22" s="2233" t="n">
        <f aca="false">AM22/AK22</f>
        <v>12.9934700920245</v>
      </c>
      <c r="AO22" s="100"/>
      <c r="AP22" s="2234" t="n">
        <f aca="false">'[11]HIST.'!AP22</f>
        <v>34146.45</v>
      </c>
      <c r="AQ22" s="100"/>
      <c r="AR22" s="203" t="n">
        <f aca="false">'[11]HIST.'!AR22</f>
        <v>380399.4</v>
      </c>
      <c r="AS22" s="2233" t="n">
        <f aca="false">AR22/AP22</f>
        <v>11.1402327328317</v>
      </c>
      <c r="AT22" s="100"/>
      <c r="AU22" s="2234" t="n">
        <f aca="false">'[12]HIST.'!$AU$22</f>
        <v>55822</v>
      </c>
      <c r="AV22" s="100"/>
      <c r="AW22" s="203" t="n">
        <f aca="false">'[12]HIST.'!$AW$22</f>
        <v>831542.1</v>
      </c>
      <c r="AX22" s="2233" t="n">
        <f aca="false">AW22/AU22</f>
        <v>14.8963150729103</v>
      </c>
      <c r="AY22" s="100"/>
      <c r="AZ22" s="2236" t="n">
        <f aca="false">[13]VENDA!Q131</f>
        <v>62740</v>
      </c>
      <c r="BA22" s="98"/>
      <c r="BB22" s="2237" t="n">
        <f aca="false">[13]VENDA!R131</f>
        <v>1555531.5</v>
      </c>
      <c r="BC22" s="2233" t="n">
        <f aca="false">BB22/AZ22</f>
        <v>24.7932977366911</v>
      </c>
      <c r="BD22" s="100"/>
      <c r="BE22" s="2236" t="n">
        <f aca="false">VEN!R130</f>
        <v>19205</v>
      </c>
      <c r="BF22" s="98"/>
      <c r="BG22" s="2237" t="n">
        <f aca="false">VEN!S130</f>
        <v>782895.19</v>
      </c>
      <c r="BH22" s="2233" t="n">
        <f aca="false">BG22/BE22</f>
        <v>40.7651752147878</v>
      </c>
    </row>
    <row r="23" customFormat="false" ht="14.25" hidden="false" customHeight="false" outlineLevel="0" collapsed="false">
      <c r="A23" s="511" t="s">
        <v>24</v>
      </c>
      <c r="B23" s="2239" t="n">
        <v>0</v>
      </c>
      <c r="C23" s="251"/>
      <c r="D23" s="413" t="n">
        <v>0</v>
      </c>
      <c r="E23" s="2240" t="n">
        <v>0</v>
      </c>
      <c r="F23" s="2241"/>
      <c r="G23" s="2242" t="n">
        <f aca="false">'[4]VR Geral'!$C$35</f>
        <v>23356</v>
      </c>
      <c r="H23" s="414"/>
      <c r="I23" s="413" t="n">
        <f aca="false">'[4]VR Geral'!$D$35</f>
        <v>116796</v>
      </c>
      <c r="J23" s="2240" t="n">
        <f aca="false">I23/G23</f>
        <v>5.00068504880973</v>
      </c>
      <c r="K23" s="2241"/>
      <c r="L23" s="2243" t="n">
        <f aca="false">[5]VENDA!$P$38</f>
        <v>2640</v>
      </c>
      <c r="M23" s="263"/>
      <c r="N23" s="262" t="n">
        <f aca="false">[5]VENDA!$Q$38</f>
        <v>17762.08</v>
      </c>
      <c r="O23" s="2240" t="n">
        <f aca="false">N23/L23</f>
        <v>6.72806060606061</v>
      </c>
      <c r="P23" s="2241"/>
      <c r="Q23" s="2242" t="n">
        <f aca="false">[6]VENDA!$P$40</f>
        <v>7648</v>
      </c>
      <c r="R23" s="414"/>
      <c r="S23" s="2244" t="n">
        <f aca="false">[6]VENDA!$Q$40</f>
        <v>57286.4</v>
      </c>
      <c r="T23" s="2240" t="n">
        <f aca="false">S23/Q23</f>
        <v>7.49037656903766</v>
      </c>
      <c r="U23" s="2241"/>
      <c r="V23" s="2234" t="n">
        <f aca="false">[7]VEND!$P$42</f>
        <v>2160</v>
      </c>
      <c r="W23" s="100"/>
      <c r="X23" s="203" t="n">
        <f aca="false">[7]VEND!$Q$42</f>
        <v>17468</v>
      </c>
      <c r="Y23" s="2233" t="n">
        <f aca="false">X23/V23</f>
        <v>8.08703703703704</v>
      </c>
      <c r="Z23" s="2241"/>
      <c r="AA23" s="2234" t="n">
        <f aca="false">[8]VEND!$P$42</f>
        <v>8</v>
      </c>
      <c r="AB23" s="100"/>
      <c r="AC23" s="203" t="n">
        <f aca="false">[8]VEND!$Q42</f>
        <v>64</v>
      </c>
      <c r="AD23" s="2233" t="n">
        <f aca="false">AC23/AA23</f>
        <v>8</v>
      </c>
      <c r="AE23" s="100"/>
      <c r="AF23" s="2234" t="n">
        <f aca="false">'[9]HIST.'!$AF$23</f>
        <v>280</v>
      </c>
      <c r="AG23" s="100"/>
      <c r="AH23" s="203" t="n">
        <f aca="false">'[9]HIST.'!$AH$23</f>
        <v>2240</v>
      </c>
      <c r="AI23" s="2233" t="n">
        <f aca="false">AH23/AF23</f>
        <v>8</v>
      </c>
      <c r="AJ23" s="2241"/>
      <c r="AK23" s="2234" t="n">
        <f aca="false">'[10]HIST.'!AK23</f>
        <v>0</v>
      </c>
      <c r="AL23" s="100"/>
      <c r="AM23" s="203" t="n">
        <f aca="false">'[10]HIST.'!AM23</f>
        <v>0</v>
      </c>
      <c r="AN23" s="2233" t="n">
        <v>0</v>
      </c>
      <c r="AO23" s="2241"/>
      <c r="AP23" s="2234" t="n">
        <f aca="false">'[11]HIST.'!AP23</f>
        <v>0</v>
      </c>
      <c r="AQ23" s="100"/>
      <c r="AR23" s="203" t="n">
        <f aca="false">'[11]HIST.'!AR23</f>
        <v>0</v>
      </c>
      <c r="AS23" s="2233" t="n">
        <v>0</v>
      </c>
      <c r="AT23" s="2241"/>
      <c r="AU23" s="2242" t="n">
        <f aca="false">'[12]HIST.'!$AU$23</f>
        <v>10660</v>
      </c>
      <c r="AV23" s="2241"/>
      <c r="AW23" s="262" t="n">
        <f aca="false">'[12]HIST.'!$AW$23</f>
        <v>176180</v>
      </c>
      <c r="AX23" s="2233" t="n">
        <f aca="false">AW23/AU23</f>
        <v>16.5272045028143</v>
      </c>
      <c r="AY23" s="2245"/>
      <c r="AZ23" s="2246" t="n">
        <f aca="false">[13]VENDA!Q132</f>
        <v>1560</v>
      </c>
      <c r="BA23" s="2247"/>
      <c r="BB23" s="2248" t="n">
        <f aca="false">[13]VENDA!R132</f>
        <v>39000</v>
      </c>
      <c r="BC23" s="2240" t="n">
        <f aca="false">BB23/AZ23</f>
        <v>25</v>
      </c>
      <c r="BD23" s="2241"/>
      <c r="BE23" s="2246" t="n">
        <f aca="false">VEN!R131</f>
        <v>34670</v>
      </c>
      <c r="BF23" s="2247"/>
      <c r="BG23" s="2248" t="n">
        <f aca="false">VEN!S131</f>
        <v>182174.5</v>
      </c>
      <c r="BH23" s="2240" t="n">
        <f aca="false">BG23/BE23</f>
        <v>5.25452841072974</v>
      </c>
    </row>
    <row r="24" customFormat="false" ht="14.25" hidden="false" customHeight="false" outlineLevel="0" collapsed="false">
      <c r="A24" s="379" t="s">
        <v>25</v>
      </c>
      <c r="B24" s="2249" t="n">
        <f aca="false">SUM(B5:B23)</f>
        <v>49345270</v>
      </c>
      <c r="C24" s="350"/>
      <c r="D24" s="413" t="n">
        <f aca="false">SUBTOTAL(9,D5:D23)</f>
        <v>8652036.94</v>
      </c>
      <c r="E24" s="2250" t="n">
        <f aca="false">D24/B24</f>
        <v>0.175336702788332</v>
      </c>
      <c r="F24" s="2251"/>
      <c r="G24" s="2249" t="n">
        <f aca="false">SUBTOTAL(9,G5:G23)</f>
        <v>37236761</v>
      </c>
      <c r="H24" s="350"/>
      <c r="I24" s="413" t="n">
        <f aca="false">SUBTOTAL(9,I5:I23)</f>
        <v>6112430.45</v>
      </c>
      <c r="J24" s="2250" t="n">
        <f aca="false">I24/G24</f>
        <v>0.16415043322377</v>
      </c>
      <c r="K24" s="2251"/>
      <c r="L24" s="2249" t="n">
        <f aca="false">SUBTOTAL(9,L5:L23)</f>
        <v>65971236</v>
      </c>
      <c r="M24" s="350"/>
      <c r="N24" s="413" t="n">
        <f aca="false">SUBTOTAL(9,N5:N23)</f>
        <v>10865687.19</v>
      </c>
      <c r="O24" s="2250" t="n">
        <f aca="false">N24/L24</f>
        <v>0.164703404829341</v>
      </c>
      <c r="P24" s="2251"/>
      <c r="Q24" s="2249" t="n">
        <f aca="false">SUBTOTAL(9,Q5:Q23)</f>
        <v>70323033</v>
      </c>
      <c r="R24" s="350"/>
      <c r="S24" s="413" t="n">
        <f aca="false">SUBTOTAL(9,S5:S23)</f>
        <v>10222569.12</v>
      </c>
      <c r="T24" s="2250" t="n">
        <f aca="false">S24/Q24</f>
        <v>0.145365873511172</v>
      </c>
      <c r="U24" s="2251"/>
      <c r="V24" s="2252" t="n">
        <f aca="false">SUBTOTAL(9,V5:V23)</f>
        <v>63142427</v>
      </c>
      <c r="W24" s="2253"/>
      <c r="X24" s="433" t="n">
        <f aca="false">SUBTOTAL(9,X5:X23)</f>
        <v>9290323.73</v>
      </c>
      <c r="Y24" s="2254" t="n">
        <f aca="false">X24/V24</f>
        <v>0.147132826079048</v>
      </c>
      <c r="Z24" s="2251"/>
      <c r="AA24" s="2252" t="n">
        <f aca="false">SUBTOTAL(9,AA5:AA23)</f>
        <v>24842635</v>
      </c>
      <c r="AB24" s="2253"/>
      <c r="AC24" s="433" t="n">
        <f aca="false">SUBTOTAL(9,AC5:AC23)</f>
        <v>12149752.7</v>
      </c>
      <c r="AD24" s="2254" t="n">
        <f aca="false">AC24/AA24</f>
        <v>0.489068599204553</v>
      </c>
      <c r="AE24" s="2251"/>
      <c r="AF24" s="2252" t="n">
        <f aca="false">SUBTOTAL(9,AF5:AF23)</f>
        <v>48622920.99935</v>
      </c>
      <c r="AG24" s="2253"/>
      <c r="AH24" s="433" t="n">
        <f aca="false">SUBTOTAL(9,AH5:AH23)</f>
        <v>11408980.1</v>
      </c>
      <c r="AI24" s="2254" t="n">
        <f aca="false">AH24/AF24</f>
        <v>0.234642013797413</v>
      </c>
      <c r="AJ24" s="2251"/>
      <c r="AK24" s="2252" t="n">
        <f aca="false">SUBTOTAL(9,AK5:AK23)</f>
        <v>65764548</v>
      </c>
      <c r="AL24" s="2253"/>
      <c r="AM24" s="433" t="n">
        <f aca="false">SUBTOTAL(9,AM5:AM23)</f>
        <v>10534144.25</v>
      </c>
      <c r="AN24" s="2254" t="n">
        <f aca="false">AM24/AK24</f>
        <v>0.16017967993941</v>
      </c>
      <c r="AO24" s="2251"/>
      <c r="AP24" s="2252" t="n">
        <f aca="false">SUBTOTAL(9,AP5:AP23)</f>
        <v>72773495.95</v>
      </c>
      <c r="AQ24" s="2253"/>
      <c r="AR24" s="433" t="n">
        <f aca="false">SUBTOTAL(9,AR5:AR23)</f>
        <v>18518543.24</v>
      </c>
      <c r="AS24" s="2254" t="n">
        <f aca="false">AR24/AP24</f>
        <v>0.254468237347336</v>
      </c>
      <c r="AT24" s="2251"/>
      <c r="AU24" s="2252" t="n">
        <f aca="false">SUBTOTAL(9,AU5:AU23)</f>
        <v>91124062</v>
      </c>
      <c r="AV24" s="2253"/>
      <c r="AW24" s="433" t="n">
        <f aca="false">SUBTOTAL(9,AW5:AW23)</f>
        <v>37540336.8045</v>
      </c>
      <c r="AX24" s="2254" t="n">
        <f aca="false">AW24/AU24</f>
        <v>0.411969527922274</v>
      </c>
      <c r="AY24" s="2251"/>
      <c r="AZ24" s="2249" t="n">
        <f aca="false">SUBTOTAL(9,AZ5:AZ23)</f>
        <v>89645570</v>
      </c>
      <c r="BA24" s="350"/>
      <c r="BB24" s="413" t="n">
        <f aca="false">SUBTOTAL(9,BB5:BB23)</f>
        <v>72444447.35</v>
      </c>
      <c r="BC24" s="2250" t="n">
        <f aca="false">BB24/AZ24</f>
        <v>0.808120773285283</v>
      </c>
      <c r="BD24" s="2251"/>
      <c r="BE24" s="2249" t="n">
        <f aca="false">SUBTOTAL(9,BE5:BE23)</f>
        <v>219304020.3361</v>
      </c>
      <c r="BF24" s="350"/>
      <c r="BG24" s="413" t="n">
        <f aca="false">SUBTOTAL(9,BG5:BG23)</f>
        <v>68659395.2955</v>
      </c>
      <c r="BH24" s="2250" t="n">
        <f aca="false">BG24/BE24</f>
        <v>0.313078598332462</v>
      </c>
    </row>
    <row r="25" customFormat="false" ht="16.4" hidden="false" customHeight="false" outlineLevel="0" collapsed="false">
      <c r="A25" s="2255" t="s">
        <v>3674</v>
      </c>
      <c r="B25" s="2256"/>
      <c r="C25" s="2256"/>
      <c r="D25" s="2256"/>
      <c r="E25" s="2256"/>
      <c r="F25" s="2251"/>
      <c r="G25" s="2257" t="n">
        <f aca="false">G24/B24-1</f>
        <v>-0.245383377170699</v>
      </c>
      <c r="H25" s="2257"/>
      <c r="I25" s="2257" t="n">
        <f aca="false">I24/D24-1</f>
        <v>-0.293527004982944</v>
      </c>
      <c r="J25" s="2257" t="n">
        <f aca="false">J24/E24-1</f>
        <v>-0.0637987904795139</v>
      </c>
      <c r="K25" s="2251"/>
      <c r="L25" s="2258" t="n">
        <f aca="false">L24/B24-1</f>
        <v>0.336931300608954</v>
      </c>
      <c r="M25" s="2258"/>
      <c r="N25" s="2258" t="n">
        <f aca="false">N24/D24-1</f>
        <v>0.255853074293509</v>
      </c>
      <c r="O25" s="2259" t="n">
        <f aca="false">O24/E24-1</f>
        <v>-0.0606450206368233</v>
      </c>
      <c r="P25" s="2251"/>
      <c r="Q25" s="2258" t="n">
        <f aca="false">Q24/B24-1</f>
        <v>0.425122063371018</v>
      </c>
      <c r="R25" s="2258"/>
      <c r="S25" s="2260" t="n">
        <f aca="false">S24/D24-1</f>
        <v>0.181521668352933</v>
      </c>
      <c r="T25" s="2257" t="n">
        <f aca="false">T24/E24-1</f>
        <v>-0.170933003761002</v>
      </c>
      <c r="U25" s="2251"/>
      <c r="V25" s="2258" t="n">
        <f aca="false">V24/B24-1</f>
        <v>0.279604448410152</v>
      </c>
      <c r="W25" s="2258"/>
      <c r="X25" s="2260" t="n">
        <f aca="false">X24/D24-1</f>
        <v>0.0737730079548187</v>
      </c>
      <c r="Y25" s="2257" t="n">
        <f aca="false">Y24/E24-1</f>
        <v>-0.160855521181619</v>
      </c>
      <c r="Z25" s="2251"/>
      <c r="AA25" s="2258" t="n">
        <f aca="false">AA24/B24-1</f>
        <v>-0.496554887631581</v>
      </c>
      <c r="AB25" s="2258"/>
      <c r="AC25" s="2260" t="n">
        <f aca="false">AC24/D24-1</f>
        <v>0.404265005368782</v>
      </c>
      <c r="AD25" s="2260" t="n">
        <f aca="false">AD24/E24-1</f>
        <v>1.7893110308739</v>
      </c>
      <c r="AE25" s="2260"/>
      <c r="AF25" s="2258" t="n">
        <f aca="false">AF24/B24-1</f>
        <v>-0.0146386675085576</v>
      </c>
      <c r="AG25" s="2258"/>
      <c r="AH25" s="2260" t="n">
        <f aca="false">AH24/D24-1</f>
        <v>0.318646716272573</v>
      </c>
      <c r="AI25" s="2260" t="n">
        <f aca="false">AI24/E24-1</f>
        <v>0.338236718644554</v>
      </c>
      <c r="AJ25" s="2251"/>
      <c r="AK25" s="2258" t="n">
        <f aca="false">AK24/B24-1</f>
        <v>0.332742692460696</v>
      </c>
      <c r="AL25" s="2258"/>
      <c r="AM25" s="2260" t="n">
        <f aca="false">AM24/D24-1</f>
        <v>0.217533434386839</v>
      </c>
      <c r="AN25" s="2260" t="n">
        <f aca="false">AN24/E24-1</f>
        <v>-0.0864452371231097</v>
      </c>
      <c r="AO25" s="2251"/>
      <c r="AP25" s="2258" t="n">
        <f aca="false">AP24/B24-1</f>
        <v>0.474781594061599</v>
      </c>
      <c r="AQ25" s="2258"/>
      <c r="AR25" s="2260" t="n">
        <f aca="false">AR24/D24-1</f>
        <v>1.14036802760114</v>
      </c>
      <c r="AS25" s="2260" t="n">
        <f aca="false">AS24/E24-1</f>
        <v>0.451311866258443</v>
      </c>
      <c r="AT25" s="2251"/>
      <c r="AU25" s="2258" t="n">
        <f aca="false">AU24/B24-1</f>
        <v>0.846662547393094</v>
      </c>
      <c r="AV25" s="2258"/>
      <c r="AW25" s="2260" t="n">
        <f aca="false">AW24/I24-1</f>
        <v>5.14163827491894</v>
      </c>
      <c r="AX25" s="2260" t="n">
        <f aca="false">AX24/J24-1</f>
        <v>1.50970722301217</v>
      </c>
      <c r="AY25" s="2260"/>
      <c r="AZ25" s="2260" t="n">
        <f aca="false">AZ24/B24-1</f>
        <v>0.816700364594216</v>
      </c>
      <c r="BA25" s="2260"/>
      <c r="BB25" s="2260" t="n">
        <f aca="false">BB24/D24-1</f>
        <v>7.37310888203397</v>
      </c>
      <c r="BC25" s="2260" t="n">
        <f aca="false">BC24/E24-1</f>
        <v>3.60896526759063</v>
      </c>
      <c r="BD25" s="2251"/>
      <c r="BE25" s="2260" t="n">
        <f aca="false">BE24/B24-1</f>
        <v>3.44427642884718</v>
      </c>
      <c r="BF25" s="2260"/>
      <c r="BG25" s="2260" t="n">
        <f aca="false">BG24/D24-1</f>
        <v>6.93563362843202</v>
      </c>
      <c r="BH25" s="2260" t="n">
        <f aca="false">BH24/E24-1</f>
        <v>0.785585067779069</v>
      </c>
    </row>
    <row r="26" customFormat="false" ht="16.4" hidden="false" customHeight="false" outlineLevel="0" collapsed="false">
      <c r="A26" s="379" t="s">
        <v>3675</v>
      </c>
      <c r="B26" s="2256"/>
      <c r="C26" s="2256"/>
      <c r="D26" s="2256"/>
      <c r="E26" s="2256"/>
      <c r="F26" s="2251"/>
      <c r="G26" s="2257"/>
      <c r="H26" s="2257"/>
      <c r="I26" s="2257"/>
      <c r="J26" s="2257"/>
      <c r="K26" s="2251"/>
      <c r="L26" s="2258" t="n">
        <f aca="false">L24/G24-1</f>
        <v>0.771669560625856</v>
      </c>
      <c r="M26" s="2258"/>
      <c r="N26" s="2258" t="n">
        <f aca="false">N24/I24-1</f>
        <v>0.777637762733153</v>
      </c>
      <c r="O26" s="2261" t="n">
        <f aca="false">O24/J24-1</f>
        <v>0.00336868806685886</v>
      </c>
      <c r="P26" s="2251"/>
      <c r="Q26" s="2260" t="n">
        <f aca="false">Q24/G24-1</f>
        <v>0.888537861818862</v>
      </c>
      <c r="R26" s="2260"/>
      <c r="S26" s="2260" t="n">
        <f aca="false">S24/I24-1</f>
        <v>0.672422975381258</v>
      </c>
      <c r="T26" s="2257" t="n">
        <f aca="false">T24/J24-1</f>
        <v>-0.114435029769254</v>
      </c>
      <c r="U26" s="2251"/>
      <c r="V26" s="2260" t="n">
        <f aca="false">V24/G24-1</f>
        <v>0.695701379612475</v>
      </c>
      <c r="W26" s="2260"/>
      <c r="X26" s="2260" t="n">
        <f aca="false">X24/I24-1</f>
        <v>0.519906656770222</v>
      </c>
      <c r="Y26" s="2257" t="n">
        <f aca="false">Y24/J24-1</f>
        <v>-0.103670802510303</v>
      </c>
      <c r="Z26" s="2251"/>
      <c r="AA26" s="2260" t="n">
        <f aca="false">AA24/G24-1</f>
        <v>-0.33284651154272</v>
      </c>
      <c r="AB26" s="2260"/>
      <c r="AC26" s="2260" t="n">
        <f aca="false">AC24/I24-1</f>
        <v>0.987712220103871</v>
      </c>
      <c r="AD26" s="2260" t="n">
        <f aca="false">AD24/J24-1</f>
        <v>1.97939268023651</v>
      </c>
      <c r="AE26" s="2260"/>
      <c r="AF26" s="2260" t="n">
        <f aca="false">AF24/G24-1</f>
        <v>0.305777400976148</v>
      </c>
      <c r="AG26" s="2260"/>
      <c r="AH26" s="2260" t="n">
        <f aca="false">AH24/I24-1</f>
        <v>0.866521049740533</v>
      </c>
      <c r="AI26" s="2260" t="n">
        <f aca="false">AI24/J24-1</f>
        <v>0.429432802516873</v>
      </c>
      <c r="AJ26" s="2251"/>
      <c r="AK26" s="2260" t="n">
        <f aca="false">AK24/G24-1</f>
        <v>0.766118916733923</v>
      </c>
      <c r="AL26" s="2260"/>
      <c r="AM26" s="2260" t="n">
        <f aca="false">AM24/I24-1</f>
        <v>0.723396991780904</v>
      </c>
      <c r="AN26" s="2260" t="n">
        <f aca="false">AN24/J24-1</f>
        <v>-0.0241897216253278</v>
      </c>
      <c r="AO26" s="2251"/>
      <c r="AP26" s="2260" t="n">
        <f aca="false">AP24/G24-1</f>
        <v>0.954345490736963</v>
      </c>
      <c r="AQ26" s="2260"/>
      <c r="AR26" s="2260" t="n">
        <f aca="false">AR24/I24-1</f>
        <v>2.02965299834209</v>
      </c>
      <c r="AS26" s="2260" t="n">
        <f aca="false">AS24/J24-1</f>
        <v>0.550213620212894</v>
      </c>
      <c r="AT26" s="2251"/>
      <c r="AU26" s="2260" t="n">
        <f aca="false">AU24/G24-1</f>
        <v>1.447153284895</v>
      </c>
      <c r="AV26" s="2260"/>
      <c r="AW26" s="2260" t="n">
        <f aca="false">AW24/N24-1</f>
        <v>2.45494363569103</v>
      </c>
      <c r="AX26" s="2260" t="n">
        <f aca="false">AX24/O24-1</f>
        <v>1.50128118692592</v>
      </c>
      <c r="AY26" s="2260"/>
      <c r="AZ26" s="2260" t="n">
        <f aca="false">AZ24/G24-1</f>
        <v>1.40744811290112</v>
      </c>
      <c r="BA26" s="2260"/>
      <c r="BB26" s="2260" t="n">
        <f aca="false">BB24/I24-1</f>
        <v>10.851987182938</v>
      </c>
      <c r="BC26" s="2260" t="n">
        <f aca="false">BC24/J24-1</f>
        <v>3.92304989645474</v>
      </c>
      <c r="BD26" s="2251"/>
      <c r="BE26" s="2260" t="n">
        <f aca="false">BE24/G24-1</f>
        <v>4.88944941629322</v>
      </c>
      <c r="BF26" s="2260"/>
      <c r="BG26" s="2260" t="n">
        <f aca="false">BG24/I24-1</f>
        <v>10.2327487170836</v>
      </c>
      <c r="BH26" s="2260" t="n">
        <f aca="false">BH24/J24-1</f>
        <v>0.907266354306068</v>
      </c>
    </row>
    <row r="27" customFormat="false" ht="16.4" hidden="false" customHeight="false" outlineLevel="0" collapsed="false">
      <c r="A27" s="379" t="s">
        <v>3676</v>
      </c>
      <c r="B27" s="2256"/>
      <c r="C27" s="2256"/>
      <c r="D27" s="2256"/>
      <c r="E27" s="2256"/>
      <c r="F27" s="2251"/>
      <c r="G27" s="2257"/>
      <c r="H27" s="2257"/>
      <c r="I27" s="2257"/>
      <c r="J27" s="2257"/>
      <c r="K27" s="2251"/>
      <c r="L27" s="2251"/>
      <c r="M27" s="2251"/>
      <c r="N27" s="2251"/>
      <c r="O27" s="2251"/>
      <c r="P27" s="2251"/>
      <c r="Q27" s="2260" t="n">
        <f aca="false">Q24/L24-1</f>
        <v>0.065965066957363</v>
      </c>
      <c r="R27" s="2260"/>
      <c r="S27" s="2257" t="n">
        <f aca="false">S24/N24-1</f>
        <v>-0.0591879794397063</v>
      </c>
      <c r="T27" s="2257" t="n">
        <f aca="false">T24/O24-1</f>
        <v>-0.117408206212892</v>
      </c>
      <c r="U27" s="2251"/>
      <c r="V27" s="2260" t="n">
        <f aca="false">V24/L24-1</f>
        <v>-0.0428794300594884</v>
      </c>
      <c r="W27" s="2260"/>
      <c r="X27" s="2257" t="n">
        <f aca="false">X24/N24-1</f>
        <v>-0.144985165912916</v>
      </c>
      <c r="Y27" s="2257" t="n">
        <f aca="false">Y24/O24-1</f>
        <v>-0.106680118534882</v>
      </c>
      <c r="Z27" s="2251"/>
      <c r="AA27" s="2260" t="n">
        <f aca="false">AA24/L24-1</f>
        <v>-0.623432324354208</v>
      </c>
      <c r="AB27" s="2260"/>
      <c r="AC27" s="2260" t="n">
        <f aca="false">AC24/N24-1</f>
        <v>0.118176189646041</v>
      </c>
      <c r="AD27" s="2260" t="n">
        <f aca="false">AD24/O24-1</f>
        <v>1.96938973247885</v>
      </c>
      <c r="AE27" s="2260"/>
      <c r="AF27" s="2260" t="n">
        <f aca="false">AF24/L24-1</f>
        <v>-0.262967863761867</v>
      </c>
      <c r="AG27" s="2260"/>
      <c r="AH27" s="2260" t="n">
        <f aca="false">AH24/N24-1</f>
        <v>0.0500007869267585</v>
      </c>
      <c r="AI27" s="2260" t="n">
        <f aca="false">AI24/O24-1</f>
        <v>0.424633656119856</v>
      </c>
      <c r="AJ27" s="2251"/>
      <c r="AK27" s="2260" t="n">
        <f aca="false">AK24/L24-1</f>
        <v>-0.00313300178277698</v>
      </c>
      <c r="AL27" s="2260"/>
      <c r="AM27" s="2260" t="n">
        <f aca="false">AM24/N24-1</f>
        <v>-0.0305128368047565</v>
      </c>
      <c r="AN27" s="2260" t="n">
        <f aca="false">AN24/O24-1</f>
        <v>-0.0274658856908144</v>
      </c>
      <c r="AO27" s="2251"/>
      <c r="AP27" s="2260" t="n">
        <f aca="false">AP24/L24-1</f>
        <v>0.103109481683805</v>
      </c>
      <c r="AQ27" s="2260"/>
      <c r="AR27" s="2260" t="n">
        <f aca="false">AR24/N24-1</f>
        <v>0.704314040721063</v>
      </c>
      <c r="AS27" s="2260" t="n">
        <f aca="false">AS24/O24-1</f>
        <v>0.545008966942764</v>
      </c>
      <c r="AT27" s="2251"/>
      <c r="AU27" s="2260" t="n">
        <f aca="false">AU24/L24-1</f>
        <v>0.38126958846125</v>
      </c>
      <c r="AV27" s="2260"/>
      <c r="AW27" s="2260" t="n">
        <f aca="false">AW24/S24-1</f>
        <v>2.67229963073118</v>
      </c>
      <c r="AX27" s="2260" t="n">
        <f aca="false">AX24/T24-1</f>
        <v>1.8340181775237</v>
      </c>
      <c r="AY27" s="2260"/>
      <c r="AZ27" s="2260" t="n">
        <f aca="false">AZ24/L24-1</f>
        <v>0.358858427330359</v>
      </c>
      <c r="BA27" s="2257"/>
      <c r="BB27" s="2260" t="n">
        <f aca="false">BB24/N24-1</f>
        <v>5.66726789417173</v>
      </c>
      <c r="BC27" s="2260" t="n">
        <f aca="false">BC24/O24-1</f>
        <v>3.90652135651127</v>
      </c>
      <c r="BD27" s="2251"/>
      <c r="BE27" s="2260" t="n">
        <f aca="false">BE24/L24-1</f>
        <v>2.32423694981401</v>
      </c>
      <c r="BF27" s="2257"/>
      <c r="BG27" s="2260" t="n">
        <f aca="false">BG24/N24-1</f>
        <v>5.3189188216912</v>
      </c>
      <c r="BH27" s="2260" t="n">
        <f aca="false">BH24/O24-1</f>
        <v>0.900862940003345</v>
      </c>
    </row>
    <row r="28" customFormat="false" ht="16.4" hidden="false" customHeight="false" outlineLevel="0" collapsed="false">
      <c r="A28" s="379" t="s">
        <v>3677</v>
      </c>
      <c r="B28" s="2256"/>
      <c r="C28" s="2256"/>
      <c r="D28" s="2256"/>
      <c r="E28" s="2256"/>
      <c r="F28" s="2262"/>
      <c r="G28" s="2257"/>
      <c r="H28" s="2257"/>
      <c r="I28" s="2257"/>
      <c r="J28" s="2257"/>
      <c r="K28" s="2251"/>
      <c r="L28" s="2251"/>
      <c r="M28" s="2251"/>
      <c r="N28" s="2251"/>
      <c r="O28" s="2251"/>
      <c r="P28" s="2251"/>
      <c r="Q28" s="2260"/>
      <c r="R28" s="2260"/>
      <c r="S28" s="2257"/>
      <c r="T28" s="2257"/>
      <c r="U28" s="2251"/>
      <c r="V28" s="2260" t="n">
        <f aca="false">V24/Q24-1</f>
        <v>-0.102108878040001</v>
      </c>
      <c r="W28" s="2260"/>
      <c r="X28" s="2257" t="n">
        <f aca="false">X24/S24-1</f>
        <v>-0.0911948238311348</v>
      </c>
      <c r="Y28" s="2260" t="n">
        <f aca="false">Y24/T24-1</f>
        <v>0.0121552089578996</v>
      </c>
      <c r="Z28" s="2251"/>
      <c r="AA28" s="2260" t="n">
        <f aca="false">AA24/Q24-1</f>
        <v>-0.64673544441691</v>
      </c>
      <c r="AB28" s="2260"/>
      <c r="AC28" s="2260" t="n">
        <f aca="false">AC24/S24-1</f>
        <v>0.188522430846621</v>
      </c>
      <c r="AD28" s="2260" t="n">
        <f aca="false">AD24/T24-1</f>
        <v>2.36439762230001</v>
      </c>
      <c r="AE28" s="2260"/>
      <c r="AF28" s="2260" t="n">
        <f aca="false">AF24/Q24-1</f>
        <v>-0.308577589374594</v>
      </c>
      <c r="AG28" s="2260"/>
      <c r="AH28" s="2260" t="n">
        <f aca="false">AH24/S24-1</f>
        <v>0.116058005191556</v>
      </c>
      <c r="AI28" s="2260" t="n">
        <f aca="false">AI24/T24-1</f>
        <v>0.614147861047862</v>
      </c>
      <c r="AJ28" s="2251"/>
      <c r="AK28" s="2260" t="n">
        <f aca="false">AK24/Q24-1</f>
        <v>-0.064822076146801</v>
      </c>
      <c r="AL28" s="2260"/>
      <c r="AM28" s="2260" t="n">
        <f aca="false">AM24/S24-1</f>
        <v>0.030479141431327</v>
      </c>
      <c r="AN28" s="2260" t="n">
        <f aca="false">AN24/T24-1</f>
        <v>0.10190704372646</v>
      </c>
      <c r="AO28" s="2251"/>
      <c r="AP28" s="2260" t="n">
        <f aca="false">AP24/Q24-1</f>
        <v>0.0348458086271675</v>
      </c>
      <c r="AQ28" s="2260"/>
      <c r="AR28" s="2260" t="n">
        <f aca="false">AR24/S24-1</f>
        <v>0.811535145677743</v>
      </c>
      <c r="AS28" s="2260" t="n">
        <f aca="false">AS24/T24-1</f>
        <v>0.750536293016383</v>
      </c>
      <c r="AT28" s="2251"/>
      <c r="AU28" s="2260" t="n">
        <f aca="false">AU24/Q24-1</f>
        <v>0.295792546376662</v>
      </c>
      <c r="AV28" s="2260"/>
      <c r="AW28" s="2260" t="n">
        <f aca="false">AW24/X24-1</f>
        <v>3.04079964224239</v>
      </c>
      <c r="AX28" s="2260" t="n">
        <f aca="false">AX24/Y24-1</f>
        <v>1.7999837894838</v>
      </c>
      <c r="AY28" s="2260"/>
      <c r="AZ28" s="2260" t="n">
        <f aca="false">AZ24/Q24-1</f>
        <v>0.274768254093932</v>
      </c>
      <c r="BA28" s="2257"/>
      <c r="BB28" s="2260" t="n">
        <f aca="false">BB24/S24-1</f>
        <v>6.08671631363839</v>
      </c>
      <c r="BC28" s="2260" t="n">
        <f aca="false">BC24/T24-1</f>
        <v>4.55921932545725</v>
      </c>
      <c r="BD28" s="2251"/>
      <c r="BE28" s="2260" t="n">
        <f aca="false">BE24/Q24-1</f>
        <v>2.11852334833311</v>
      </c>
      <c r="BF28" s="2257"/>
      <c r="BG28" s="2260" t="n">
        <f aca="false">BG24/S24-1</f>
        <v>5.71645204737926</v>
      </c>
      <c r="BH28" s="2260" t="n">
        <f aca="false">BH24/T24-1</f>
        <v>1.15372831855477</v>
      </c>
    </row>
    <row r="29" customFormat="false" ht="16.4" hidden="false" customHeight="false" outlineLevel="0" collapsed="false">
      <c r="A29" s="379" t="s">
        <v>3678</v>
      </c>
      <c r="B29" s="2256"/>
      <c r="C29" s="2256"/>
      <c r="D29" s="2256"/>
      <c r="E29" s="2256"/>
      <c r="F29" s="2251"/>
      <c r="G29" s="2257"/>
      <c r="H29" s="2257"/>
      <c r="I29" s="2257"/>
      <c r="J29" s="2257"/>
      <c r="K29" s="2251"/>
      <c r="L29" s="2251"/>
      <c r="M29" s="2251"/>
      <c r="N29" s="2251"/>
      <c r="O29" s="2251"/>
      <c r="P29" s="2251"/>
      <c r="Q29" s="2251"/>
      <c r="R29" s="2251"/>
      <c r="S29" s="2251"/>
      <c r="T29" s="2251"/>
      <c r="U29" s="2251"/>
      <c r="V29" s="2251"/>
      <c r="W29" s="2251"/>
      <c r="X29" s="2251"/>
      <c r="Y29" s="2251"/>
      <c r="Z29" s="2251"/>
      <c r="AA29" s="2260" t="n">
        <f aca="false">AA24/V24-1</f>
        <v>-0.606561923886771</v>
      </c>
      <c r="AB29" s="2251"/>
      <c r="AC29" s="2260" t="n">
        <f aca="false">AC24/X24-1</f>
        <v>0.307785719109704</v>
      </c>
      <c r="AD29" s="2260" t="n">
        <f aca="false">AD24/Y24-1</f>
        <v>2.32399378328937</v>
      </c>
      <c r="AE29" s="2260"/>
      <c r="AF29" s="2260" t="n">
        <f aca="false">AF24/V24-1</f>
        <v>-0.229948494071189</v>
      </c>
      <c r="AG29" s="2251"/>
      <c r="AH29" s="2260" t="n">
        <f aca="false">AH24/X24-1</f>
        <v>0.228049789390923</v>
      </c>
      <c r="AI29" s="2260" t="n">
        <f aca="false">AI24/Y24-1</f>
        <v>0.594763181340306</v>
      </c>
      <c r="AJ29" s="2251"/>
      <c r="AK29" s="2260" t="n">
        <f aca="false">AK24/V24-1</f>
        <v>0.0415270860589505</v>
      </c>
      <c r="AL29" s="2251"/>
      <c r="AM29" s="2260" t="n">
        <f aca="false">AM24/X24-1</f>
        <v>0.133883442186572</v>
      </c>
      <c r="AN29" s="2260" t="n">
        <f aca="false">AN24/Y24-1</f>
        <v>0.0886739839643445</v>
      </c>
      <c r="AO29" s="2251"/>
      <c r="AP29" s="2260" t="n">
        <f aca="false">AP24/V24-1</f>
        <v>0.152529280352179</v>
      </c>
      <c r="AQ29" s="2251"/>
      <c r="AR29" s="2260" t="n">
        <f aca="false">AR24/X24-1</f>
        <v>0.993315171590904</v>
      </c>
      <c r="AS29" s="2260" t="n">
        <f aca="false">AS24/Y24-1</f>
        <v>0.729513692686233</v>
      </c>
      <c r="AT29" s="2251"/>
      <c r="AU29" s="2260" t="n">
        <f aca="false">AU24/V24-1</f>
        <v>0.443151084452297</v>
      </c>
      <c r="AV29" s="2251"/>
      <c r="AW29" s="2260" t="n">
        <f aca="false">AW24/AC24-1</f>
        <v>2.08980254425261</v>
      </c>
      <c r="AX29" s="2260" t="n">
        <f aca="false">AX24/AD24-1</f>
        <v>-0.157644697303563</v>
      </c>
      <c r="AY29" s="2260"/>
      <c r="AZ29" s="2260" t="n">
        <f aca="false">AZ24/V24-1</f>
        <v>0.419735893268721</v>
      </c>
      <c r="BA29" s="2257"/>
      <c r="BB29" s="2260" t="n">
        <f aca="false">BB24/X24-1</f>
        <v>6.79783885421181</v>
      </c>
      <c r="BC29" s="2260" t="n">
        <f aca="false">BC24/Y24-1</f>
        <v>4.49245735857146</v>
      </c>
      <c r="BD29" s="2251"/>
      <c r="BE29" s="2260" t="n">
        <f aca="false">BE24/V24-1</f>
        <v>2.47316425350739</v>
      </c>
      <c r="BF29" s="2257"/>
      <c r="BG29" s="2260" t="n">
        <f aca="false">BG24/X24-1</f>
        <v>6.39042010708275</v>
      </c>
      <c r="BH29" s="2260" t="n">
        <f aca="false">BH24/Y24-1</f>
        <v>1.12786369075966</v>
      </c>
    </row>
    <row r="30" customFormat="false" ht="16.4" hidden="false" customHeight="false" outlineLevel="0" collapsed="false">
      <c r="A30" s="379" t="s">
        <v>3679</v>
      </c>
      <c r="B30" s="2256"/>
      <c r="C30" s="2256"/>
      <c r="D30" s="2256"/>
      <c r="E30" s="2256"/>
      <c r="F30" s="2251"/>
      <c r="G30" s="2257"/>
      <c r="H30" s="2257"/>
      <c r="I30" s="2257"/>
      <c r="J30" s="2257"/>
      <c r="K30" s="2251"/>
      <c r="L30" s="2251"/>
      <c r="M30" s="2251"/>
      <c r="N30" s="2251"/>
      <c r="O30" s="2251"/>
      <c r="P30" s="2251"/>
      <c r="Q30" s="2251"/>
      <c r="R30" s="2251"/>
      <c r="S30" s="2251"/>
      <c r="T30" s="2251"/>
      <c r="U30" s="2251"/>
      <c r="V30" s="2251"/>
      <c r="W30" s="2251"/>
      <c r="X30" s="2251"/>
      <c r="Y30" s="2251"/>
      <c r="Z30" s="2251"/>
      <c r="AA30" s="2251"/>
      <c r="AB30" s="2251"/>
      <c r="AC30" s="2251"/>
      <c r="AD30" s="2251"/>
      <c r="AE30" s="2251"/>
      <c r="AF30" s="2260" t="n">
        <f aca="false">AF24/AA24-1</f>
        <v>0.957236863132675</v>
      </c>
      <c r="AG30" s="2251"/>
      <c r="AH30" s="2260" t="n">
        <f aca="false">AH24/AC24-1</f>
        <v>-0.0609701792531134</v>
      </c>
      <c r="AI30" s="2260" t="n">
        <f aca="false">AI24/AD24-1</f>
        <v>-0.520226785814818</v>
      </c>
      <c r="AJ30" s="2251"/>
      <c r="AK30" s="2260" t="n">
        <f aca="false">AK24/AA24-1</f>
        <v>1.64724527007703</v>
      </c>
      <c r="AL30" s="2251"/>
      <c r="AM30" s="2260" t="n">
        <f aca="false">AM24/AC24-1</f>
        <v>-0.132974595441766</v>
      </c>
      <c r="AN30" s="2260" t="n">
        <f aca="false">AN24/AD24-1</f>
        <v>-0.672480138369269</v>
      </c>
      <c r="AO30" s="2251"/>
      <c r="AP30" s="2260" t="n">
        <f aca="false">AP24/AA24-1</f>
        <v>1.92937910773153</v>
      </c>
      <c r="AQ30" s="2251"/>
      <c r="AR30" s="2260" t="n">
        <f aca="false">AR24/AC24-1</f>
        <v>0.524190960693381</v>
      </c>
      <c r="AS30" s="2260" t="n">
        <f aca="false">AS24/AD24-1</f>
        <v>-0.479688048340833</v>
      </c>
      <c r="AT30" s="2251"/>
      <c r="AU30" s="2260" t="n">
        <f aca="false">AU24/AA24-1</f>
        <v>2.66805139631927</v>
      </c>
      <c r="AV30" s="2251"/>
      <c r="AW30" s="2260" t="n">
        <f aca="false">AW24/AH24-1</f>
        <v>2.29042004416328</v>
      </c>
      <c r="AX30" s="2260" t="n">
        <f aca="false">AX24/AI24-1</f>
        <v>0.755736414186947</v>
      </c>
      <c r="AY30" s="2260"/>
      <c r="AZ30" s="2260" t="n">
        <f aca="false">AZ24/AA24-1</f>
        <v>2.60853709761465</v>
      </c>
      <c r="BA30" s="2257"/>
      <c r="BB30" s="2260" t="n">
        <f aca="false">BB24/AC24-1</f>
        <v>4.9626273175091</v>
      </c>
      <c r="BC30" s="2260" t="n">
        <f aca="false">BC24/AD24-1</f>
        <v>0.652366916624076</v>
      </c>
      <c r="BD30" s="2251"/>
      <c r="BE30" s="2260" t="n">
        <f aca="false">BE24/AA24-1</f>
        <v>7.82772782903665</v>
      </c>
      <c r="BF30" s="2257"/>
      <c r="BG30" s="2260" t="n">
        <f aca="false">BG24/AC24-1</f>
        <v>4.65109405852351</v>
      </c>
      <c r="BH30" s="2260" t="n">
        <f aca="false">BH24/AD24-1</f>
        <v>-0.359847271238289</v>
      </c>
    </row>
    <row r="31" customFormat="false" ht="16.4" hidden="false" customHeight="false" outlineLevel="0" collapsed="false">
      <c r="A31" s="379" t="s">
        <v>3680</v>
      </c>
      <c r="B31" s="2256"/>
      <c r="C31" s="2256"/>
      <c r="D31" s="2256"/>
      <c r="E31" s="2256"/>
      <c r="F31" s="2251"/>
      <c r="G31" s="2257"/>
      <c r="H31" s="2257"/>
      <c r="I31" s="2257"/>
      <c r="J31" s="2257"/>
      <c r="K31" s="2251"/>
      <c r="L31" s="2251"/>
      <c r="M31" s="2251"/>
      <c r="N31" s="2251"/>
      <c r="O31" s="2251"/>
      <c r="P31" s="2251"/>
      <c r="Q31" s="2251"/>
      <c r="R31" s="2251"/>
      <c r="S31" s="2251"/>
      <c r="T31" s="2251"/>
      <c r="U31" s="2251"/>
      <c r="V31" s="2251"/>
      <c r="W31" s="2251"/>
      <c r="X31" s="2251"/>
      <c r="Y31" s="2251"/>
      <c r="Z31" s="2251"/>
      <c r="AA31" s="2251"/>
      <c r="AB31" s="2251"/>
      <c r="AC31" s="2251"/>
      <c r="AD31" s="2251"/>
      <c r="AE31" s="2251"/>
      <c r="AF31" s="2251"/>
      <c r="AG31" s="2251"/>
      <c r="AH31" s="2251"/>
      <c r="AI31" s="2251"/>
      <c r="AJ31" s="2251"/>
      <c r="AK31" s="2260" t="n">
        <f aca="false">AK24/AF24-1</f>
        <v>0.352542106651288</v>
      </c>
      <c r="AL31" s="2251"/>
      <c r="AM31" s="2260" t="n">
        <f aca="false">AM24/AH24-1</f>
        <v>-0.0766795841812367</v>
      </c>
      <c r="AN31" s="2260" t="n">
        <f aca="false">AN24/AI24-1</f>
        <v>-0.317344420348746</v>
      </c>
      <c r="AO31" s="2251"/>
      <c r="AP31" s="2260" t="n">
        <f aca="false">AP24/AF24-1</f>
        <v>0.496691158290816</v>
      </c>
      <c r="AQ31" s="2251"/>
      <c r="AR31" s="2260" t="n">
        <f aca="false">AR24/AH24-1</f>
        <v>0.623155012778048</v>
      </c>
      <c r="AS31" s="2260" t="n">
        <f aca="false">AS24/AI24-1</f>
        <v>0.0844956247564466</v>
      </c>
      <c r="AT31" s="2251"/>
      <c r="AU31" s="2260" t="n">
        <f aca="false">AU24/AF24-1</f>
        <v>0.874096827733121</v>
      </c>
      <c r="AV31" s="2251"/>
      <c r="AW31" s="2260" t="n">
        <f aca="false">AW24/AM24-1</f>
        <v>2.56368167300348</v>
      </c>
      <c r="AX31" s="2260" t="n">
        <f aca="false">AX24/AN24-1</f>
        <v>1.57192128288748</v>
      </c>
      <c r="AY31" s="2260"/>
      <c r="AZ31" s="2260" t="n">
        <f aca="false">AZ24/AF24-1</f>
        <v>0.84368952250315</v>
      </c>
      <c r="BA31" s="2257"/>
      <c r="BB31" s="2260" t="n">
        <f aca="false">BB24/AH24-1</f>
        <v>5.3497741879662</v>
      </c>
      <c r="BC31" s="2260" t="n">
        <f aca="false">BC24/AI24-1</f>
        <v>2.44405829206275</v>
      </c>
      <c r="BD31" s="2251"/>
      <c r="BE31" s="2260" t="n">
        <f aca="false">BE24/AF24-1</f>
        <v>3.5103012289005</v>
      </c>
      <c r="BF31" s="2257"/>
      <c r="BG31" s="2260" t="n">
        <f aca="false">BG24/AH24-1</f>
        <v>5.01801341519563</v>
      </c>
      <c r="BH31" s="2260" t="n">
        <f aca="false">BH24/AI24-1</f>
        <v>0.334281927032772</v>
      </c>
    </row>
    <row r="32" customFormat="false" ht="16.4" hidden="false" customHeight="false" outlineLevel="0" collapsed="false">
      <c r="A32" s="379" t="s">
        <v>3681</v>
      </c>
      <c r="B32" s="2256"/>
      <c r="C32" s="2256"/>
      <c r="D32" s="2256"/>
      <c r="E32" s="2256"/>
      <c r="F32" s="2251"/>
      <c r="G32" s="2257"/>
      <c r="H32" s="2257"/>
      <c r="I32" s="2257"/>
      <c r="J32" s="2257"/>
      <c r="K32" s="2251"/>
      <c r="L32" s="2251"/>
      <c r="M32" s="2251"/>
      <c r="N32" s="2251"/>
      <c r="O32" s="2251"/>
      <c r="P32" s="2251"/>
      <c r="Q32" s="2251"/>
      <c r="R32" s="2251"/>
      <c r="S32" s="2251"/>
      <c r="T32" s="2251"/>
      <c r="U32" s="2251"/>
      <c r="V32" s="2251"/>
      <c r="W32" s="2251"/>
      <c r="X32" s="2251"/>
      <c r="Y32" s="2251"/>
      <c r="Z32" s="2251"/>
      <c r="AA32" s="2251"/>
      <c r="AB32" s="2251"/>
      <c r="AC32" s="2251"/>
      <c r="AD32" s="2251"/>
      <c r="AE32" s="2251"/>
      <c r="AF32" s="2251"/>
      <c r="AG32" s="2251"/>
      <c r="AH32" s="2251"/>
      <c r="AI32" s="2251"/>
      <c r="AJ32" s="2251"/>
      <c r="AK32" s="2251"/>
      <c r="AL32" s="2251"/>
      <c r="AM32" s="2251"/>
      <c r="AN32" s="2251"/>
      <c r="AO32" s="2251"/>
      <c r="AP32" s="2260" t="n">
        <f aca="false">AP24/AK24-1</f>
        <v>0.106576387478554</v>
      </c>
      <c r="AQ32" s="2251"/>
      <c r="AR32" s="2260" t="n">
        <f aca="false">AR24/AM24-1</f>
        <v>0.757954210661203</v>
      </c>
      <c r="AS32" s="2260" t="n">
        <f aca="false">AS24/AN24-1</f>
        <v>0.588642438563938</v>
      </c>
      <c r="AT32" s="2251"/>
      <c r="AU32" s="2260" t="n">
        <f aca="false">AU24/AK24-1</f>
        <v>0.385610709283671</v>
      </c>
      <c r="AV32" s="2251"/>
      <c r="AW32" s="2260" t="n">
        <f aca="false">AW24/AR24-1</f>
        <v>1.02717548124482</v>
      </c>
      <c r="AX32" s="2260" t="n">
        <f aca="false">AX24/AS24-1</f>
        <v>0.618942828451932</v>
      </c>
      <c r="AY32" s="2260"/>
      <c r="AZ32" s="2260" t="n">
        <f aca="false">AZ24/AK24-1</f>
        <v>0.363129113272397</v>
      </c>
      <c r="BA32" s="2257"/>
      <c r="BB32" s="2260" t="n">
        <f aca="false">BB24/AM24-1</f>
        <v>5.87710796726559</v>
      </c>
      <c r="BC32" s="2260" t="n">
        <f aca="false">BC24/AN24-1</f>
        <v>4.04508919977217</v>
      </c>
      <c r="BD32" s="2251"/>
      <c r="BE32" s="2260" t="n">
        <f aca="false">BE24/AK24-1</f>
        <v>2.33468452236758</v>
      </c>
      <c r="BF32" s="2257"/>
      <c r="BG32" s="2260" t="n">
        <f aca="false">BG24/AM24-1</f>
        <v>5.51779524430758</v>
      </c>
      <c r="BH32" s="2260" t="n">
        <f aca="false">BH24/AN24-1</f>
        <v>0.954546284840171</v>
      </c>
    </row>
    <row r="33" customFormat="false" ht="16.4" hidden="false" customHeight="false" outlineLevel="0" collapsed="false">
      <c r="A33" s="379" t="s">
        <v>3682</v>
      </c>
      <c r="B33" s="2256"/>
      <c r="C33" s="2256"/>
      <c r="D33" s="2256"/>
      <c r="E33" s="2256"/>
      <c r="F33" s="2251"/>
      <c r="G33" s="2257"/>
      <c r="H33" s="2257"/>
      <c r="I33" s="2257"/>
      <c r="J33" s="2257"/>
      <c r="K33" s="2251"/>
      <c r="L33" s="2251"/>
      <c r="M33" s="2251"/>
      <c r="N33" s="2251"/>
      <c r="O33" s="2251"/>
      <c r="P33" s="2251"/>
      <c r="Q33" s="2251"/>
      <c r="R33" s="2251"/>
      <c r="S33" s="2251"/>
      <c r="T33" s="2251"/>
      <c r="U33" s="2251"/>
      <c r="V33" s="2251"/>
      <c r="W33" s="2251"/>
      <c r="X33" s="2251"/>
      <c r="Y33" s="2251"/>
      <c r="Z33" s="2251"/>
      <c r="AA33" s="2251"/>
      <c r="AB33" s="2251"/>
      <c r="AC33" s="2251"/>
      <c r="AD33" s="2251"/>
      <c r="AE33" s="2251"/>
      <c r="AF33" s="2251"/>
      <c r="AG33" s="2251"/>
      <c r="AH33" s="2251"/>
      <c r="AI33" s="2251"/>
      <c r="AJ33" s="2251"/>
      <c r="AK33" s="2251"/>
      <c r="AL33" s="2251"/>
      <c r="AM33" s="2251"/>
      <c r="AN33" s="2251"/>
      <c r="AO33" s="2251"/>
      <c r="AP33" s="2251"/>
      <c r="AQ33" s="2251"/>
      <c r="AR33" s="2251"/>
      <c r="AS33" s="2251"/>
      <c r="AT33" s="2251"/>
      <c r="AU33" s="2260" t="n">
        <f aca="false">AU24/AP24-1</f>
        <v>0.252160018018208</v>
      </c>
      <c r="AV33" s="2251"/>
      <c r="AW33" s="2260" t="n">
        <f aca="false">AW24/AR24-1</f>
        <v>1.02717548124482</v>
      </c>
      <c r="AX33" s="2260" t="n">
        <f aca="false">AX24/AS24-1</f>
        <v>0.618942828451932</v>
      </c>
      <c r="AY33" s="2260"/>
      <c r="AZ33" s="2260" t="n">
        <f aca="false">AZ24/AP24-1</f>
        <v>0.231843665468431</v>
      </c>
      <c r="BA33" s="2257"/>
      <c r="BB33" s="2260" t="n">
        <f aca="false">BB24/AR24-1</f>
        <v>2.91199493454324</v>
      </c>
      <c r="BC33" s="2260" t="n">
        <f aca="false">BC24/AS24-1</f>
        <v>2.17572354691262</v>
      </c>
      <c r="BD33" s="2251"/>
      <c r="BE33" s="2260" t="n">
        <f aca="false">BE24/AP24-1</f>
        <v>2.01351498197607</v>
      </c>
      <c r="BF33" s="2257"/>
      <c r="BG33" s="2260" t="n">
        <f aca="false">BG24/AR24-1</f>
        <v>2.70760239645611</v>
      </c>
      <c r="BH33" s="2260" t="n">
        <f aca="false">BH24/AS24-1</f>
        <v>0.230324859385598</v>
      </c>
    </row>
    <row r="34" customFormat="false" ht="16.4" hidden="false" customHeight="false" outlineLevel="0" collapsed="false">
      <c r="A34" s="379" t="s">
        <v>3683</v>
      </c>
      <c r="B34" s="2256"/>
      <c r="C34" s="2256"/>
      <c r="D34" s="2256"/>
      <c r="E34" s="2256"/>
      <c r="F34" s="2251"/>
      <c r="G34" s="2257"/>
      <c r="H34" s="2257"/>
      <c r="I34" s="2257"/>
      <c r="J34" s="2257"/>
      <c r="K34" s="2251"/>
      <c r="L34" s="2251"/>
      <c r="M34" s="2251"/>
      <c r="N34" s="2251"/>
      <c r="O34" s="2251"/>
      <c r="P34" s="2251"/>
      <c r="Q34" s="2251"/>
      <c r="R34" s="2251"/>
      <c r="S34" s="2251"/>
      <c r="T34" s="2251"/>
      <c r="U34" s="2251"/>
      <c r="V34" s="2251"/>
      <c r="W34" s="2251"/>
      <c r="X34" s="2251"/>
      <c r="Y34" s="2251"/>
      <c r="Z34" s="2251"/>
      <c r="AA34" s="2251"/>
      <c r="AB34" s="2251"/>
      <c r="AC34" s="2251"/>
      <c r="AD34" s="2251"/>
      <c r="AE34" s="2251"/>
      <c r="AF34" s="2251"/>
      <c r="AG34" s="2251"/>
      <c r="AH34" s="2251"/>
      <c r="AI34" s="2251"/>
      <c r="AJ34" s="2251"/>
      <c r="AK34" s="2251"/>
      <c r="AL34" s="2251"/>
      <c r="AM34" s="2251"/>
      <c r="AN34" s="2251"/>
      <c r="AO34" s="2251"/>
      <c r="AP34" s="2251"/>
      <c r="AQ34" s="2251"/>
      <c r="AR34" s="2251"/>
      <c r="AS34" s="2251"/>
      <c r="AT34" s="2251"/>
      <c r="AU34" s="2251"/>
      <c r="AV34" s="2251"/>
      <c r="AW34" s="2251"/>
      <c r="AX34" s="2251"/>
      <c r="AY34" s="2251"/>
      <c r="AZ34" s="2260" t="n">
        <f aca="false">AZ24/AU24-1</f>
        <v>-0.0162250449283088</v>
      </c>
      <c r="BA34" s="2257"/>
      <c r="BB34" s="2260" t="n">
        <f aca="false">BB24/AW24-1</f>
        <v>0.929776169224885</v>
      </c>
      <c r="BC34" s="2260" t="n">
        <f aca="false">BC24/AX24-1</f>
        <v>0.96160327041895</v>
      </c>
      <c r="BD34" s="2251"/>
      <c r="BE34" s="2260" t="n">
        <f aca="false">BE24/AU24-1</f>
        <v>1.40665325406697</v>
      </c>
      <c r="BF34" s="2257"/>
      <c r="BG34" s="2260" t="n">
        <f aca="false">BG24/AW24-1</f>
        <v>0.828949901357031</v>
      </c>
      <c r="BH34" s="2260" t="n">
        <f aca="false">BH24/AX24-1</f>
        <v>-0.240044282130666</v>
      </c>
    </row>
    <row r="35" customFormat="false" ht="16.4" hidden="false" customHeight="false" outlineLevel="0" collapsed="false">
      <c r="A35" s="379" t="s">
        <v>3684</v>
      </c>
      <c r="B35" s="2256"/>
      <c r="C35" s="2256"/>
      <c r="D35" s="2256"/>
      <c r="E35" s="2256"/>
      <c r="F35" s="2251"/>
      <c r="G35" s="2257"/>
      <c r="H35" s="2257"/>
      <c r="I35" s="2257"/>
      <c r="J35" s="2257"/>
      <c r="K35" s="2251"/>
      <c r="L35" s="2251"/>
      <c r="M35" s="2251"/>
      <c r="N35" s="2251"/>
      <c r="O35" s="2251"/>
      <c r="P35" s="2251"/>
      <c r="Q35" s="2251"/>
      <c r="R35" s="2251"/>
      <c r="S35" s="2251"/>
      <c r="T35" s="2251"/>
      <c r="U35" s="2251"/>
      <c r="V35" s="2251"/>
      <c r="W35" s="2251"/>
      <c r="X35" s="2251"/>
      <c r="Y35" s="2251"/>
      <c r="Z35" s="2251"/>
      <c r="AA35" s="2251"/>
      <c r="AB35" s="2251"/>
      <c r="AC35" s="2251"/>
      <c r="AD35" s="2251"/>
      <c r="AE35" s="2251"/>
      <c r="AF35" s="2251"/>
      <c r="AG35" s="2251"/>
      <c r="AH35" s="2251"/>
      <c r="AI35" s="2251"/>
      <c r="AJ35" s="2251"/>
      <c r="AK35" s="2251"/>
      <c r="AL35" s="2251"/>
      <c r="AM35" s="2251"/>
      <c r="AN35" s="2251"/>
      <c r="AO35" s="2251"/>
      <c r="AP35" s="2251"/>
      <c r="AQ35" s="2251"/>
      <c r="AR35" s="2251"/>
      <c r="AS35" s="2251"/>
      <c r="AT35" s="2251"/>
      <c r="AU35" s="2251"/>
      <c r="AV35" s="2251"/>
      <c r="AW35" s="2251"/>
      <c r="AX35" s="2251"/>
      <c r="AY35" s="2251"/>
      <c r="AZ35" s="2260"/>
      <c r="BA35" s="2257"/>
      <c r="BB35" s="2260"/>
      <c r="BC35" s="2260"/>
      <c r="BD35" s="2251"/>
      <c r="BE35" s="2260" t="n">
        <f aca="false">BE24/AZ24-1</f>
        <v>1.44634531674125</v>
      </c>
      <c r="BF35" s="2257"/>
      <c r="BG35" s="2260" t="n">
        <f aca="false">BG24/BB24-1</f>
        <v>-0.0522476489635335</v>
      </c>
      <c r="BH35" s="2260" t="n">
        <f aca="false">BH24/BC24-1</f>
        <v>-0.61258439495412</v>
      </c>
    </row>
    <row r="36" customFormat="false" ht="17.35" hidden="false" customHeight="false" outlineLevel="0" collapsed="false">
      <c r="A36" s="316"/>
      <c r="B36" s="2218" t="s">
        <v>1661</v>
      </c>
      <c r="C36" s="2218"/>
      <c r="D36" s="2218"/>
      <c r="E36" s="2218"/>
      <c r="F36" s="316"/>
      <c r="G36" s="2218" t="s">
        <v>1661</v>
      </c>
      <c r="H36" s="2218"/>
      <c r="I36" s="2218"/>
      <c r="J36" s="2218"/>
      <c r="K36" s="316"/>
      <c r="L36" s="2218" t="s">
        <v>1661</v>
      </c>
      <c r="M36" s="2218"/>
      <c r="N36" s="2218"/>
      <c r="O36" s="2218"/>
      <c r="P36" s="316"/>
      <c r="Q36" s="2218" t="s">
        <v>1661</v>
      </c>
      <c r="R36" s="2218"/>
      <c r="S36" s="2218"/>
      <c r="T36" s="2218"/>
      <c r="U36" s="316"/>
      <c r="V36" s="2218" t="s">
        <v>1661</v>
      </c>
      <c r="W36" s="2218"/>
      <c r="X36" s="2218"/>
      <c r="Y36" s="2218"/>
      <c r="Z36" s="316"/>
      <c r="AA36" s="2218" t="s">
        <v>1661</v>
      </c>
      <c r="AB36" s="2218"/>
      <c r="AC36" s="2218"/>
      <c r="AD36" s="2218"/>
      <c r="AE36" s="316"/>
      <c r="AF36" s="2218" t="s">
        <v>1661</v>
      </c>
      <c r="AG36" s="2218"/>
      <c r="AH36" s="2218"/>
      <c r="AI36" s="2218"/>
      <c r="AJ36" s="316"/>
      <c r="AK36" s="2218" t="s">
        <v>1661</v>
      </c>
      <c r="AL36" s="2218"/>
      <c r="AM36" s="2218"/>
      <c r="AN36" s="2218"/>
      <c r="AO36" s="316"/>
      <c r="AP36" s="2218" t="s">
        <v>1661</v>
      </c>
      <c r="AQ36" s="2218"/>
      <c r="AR36" s="2218"/>
      <c r="AS36" s="2218"/>
      <c r="AT36" s="316"/>
      <c r="AU36" s="2218" t="s">
        <v>1661</v>
      </c>
      <c r="AV36" s="2218"/>
      <c r="AW36" s="2218"/>
      <c r="AX36" s="2218"/>
      <c r="AY36" s="2219"/>
      <c r="AZ36" s="2218" t="s">
        <v>1661</v>
      </c>
      <c r="BA36" s="2218"/>
      <c r="BB36" s="2218"/>
      <c r="BC36" s="2218"/>
      <c r="BE36" s="2218" t="s">
        <v>1661</v>
      </c>
      <c r="BF36" s="2218"/>
      <c r="BG36" s="2218"/>
      <c r="BH36" s="2218"/>
    </row>
    <row r="37" customFormat="false" ht="15" hidden="false" customHeight="false" outlineLevel="0" collapsed="false">
      <c r="A37" s="2220"/>
      <c r="B37" s="2221" t="s">
        <v>3667</v>
      </c>
      <c r="C37" s="2221"/>
      <c r="D37" s="2221"/>
      <c r="E37" s="2222" t="n">
        <f aca="false">D58/D126</f>
        <v>0</v>
      </c>
      <c r="F37" s="2223"/>
      <c r="G37" s="2221" t="s">
        <v>3668</v>
      </c>
      <c r="H37" s="2221"/>
      <c r="I37" s="2221"/>
      <c r="J37" s="2222" t="n">
        <f aca="false">I58/I126</f>
        <v>0.278251548555248</v>
      </c>
      <c r="K37" s="2223"/>
      <c r="L37" s="2221" t="s">
        <v>3669</v>
      </c>
      <c r="M37" s="2221"/>
      <c r="N37" s="2221"/>
      <c r="O37" s="2224" t="n">
        <f aca="false">N58/N126</f>
        <v>0.272339821247399</v>
      </c>
      <c r="P37" s="2225"/>
      <c r="Q37" s="2221" t="s">
        <v>3670</v>
      </c>
      <c r="R37" s="2221"/>
      <c r="S37" s="2221"/>
      <c r="T37" s="2224" t="n">
        <f aca="false">S58/S126</f>
        <v>0.279579550235884</v>
      </c>
      <c r="U37" s="2225"/>
      <c r="V37" s="2227" t="n">
        <v>0.9375</v>
      </c>
      <c r="W37" s="2227"/>
      <c r="X37" s="2227"/>
      <c r="Y37" s="2224" t="n">
        <f aca="false">X58/X126</f>
        <v>0.336336647264384</v>
      </c>
      <c r="Z37" s="2225"/>
      <c r="AA37" s="2227" t="n">
        <v>0.941176470588235</v>
      </c>
      <c r="AB37" s="2227"/>
      <c r="AC37" s="2227"/>
      <c r="AD37" s="2224" t="n">
        <f aca="false">AC58/AC126</f>
        <v>0.208772183619458</v>
      </c>
      <c r="AE37" s="2225"/>
      <c r="AF37" s="2227" t="n">
        <v>0.944444444444444</v>
      </c>
      <c r="AG37" s="2227"/>
      <c r="AH37" s="2227"/>
      <c r="AI37" s="2224" t="n">
        <f aca="false">AH58/AH126</f>
        <v>0.309326293914167</v>
      </c>
      <c r="AJ37" s="2225"/>
      <c r="AK37" s="2227" t="n">
        <v>0.947368421052632</v>
      </c>
      <c r="AL37" s="2227"/>
      <c r="AM37" s="2227"/>
      <c r="AN37" s="2224" t="n">
        <f aca="false">AM58/AM126</f>
        <v>0.250808491196156</v>
      </c>
      <c r="AO37" s="2225"/>
      <c r="AP37" s="2227" t="n">
        <v>0.95</v>
      </c>
      <c r="AQ37" s="2227"/>
      <c r="AR37" s="2227"/>
      <c r="AS37" s="2224" t="n">
        <f aca="false">AR58/AR126</f>
        <v>0.322546499656504</v>
      </c>
      <c r="AT37" s="2225"/>
      <c r="AU37" s="2263" t="n">
        <v>0.952380952380952</v>
      </c>
      <c r="AV37" s="2263"/>
      <c r="AW37" s="2263"/>
      <c r="AX37" s="2224" t="n">
        <f aca="false">AW58/AW126</f>
        <v>0.168967898388476</v>
      </c>
      <c r="AY37" s="2225"/>
      <c r="AZ37" s="2221" t="s">
        <v>3685</v>
      </c>
      <c r="BA37" s="2221"/>
      <c r="BB37" s="2221"/>
      <c r="BC37" s="2224" t="n">
        <f aca="false">BB58/BB126</f>
        <v>0.131687752752135</v>
      </c>
      <c r="BE37" s="2221" t="s">
        <v>3671</v>
      </c>
      <c r="BF37" s="2221"/>
      <c r="BG37" s="2221"/>
      <c r="BH37" s="2224" t="n">
        <f aca="false">BG58/BG126</f>
        <v>0.0213799218410481</v>
      </c>
    </row>
    <row r="38" customFormat="false" ht="14.25" hidden="false" customHeight="false" outlineLevel="0" collapsed="false">
      <c r="A38" s="2228" t="s">
        <v>1</v>
      </c>
      <c r="B38" s="2264" t="s">
        <v>1647</v>
      </c>
      <c r="C38" s="6"/>
      <c r="D38" s="6" t="s">
        <v>1648</v>
      </c>
      <c r="E38" s="2265" t="s">
        <v>3672</v>
      </c>
      <c r="F38" s="2230"/>
      <c r="G38" s="2229" t="s">
        <v>1647</v>
      </c>
      <c r="H38" s="2230"/>
      <c r="I38" s="2230" t="s">
        <v>1648</v>
      </c>
      <c r="J38" s="2231" t="s">
        <v>3672</v>
      </c>
      <c r="K38" s="2230"/>
      <c r="L38" s="2229" t="s">
        <v>1647</v>
      </c>
      <c r="M38" s="2230"/>
      <c r="N38" s="2230" t="s">
        <v>1648</v>
      </c>
      <c r="O38" s="2231" t="s">
        <v>3672</v>
      </c>
      <c r="P38" s="2230"/>
      <c r="Q38" s="2229" t="s">
        <v>1647</v>
      </c>
      <c r="R38" s="2230"/>
      <c r="S38" s="2230" t="s">
        <v>1648</v>
      </c>
      <c r="T38" s="2231" t="s">
        <v>3672</v>
      </c>
      <c r="U38" s="2230"/>
      <c r="V38" s="2229" t="s">
        <v>1647</v>
      </c>
      <c r="W38" s="2230"/>
      <c r="X38" s="2230" t="s">
        <v>1648</v>
      </c>
      <c r="Y38" s="2231" t="s">
        <v>3672</v>
      </c>
      <c r="Z38" s="2230"/>
      <c r="AA38" s="2229" t="s">
        <v>1647</v>
      </c>
      <c r="AB38" s="2230"/>
      <c r="AC38" s="2230" t="s">
        <v>1648</v>
      </c>
      <c r="AD38" s="2231" t="s">
        <v>3672</v>
      </c>
      <c r="AE38" s="2230"/>
      <c r="AF38" s="2229" t="s">
        <v>1647</v>
      </c>
      <c r="AG38" s="2230"/>
      <c r="AH38" s="2230" t="s">
        <v>1648</v>
      </c>
      <c r="AI38" s="2231" t="s">
        <v>3672</v>
      </c>
      <c r="AJ38" s="2230"/>
      <c r="AK38" s="2229" t="s">
        <v>1647</v>
      </c>
      <c r="AL38" s="2230"/>
      <c r="AM38" s="2230" t="s">
        <v>1648</v>
      </c>
      <c r="AN38" s="2231" t="s">
        <v>3672</v>
      </c>
      <c r="AO38" s="2230"/>
      <c r="AP38" s="2229" t="s">
        <v>1647</v>
      </c>
      <c r="AQ38" s="2230"/>
      <c r="AR38" s="2230" t="s">
        <v>1648</v>
      </c>
      <c r="AS38" s="2231" t="s">
        <v>3672</v>
      </c>
      <c r="AT38" s="2230"/>
      <c r="AU38" s="2266" t="s">
        <v>1647</v>
      </c>
      <c r="AV38" s="2267"/>
      <c r="AW38" s="2267" t="s">
        <v>1648</v>
      </c>
      <c r="AX38" s="2268" t="s">
        <v>3672</v>
      </c>
      <c r="AY38" s="2230"/>
      <c r="AZ38" s="2229" t="s">
        <v>1647</v>
      </c>
      <c r="BA38" s="2230"/>
      <c r="BB38" s="2230" t="s">
        <v>1648</v>
      </c>
      <c r="BC38" s="2231" t="s">
        <v>3672</v>
      </c>
      <c r="BE38" s="2229" t="s">
        <v>1647</v>
      </c>
      <c r="BF38" s="2230"/>
      <c r="BG38" s="2230" t="s">
        <v>1648</v>
      </c>
      <c r="BH38" s="2231" t="s">
        <v>3672</v>
      </c>
    </row>
    <row r="39" customFormat="false" ht="14.25" hidden="false" customHeight="false" outlineLevel="0" collapsed="false">
      <c r="A39" s="9" t="s">
        <v>5</v>
      </c>
      <c r="B39" s="2269" t="n">
        <f aca="false">'[3]Vendas Real'!$E$26</f>
        <v>0</v>
      </c>
      <c r="C39" s="327"/>
      <c r="D39" s="2270" t="n">
        <f aca="false">'[3]Vendas Real'!$F$26</f>
        <v>0</v>
      </c>
      <c r="E39" s="2271" t="n">
        <v>0</v>
      </c>
      <c r="F39" s="100"/>
      <c r="G39" s="2234" t="n">
        <f aca="false">'[4]VR Geral'!$H$27</f>
        <v>9780900</v>
      </c>
      <c r="H39" s="45"/>
      <c r="I39" s="410" t="n">
        <f aca="false">'[4]VR Geral'!$I$27</f>
        <v>896700</v>
      </c>
      <c r="J39" s="2233" t="n">
        <f aca="false">I39/G39</f>
        <v>0.091678679876085</v>
      </c>
      <c r="K39" s="100"/>
      <c r="L39" s="2234" t="n">
        <f aca="false">[5]VENDA!$I$24</f>
        <v>8635500</v>
      </c>
      <c r="M39" s="45"/>
      <c r="N39" s="203" t="n">
        <f aca="false">[5]VENDA!$J$24</f>
        <v>1254190</v>
      </c>
      <c r="O39" s="2233" t="n">
        <f aca="false">N39/L39</f>
        <v>0.145236523652365</v>
      </c>
      <c r="P39" s="100"/>
      <c r="Q39" s="2234" t="n">
        <f aca="false">[6]VENDA!$I$25</f>
        <v>12512850</v>
      </c>
      <c r="R39" s="45"/>
      <c r="S39" s="2235" t="n">
        <f aca="false">[6]VENDA!$J$25</f>
        <v>1394575</v>
      </c>
      <c r="T39" s="2233" t="n">
        <f aca="false">S39/Q39</f>
        <v>0.111451427932086</v>
      </c>
      <c r="U39" s="100"/>
      <c r="V39" s="2234" t="n">
        <f aca="false">[7]VEND!$I$26</f>
        <v>7285200</v>
      </c>
      <c r="W39" s="100"/>
      <c r="X39" s="203" t="n">
        <f aca="false">[7]VEND!$J$26</f>
        <v>868330</v>
      </c>
      <c r="Y39" s="2233" t="n">
        <f aca="false">X39/V39</f>
        <v>0.119190962499314</v>
      </c>
      <c r="Z39" s="100"/>
      <c r="AA39" s="2234" t="n">
        <f aca="false">[8]VEND!$I26</f>
        <v>3058800</v>
      </c>
      <c r="AB39" s="100"/>
      <c r="AC39" s="203" t="n">
        <f aca="false">[8]VEND!$J26</f>
        <v>612897.5</v>
      </c>
      <c r="AD39" s="2233" t="n">
        <f aca="false">AC39/AA39</f>
        <v>0.200371877860599</v>
      </c>
      <c r="AE39" s="100"/>
      <c r="AF39" s="2234" t="n">
        <f aca="false">'[9]HIST.'!$AF$34</f>
        <v>3479156</v>
      </c>
      <c r="AG39" s="100"/>
      <c r="AH39" s="203" t="n">
        <f aca="false">'[9]HIST.'!$AH$34</f>
        <v>776285</v>
      </c>
      <c r="AI39" s="2233" t="n">
        <f aca="false">AH39/AF39</f>
        <v>0.223124516405703</v>
      </c>
      <c r="AJ39" s="100"/>
      <c r="AK39" s="2234" t="n">
        <f aca="false">'[10]HIST.'!AK35</f>
        <v>4178500</v>
      </c>
      <c r="AL39" s="100"/>
      <c r="AM39" s="203" t="n">
        <f aca="false">'[10]HIST.'!AM35</f>
        <v>585849</v>
      </c>
      <c r="AN39" s="2233" t="n">
        <f aca="false">AM39/AK39</f>
        <v>0.140205576163695</v>
      </c>
      <c r="AO39" s="100"/>
      <c r="AP39" s="2234" t="n">
        <f aca="false">'[11]HIST.'!AP36</f>
        <v>14482050</v>
      </c>
      <c r="AQ39" s="100"/>
      <c r="AR39" s="203" t="n">
        <f aca="false">'[11]HIST.'!AR36</f>
        <v>2467986.15</v>
      </c>
      <c r="AS39" s="2233" t="n">
        <f aca="false">AR39/AP39</f>
        <v>0.170416905755746</v>
      </c>
      <c r="AT39" s="100"/>
      <c r="AU39" s="2234" t="n">
        <f aca="false">'[12]HIST.'!$AU$37</f>
        <v>9426780</v>
      </c>
      <c r="AV39" s="100"/>
      <c r="AW39" s="203" t="n">
        <f aca="false" t="array" ref="AW39:AW57">'[12]HIST.'!$AW$37:$AW$55</f>
        <v>2263841.05</v>
      </c>
      <c r="AX39" s="2233" t="n">
        <f aca="false">AW39/AU39</f>
        <v>0.240149982284513</v>
      </c>
      <c r="AY39" s="100"/>
      <c r="AZ39" s="2236" t="n">
        <f aca="false">[13]VENDA!J75+[13]VENDA!J77+[13]VENDA!J78+[13]VENDA!J76</f>
        <v>6275680</v>
      </c>
      <c r="BA39" s="98"/>
      <c r="BB39" s="2237" t="n">
        <f aca="false">[13]VENDA!K75+[13]VENDA!K77+[13]VENDA!K78+[13]VENDA!K76</f>
        <v>3611465.55</v>
      </c>
      <c r="BC39" s="2233" t="n">
        <f aca="false">BB39/AZ39</f>
        <v>0.575469996876832</v>
      </c>
      <c r="BD39" s="2257"/>
      <c r="BE39" s="2236" t="n">
        <f aca="false">VEN!K75+VEN!K77+VEN!K78+VEN!K76</f>
        <v>484829.4</v>
      </c>
      <c r="BF39" s="98"/>
      <c r="BG39" s="2237" t="n">
        <f aca="false">VEN!L75+VEN!L77+VEN!L78+VEN!L76</f>
        <v>186805.94</v>
      </c>
      <c r="BH39" s="2233" t="n">
        <f aca="false">BG39/BE39</f>
        <v>0.385302417716417</v>
      </c>
      <c r="BI39" s="2257" t="n">
        <f aca="false">BH39/BH5-1</f>
        <v>-0.0698051803023407</v>
      </c>
    </row>
    <row r="40" customFormat="false" ht="14.25" hidden="false" customHeight="false" outlineLevel="0" collapsed="false">
      <c r="A40" s="9" t="s">
        <v>6</v>
      </c>
      <c r="B40" s="2232" t="n">
        <f aca="false">'[3]Vendas Real'!$E$30</f>
        <v>0</v>
      </c>
      <c r="C40" s="51"/>
      <c r="D40" s="203" t="n">
        <f aca="false">'[3]Vendas Real'!$F$30</f>
        <v>0</v>
      </c>
      <c r="E40" s="2233" t="n">
        <v>0</v>
      </c>
      <c r="F40" s="100"/>
      <c r="G40" s="2234" t="n">
        <f aca="false">'[4]VR Geral'!$H$31</f>
        <v>1689750</v>
      </c>
      <c r="H40" s="45"/>
      <c r="I40" s="410" t="n">
        <f aca="false">'[4]VR Geral'!$I$31</f>
        <v>255350</v>
      </c>
      <c r="J40" s="2233" t="n">
        <f aca="false">I40/G40</f>
        <v>0.151117029146323</v>
      </c>
      <c r="K40" s="100"/>
      <c r="L40" s="2234" t="n">
        <f aca="false">[5]VENDA!$I$25</f>
        <v>3249800</v>
      </c>
      <c r="M40" s="45"/>
      <c r="N40" s="203" t="n">
        <f aca="false">[5]VENDA!$J$25</f>
        <v>409236.64</v>
      </c>
      <c r="O40" s="2233" t="n">
        <f aca="false">N40/L40</f>
        <v>0.125926715490184</v>
      </c>
      <c r="P40" s="100"/>
      <c r="Q40" s="2234" t="n">
        <f aca="false">[6]VENDA!$I$26</f>
        <v>6957300</v>
      </c>
      <c r="R40" s="45"/>
      <c r="S40" s="2235" t="n">
        <f aca="false">[6]VENDA!$J$26</f>
        <v>734709</v>
      </c>
      <c r="T40" s="2233" t="n">
        <f aca="false">S40/Q40</f>
        <v>0.105602604458626</v>
      </c>
      <c r="U40" s="100"/>
      <c r="V40" s="2234" t="n">
        <f aca="false">[7]VEND!$I$27</f>
        <v>4936500</v>
      </c>
      <c r="W40" s="100"/>
      <c r="X40" s="203" t="n">
        <f aca="false">[7]VEND!$J$27</f>
        <v>556315</v>
      </c>
      <c r="Y40" s="2233" t="n">
        <f aca="false">X40/V40</f>
        <v>0.112694216550187</v>
      </c>
      <c r="Z40" s="100"/>
      <c r="AA40" s="2234" t="n">
        <f aca="false">[8]VEND!$I27</f>
        <v>4240800</v>
      </c>
      <c r="AB40" s="100"/>
      <c r="AC40" s="203" t="n">
        <f aca="false">[8]VEND!$J27</f>
        <v>1101099.5</v>
      </c>
      <c r="AD40" s="2233" t="n">
        <f aca="false">AC40/AA40</f>
        <v>0.259644288813431</v>
      </c>
      <c r="AE40" s="100"/>
      <c r="AF40" s="2234" t="n">
        <f aca="false">'[9]HIST.'!$AF$35</f>
        <v>5839736</v>
      </c>
      <c r="AG40" s="100"/>
      <c r="AH40" s="203" t="n">
        <f aca="false">'[9]HIST.'!$AH$35</f>
        <v>981230</v>
      </c>
      <c r="AI40" s="2233" t="n">
        <f aca="false">AH40/AF40</f>
        <v>0.168026431331827</v>
      </c>
      <c r="AJ40" s="100"/>
      <c r="AK40" s="2234" t="n">
        <f aca="false">'[10]HIST.'!AK36</f>
        <v>4030852</v>
      </c>
      <c r="AL40" s="100"/>
      <c r="AM40" s="203" t="n">
        <f aca="false">'[10]HIST.'!AM36</f>
        <v>492421</v>
      </c>
      <c r="AN40" s="2233" t="n">
        <f aca="false">AM40/AK40</f>
        <v>0.122163006729098</v>
      </c>
      <c r="AO40" s="100"/>
      <c r="AP40" s="2234" t="n">
        <f aca="false">'[11]HIST.'!AP37</f>
        <v>6321220</v>
      </c>
      <c r="AQ40" s="100"/>
      <c r="AR40" s="203" t="n">
        <f aca="false">'[11]HIST.'!AR37</f>
        <v>1189540</v>
      </c>
      <c r="AS40" s="2233" t="n">
        <f aca="false">AR40/AP40</f>
        <v>0.188182028152793</v>
      </c>
      <c r="AT40" s="100"/>
      <c r="AU40" s="2234" t="n">
        <f aca="false">'[12]HIST.'!$AU$38</f>
        <v>3702910</v>
      </c>
      <c r="AV40" s="100"/>
      <c r="AW40" s="203" t="n">
        <v>1028933.25</v>
      </c>
      <c r="AX40" s="2233" t="n">
        <f aca="false">AW40/AU40</f>
        <v>0.277871525367886</v>
      </c>
      <c r="AY40" s="100"/>
      <c r="AZ40" s="2236" t="n">
        <f aca="false">[13]VENDA!J79+[13]VENDA!J81+[13]VENDA!J82+[13]VENDA!J80</f>
        <v>2940570</v>
      </c>
      <c r="BA40" s="98"/>
      <c r="BB40" s="2237" t="n">
        <f aca="false">[13]VENDA!K79+[13]VENDA!K81+[13]VENDA!K82+[13]VENDA!K80</f>
        <v>1498616.55</v>
      </c>
      <c r="BC40" s="2233" t="n">
        <f aca="false">BB40/AZ40</f>
        <v>0.50963471367796</v>
      </c>
      <c r="BD40" s="2257"/>
      <c r="BE40" s="2236" t="n">
        <f aca="false">VEN!K79+VEN!K81+VEN!K82+VEN!K80</f>
        <v>0</v>
      </c>
      <c r="BF40" s="98"/>
      <c r="BG40" s="2237" t="n">
        <f aca="false">VEN!L79+VEN!L81+VEN!L82+VEN!L80</f>
        <v>0</v>
      </c>
      <c r="BH40" s="2233" t="e">
        <f aca="false">BG40/BE40</f>
        <v>#DIV/0!</v>
      </c>
      <c r="BI40" s="2257" t="e">
        <f aca="false">BH40/BH6-1</f>
        <v>#DIV/0!</v>
      </c>
    </row>
    <row r="41" customFormat="false" ht="14.25" hidden="false" customHeight="false" outlineLevel="0" collapsed="false">
      <c r="A41" s="9" t="s">
        <v>7</v>
      </c>
      <c r="B41" s="2232" t="n">
        <f aca="false">'[3]Vendas Real'!$E$27</f>
        <v>0</v>
      </c>
      <c r="C41" s="51"/>
      <c r="D41" s="203" t="n">
        <f aca="false">'[3]Vendas Real'!$F$27</f>
        <v>0</v>
      </c>
      <c r="E41" s="2233" t="n">
        <v>0</v>
      </c>
      <c r="F41" s="100"/>
      <c r="G41" s="2234" t="n">
        <f aca="false">'[4]VR Geral'!$H$28</f>
        <v>631500</v>
      </c>
      <c r="H41" s="45"/>
      <c r="I41" s="410" t="n">
        <f aca="false">'[4]VR Geral'!$I$28</f>
        <v>82572.5</v>
      </c>
      <c r="J41" s="2233" t="n">
        <f aca="false">I41/G41</f>
        <v>0.13075613618369</v>
      </c>
      <c r="K41" s="100"/>
      <c r="L41" s="2234" t="n">
        <f aca="false">[5]VENDA!$I$26</f>
        <v>643500</v>
      </c>
      <c r="M41" s="45"/>
      <c r="N41" s="203" t="n">
        <f aca="false">[5]VENDA!$J$26</f>
        <v>77058.18</v>
      </c>
      <c r="O41" s="2233" t="n">
        <f aca="false">N41/L41</f>
        <v>0.119748531468531</v>
      </c>
      <c r="P41" s="100"/>
      <c r="Q41" s="2234" t="n">
        <f aca="false">[6]VENDA!$I$27</f>
        <v>1012500</v>
      </c>
      <c r="R41" s="45"/>
      <c r="S41" s="2235" t="n">
        <f aca="false">[6]VENDA!$J$27</f>
        <v>150500</v>
      </c>
      <c r="T41" s="2233" t="n">
        <f aca="false">S41/Q41</f>
        <v>0.148641975308642</v>
      </c>
      <c r="U41" s="100"/>
      <c r="V41" s="2234" t="n">
        <f aca="false">[7]VEND!$I$28</f>
        <v>1319550</v>
      </c>
      <c r="W41" s="100"/>
      <c r="X41" s="203" t="n">
        <f aca="false">[7]VEND!$J$28</f>
        <v>226410</v>
      </c>
      <c r="Y41" s="2233" t="n">
        <f aca="false">X41/V41</f>
        <v>0.171581220870751</v>
      </c>
      <c r="Z41" s="100"/>
      <c r="AA41" s="2234" t="n">
        <f aca="false">[8]VEND!$I28</f>
        <v>413000</v>
      </c>
      <c r="AB41" s="100"/>
      <c r="AC41" s="203" t="n">
        <f aca="false">[8]VEND!$J28</f>
        <v>97550</v>
      </c>
      <c r="AD41" s="2233" t="n">
        <f aca="false">AC41/AA41</f>
        <v>0.236198547215496</v>
      </c>
      <c r="AE41" s="100"/>
      <c r="AF41" s="2234" t="n">
        <f aca="false">'[9]HIST.'!$AF$36</f>
        <v>1192220</v>
      </c>
      <c r="AG41" s="100"/>
      <c r="AH41" s="203" t="n">
        <f aca="false">'[9]HIST.'!$AH$36</f>
        <v>246350</v>
      </c>
      <c r="AI41" s="2233" t="n">
        <f aca="false">AH41/AF41</f>
        <v>0.206631326433041</v>
      </c>
      <c r="AJ41" s="100"/>
      <c r="AK41" s="2234" t="n">
        <f aca="false">'[10]HIST.'!AK37</f>
        <v>647000</v>
      </c>
      <c r="AL41" s="100"/>
      <c r="AM41" s="203" t="n">
        <f aca="false">'[10]HIST.'!AM37</f>
        <v>113125</v>
      </c>
      <c r="AN41" s="2233" t="n">
        <f aca="false">AM41/AK41</f>
        <v>0.17484544049459</v>
      </c>
      <c r="AO41" s="100"/>
      <c r="AP41" s="2234" t="n">
        <f aca="false">'[11]HIST.'!AP38</f>
        <v>2499300</v>
      </c>
      <c r="AQ41" s="100"/>
      <c r="AR41" s="203" t="n">
        <f aca="false">'[11]HIST.'!AR38</f>
        <v>457599.75</v>
      </c>
      <c r="AS41" s="2233" t="n">
        <f aca="false">AR41/AP41</f>
        <v>0.183091165526347</v>
      </c>
      <c r="AT41" s="100"/>
      <c r="AU41" s="2234" t="n">
        <f aca="false">'[12]HIST.'!$AU$39</f>
        <v>2011740</v>
      </c>
      <c r="AV41" s="100"/>
      <c r="AW41" s="203" t="n">
        <v>476850</v>
      </c>
      <c r="AX41" s="2233" t="n">
        <f aca="false">AW41/AU41</f>
        <v>0.237033612693489</v>
      </c>
      <c r="AY41" s="100"/>
      <c r="AZ41" s="2236" t="n">
        <f aca="false">[13]VENDA!J83+[13]VENDA!J85+[13]VENDA!J86+[13]VENDA!J84</f>
        <v>603200</v>
      </c>
      <c r="BA41" s="98"/>
      <c r="BB41" s="2237" t="n">
        <f aca="false">[13]VENDA!K83+[13]VENDA!K85+[13]VENDA!K86+[13]VENDA!K84</f>
        <v>481353.6</v>
      </c>
      <c r="BC41" s="2233" t="n">
        <f aca="false">BB41/AZ41</f>
        <v>0.798</v>
      </c>
      <c r="BD41" s="2257"/>
      <c r="BE41" s="2236" t="n">
        <f aca="false">VEN!K83+VEN!K85+VEN!K86+VEN!K84</f>
        <v>655605</v>
      </c>
      <c r="BF41" s="98"/>
      <c r="BG41" s="2237" t="n">
        <f aca="false">VEN!L83+VEN!L85+VEN!L86+VEN!L84</f>
        <v>343507.5</v>
      </c>
      <c r="BH41" s="2233" t="n">
        <f aca="false">BG41/BE41</f>
        <v>0.523954972887638</v>
      </c>
      <c r="BI41" s="2257" t="n">
        <f aca="false">BH41/BH7-1</f>
        <v>0.127529123254282</v>
      </c>
    </row>
    <row r="42" customFormat="false" ht="14.25" hidden="false" customHeight="false" outlineLevel="0" collapsed="false">
      <c r="A42" s="9" t="s">
        <v>42</v>
      </c>
      <c r="B42" s="2232" t="n">
        <f aca="false">'[3]Vendas Real'!$E$29</f>
        <v>0</v>
      </c>
      <c r="C42" s="51"/>
      <c r="D42" s="203" t="n">
        <f aca="false">'[3]Vendas Real'!$F$29</f>
        <v>0</v>
      </c>
      <c r="E42" s="2233" t="n">
        <v>0</v>
      </c>
      <c r="F42" s="100"/>
      <c r="G42" s="2234" t="n">
        <f aca="false">'[4]VR Geral'!$H$30</f>
        <v>1476000</v>
      </c>
      <c r="H42" s="45"/>
      <c r="I42" s="410" t="n">
        <f aca="false">'[4]VR Geral'!$I$30</f>
        <v>205505</v>
      </c>
      <c r="J42" s="2233" t="n">
        <f aca="false">I42/G42</f>
        <v>0.139231029810298</v>
      </c>
      <c r="K42" s="100"/>
      <c r="L42" s="2234" t="n">
        <f aca="false">[5]VENDA!$I$27</f>
        <v>2880300</v>
      </c>
      <c r="M42" s="45"/>
      <c r="N42" s="203" t="n">
        <f aca="false">[5]VENDA!$J$27</f>
        <v>350380.17</v>
      </c>
      <c r="O42" s="2233" t="n">
        <f aca="false">N42/L42</f>
        <v>0.121647109676075</v>
      </c>
      <c r="P42" s="100"/>
      <c r="Q42" s="2234" t="n">
        <f aca="false">[6]VENDA!$I$28</f>
        <v>1423200</v>
      </c>
      <c r="R42" s="45"/>
      <c r="S42" s="2235" t="n">
        <f aca="false">[6]VENDA!$J$28</f>
        <v>235497.5</v>
      </c>
      <c r="T42" s="2233" t="n">
        <f aca="false">S42/Q42</f>
        <v>0.165470418774592</v>
      </c>
      <c r="U42" s="100"/>
      <c r="V42" s="2234" t="n">
        <f aca="false">[7]VEND!$I$29</f>
        <v>4285050</v>
      </c>
      <c r="W42" s="100"/>
      <c r="X42" s="203" t="n">
        <f aca="false">[7]VEND!$J$29</f>
        <v>644865.5</v>
      </c>
      <c r="Y42" s="2233" t="n">
        <f aca="false">X42/V42</f>
        <v>0.150491942917819</v>
      </c>
      <c r="Z42" s="100"/>
      <c r="AA42" s="2234" t="n">
        <f aca="false">[8]VEND!$I29</f>
        <v>3496016</v>
      </c>
      <c r="AB42" s="100"/>
      <c r="AC42" s="203" t="n">
        <f aca="false">[8]VEND!$J29</f>
        <v>958061.5</v>
      </c>
      <c r="AD42" s="2233" t="n">
        <f aca="false">AC42/AA42</f>
        <v>0.274043797282392</v>
      </c>
      <c r="AE42" s="100"/>
      <c r="AF42" s="2234" t="n">
        <f aca="false">'[9]HIST.'!$AF$37</f>
        <v>4120160</v>
      </c>
      <c r="AG42" s="100"/>
      <c r="AH42" s="203" t="n">
        <f aca="false">'[9]HIST.'!$AH$37</f>
        <v>836555.5</v>
      </c>
      <c r="AI42" s="2233" t="n">
        <f aca="false">AH42/AF42</f>
        <v>0.203039566424605</v>
      </c>
      <c r="AJ42" s="100"/>
      <c r="AK42" s="2234" t="n">
        <f aca="false">'[10]HIST.'!AK38</f>
        <v>1617100</v>
      </c>
      <c r="AL42" s="100"/>
      <c r="AM42" s="203" t="n">
        <f aca="false">'[10]HIST.'!AM38</f>
        <v>264950.5</v>
      </c>
      <c r="AN42" s="2233" t="n">
        <f aca="false">AM42/AK42</f>
        <v>0.163842990538619</v>
      </c>
      <c r="AO42" s="100"/>
      <c r="AP42" s="2234" t="n">
        <f aca="false">'[11]HIST.'!AP39</f>
        <v>8854190</v>
      </c>
      <c r="AQ42" s="100"/>
      <c r="AR42" s="203" t="n">
        <f aca="false">'[11]HIST.'!AR39</f>
        <v>1496742.05</v>
      </c>
      <c r="AS42" s="2233" t="n">
        <f aca="false">AR42/AP42</f>
        <v>0.169043362521021</v>
      </c>
      <c r="AT42" s="100"/>
      <c r="AU42" s="2234" t="n">
        <f aca="false" t="array" ref="AU42:AU57">'[12]HIST.'!$AU$40:$AU$55</f>
        <v>3661580</v>
      </c>
      <c r="AV42" s="100"/>
      <c r="AW42" s="203" t="n">
        <v>835389.25</v>
      </c>
      <c r="AX42" s="2233" t="n">
        <f aca="false">AW42/AU42</f>
        <v>0.228149938004905</v>
      </c>
      <c r="AY42" s="100"/>
      <c r="AZ42" s="2236" t="n">
        <f aca="false">[13]VENDA!J87+[13]VENDA!J89+[13]VENDA!J90+[13]VENDA!J88</f>
        <v>967230</v>
      </c>
      <c r="BA42" s="98"/>
      <c r="BB42" s="2237" t="n">
        <f aca="false">[13]VENDA!K87+[13]VENDA!K89+[13]VENDA!K90+[13]VENDA!K88</f>
        <v>895927.5</v>
      </c>
      <c r="BC42" s="2233" t="n">
        <f aca="false">BB42/AZ42</f>
        <v>0.926281753047362</v>
      </c>
      <c r="BD42" s="2257"/>
      <c r="BE42" s="2236" t="n">
        <f aca="false">VEN!K87+VEN!K89+VEN!K90+VEN!K88</f>
        <v>358650</v>
      </c>
      <c r="BF42" s="98"/>
      <c r="BG42" s="2237" t="n">
        <f aca="false">VEN!L87+VEN!L89+VEN!L90+VEN!L88</f>
        <v>149400</v>
      </c>
      <c r="BH42" s="2233" t="n">
        <f aca="false">BG42/BE42</f>
        <v>0.416562107904642</v>
      </c>
      <c r="BI42" s="2257" t="n">
        <f aca="false">BH42/BH8-1</f>
        <v>-0.0721930818497466</v>
      </c>
    </row>
    <row r="43" customFormat="false" ht="14.25" hidden="false" customHeight="false" outlineLevel="0" collapsed="false">
      <c r="A43" s="9" t="s">
        <v>9</v>
      </c>
      <c r="B43" s="2232" t="n">
        <f aca="false">'[3]Vendas Real'!$E$28</f>
        <v>0</v>
      </c>
      <c r="C43" s="51"/>
      <c r="D43" s="203" t="n">
        <f aca="false">'[3]Vendas Real'!$F$28</f>
        <v>0</v>
      </c>
      <c r="E43" s="2233" t="n">
        <v>0</v>
      </c>
      <c r="F43" s="100"/>
      <c r="G43" s="2234" t="n">
        <f aca="false">'[4]VR Geral'!$H$29</f>
        <v>210000</v>
      </c>
      <c r="H43" s="45"/>
      <c r="I43" s="410" t="n">
        <f aca="false">'[4]VR Geral'!$I$29</f>
        <v>33440</v>
      </c>
      <c r="J43" s="2233" t="n">
        <f aca="false">I43/G43</f>
        <v>0.159238095238095</v>
      </c>
      <c r="K43" s="100"/>
      <c r="L43" s="2234" t="n">
        <f aca="false">[5]VENDA!$I$28</f>
        <v>130500</v>
      </c>
      <c r="M43" s="45"/>
      <c r="N43" s="203" t="n">
        <f aca="false">[5]VENDA!$J$28</f>
        <v>19530</v>
      </c>
      <c r="O43" s="2233" t="n">
        <f aca="false">N43/L43</f>
        <v>0.149655172413793</v>
      </c>
      <c r="P43" s="100"/>
      <c r="Q43" s="2234" t="n">
        <f aca="false">[6]VENDA!$I$29</f>
        <v>97500</v>
      </c>
      <c r="R43" s="45"/>
      <c r="S43" s="2235" t="n">
        <f aca="false">[6]VENDA!$J$29</f>
        <v>16727.5</v>
      </c>
      <c r="T43" s="2233" t="n">
        <f aca="false">S43/Q43</f>
        <v>0.171564102564103</v>
      </c>
      <c r="U43" s="100"/>
      <c r="V43" s="2234" t="n">
        <f aca="false">[7]VEND!$I$30</f>
        <v>214500</v>
      </c>
      <c r="W43" s="100"/>
      <c r="X43" s="203" t="n">
        <f aca="false">[7]VEND!$J$30</f>
        <v>34175</v>
      </c>
      <c r="Y43" s="2233" t="n">
        <f aca="false">X43/V43</f>
        <v>0.159324009324009</v>
      </c>
      <c r="Z43" s="100"/>
      <c r="AA43" s="2234" t="n">
        <f aca="false">[8]VEND!$I30</f>
        <v>0</v>
      </c>
      <c r="AB43" s="100"/>
      <c r="AC43" s="203" t="n">
        <f aca="false">[8]VEND!$J30</f>
        <v>0</v>
      </c>
      <c r="AD43" s="2233" t="n">
        <v>0</v>
      </c>
      <c r="AE43" s="100"/>
      <c r="AF43" s="2234" t="n">
        <f aca="false">'[9]HIST.'!$AF$38</f>
        <v>0</v>
      </c>
      <c r="AG43" s="100"/>
      <c r="AH43" s="203" t="n">
        <f aca="false">'[9]HIST.'!$AH$38</f>
        <v>0</v>
      </c>
      <c r="AI43" s="2233" t="n">
        <v>0</v>
      </c>
      <c r="AJ43" s="100"/>
      <c r="AK43" s="2234" t="n">
        <f aca="false">'[10]HIST.'!AK39</f>
        <v>0</v>
      </c>
      <c r="AL43" s="100"/>
      <c r="AM43" s="203" t="n">
        <f aca="false">'[10]HIST.'!AM39</f>
        <v>0</v>
      </c>
      <c r="AN43" s="2233" t="n">
        <v>0</v>
      </c>
      <c r="AO43" s="100"/>
      <c r="AP43" s="2234" t="n">
        <f aca="false">'[11]HIST.'!AP40</f>
        <v>0</v>
      </c>
      <c r="AQ43" s="100"/>
      <c r="AR43" s="203" t="n">
        <f aca="false">'[11]HIST.'!AR40</f>
        <v>0</v>
      </c>
      <c r="AS43" s="2233" t="n">
        <v>0</v>
      </c>
      <c r="AT43" s="100"/>
      <c r="AU43" s="2234" t="n">
        <v>29250</v>
      </c>
      <c r="AV43" s="100"/>
      <c r="AW43" s="203" t="n">
        <v>11820</v>
      </c>
      <c r="AX43" s="2233" t="n">
        <f aca="false">AW43/AU43</f>
        <v>0.404102564102564</v>
      </c>
      <c r="AY43" s="100"/>
      <c r="AZ43" s="2236" t="n">
        <f aca="false">[13]VENDA!J91</f>
        <v>0</v>
      </c>
      <c r="BA43" s="98"/>
      <c r="BB43" s="2237" t="n">
        <f aca="false">[13]VENDA!K91</f>
        <v>0</v>
      </c>
      <c r="BC43" s="2233" t="n">
        <v>0</v>
      </c>
      <c r="BD43" s="2257"/>
      <c r="BE43" s="2236" t="n">
        <f aca="false">VEN!K91</f>
        <v>0</v>
      </c>
      <c r="BF43" s="98"/>
      <c r="BG43" s="2237" t="n">
        <f aca="false">VEN!L91</f>
        <v>0</v>
      </c>
      <c r="BH43" s="2233" t="e">
        <f aca="false">BG43/BE43</f>
        <v>#DIV/0!</v>
      </c>
      <c r="BI43" s="2257"/>
    </row>
    <row r="44" customFormat="false" ht="14.25" hidden="false" customHeight="false" outlineLevel="0" collapsed="false">
      <c r="A44" s="9" t="s">
        <v>10</v>
      </c>
      <c r="B44" s="2232" t="n">
        <f aca="false">'[3]Vendas Real'!$E$31</f>
        <v>0</v>
      </c>
      <c r="C44" s="51"/>
      <c r="D44" s="203" t="n">
        <f aca="false">'[3]Vendas Real'!$F$31</f>
        <v>0</v>
      </c>
      <c r="E44" s="2233" t="n">
        <v>0</v>
      </c>
      <c r="F44" s="100"/>
      <c r="G44" s="2234" t="n">
        <f aca="false">'[4]VR Geral'!$H$32</f>
        <v>2108250</v>
      </c>
      <c r="H44" s="45"/>
      <c r="I44" s="410" t="n">
        <f aca="false">'[4]VR Geral'!$I$32</f>
        <v>197880</v>
      </c>
      <c r="J44" s="2233" t="n">
        <f aca="false">I44/G44</f>
        <v>0.0938598363571683</v>
      </c>
      <c r="K44" s="100"/>
      <c r="L44" s="2234" t="n">
        <f aca="false">[5]VENDA!$I$29</f>
        <v>5190300</v>
      </c>
      <c r="M44" s="45"/>
      <c r="N44" s="203" t="n">
        <f aca="false">[5]VENDA!$J$29</f>
        <v>555913</v>
      </c>
      <c r="O44" s="2233" t="n">
        <f aca="false">N44/L44</f>
        <v>0.107106140300175</v>
      </c>
      <c r="P44" s="100"/>
      <c r="Q44" s="2234" t="n">
        <f aca="false">[6]VENDA!$I$30</f>
        <v>5317175</v>
      </c>
      <c r="R44" s="45"/>
      <c r="S44" s="2235" t="n">
        <f aca="false">[6]VENDA!$J$30</f>
        <v>461195.75</v>
      </c>
      <c r="T44" s="2233" t="n">
        <f aca="false">S44/Q44</f>
        <v>0.0867369890966538</v>
      </c>
      <c r="U44" s="100"/>
      <c r="V44" s="2234" t="n">
        <f aca="false">[7]VEND!$I$31</f>
        <v>2946000</v>
      </c>
      <c r="W44" s="100"/>
      <c r="X44" s="203" t="n">
        <f aca="false">[7]VEND!$J$31</f>
        <v>236200</v>
      </c>
      <c r="Y44" s="2233" t="n">
        <f aca="false">X44/V44</f>
        <v>0.0801765105227427</v>
      </c>
      <c r="Z44" s="100"/>
      <c r="AA44" s="2234" t="n">
        <f aca="false">[8]VEND!$I31</f>
        <v>26560</v>
      </c>
      <c r="AB44" s="100"/>
      <c r="AC44" s="203" t="n">
        <f aca="false">[8]VEND!$J31</f>
        <v>14080</v>
      </c>
      <c r="AD44" s="2233" t="n">
        <f aca="false">AC44/AA44</f>
        <v>0.530120481927711</v>
      </c>
      <c r="AE44" s="100"/>
      <c r="AF44" s="2234" t="n">
        <f aca="false">'[9]HIST.'!$AF$39</f>
        <v>0</v>
      </c>
      <c r="AG44" s="100"/>
      <c r="AH44" s="203" t="n">
        <f aca="false">'[9]HIST.'!$AH$39</f>
        <v>0</v>
      </c>
      <c r="AI44" s="2233" t="n">
        <v>0</v>
      </c>
      <c r="AJ44" s="100"/>
      <c r="AK44" s="2234" t="n">
        <f aca="false">'[10]HIST.'!AK40</f>
        <v>2754200</v>
      </c>
      <c r="AL44" s="100"/>
      <c r="AM44" s="203" t="n">
        <f aca="false">'[10]HIST.'!AM40</f>
        <v>200832</v>
      </c>
      <c r="AN44" s="2233" t="n">
        <v>0</v>
      </c>
      <c r="AO44" s="100"/>
      <c r="AP44" s="2234" t="n">
        <f aca="false">'[11]HIST.'!AP41</f>
        <v>3990760</v>
      </c>
      <c r="AQ44" s="100"/>
      <c r="AR44" s="203" t="n">
        <f aca="false">'[11]HIST.'!AR41</f>
        <v>574284.6</v>
      </c>
      <c r="AS44" s="2233" t="n">
        <f aca="false">AR44/AP44</f>
        <v>0.143903567240325</v>
      </c>
      <c r="AT44" s="100"/>
      <c r="AU44" s="2234" t="n">
        <v>5612165</v>
      </c>
      <c r="AV44" s="100"/>
      <c r="AW44" s="203" t="n">
        <v>808575</v>
      </c>
      <c r="AX44" s="2233" t="n">
        <f aca="false">AW44/AU44</f>
        <v>0.144075414746359</v>
      </c>
      <c r="AY44" s="100"/>
      <c r="AZ44" s="2236" t="n">
        <f aca="false">[13]VENDA!J92+[13]VENDA!J94+[13]VENDA!J95+[13]VENDA!J93</f>
        <v>755820</v>
      </c>
      <c r="BA44" s="98"/>
      <c r="BB44" s="2237" t="n">
        <f aca="false">[13]VENDA!K92+[13]VENDA!K94+[13]VENDA!K95+[13]VENDA!K93</f>
        <v>290815</v>
      </c>
      <c r="BC44" s="2233" t="n">
        <f aca="false">BB44/AZ44</f>
        <v>0.384767537244317</v>
      </c>
      <c r="BD44" s="2257"/>
      <c r="BE44" s="2236" t="n">
        <f aca="false">VEN!K92+VEN!K94+VEN!K95+VEN!K93</f>
        <v>92494.5</v>
      </c>
      <c r="BF44" s="98"/>
      <c r="BG44" s="2237" t="n">
        <f aca="false">VEN!L92+VEN!L94+VEN!L95+VEN!L93</f>
        <v>29692.5</v>
      </c>
      <c r="BH44" s="2233" t="n">
        <f aca="false">BG44/BE44</f>
        <v>0.321019087621426</v>
      </c>
      <c r="BI44" s="2257" t="n">
        <f aca="false">BH44/BH10-1</f>
        <v>0.731677866943416</v>
      </c>
    </row>
    <row r="45" customFormat="false" ht="14.25" hidden="false" customHeight="false" outlineLevel="0" collapsed="false">
      <c r="A45" s="9" t="s">
        <v>11</v>
      </c>
      <c r="B45" s="2232" t="n">
        <f aca="false">'[3]Vendas Real'!$E$32</f>
        <v>0</v>
      </c>
      <c r="C45" s="51"/>
      <c r="D45" s="203" t="n">
        <f aca="false">'[3]Vendas Real'!$F$32</f>
        <v>0</v>
      </c>
      <c r="E45" s="2233" t="n">
        <v>0</v>
      </c>
      <c r="F45" s="100"/>
      <c r="G45" s="2234" t="n">
        <f aca="false">'[4]VR Geral'!$H$33</f>
        <v>850000</v>
      </c>
      <c r="H45" s="45"/>
      <c r="I45" s="410" t="n">
        <f aca="false">'[4]VR Geral'!$I$33</f>
        <v>506250</v>
      </c>
      <c r="J45" s="2233" t="n">
        <f aca="false">I45/G45</f>
        <v>0.595588235294118</v>
      </c>
      <c r="K45" s="100"/>
      <c r="L45" s="2234" t="n">
        <f aca="false">[5]VENDA!$I$30</f>
        <v>1197225</v>
      </c>
      <c r="M45" s="45"/>
      <c r="N45" s="203" t="n">
        <f aca="false">[5]VENDA!$J$30</f>
        <v>810270</v>
      </c>
      <c r="O45" s="2233" t="n">
        <f aca="false">N45/L45</f>
        <v>0.676790077053186</v>
      </c>
      <c r="P45" s="100"/>
      <c r="Q45" s="2234" t="n">
        <f aca="false">[6]VENDA!$I$31</f>
        <v>1137960</v>
      </c>
      <c r="R45" s="45"/>
      <c r="S45" s="2235" t="n">
        <f aca="false">[6]VENDA!$J$31</f>
        <v>856736.5</v>
      </c>
      <c r="T45" s="2233" t="n">
        <f aca="false">S45/Q45</f>
        <v>0.752870487539105</v>
      </c>
      <c r="U45" s="100"/>
      <c r="V45" s="2234" t="n">
        <f aca="false">[7]VEND!$I$32</f>
        <v>1776300</v>
      </c>
      <c r="W45" s="100"/>
      <c r="X45" s="203" t="n">
        <f aca="false">[7]VEND!$J$32</f>
        <v>1215608</v>
      </c>
      <c r="Y45" s="2233" t="n">
        <f aca="false">X45/V45</f>
        <v>0.684348364578056</v>
      </c>
      <c r="Z45" s="100"/>
      <c r="AA45" s="2234" t="n">
        <f aca="false">[8]VEND!$I32</f>
        <v>242000</v>
      </c>
      <c r="AB45" s="100"/>
      <c r="AC45" s="203" t="n">
        <f aca="false">[8]VEND!$J32</f>
        <v>191000</v>
      </c>
      <c r="AD45" s="2233" t="n">
        <f aca="false">AC45/AA45</f>
        <v>0.789256198347108</v>
      </c>
      <c r="AE45" s="100"/>
      <c r="AF45" s="2234" t="n">
        <f aca="false">'[9]HIST.'!$AF$40</f>
        <v>805340</v>
      </c>
      <c r="AG45" s="100"/>
      <c r="AH45" s="203" t="n">
        <f aca="false">'[9]HIST.'!$AH$40</f>
        <v>588771.5</v>
      </c>
      <c r="AI45" s="2233" t="n">
        <f aca="false">AH45/AF45</f>
        <v>0.731084386718653</v>
      </c>
      <c r="AJ45" s="100"/>
      <c r="AK45" s="2234" t="n">
        <f aca="false">'[10]HIST.'!AK41</f>
        <v>844200</v>
      </c>
      <c r="AL45" s="100"/>
      <c r="AM45" s="203" t="n">
        <f aca="false">'[10]HIST.'!AM41</f>
        <v>857340</v>
      </c>
      <c r="AN45" s="2233" t="n">
        <f aca="false">AM45/AK45</f>
        <v>1.01556503198294</v>
      </c>
      <c r="AO45" s="100"/>
      <c r="AP45" s="2234" t="n">
        <f aca="false">'[11]HIST.'!AP42</f>
        <v>308980</v>
      </c>
      <c r="AQ45" s="100"/>
      <c r="AR45" s="203" t="n">
        <f aca="false">'[11]HIST.'!AR42</f>
        <v>761120</v>
      </c>
      <c r="AS45" s="2233" t="n">
        <f aca="false">AR45/AP45</f>
        <v>2.46333095993268</v>
      </c>
      <c r="AT45" s="100"/>
      <c r="AU45" s="2234" t="n">
        <v>197960</v>
      </c>
      <c r="AV45" s="100"/>
      <c r="AW45" s="203" t="n">
        <v>438845</v>
      </c>
      <c r="AX45" s="2233" t="n">
        <f aca="false">AW45/AU45</f>
        <v>2.21683673469388</v>
      </c>
      <c r="AY45" s="100"/>
      <c r="AZ45" s="2236" t="n">
        <f aca="false">[13]VENDA!J96+[13]VENDA!J97+[13]VENDA!J98</f>
        <v>560070</v>
      </c>
      <c r="BA45" s="98"/>
      <c r="BB45" s="2237" t="n">
        <f aca="false">[13]VENDA!K96+[13]VENDA!K97+[13]VENDA!K98</f>
        <v>1400575.05</v>
      </c>
      <c r="BC45" s="2233" t="n">
        <f aca="false">BB45/AZ45</f>
        <v>2.50071428571429</v>
      </c>
      <c r="BD45" s="2257"/>
      <c r="BE45" s="2236" t="n">
        <f aca="false">VEN!K96+VEN!K97+VEN!K98</f>
        <v>59640</v>
      </c>
      <c r="BF45" s="98"/>
      <c r="BG45" s="2237" t="n">
        <f aca="false">VEN!L96+VEN!L97+VEN!L98</f>
        <v>213000</v>
      </c>
      <c r="BH45" s="2233" t="n">
        <f aca="false">BG45/BE45</f>
        <v>3.57142857142857</v>
      </c>
      <c r="BI45" s="2257" t="n">
        <f aca="false">BH45/BH11-1</f>
        <v>-0.0645446973516687</v>
      </c>
    </row>
    <row r="46" customFormat="false" ht="14.25" hidden="false" customHeight="false" outlineLevel="0" collapsed="false">
      <c r="A46" s="9" t="s">
        <v>12</v>
      </c>
      <c r="B46" s="2238" t="n">
        <f aca="false">'[3]Vendas Real'!$E$33</f>
        <v>0</v>
      </c>
      <c r="C46" s="390"/>
      <c r="D46" s="410" t="n">
        <f aca="false">'[3]Vendas Real'!$F$33</f>
        <v>0</v>
      </c>
      <c r="E46" s="2233" t="n">
        <v>0</v>
      </c>
      <c r="F46" s="100"/>
      <c r="G46" s="2234" t="n">
        <f aca="false">'[4]VR Geral'!$H$34</f>
        <v>988800</v>
      </c>
      <c r="H46" s="45"/>
      <c r="I46" s="410" t="n">
        <f aca="false">'[4]VR Geral'!$I$34</f>
        <v>404480</v>
      </c>
      <c r="J46" s="2233" t="n">
        <f aca="false">I46/G46</f>
        <v>0.409061488673139</v>
      </c>
      <c r="K46" s="100"/>
      <c r="L46" s="2234" t="n">
        <f aca="false">[5]VENDA!$I$31</f>
        <v>985200</v>
      </c>
      <c r="M46" s="45"/>
      <c r="N46" s="203" t="n">
        <f aca="false">[5]VENDA!$J$31</f>
        <v>376811.29</v>
      </c>
      <c r="O46" s="2233" t="n">
        <f aca="false">N46/L46</f>
        <v>0.382471873731222</v>
      </c>
      <c r="P46" s="100"/>
      <c r="Q46" s="2234" t="n">
        <f aca="false">[6]VENDA!$I$32</f>
        <v>257430</v>
      </c>
      <c r="R46" s="45"/>
      <c r="S46" s="2235" t="n">
        <f aca="false">[6]VENDA!$J$32</f>
        <v>143109.1</v>
      </c>
      <c r="T46" s="2233" t="n">
        <f aca="false">S46/Q46</f>
        <v>0.55591461756594</v>
      </c>
      <c r="U46" s="100"/>
      <c r="V46" s="2234" t="n">
        <f aca="false">[7]VEND!$I$33</f>
        <v>561300</v>
      </c>
      <c r="W46" s="100"/>
      <c r="X46" s="203" t="n">
        <f aca="false">[7]VEND!$J$33</f>
        <v>190996</v>
      </c>
      <c r="Y46" s="2233" t="n">
        <f aca="false">X46/V46</f>
        <v>0.340274363085694</v>
      </c>
      <c r="Z46" s="100"/>
      <c r="AA46" s="2234" t="n">
        <f aca="false">[8]VEND!$I33</f>
        <v>1199600</v>
      </c>
      <c r="AB46" s="100"/>
      <c r="AC46" s="203" t="n">
        <f aca="false">[8]VEND!$J33</f>
        <v>376500</v>
      </c>
      <c r="AD46" s="2233" t="n">
        <f aca="false">AC46/AA46</f>
        <v>0.313854618206069</v>
      </c>
      <c r="AE46" s="100"/>
      <c r="AF46" s="2234" t="n">
        <f aca="false">'[9]HIST.'!$AF$41</f>
        <v>1176173</v>
      </c>
      <c r="AG46" s="100"/>
      <c r="AH46" s="203" t="n">
        <f aca="false">'[9]HIST.'!$AH$41</f>
        <v>478400</v>
      </c>
      <c r="AI46" s="2233" t="n">
        <f aca="false">AH46/AF46</f>
        <v>0.406742885612916</v>
      </c>
      <c r="AJ46" s="100"/>
      <c r="AK46" s="2234" t="n">
        <f aca="false">'[10]HIST.'!AK42</f>
        <v>628500</v>
      </c>
      <c r="AL46" s="100"/>
      <c r="AM46" s="203" t="n">
        <f aca="false">'[10]HIST.'!AM42</f>
        <v>408000</v>
      </c>
      <c r="AN46" s="2233" t="n">
        <f aca="false">AM46/AK46</f>
        <v>0.649164677804296</v>
      </c>
      <c r="AO46" s="100"/>
      <c r="AP46" s="2234" t="n">
        <f aca="false">'[11]HIST.'!AP43</f>
        <v>853650</v>
      </c>
      <c r="AQ46" s="100"/>
      <c r="AR46" s="203" t="n">
        <f aca="false">'[11]HIST.'!AR43</f>
        <v>688874</v>
      </c>
      <c r="AS46" s="2233" t="n">
        <f aca="false">AR46/AP46</f>
        <v>0.80697475546184</v>
      </c>
      <c r="AT46" s="100"/>
      <c r="AU46" s="2234" t="n">
        <v>246225</v>
      </c>
      <c r="AV46" s="100"/>
      <c r="AW46" s="203" t="n">
        <v>229450</v>
      </c>
      <c r="AX46" s="2233" t="n">
        <f aca="false">AW46/AU46</f>
        <v>0.931871255965073</v>
      </c>
      <c r="AY46" s="100"/>
      <c r="AZ46" s="2236" t="n">
        <f aca="false">[13]VENDA!J99+[13]VENDA!J101+[13]VENDA!J102+[13]VENDA!J100</f>
        <v>604000</v>
      </c>
      <c r="BA46" s="98"/>
      <c r="BB46" s="2237" t="n">
        <f aca="false">[13]VENDA!K99+[13]VENDA!K101+[13]VENDA!K102+[13]VENDA!K100</f>
        <v>609200</v>
      </c>
      <c r="BC46" s="2233" t="n">
        <f aca="false">BB46/AZ46</f>
        <v>1.00860927152318</v>
      </c>
      <c r="BD46" s="2257"/>
      <c r="BE46" s="2236" t="n">
        <f aca="false">VEN!K99+VEN!K101+VEN!K102+VEN!K100</f>
        <v>0</v>
      </c>
      <c r="BF46" s="98"/>
      <c r="BG46" s="2237" t="n">
        <f aca="false">VEN!L99+VEN!L101+VEN!L102+VEN!L100</f>
        <v>0</v>
      </c>
      <c r="BH46" s="2233" t="e">
        <f aca="false">BG46/BE46</f>
        <v>#DIV/0!</v>
      </c>
      <c r="BI46" s="2257" t="e">
        <f aca="false">BH46/BH12-1</f>
        <v>#DIV/0!</v>
      </c>
    </row>
    <row r="47" customFormat="false" ht="14.25" hidden="false" customHeight="false" outlineLevel="0" collapsed="false">
      <c r="A47" s="9" t="s">
        <v>13</v>
      </c>
      <c r="B47" s="2238" t="n">
        <f aca="false">'[3]Vendas Real'!$E$23</f>
        <v>0</v>
      </c>
      <c r="C47" s="390"/>
      <c r="D47" s="410" t="n">
        <f aca="false">'[3]Vendas Real'!$F$23</f>
        <v>0</v>
      </c>
      <c r="E47" s="2233" t="n">
        <v>0</v>
      </c>
      <c r="F47" s="100"/>
      <c r="G47" s="2234" t="n">
        <f aca="false">'[4]VR Geral'!$H$24</f>
        <v>2107575</v>
      </c>
      <c r="H47" s="45"/>
      <c r="I47" s="410" t="n">
        <f aca="false">'[4]VR Geral'!$I$24</f>
        <v>463444</v>
      </c>
      <c r="J47" s="2233" t="n">
        <f aca="false">I47/G47</f>
        <v>0.219894428430779</v>
      </c>
      <c r="K47" s="100"/>
      <c r="L47" s="2234" t="n">
        <f aca="false">[5]VENDA!$I$32</f>
        <v>3543200</v>
      </c>
      <c r="M47" s="45"/>
      <c r="N47" s="203" t="n">
        <f aca="false">[5]VENDA!$J$32</f>
        <v>615729.78</v>
      </c>
      <c r="O47" s="2233" t="n">
        <f aca="false">N47/L47</f>
        <v>0.173777878753669</v>
      </c>
      <c r="P47" s="100"/>
      <c r="Q47" s="2234" t="n">
        <f aca="false">[6]VENDA!$I$33</f>
        <v>3054000</v>
      </c>
      <c r="R47" s="45"/>
      <c r="S47" s="2235" t="n">
        <f aca="false">[6]VENDA!$J$33</f>
        <v>508530</v>
      </c>
      <c r="T47" s="2233" t="n">
        <f aca="false">S47/Q47</f>
        <v>0.166512770137525</v>
      </c>
      <c r="U47" s="100"/>
      <c r="V47" s="2234" t="n">
        <f aca="false">[7]VEND!$I$34</f>
        <v>4551275</v>
      </c>
      <c r="W47" s="100"/>
      <c r="X47" s="203" t="n">
        <f aca="false">[7]VEND!$J$34</f>
        <v>869110</v>
      </c>
      <c r="Y47" s="2233" t="n">
        <f aca="false">X47/V47</f>
        <v>0.19095967613471</v>
      </c>
      <c r="Z47" s="100"/>
      <c r="AA47" s="2234" t="n">
        <f aca="false">[8]VEND!$I34</f>
        <v>2178375</v>
      </c>
      <c r="AB47" s="100"/>
      <c r="AC47" s="203" t="n">
        <f aca="false">[8]VEND!$J34</f>
        <v>689500</v>
      </c>
      <c r="AD47" s="2233" t="n">
        <f aca="false">AC47/AA47</f>
        <v>0.316520341998049</v>
      </c>
      <c r="AE47" s="100"/>
      <c r="AF47" s="2234" t="n">
        <f aca="false">'[9]HIST.'!$AF$42</f>
        <v>3119025</v>
      </c>
      <c r="AG47" s="100"/>
      <c r="AH47" s="203" t="n">
        <f aca="false">'[9]HIST.'!$AH$42</f>
        <v>869600</v>
      </c>
      <c r="AI47" s="2233" t="n">
        <f aca="false">AH47/AF47</f>
        <v>0.278805075303981</v>
      </c>
      <c r="AJ47" s="100"/>
      <c r="AK47" s="2234" t="n">
        <f aca="false">'[10]HIST.'!AK43</f>
        <v>849700</v>
      </c>
      <c r="AL47" s="100"/>
      <c r="AM47" s="203" t="n">
        <f aca="false">'[10]HIST.'!AM43</f>
        <v>239410</v>
      </c>
      <c r="AN47" s="2233" t="n">
        <f aca="false">AM47/AK47</f>
        <v>0.281758267623867</v>
      </c>
      <c r="AO47" s="100"/>
      <c r="AP47" s="2234" t="n">
        <f aca="false">'[11]HIST.'!AP44</f>
        <v>3376540</v>
      </c>
      <c r="AQ47" s="100"/>
      <c r="AR47" s="203" t="n">
        <f aca="false">'[11]HIST.'!AR44</f>
        <v>732500</v>
      </c>
      <c r="AS47" s="2233" t="n">
        <f aca="false">AR47/AP47</f>
        <v>0.216938049008749</v>
      </c>
      <c r="AT47" s="100"/>
      <c r="AU47" s="2234" t="n">
        <v>2132195</v>
      </c>
      <c r="AV47" s="100"/>
      <c r="AW47" s="203" t="n">
        <v>620835.05</v>
      </c>
      <c r="AX47" s="2233" t="n">
        <f aca="false">AW47/AU47</f>
        <v>0.291171797138629</v>
      </c>
      <c r="AY47" s="100"/>
      <c r="AZ47" s="2236" t="n">
        <f aca="false">[13]VENDA!J103+[13]VENDA!J106+[13]VENDA!J107+[13]VENDA!J104++[13]VENDA!J105</f>
        <v>72000</v>
      </c>
      <c r="BA47" s="98"/>
      <c r="BB47" s="2237" t="n">
        <f aca="false">[13]VENDA!K103+[13]VENDA!K106+[13]VENDA!K107+[13]VENDA!K104+[13]VENDA!K105</f>
        <v>75150</v>
      </c>
      <c r="BC47" s="2233" t="n">
        <f aca="false">BB47/AZ47</f>
        <v>1.04375</v>
      </c>
      <c r="BD47" s="2257"/>
      <c r="BE47" s="2236" t="n">
        <f aca="false">VEN!K103+VEN!K106+VEN!K107+VEN!K104++VEN!K105</f>
        <v>283500</v>
      </c>
      <c r="BF47" s="98"/>
      <c r="BG47" s="2237" t="n">
        <f aca="false">VEN!L103+VEN!L106+VEN!L107+VEN!L104+VEN!L105</f>
        <v>115920</v>
      </c>
      <c r="BH47" s="2233" t="n">
        <f aca="false">BG47/BE47</f>
        <v>0.408888888888889</v>
      </c>
      <c r="BI47" s="2257"/>
    </row>
    <row r="48" customFormat="false" ht="14.25" hidden="false" customHeight="false" outlineLevel="0" collapsed="false">
      <c r="A48" s="9" t="s">
        <v>14</v>
      </c>
      <c r="B48" s="2238" t="n">
        <f aca="false">'[3]Vendas Real'!$E$22</f>
        <v>0</v>
      </c>
      <c r="C48" s="390"/>
      <c r="D48" s="410" t="n">
        <f aca="false">'[3]Vendas Real'!$F$22</f>
        <v>0</v>
      </c>
      <c r="E48" s="2233" t="n">
        <v>0</v>
      </c>
      <c r="F48" s="100"/>
      <c r="G48" s="2234" t="n">
        <f aca="false">'[4]VR Geral'!$H$23</f>
        <v>519325</v>
      </c>
      <c r="H48" s="45"/>
      <c r="I48" s="410" t="n">
        <f aca="false">'[4]VR Geral'!$I$23</f>
        <v>89708</v>
      </c>
      <c r="J48" s="2233" t="n">
        <f aca="false">I48/G48</f>
        <v>0.172739613921918</v>
      </c>
      <c r="K48" s="100"/>
      <c r="L48" s="2234" t="n">
        <f aca="false">[5]VENDA!$I$33</f>
        <v>226000</v>
      </c>
      <c r="M48" s="45"/>
      <c r="N48" s="203" t="n">
        <f aca="false">[5]VENDA!$J$33</f>
        <v>37786.29</v>
      </c>
      <c r="O48" s="2233" t="n">
        <f aca="false">N48/L48</f>
        <v>0.167195973451327</v>
      </c>
      <c r="P48" s="100"/>
      <c r="Q48" s="2234" t="n">
        <f aca="false">[6]VENDA!$I$34</f>
        <v>435300</v>
      </c>
      <c r="R48" s="45"/>
      <c r="S48" s="2235" t="n">
        <f aca="false">[6]VENDA!$J$34</f>
        <v>74500</v>
      </c>
      <c r="T48" s="2233" t="n">
        <f aca="false">S48/Q48</f>
        <v>0.171146335860326</v>
      </c>
      <c r="U48" s="100"/>
      <c r="V48" s="2234" t="n">
        <f aca="false">[7]VEND!$I$35</f>
        <v>0</v>
      </c>
      <c r="W48" s="100"/>
      <c r="X48" s="203" t="n">
        <f aca="false">[7]VEND!$J$35</f>
        <v>0</v>
      </c>
      <c r="Y48" s="2233" t="n">
        <v>0</v>
      </c>
      <c r="Z48" s="100"/>
      <c r="AA48" s="2234" t="n">
        <f aca="false">[8]VEND!$I35</f>
        <v>0</v>
      </c>
      <c r="AB48" s="100"/>
      <c r="AC48" s="203" t="n">
        <f aca="false">[8]VEND!$J35</f>
        <v>0</v>
      </c>
      <c r="AD48" s="2233" t="n">
        <v>0</v>
      </c>
      <c r="AE48" s="100"/>
      <c r="AF48" s="2234" t="n">
        <f aca="false">'[9]HIST.'!$AF$43</f>
        <v>0</v>
      </c>
      <c r="AG48" s="100"/>
      <c r="AH48" s="203" t="n">
        <f aca="false">'[9]HIST.'!$AH$43</f>
        <v>0</v>
      </c>
      <c r="AI48" s="2233" t="n">
        <v>0</v>
      </c>
      <c r="AJ48" s="100"/>
      <c r="AK48" s="2234" t="n">
        <f aca="false">'[10]HIST.'!AK44</f>
        <v>0</v>
      </c>
      <c r="AL48" s="100"/>
      <c r="AM48" s="203" t="n">
        <f aca="false">'[10]HIST.'!AM44</f>
        <v>0</v>
      </c>
      <c r="AN48" s="2233" t="n">
        <v>0</v>
      </c>
      <c r="AO48" s="100"/>
      <c r="AP48" s="2234" t="n">
        <f aca="false">'[11]HIST.'!AP45</f>
        <v>0</v>
      </c>
      <c r="AQ48" s="100"/>
      <c r="AR48" s="203" t="n">
        <f aca="false">'[11]HIST.'!AR45</f>
        <v>0</v>
      </c>
      <c r="AS48" s="2233" t="n">
        <v>0</v>
      </c>
      <c r="AT48" s="100"/>
      <c r="AU48" s="2234" t="n">
        <v>0</v>
      </c>
      <c r="AV48" s="100"/>
      <c r="AW48" s="203" t="n">
        <v>0</v>
      </c>
      <c r="AX48" s="2233" t="n">
        <v>0</v>
      </c>
      <c r="AY48" s="100"/>
      <c r="AZ48" s="2236" t="n">
        <f aca="false">[13]VENDA!J108</f>
        <v>0</v>
      </c>
      <c r="BA48" s="98"/>
      <c r="BB48" s="2237" t="n">
        <f aca="false">[13]VENDA!K108</f>
        <v>0</v>
      </c>
      <c r="BC48" s="2233" t="n">
        <v>0</v>
      </c>
      <c r="BD48" s="2257"/>
      <c r="BE48" s="2236" t="n">
        <f aca="false">VEN!K108</f>
        <v>0</v>
      </c>
      <c r="BF48" s="98"/>
      <c r="BG48" s="2237" t="n">
        <f aca="false">VEN!L108</f>
        <v>0</v>
      </c>
      <c r="BH48" s="2233" t="e">
        <f aca="false">BG48/BE48</f>
        <v>#DIV/0!</v>
      </c>
      <c r="BI48" s="2257"/>
    </row>
    <row r="49" customFormat="false" ht="14.25" hidden="false" customHeight="false" outlineLevel="0" collapsed="false">
      <c r="A49" s="9" t="s">
        <v>15</v>
      </c>
      <c r="B49" s="2238" t="n">
        <f aca="false">'[3]Vendas Real'!$E$24</f>
        <v>0</v>
      </c>
      <c r="C49" s="390"/>
      <c r="D49" s="410" t="n">
        <f aca="false">'[3]Vendas Real'!$F$24</f>
        <v>0</v>
      </c>
      <c r="E49" s="2233" t="n">
        <v>0</v>
      </c>
      <c r="F49" s="100"/>
      <c r="G49" s="2234" t="n">
        <f aca="false">'[4]VR Geral'!$H$25</f>
        <v>228800</v>
      </c>
      <c r="H49" s="45"/>
      <c r="I49" s="410" t="n">
        <f aca="false">'[4]VR Geral'!$I$25</f>
        <v>116600</v>
      </c>
      <c r="J49" s="2233" t="n">
        <f aca="false">I49/G49</f>
        <v>0.509615384615385</v>
      </c>
      <c r="K49" s="100"/>
      <c r="L49" s="2234" t="n">
        <f aca="false">[5]VENDA!$I$34</f>
        <v>872000</v>
      </c>
      <c r="M49" s="45"/>
      <c r="N49" s="203" t="n">
        <f aca="false">[5]VENDA!$J$34</f>
        <v>281057.65</v>
      </c>
      <c r="O49" s="2233" t="n">
        <f aca="false">N49/L49</f>
        <v>0.32231381880734</v>
      </c>
      <c r="P49" s="100"/>
      <c r="Q49" s="2234" t="n">
        <f aca="false">[6]VENDA!$I$35</f>
        <v>675300</v>
      </c>
      <c r="R49" s="45"/>
      <c r="S49" s="2235" t="n">
        <f aca="false">[6]VENDA!$J$35</f>
        <v>167912.5</v>
      </c>
      <c r="T49" s="2233" t="n">
        <f aca="false">S49/Q49</f>
        <v>0.24864874870428</v>
      </c>
      <c r="U49" s="100"/>
      <c r="V49" s="2234" t="n">
        <f aca="false">[7]VEND!$I$36</f>
        <v>499100</v>
      </c>
      <c r="W49" s="100"/>
      <c r="X49" s="203" t="n">
        <f aca="false">[7]VEND!$J$36</f>
        <v>150834</v>
      </c>
      <c r="Y49" s="2233" t="n">
        <f aca="false">X49/V49</f>
        <v>0.30221198156682</v>
      </c>
      <c r="Z49" s="100"/>
      <c r="AA49" s="2234" t="n">
        <f aca="false">[8]VEND!$I36</f>
        <v>196911</v>
      </c>
      <c r="AB49" s="100"/>
      <c r="AC49" s="203" t="n">
        <f aca="false">[8]VEND!$J36</f>
        <v>98010</v>
      </c>
      <c r="AD49" s="2233" t="n">
        <f aca="false">AC49/AA49</f>
        <v>0.497737556561086</v>
      </c>
      <c r="AE49" s="100"/>
      <c r="AF49" s="2234" t="n">
        <f aca="false">'[9]HIST.'!$AF$44</f>
        <v>0</v>
      </c>
      <c r="AG49" s="100"/>
      <c r="AH49" s="203" t="n">
        <f aca="false">'[9]HIST.'!$AH$44</f>
        <v>0</v>
      </c>
      <c r="AI49" s="2233" t="n">
        <v>0</v>
      </c>
      <c r="AJ49" s="100"/>
      <c r="AK49" s="2234" t="n">
        <f aca="false">'[10]HIST.'!AK45</f>
        <v>110500</v>
      </c>
      <c r="AL49" s="100"/>
      <c r="AM49" s="203" t="n">
        <f aca="false">'[10]HIST.'!AM45</f>
        <v>55300</v>
      </c>
      <c r="AN49" s="2233" t="n">
        <v>0</v>
      </c>
      <c r="AO49" s="100"/>
      <c r="AP49" s="2234" t="n">
        <f aca="false">'[11]HIST.'!AP46</f>
        <v>828190</v>
      </c>
      <c r="AQ49" s="100"/>
      <c r="AR49" s="203" t="n">
        <f aca="false">'[11]HIST.'!AR46</f>
        <v>200753.5</v>
      </c>
      <c r="AS49" s="2233" t="n">
        <f aca="false">AR49/AP49</f>
        <v>0.242400294618385</v>
      </c>
      <c r="AT49" s="100"/>
      <c r="AU49" s="2234" t="n">
        <v>13205</v>
      </c>
      <c r="AV49" s="100"/>
      <c r="AW49" s="203" t="n">
        <v>10985.5</v>
      </c>
      <c r="AX49" s="2233" t="n">
        <f aca="false">AW49/AU49</f>
        <v>0.831919727375994</v>
      </c>
      <c r="AY49" s="100"/>
      <c r="AZ49" s="2236" t="n">
        <f aca="false">[13]VENDA!J109+[13]VENDA!J112+[13]VENDA!J113+[13]VENDA!J110+[13]VENDA!J111</f>
        <v>54000</v>
      </c>
      <c r="BA49" s="98"/>
      <c r="BB49" s="2237" t="n">
        <f aca="false">[13]VENDA!K109+[13]VENDA!K112+[13]VENDA!K113+[13]VENDA!K110+[13]VENDA!K111</f>
        <v>117000</v>
      </c>
      <c r="BC49" s="2233" t="n">
        <f aca="false">BB49/AZ49</f>
        <v>2.16666666666667</v>
      </c>
      <c r="BD49" s="2260"/>
      <c r="BE49" s="2236" t="n">
        <f aca="false">VEN!K109+VEN!K112+VEN!K113+VEN!K110+VEN!K111</f>
        <v>388462.5</v>
      </c>
      <c r="BF49" s="98"/>
      <c r="BG49" s="2237" t="n">
        <f aca="false">VEN!L109+VEN!L112+VEN!L113+VEN!L110+VEN!L111</f>
        <v>237870</v>
      </c>
      <c r="BH49" s="2233" t="n">
        <f aca="false">BG49/BE49</f>
        <v>0.6123370981755</v>
      </c>
      <c r="BI49" s="2260" t="n">
        <f aca="false">BH49/BH15-1</f>
        <v>0.0271404550924035</v>
      </c>
    </row>
    <row r="50" customFormat="false" ht="14.25" hidden="false" customHeight="false" outlineLevel="0" collapsed="false">
      <c r="A50" s="9" t="s">
        <v>16</v>
      </c>
      <c r="B50" s="2238" t="n">
        <f aca="false">'[3]Vendas Real'!$E$25</f>
        <v>0</v>
      </c>
      <c r="C50" s="390"/>
      <c r="D50" s="410" t="n">
        <f aca="false">'[3]Vendas Real'!$F$25</f>
        <v>0</v>
      </c>
      <c r="E50" s="2233" t="n">
        <v>0</v>
      </c>
      <c r="F50" s="100"/>
      <c r="G50" s="2234" t="n">
        <f aca="false">'[4]VR Geral'!$H$26</f>
        <v>15000</v>
      </c>
      <c r="H50" s="45"/>
      <c r="I50" s="410" t="n">
        <f aca="false">'[4]VR Geral'!$I$26</f>
        <v>4050</v>
      </c>
      <c r="J50" s="2233" t="n">
        <f aca="false">I50/G50</f>
        <v>0.27</v>
      </c>
      <c r="K50" s="100"/>
      <c r="L50" s="2234" t="n">
        <f aca="false">[5]VENDA!$I$35</f>
        <v>0</v>
      </c>
      <c r="M50" s="45"/>
      <c r="N50" s="203" t="n">
        <f aca="false">[5]VENDA!$J$35</f>
        <v>0</v>
      </c>
      <c r="O50" s="2233" t="n">
        <v>0</v>
      </c>
      <c r="P50" s="100"/>
      <c r="Q50" s="2234" t="n">
        <f aca="false">[6]VENDA!$I$36</f>
        <v>0</v>
      </c>
      <c r="R50" s="45"/>
      <c r="S50" s="2235" t="n">
        <f aca="false">[6]VENDA!$J$36</f>
        <v>0</v>
      </c>
      <c r="T50" s="2233" t="n">
        <v>0</v>
      </c>
      <c r="U50" s="100"/>
      <c r="V50" s="2234" t="n">
        <f aca="false">[7]VEND!$I$37</f>
        <v>3300</v>
      </c>
      <c r="W50" s="100"/>
      <c r="X50" s="203" t="n">
        <f aca="false">[7]VEND!$J$37</f>
        <v>870</v>
      </c>
      <c r="Y50" s="2233" t="n">
        <v>0</v>
      </c>
      <c r="Z50" s="100"/>
      <c r="AA50" s="2234" t="n">
        <f aca="false">[8]VEND!$I37</f>
        <v>0</v>
      </c>
      <c r="AB50" s="100"/>
      <c r="AC50" s="203" t="n">
        <f aca="false">[8]VEND!$J37</f>
        <v>0</v>
      </c>
      <c r="AD50" s="2233" t="n">
        <v>0</v>
      </c>
      <c r="AE50" s="100"/>
      <c r="AF50" s="2234" t="n">
        <f aca="false">'[9]HIST.'!$AF$45</f>
        <v>0</v>
      </c>
      <c r="AG50" s="100"/>
      <c r="AH50" s="203" t="n">
        <f aca="false">'[9]HIST.'!$AH$45</f>
        <v>0</v>
      </c>
      <c r="AI50" s="2233" t="n">
        <v>0</v>
      </c>
      <c r="AJ50" s="100"/>
      <c r="AK50" s="2234" t="n">
        <f aca="false">'[10]HIST.'!AK46</f>
        <v>0</v>
      </c>
      <c r="AL50" s="100"/>
      <c r="AM50" s="203" t="n">
        <f aca="false">'[10]HIST.'!AM46</f>
        <v>0</v>
      </c>
      <c r="AN50" s="2233" t="n">
        <v>0</v>
      </c>
      <c r="AO50" s="100"/>
      <c r="AP50" s="2234" t="n">
        <f aca="false">'[11]HIST.'!AP47</f>
        <v>0</v>
      </c>
      <c r="AQ50" s="100"/>
      <c r="AR50" s="203" t="n">
        <f aca="false">'[11]HIST.'!AR47</f>
        <v>0</v>
      </c>
      <c r="AS50" s="2233" t="n">
        <v>0</v>
      </c>
      <c r="AT50" s="100"/>
      <c r="AU50" s="2234" t="n">
        <v>0</v>
      </c>
      <c r="AV50" s="100"/>
      <c r="AW50" s="203" t="n">
        <v>0</v>
      </c>
      <c r="AX50" s="2233" t="n">
        <v>0</v>
      </c>
      <c r="AY50" s="100"/>
      <c r="AZ50" s="2236" t="n">
        <f aca="false">[13]VENDA!J114</f>
        <v>0</v>
      </c>
      <c r="BA50" s="98"/>
      <c r="BB50" s="2237" t="n">
        <f aca="false">[13]VENDA!K114</f>
        <v>0</v>
      </c>
      <c r="BC50" s="2233" t="n">
        <v>0</v>
      </c>
      <c r="BD50" s="2257"/>
      <c r="BE50" s="2236" t="n">
        <f aca="false">VEN!K114</f>
        <v>0</v>
      </c>
      <c r="BF50" s="98"/>
      <c r="BG50" s="2237" t="n">
        <f aca="false">VEN!L114</f>
        <v>0</v>
      </c>
      <c r="BH50" s="2233" t="e">
        <f aca="false">BG50/BE50</f>
        <v>#DIV/0!</v>
      </c>
      <c r="BI50" s="2257"/>
    </row>
    <row r="51" customFormat="false" ht="14.25" hidden="false" customHeight="false" outlineLevel="0" collapsed="false">
      <c r="A51" s="9" t="s">
        <v>17</v>
      </c>
      <c r="B51" s="2238" t="n">
        <v>0</v>
      </c>
      <c r="C51" s="390"/>
      <c r="D51" s="410" t="n">
        <v>0</v>
      </c>
      <c r="E51" s="2233" t="n">
        <v>0</v>
      </c>
      <c r="F51" s="100"/>
      <c r="G51" s="2234" t="n">
        <v>0</v>
      </c>
      <c r="H51" s="45"/>
      <c r="I51" s="410" t="n">
        <v>0</v>
      </c>
      <c r="J51" s="2233" t="n">
        <v>0</v>
      </c>
      <c r="K51" s="100"/>
      <c r="L51" s="2234" t="n">
        <f aca="false">[5]VENDA!$I$36</f>
        <v>0</v>
      </c>
      <c r="M51" s="45"/>
      <c r="N51" s="203" t="n">
        <f aca="false">[5]VENDA!$J$36</f>
        <v>0</v>
      </c>
      <c r="O51" s="2233" t="n">
        <v>0</v>
      </c>
      <c r="P51" s="100"/>
      <c r="Q51" s="2234" t="n">
        <f aca="false">[6]VENDA!$I$37</f>
        <v>43125</v>
      </c>
      <c r="R51" s="45"/>
      <c r="S51" s="2235" t="n">
        <f aca="false">[6]VENDA!$J$37</f>
        <v>9343.75</v>
      </c>
      <c r="T51" s="2233" t="n">
        <f aca="false">S51/Q51</f>
        <v>0.216666666666667</v>
      </c>
      <c r="U51" s="100"/>
      <c r="V51" s="2234" t="n">
        <f aca="false">[7]VEND!$I$38</f>
        <v>687115</v>
      </c>
      <c r="W51" s="100"/>
      <c r="X51" s="203" t="n">
        <f aca="false">[7]VEND!$J$38</f>
        <v>151924</v>
      </c>
      <c r="Y51" s="2233" t="n">
        <f aca="false">X51/V51</f>
        <v>0.221104181978271</v>
      </c>
      <c r="Z51" s="100"/>
      <c r="AA51" s="2234" t="n">
        <f aca="false">[8]VEND!$I38</f>
        <v>238901</v>
      </c>
      <c r="AB51" s="100"/>
      <c r="AC51" s="203" t="n">
        <f aca="false">[8]VEND!$J38</f>
        <v>94175</v>
      </c>
      <c r="AD51" s="2233" t="n">
        <f aca="false">AC51/AA51</f>
        <v>0.394200945161385</v>
      </c>
      <c r="AE51" s="100"/>
      <c r="AF51" s="2234" t="n">
        <f aca="false">'[9]HIST.'!$AF$46</f>
        <v>844210</v>
      </c>
      <c r="AG51" s="100"/>
      <c r="AH51" s="203" t="n">
        <f aca="false">'[9]HIST.'!$AH$46</f>
        <v>316100</v>
      </c>
      <c r="AI51" s="2233" t="n">
        <f aca="false">AH51/AF51</f>
        <v>0.374432901766148</v>
      </c>
      <c r="AJ51" s="100"/>
      <c r="AK51" s="2234" t="n">
        <f aca="false">'[10]HIST.'!AK47</f>
        <v>1350975</v>
      </c>
      <c r="AL51" s="100"/>
      <c r="AM51" s="203" t="n">
        <f aca="false">'[10]HIST.'!AM47</f>
        <v>375827.5</v>
      </c>
      <c r="AN51" s="2233" t="n">
        <f aca="false">AM51/AK51</f>
        <v>0.278189825866504</v>
      </c>
      <c r="AO51" s="100"/>
      <c r="AP51" s="2234" t="n">
        <f aca="false">'[11]HIST.'!AP48</f>
        <v>1674020</v>
      </c>
      <c r="AQ51" s="100"/>
      <c r="AR51" s="203" t="n">
        <f aca="false">'[11]HIST.'!AR48</f>
        <v>419050.85</v>
      </c>
      <c r="AS51" s="2233" t="n">
        <f aca="false">AR51/AP51</f>
        <v>0.250326071373102</v>
      </c>
      <c r="AT51" s="100"/>
      <c r="AU51" s="2234" t="n">
        <v>2138750</v>
      </c>
      <c r="AV51" s="100"/>
      <c r="AW51" s="203" t="n">
        <v>746319</v>
      </c>
      <c r="AX51" s="2233" t="n">
        <f aca="false">AW51/AU51</f>
        <v>0.348951022793688</v>
      </c>
      <c r="AY51" s="100"/>
      <c r="AZ51" s="2236" t="n">
        <f aca="false">[13]VENDA!J116+[13]VENDA!J119+[13]VENDA!J120+[13]VENDA!J117+[13]VENDA!J118</f>
        <v>802800</v>
      </c>
      <c r="BA51" s="98"/>
      <c r="BB51" s="2237" t="n">
        <f aca="false">[13]VENDA!K116+[13]VENDA!K119+[13]VENDA!K120+[13]VENDA!K117+[13]VENDA!K118</f>
        <v>1207338.95</v>
      </c>
      <c r="BC51" s="2233" t="n">
        <f aca="false">BB51/AZ51</f>
        <v>1.50391000249128</v>
      </c>
      <c r="BD51" s="2257"/>
      <c r="BE51" s="2236" t="n">
        <f aca="false">VEN!K115+VEN!K118+VEN!K119+VEN!K116+VEN!K117</f>
        <v>268987.5</v>
      </c>
      <c r="BF51" s="98"/>
      <c r="BG51" s="2237" t="n">
        <f aca="false">VEN!L115+VEN!L118+VEN!L119+VEN!L116+VEN!L117</f>
        <v>135440</v>
      </c>
      <c r="BH51" s="2233" t="n">
        <f aca="false">BG51/BE51</f>
        <v>0.503517821460105</v>
      </c>
      <c r="BI51" s="2257" t="n">
        <f aca="false">BH51/BH17-1</f>
        <v>-0.0352775891166186</v>
      </c>
    </row>
    <row r="52" customFormat="false" ht="14.25" hidden="false" customHeight="false" outlineLevel="0" collapsed="false">
      <c r="A52" s="9" t="s">
        <v>18</v>
      </c>
      <c r="B52" s="2238" t="n">
        <v>0</v>
      </c>
      <c r="C52" s="390"/>
      <c r="D52" s="410" t="n">
        <v>0</v>
      </c>
      <c r="E52" s="2233" t="n">
        <v>0</v>
      </c>
      <c r="F52" s="100"/>
      <c r="G52" s="2234" t="n">
        <v>0</v>
      </c>
      <c r="H52" s="45"/>
      <c r="I52" s="410" t="n">
        <v>0</v>
      </c>
      <c r="J52" s="2233" t="n">
        <v>0</v>
      </c>
      <c r="K52" s="100"/>
      <c r="L52" s="2234" t="n">
        <v>0</v>
      </c>
      <c r="M52" s="45"/>
      <c r="N52" s="203" t="n">
        <v>0</v>
      </c>
      <c r="O52" s="2233" t="n">
        <v>0</v>
      </c>
      <c r="P52" s="100"/>
      <c r="Q52" s="2234" t="n">
        <f aca="false">[6]VENDA!$I$38</f>
        <v>0</v>
      </c>
      <c r="R52" s="45"/>
      <c r="S52" s="2235" t="n">
        <f aca="false">[6]VENDA!$J$38</f>
        <v>0</v>
      </c>
      <c r="T52" s="2233" t="n">
        <v>0</v>
      </c>
      <c r="U52" s="100"/>
      <c r="V52" s="2234" t="n">
        <f aca="false">[7]VEND!$I$39</f>
        <v>90000</v>
      </c>
      <c r="W52" s="100"/>
      <c r="X52" s="203" t="n">
        <f aca="false">[7]VEND!$J$39</f>
        <v>16800</v>
      </c>
      <c r="Y52" s="2233" t="n">
        <v>0</v>
      </c>
      <c r="Z52" s="100"/>
      <c r="AA52" s="2234" t="n">
        <f aca="false">[8]VEND!$I39</f>
        <v>24300</v>
      </c>
      <c r="AB52" s="100"/>
      <c r="AC52" s="203" t="n">
        <f aca="false">[8]VEND!$J39</f>
        <v>15960</v>
      </c>
      <c r="AD52" s="2233" t="n">
        <v>0</v>
      </c>
      <c r="AE52" s="100"/>
      <c r="AF52" s="2234" t="n">
        <f aca="false">'[9]HIST.'!$AF$47</f>
        <v>0</v>
      </c>
      <c r="AG52" s="100"/>
      <c r="AH52" s="203" t="n">
        <f aca="false">'[9]HIST.'!$AH$47</f>
        <v>0</v>
      </c>
      <c r="AI52" s="2233" t="n">
        <v>0</v>
      </c>
      <c r="AJ52" s="100"/>
      <c r="AK52" s="2234" t="n">
        <f aca="false">'[10]HIST.'!AK48</f>
        <v>0</v>
      </c>
      <c r="AL52" s="100"/>
      <c r="AM52" s="203" t="n">
        <f aca="false">'[10]HIST.'!AM48</f>
        <v>0</v>
      </c>
      <c r="AN52" s="2233" t="n">
        <v>0</v>
      </c>
      <c r="AO52" s="100"/>
      <c r="AP52" s="2234" t="n">
        <f aca="false">'[11]HIST.'!AP49</f>
        <v>0</v>
      </c>
      <c r="AQ52" s="100"/>
      <c r="AR52" s="203" t="n">
        <f aca="false">'[11]HIST.'!AR49</f>
        <v>0</v>
      </c>
      <c r="AS52" s="2233" t="n">
        <v>0</v>
      </c>
      <c r="AT52" s="100"/>
      <c r="AU52" s="2234" t="n">
        <v>0</v>
      </c>
      <c r="AV52" s="100"/>
      <c r="AW52" s="203" t="n">
        <v>0</v>
      </c>
      <c r="AX52" s="2233" t="n">
        <v>0</v>
      </c>
      <c r="AY52" s="100"/>
      <c r="AZ52" s="2236" t="n">
        <f aca="false">[13]VENDA!J121</f>
        <v>0</v>
      </c>
      <c r="BA52" s="98"/>
      <c r="BB52" s="2237" t="n">
        <f aca="false">[13]VENDA!K121</f>
        <v>0</v>
      </c>
      <c r="BC52" s="2233" t="n">
        <v>0</v>
      </c>
      <c r="BD52" s="2257"/>
      <c r="BE52" s="2236" t="n">
        <f aca="false">VEN!K122</f>
        <v>9347.4</v>
      </c>
      <c r="BF52" s="98"/>
      <c r="BG52" s="2237" t="n">
        <f aca="false">VEN!L122</f>
        <v>10962</v>
      </c>
      <c r="BH52" s="2233" t="n">
        <f aca="false">BG52/BE52</f>
        <v>1.17273252455228</v>
      </c>
      <c r="BI52" s="2257"/>
    </row>
    <row r="53" customFormat="false" ht="14.25" hidden="false" customHeight="false" outlineLevel="0" collapsed="false">
      <c r="A53" s="9" t="s">
        <v>19</v>
      </c>
      <c r="B53" s="2238" t="n">
        <v>0</v>
      </c>
      <c r="C53" s="390"/>
      <c r="D53" s="410" t="n">
        <v>0</v>
      </c>
      <c r="E53" s="2233" t="n">
        <v>0</v>
      </c>
      <c r="F53" s="100"/>
      <c r="G53" s="2234" t="n">
        <v>0</v>
      </c>
      <c r="H53" s="45"/>
      <c r="I53" s="410" t="n">
        <v>0</v>
      </c>
      <c r="J53" s="2233" t="n">
        <v>0</v>
      </c>
      <c r="K53" s="100"/>
      <c r="L53" s="2234" t="n">
        <v>0</v>
      </c>
      <c r="M53" s="45"/>
      <c r="N53" s="203" t="n">
        <v>0</v>
      </c>
      <c r="O53" s="2233" t="n">
        <v>0</v>
      </c>
      <c r="P53" s="100"/>
      <c r="Q53" s="2234" t="n">
        <v>0</v>
      </c>
      <c r="R53" s="45"/>
      <c r="S53" s="2235" t="n">
        <v>0</v>
      </c>
      <c r="T53" s="2233" t="n">
        <v>0</v>
      </c>
      <c r="U53" s="100"/>
      <c r="V53" s="2234" t="n">
        <f aca="false">[7]VEND!$I$40</f>
        <v>104400</v>
      </c>
      <c r="W53" s="100"/>
      <c r="X53" s="203" t="n">
        <f aca="false">[7]VEND!$J$40</f>
        <v>36169</v>
      </c>
      <c r="Y53" s="2233" t="n">
        <v>0</v>
      </c>
      <c r="Z53" s="100"/>
      <c r="AA53" s="2234" t="n">
        <f aca="false">[8]VEND!$I40</f>
        <v>421889</v>
      </c>
      <c r="AB53" s="100"/>
      <c r="AC53" s="203" t="n">
        <f aca="false">[8]VEND!$J40</f>
        <v>218790</v>
      </c>
      <c r="AD53" s="2233" t="n">
        <v>0</v>
      </c>
      <c r="AE53" s="100"/>
      <c r="AF53" s="2234" t="n">
        <f aca="false">'[9]HIST.'!$AF$48</f>
        <v>331500</v>
      </c>
      <c r="AG53" s="100"/>
      <c r="AH53" s="203" t="n">
        <f aca="false">'[9]HIST.'!$AH$48</f>
        <v>225000</v>
      </c>
      <c r="AI53" s="2233" t="n">
        <f aca="false">AH53/AF53</f>
        <v>0.678733031674208</v>
      </c>
      <c r="AJ53" s="100"/>
      <c r="AK53" s="2234" t="n">
        <f aca="false">'[10]HIST.'!AK49</f>
        <v>442000</v>
      </c>
      <c r="AL53" s="100"/>
      <c r="AM53" s="203" t="n">
        <f aca="false">'[10]HIST.'!AM49</f>
        <v>215000</v>
      </c>
      <c r="AN53" s="2233" t="n">
        <f aca="false">AM53/AK53</f>
        <v>0.486425339366516</v>
      </c>
      <c r="AO53" s="100"/>
      <c r="AP53" s="2234" t="n">
        <f aca="false">'[11]HIST.'!AP50</f>
        <v>316920</v>
      </c>
      <c r="AQ53" s="100"/>
      <c r="AR53" s="203" t="n">
        <f aca="false">'[11]HIST.'!AR50</f>
        <v>131022</v>
      </c>
      <c r="AS53" s="2233" t="n">
        <f aca="false">AR53/AP53</f>
        <v>0.413422945853843</v>
      </c>
      <c r="AT53" s="100"/>
      <c r="AU53" s="2234" t="n">
        <v>420090</v>
      </c>
      <c r="AV53" s="100"/>
      <c r="AW53" s="203" t="n">
        <v>224598</v>
      </c>
      <c r="AX53" s="2233" t="n">
        <f aca="false">AW53/AU53</f>
        <v>0.534642576590731</v>
      </c>
      <c r="AY53" s="100"/>
      <c r="AZ53" s="2236" t="n">
        <f aca="false">[13]VENDA!J124+[13]VENDA!J125+[13]VENDA!J126</f>
        <v>526770</v>
      </c>
      <c r="BA53" s="98"/>
      <c r="BB53" s="2237" t="n">
        <f aca="false">[13]VENDA!K124+[13]VENDA!K125+[13]VENDA!K126</f>
        <v>864702.75</v>
      </c>
      <c r="BC53" s="2233" t="n">
        <f aca="false">BB53/AZ53</f>
        <v>1.64151859445299</v>
      </c>
      <c r="BD53" s="2257"/>
      <c r="BE53" s="2236" t="n">
        <f aca="false">VEN!K123+VEN!K124+VEN!K125</f>
        <v>112725</v>
      </c>
      <c r="BF53" s="98"/>
      <c r="BG53" s="2237" t="n">
        <f aca="false">VEN!L123+VEN!L124+VEN!L125</f>
        <v>77404.5</v>
      </c>
      <c r="BH53" s="2233" t="n">
        <f aca="false">BG53/BE53</f>
        <v>0.686666666666667</v>
      </c>
      <c r="BI53" s="2257" t="n">
        <f aca="false">BH53/BH19-1</f>
        <v>-0.18187258664175</v>
      </c>
    </row>
    <row r="54" customFormat="false" ht="14.25" hidden="false" customHeight="false" outlineLevel="0" collapsed="false">
      <c r="A54" s="9" t="s">
        <v>3673</v>
      </c>
      <c r="B54" s="2238" t="n">
        <v>0</v>
      </c>
      <c r="C54" s="390"/>
      <c r="D54" s="410" t="n">
        <v>0</v>
      </c>
      <c r="E54" s="2233" t="n">
        <v>0</v>
      </c>
      <c r="F54" s="100"/>
      <c r="G54" s="2234" t="n">
        <v>0</v>
      </c>
      <c r="H54" s="45"/>
      <c r="I54" s="410" t="n">
        <v>0</v>
      </c>
      <c r="J54" s="2233" t="n">
        <v>0</v>
      </c>
      <c r="K54" s="100"/>
      <c r="L54" s="2234" t="n">
        <v>0</v>
      </c>
      <c r="M54" s="45"/>
      <c r="N54" s="203" t="n">
        <v>0</v>
      </c>
      <c r="O54" s="2233" t="n">
        <v>0</v>
      </c>
      <c r="P54" s="100"/>
      <c r="Q54" s="2234" t="n">
        <v>0</v>
      </c>
      <c r="R54" s="45"/>
      <c r="S54" s="2235" t="n">
        <v>0</v>
      </c>
      <c r="T54" s="2233" t="n">
        <v>0</v>
      </c>
      <c r="U54" s="100"/>
      <c r="V54" s="2234" t="n">
        <v>0</v>
      </c>
      <c r="W54" s="100"/>
      <c r="X54" s="203" t="n">
        <v>0</v>
      </c>
      <c r="Y54" s="2233" t="n">
        <v>0</v>
      </c>
      <c r="Z54" s="100"/>
      <c r="AA54" s="2234" t="n">
        <v>0</v>
      </c>
      <c r="AB54" s="100"/>
      <c r="AC54" s="203" t="n">
        <v>0</v>
      </c>
      <c r="AD54" s="2233" t="n">
        <v>0</v>
      </c>
      <c r="AE54" s="100"/>
      <c r="AF54" s="2234" t="n">
        <f aca="false">'[9]HIST.'!$AF$49</f>
        <v>0</v>
      </c>
      <c r="AG54" s="100"/>
      <c r="AH54" s="203" t="n">
        <f aca="false">'[9]HIST.'!$AH$49</f>
        <v>0</v>
      </c>
      <c r="AI54" s="2233" t="n">
        <v>0</v>
      </c>
      <c r="AJ54" s="100"/>
      <c r="AK54" s="2234" t="n">
        <f aca="false">'[10]HIST.'!AK50</f>
        <v>0</v>
      </c>
      <c r="AL54" s="100"/>
      <c r="AM54" s="203" t="n">
        <f aca="false">'[10]HIST.'!AM50</f>
        <v>0</v>
      </c>
      <c r="AN54" s="2233" t="n">
        <v>0</v>
      </c>
      <c r="AO54" s="100"/>
      <c r="AP54" s="2234" t="n">
        <f aca="false">'[11]HIST.'!AP51</f>
        <v>101640</v>
      </c>
      <c r="AQ54" s="100"/>
      <c r="AR54" s="203" t="n">
        <f aca="false">'[11]HIST.'!AR51</f>
        <v>46236.8</v>
      </c>
      <c r="AS54" s="2233" t="n">
        <f aca="false">AR54/AP54</f>
        <v>0.454907516725699</v>
      </c>
      <c r="AT54" s="100"/>
      <c r="AU54" s="2234" t="n">
        <v>152040</v>
      </c>
      <c r="AV54" s="100"/>
      <c r="AW54" s="203" t="n">
        <v>87257</v>
      </c>
      <c r="AX54" s="2233" t="n">
        <f aca="false">AW54/AU54</f>
        <v>0.573908182057353</v>
      </c>
      <c r="AY54" s="100"/>
      <c r="AZ54" s="2236" t="n">
        <f aca="false">[13]VENDA!J127</f>
        <v>3240</v>
      </c>
      <c r="BA54" s="98"/>
      <c r="BB54" s="2237" t="n">
        <f aca="false">[13]VENDA!K127</f>
        <v>3825.6</v>
      </c>
      <c r="BC54" s="2233" t="n">
        <f aca="false">BB54/AZ54</f>
        <v>1.18074074074074</v>
      </c>
      <c r="BD54" s="2257"/>
      <c r="BE54" s="2236" t="n">
        <f aca="false">VEN!K126</f>
        <v>0</v>
      </c>
      <c r="BF54" s="98"/>
      <c r="BG54" s="2237" t="n">
        <f aca="false">VEN!L126</f>
        <v>0</v>
      </c>
      <c r="BH54" s="2233" t="e">
        <f aca="false">BG54/BE54</f>
        <v>#DIV/0!</v>
      </c>
      <c r="BI54" s="2257" t="e">
        <f aca="false">BH54/BH20-1</f>
        <v>#DIV/0!</v>
      </c>
    </row>
    <row r="55" customFormat="false" ht="14.25" hidden="false" customHeight="false" outlineLevel="0" collapsed="false">
      <c r="A55" s="9" t="s">
        <v>22</v>
      </c>
      <c r="B55" s="2238" t="n">
        <v>0</v>
      </c>
      <c r="C55" s="390"/>
      <c r="D55" s="410" t="n">
        <v>0</v>
      </c>
      <c r="E55" s="2233" t="n">
        <v>0</v>
      </c>
      <c r="F55" s="100"/>
      <c r="G55" s="2234" t="n">
        <v>0</v>
      </c>
      <c r="H55" s="45"/>
      <c r="I55" s="410" t="n">
        <v>0</v>
      </c>
      <c r="J55" s="2233" t="n">
        <v>0</v>
      </c>
      <c r="K55" s="100"/>
      <c r="L55" s="2234" t="n">
        <v>0</v>
      </c>
      <c r="M55" s="45"/>
      <c r="N55" s="203" t="n">
        <v>0</v>
      </c>
      <c r="O55" s="2233" t="n">
        <v>0</v>
      </c>
      <c r="P55" s="100"/>
      <c r="Q55" s="2234" t="n">
        <v>0</v>
      </c>
      <c r="R55" s="45"/>
      <c r="S55" s="2235" t="n">
        <v>0</v>
      </c>
      <c r="T55" s="2233" t="n">
        <v>0</v>
      </c>
      <c r="U55" s="100"/>
      <c r="V55" s="2234" t="n">
        <v>0</v>
      </c>
      <c r="W55" s="100"/>
      <c r="X55" s="203" t="n">
        <v>0</v>
      </c>
      <c r="Y55" s="2233" t="n">
        <v>0</v>
      </c>
      <c r="Z55" s="100"/>
      <c r="AA55" s="2234" t="n">
        <v>0</v>
      </c>
      <c r="AB55" s="100"/>
      <c r="AC55" s="203" t="n">
        <v>0</v>
      </c>
      <c r="AD55" s="2233" t="n">
        <v>0</v>
      </c>
      <c r="AE55" s="100"/>
      <c r="AF55" s="2234" t="n">
        <f aca="false">'[9]HIST.'!$AF$50</f>
        <v>0</v>
      </c>
      <c r="AG55" s="100"/>
      <c r="AH55" s="203" t="n">
        <f aca="false">'[9]HIST.'!$AH$50</f>
        <v>0</v>
      </c>
      <c r="AI55" s="2233" t="n">
        <v>0</v>
      </c>
      <c r="AJ55" s="100"/>
      <c r="AK55" s="2234" t="n">
        <f aca="false">'[10]HIST.'!AK51</f>
        <v>0</v>
      </c>
      <c r="AL55" s="100"/>
      <c r="AM55" s="203" t="n">
        <f aca="false">'[10]HIST.'!AM51</f>
        <v>0</v>
      </c>
      <c r="AN55" s="2233" t="n">
        <v>0</v>
      </c>
      <c r="AO55" s="100"/>
      <c r="AP55" s="2234" t="n">
        <f aca="false">'[11]HIST.'!AP52</f>
        <v>1900</v>
      </c>
      <c r="AQ55" s="100"/>
      <c r="AR55" s="203" t="n">
        <f aca="false">'[11]HIST.'!AR52</f>
        <v>1148</v>
      </c>
      <c r="AS55" s="2233" t="n">
        <f aca="false">AR55/AP55</f>
        <v>0.604210526315789</v>
      </c>
      <c r="AT55" s="100"/>
      <c r="AU55" s="2234" t="n">
        <v>182400</v>
      </c>
      <c r="AV55" s="100"/>
      <c r="AW55" s="203" t="n">
        <v>88656</v>
      </c>
      <c r="AX55" s="2233" t="n">
        <f aca="false">AW55/AU55</f>
        <v>0.486052631578947</v>
      </c>
      <c r="AY55" s="100"/>
      <c r="AZ55" s="2236" t="n">
        <f aca="false">[13]VENDA!J129</f>
        <v>5400</v>
      </c>
      <c r="BA55" s="98"/>
      <c r="BB55" s="2237" t="n">
        <f aca="false">[13]VENDA!K129</f>
        <v>10257</v>
      </c>
      <c r="BC55" s="2233" t="n">
        <f aca="false">BB55/AZ55</f>
        <v>1.89944444444444</v>
      </c>
      <c r="BD55" s="2257"/>
      <c r="BE55" s="2236" t="n">
        <f aca="false">VEN!K128</f>
        <v>0</v>
      </c>
      <c r="BF55" s="98"/>
      <c r="BG55" s="2237" t="n">
        <f aca="false">VEN!L128</f>
        <v>0</v>
      </c>
      <c r="BH55" s="2233" t="e">
        <f aca="false">BG55/BE55</f>
        <v>#DIV/0!</v>
      </c>
      <c r="BI55" s="2257" t="e">
        <f aca="false">BH55/BH21-1</f>
        <v>#DIV/0!</v>
      </c>
    </row>
    <row r="56" customFormat="false" ht="14.25" hidden="false" customHeight="false" outlineLevel="0" collapsed="false">
      <c r="A56" s="9" t="s">
        <v>75</v>
      </c>
      <c r="B56" s="2238" t="n">
        <f aca="false">'[14]Vendas Real'!$E$34</f>
        <v>0</v>
      </c>
      <c r="C56" s="390"/>
      <c r="D56" s="410" t="n">
        <f aca="false">'[14]Vendas Real'!$F$34</f>
        <v>0</v>
      </c>
      <c r="E56" s="2233" t="n">
        <v>0</v>
      </c>
      <c r="F56" s="100"/>
      <c r="G56" s="2234" t="n">
        <f aca="false">'[4]VR Geral'!$H$36</f>
        <v>0</v>
      </c>
      <c r="H56" s="45"/>
      <c r="I56" s="410" t="n">
        <f aca="false">'[4]VR Geral'!$I$36</f>
        <v>0</v>
      </c>
      <c r="J56" s="2233" t="n">
        <v>0</v>
      </c>
      <c r="K56" s="100"/>
      <c r="L56" s="2234" t="n">
        <f aca="false">[5]VENDA!$I$37</f>
        <v>0</v>
      </c>
      <c r="M56" s="45"/>
      <c r="N56" s="203" t="n">
        <f aca="false">[5]VENDA!$J$37</f>
        <v>0</v>
      </c>
      <c r="O56" s="2233" t="n">
        <v>0</v>
      </c>
      <c r="P56" s="100"/>
      <c r="Q56" s="2234" t="n">
        <f aca="false">[6]VENDA!$I$39</f>
        <v>250</v>
      </c>
      <c r="R56" s="45"/>
      <c r="S56" s="2235" t="n">
        <f aca="false">[6]VENDA!$J$39</f>
        <v>1700</v>
      </c>
      <c r="T56" s="2233" t="n">
        <f aca="false">S56/Q56</f>
        <v>6.8</v>
      </c>
      <c r="U56" s="100"/>
      <c r="V56" s="2234" t="n">
        <f aca="false">[7]VEND!$I$41</f>
        <v>1550</v>
      </c>
      <c r="W56" s="100"/>
      <c r="X56" s="203" t="n">
        <f aca="false">[7]VEND!$J$41</f>
        <v>9300</v>
      </c>
      <c r="Y56" s="2233" t="n">
        <f aca="false">X56/V56</f>
        <v>6</v>
      </c>
      <c r="Z56" s="100"/>
      <c r="AA56" s="2234" t="n">
        <f aca="false">[8]VEND!$I41</f>
        <v>0</v>
      </c>
      <c r="AB56" s="100"/>
      <c r="AC56" s="203" t="n">
        <f aca="false">[8]VEND!$J41</f>
        <v>0</v>
      </c>
      <c r="AD56" s="2233" t="n">
        <v>0</v>
      </c>
      <c r="AE56" s="100"/>
      <c r="AF56" s="2234" t="n">
        <f aca="false">'[9]HIST.'!$AF$51</f>
        <v>1490</v>
      </c>
      <c r="AG56" s="100"/>
      <c r="AH56" s="203" t="n">
        <f aca="false">'[9]HIST.'!$AH$51</f>
        <v>13410</v>
      </c>
      <c r="AI56" s="2233" t="n">
        <f aca="false">AH56/AF56</f>
        <v>9</v>
      </c>
      <c r="AJ56" s="100"/>
      <c r="AK56" s="2234" t="n">
        <f aca="false">'[10]HIST.'!AK52</f>
        <v>0</v>
      </c>
      <c r="AL56" s="100"/>
      <c r="AM56" s="203" t="n">
        <f aca="false">'[10]HIST.'!AM52</f>
        <v>0</v>
      </c>
      <c r="AN56" s="2233" t="n">
        <v>0</v>
      </c>
      <c r="AO56" s="100"/>
      <c r="AP56" s="2234" t="n">
        <f aca="false">'[11]HIST.'!AP53</f>
        <v>520</v>
      </c>
      <c r="AQ56" s="100"/>
      <c r="AR56" s="203" t="n">
        <f aca="false">'[11]HIST.'!AR53</f>
        <v>8180</v>
      </c>
      <c r="AS56" s="2233" t="n">
        <f aca="false">AR56/AP56</f>
        <v>15.7307692307692</v>
      </c>
      <c r="AT56" s="100"/>
      <c r="AU56" s="2234" t="n">
        <v>1500</v>
      </c>
      <c r="AV56" s="100"/>
      <c r="AW56" s="203" t="n">
        <v>19500</v>
      </c>
      <c r="AX56" s="2233" t="n">
        <f aca="false">AW56/AU56</f>
        <v>13</v>
      </c>
      <c r="AY56" s="100"/>
      <c r="AZ56" s="2236" t="n">
        <f aca="false">[13]VENDA!J131</f>
        <v>0</v>
      </c>
      <c r="BA56" s="98"/>
      <c r="BB56" s="2237" t="n">
        <f aca="false">[13]VENDA!K131</f>
        <v>0</v>
      </c>
      <c r="BC56" s="2233" t="n">
        <v>0</v>
      </c>
      <c r="BD56" s="2257"/>
      <c r="BE56" s="2236" t="n">
        <f aca="false">VEN!K130</f>
        <v>0</v>
      </c>
      <c r="BF56" s="98"/>
      <c r="BG56" s="2237" t="n">
        <f aca="false">VEN!L130</f>
        <v>0</v>
      </c>
      <c r="BH56" s="2233" t="e">
        <f aca="false">BG56/BE56</f>
        <v>#DIV/0!</v>
      </c>
      <c r="BI56" s="2257"/>
    </row>
    <row r="57" customFormat="false" ht="14.25" hidden="false" customHeight="false" outlineLevel="0" collapsed="false">
      <c r="A57" s="511" t="s">
        <v>24</v>
      </c>
      <c r="B57" s="2249" t="n">
        <v>0</v>
      </c>
      <c r="C57" s="251"/>
      <c r="D57" s="413" t="n">
        <v>0</v>
      </c>
      <c r="E57" s="2240" t="n">
        <v>0</v>
      </c>
      <c r="F57" s="2241"/>
      <c r="G57" s="2242" t="n">
        <f aca="false">'[15]VR Geral'!$H$35</f>
        <v>0</v>
      </c>
      <c r="H57" s="414"/>
      <c r="I57" s="413" t="n">
        <f aca="false">'[15]VR Geral'!$I$35</f>
        <v>0</v>
      </c>
      <c r="J57" s="2240" t="n">
        <v>0</v>
      </c>
      <c r="K57" s="2241"/>
      <c r="L57" s="2242" t="n">
        <f aca="false">[5]VENDA!$I$38</f>
        <v>0</v>
      </c>
      <c r="M57" s="414"/>
      <c r="N57" s="262" t="n">
        <f aca="false">[5]VENDA!$J$38</f>
        <v>0</v>
      </c>
      <c r="O57" s="2240" t="n">
        <v>0</v>
      </c>
      <c r="P57" s="2241"/>
      <c r="Q57" s="2242" t="n">
        <f aca="false">[6]VENDA!$I$40</f>
        <v>0</v>
      </c>
      <c r="R57" s="414"/>
      <c r="S57" s="2244" t="n">
        <f aca="false">[6]VENDA!$J$40</f>
        <v>0</v>
      </c>
      <c r="T57" s="2240" t="n">
        <v>0</v>
      </c>
      <c r="U57" s="2241"/>
      <c r="V57" s="2242" t="n">
        <f aca="false">[7]VEND!$I$42</f>
        <v>0</v>
      </c>
      <c r="W57" s="2241"/>
      <c r="X57" s="262"/>
      <c r="Y57" s="2240" t="n">
        <v>0</v>
      </c>
      <c r="Z57" s="2241"/>
      <c r="AA57" s="2234" t="n">
        <f aca="false">[8]VEND!$I42</f>
        <v>0</v>
      </c>
      <c r="AB57" s="100"/>
      <c r="AC57" s="203" t="n">
        <f aca="false">[8]VEND!$J42</f>
        <v>0</v>
      </c>
      <c r="AD57" s="2233" t="n">
        <v>0</v>
      </c>
      <c r="AE57" s="100"/>
      <c r="AF57" s="2234" t="n">
        <f aca="false">'[9]HIST.'!$AF$52</f>
        <v>0</v>
      </c>
      <c r="AG57" s="100"/>
      <c r="AH57" s="203" t="n">
        <f aca="false">'[9]HIST.'!$AH$52</f>
        <v>0</v>
      </c>
      <c r="AI57" s="2233" t="n">
        <v>0</v>
      </c>
      <c r="AJ57" s="2241"/>
      <c r="AK57" s="2234" t="n">
        <f aca="false">'[10]HIST.'!AK53</f>
        <v>0</v>
      </c>
      <c r="AL57" s="100"/>
      <c r="AM57" s="203" t="n">
        <f aca="false">'[10]HIST.'!AM53</f>
        <v>0</v>
      </c>
      <c r="AN57" s="2233" t="n">
        <v>0</v>
      </c>
      <c r="AO57" s="100"/>
      <c r="AP57" s="2234" t="n">
        <f aca="false">'[11]HIST.'!AP54</f>
        <v>0</v>
      </c>
      <c r="AQ57" s="100"/>
      <c r="AR57" s="203" t="n">
        <f aca="false">'[11]HIST.'!AR54</f>
        <v>0</v>
      </c>
      <c r="AS57" s="2233" t="n">
        <v>0</v>
      </c>
      <c r="AT57" s="100"/>
      <c r="AU57" s="2242" t="n">
        <v>0</v>
      </c>
      <c r="AV57" s="2241"/>
      <c r="AW57" s="262" t="n">
        <v>0</v>
      </c>
      <c r="AX57" s="2233" t="n">
        <v>0</v>
      </c>
      <c r="AY57" s="100"/>
      <c r="AZ57" s="2236" t="n">
        <f aca="false">[13]VENDA!J132</f>
        <v>0</v>
      </c>
      <c r="BA57" s="98"/>
      <c r="BB57" s="2237" t="n">
        <f aca="false">[13]VENDA!K132</f>
        <v>0</v>
      </c>
      <c r="BC57" s="2233" t="n">
        <v>0</v>
      </c>
      <c r="BD57" s="2257"/>
      <c r="BE57" s="2236" t="n">
        <f aca="false">VEN!K131</f>
        <v>0</v>
      </c>
      <c r="BF57" s="98"/>
      <c r="BG57" s="2237" t="n">
        <f aca="false">VEN!L131</f>
        <v>0</v>
      </c>
      <c r="BH57" s="2233" t="e">
        <f aca="false">BG57/BE57</f>
        <v>#DIV/0!</v>
      </c>
      <c r="BI57" s="2257"/>
    </row>
    <row r="58" customFormat="false" ht="14.25" hidden="false" customHeight="false" outlineLevel="0" collapsed="false">
      <c r="A58" s="379" t="s">
        <v>25</v>
      </c>
      <c r="B58" s="2249" t="n">
        <f aca="false">SUM(B39:B57)</f>
        <v>0</v>
      </c>
      <c r="C58" s="350"/>
      <c r="D58" s="413" t="n">
        <f aca="false">SUBTOTAL(9,D39:D57)</f>
        <v>0</v>
      </c>
      <c r="E58" s="2250" t="e">
        <f aca="false">D58/B58</f>
        <v>#DIV/0!</v>
      </c>
      <c r="F58" s="2251"/>
      <c r="G58" s="2249" t="n">
        <f aca="false">SUBTOTAL(9,G39:G57)</f>
        <v>20605900</v>
      </c>
      <c r="H58" s="350"/>
      <c r="I58" s="413" t="n">
        <f aca="false">SUBTOTAL(9,I39:I57)</f>
        <v>3255979.5</v>
      </c>
      <c r="J58" s="2250" t="n">
        <f aca="false">I58/G58</f>
        <v>0.15801200141707</v>
      </c>
      <c r="K58" s="2251"/>
      <c r="L58" s="2249" t="n">
        <f aca="false">SUBTOTAL(9,L39:L57)</f>
        <v>27553525</v>
      </c>
      <c r="M58" s="350"/>
      <c r="N58" s="413" t="n">
        <f aca="false">SUBTOTAL(9,N39:N57)</f>
        <v>4787963</v>
      </c>
      <c r="O58" s="2250" t="n">
        <f aca="false">N58/L58</f>
        <v>0.173769526766539</v>
      </c>
      <c r="P58" s="2251"/>
      <c r="Q58" s="2249" t="n">
        <f aca="false">SUBTOTAL(9,Q39:Q57)</f>
        <v>32923890</v>
      </c>
      <c r="R58" s="350"/>
      <c r="S58" s="413" t="n">
        <f aca="false">SUBTOTAL(9,S39:S57)</f>
        <v>4755036.6</v>
      </c>
      <c r="T58" s="2250" t="n">
        <f aca="false">S58/Q58</f>
        <v>0.144425115015267</v>
      </c>
      <c r="U58" s="2251"/>
      <c r="V58" s="2249" t="n">
        <f aca="false">SUBTOTAL(9,V39:V57)</f>
        <v>29261140</v>
      </c>
      <c r="W58" s="350"/>
      <c r="X58" s="413" t="n">
        <f aca="false">SUBTOTAL(9,X39:X57)</f>
        <v>5207906.5</v>
      </c>
      <c r="Y58" s="2250" t="n">
        <f aca="false">X58/V58</f>
        <v>0.177980300835853</v>
      </c>
      <c r="Z58" s="2251"/>
      <c r="AA58" s="2252" t="n">
        <f aca="false">SUBTOTAL(9,AA39:AA57)</f>
        <v>15737152</v>
      </c>
      <c r="AB58" s="352"/>
      <c r="AC58" s="433" t="n">
        <f aca="false">SUBTOTAL(9,AC39:AC57)</f>
        <v>4467623.5</v>
      </c>
      <c r="AD58" s="2254" t="n">
        <f aca="false">AC58/AA58</f>
        <v>0.283890217238799</v>
      </c>
      <c r="AE58" s="2251"/>
      <c r="AF58" s="2252" t="n">
        <f aca="false">SUBTOTAL(9,AF39:AF57)</f>
        <v>20909010</v>
      </c>
      <c r="AG58" s="2253"/>
      <c r="AH58" s="433" t="n">
        <f aca="false">SUBTOTAL(9,AH39:AH57)</f>
        <v>5331702</v>
      </c>
      <c r="AI58" s="2254" t="n">
        <f aca="false">AH58/AF58</f>
        <v>0.254995430199708</v>
      </c>
      <c r="AJ58" s="2251"/>
      <c r="AK58" s="2252" t="n">
        <f aca="false">SUBTOTAL(9,AK39:AK57)</f>
        <v>17453527</v>
      </c>
      <c r="AL58" s="2253"/>
      <c r="AM58" s="433" t="n">
        <f aca="false">SUBTOTAL(9,AM39:AM57)</f>
        <v>3808055</v>
      </c>
      <c r="AN58" s="2254" t="n">
        <f aca="false">AM58/AK58</f>
        <v>0.218182548432761</v>
      </c>
      <c r="AO58" s="2251"/>
      <c r="AP58" s="2252" t="n">
        <f aca="false">SUBTOTAL(9,AP39:AP57)</f>
        <v>43609880</v>
      </c>
      <c r="AQ58" s="2253"/>
      <c r="AR58" s="433" t="n">
        <f aca="false">SUBTOTAL(9,AR39:AR57)</f>
        <v>9175037.7</v>
      </c>
      <c r="AS58" s="2254" t="n">
        <f aca="false">AR58/AP58</f>
        <v>0.210388969196888</v>
      </c>
      <c r="AT58" s="2251"/>
      <c r="AU58" s="2252" t="n">
        <f aca="false">SUBTOTAL(9,AU39:AU57)</f>
        <v>29928790</v>
      </c>
      <c r="AV58" s="2253"/>
      <c r="AW58" s="433" t="n">
        <f aca="false">SUBTOTAL(9,AW39:AW57)</f>
        <v>7891854.1</v>
      </c>
      <c r="AX58" s="2272" t="n">
        <f aca="false">AW58/AU58</f>
        <v>0.263687710061115</v>
      </c>
      <c r="AY58" s="2273"/>
      <c r="AZ58" s="2252" t="n">
        <f aca="false">SUBTOTAL(9,AZ39:AZ57)</f>
        <v>14170780</v>
      </c>
      <c r="BA58" s="352"/>
      <c r="BB58" s="433" t="n">
        <f aca="false">SUBTOTAL(9,BB39:BB57)</f>
        <v>11066227.55</v>
      </c>
      <c r="BC58" s="2254" t="n">
        <f aca="false">BB58/AZ58</f>
        <v>0.780918732066972</v>
      </c>
      <c r="BD58" s="2257"/>
      <c r="BE58" s="2252" t="n">
        <f aca="false">SUBTOTAL(9,BE39:BE57)</f>
        <v>2714241.3</v>
      </c>
      <c r="BF58" s="352"/>
      <c r="BG58" s="433" t="n">
        <f aca="false">SUBTOTAL(9,BG39:BG57)</f>
        <v>1500002.44</v>
      </c>
      <c r="BH58" s="2254" t="n">
        <f aca="false">BG58/BE58</f>
        <v>0.552641520855202</v>
      </c>
      <c r="BI58" s="2257" t="n">
        <f aca="false">BH58/BH24-1</f>
        <v>0.765184601562398</v>
      </c>
    </row>
    <row r="59" customFormat="false" ht="14.25" hidden="false" customHeight="false" outlineLevel="0" collapsed="false">
      <c r="A59" s="2255" t="s">
        <v>3674</v>
      </c>
      <c r="B59" s="2256"/>
      <c r="C59" s="2256"/>
      <c r="D59" s="2256"/>
      <c r="E59" s="2256"/>
      <c r="F59" s="2251"/>
      <c r="G59" s="2260"/>
      <c r="H59" s="2260"/>
      <c r="I59" s="2260"/>
      <c r="J59" s="2260"/>
      <c r="K59" s="2251"/>
      <c r="L59" s="2258"/>
      <c r="M59" s="2258"/>
      <c r="N59" s="2258"/>
      <c r="O59" s="2258"/>
      <c r="P59" s="2251"/>
      <c r="Q59" s="2258"/>
      <c r="R59" s="2258"/>
      <c r="S59" s="2258"/>
      <c r="T59" s="2259"/>
      <c r="U59" s="2251"/>
      <c r="V59" s="2251"/>
      <c r="W59" s="2251"/>
      <c r="X59" s="2251"/>
      <c r="Y59" s="2251"/>
      <c r="Z59" s="2251"/>
      <c r="AA59" s="2251"/>
      <c r="AB59" s="2251"/>
      <c r="AC59" s="2251"/>
      <c r="AD59" s="2251"/>
      <c r="AE59" s="2251"/>
      <c r="AF59" s="2258"/>
      <c r="AG59" s="2258"/>
      <c r="AH59" s="2260"/>
      <c r="AI59" s="2260"/>
      <c r="AJ59" s="2251"/>
      <c r="AK59" s="2251"/>
      <c r="AL59" s="2251"/>
      <c r="AM59" s="2251"/>
      <c r="AN59" s="2251"/>
      <c r="AO59" s="2251"/>
      <c r="AP59" s="2251"/>
      <c r="AQ59" s="2251"/>
      <c r="AR59" s="2251"/>
      <c r="AS59" s="2251"/>
      <c r="AT59" s="2251"/>
      <c r="AU59" s="2251"/>
      <c r="AV59" s="2251"/>
      <c r="AW59" s="2251"/>
      <c r="AX59" s="2251"/>
      <c r="AY59" s="2251"/>
      <c r="AZ59" s="2260"/>
      <c r="BA59" s="2260"/>
      <c r="BB59" s="2260"/>
      <c r="BC59" s="2257"/>
      <c r="BE59" s="2260"/>
      <c r="BF59" s="2260"/>
      <c r="BG59" s="2260"/>
      <c r="BH59" s="2257"/>
    </row>
    <row r="60" customFormat="false" ht="16.4" hidden="false" customHeight="false" outlineLevel="0" collapsed="false">
      <c r="A60" s="379" t="s">
        <v>3675</v>
      </c>
      <c r="B60" s="2256"/>
      <c r="C60" s="2256"/>
      <c r="D60" s="2256"/>
      <c r="E60" s="2256"/>
      <c r="F60" s="2251"/>
      <c r="G60" s="2257"/>
      <c r="H60" s="2257"/>
      <c r="I60" s="2257"/>
      <c r="J60" s="2257"/>
      <c r="K60" s="2251"/>
      <c r="L60" s="2258" t="n">
        <f aca="false">L58/G58-1</f>
        <v>0.337166782329333</v>
      </c>
      <c r="M60" s="2258"/>
      <c r="N60" s="2258" t="n">
        <f aca="false">N58/I58-1</f>
        <v>0.470513865336069</v>
      </c>
      <c r="O60" s="2258" t="n">
        <f aca="false">O58/J58-1</f>
        <v>0.0997235982593336</v>
      </c>
      <c r="P60" s="2251"/>
      <c r="Q60" s="2258" t="n">
        <f aca="false">Q58/G58-1</f>
        <v>0.597789468064972</v>
      </c>
      <c r="R60" s="2258"/>
      <c r="S60" s="2258" t="n">
        <f aca="false">S58/I58-1</f>
        <v>0.460401270953948</v>
      </c>
      <c r="T60" s="2259" t="n">
        <f aca="false">T58/J58-1</f>
        <v>-0.0859864205247327</v>
      </c>
      <c r="U60" s="2251"/>
      <c r="V60" s="2258" t="n">
        <f aca="false">V58/G58-1</f>
        <v>0.420036979699989</v>
      </c>
      <c r="W60" s="2258"/>
      <c r="X60" s="2258" t="n">
        <f aca="false">X58/I58-1</f>
        <v>0.599489953791171</v>
      </c>
      <c r="Y60" s="2261" t="n">
        <f aca="false">Y58/J58-1</f>
        <v>0.12637204288095</v>
      </c>
      <c r="Z60" s="2251"/>
      <c r="AA60" s="2258" t="n">
        <f aca="false">AA58/G58-1</f>
        <v>-0.236279318059391</v>
      </c>
      <c r="AB60" s="2258"/>
      <c r="AC60" s="2258" t="n">
        <f aca="false">AC58/I58-1</f>
        <v>0.372128878575556</v>
      </c>
      <c r="AD60" s="2258" t="n">
        <f aca="false">AD58/J58-1</f>
        <v>0.796637057266782</v>
      </c>
      <c r="AE60" s="2258"/>
      <c r="AF60" s="2260" t="n">
        <f aca="false">AF58/G58-1</f>
        <v>0.0147098646504156</v>
      </c>
      <c r="AG60" s="2260"/>
      <c r="AH60" s="2260" t="n">
        <f aca="false">AH58/I58-1</f>
        <v>0.637510924132047</v>
      </c>
      <c r="AI60" s="2260" t="n">
        <f aca="false">AI58/J58-1</f>
        <v>0.613772548368983</v>
      </c>
      <c r="AJ60" s="2251"/>
      <c r="AK60" s="2260" t="n">
        <f aca="false">AK58/G58-1</f>
        <v>-0.152983999728233</v>
      </c>
      <c r="AL60" s="2260"/>
      <c r="AM60" s="2260" t="n">
        <f aca="false">AM58/I58-1</f>
        <v>0.16955742503907</v>
      </c>
      <c r="AN60" s="2260" t="n">
        <f aca="false">AN58/J58-1</f>
        <v>0.380797322203849</v>
      </c>
      <c r="AO60" s="2251"/>
      <c r="AP60" s="2260" t="n">
        <f aca="false">AP58/G58-1</f>
        <v>1.11637831883101</v>
      </c>
      <c r="AQ60" s="2260"/>
      <c r="AR60" s="2260" t="n">
        <f aca="false">AR58/I58-1</f>
        <v>1.8179040132163</v>
      </c>
      <c r="AS60" s="2260" t="n">
        <f aca="false">AS58/J58-1</f>
        <v>0.331474617814443</v>
      </c>
      <c r="AT60" s="2251"/>
      <c r="AU60" s="2260" t="n">
        <f aca="false">AU58/G58-1</f>
        <v>0.452437894001233</v>
      </c>
      <c r="AV60" s="2260"/>
      <c r="AW60" s="2260" t="n">
        <f aca="false">AW58/I58-1</f>
        <v>1.42380337468341</v>
      </c>
      <c r="AX60" s="2260" t="n">
        <f aca="false">AX58/J58-1</f>
        <v>0.668782799384434</v>
      </c>
      <c r="AY60" s="2260"/>
      <c r="AZ60" s="2260" t="n">
        <f aca="false">AZ58/G58-1</f>
        <v>-0.312295022299439</v>
      </c>
      <c r="BA60" s="2260"/>
      <c r="BB60" s="2260" t="n">
        <f aca="false">BB58/I58-1</f>
        <v>2.39873993371273</v>
      </c>
      <c r="BC60" s="2260" t="n">
        <f aca="false">BC58/J58-1</f>
        <v>3.94214822332229</v>
      </c>
      <c r="BE60" s="2260" t="n">
        <f aca="false">BE58/G58-1</f>
        <v>-0.868278439670192</v>
      </c>
      <c r="BF60" s="2260"/>
      <c r="BG60" s="2260" t="n">
        <f aca="false">BG58/I58-1</f>
        <v>-0.539308389380216</v>
      </c>
      <c r="BH60" s="2260" t="n">
        <f aca="false">BH58/J58-1</f>
        <v>2.49746548299527</v>
      </c>
    </row>
    <row r="61" customFormat="false" ht="16.4" hidden="false" customHeight="false" outlineLevel="0" collapsed="false">
      <c r="A61" s="379" t="s">
        <v>3676</v>
      </c>
      <c r="B61" s="2256"/>
      <c r="C61" s="2256"/>
      <c r="D61" s="2256"/>
      <c r="E61" s="2256"/>
      <c r="F61" s="2251"/>
      <c r="G61" s="2257"/>
      <c r="H61" s="2257"/>
      <c r="I61" s="2257"/>
      <c r="J61" s="2257"/>
      <c r="K61" s="2251"/>
      <c r="L61" s="2251"/>
      <c r="M61" s="2251"/>
      <c r="N61" s="2274"/>
      <c r="O61" s="2251"/>
      <c r="P61" s="2251"/>
      <c r="Q61" s="2258" t="n">
        <f aca="false">Q58/L58-1</f>
        <v>0.194906640801857</v>
      </c>
      <c r="R61" s="2258"/>
      <c r="S61" s="2258" t="n">
        <f aca="false">S58/N58-1</f>
        <v>-0.00687691195608686</v>
      </c>
      <c r="T61" s="2259" t="n">
        <f aca="false">T58/O58-1</f>
        <v>-0.168869722426628</v>
      </c>
      <c r="U61" s="2251"/>
      <c r="V61" s="2258" t="n">
        <f aca="false">V58/L58-1</f>
        <v>0.0619744660619648</v>
      </c>
      <c r="W61" s="2258"/>
      <c r="X61" s="2258" t="n">
        <f aca="false">X58/N58-1</f>
        <v>0.0877081756897451</v>
      </c>
      <c r="Y61" s="2261" t="n">
        <f aca="false">Y58/O58-1</f>
        <v>0.0242319476128334</v>
      </c>
      <c r="Z61" s="2251"/>
      <c r="AA61" s="2258" t="n">
        <f aca="false">AA58/L58-1</f>
        <v>-0.428851589769367</v>
      </c>
      <c r="AB61" s="2258"/>
      <c r="AC61" s="2258" t="n">
        <f aca="false">AC58/N58-1</f>
        <v>-0.0669051744969627</v>
      </c>
      <c r="AD61" s="2258" t="n">
        <f aca="false">AD58/O58-1</f>
        <v>0.633716926790094</v>
      </c>
      <c r="AE61" s="2258"/>
      <c r="AF61" s="2260" t="n">
        <f aca="false">AF58/L58-1</f>
        <v>-0.241149362921804</v>
      </c>
      <c r="AG61" s="2260"/>
      <c r="AH61" s="2260" t="n">
        <f aca="false">AH58/N58-1</f>
        <v>0.113563743078215</v>
      </c>
      <c r="AI61" s="2260" t="n">
        <f aca="false">AI58/O58-1</f>
        <v>0.467434681699381</v>
      </c>
      <c r="AJ61" s="2251"/>
      <c r="AK61" s="2260" t="n">
        <f aca="false">AK58/L58-1</f>
        <v>-0.366559197053735</v>
      </c>
      <c r="AL61" s="2260"/>
      <c r="AM61" s="2260" t="n">
        <f aca="false">AM58/N58-1</f>
        <v>-0.204660729416664</v>
      </c>
      <c r="AN61" s="2260" t="n">
        <f aca="false">AN58/O58-1</f>
        <v>0.255585789365078</v>
      </c>
      <c r="AO61" s="2251"/>
      <c r="AP61" s="2260" t="n">
        <f aca="false">AP58/L58-1</f>
        <v>0.582733243750119</v>
      </c>
      <c r="AQ61" s="2260"/>
      <c r="AR61" s="2260" t="n">
        <f aca="false">AR58/N58-1</f>
        <v>0.916271637855179</v>
      </c>
      <c r="AS61" s="2260" t="n">
        <f aca="false">AS58/O58-1</f>
        <v>0.210735697517022</v>
      </c>
      <c r="AT61" s="2251"/>
      <c r="AU61" s="2260" t="n">
        <f aca="false">AU58/L58-1</f>
        <v>0.0862054855050307</v>
      </c>
      <c r="AV61" s="2260"/>
      <c r="AW61" s="2260" t="n">
        <f aca="false">AW58/N58-1</f>
        <v>0.648269650371149</v>
      </c>
      <c r="AX61" s="2260" t="n">
        <f aca="false">AX58/O58-1</f>
        <v>0.517456570019794</v>
      </c>
      <c r="AY61" s="2260"/>
      <c r="AZ61" s="2260" t="n">
        <f aca="false">AZ58/L58-1</f>
        <v>-0.485699924056904</v>
      </c>
      <c r="BA61" s="2257"/>
      <c r="BB61" s="2260" t="n">
        <f aca="false">BB58/N58-1</f>
        <v>1.31126003897691</v>
      </c>
      <c r="BC61" s="2260" t="n">
        <f aca="false">BC58/O58-1</f>
        <v>3.49399124575014</v>
      </c>
      <c r="BE61" s="2260" t="n">
        <f aca="false">BE58/L58-1</f>
        <v>-0.901492048658021</v>
      </c>
      <c r="BF61" s="2257"/>
      <c r="BG61" s="2260" t="n">
        <f aca="false">BG58/N58-1</f>
        <v>-0.686713861406197</v>
      </c>
      <c r="BH61" s="2260" t="n">
        <f aca="false">BH58/O58-1</f>
        <v>2.18031320645582</v>
      </c>
    </row>
    <row r="62" customFormat="false" ht="16.4" hidden="false" customHeight="false" outlineLevel="0" collapsed="false">
      <c r="A62" s="379" t="s">
        <v>3677</v>
      </c>
      <c r="B62" s="2256"/>
      <c r="C62" s="2256"/>
      <c r="D62" s="2256"/>
      <c r="E62" s="2256"/>
      <c r="F62" s="2251"/>
      <c r="G62" s="2257"/>
      <c r="H62" s="2257"/>
      <c r="I62" s="2257"/>
      <c r="J62" s="2257"/>
      <c r="K62" s="2251"/>
      <c r="L62" s="2251"/>
      <c r="M62" s="2251"/>
      <c r="N62" s="2274"/>
      <c r="O62" s="2251"/>
      <c r="P62" s="2251"/>
      <c r="Q62" s="2258"/>
      <c r="R62" s="2258"/>
      <c r="S62" s="2258"/>
      <c r="T62" s="2259"/>
      <c r="U62" s="2251"/>
      <c r="V62" s="2260" t="n">
        <f aca="false">V58/Q58-1</f>
        <v>-0.111249004901912</v>
      </c>
      <c r="W62" s="2260"/>
      <c r="X62" s="2260" t="n">
        <f aca="false">X58/S58-1</f>
        <v>0.0952400450503368</v>
      </c>
      <c r="Y62" s="2260" t="n">
        <f aca="false">Y58/T58-1</f>
        <v>0.232336223634224</v>
      </c>
      <c r="Z62" s="2251"/>
      <c r="AA62" s="2260" t="n">
        <f aca="false">AA58/Q58-1</f>
        <v>-0.522014196985836</v>
      </c>
      <c r="AB62" s="2260"/>
      <c r="AC62" s="2260" t="n">
        <f aca="false">AC58/S58-1</f>
        <v>-0.0604439301266366</v>
      </c>
      <c r="AD62" s="2260" t="n">
        <f aca="false">AD58/T58-1</f>
        <v>0.96565685413364</v>
      </c>
      <c r="AE62" s="2260"/>
      <c r="AF62" s="2260" t="n">
        <f aca="false">AF58/Q58-1</f>
        <v>-0.364928931544845</v>
      </c>
      <c r="AG62" s="2260"/>
      <c r="AH62" s="2260" t="n">
        <f aca="false">AH58/S58-1</f>
        <v>0.121274650125722</v>
      </c>
      <c r="AI62" s="2260" t="n">
        <f aca="false">AI58/T58-1</f>
        <v>0.765589247914069</v>
      </c>
      <c r="AJ62" s="2251"/>
      <c r="AK62" s="2260" t="n">
        <f aca="false">AK58/Q58-1</f>
        <v>-0.469882598927405</v>
      </c>
      <c r="AL62" s="2260"/>
      <c r="AM62" s="2260" t="n">
        <f aca="false">AM58/S58-1</f>
        <v>-0.199153377704811</v>
      </c>
      <c r="AN62" s="2260" t="n">
        <f aca="false">AN58/T58-1</f>
        <v>0.510696726187111</v>
      </c>
      <c r="AO62" s="2251"/>
      <c r="AP62" s="2260" t="n">
        <f aca="false">AP58/Q58-1</f>
        <v>0.324566447038913</v>
      </c>
      <c r="AQ62" s="2260"/>
      <c r="AR62" s="2260" t="n">
        <f aca="false">AR58/S58-1</f>
        <v>0.929540920883764</v>
      </c>
      <c r="AS62" s="2260" t="n">
        <f aca="false">AS58/T58-1</f>
        <v>0.456733956380429</v>
      </c>
      <c r="AT62" s="2251"/>
      <c r="AU62" s="2260" t="n">
        <f aca="false">AU58/Q58-1</f>
        <v>-0.0909704169221802</v>
      </c>
      <c r="AV62" s="2260"/>
      <c r="AW62" s="2260" t="n">
        <f aca="false">AW58/S58-1</f>
        <v>0.659683145235938</v>
      </c>
      <c r="AX62" s="2260" t="n">
        <f aca="false">AX58/T58-1</f>
        <v>0.825774623985869</v>
      </c>
      <c r="AY62" s="2260"/>
      <c r="AZ62" s="2260" t="n">
        <f aca="false">AZ58/Q58-1</f>
        <v>-0.569589741673903</v>
      </c>
      <c r="BA62" s="2257"/>
      <c r="BB62" s="2260" t="n">
        <f aca="false">BB58/S58-1</f>
        <v>1.32726443157136</v>
      </c>
      <c r="BC62" s="2260" t="n">
        <f aca="false">BC58/T58-1</f>
        <v>4.40708402402464</v>
      </c>
      <c r="BE62" s="2260" t="n">
        <f aca="false">BE58/Q58-1</f>
        <v>-0.917560127311809</v>
      </c>
      <c r="BF62" s="2257"/>
      <c r="BG62" s="2260" t="n">
        <f aca="false">BG58/S58-1</f>
        <v>-0.684544501718452</v>
      </c>
      <c r="BH62" s="2260" t="n">
        <f aca="false">BH58/T58-1</f>
        <v>2.82649181755391</v>
      </c>
    </row>
    <row r="63" customFormat="false" ht="16.4" hidden="false" customHeight="false" outlineLevel="0" collapsed="false">
      <c r="A63" s="379" t="s">
        <v>3678</v>
      </c>
      <c r="B63" s="2256"/>
      <c r="C63" s="2256"/>
      <c r="D63" s="2256"/>
      <c r="E63" s="2256"/>
      <c r="F63" s="2251"/>
      <c r="G63" s="390"/>
      <c r="H63" s="390"/>
      <c r="I63" s="410"/>
      <c r="J63" s="2251"/>
      <c r="K63" s="2251"/>
      <c r="L63" s="2251"/>
      <c r="M63" s="2251"/>
      <c r="N63" s="2251"/>
      <c r="O63" s="2251"/>
      <c r="P63" s="2251"/>
      <c r="Q63" s="2251"/>
      <c r="R63" s="2251"/>
      <c r="S63" s="2251"/>
      <c r="T63" s="2251"/>
      <c r="U63" s="2251"/>
      <c r="V63" s="2251"/>
      <c r="W63" s="2251"/>
      <c r="X63" s="2251"/>
      <c r="Y63" s="2251"/>
      <c r="Z63" s="2251"/>
      <c r="AA63" s="2260" t="n">
        <f aca="false">AA58/V58-1</f>
        <v>-0.462182539709663</v>
      </c>
      <c r="AB63" s="2251"/>
      <c r="AC63" s="2260" t="n">
        <f aca="false">AC58/X58-1</f>
        <v>-0.142145985147775</v>
      </c>
      <c r="AD63" s="2260" t="n">
        <f aca="false">AD58/Y58-1</f>
        <v>0.59506538591945</v>
      </c>
      <c r="AE63" s="2260"/>
      <c r="AF63" s="2260" t="n">
        <f aca="false">AF58/V58-1</f>
        <v>-0.285434197027184</v>
      </c>
      <c r="AG63" s="2251"/>
      <c r="AH63" s="2260" t="n">
        <f aca="false">AH58/X58-1</f>
        <v>0.0237706840550997</v>
      </c>
      <c r="AI63" s="2260" t="n">
        <f aca="false">AI58/Y58-1</f>
        <v>0.432717154663566</v>
      </c>
      <c r="AJ63" s="2251"/>
      <c r="AK63" s="2260" t="n">
        <f aca="false">AK58/V58-1</f>
        <v>-0.403525392380475</v>
      </c>
      <c r="AL63" s="2251"/>
      <c r="AM63" s="2260" t="n">
        <f aca="false">AM58/X58-1</f>
        <v>-0.268793516166237</v>
      </c>
      <c r="AN63" s="2260" t="n">
        <f aca="false">AN58/Y58-1</f>
        <v>0.225880321631695</v>
      </c>
      <c r="AO63" s="2251"/>
      <c r="AP63" s="2260" t="n">
        <f aca="false">AP58/V58-1</f>
        <v>0.49036845454415</v>
      </c>
      <c r="AQ63" s="2251"/>
      <c r="AR63" s="2260" t="n">
        <f aca="false">AR58/X58-1</f>
        <v>0.761751617468555</v>
      </c>
      <c r="AS63" s="2260" t="n">
        <f aca="false">AS58/Y58-1</f>
        <v>0.182091322516224</v>
      </c>
      <c r="AT63" s="2251"/>
      <c r="AU63" s="2260" t="n">
        <f aca="false">AU58/V58-1</f>
        <v>0.022816951082562</v>
      </c>
      <c r="AV63" s="2251"/>
      <c r="AW63" s="2260" t="n">
        <f aca="false">AW58/X58-1</f>
        <v>0.51536017399698</v>
      </c>
      <c r="AX63" s="2260" t="n">
        <f aca="false">AX58/Y58-1</f>
        <v>0.481555592516436</v>
      </c>
      <c r="AY63" s="2260"/>
      <c r="AZ63" s="2260" t="n">
        <f aca="false">AZ58/V58-1</f>
        <v>-0.515713331743056</v>
      </c>
      <c r="BA63" s="2257"/>
      <c r="BB63" s="2260" t="n">
        <f aca="false">BB58/X58-1</f>
        <v>1.12488982857123</v>
      </c>
      <c r="BC63" s="2260" t="n">
        <f aca="false">BC58/Y58-1</f>
        <v>3.38766946903408</v>
      </c>
      <c r="BE63" s="2260" t="n">
        <f aca="false">BE58/V58-1</f>
        <v>-0.907240753436127</v>
      </c>
      <c r="BF63" s="2257"/>
      <c r="BG63" s="2260" t="n">
        <f aca="false">BG58/X58-1</f>
        <v>-0.7119759273712</v>
      </c>
      <c r="BH63" s="2260" t="n">
        <f aca="false">BH58/Y58-1</f>
        <v>2.10507128182063</v>
      </c>
    </row>
    <row r="64" customFormat="false" ht="16.4" hidden="false" customHeight="false" outlineLevel="0" collapsed="false">
      <c r="A64" s="379" t="s">
        <v>3679</v>
      </c>
      <c r="B64" s="2256"/>
      <c r="C64" s="2256"/>
      <c r="D64" s="2256"/>
      <c r="E64" s="2256"/>
      <c r="F64" s="2251"/>
      <c r="G64" s="390"/>
      <c r="H64" s="390"/>
      <c r="I64" s="410"/>
      <c r="J64" s="2251"/>
      <c r="K64" s="2251"/>
      <c r="L64" s="2251"/>
      <c r="M64" s="2251"/>
      <c r="N64" s="2251"/>
      <c r="O64" s="2251"/>
      <c r="P64" s="2251"/>
      <c r="Q64" s="2251"/>
      <c r="R64" s="2251"/>
      <c r="S64" s="2251"/>
      <c r="T64" s="2251"/>
      <c r="U64" s="2251"/>
      <c r="V64" s="2251"/>
      <c r="W64" s="2251"/>
      <c r="X64" s="2251"/>
      <c r="Y64" s="2251"/>
      <c r="Z64" s="2251"/>
      <c r="AA64" s="2251"/>
      <c r="AB64" s="2251"/>
      <c r="AC64" s="2251"/>
      <c r="AD64" s="2251"/>
      <c r="AE64" s="2251"/>
      <c r="AF64" s="2260" t="n">
        <f aca="false">AF58/AA58-1</f>
        <v>0.328640023302819</v>
      </c>
      <c r="AG64" s="2251"/>
      <c r="AH64" s="2260" t="n">
        <f aca="false">AH58/AC58-1</f>
        <v>0.193408979069073</v>
      </c>
      <c r="AI64" s="2260" t="n">
        <f aca="false">AI58/AD58-1</f>
        <v>-0.101781552461124</v>
      </c>
      <c r="AJ64" s="2251"/>
      <c r="AK64" s="2260" t="n">
        <f aca="false">AK58/AA58-1</f>
        <v>0.10906515994762</v>
      </c>
      <c r="AL64" s="2251"/>
      <c r="AM64" s="2260" t="n">
        <f aca="false">AM58/AC58-1</f>
        <v>-0.147632964147494</v>
      </c>
      <c r="AN64" s="2260" t="n">
        <f aca="false">AN58/AD58-1</f>
        <v>-0.231454501832189</v>
      </c>
      <c r="AO64" s="2251"/>
      <c r="AP64" s="2260" t="n">
        <f aca="false">AP58/AA58-1</f>
        <v>1.77114181778253</v>
      </c>
      <c r="AQ64" s="2251"/>
      <c r="AR64" s="2260" t="n">
        <f aca="false">AR58/AC58-1</f>
        <v>1.05367298743952</v>
      </c>
      <c r="AS64" s="2260" t="n">
        <f aca="false">AS58/AD58-1</f>
        <v>-0.258907294364722</v>
      </c>
      <c r="AT64" s="2251"/>
      <c r="AU64" s="2260" t="n">
        <f aca="false">AU58/AA58-1</f>
        <v>0.901792014209433</v>
      </c>
      <c r="AV64" s="2251"/>
      <c r="AW64" s="2260" t="n">
        <f aca="false">AW58/AC58-1</f>
        <v>0.766454603885041</v>
      </c>
      <c r="AX64" s="2260" t="n">
        <f aca="false">AX58/AD58-1</f>
        <v>-0.0711630973908841</v>
      </c>
      <c r="AY64" s="2260"/>
      <c r="AZ64" s="2260" t="n">
        <f aca="false">AZ58/AA58-1</f>
        <v>-0.0995333844395733</v>
      </c>
      <c r="BA64" s="2257"/>
      <c r="BB64" s="2260" t="n">
        <f aca="false">BB58/AC58-1</f>
        <v>1.47698302016721</v>
      </c>
      <c r="BC64" s="2260" t="n">
        <f aca="false">BC58/AD58-1</f>
        <v>1.75077718303371</v>
      </c>
      <c r="BE64" s="2260" t="n">
        <f aca="false">BE58/AA58-1</f>
        <v>-0.827526524494394</v>
      </c>
      <c r="BF64" s="2257"/>
      <c r="BG64" s="2260" t="n">
        <f aca="false">BG58/AC58-1</f>
        <v>-0.664250481268173</v>
      </c>
      <c r="BH64" s="2260" t="n">
        <f aca="false">BH58/AD58-1</f>
        <v>0.946673352221708</v>
      </c>
    </row>
    <row r="65" customFormat="false" ht="16.4" hidden="false" customHeight="false" outlineLevel="0" collapsed="false">
      <c r="A65" s="379" t="s">
        <v>3680</v>
      </c>
      <c r="B65" s="2256"/>
      <c r="C65" s="2256"/>
      <c r="D65" s="2256"/>
      <c r="E65" s="2256"/>
      <c r="F65" s="2251"/>
      <c r="G65" s="390"/>
      <c r="H65" s="390"/>
      <c r="I65" s="410"/>
      <c r="J65" s="2251"/>
      <c r="K65" s="2251"/>
      <c r="L65" s="2251"/>
      <c r="M65" s="2251"/>
      <c r="N65" s="2251"/>
      <c r="O65" s="2251"/>
      <c r="P65" s="2251"/>
      <c r="Q65" s="2251"/>
      <c r="R65" s="2251"/>
      <c r="S65" s="2251"/>
      <c r="T65" s="2251"/>
      <c r="U65" s="2251"/>
      <c r="V65" s="2251"/>
      <c r="W65" s="2251"/>
      <c r="X65" s="2251"/>
      <c r="Y65" s="2251"/>
      <c r="Z65" s="2251"/>
      <c r="AA65" s="2251"/>
      <c r="AB65" s="2251"/>
      <c r="AC65" s="2251"/>
      <c r="AD65" s="2251"/>
      <c r="AE65" s="2251"/>
      <c r="AF65" s="2251"/>
      <c r="AG65" s="2251"/>
      <c r="AH65" s="2251"/>
      <c r="AI65" s="2251"/>
      <c r="AJ65" s="2251"/>
      <c r="AK65" s="2260" t="n">
        <f aca="false">AK58/AF58-1</f>
        <v>-0.165262869930236</v>
      </c>
      <c r="AL65" s="2251"/>
      <c r="AM65" s="2260" t="n">
        <f aca="false">AM58/AH58-1</f>
        <v>-0.285771222772766</v>
      </c>
      <c r="AN65" s="2260" t="n">
        <f aca="false">AN58/AI58-1</f>
        <v>-0.144366829390299</v>
      </c>
      <c r="AO65" s="2251"/>
      <c r="AP65" s="2260" t="n">
        <f aca="false">AP58/AF58-1</f>
        <v>1.08569798378785</v>
      </c>
      <c r="AQ65" s="2251"/>
      <c r="AR65" s="2260" t="n">
        <f aca="false">AR58/AH58-1</f>
        <v>0.720845932499603</v>
      </c>
      <c r="AS65" s="2260" t="n">
        <f aca="false">AS58/AI58-1</f>
        <v>-0.174930432941032</v>
      </c>
      <c r="AT65" s="2251"/>
      <c r="AU65" s="2260" t="n">
        <f aca="false">AU58/AF58-1</f>
        <v>0.431382451871227</v>
      </c>
      <c r="AV65" s="2251"/>
      <c r="AW65" s="2260" t="n">
        <f aca="false">AW58/AH58-1</f>
        <v>0.48017539239815</v>
      </c>
      <c r="AX65" s="2260" t="n">
        <f aca="false">AX58/AI58-1</f>
        <v>0.0340879828889453</v>
      </c>
      <c r="AY65" s="2260"/>
      <c r="AZ65" s="2260" t="n">
        <f aca="false">AZ58/AF58-1</f>
        <v>-0.322264420936238</v>
      </c>
      <c r="BA65" s="2257"/>
      <c r="BB65" s="2260" t="n">
        <f aca="false">BB58/AH58-1</f>
        <v>1.07555252525366</v>
      </c>
      <c r="BC65" s="2260" t="n">
        <f aca="false">BC58/AI58-1</f>
        <v>2.06248128233266</v>
      </c>
      <c r="BE65" s="2260" t="n">
        <f aca="false">BE58/AF58-1</f>
        <v>-0.870187957249052</v>
      </c>
      <c r="BF65" s="2257"/>
      <c r="BG65" s="2260" t="n">
        <f aca="false">BG58/AH58-1</f>
        <v>-0.718663488694604</v>
      </c>
      <c r="BH65" s="2260" t="n">
        <f aca="false">BH58/AI58-1</f>
        <v>1.16726048942282</v>
      </c>
    </row>
    <row r="66" customFormat="false" ht="16.4" hidden="false" customHeight="false" outlineLevel="0" collapsed="false">
      <c r="A66" s="379" t="s">
        <v>3681</v>
      </c>
      <c r="B66" s="2256"/>
      <c r="C66" s="2256"/>
      <c r="D66" s="2256"/>
      <c r="E66" s="2256"/>
      <c r="F66" s="2251"/>
      <c r="G66" s="390"/>
      <c r="H66" s="390"/>
      <c r="I66" s="410"/>
      <c r="J66" s="2251"/>
      <c r="K66" s="2251"/>
      <c r="L66" s="2251"/>
      <c r="M66" s="2251"/>
      <c r="N66" s="2251"/>
      <c r="O66" s="2251"/>
      <c r="P66" s="2251"/>
      <c r="Q66" s="2251"/>
      <c r="R66" s="2251"/>
      <c r="S66" s="2251"/>
      <c r="T66" s="2251"/>
      <c r="U66" s="2251"/>
      <c r="V66" s="2251"/>
      <c r="W66" s="2251"/>
      <c r="X66" s="2251"/>
      <c r="Y66" s="2251"/>
      <c r="Z66" s="2251"/>
      <c r="AA66" s="2251"/>
      <c r="AB66" s="2251"/>
      <c r="AC66" s="2251"/>
      <c r="AD66" s="2251"/>
      <c r="AE66" s="2251"/>
      <c r="AF66" s="2251"/>
      <c r="AG66" s="2251"/>
      <c r="AH66" s="2251"/>
      <c r="AI66" s="2251"/>
      <c r="AJ66" s="2251"/>
      <c r="AK66" s="2251"/>
      <c r="AL66" s="2251"/>
      <c r="AM66" s="2251"/>
      <c r="AN66" s="2251"/>
      <c r="AO66" s="2251"/>
      <c r="AP66" s="2260" t="n">
        <f aca="false">AP58/AK58-1</f>
        <v>1.49862850070361</v>
      </c>
      <c r="AQ66" s="2251"/>
      <c r="AR66" s="2260" t="n">
        <f aca="false">AR58/AM58-1</f>
        <v>1.40937636142335</v>
      </c>
      <c r="AS66" s="2260" t="n">
        <f aca="false">AS58/AN58-1</f>
        <v>-0.035720451941986</v>
      </c>
      <c r="AT66" s="2251"/>
      <c r="AU66" s="2260" t="n">
        <f aca="false">AU58/AK58-1</f>
        <v>0.714770315478356</v>
      </c>
      <c r="AV66" s="2251"/>
      <c r="AW66" s="2260" t="n">
        <f aca="false">AW58/AM58-1</f>
        <v>1.07241074511791</v>
      </c>
      <c r="AX66" s="2260" t="n">
        <f aca="false">AX58/AN58-1</f>
        <v>0.208564626067597</v>
      </c>
      <c r="AY66" s="2260"/>
      <c r="AZ66" s="2260" t="n">
        <f aca="false">AZ58/AK58-1</f>
        <v>-0.188085021440079</v>
      </c>
      <c r="BA66" s="2257"/>
      <c r="BB66" s="2260" t="n">
        <f aca="false">BB58/AM58-1</f>
        <v>1.90600517849663</v>
      </c>
      <c r="BC66" s="2260" t="n">
        <f aca="false">BC58/AN58-1</f>
        <v>2.57919887578742</v>
      </c>
      <c r="BE66" s="2260" t="n">
        <f aca="false">BE58/AK58-1</f>
        <v>-0.844487518196179</v>
      </c>
      <c r="BF66" s="2257"/>
      <c r="BG66" s="2260" t="n">
        <f aca="false">BG58/AM58-1</f>
        <v>-0.606097485461738</v>
      </c>
      <c r="BH66" s="2260" t="n">
        <f aca="false">BH58/AN58-1</f>
        <v>1.53293182623868</v>
      </c>
    </row>
    <row r="67" customFormat="false" ht="16.4" hidden="false" customHeight="false" outlineLevel="0" collapsed="false">
      <c r="A67" s="379" t="s">
        <v>3682</v>
      </c>
      <c r="B67" s="2256"/>
      <c r="C67" s="2256"/>
      <c r="D67" s="2256"/>
      <c r="E67" s="2256"/>
      <c r="F67" s="2251"/>
      <c r="G67" s="390"/>
      <c r="H67" s="390"/>
      <c r="I67" s="410"/>
      <c r="J67" s="2251"/>
      <c r="K67" s="2251"/>
      <c r="L67" s="2251"/>
      <c r="M67" s="2251"/>
      <c r="N67" s="2251"/>
      <c r="O67" s="2251"/>
      <c r="P67" s="2251"/>
      <c r="Q67" s="2251"/>
      <c r="R67" s="2251"/>
      <c r="S67" s="2251"/>
      <c r="T67" s="2251"/>
      <c r="U67" s="2251"/>
      <c r="V67" s="2251"/>
      <c r="W67" s="2251"/>
      <c r="X67" s="2251"/>
      <c r="Y67" s="2251"/>
      <c r="Z67" s="2251"/>
      <c r="AA67" s="2251"/>
      <c r="AB67" s="2251"/>
      <c r="AC67" s="2251"/>
      <c r="AD67" s="2251"/>
      <c r="AE67" s="2251"/>
      <c r="AF67" s="2251"/>
      <c r="AG67" s="2251"/>
      <c r="AH67" s="2251"/>
      <c r="AI67" s="2251"/>
      <c r="AJ67" s="2251"/>
      <c r="AK67" s="2251"/>
      <c r="AL67" s="2251"/>
      <c r="AM67" s="2251"/>
      <c r="AN67" s="2251"/>
      <c r="AO67" s="2251"/>
      <c r="AP67" s="2251"/>
      <c r="AQ67" s="2251"/>
      <c r="AR67" s="2251"/>
      <c r="AS67" s="2251"/>
      <c r="AT67" s="2251"/>
      <c r="AU67" s="2260" t="n">
        <f aca="false">AU58/AP58-1</f>
        <v>-0.313715378258321</v>
      </c>
      <c r="AV67" s="2251"/>
      <c r="AW67" s="2260" t="n">
        <f aca="false">AW58/AR58-1</f>
        <v>-0.139855948493814</v>
      </c>
      <c r="AX67" s="2260" t="n">
        <f aca="false">AX58/AS58-1</f>
        <v>0.25333429346454</v>
      </c>
      <c r="AY67" s="2260"/>
      <c r="AZ67" s="2260" t="n">
        <f aca="false">AZ58/AP58-1</f>
        <v>-0.67505574424878</v>
      </c>
      <c r="BA67" s="2257"/>
      <c r="BB67" s="2260" t="n">
        <f aca="false">BB58/AR58-1</f>
        <v>0.206123387373111</v>
      </c>
      <c r="BC67" s="2260" t="n">
        <f aca="false">BC58/AS58-1</f>
        <v>2.71178553252079</v>
      </c>
      <c r="BE67" s="2260" t="n">
        <f aca="false">BE58/AP58-1</f>
        <v>-0.937760862905378</v>
      </c>
      <c r="BF67" s="2257"/>
      <c r="BG67" s="2260" t="n">
        <f aca="false">BG58/AR58-1</f>
        <v>-0.83651266740844</v>
      </c>
      <c r="BH67" s="2260" t="n">
        <f aca="false">BH58/AS58-1</f>
        <v>1.62676091320179</v>
      </c>
    </row>
    <row r="68" customFormat="false" ht="16.4" hidden="false" customHeight="false" outlineLevel="0" collapsed="false">
      <c r="A68" s="379" t="s">
        <v>3683</v>
      </c>
      <c r="B68" s="2256"/>
      <c r="C68" s="2256"/>
      <c r="D68" s="2256"/>
      <c r="E68" s="2256"/>
      <c r="F68" s="2251"/>
      <c r="G68" s="390"/>
      <c r="H68" s="390"/>
      <c r="I68" s="410"/>
      <c r="J68" s="2251"/>
      <c r="K68" s="2251"/>
      <c r="L68" s="2251"/>
      <c r="M68" s="2251"/>
      <c r="N68" s="2251"/>
      <c r="O68" s="2251"/>
      <c r="P68" s="2251"/>
      <c r="Q68" s="2251"/>
      <c r="R68" s="2251"/>
      <c r="S68" s="2251"/>
      <c r="T68" s="2251"/>
      <c r="U68" s="2251"/>
      <c r="V68" s="2251"/>
      <c r="W68" s="2251"/>
      <c r="X68" s="2251"/>
      <c r="Y68" s="2251"/>
      <c r="Z68" s="2251"/>
      <c r="AA68" s="2251"/>
      <c r="AB68" s="2251"/>
      <c r="AC68" s="2251"/>
      <c r="AD68" s="2251"/>
      <c r="AE68" s="2251"/>
      <c r="AF68" s="2251"/>
      <c r="AG68" s="2251"/>
      <c r="AH68" s="2251"/>
      <c r="AI68" s="2251"/>
      <c r="AJ68" s="2251"/>
      <c r="AK68" s="2251"/>
      <c r="AL68" s="2251"/>
      <c r="AM68" s="2251"/>
      <c r="AN68" s="2251"/>
      <c r="AO68" s="2251"/>
      <c r="AP68" s="2251"/>
      <c r="AQ68" s="2251"/>
      <c r="AR68" s="2251"/>
      <c r="AS68" s="2251"/>
      <c r="AT68" s="2251"/>
      <c r="AU68" s="2251"/>
      <c r="AV68" s="2251"/>
      <c r="AW68" s="2251"/>
      <c r="AX68" s="2251"/>
      <c r="AY68" s="2251"/>
      <c r="AZ68" s="2260" t="n">
        <f aca="false">AZ58/AU58-1</f>
        <v>-0.526516775319016</v>
      </c>
      <c r="BA68" s="2257"/>
      <c r="BB68" s="2260" t="n">
        <f aca="false">BB58/AW58-1</f>
        <v>0.402234178404286</v>
      </c>
      <c r="BC68" s="2260" t="n">
        <f aca="false">BC58/AX58-1</f>
        <v>1.96152874127496</v>
      </c>
      <c r="BE68" s="2260" t="n">
        <f aca="false">BE58/AU58-1</f>
        <v>-0.909310022222749</v>
      </c>
      <c r="BF68" s="2257"/>
      <c r="BG68" s="2260" t="n">
        <f aca="false">BG58/AW58-1</f>
        <v>-0.809930287484661</v>
      </c>
      <c r="BH68" s="2260" t="n">
        <f aca="false">BH58/AX58-1</f>
        <v>1.0958182720276</v>
      </c>
    </row>
    <row r="69" customFormat="false" ht="16.4" hidden="false" customHeight="false" outlineLevel="0" collapsed="false">
      <c r="A69" s="379" t="s">
        <v>3684</v>
      </c>
      <c r="B69" s="2256"/>
      <c r="C69" s="2256"/>
      <c r="D69" s="2256"/>
      <c r="E69" s="2256"/>
      <c r="F69" s="2251"/>
      <c r="G69" s="390"/>
      <c r="H69" s="390"/>
      <c r="I69" s="410"/>
      <c r="J69" s="2251"/>
      <c r="K69" s="2251"/>
      <c r="L69" s="2251"/>
      <c r="M69" s="2251"/>
      <c r="N69" s="2251"/>
      <c r="O69" s="2251"/>
      <c r="P69" s="2251"/>
      <c r="Q69" s="2251"/>
      <c r="R69" s="2251"/>
      <c r="S69" s="2251"/>
      <c r="T69" s="2251"/>
      <c r="U69" s="2251"/>
      <c r="V69" s="2251"/>
      <c r="W69" s="2251"/>
      <c r="X69" s="2251"/>
      <c r="Y69" s="2251"/>
      <c r="Z69" s="2251"/>
      <c r="AA69" s="2251"/>
      <c r="AB69" s="2251"/>
      <c r="AC69" s="2251"/>
      <c r="AD69" s="2251"/>
      <c r="AE69" s="2251"/>
      <c r="AF69" s="2251"/>
      <c r="AG69" s="2251"/>
      <c r="AH69" s="2251"/>
      <c r="AI69" s="2251"/>
      <c r="AJ69" s="2251"/>
      <c r="AK69" s="2251"/>
      <c r="AL69" s="2251"/>
      <c r="AM69" s="2251"/>
      <c r="AN69" s="2251"/>
      <c r="AO69" s="2251"/>
      <c r="AP69" s="2251"/>
      <c r="AQ69" s="2251"/>
      <c r="AR69" s="2251"/>
      <c r="AS69" s="2251"/>
      <c r="AT69" s="2251"/>
      <c r="AU69" s="2251"/>
      <c r="AV69" s="2251"/>
      <c r="AW69" s="2251"/>
      <c r="AX69" s="2251"/>
      <c r="AY69" s="2251"/>
      <c r="AZ69" s="2260"/>
      <c r="BA69" s="2257"/>
      <c r="BB69" s="2260"/>
      <c r="BC69" s="2260"/>
      <c r="BE69" s="2260" t="n">
        <f aca="false">BE58/AZ58-1</f>
        <v>-0.808462110060279</v>
      </c>
      <c r="BF69" s="2257"/>
      <c r="BG69" s="2260" t="n">
        <f aca="false">BG58/BB58-1</f>
        <v>-0.864452232414108</v>
      </c>
      <c r="BH69" s="2260" t="n">
        <f aca="false">BH58/BC58-1</f>
        <v>-0.292318780223846</v>
      </c>
    </row>
    <row r="70" customFormat="false" ht="17.35" hidden="false" customHeight="false" outlineLevel="0" collapsed="false">
      <c r="A70" s="316"/>
      <c r="B70" s="2218" t="s">
        <v>3686</v>
      </c>
      <c r="C70" s="2218"/>
      <c r="D70" s="2218"/>
      <c r="E70" s="2218"/>
      <c r="F70" s="316"/>
      <c r="G70" s="2218" t="s">
        <v>3686</v>
      </c>
      <c r="H70" s="2218"/>
      <c r="I70" s="2218"/>
      <c r="J70" s="2218"/>
      <c r="K70" s="316"/>
      <c r="L70" s="2218" t="s">
        <v>3686</v>
      </c>
      <c r="M70" s="2218"/>
      <c r="N70" s="2218"/>
      <c r="O70" s="2218"/>
      <c r="P70" s="316"/>
      <c r="Q70" s="2218" t="s">
        <v>3686</v>
      </c>
      <c r="R70" s="2218"/>
      <c r="S70" s="2218"/>
      <c r="T70" s="2218"/>
      <c r="U70" s="316"/>
      <c r="V70" s="2218" t="s">
        <v>3686</v>
      </c>
      <c r="W70" s="2218"/>
      <c r="X70" s="2218"/>
      <c r="Y70" s="2218"/>
      <c r="Z70" s="316"/>
      <c r="AA70" s="2218" t="s">
        <v>3686</v>
      </c>
      <c r="AB70" s="2218"/>
      <c r="AC70" s="2218"/>
      <c r="AD70" s="2218"/>
      <c r="AE70" s="316"/>
      <c r="AF70" s="2218" t="s">
        <v>3686</v>
      </c>
      <c r="AG70" s="2218"/>
      <c r="AH70" s="2218"/>
      <c r="AI70" s="2218"/>
      <c r="AJ70" s="316"/>
      <c r="AK70" s="2218" t="s">
        <v>3686</v>
      </c>
      <c r="AL70" s="2218"/>
      <c r="AM70" s="2218"/>
      <c r="AN70" s="2218"/>
      <c r="AO70" s="316"/>
      <c r="AP70" s="2218" t="s">
        <v>3686</v>
      </c>
      <c r="AQ70" s="2218"/>
      <c r="AR70" s="2218"/>
      <c r="AS70" s="2218"/>
      <c r="AT70" s="316"/>
      <c r="AU70" s="2218" t="s">
        <v>3686</v>
      </c>
      <c r="AV70" s="2218"/>
      <c r="AW70" s="2218"/>
      <c r="AX70" s="2218"/>
      <c r="AY70" s="2219"/>
      <c r="AZ70" s="2218" t="s">
        <v>3686</v>
      </c>
      <c r="BA70" s="2218"/>
      <c r="BB70" s="2218"/>
      <c r="BC70" s="2218"/>
      <c r="BE70" s="2218" t="s">
        <v>3686</v>
      </c>
      <c r="BF70" s="2218"/>
      <c r="BG70" s="2218"/>
      <c r="BH70" s="2218"/>
    </row>
    <row r="71" customFormat="false" ht="15" hidden="false" customHeight="false" outlineLevel="0" collapsed="false">
      <c r="A71" s="2220"/>
      <c r="B71" s="2221" t="s">
        <v>3667</v>
      </c>
      <c r="C71" s="2221"/>
      <c r="D71" s="2221"/>
      <c r="E71" s="2222" t="n">
        <f aca="false">D92/D126</f>
        <v>0.314836101999901</v>
      </c>
      <c r="F71" s="2223"/>
      <c r="G71" s="2221" t="s">
        <v>3668</v>
      </c>
      <c r="H71" s="2221"/>
      <c r="I71" s="2221"/>
      <c r="J71" s="2222" t="n">
        <f aca="false">I92/I126</f>
        <v>0.199388517007588</v>
      </c>
      <c r="K71" s="2223"/>
      <c r="L71" s="2221" t="s">
        <v>3669</v>
      </c>
      <c r="M71" s="2221"/>
      <c r="N71" s="2221"/>
      <c r="O71" s="2224" t="n">
        <f aca="false">N92/N126</f>
        <v>0.109618788905865</v>
      </c>
      <c r="P71" s="2225"/>
      <c r="Q71" s="2221" t="s">
        <v>3670</v>
      </c>
      <c r="R71" s="2221"/>
      <c r="S71" s="2221"/>
      <c r="T71" s="2224" t="n">
        <f aca="false">S92/S126</f>
        <v>0.119369076820985</v>
      </c>
      <c r="U71" s="2225"/>
      <c r="V71" s="2227" t="n">
        <v>0.9375</v>
      </c>
      <c r="W71" s="2227"/>
      <c r="X71" s="2227"/>
      <c r="Y71" s="2224" t="n">
        <f aca="false">X92/X126</f>
        <v>0.0636763262118192</v>
      </c>
      <c r="Z71" s="2225"/>
      <c r="AA71" s="2227" t="n">
        <v>0.941176470588235</v>
      </c>
      <c r="AB71" s="2227"/>
      <c r="AC71" s="2227"/>
      <c r="AD71" s="2224" t="n">
        <f aca="false">AC92/AC126</f>
        <v>0.223469498873393</v>
      </c>
      <c r="AE71" s="2225"/>
      <c r="AF71" s="2227" t="n">
        <v>0.944444444444444</v>
      </c>
      <c r="AG71" s="2227"/>
      <c r="AH71" s="2227"/>
      <c r="AI71" s="2224" t="n">
        <f aca="false">AH92/AH126</f>
        <v>0.028765457711585</v>
      </c>
      <c r="AJ71" s="2225"/>
      <c r="AK71" s="2227" t="n">
        <v>0.947368421052632</v>
      </c>
      <c r="AL71" s="2227"/>
      <c r="AM71" s="2227"/>
      <c r="AN71" s="2224" t="n">
        <f aca="false">AM92/AM126</f>
        <v>0.0553851364207869</v>
      </c>
      <c r="AO71" s="2225"/>
      <c r="AP71" s="2227" t="n">
        <v>0.95</v>
      </c>
      <c r="AQ71" s="2227"/>
      <c r="AR71" s="2227"/>
      <c r="AS71" s="2224" t="n">
        <f aca="false">AR92/AR126</f>
        <v>0.0264380499329087</v>
      </c>
      <c r="AT71" s="2225"/>
      <c r="AU71" s="2227" t="n">
        <v>0.952380952380952</v>
      </c>
      <c r="AV71" s="2227"/>
      <c r="AW71" s="2227"/>
      <c r="AX71" s="2224" t="n">
        <f aca="false">AW92/AW126</f>
        <v>0.0272777830095212</v>
      </c>
      <c r="AY71" s="2225"/>
      <c r="AZ71" s="2221" t="s">
        <v>3685</v>
      </c>
      <c r="BA71" s="2221"/>
      <c r="BB71" s="2221"/>
      <c r="BC71" s="2224" t="n">
        <f aca="false">BB92/BB126</f>
        <v>0.00622564837868856</v>
      </c>
      <c r="BE71" s="2221" t="s">
        <v>3671</v>
      </c>
      <c r="BF71" s="2221"/>
      <c r="BG71" s="2221"/>
      <c r="BH71" s="2224" t="n">
        <f aca="false">BG92/BG126</f>
        <v>0</v>
      </c>
    </row>
    <row r="72" customFormat="false" ht="14.25" hidden="false" customHeight="false" outlineLevel="0" collapsed="false">
      <c r="A72" s="2228" t="s">
        <v>1</v>
      </c>
      <c r="B72" s="2229" t="s">
        <v>1647</v>
      </c>
      <c r="C72" s="2230"/>
      <c r="D72" s="2230" t="s">
        <v>1648</v>
      </c>
      <c r="E72" s="2231" t="s">
        <v>3672</v>
      </c>
      <c r="F72" s="2230"/>
      <c r="G72" s="2229" t="s">
        <v>1647</v>
      </c>
      <c r="H72" s="2230"/>
      <c r="I72" s="2230" t="s">
        <v>1648</v>
      </c>
      <c r="J72" s="2231" t="s">
        <v>3672</v>
      </c>
      <c r="K72" s="2230"/>
      <c r="L72" s="2229" t="s">
        <v>1647</v>
      </c>
      <c r="M72" s="2230"/>
      <c r="N72" s="2230" t="s">
        <v>1648</v>
      </c>
      <c r="O72" s="2231" t="s">
        <v>3672</v>
      </c>
      <c r="P72" s="2230"/>
      <c r="Q72" s="2229" t="s">
        <v>1647</v>
      </c>
      <c r="R72" s="2230"/>
      <c r="S72" s="2230" t="s">
        <v>1648</v>
      </c>
      <c r="T72" s="2231" t="s">
        <v>3672</v>
      </c>
      <c r="U72" s="2230"/>
      <c r="V72" s="2229" t="s">
        <v>1647</v>
      </c>
      <c r="W72" s="2230"/>
      <c r="X72" s="2230" t="s">
        <v>1648</v>
      </c>
      <c r="Y72" s="2231" t="s">
        <v>3672</v>
      </c>
      <c r="Z72" s="2230"/>
      <c r="AA72" s="2229" t="s">
        <v>1647</v>
      </c>
      <c r="AB72" s="2230"/>
      <c r="AC72" s="2230" t="s">
        <v>1648</v>
      </c>
      <c r="AD72" s="2231" t="s">
        <v>3672</v>
      </c>
      <c r="AE72" s="2230"/>
      <c r="AF72" s="2229" t="s">
        <v>1647</v>
      </c>
      <c r="AG72" s="2230"/>
      <c r="AH72" s="2230" t="s">
        <v>1648</v>
      </c>
      <c r="AI72" s="2231" t="s">
        <v>3672</v>
      </c>
      <c r="AJ72" s="2230"/>
      <c r="AK72" s="2229" t="s">
        <v>1647</v>
      </c>
      <c r="AL72" s="2230"/>
      <c r="AM72" s="2230" t="s">
        <v>1648</v>
      </c>
      <c r="AN72" s="2231" t="s">
        <v>3672</v>
      </c>
      <c r="AO72" s="2230"/>
      <c r="AP72" s="2229" t="s">
        <v>1647</v>
      </c>
      <c r="AQ72" s="2230"/>
      <c r="AR72" s="2230" t="s">
        <v>1648</v>
      </c>
      <c r="AS72" s="2231" t="s">
        <v>3672</v>
      </c>
      <c r="AT72" s="2230"/>
      <c r="AU72" s="2229" t="s">
        <v>1647</v>
      </c>
      <c r="AV72" s="2230"/>
      <c r="AW72" s="2230" t="s">
        <v>1648</v>
      </c>
      <c r="AX72" s="2231" t="s">
        <v>3672</v>
      </c>
      <c r="AY72" s="2230"/>
      <c r="AZ72" s="2229" t="s">
        <v>1647</v>
      </c>
      <c r="BA72" s="2230"/>
      <c r="BB72" s="2230" t="s">
        <v>1648</v>
      </c>
      <c r="BC72" s="2231" t="s">
        <v>3672</v>
      </c>
      <c r="BE72" s="2229" t="s">
        <v>1647</v>
      </c>
      <c r="BF72" s="2230"/>
      <c r="BG72" s="2230" t="s">
        <v>1648</v>
      </c>
      <c r="BH72" s="2231" t="s">
        <v>3672</v>
      </c>
    </row>
    <row r="73" customFormat="false" ht="14.25" hidden="false" customHeight="false" outlineLevel="0" collapsed="false">
      <c r="A73" s="9" t="s">
        <v>5</v>
      </c>
      <c r="B73" s="2275" t="n">
        <f aca="false">'[14]Vendas Real'!$J$9+'[14]Vendas Real'!$N$26</f>
        <v>13186322.8</v>
      </c>
      <c r="C73" s="48"/>
      <c r="D73" s="2237" t="n">
        <f aca="false">'[14]Vendas Real'!$K$9+'[14]Vendas Real'!$O$26</f>
        <v>1045977.65</v>
      </c>
      <c r="E73" s="2233" t="n">
        <f aca="false">D73/B73</f>
        <v>0.0793229216260351</v>
      </c>
      <c r="G73" s="2275" t="n">
        <f aca="false">'[15]VR Geral'!$L$27</f>
        <v>9877353.95</v>
      </c>
      <c r="H73" s="48"/>
      <c r="I73" s="2237" t="n">
        <f aca="false">'[15]VR Geral'!$M$27</f>
        <v>788250</v>
      </c>
      <c r="J73" s="2233" t="n">
        <f aca="false">I73/G73</f>
        <v>0.0798037616137063</v>
      </c>
      <c r="L73" s="2276" t="n">
        <f aca="false">[5]VENDA!$I$5</f>
        <v>2277449.85</v>
      </c>
      <c r="M73" s="2277"/>
      <c r="N73" s="2237" t="n">
        <f aca="false">[5]VENDA!$J$5</f>
        <v>235763.36</v>
      </c>
      <c r="O73" s="2233" t="n">
        <f aca="false">N73/L73</f>
        <v>0.103520769074234</v>
      </c>
      <c r="Q73" s="2276" t="n">
        <f aca="false">[6]VENDA!$I$5</f>
        <v>2425568.65</v>
      </c>
      <c r="R73" s="2277"/>
      <c r="S73" s="200" t="n">
        <f aca="false">[6]VENDA!$J$5</f>
        <v>211845</v>
      </c>
      <c r="T73" s="2233" t="n">
        <f aca="false">S73/Q73</f>
        <v>0.0873382825095468</v>
      </c>
      <c r="V73" s="2234" t="n">
        <f aca="false">[7]VEND!$I$5</f>
        <v>540000</v>
      </c>
      <c r="W73" s="100"/>
      <c r="X73" s="203" t="n">
        <f aca="false">[7]VEND!$J$5</f>
        <v>50940</v>
      </c>
      <c r="Y73" s="2233" t="n">
        <f aca="false">X73/V73</f>
        <v>0.0943333333333333</v>
      </c>
      <c r="AA73" s="2234" t="n">
        <f aca="false">[8]VEND!$I5</f>
        <v>3234402.8</v>
      </c>
      <c r="AB73" s="100"/>
      <c r="AC73" s="203" t="n">
        <f aca="false">[8]VEND!$J5</f>
        <v>705892.27</v>
      </c>
      <c r="AD73" s="2233" t="n">
        <f aca="false">AC73/AA73</f>
        <v>0.21824500955787</v>
      </c>
      <c r="AE73" s="100"/>
      <c r="AF73" s="2234" t="n">
        <f aca="false">'[9]HIST.'!$AF$63</f>
        <v>467817.6</v>
      </c>
      <c r="AG73" s="100"/>
      <c r="AH73" s="203" t="n">
        <f aca="false">'[9]HIST.'!$AH$63</f>
        <v>64066.5</v>
      </c>
      <c r="AI73" s="2233" t="n">
        <f aca="false">AH73/AF73</f>
        <v>0.136947605220496</v>
      </c>
      <c r="AK73" s="2234" t="n">
        <f aca="false">'[10]HIST.'!AK65</f>
        <v>9099215.6868</v>
      </c>
      <c r="AL73" s="100"/>
      <c r="AM73" s="203" t="n">
        <f aca="false">'[10]HIST.'!AM65</f>
        <v>613494.9</v>
      </c>
      <c r="AN73" s="2233" t="n">
        <f aca="false">AM73/AK73</f>
        <v>0.0674228330349374</v>
      </c>
      <c r="AP73" s="2234" t="n">
        <f aca="false">'[11]HIST.'!AP67</f>
        <v>1789599.9996</v>
      </c>
      <c r="AQ73" s="100"/>
      <c r="AR73" s="203" t="n">
        <f aca="false">'[11]HIST.'!AR67</f>
        <v>178657.113386</v>
      </c>
      <c r="AS73" s="2233" t="n">
        <f aca="false">AR73/AP73</f>
        <v>0.0998307518025996</v>
      </c>
      <c r="AU73" s="2276" t="n">
        <f aca="false" t="array" ref="AU73:AU91">'[12]HIST.'!$AU$69:$AU$87</f>
        <v>0</v>
      </c>
      <c r="AW73" s="44" t="n">
        <f aca="false" t="array" ref="AW73:AW91">'[12]HIST.'!$AW$69:$AW$87</f>
        <v>0</v>
      </c>
      <c r="AX73" s="2278" t="e">
        <f aca="false" t="array" ref="AX73:AX91">'[12]HIST.'!$AX$69:$AX$87</f>
        <v>#DIV/0!</v>
      </c>
      <c r="AZ73" s="2276" t="n">
        <f aca="false">[13]VENDA!J5</f>
        <v>326160</v>
      </c>
      <c r="BA73" s="2277"/>
      <c r="BB73" s="2237" t="n">
        <f aca="false">[13]VENDA!K5</f>
        <v>70155.6</v>
      </c>
      <c r="BC73" s="2233" t="n">
        <f aca="false">BB73/AZ73</f>
        <v>0.21509565857248</v>
      </c>
      <c r="BE73" s="2276" t="n">
        <f aca="false">VEN!K5</f>
        <v>0</v>
      </c>
      <c r="BF73" s="2277"/>
      <c r="BG73" s="2237" t="n">
        <f aca="false">VEN!L5</f>
        <v>0</v>
      </c>
      <c r="BH73" s="2233" t="e">
        <f aca="false">BG73/BE73</f>
        <v>#DIV/0!</v>
      </c>
    </row>
    <row r="74" customFormat="false" ht="14.25" hidden="false" customHeight="false" outlineLevel="0" collapsed="false">
      <c r="A74" s="9" t="s">
        <v>6</v>
      </c>
      <c r="B74" s="2275" t="n">
        <f aca="false">'[14]Vendas Real'!$J$13+'[14]Vendas Real'!$N$30</f>
        <v>655360</v>
      </c>
      <c r="C74" s="48"/>
      <c r="D74" s="2237" t="n">
        <f aca="false">'[14]Vendas Real'!$K$13+'[14]Vendas Real'!$O$30</f>
        <v>83038.1</v>
      </c>
      <c r="E74" s="2233" t="n">
        <f aca="false">D74/B74</f>
        <v>0.126706085205078</v>
      </c>
      <c r="G74" s="2275" t="n">
        <f aca="false">'[15]VR Geral'!$L$31</f>
        <v>87450</v>
      </c>
      <c r="H74" s="48"/>
      <c r="I74" s="2237" t="n">
        <f aca="false">'[15]VR Geral'!$M$31</f>
        <v>15697.4</v>
      </c>
      <c r="J74" s="2233" t="n">
        <f aca="false">I74/G74</f>
        <v>0.179501429388222</v>
      </c>
      <c r="L74" s="2276" t="n">
        <f aca="false">'[5]HIST.'!$J$49</f>
        <v>4650000</v>
      </c>
      <c r="M74" s="2277"/>
      <c r="N74" s="2237" t="n">
        <f aca="false">[5]VENDA!$J$6</f>
        <v>484965</v>
      </c>
      <c r="O74" s="2233" t="n">
        <f aca="false">N74/L74</f>
        <v>0.104293548387097</v>
      </c>
      <c r="Q74" s="2276" t="n">
        <f aca="false">[6]VENDA!$I$6</f>
        <v>4021500</v>
      </c>
      <c r="R74" s="2277"/>
      <c r="S74" s="200" t="n">
        <f aca="false">[6]VENDA!$J$6</f>
        <v>452945</v>
      </c>
      <c r="T74" s="2233" t="n">
        <f aca="false">S74/Q74</f>
        <v>0.112630859132165</v>
      </c>
      <c r="V74" s="2234" t="n">
        <f aca="false">[7]VEND!$I$6</f>
        <v>810000</v>
      </c>
      <c r="W74" s="100"/>
      <c r="X74" s="203" t="n">
        <f aca="false">[7]VEND!$J$6</f>
        <v>106460</v>
      </c>
      <c r="Y74" s="2233" t="n">
        <f aca="false">X74/V74</f>
        <v>0.131432098765432</v>
      </c>
      <c r="AA74" s="2234" t="n">
        <f aca="false">[8]VEND!$I6</f>
        <v>13967353.066</v>
      </c>
      <c r="AB74" s="100"/>
      <c r="AC74" s="203" t="n">
        <f aca="false">[8]VEND!$J6</f>
        <v>3350384.4</v>
      </c>
      <c r="AD74" s="2233" t="n">
        <f aca="false">AC74/AA74</f>
        <v>0.239872535917751</v>
      </c>
      <c r="AE74" s="100"/>
      <c r="AF74" s="2234" t="n">
        <f aca="false">'[9]HIST.'!$AF$64</f>
        <v>405000</v>
      </c>
      <c r="AG74" s="100"/>
      <c r="AH74" s="203" t="n">
        <f aca="false">'[9]HIST.'!$AH$64</f>
        <v>56632.5</v>
      </c>
      <c r="AI74" s="2233" t="n">
        <f aca="false">AH74/AF74</f>
        <v>0.139833333333333</v>
      </c>
      <c r="AK74" s="2234" t="n">
        <f aca="false">'[10]HIST.'!AK66</f>
        <v>0</v>
      </c>
      <c r="AL74" s="100"/>
      <c r="AM74" s="203" t="n">
        <f aca="false">'[10]HIST.'!AM66</f>
        <v>0</v>
      </c>
      <c r="AN74" s="2233" t="n">
        <v>0</v>
      </c>
      <c r="AP74" s="2234" t="n">
        <f aca="false">'[11]HIST.'!AP68</f>
        <v>1656199.9998</v>
      </c>
      <c r="AQ74" s="100"/>
      <c r="AR74" s="203" t="n">
        <f aca="false">'[11]HIST.'!AR68</f>
        <v>233687.816614</v>
      </c>
      <c r="AS74" s="2233" t="n">
        <f aca="false">AR74/AP74</f>
        <v>0.141098790388975</v>
      </c>
      <c r="AU74" s="2279" t="n">
        <v>0</v>
      </c>
      <c r="AW74" s="44" t="n">
        <v>0</v>
      </c>
      <c r="AX74" s="2278" t="e">
        <v>#DIV/0!</v>
      </c>
      <c r="AZ74" s="2276" t="n">
        <f aca="false">[13]VENDA!J9</f>
        <v>0</v>
      </c>
      <c r="BA74" s="2277"/>
      <c r="BB74" s="2237" t="n">
        <f aca="false">[13]VENDA!K9</f>
        <v>0</v>
      </c>
      <c r="BC74" s="2233" t="n">
        <v>0</v>
      </c>
      <c r="BE74" s="2276" t="n">
        <f aca="false">VEN!K9</f>
        <v>0</v>
      </c>
      <c r="BF74" s="2277"/>
      <c r="BG74" s="2237" t="n">
        <f aca="false">VEN!L9</f>
        <v>0</v>
      </c>
      <c r="BH74" s="2233" t="e">
        <f aca="false">BG74/BE74</f>
        <v>#DIV/0!</v>
      </c>
    </row>
    <row r="75" customFormat="false" ht="14.25" hidden="false" customHeight="false" outlineLevel="0" collapsed="false">
      <c r="A75" s="9" t="s">
        <v>7</v>
      </c>
      <c r="B75" s="2275" t="n">
        <f aca="false">'[14]Vendas Real'!$J$10+'[14]Vendas Real'!$N$27</f>
        <v>4712548</v>
      </c>
      <c r="C75" s="48"/>
      <c r="D75" s="2237" t="n">
        <f aca="false">'[14]Vendas Real'!$K$10+'[14]Vendas Real'!$O$27</f>
        <v>726038.13</v>
      </c>
      <c r="E75" s="2233" t="n">
        <f aca="false">D75/B75</f>
        <v>0.154064877429365</v>
      </c>
      <c r="G75" s="2275" t="n">
        <f aca="false">'[15]VR Geral'!$L$28</f>
        <v>4154173</v>
      </c>
      <c r="H75" s="48"/>
      <c r="I75" s="2237" t="n">
        <f aca="false">'[15]VR Geral'!$M$28</f>
        <v>404500</v>
      </c>
      <c r="J75" s="2233" t="n">
        <f aca="false">I75/G75</f>
        <v>0.0973719678983037</v>
      </c>
      <c r="L75" s="2276" t="n">
        <f aca="false">'[5]HIST.'!$J$50</f>
        <v>4745294.4</v>
      </c>
      <c r="M75" s="2277"/>
      <c r="N75" s="2237" t="n">
        <f aca="false">[5]VENDA!$J$7</f>
        <v>420051.32</v>
      </c>
      <c r="O75" s="2233" t="n">
        <f aca="false">N75/L75</f>
        <v>0.0885195489662349</v>
      </c>
      <c r="Q75" s="2276" t="n">
        <f aca="false">[6]VENDA!$I$7</f>
        <v>4449112.5</v>
      </c>
      <c r="R75" s="2277"/>
      <c r="S75" s="200" t="n">
        <f aca="false">[6]VENDA!$J$7</f>
        <v>557929.25</v>
      </c>
      <c r="T75" s="2233" t="n">
        <f aca="false">S75/Q75</f>
        <v>0.125402369573707</v>
      </c>
      <c r="V75" s="2234" t="n">
        <f aca="false">[7]VEND!$I$7</f>
        <v>1044000</v>
      </c>
      <c r="W75" s="100"/>
      <c r="X75" s="203" t="n">
        <f aca="false">[7]VEND!$J$7</f>
        <v>137600</v>
      </c>
      <c r="Y75" s="2233" t="n">
        <f aca="false">X75/V75</f>
        <v>0.131800766283525</v>
      </c>
      <c r="AA75" s="2234" t="n">
        <f aca="false">[8]VEND!$I7</f>
        <v>480000</v>
      </c>
      <c r="AB75" s="100"/>
      <c r="AC75" s="203" t="n">
        <f aca="false">[8]VEND!$J7</f>
        <v>69760</v>
      </c>
      <c r="AD75" s="2233" t="n">
        <f aca="false">AC75/AA75</f>
        <v>0.145333333333333</v>
      </c>
      <c r="AE75" s="100"/>
      <c r="AF75" s="2234" t="n">
        <f aca="false">'[9]HIST.'!$AF$65</f>
        <v>626499.9996</v>
      </c>
      <c r="AG75" s="100"/>
      <c r="AH75" s="203" t="n">
        <f aca="false">'[9]HIST.'!$AH$65</f>
        <v>85880.25</v>
      </c>
      <c r="AI75" s="2233" t="n">
        <f aca="false">AH75/AF75</f>
        <v>0.137079409504919</v>
      </c>
      <c r="AK75" s="2234" t="n">
        <f aca="false">'[10]HIST.'!AK67</f>
        <v>485915.1</v>
      </c>
      <c r="AL75" s="100"/>
      <c r="AM75" s="203" t="n">
        <f aca="false">'[10]HIST.'!AM67</f>
        <v>46161.93</v>
      </c>
      <c r="AN75" s="2233" t="n">
        <f aca="false">AM75/AK75</f>
        <v>0.094999990739123</v>
      </c>
      <c r="AP75" s="2234" t="n">
        <f aca="false">'[11]HIST.'!AP69</f>
        <v>230559.9996</v>
      </c>
      <c r="AQ75" s="100"/>
      <c r="AR75" s="203" t="n">
        <f aca="false">'[11]HIST.'!AR69</f>
        <v>33012</v>
      </c>
      <c r="AS75" s="2233" t="n">
        <f aca="false">AR75/AP75</f>
        <v>0.143181818430225</v>
      </c>
      <c r="AU75" s="2279" t="n">
        <v>994500</v>
      </c>
      <c r="AW75" s="44" t="n">
        <v>296692.5</v>
      </c>
      <c r="AX75" s="2280" t="n">
        <v>0.298333333333333</v>
      </c>
      <c r="AY75" s="2281"/>
      <c r="AZ75" s="2276" t="n">
        <f aca="false">[13]VENDA!J14</f>
        <v>1517580</v>
      </c>
      <c r="BA75" s="2277"/>
      <c r="BB75" s="2237" t="n">
        <f aca="false">[13]VENDA!K14</f>
        <v>453009.54</v>
      </c>
      <c r="BC75" s="2233" t="n">
        <f aca="false">BB75/AZ75</f>
        <v>0.298507848021192</v>
      </c>
      <c r="BE75" s="2276" t="n">
        <f aca="false">VEN!K14</f>
        <v>0</v>
      </c>
      <c r="BF75" s="2277"/>
      <c r="BG75" s="2237" t="n">
        <f aca="false">VEN!L14</f>
        <v>0</v>
      </c>
      <c r="BH75" s="2233" t="e">
        <f aca="false">BG75/BE75</f>
        <v>#DIV/0!</v>
      </c>
    </row>
    <row r="76" customFormat="false" ht="14.25" hidden="false" customHeight="false" outlineLevel="0" collapsed="false">
      <c r="A76" s="9" t="s">
        <v>42</v>
      </c>
      <c r="B76" s="2275" t="n">
        <f aca="false">'[14]Vendas Real'!$J$12+'[14]Vendas Real'!$N$29</f>
        <v>2146940</v>
      </c>
      <c r="C76" s="48"/>
      <c r="D76" s="2237" t="n">
        <f aca="false">'[14]Vendas Real'!$K$12+'[14]Vendas Real'!$O$29</f>
        <v>332346.6</v>
      </c>
      <c r="E76" s="2233" t="n">
        <f aca="false">D76/B76</f>
        <v>0.15480013414441</v>
      </c>
      <c r="G76" s="2275" t="n">
        <f aca="false">'[15]VR Geral'!$L$30</f>
        <v>4144850.5845</v>
      </c>
      <c r="H76" s="48"/>
      <c r="I76" s="2237" t="n">
        <f aca="false">'[15]VR Geral'!$M$30</f>
        <v>346255</v>
      </c>
      <c r="J76" s="2233" t="n">
        <f aca="false">I76/G76</f>
        <v>0.0835385963718085</v>
      </c>
      <c r="L76" s="2276" t="n">
        <f aca="false">'[5]HIST.'!$J$51</f>
        <v>498100</v>
      </c>
      <c r="M76" s="2277"/>
      <c r="N76" s="2237" t="n">
        <f aca="false">[5]VENDA!$J$8</f>
        <v>64452</v>
      </c>
      <c r="O76" s="2233" t="n">
        <f aca="false">N76/L76</f>
        <v>0.129395703673961</v>
      </c>
      <c r="Q76" s="2276" t="n">
        <f aca="false">[6]VENDA!$I$8</f>
        <v>661125</v>
      </c>
      <c r="R76" s="2277"/>
      <c r="S76" s="200" t="n">
        <f aca="false">[6]VENDA!$J$8</f>
        <v>95726.5</v>
      </c>
      <c r="T76" s="2233" t="n">
        <f aca="false">S76/Q76</f>
        <v>0.144793344677633</v>
      </c>
      <c r="V76" s="2234" t="n">
        <f aca="false">[7]VEND!$I$8</f>
        <v>319500</v>
      </c>
      <c r="W76" s="100"/>
      <c r="X76" s="203" t="n">
        <f aca="false">[7]VEND!$J$8</f>
        <v>45640</v>
      </c>
      <c r="Y76" s="2233" t="n">
        <f aca="false">X76/V76</f>
        <v>0.142848200312989</v>
      </c>
      <c r="AA76" s="2234" t="n">
        <f aca="false">[8]VEND!$I8</f>
        <v>0</v>
      </c>
      <c r="AB76" s="100"/>
      <c r="AC76" s="203" t="n">
        <f aca="false">[8]VEND!$J8</f>
        <v>0</v>
      </c>
      <c r="AD76" s="2233" t="n">
        <v>0</v>
      </c>
      <c r="AE76" s="100"/>
      <c r="AF76" s="2234" t="n">
        <f aca="false">'[9]HIST.'!$AF$66</f>
        <v>60000</v>
      </c>
      <c r="AG76" s="100"/>
      <c r="AH76" s="203" t="n">
        <f aca="false">'[9]HIST.'!$AH$66</f>
        <v>9600</v>
      </c>
      <c r="AI76" s="2233" t="n">
        <f aca="false">AH76/AF76</f>
        <v>0.16</v>
      </c>
      <c r="AK76" s="2234" t="n">
        <f aca="false">'[10]HIST.'!AK68</f>
        <v>1360249.9998</v>
      </c>
      <c r="AL76" s="100"/>
      <c r="AM76" s="203" t="n">
        <f aca="false">'[10]HIST.'!AM68</f>
        <v>130950.25</v>
      </c>
      <c r="AN76" s="2233" t="n">
        <f aca="false">AM76/AK76</f>
        <v>0.0962692519898944</v>
      </c>
      <c r="AP76" s="2234" t="n">
        <f aca="false">'[11]HIST.'!AP70</f>
        <v>1902559.9998</v>
      </c>
      <c r="AQ76" s="100"/>
      <c r="AR76" s="203" t="n">
        <f aca="false">'[11]HIST.'!AR70</f>
        <v>272412</v>
      </c>
      <c r="AS76" s="2233" t="n">
        <f aca="false">AR76/AP76</f>
        <v>0.14318181819687</v>
      </c>
      <c r="AU76" s="2279" t="n">
        <v>0</v>
      </c>
      <c r="AW76" s="44" t="n">
        <v>0</v>
      </c>
      <c r="AX76" s="2278" t="e">
        <v>#DIV/0!</v>
      </c>
      <c r="AZ76" s="2276" t="n">
        <f aca="false">[13]VENDA!J17</f>
        <v>0</v>
      </c>
      <c r="BA76" s="2277"/>
      <c r="BB76" s="2237" t="n">
        <f aca="false">[13]VENDA!K17</f>
        <v>0</v>
      </c>
      <c r="BC76" s="2233" t="n">
        <v>0</v>
      </c>
      <c r="BE76" s="2276" t="n">
        <f aca="false">VEN!K17</f>
        <v>0</v>
      </c>
      <c r="BF76" s="2277"/>
      <c r="BG76" s="2237" t="n">
        <f aca="false">VEN!L17</f>
        <v>0</v>
      </c>
      <c r="BH76" s="2233" t="e">
        <f aca="false">BG76/BE76</f>
        <v>#DIV/0!</v>
      </c>
    </row>
    <row r="77" customFormat="false" ht="14.25" hidden="false" customHeight="false" outlineLevel="0" collapsed="false">
      <c r="A77" s="9" t="s">
        <v>9</v>
      </c>
      <c r="B77" s="2275" t="n">
        <f aca="false">'[14]Vendas Real'!$J$11+'[14]Vendas Real'!$N$28</f>
        <v>2832245</v>
      </c>
      <c r="C77" s="48"/>
      <c r="D77" s="2237" t="n">
        <f aca="false">'[14]Vendas Real'!$K$11+'[14]Vendas Real'!$O$28</f>
        <v>325635.35</v>
      </c>
      <c r="E77" s="2233" t="n">
        <f aca="false">D77/B77</f>
        <v>0.114974287182076</v>
      </c>
      <c r="G77" s="2275" t="n">
        <f aca="false">'[15]VR Geral'!$L$29</f>
        <v>73500</v>
      </c>
      <c r="H77" s="48"/>
      <c r="I77" s="2237" t="n">
        <f aca="false">'[15]VR Geral'!$M$29</f>
        <v>14173</v>
      </c>
      <c r="J77" s="2233" t="n">
        <f aca="false">I77/G77</f>
        <v>0.192829931972789</v>
      </c>
      <c r="L77" s="2276" t="n">
        <f aca="false">'[5]HIST.'!$J$52</f>
        <v>1128529.08</v>
      </c>
      <c r="M77" s="2277"/>
      <c r="N77" s="2237" t="n">
        <f aca="false">[5]VENDA!$J$9</f>
        <v>118741</v>
      </c>
      <c r="O77" s="2233" t="n">
        <f aca="false">N77/L77</f>
        <v>0.105217492490313</v>
      </c>
      <c r="Q77" s="2276" t="n">
        <f aca="false">[6]VENDA!$I$9</f>
        <v>300000</v>
      </c>
      <c r="R77" s="2277"/>
      <c r="S77" s="200" t="n">
        <f aca="false">[6]VENDA!$J$9</f>
        <v>36000</v>
      </c>
      <c r="T77" s="2233" t="n">
        <f aca="false">S77/Q77</f>
        <v>0.12</v>
      </c>
      <c r="V77" s="2234" t="n">
        <f aca="false">[7]VEND!$I$9</f>
        <v>529003.5</v>
      </c>
      <c r="W77" s="100"/>
      <c r="X77" s="203" t="n">
        <f aca="false">[7]VEND!$J$9</f>
        <v>74560.56</v>
      </c>
      <c r="Y77" s="2233" t="n">
        <f aca="false">X77/V77</f>
        <v>0.140945305654878</v>
      </c>
      <c r="AA77" s="2234" t="n">
        <f aca="false">[8]VEND!$I9</f>
        <v>0</v>
      </c>
      <c r="AB77" s="100"/>
      <c r="AC77" s="203" t="n">
        <f aca="false">[8]VEND!$J9</f>
        <v>0</v>
      </c>
      <c r="AD77" s="2233" t="n">
        <v>0</v>
      </c>
      <c r="AE77" s="100"/>
      <c r="AF77" s="2234" t="n">
        <f aca="false">'[9]HIST.'!$AF$67</f>
        <v>258000</v>
      </c>
      <c r="AG77" s="100"/>
      <c r="AH77" s="203" t="n">
        <f aca="false">'[9]HIST.'!$AH$67</f>
        <v>36077</v>
      </c>
      <c r="AI77" s="2233" t="n">
        <f aca="false">AH77/AF77</f>
        <v>0.139833333333333</v>
      </c>
      <c r="AK77" s="2234" t="n">
        <f aca="false">'[10]HIST.'!AK69</f>
        <v>0</v>
      </c>
      <c r="AL77" s="100"/>
      <c r="AM77" s="203" t="n">
        <f aca="false">'[10]HIST.'!AM69</f>
        <v>0</v>
      </c>
      <c r="AN77" s="2233" t="n">
        <v>0</v>
      </c>
      <c r="AP77" s="2234" t="n">
        <f aca="false">'[11]HIST.'!AP71</f>
        <v>0</v>
      </c>
      <c r="AQ77" s="100"/>
      <c r="AR77" s="203" t="n">
        <f aca="false">'[11]HIST.'!AR71</f>
        <v>0</v>
      </c>
      <c r="AS77" s="2233" t="n">
        <v>0</v>
      </c>
      <c r="AU77" s="2279" t="n">
        <v>0</v>
      </c>
      <c r="AW77" s="44" t="n">
        <v>0</v>
      </c>
      <c r="AX77" s="2278" t="e">
        <v>#DIV/0!</v>
      </c>
      <c r="AZ77" s="2276" t="n">
        <f aca="false">[13]VENDA!J21</f>
        <v>0</v>
      </c>
      <c r="BA77" s="2277"/>
      <c r="BB77" s="2237" t="n">
        <f aca="false">[13]VENDA!K21</f>
        <v>0</v>
      </c>
      <c r="BC77" s="2233" t="n">
        <v>0</v>
      </c>
      <c r="BE77" s="2276" t="n">
        <f aca="false">VEN!K21</f>
        <v>0</v>
      </c>
      <c r="BF77" s="2277"/>
      <c r="BG77" s="2237" t="n">
        <f aca="false">VEN!L21</f>
        <v>0</v>
      </c>
      <c r="BH77" s="2233" t="e">
        <f aca="false">BG77/BE77</f>
        <v>#DIV/0!</v>
      </c>
    </row>
    <row r="78" customFormat="false" ht="14.25" hidden="false" customHeight="false" outlineLevel="0" collapsed="false">
      <c r="A78" s="9" t="s">
        <v>10</v>
      </c>
      <c r="B78" s="2275" t="n">
        <f aca="false">'[14]Vendas Real'!$J$14+'[14]Vendas Real'!$N$31</f>
        <v>2327200.87</v>
      </c>
      <c r="C78" s="48"/>
      <c r="D78" s="2237" t="n">
        <f aca="false">'[14]Vendas Real'!$K$14+'[14]Vendas Real'!$O$31</f>
        <v>145354.5</v>
      </c>
      <c r="E78" s="2233" t="n">
        <f aca="false">D78/B78</f>
        <v>0.0624589402117231</v>
      </c>
      <c r="G78" s="2275" t="n">
        <f aca="false">'[15]VR Geral'!$L$32</f>
        <v>646510</v>
      </c>
      <c r="H78" s="48"/>
      <c r="I78" s="2237" t="n">
        <f aca="false">'[15]VR Geral'!$M$32</f>
        <v>91430</v>
      </c>
      <c r="J78" s="2233" t="n">
        <f aca="false">I78/G78</f>
        <v>0.141420859692812</v>
      </c>
      <c r="L78" s="2276" t="n">
        <f aca="false">'[5]HIST.'!$J$53</f>
        <v>2198703.5</v>
      </c>
      <c r="M78" s="2277"/>
      <c r="N78" s="2237" t="n">
        <f aca="false">[5]VENDA!$J$10</f>
        <v>156029.83</v>
      </c>
      <c r="O78" s="2233" t="n">
        <f aca="false">N78/L78</f>
        <v>0.0709644706528188</v>
      </c>
      <c r="Q78" s="2276" t="n">
        <f aca="false">[6]VENDA!$I$10</f>
        <v>7146289.93</v>
      </c>
      <c r="R78" s="2277"/>
      <c r="S78" s="200" t="n">
        <f aca="false">[6]VENDA!$J$10</f>
        <v>390750</v>
      </c>
      <c r="T78" s="2233" t="n">
        <f aca="false">S78/Q78</f>
        <v>0.0546787219420861</v>
      </c>
      <c r="V78" s="2234" t="n">
        <f aca="false">[7]VEND!$I$10</f>
        <v>5130075</v>
      </c>
      <c r="W78" s="100"/>
      <c r="X78" s="203" t="n">
        <f aca="false">[7]VEND!$J$10</f>
        <v>347731.9</v>
      </c>
      <c r="Y78" s="2233" t="n">
        <f aca="false">X78/V78</f>
        <v>0.0677830051217575</v>
      </c>
      <c r="AA78" s="2234" t="n">
        <f aca="false">[8]VEND!$I10</f>
        <v>1330662</v>
      </c>
      <c r="AB78" s="100"/>
      <c r="AC78" s="203" t="n">
        <f aca="false">[8]VEND!$J10</f>
        <v>372905</v>
      </c>
      <c r="AD78" s="2233" t="n">
        <f aca="false">AC78/AA78</f>
        <v>0.280240211263266</v>
      </c>
      <c r="AE78" s="100"/>
      <c r="AF78" s="2234" t="n">
        <f aca="false">'[9]HIST.'!$AF$68</f>
        <v>387776.42196</v>
      </c>
      <c r="AG78" s="100"/>
      <c r="AH78" s="203" t="n">
        <f aca="false">'[9]HIST.'!$AH$68</f>
        <v>16833</v>
      </c>
      <c r="AI78" s="2233" t="n">
        <f aca="false">AH78/AF78</f>
        <v>0.0434090342958922</v>
      </c>
      <c r="AK78" s="2234" t="n">
        <f aca="false">'[10]HIST.'!AK70</f>
        <v>0</v>
      </c>
      <c r="AL78" s="100"/>
      <c r="AM78" s="203" t="n">
        <f aca="false">'[10]HIST.'!AM70</f>
        <v>0</v>
      </c>
      <c r="AN78" s="2233" t="n">
        <v>0</v>
      </c>
      <c r="AP78" s="2234" t="n">
        <f aca="false">'[11]HIST.'!AP72</f>
        <v>0</v>
      </c>
      <c r="AQ78" s="100"/>
      <c r="AR78" s="203" t="n">
        <f aca="false">'[11]HIST.'!AR72</f>
        <v>0</v>
      </c>
      <c r="AS78" s="2233" t="n">
        <v>0</v>
      </c>
      <c r="AU78" s="2279" t="n">
        <v>0</v>
      </c>
      <c r="AW78" s="44" t="n">
        <v>0</v>
      </c>
      <c r="AX78" s="2278" t="e">
        <v>#DIV/0!</v>
      </c>
      <c r="AZ78" s="2276" t="n">
        <f aca="false">[13]VENDA!J22</f>
        <v>0</v>
      </c>
      <c r="BA78" s="2277"/>
      <c r="BB78" s="2237" t="n">
        <f aca="false">[13]VENDA!K22</f>
        <v>0</v>
      </c>
      <c r="BC78" s="2233" t="n">
        <v>0</v>
      </c>
      <c r="BE78" s="2276" t="n">
        <f aca="false">VEN!K22</f>
        <v>0</v>
      </c>
      <c r="BF78" s="2277"/>
      <c r="BG78" s="2237" t="n">
        <f aca="false">VEN!L22</f>
        <v>0</v>
      </c>
      <c r="BH78" s="2233" t="e">
        <f aca="false">BG78/BE78</f>
        <v>#DIV/0!</v>
      </c>
    </row>
    <row r="79" customFormat="false" ht="14.25" hidden="false" customHeight="false" outlineLevel="0" collapsed="false">
      <c r="A79" s="9" t="s">
        <v>11</v>
      </c>
      <c r="B79" s="2275" t="n">
        <f aca="false">'[14]Vendas Real'!$J$15+'[14]Vendas Real'!$N$32</f>
        <v>413049.2</v>
      </c>
      <c r="C79" s="48"/>
      <c r="D79" s="2237" t="n">
        <f aca="false">'[14]Vendas Real'!$K$15+'[14]Vendas Real'!$O$32</f>
        <v>222844.96</v>
      </c>
      <c r="E79" s="2233" t="n">
        <f aca="false">D79/B79</f>
        <v>0.539511903182478</v>
      </c>
      <c r="G79" s="2275" t="n">
        <f aca="false">'[15]VR Geral'!$L$33</f>
        <v>191200</v>
      </c>
      <c r="H79" s="48"/>
      <c r="I79" s="2237" t="n">
        <f aca="false">'[15]VR Geral'!$M$33</f>
        <v>124640.5</v>
      </c>
      <c r="J79" s="2233" t="n">
        <f aca="false">I79/G79</f>
        <v>0.651885460251046</v>
      </c>
      <c r="L79" s="2276" t="n">
        <f aca="false">'[5]HIST.'!$J$54</f>
        <v>287179</v>
      </c>
      <c r="M79" s="2277"/>
      <c r="N79" s="2237" t="n">
        <f aca="false">[5]VENDA!$J$11</f>
        <v>201182.1</v>
      </c>
      <c r="O79" s="2233" t="n">
        <f aca="false">N79/L79</f>
        <v>0.700546000926252</v>
      </c>
      <c r="Q79" s="2276" t="n">
        <f aca="false">[6]VENDA!$I$11</f>
        <v>252175</v>
      </c>
      <c r="R79" s="2277"/>
      <c r="S79" s="200" t="n">
        <f aca="false">[6]VENDA!$J$11</f>
        <v>144691.14</v>
      </c>
      <c r="T79" s="2233" t="n">
        <f aca="false">S79/Q79</f>
        <v>0.573772737186478</v>
      </c>
      <c r="V79" s="2234" t="n">
        <f aca="false">[7]VEND!$I$11</f>
        <v>0</v>
      </c>
      <c r="W79" s="100"/>
      <c r="X79" s="203" t="n">
        <f aca="false">[7]VEND!$J$11</f>
        <v>0</v>
      </c>
      <c r="Y79" s="2233" t="n">
        <v>0</v>
      </c>
      <c r="AA79" s="2234" t="n">
        <f aca="false">[8]VEND!$I11</f>
        <v>76125</v>
      </c>
      <c r="AB79" s="100"/>
      <c r="AC79" s="203" t="n">
        <f aca="false">[8]VEND!$J11</f>
        <v>39737.25</v>
      </c>
      <c r="AD79" s="2233" t="n">
        <v>0</v>
      </c>
      <c r="AE79" s="100"/>
      <c r="AF79" s="2234" t="n">
        <f aca="false">'[9]HIST.'!$AF$69</f>
        <v>0</v>
      </c>
      <c r="AG79" s="100"/>
      <c r="AH79" s="203" t="n">
        <f aca="false">'[9]HIST.'!$AH$69</f>
        <v>0</v>
      </c>
      <c r="AI79" s="2233" t="n">
        <v>0</v>
      </c>
      <c r="AK79" s="2234" t="n">
        <f aca="false">'[10]HIST.'!AK71</f>
        <v>0</v>
      </c>
      <c r="AL79" s="100"/>
      <c r="AM79" s="203" t="n">
        <f aca="false">'[10]HIST.'!AM71</f>
        <v>0</v>
      </c>
      <c r="AN79" s="2233" t="n">
        <v>0</v>
      </c>
      <c r="AP79" s="2234" t="n">
        <f aca="false">'[11]HIST.'!AP73</f>
        <v>0</v>
      </c>
      <c r="AQ79" s="100"/>
      <c r="AR79" s="203" t="n">
        <f aca="false">'[11]HIST.'!AR73</f>
        <v>0</v>
      </c>
      <c r="AS79" s="2233" t="n">
        <v>0</v>
      </c>
      <c r="AU79" s="2279" t="n">
        <v>0</v>
      </c>
      <c r="AW79" s="44" t="n">
        <v>0</v>
      </c>
      <c r="AX79" s="2278" t="e">
        <v>#DIV/0!</v>
      </c>
      <c r="AZ79" s="2276" t="n">
        <f aca="false">[13]VENDA!J26</f>
        <v>0</v>
      </c>
      <c r="BA79" s="2277"/>
      <c r="BB79" s="2237" t="n">
        <f aca="false">[13]VENDA!K26</f>
        <v>0</v>
      </c>
      <c r="BC79" s="2233" t="n">
        <v>0</v>
      </c>
      <c r="BE79" s="2276" t="n">
        <f aca="false">VEN!K26</f>
        <v>0</v>
      </c>
      <c r="BF79" s="2277"/>
      <c r="BG79" s="2237" t="n">
        <f aca="false">VEN!L26</f>
        <v>0</v>
      </c>
      <c r="BH79" s="2233" t="e">
        <f aca="false">BG79/BE79</f>
        <v>#DIV/0!</v>
      </c>
    </row>
    <row r="80" customFormat="false" ht="14.25" hidden="false" customHeight="false" outlineLevel="0" collapsed="false">
      <c r="A80" s="9" t="s">
        <v>12</v>
      </c>
      <c r="B80" s="2275" t="n">
        <f aca="false">'[14]Vendas Real'!$J$16+'[14]Vendas Real'!$N$33</f>
        <v>779220</v>
      </c>
      <c r="C80" s="48"/>
      <c r="D80" s="2237" t="n">
        <f aca="false">'[14]Vendas Real'!$K$16+'[14]Vendas Real'!$O$33</f>
        <v>170818</v>
      </c>
      <c r="E80" s="2233" t="n">
        <f aca="false">D80/B80</f>
        <v>0.219216652549986</v>
      </c>
      <c r="G80" s="2275" t="n">
        <f aca="false">'[15]VR Geral'!$L$34</f>
        <v>187600</v>
      </c>
      <c r="H80" s="48"/>
      <c r="I80" s="2237" t="n">
        <f aca="false">'[15]VR Geral'!$M$34</f>
        <v>84624.6</v>
      </c>
      <c r="J80" s="2233" t="n">
        <f aca="false">I80/G80</f>
        <v>0.451090618336887</v>
      </c>
      <c r="L80" s="2276" t="n">
        <f aca="false">'[5]HIST.'!$J$55</f>
        <v>325225.76</v>
      </c>
      <c r="M80" s="2277"/>
      <c r="N80" s="2237" t="n">
        <f aca="false">[5]VENDA!$J$12</f>
        <v>106033.85</v>
      </c>
      <c r="O80" s="2233" t="n">
        <f aca="false">N80/L80</f>
        <v>0.326031523456199</v>
      </c>
      <c r="Q80" s="2276" t="n">
        <f aca="false">[6]VENDA!$I$12</f>
        <v>178900</v>
      </c>
      <c r="R80" s="2277"/>
      <c r="S80" s="200" t="n">
        <f aca="false">[6]VENDA!$J$12</f>
        <v>51460</v>
      </c>
      <c r="T80" s="2233" t="n">
        <f aca="false">S80/Q80</f>
        <v>0.287646730016769</v>
      </c>
      <c r="V80" s="2234" t="n">
        <f aca="false">[7]VEND!$I$12</f>
        <v>156000</v>
      </c>
      <c r="W80" s="100"/>
      <c r="X80" s="203" t="n">
        <f aca="false">[7]VEND!$J$12</f>
        <v>20920</v>
      </c>
      <c r="Y80" s="2233" t="n">
        <f aca="false">X80/V80</f>
        <v>0.134102564102564</v>
      </c>
      <c r="AA80" s="2234" t="n">
        <f aca="false">[8]VEND!$I12</f>
        <v>0</v>
      </c>
      <c r="AB80" s="100"/>
      <c r="AC80" s="203" t="n">
        <f aca="false">[8]VEND!$J12</f>
        <v>0</v>
      </c>
      <c r="AD80" s="2233" t="n">
        <v>0</v>
      </c>
      <c r="AE80" s="100"/>
      <c r="AF80" s="2234" t="n">
        <f aca="false">'[9]HIST.'!$AF$70</f>
        <v>165000</v>
      </c>
      <c r="AG80" s="100"/>
      <c r="AH80" s="203" t="n">
        <f aca="false">'[9]HIST.'!$AH$70</f>
        <v>41250</v>
      </c>
      <c r="AI80" s="2233" t="n">
        <f aca="false">AH80/AF80</f>
        <v>0.25</v>
      </c>
      <c r="AK80" s="2234" t="n">
        <f aca="false">'[10]HIST.'!AK72</f>
        <v>71443.05729</v>
      </c>
      <c r="AL80" s="100"/>
      <c r="AM80" s="203" t="n">
        <f aca="false">'[10]HIST.'!AM72</f>
        <v>13680</v>
      </c>
      <c r="AN80" s="2233" t="n">
        <f aca="false">AM80/AK80</f>
        <v>0.191481167224836</v>
      </c>
      <c r="AP80" s="2234" t="n">
        <f aca="false">'[11]HIST.'!AP74</f>
        <v>0</v>
      </c>
      <c r="AQ80" s="100"/>
      <c r="AR80" s="203" t="n">
        <f aca="false">'[11]HIST.'!AR74</f>
        <v>0</v>
      </c>
      <c r="AS80" s="2233" t="n">
        <v>0</v>
      </c>
      <c r="AU80" s="2279" t="n">
        <v>0</v>
      </c>
      <c r="AW80" s="44" t="n">
        <v>0</v>
      </c>
      <c r="AX80" s="2278" t="e">
        <v>#DIV/0!</v>
      </c>
      <c r="AZ80" s="2276" t="n">
        <f aca="false">[13]VENDA!J29</f>
        <v>0</v>
      </c>
      <c r="BA80" s="2277"/>
      <c r="BB80" s="2237" t="n">
        <f aca="false">[13]VENDA!K29</f>
        <v>0</v>
      </c>
      <c r="BC80" s="2233" t="n">
        <v>0</v>
      </c>
      <c r="BE80" s="2276" t="n">
        <f aca="false">VEN!K29</f>
        <v>0</v>
      </c>
      <c r="BF80" s="2277"/>
      <c r="BG80" s="2237" t="n">
        <f aca="false">VEN!L29</f>
        <v>0</v>
      </c>
      <c r="BH80" s="2233" t="e">
        <f aca="false">BG80/BE80</f>
        <v>#DIV/0!</v>
      </c>
    </row>
    <row r="81" customFormat="false" ht="14.25" hidden="false" customHeight="false" outlineLevel="0" collapsed="false">
      <c r="A81" s="9" t="s">
        <v>13</v>
      </c>
      <c r="B81" s="2275" t="n">
        <f aca="false">'[14]Vendas Real'!$J$6+'[14]Vendas Real'!$N$23</f>
        <v>851002</v>
      </c>
      <c r="C81" s="48"/>
      <c r="D81" s="2237" t="n">
        <f aca="false">'[14]Vendas Real'!$K$6+'[14]Vendas Real'!$O$23</f>
        <v>152363.04</v>
      </c>
      <c r="E81" s="2233" t="n">
        <f aca="false">D81/B81</f>
        <v>0.179039579225431</v>
      </c>
      <c r="G81" s="2275" t="n">
        <f aca="false">'[15]VR Geral'!$L$24</f>
        <v>1921162</v>
      </c>
      <c r="H81" s="48"/>
      <c r="I81" s="2237" t="n">
        <f aca="false">'[15]VR Geral'!$M$24</f>
        <v>304335</v>
      </c>
      <c r="J81" s="2233" t="n">
        <f aca="false">I81/G81</f>
        <v>0.158411940273647</v>
      </c>
      <c r="L81" s="2276" t="n">
        <f aca="false">'[5]HIST.'!$J$56</f>
        <v>493350</v>
      </c>
      <c r="M81" s="2277"/>
      <c r="N81" s="2237" t="n">
        <f aca="false">[5]VENDA!$J$13</f>
        <v>62014.8</v>
      </c>
      <c r="O81" s="2233" t="n">
        <f aca="false">N81/L81</f>
        <v>0.125701429005777</v>
      </c>
      <c r="Q81" s="2276" t="n">
        <f aca="false">[6]VENDA!$I$13</f>
        <v>315500</v>
      </c>
      <c r="R81" s="2277"/>
      <c r="S81" s="200" t="n">
        <f aca="false">[6]VENDA!$J$13</f>
        <v>68100</v>
      </c>
      <c r="T81" s="2233" t="n">
        <f aca="false">S81/Q81</f>
        <v>0.215847860538827</v>
      </c>
      <c r="V81" s="2234" t="n">
        <f aca="false">[7]VEND!$I$13</f>
        <v>1624815</v>
      </c>
      <c r="W81" s="100"/>
      <c r="X81" s="203" t="n">
        <f aca="false">[7]VEND!$J$13</f>
        <v>197625</v>
      </c>
      <c r="Y81" s="2233" t="n">
        <f aca="false">X81/V81</f>
        <v>0.121629231635602</v>
      </c>
      <c r="AA81" s="2234" t="n">
        <f aca="false">[8]VEND!$I13</f>
        <v>518308.78</v>
      </c>
      <c r="AB81" s="100"/>
      <c r="AC81" s="203" t="n">
        <f aca="false">[8]VEND!$J13</f>
        <v>153420</v>
      </c>
      <c r="AD81" s="2233" t="n">
        <f aca="false">AC81/AA81</f>
        <v>0.29600115977198</v>
      </c>
      <c r="AE81" s="100"/>
      <c r="AF81" s="2234" t="n">
        <f aca="false">'[9]HIST.'!$AF$71</f>
        <v>533655.9999</v>
      </c>
      <c r="AG81" s="100"/>
      <c r="AH81" s="203" t="n">
        <f aca="false">'[9]HIST.'!$AH$71</f>
        <v>73767</v>
      </c>
      <c r="AI81" s="2233" t="n">
        <f aca="false">AH81/AF81</f>
        <v>0.138229496180729</v>
      </c>
      <c r="AK81" s="2234" t="n">
        <f aca="false">'[10]HIST.'!AK73</f>
        <v>279760</v>
      </c>
      <c r="AL81" s="100"/>
      <c r="AM81" s="203" t="n">
        <f aca="false">'[10]HIST.'!AM73</f>
        <v>27974.6</v>
      </c>
      <c r="AN81" s="2233" t="n">
        <f aca="false">AM81/AK81</f>
        <v>0.0999949957106091</v>
      </c>
      <c r="AP81" s="2234" t="n">
        <f aca="false">'[11]HIST.'!AP75</f>
        <v>0</v>
      </c>
      <c r="AQ81" s="100"/>
      <c r="AR81" s="203" t="n">
        <f aca="false">'[11]HIST.'!AR75</f>
        <v>0</v>
      </c>
      <c r="AS81" s="2233" t="n">
        <v>0</v>
      </c>
      <c r="AU81" s="2279" t="n">
        <v>3150000</v>
      </c>
      <c r="AW81" s="44" t="n">
        <v>952350</v>
      </c>
      <c r="AX81" s="2280" t="n">
        <v>0.302333333333333</v>
      </c>
      <c r="AY81" s="2281"/>
      <c r="AZ81" s="2276" t="n">
        <f aca="false">[13]VENDA!J33</f>
        <v>0</v>
      </c>
      <c r="BA81" s="2277"/>
      <c r="BB81" s="2237" t="n">
        <f aca="false">[13]VENDA!K33</f>
        <v>0</v>
      </c>
      <c r="BC81" s="2233" t="n">
        <v>0</v>
      </c>
      <c r="BE81" s="2276" t="n">
        <f aca="false">VEN!K33</f>
        <v>0</v>
      </c>
      <c r="BF81" s="2277"/>
      <c r="BG81" s="2237" t="n">
        <f aca="false">VEN!L33</f>
        <v>0</v>
      </c>
      <c r="BH81" s="2233" t="e">
        <f aca="false">BG81/BE81</f>
        <v>#DIV/0!</v>
      </c>
    </row>
    <row r="82" customFormat="false" ht="14.25" hidden="false" customHeight="false" outlineLevel="0" collapsed="false">
      <c r="A82" s="9" t="s">
        <v>14</v>
      </c>
      <c r="B82" s="2275" t="n">
        <f aca="false">'[14]Vendas Real'!$J$5+'[14]Vendas Real'!$N$22</f>
        <v>3898401</v>
      </c>
      <c r="C82" s="48"/>
      <c r="D82" s="2237" t="n">
        <f aca="false">'[14]Vendas Real'!$K$5+'[14]Vendas Real'!$O$22</f>
        <v>733626.2</v>
      </c>
      <c r="E82" s="2233" t="n">
        <f aca="false">D82/B82</f>
        <v>0.188186438491063</v>
      </c>
      <c r="G82" s="2275" t="n">
        <f aca="false">'[15]VR Geral'!$L$23</f>
        <v>728100</v>
      </c>
      <c r="H82" s="48"/>
      <c r="I82" s="2237" t="n">
        <f aca="false">'[15]VR Geral'!$M$23</f>
        <v>133430</v>
      </c>
      <c r="J82" s="2233" t="n">
        <f aca="false">I82/G82</f>
        <v>0.18325779425903</v>
      </c>
      <c r="L82" s="2276" t="n">
        <f aca="false">'[5]HIST.'!$J$57</f>
        <v>529485.4</v>
      </c>
      <c r="M82" s="2277"/>
      <c r="N82" s="2237" t="n">
        <f aca="false">[5]VENDA!$J$14</f>
        <v>77451.2</v>
      </c>
      <c r="O82" s="2233" t="n">
        <f aca="false">N82/L82</f>
        <v>0.146276365693936</v>
      </c>
      <c r="Q82" s="2276" t="n">
        <f aca="false">[6]VENDA!$I$14</f>
        <v>70000</v>
      </c>
      <c r="R82" s="2277"/>
      <c r="S82" s="200" t="n">
        <f aca="false">[6]VENDA!$J$14</f>
        <v>9800</v>
      </c>
      <c r="T82" s="2233" t="n">
        <f aca="false">S82/Q82</f>
        <v>0.14</v>
      </c>
      <c r="V82" s="2234" t="n">
        <f aca="false">[7]VEND!$I$14</f>
        <v>0</v>
      </c>
      <c r="W82" s="100"/>
      <c r="X82" s="203" t="n">
        <f aca="false">[7]VEND!$J$14</f>
        <v>0</v>
      </c>
      <c r="Y82" s="2233" t="n">
        <v>0</v>
      </c>
      <c r="AA82" s="2234" t="n">
        <f aca="false">[8]VEND!$I14</f>
        <v>0</v>
      </c>
      <c r="AB82" s="100"/>
      <c r="AC82" s="203" t="n">
        <f aca="false">[8]VEND!$J14</f>
        <v>0</v>
      </c>
      <c r="AD82" s="2233" t="n">
        <v>0</v>
      </c>
      <c r="AE82" s="100"/>
      <c r="AF82" s="2234" t="n">
        <f aca="false">'[9]HIST.'!$AF$72</f>
        <v>165200.61012</v>
      </c>
      <c r="AG82" s="100"/>
      <c r="AH82" s="203" t="n">
        <f aca="false">'[9]HIST.'!$AH$72</f>
        <v>36490</v>
      </c>
      <c r="AI82" s="2233" t="n">
        <f aca="false">AH82/AF82</f>
        <v>0.220882961470264</v>
      </c>
      <c r="AK82" s="2234" t="n">
        <f aca="false">'[10]HIST.'!AK74</f>
        <v>0</v>
      </c>
      <c r="AL82" s="100"/>
      <c r="AM82" s="203" t="n">
        <f aca="false">'[10]HIST.'!AM74</f>
        <v>0</v>
      </c>
      <c r="AN82" s="2233" t="n">
        <v>0</v>
      </c>
      <c r="AP82" s="2234" t="n">
        <f aca="false">'[11]HIST.'!AP76</f>
        <v>0</v>
      </c>
      <c r="AQ82" s="100"/>
      <c r="AR82" s="203" t="n">
        <f aca="false">'[11]HIST.'!AR76</f>
        <v>0</v>
      </c>
      <c r="AS82" s="2233" t="n">
        <v>0</v>
      </c>
      <c r="AU82" s="2279" t="n">
        <v>0</v>
      </c>
      <c r="AW82" s="44" t="n">
        <v>0</v>
      </c>
      <c r="AX82" s="2278" t="e">
        <v>#DIV/0!</v>
      </c>
      <c r="AZ82" s="2276" t="n">
        <f aca="false">[13]VENDA!J38</f>
        <v>0</v>
      </c>
      <c r="BA82" s="2277"/>
      <c r="BB82" s="2237" t="n">
        <f aca="false">[13]VENDA!K38</f>
        <v>0</v>
      </c>
      <c r="BC82" s="2233" t="n">
        <v>0</v>
      </c>
      <c r="BE82" s="2276" t="n">
        <f aca="false">VEN!K38</f>
        <v>0</v>
      </c>
      <c r="BF82" s="2277"/>
      <c r="BG82" s="2237" t="n">
        <f aca="false">VEN!L38</f>
        <v>0</v>
      </c>
      <c r="BH82" s="2233" t="e">
        <f aca="false">BG82/BE82</f>
        <v>#DIV/0!</v>
      </c>
    </row>
    <row r="83" customFormat="false" ht="14.25" hidden="false" customHeight="false" outlineLevel="0" collapsed="false">
      <c r="A83" s="9" t="s">
        <v>15</v>
      </c>
      <c r="B83" s="2275" t="n">
        <f aca="false">'[14]Vendas Real'!$J$7+'[14]Vendas Real'!$N$24</f>
        <v>80700</v>
      </c>
      <c r="C83" s="48"/>
      <c r="D83" s="2237" t="n">
        <f aca="false">'[14]Vendas Real'!$K$7+'[14]Vendas Real'!$O$24</f>
        <v>26740</v>
      </c>
      <c r="E83" s="2233" t="n">
        <f aca="false">D83/B83</f>
        <v>0.331350681536555</v>
      </c>
      <c r="G83" s="2275" t="n">
        <f aca="false">'[15]VR Geral'!$L$25</f>
        <v>23200</v>
      </c>
      <c r="H83" s="48"/>
      <c r="I83" s="2237" t="n">
        <f aca="false">'[15]VR Geral'!$M$25</f>
        <v>15444</v>
      </c>
      <c r="J83" s="2233" t="n">
        <f aca="false">I83/G83</f>
        <v>0.665689655172414</v>
      </c>
      <c r="L83" s="2276" t="n">
        <f aca="false">'[5]HIST.'!$J$58</f>
        <v>1600</v>
      </c>
      <c r="M83" s="2277"/>
      <c r="N83" s="2237" t="n">
        <f aca="false">[5]VENDA!$J$15</f>
        <v>506</v>
      </c>
      <c r="O83" s="2233" t="n">
        <f aca="false">N83/L83</f>
        <v>0.31625</v>
      </c>
      <c r="Q83" s="2276" t="n">
        <f aca="false">[6]VENDA!$I$15</f>
        <v>11000</v>
      </c>
      <c r="R83" s="2277"/>
      <c r="S83" s="200" t="n">
        <f aca="false">[6]VENDA!$J$15</f>
        <v>3300</v>
      </c>
      <c r="T83" s="2233" t="n">
        <f aca="false">S83/Q83</f>
        <v>0.3</v>
      </c>
      <c r="V83" s="2234" t="n">
        <f aca="false">[7]VEND!$I$15</f>
        <v>0</v>
      </c>
      <c r="W83" s="100"/>
      <c r="X83" s="203" t="n">
        <f aca="false">[7]VEND!$J$15</f>
        <v>0</v>
      </c>
      <c r="Y83" s="2233" t="n">
        <v>0</v>
      </c>
      <c r="AA83" s="2234" t="n">
        <f aca="false">[8]VEND!$I15</f>
        <v>0</v>
      </c>
      <c r="AB83" s="100"/>
      <c r="AC83" s="203" t="n">
        <f aca="false">[8]VEND!$J15</f>
        <v>0</v>
      </c>
      <c r="AD83" s="2233" t="n">
        <v>0</v>
      </c>
      <c r="AE83" s="100"/>
      <c r="AF83" s="2234" t="n">
        <f aca="false">'[9]HIST.'!$AF$73</f>
        <v>0</v>
      </c>
      <c r="AG83" s="100"/>
      <c r="AH83" s="203" t="n">
        <f aca="false">'[9]HIST.'!$AH$73</f>
        <v>0</v>
      </c>
      <c r="AI83" s="2233" t="n">
        <v>0</v>
      </c>
      <c r="AK83" s="2234" t="n">
        <f aca="false">'[10]HIST.'!AK75</f>
        <v>0</v>
      </c>
      <c r="AL83" s="100"/>
      <c r="AM83" s="203" t="n">
        <f aca="false">'[10]HIST.'!AM75</f>
        <v>0</v>
      </c>
      <c r="AN83" s="2233" t="n">
        <v>0</v>
      </c>
      <c r="AP83" s="2234" t="n">
        <f aca="false">'[11]HIST.'!AP77</f>
        <v>0</v>
      </c>
      <c r="AQ83" s="100"/>
      <c r="AR83" s="203" t="n">
        <f aca="false">'[11]HIST.'!AR77</f>
        <v>0</v>
      </c>
      <c r="AS83" s="2233" t="n">
        <v>0</v>
      </c>
      <c r="AU83" s="2279" t="n">
        <v>0</v>
      </c>
      <c r="AW83" s="44" t="n">
        <v>0</v>
      </c>
      <c r="AX83" s="2278" t="e">
        <v>#DIV/0!</v>
      </c>
      <c r="AZ83" s="2276" t="n">
        <f aca="false">[13]VENDA!J39</f>
        <v>0</v>
      </c>
      <c r="BA83" s="2277"/>
      <c r="BB83" s="2237" t="n">
        <f aca="false">[13]VENDA!K39</f>
        <v>0</v>
      </c>
      <c r="BC83" s="2233" t="n">
        <v>0</v>
      </c>
      <c r="BE83" s="2276" t="n">
        <f aca="false">VEN!K39</f>
        <v>0</v>
      </c>
      <c r="BF83" s="2277"/>
      <c r="BG83" s="2237" t="n">
        <f aca="false">VEN!L39</f>
        <v>0</v>
      </c>
      <c r="BH83" s="2233" t="e">
        <f aca="false">BG83/BE83</f>
        <v>#DIV/0!</v>
      </c>
    </row>
    <row r="84" customFormat="false" ht="14.25" hidden="false" customHeight="false" outlineLevel="0" collapsed="false">
      <c r="A84" s="9" t="s">
        <v>16</v>
      </c>
      <c r="B84" s="2275" t="n">
        <f aca="false">'[14]Vendas Real'!$J$8+'[14]Vendas Real'!$N$25</f>
        <v>0</v>
      </c>
      <c r="C84" s="48"/>
      <c r="D84" s="2237" t="n">
        <f aca="false">'[14]Vendas Real'!$K$8+'[14]Vendas Real'!$O$25</f>
        <v>0</v>
      </c>
      <c r="E84" s="2233" t="n">
        <v>0</v>
      </c>
      <c r="G84" s="2275" t="n">
        <f aca="false">'[15]VR Geral'!$L$26</f>
        <v>8000</v>
      </c>
      <c r="H84" s="48"/>
      <c r="I84" s="2237" t="n">
        <f aca="false">'[15]VR Geral'!$M$26</f>
        <v>2795.25</v>
      </c>
      <c r="J84" s="2233" t="n">
        <f aca="false">I84/G84</f>
        <v>0.34940625</v>
      </c>
      <c r="L84" s="2276" t="n">
        <f aca="false">'[5]HIST.'!$J$59</f>
        <v>0</v>
      </c>
      <c r="M84" s="2277"/>
      <c r="N84" s="2237" t="n">
        <f aca="false">[5]VENDA!$J$16</f>
        <v>0</v>
      </c>
      <c r="O84" s="2233" t="n">
        <v>0</v>
      </c>
      <c r="Q84" s="2276" t="n">
        <f aca="false">[6]VENDA!$I$16</f>
        <v>27200</v>
      </c>
      <c r="R84" s="2277"/>
      <c r="S84" s="200" t="n">
        <f aca="false">[6]VENDA!$J$16</f>
        <v>7660</v>
      </c>
      <c r="T84" s="2233" t="n">
        <f aca="false">S84/Q84</f>
        <v>0.281617647058824</v>
      </c>
      <c r="V84" s="2234" t="n">
        <f aca="false">[7]VEND!$I$16</f>
        <v>0</v>
      </c>
      <c r="W84" s="100"/>
      <c r="X84" s="203" t="n">
        <f aca="false">[7]VEND!$J$16</f>
        <v>0</v>
      </c>
      <c r="Y84" s="2233" t="n">
        <v>0</v>
      </c>
      <c r="AA84" s="2234" t="n">
        <f aca="false">[8]VEND!$I16</f>
        <v>158545.6</v>
      </c>
      <c r="AB84" s="100"/>
      <c r="AC84" s="203" t="n">
        <f aca="false">[8]VEND!$J16</f>
        <v>40000</v>
      </c>
      <c r="AD84" s="2233" t="n">
        <v>0</v>
      </c>
      <c r="AE84" s="100"/>
      <c r="AF84" s="2234" t="n">
        <f aca="false">'[9]HIST.'!$AF$74</f>
        <v>8109</v>
      </c>
      <c r="AG84" s="100"/>
      <c r="AH84" s="203" t="n">
        <f aca="false">'[9]HIST.'!$AH$74</f>
        <v>765</v>
      </c>
      <c r="AI84" s="2233" t="n">
        <f aca="false">AH84/AF84</f>
        <v>0.0943396226415094</v>
      </c>
      <c r="AK84" s="2234" t="n">
        <f aca="false">'[10]HIST.'!AK76</f>
        <v>0</v>
      </c>
      <c r="AL84" s="100"/>
      <c r="AM84" s="203" t="n">
        <f aca="false">'[10]HIST.'!AM76</f>
        <v>0</v>
      </c>
      <c r="AN84" s="2233" t="n">
        <v>0</v>
      </c>
      <c r="AP84" s="2234" t="n">
        <f aca="false">'[11]HIST.'!AP78</f>
        <v>0</v>
      </c>
      <c r="AQ84" s="100"/>
      <c r="AR84" s="203" t="n">
        <f aca="false">'[11]HIST.'!AR78</f>
        <v>0</v>
      </c>
      <c r="AS84" s="2233" t="n">
        <v>0</v>
      </c>
      <c r="AU84" s="2279" t="n">
        <v>0</v>
      </c>
      <c r="AW84" s="44" t="n">
        <v>0</v>
      </c>
      <c r="AX84" s="2278" t="e">
        <v>#DIV/0!</v>
      </c>
      <c r="AZ84" s="2276" t="n">
        <f aca="false">[13]VENDA!J44</f>
        <v>0</v>
      </c>
      <c r="BA84" s="2277"/>
      <c r="BB84" s="2237" t="n">
        <f aca="false">[13]VENDA!K44</f>
        <v>0</v>
      </c>
      <c r="BC84" s="2233" t="n">
        <v>0</v>
      </c>
      <c r="BE84" s="2276" t="n">
        <f aca="false">VEN!K44</f>
        <v>0</v>
      </c>
      <c r="BF84" s="2277"/>
      <c r="BG84" s="2237" t="n">
        <f aca="false">VEN!L44</f>
        <v>0</v>
      </c>
      <c r="BH84" s="2233" t="e">
        <f aca="false">BG84/BE84</f>
        <v>#DIV/0!</v>
      </c>
    </row>
    <row r="85" customFormat="false" ht="14.25" hidden="false" customHeight="false" outlineLevel="0" collapsed="false">
      <c r="A85" s="9" t="s">
        <v>17</v>
      </c>
      <c r="B85" s="2275" t="n">
        <v>0</v>
      </c>
      <c r="C85" s="48"/>
      <c r="D85" s="2237" t="n">
        <v>0</v>
      </c>
      <c r="E85" s="2233" t="n">
        <v>0</v>
      </c>
      <c r="G85" s="2275" t="n">
        <v>0</v>
      </c>
      <c r="H85" s="48"/>
      <c r="I85" s="2237" t="n">
        <v>0</v>
      </c>
      <c r="J85" s="2233" t="n">
        <v>0</v>
      </c>
      <c r="L85" s="2279" t="n">
        <v>0</v>
      </c>
      <c r="N85" s="2237" t="n">
        <f aca="false">[5]VENDA!$J$17</f>
        <v>0</v>
      </c>
      <c r="O85" s="2233" t="n">
        <v>0</v>
      </c>
      <c r="Q85" s="2276" t="n">
        <f aca="false">[6]VENDA!$I$17</f>
        <v>0</v>
      </c>
      <c r="R85" s="2277"/>
      <c r="S85" s="200" t="n">
        <f aca="false">[6]VENDA!$J$17</f>
        <v>0</v>
      </c>
      <c r="T85" s="2233" t="n">
        <v>0</v>
      </c>
      <c r="V85" s="2234" t="n">
        <f aca="false">[7]VEND!$I$17</f>
        <v>0</v>
      </c>
      <c r="W85" s="100"/>
      <c r="X85" s="203" t="n">
        <f aca="false">[7]VEND!$J$17</f>
        <v>0</v>
      </c>
      <c r="Y85" s="2233" t="n">
        <v>0</v>
      </c>
      <c r="AA85" s="2234" t="n">
        <f aca="false">[8]VEND!$I17</f>
        <v>10800</v>
      </c>
      <c r="AB85" s="100"/>
      <c r="AC85" s="203" t="n">
        <f aca="false">[8]VEND!$J17</f>
        <v>1440</v>
      </c>
      <c r="AD85" s="2233" t="n">
        <v>0</v>
      </c>
      <c r="AE85" s="100"/>
      <c r="AF85" s="2234" t="n">
        <f aca="false">'[9]HIST.'!$AF$75</f>
        <v>0</v>
      </c>
      <c r="AG85" s="100"/>
      <c r="AH85" s="203" t="n">
        <f aca="false">'[9]HIST.'!$AH$75</f>
        <v>0</v>
      </c>
      <c r="AI85" s="2233" t="n">
        <v>0</v>
      </c>
      <c r="AK85" s="2234" t="n">
        <f aca="false">'[10]HIST.'!AK77</f>
        <v>0</v>
      </c>
      <c r="AL85" s="100"/>
      <c r="AM85" s="203" t="n">
        <f aca="false">'[10]HIST.'!AM77</f>
        <v>0</v>
      </c>
      <c r="AN85" s="2233" t="n">
        <v>0</v>
      </c>
      <c r="AP85" s="2234" t="n">
        <f aca="false">'[11]HIST.'!AP79</f>
        <v>0</v>
      </c>
      <c r="AQ85" s="100"/>
      <c r="AR85" s="203" t="n">
        <f aca="false">'[11]HIST.'!AR79</f>
        <v>0</v>
      </c>
      <c r="AS85" s="2233" t="n">
        <v>0</v>
      </c>
      <c r="AU85" s="2279" t="n">
        <v>0</v>
      </c>
      <c r="AW85" s="44" t="n">
        <v>0</v>
      </c>
      <c r="AX85" s="2278" t="e">
        <v>#DIV/0!</v>
      </c>
      <c r="AZ85" s="2276" t="n">
        <f aca="false">[13]VENDA!J47</f>
        <v>0</v>
      </c>
      <c r="BA85" s="2277"/>
      <c r="BB85" s="2237" t="n">
        <f aca="false">[13]VENDA!K47</f>
        <v>0</v>
      </c>
      <c r="BC85" s="2233" t="n">
        <v>0</v>
      </c>
      <c r="BE85" s="2276" t="n">
        <f aca="false">VEN!K47</f>
        <v>0</v>
      </c>
      <c r="BF85" s="2277"/>
      <c r="BG85" s="2237" t="n">
        <f aca="false">VEN!L47</f>
        <v>0</v>
      </c>
      <c r="BH85" s="2233" t="e">
        <f aca="false">BG85/BE85</f>
        <v>#DIV/0!</v>
      </c>
    </row>
    <row r="86" customFormat="false" ht="14.25" hidden="false" customHeight="false" outlineLevel="0" collapsed="false">
      <c r="A86" s="9" t="s">
        <v>18</v>
      </c>
      <c r="B86" s="2275" t="n">
        <v>0</v>
      </c>
      <c r="C86" s="48"/>
      <c r="D86" s="2237" t="n">
        <v>0</v>
      </c>
      <c r="E86" s="2233" t="n">
        <v>0</v>
      </c>
      <c r="G86" s="2275" t="n">
        <v>0</v>
      </c>
      <c r="H86" s="48"/>
      <c r="I86" s="2237" t="n">
        <v>0</v>
      </c>
      <c r="J86" s="2233" t="n">
        <v>0</v>
      </c>
      <c r="L86" s="2279" t="n">
        <v>0</v>
      </c>
      <c r="N86" s="2237" t="n">
        <v>0</v>
      </c>
      <c r="O86" s="2233" t="n">
        <v>0</v>
      </c>
      <c r="Q86" s="2276" t="n">
        <v>0</v>
      </c>
      <c r="R86" s="2277"/>
      <c r="S86" s="200" t="n">
        <v>0</v>
      </c>
      <c r="T86" s="2233" t="n">
        <v>0</v>
      </c>
      <c r="V86" s="2234" t="n">
        <f aca="false">[7]VEND!$I$18</f>
        <v>0</v>
      </c>
      <c r="W86" s="100"/>
      <c r="X86" s="203" t="n">
        <f aca="false">[7]VEND!$J$18</f>
        <v>0</v>
      </c>
      <c r="Y86" s="2233" t="n">
        <v>0</v>
      </c>
      <c r="AA86" s="2234" t="n">
        <f aca="false">[8]VEND!$I18</f>
        <v>0</v>
      </c>
      <c r="AB86" s="100"/>
      <c r="AC86" s="203" t="n">
        <f aca="false">[8]VEND!$J18</f>
        <v>0</v>
      </c>
      <c r="AD86" s="2233" t="n">
        <v>0</v>
      </c>
      <c r="AE86" s="100"/>
      <c r="AF86" s="2234" t="n">
        <f aca="false">'[9]HIST.'!$AF$76</f>
        <v>22200</v>
      </c>
      <c r="AG86" s="100"/>
      <c r="AH86" s="203" t="n">
        <f aca="false">'[9]HIST.'!$AH$76</f>
        <v>1222.5</v>
      </c>
      <c r="AI86" s="2233" t="n">
        <f aca="false">AH86/AF86</f>
        <v>0.0550675675675676</v>
      </c>
      <c r="AK86" s="2234" t="n">
        <f aca="false">'[10]HIST.'!AK78</f>
        <v>0</v>
      </c>
      <c r="AL86" s="100"/>
      <c r="AM86" s="203" t="n">
        <f aca="false">'[10]HIST.'!AM78</f>
        <v>0</v>
      </c>
      <c r="AN86" s="2233" t="n">
        <v>0</v>
      </c>
      <c r="AP86" s="2234" t="n">
        <f aca="false">'[11]HIST.'!AP80</f>
        <v>0</v>
      </c>
      <c r="AQ86" s="100"/>
      <c r="AR86" s="203" t="n">
        <f aca="false">'[11]HIST.'!AR80</f>
        <v>0</v>
      </c>
      <c r="AS86" s="2233" t="n">
        <v>0</v>
      </c>
      <c r="AU86" s="2279" t="n">
        <v>0</v>
      </c>
      <c r="AW86" s="44" t="n">
        <v>0</v>
      </c>
      <c r="AX86" s="2278" t="e">
        <v>#DIV/0!</v>
      </c>
      <c r="AZ86" s="2276" t="n">
        <f aca="false">[13]VENDA!J52</f>
        <v>0</v>
      </c>
      <c r="BA86" s="2277"/>
      <c r="BB86" s="2237" t="n">
        <f aca="false">[13]VENDA!K52</f>
        <v>0</v>
      </c>
      <c r="BC86" s="2233" t="n">
        <v>0</v>
      </c>
      <c r="BE86" s="2276" t="n">
        <f aca="false">VEN!K52</f>
        <v>0</v>
      </c>
      <c r="BF86" s="2277"/>
      <c r="BG86" s="2237" t="n">
        <f aca="false">VEN!L52</f>
        <v>0</v>
      </c>
      <c r="BH86" s="2233" t="e">
        <f aca="false">BG86/BE86</f>
        <v>#DIV/0!</v>
      </c>
    </row>
    <row r="87" customFormat="false" ht="14.25" hidden="false" customHeight="false" outlineLevel="0" collapsed="false">
      <c r="A87" s="9" t="s">
        <v>19</v>
      </c>
      <c r="B87" s="2275" t="n">
        <v>0</v>
      </c>
      <c r="C87" s="48"/>
      <c r="D87" s="2237" t="n">
        <v>0</v>
      </c>
      <c r="E87" s="2233" t="n">
        <v>0</v>
      </c>
      <c r="G87" s="2275" t="n">
        <v>0</v>
      </c>
      <c r="H87" s="48"/>
      <c r="I87" s="2237" t="n">
        <v>0</v>
      </c>
      <c r="J87" s="2233" t="n">
        <v>0</v>
      </c>
      <c r="L87" s="2279" t="n">
        <v>0</v>
      </c>
      <c r="N87" s="2237" t="n">
        <v>0</v>
      </c>
      <c r="O87" s="2233" t="n">
        <v>0</v>
      </c>
      <c r="Q87" s="2276" t="n">
        <v>0</v>
      </c>
      <c r="R87" s="2277"/>
      <c r="S87" s="200" t="n">
        <v>0</v>
      </c>
      <c r="T87" s="2233" t="n">
        <v>0</v>
      </c>
      <c r="V87" s="2234" t="n">
        <f aca="false">[7]VEND!$I$19</f>
        <v>0</v>
      </c>
      <c r="W87" s="100"/>
      <c r="X87" s="203" t="n">
        <f aca="false">[7]VEND!$J$19</f>
        <v>0</v>
      </c>
      <c r="Y87" s="2233" t="n">
        <v>0</v>
      </c>
      <c r="AA87" s="2234" t="n">
        <f aca="false">[8]VEND!$I19</f>
        <v>8100</v>
      </c>
      <c r="AB87" s="100"/>
      <c r="AC87" s="203" t="n">
        <f aca="false">[8]VEND!$J19</f>
        <v>3600</v>
      </c>
      <c r="AD87" s="2233" t="n">
        <v>0</v>
      </c>
      <c r="AE87" s="100"/>
      <c r="AF87" s="2234" t="n">
        <f aca="false">'[9]HIST.'!$AF$77</f>
        <v>0</v>
      </c>
      <c r="AG87" s="100"/>
      <c r="AH87" s="203" t="n">
        <f aca="false">'[9]HIST.'!$AH$77</f>
        <v>0</v>
      </c>
      <c r="AI87" s="2233" t="n">
        <v>0</v>
      </c>
      <c r="AK87" s="2234" t="n">
        <f aca="false">'[10]HIST.'!AK79</f>
        <v>0</v>
      </c>
      <c r="AL87" s="100"/>
      <c r="AM87" s="203" t="n">
        <f aca="false">'[10]HIST.'!AM79</f>
        <v>0</v>
      </c>
      <c r="AN87" s="2233" t="n">
        <v>0</v>
      </c>
      <c r="AP87" s="2234" t="n">
        <f aca="false">'[11]HIST.'!AP81</f>
        <v>0</v>
      </c>
      <c r="AQ87" s="100"/>
      <c r="AR87" s="203" t="n">
        <f aca="false">'[11]HIST.'!AR81</f>
        <v>0</v>
      </c>
      <c r="AS87" s="2233" t="n">
        <v>0</v>
      </c>
      <c r="AU87" s="2279" t="n">
        <v>0</v>
      </c>
      <c r="AW87" s="44" t="n">
        <v>0</v>
      </c>
      <c r="AX87" s="2278" t="e">
        <v>#DIV/0!</v>
      </c>
      <c r="AZ87" s="2276" t="n">
        <f aca="false">[13]VENDA!J55</f>
        <v>0</v>
      </c>
      <c r="BA87" s="2277"/>
      <c r="BB87" s="2237" t="n">
        <f aca="false">[13]VENDA!K55</f>
        <v>0</v>
      </c>
      <c r="BC87" s="2233" t="n">
        <v>0</v>
      </c>
      <c r="BE87" s="2276" t="n">
        <f aca="false">VEN!K55</f>
        <v>0</v>
      </c>
      <c r="BF87" s="2277"/>
      <c r="BG87" s="2237" t="n">
        <f aca="false">VEN!L55</f>
        <v>0</v>
      </c>
      <c r="BH87" s="2233" t="e">
        <f aca="false">BG87/BE87</f>
        <v>#DIV/0!</v>
      </c>
    </row>
    <row r="88" customFormat="false" ht="14.25" hidden="false" customHeight="false" outlineLevel="0" collapsed="false">
      <c r="A88" s="9" t="s">
        <v>3673</v>
      </c>
      <c r="B88" s="2275" t="n">
        <v>0</v>
      </c>
      <c r="C88" s="48"/>
      <c r="D88" s="2237" t="n">
        <v>0</v>
      </c>
      <c r="E88" s="2233" t="n">
        <v>0</v>
      </c>
      <c r="G88" s="2275" t="n">
        <v>0</v>
      </c>
      <c r="H88" s="48"/>
      <c r="I88" s="2237" t="n">
        <v>0</v>
      </c>
      <c r="J88" s="2233" t="n">
        <v>0</v>
      </c>
      <c r="L88" s="2279" t="n">
        <v>0</v>
      </c>
      <c r="N88" s="2237" t="n">
        <v>0</v>
      </c>
      <c r="O88" s="2233" t="n">
        <v>0</v>
      </c>
      <c r="Q88" s="2276" t="n">
        <v>0</v>
      </c>
      <c r="R88" s="2277"/>
      <c r="S88" s="200" t="n">
        <v>0</v>
      </c>
      <c r="T88" s="2233" t="n">
        <v>0</v>
      </c>
      <c r="V88" s="2234" t="n">
        <v>0</v>
      </c>
      <c r="W88" s="100"/>
      <c r="X88" s="203" t="n">
        <v>0</v>
      </c>
      <c r="Y88" s="2233" t="n">
        <v>0</v>
      </c>
      <c r="AA88" s="2234" t="n">
        <v>0</v>
      </c>
      <c r="AB88" s="100"/>
      <c r="AC88" s="203" t="n">
        <v>0</v>
      </c>
      <c r="AD88" s="2233" t="n">
        <v>0</v>
      </c>
      <c r="AE88" s="100"/>
      <c r="AF88" s="2234" t="n">
        <f aca="false">'[9]HIST.'!$AF$78</f>
        <v>0</v>
      </c>
      <c r="AG88" s="100"/>
      <c r="AH88" s="203" t="n">
        <f aca="false">'[9]HIST.'!$AH$78</f>
        <v>0</v>
      </c>
      <c r="AI88" s="2233" t="n">
        <v>0</v>
      </c>
      <c r="AK88" s="2234" t="n">
        <f aca="false">'[10]HIST.'!AK80</f>
        <v>0</v>
      </c>
      <c r="AL88" s="100"/>
      <c r="AM88" s="203" t="n">
        <f aca="false">'[10]HIST.'!AM80</f>
        <v>0</v>
      </c>
      <c r="AN88" s="2233" t="n">
        <v>0</v>
      </c>
      <c r="AP88" s="2234" t="n">
        <f aca="false">'[11]HIST.'!AP82</f>
        <v>0</v>
      </c>
      <c r="AQ88" s="100"/>
      <c r="AR88" s="203" t="n">
        <f aca="false">'[11]HIST.'!AR82</f>
        <v>0</v>
      </c>
      <c r="AS88" s="2233" t="n">
        <v>0</v>
      </c>
      <c r="AU88" s="2279" t="n">
        <v>0</v>
      </c>
      <c r="AW88" s="44" t="n">
        <v>0</v>
      </c>
      <c r="AX88" s="2278" t="e">
        <v>#DIV/0!</v>
      </c>
      <c r="AZ88" s="2276" t="n">
        <f aca="false">[13]VENDA!J58</f>
        <v>0</v>
      </c>
      <c r="BA88" s="2277"/>
      <c r="BB88" s="2237" t="n">
        <f aca="false">[13]VENDA!K58</f>
        <v>0</v>
      </c>
      <c r="BC88" s="2233" t="n">
        <v>0</v>
      </c>
      <c r="BE88" s="2276" t="n">
        <f aca="false">VEN!K58</f>
        <v>0</v>
      </c>
      <c r="BF88" s="2277"/>
      <c r="BG88" s="2237" t="n">
        <f aca="false">VEN!L58</f>
        <v>0</v>
      </c>
      <c r="BH88" s="2233" t="e">
        <f aca="false">BG88/BE88</f>
        <v>#DIV/0!</v>
      </c>
    </row>
    <row r="89" customFormat="false" ht="14.25" hidden="false" customHeight="false" outlineLevel="0" collapsed="false">
      <c r="A89" s="9" t="s">
        <v>22</v>
      </c>
      <c r="B89" s="2275" t="n">
        <v>0</v>
      </c>
      <c r="C89" s="48"/>
      <c r="D89" s="2237" t="n">
        <v>0</v>
      </c>
      <c r="E89" s="2233" t="n">
        <v>0</v>
      </c>
      <c r="G89" s="2275" t="n">
        <v>0</v>
      </c>
      <c r="H89" s="48"/>
      <c r="I89" s="2237" t="n">
        <v>0</v>
      </c>
      <c r="J89" s="2233" t="n">
        <v>0</v>
      </c>
      <c r="L89" s="2279" t="n">
        <v>0</v>
      </c>
      <c r="N89" s="2237" t="n">
        <v>0</v>
      </c>
      <c r="O89" s="2233" t="n">
        <v>0</v>
      </c>
      <c r="Q89" s="2276" t="n">
        <v>0</v>
      </c>
      <c r="R89" s="2277"/>
      <c r="S89" s="200" t="n">
        <v>0</v>
      </c>
      <c r="T89" s="2233" t="n">
        <v>0</v>
      </c>
      <c r="V89" s="2234" t="n">
        <v>0</v>
      </c>
      <c r="W89" s="100"/>
      <c r="X89" s="203" t="n">
        <v>0</v>
      </c>
      <c r="Y89" s="2233" t="n">
        <v>0</v>
      </c>
      <c r="AA89" s="2234" t="n">
        <v>0</v>
      </c>
      <c r="AB89" s="100"/>
      <c r="AC89" s="203" t="n">
        <v>0</v>
      </c>
      <c r="AD89" s="2233" t="n">
        <v>0</v>
      </c>
      <c r="AE89" s="100"/>
      <c r="AF89" s="2234" t="n">
        <f aca="false">'[9]HIST.'!$AF$79</f>
        <v>204565.3998</v>
      </c>
      <c r="AG89" s="100"/>
      <c r="AH89" s="203" t="n">
        <f aca="false">'[9]HIST.'!$AH$79</f>
        <v>72032</v>
      </c>
      <c r="AI89" s="2233" t="n">
        <f aca="false">AH89/AF89</f>
        <v>0.352122108970649</v>
      </c>
      <c r="AK89" s="2234" t="n">
        <f aca="false">'[10]HIST.'!AK81</f>
        <v>37600</v>
      </c>
      <c r="AL89" s="100"/>
      <c r="AM89" s="203" t="n">
        <f aca="false">'[10]HIST.'!AM81</f>
        <v>8657.4</v>
      </c>
      <c r="AN89" s="2233" t="n">
        <f aca="false">AM89/AK89</f>
        <v>0.23025</v>
      </c>
      <c r="AP89" s="2234" t="n">
        <f aca="false">'[11]HIST.'!AP83</f>
        <v>0</v>
      </c>
      <c r="AQ89" s="100"/>
      <c r="AR89" s="203" t="n">
        <f aca="false">'[11]HIST.'!AR83</f>
        <v>0</v>
      </c>
      <c r="AS89" s="2233" t="n">
        <v>0</v>
      </c>
      <c r="AU89" s="2279" t="n">
        <v>102552.79472</v>
      </c>
      <c r="AW89" s="44" t="n">
        <v>25000</v>
      </c>
      <c r="AX89" s="2280" t="n">
        <v>0.243776876761453</v>
      </c>
      <c r="AY89" s="2281"/>
      <c r="AZ89" s="2276" t="n">
        <f aca="false">[13]VENDA!J61</f>
        <v>0</v>
      </c>
      <c r="BA89" s="2277"/>
      <c r="BB89" s="2237" t="n">
        <f aca="false">[13]VENDA!K61</f>
        <v>0</v>
      </c>
      <c r="BC89" s="2233" t="n">
        <v>0</v>
      </c>
      <c r="BE89" s="2276" t="n">
        <f aca="false">VEN!K61</f>
        <v>0</v>
      </c>
      <c r="BF89" s="2277"/>
      <c r="BG89" s="2237" t="n">
        <f aca="false">VEN!L61</f>
        <v>0</v>
      </c>
      <c r="BH89" s="2233" t="e">
        <f aca="false">BG89/BE89</f>
        <v>#DIV/0!</v>
      </c>
    </row>
    <row r="90" customFormat="false" ht="14.25" hidden="false" customHeight="false" outlineLevel="0" collapsed="false">
      <c r="A90" s="9" t="s">
        <v>75</v>
      </c>
      <c r="B90" s="2275" t="n">
        <f aca="false">'[14]Vendas Real'!$J$17+'[14]Vendas Real'!$N$34</f>
        <v>1550</v>
      </c>
      <c r="C90" s="48"/>
      <c r="D90" s="2237" t="n">
        <f aca="false">'[14]Vendas Real'!$K$17+'[14]Vendas Real'!$O$34</f>
        <v>10870</v>
      </c>
      <c r="E90" s="2233" t="n">
        <f aca="false">D90/B90</f>
        <v>7.01290322580645</v>
      </c>
      <c r="G90" s="2275" t="n">
        <f aca="false">'[15]VR Geral'!$L$36</f>
        <v>180</v>
      </c>
      <c r="H90" s="48"/>
      <c r="I90" s="2237" t="n">
        <f aca="false">'[15]VR Geral'!$M$36</f>
        <v>1407.6</v>
      </c>
      <c r="J90" s="2233" t="n">
        <f aca="false">I90/G90</f>
        <v>7.82</v>
      </c>
      <c r="L90" s="2276" t="n">
        <f aca="false">'[5]HIST.'!$J$60</f>
        <v>0</v>
      </c>
      <c r="M90" s="2277"/>
      <c r="N90" s="2237" t="n">
        <f aca="false">[5]VENDA!$J$18</f>
        <v>0</v>
      </c>
      <c r="O90" s="2233" t="n">
        <v>0</v>
      </c>
      <c r="Q90" s="2276" t="n">
        <f aca="false">[6]VENDA!$I$19</f>
        <v>0</v>
      </c>
      <c r="R90" s="2277"/>
      <c r="S90" s="200" t="n">
        <f aca="false">[6]VENDA!$J$19</f>
        <v>0</v>
      </c>
      <c r="T90" s="2233" t="n">
        <v>0</v>
      </c>
      <c r="V90" s="2234" t="n">
        <f aca="false">[7]VEND!$I$20</f>
        <v>600</v>
      </c>
      <c r="W90" s="100"/>
      <c r="X90" s="203" t="n">
        <f aca="false">[7]VEND!$J$20</f>
        <v>4500</v>
      </c>
      <c r="Y90" s="2233" t="n">
        <v>0</v>
      </c>
      <c r="AA90" s="2234" t="n">
        <f aca="false">[8]VEND!$I20</f>
        <v>790</v>
      </c>
      <c r="AB90" s="100"/>
      <c r="AC90" s="203" t="n">
        <f aca="false">[8]VEND!$J20</f>
        <v>45000</v>
      </c>
      <c r="AD90" s="2233" t="n">
        <v>0</v>
      </c>
      <c r="AE90" s="100"/>
      <c r="AF90" s="2234" t="n">
        <f aca="false">'[9]HIST.'!$AF$80</f>
        <v>100</v>
      </c>
      <c r="AG90" s="100"/>
      <c r="AH90" s="203" t="n">
        <f aca="false">'[9]HIST.'!$AH$80</f>
        <v>1200</v>
      </c>
      <c r="AI90" s="2233" t="n">
        <f aca="false">AH90/AF90</f>
        <v>12</v>
      </c>
      <c r="AK90" s="2234" t="n">
        <f aca="false">'[10]HIST.'!AK82</f>
        <v>0</v>
      </c>
      <c r="AL90" s="100"/>
      <c r="AM90" s="203" t="n">
        <f aca="false">'[10]HIST.'!AM82</f>
        <v>0</v>
      </c>
      <c r="AN90" s="2233" t="n">
        <v>0</v>
      </c>
      <c r="AP90" s="2234" t="n">
        <f aca="false">'[11]HIST.'!AP84</f>
        <v>3500</v>
      </c>
      <c r="AQ90" s="100"/>
      <c r="AR90" s="203" t="n">
        <f aca="false">'[11]HIST.'!AR84</f>
        <v>34278</v>
      </c>
      <c r="AS90" s="2233" t="n">
        <f aca="false">AR90/AP90</f>
        <v>9.79371428571429</v>
      </c>
      <c r="AU90" s="2279" t="n">
        <v>0</v>
      </c>
      <c r="AW90" s="44" t="n">
        <v>0</v>
      </c>
      <c r="AX90" s="2278" t="e">
        <v>#DIV/0!</v>
      </c>
      <c r="AZ90" s="2276" t="n">
        <f aca="false">[13]VENDA!J64</f>
        <v>0</v>
      </c>
      <c r="BA90" s="2277"/>
      <c r="BB90" s="2237" t="n">
        <f aca="false">[13]VENDA!K64</f>
        <v>0</v>
      </c>
      <c r="BC90" s="2233" t="n">
        <v>0</v>
      </c>
      <c r="BE90" s="2276" t="n">
        <f aca="false">VEN!K64</f>
        <v>0</v>
      </c>
      <c r="BF90" s="2277"/>
      <c r="BG90" s="2237" t="n">
        <f aca="false">VEN!L64</f>
        <v>0</v>
      </c>
      <c r="BH90" s="2233" t="e">
        <f aca="false">BG90/BE90</f>
        <v>#DIV/0!</v>
      </c>
    </row>
    <row r="91" customFormat="false" ht="14.25" hidden="false" customHeight="false" outlineLevel="0" collapsed="false">
      <c r="A91" s="511" t="s">
        <v>24</v>
      </c>
      <c r="B91" s="2239" t="n">
        <v>0</v>
      </c>
      <c r="C91" s="251"/>
      <c r="D91" s="2248" t="n">
        <v>0</v>
      </c>
      <c r="E91" s="2240" t="n">
        <v>0</v>
      </c>
      <c r="F91" s="256"/>
      <c r="G91" s="2239" t="n">
        <f aca="false">'[15]VR Geral'!$L$35</f>
        <v>1544</v>
      </c>
      <c r="H91" s="251"/>
      <c r="I91" s="2248" t="n">
        <f aca="false">'[15]VR Geral'!$M$35</f>
        <v>6176</v>
      </c>
      <c r="J91" s="2240" t="n">
        <f aca="false">I91/G91</f>
        <v>4</v>
      </c>
      <c r="K91" s="256"/>
      <c r="L91" s="2282" t="n">
        <f aca="false">'[5]HIST.'!$J$61</f>
        <v>0</v>
      </c>
      <c r="M91" s="2283"/>
      <c r="N91" s="2248" t="n">
        <f aca="false">[5]VENDA!$J$19</f>
        <v>0</v>
      </c>
      <c r="O91" s="2284" t="n">
        <v>0</v>
      </c>
      <c r="P91" s="256"/>
      <c r="Q91" s="2282" t="n">
        <f aca="false">[6]VENDA!$I$20</f>
        <v>0</v>
      </c>
      <c r="R91" s="2283"/>
      <c r="S91" s="259" t="n">
        <f aca="false">[6]VENDA!$J$20</f>
        <v>0</v>
      </c>
      <c r="T91" s="2284" t="n">
        <v>0</v>
      </c>
      <c r="U91" s="256"/>
      <c r="V91" s="2242" t="n">
        <f aca="false">[7]VEND!$I$21</f>
        <v>0</v>
      </c>
      <c r="W91" s="2241"/>
      <c r="X91" s="262" t="n">
        <f aca="false">[7]VEND!$J$21</f>
        <v>0</v>
      </c>
      <c r="Y91" s="2284" t="n">
        <v>0</v>
      </c>
      <c r="Z91" s="256"/>
      <c r="AA91" s="2234" t="n">
        <f aca="false">[8]VEND!$I21</f>
        <v>0</v>
      </c>
      <c r="AB91" s="100"/>
      <c r="AC91" s="203" t="n">
        <f aca="false">[8]VEND!$J21</f>
        <v>0</v>
      </c>
      <c r="AD91" s="2285" t="n">
        <v>0</v>
      </c>
      <c r="AE91" s="2237"/>
      <c r="AF91" s="2234" t="n">
        <f aca="false">'[9]HIST.'!$AF$81</f>
        <v>0</v>
      </c>
      <c r="AG91" s="100"/>
      <c r="AH91" s="203" t="n">
        <f aca="false">'[9]HIST.'!$AH$81</f>
        <v>0</v>
      </c>
      <c r="AI91" s="2233" t="n">
        <v>0</v>
      </c>
      <c r="AK91" s="2234" t="n">
        <f aca="false">'[10]HIST.'!AK83</f>
        <v>0</v>
      </c>
      <c r="AL91" s="100"/>
      <c r="AM91" s="203" t="n">
        <f aca="false">'[10]HIST.'!AM83</f>
        <v>0</v>
      </c>
      <c r="AN91" s="2233" t="n">
        <v>0</v>
      </c>
      <c r="AP91" s="2234" t="n">
        <f aca="false">'[11]HIST.'!AP85</f>
        <v>0</v>
      </c>
      <c r="AQ91" s="100"/>
      <c r="AR91" s="203" t="n">
        <f aca="false">'[11]HIST.'!AR85</f>
        <v>0</v>
      </c>
      <c r="AS91" s="2233" t="n">
        <v>0</v>
      </c>
      <c r="AU91" s="2286" t="n">
        <v>0</v>
      </c>
      <c r="AV91" s="256"/>
      <c r="AW91" s="256" t="n">
        <v>0</v>
      </c>
      <c r="AX91" s="2287" t="e">
        <v>#DIV/0!</v>
      </c>
      <c r="AZ91" s="2276" t="n">
        <f aca="false">[13]VENDA!J65</f>
        <v>0</v>
      </c>
      <c r="BA91" s="2277"/>
      <c r="BB91" s="2237" t="n">
        <f aca="false">[13]VENDA!K65</f>
        <v>0</v>
      </c>
      <c r="BC91" s="2233" t="n">
        <v>0</v>
      </c>
      <c r="BE91" s="2276" t="n">
        <f aca="false">VEN!K65</f>
        <v>0</v>
      </c>
      <c r="BF91" s="2277"/>
      <c r="BG91" s="2237" t="n">
        <f aca="false">VEN!L65</f>
        <v>0</v>
      </c>
      <c r="BH91" s="2233" t="e">
        <f aca="false">BG91/BE91</f>
        <v>#DIV/0!</v>
      </c>
    </row>
    <row r="92" customFormat="false" ht="14.25" hidden="false" customHeight="false" outlineLevel="0" collapsed="false">
      <c r="A92" s="379" t="s">
        <v>25</v>
      </c>
      <c r="B92" s="2249" t="n">
        <f aca="false">SUM(B73:B91)</f>
        <v>31884538.87</v>
      </c>
      <c r="C92" s="350"/>
      <c r="D92" s="413" t="n">
        <f aca="false">SUBTOTAL(9,D73:D91)</f>
        <v>3975652.53</v>
      </c>
      <c r="E92" s="2250" t="n">
        <f aca="false">D92/B92</f>
        <v>0.124689039606612</v>
      </c>
      <c r="G92" s="2249" t="n">
        <f aca="false">SUBTOTAL(9,G73:G91)</f>
        <v>22044823.5345</v>
      </c>
      <c r="H92" s="350"/>
      <c r="I92" s="413" t="n">
        <f aca="false">SUBTOTAL(9,I73:I91)</f>
        <v>2333158.35</v>
      </c>
      <c r="J92" s="2250" t="n">
        <f aca="false">I92/G92</f>
        <v>0.105837016401997</v>
      </c>
      <c r="L92" s="2249" t="n">
        <f aca="false">SUBTOTAL(9,L73:L91)</f>
        <v>17134916.99</v>
      </c>
      <c r="M92" s="350"/>
      <c r="N92" s="413" t="n">
        <f aca="false">SUBTOTAL(9,N73:N91)</f>
        <v>1927190.46</v>
      </c>
      <c r="O92" s="2250" t="n">
        <f aca="false">N92/L92</f>
        <v>0.112471537570022</v>
      </c>
      <c r="Q92" s="2249" t="n">
        <f aca="false">SUBTOTAL(9,Q73:Q91)</f>
        <v>19858371.08</v>
      </c>
      <c r="R92" s="350"/>
      <c r="S92" s="413" t="n">
        <f aca="false">SUBTOTAL(9,S73:S91)</f>
        <v>2030206.89</v>
      </c>
      <c r="T92" s="2250" t="n">
        <f aca="false">S92/Q92</f>
        <v>0.102234311254496</v>
      </c>
      <c r="V92" s="2249" t="n">
        <f aca="false">SUBTOTAL(9,V73:V91)</f>
        <v>10153993.5</v>
      </c>
      <c r="W92" s="350"/>
      <c r="X92" s="413" t="n">
        <f aca="false">SUBTOTAL(9,X73:X91)</f>
        <v>985977.46</v>
      </c>
      <c r="Y92" s="2250" t="n">
        <f aca="false">X92/V92</f>
        <v>0.0971024316688798</v>
      </c>
      <c r="AA92" s="2252" t="n">
        <f aca="false">SUBTOTAL(9,AA73:AA91)</f>
        <v>19785087.246</v>
      </c>
      <c r="AB92" s="352"/>
      <c r="AC92" s="433" t="n">
        <f aca="false">SUBTOTAL(9,AC73:AC91)</f>
        <v>4782138.92</v>
      </c>
      <c r="AD92" s="2254" t="n">
        <f aca="false">AC92/AA92</f>
        <v>0.241704211891551</v>
      </c>
      <c r="AE92" s="2251"/>
      <c r="AF92" s="2252" t="n">
        <f aca="false">SUBTOTAL(9,AF73:AF91)</f>
        <v>3303925.03138</v>
      </c>
      <c r="AG92" s="2253"/>
      <c r="AH92" s="433" t="n">
        <f aca="false">SUBTOTAL(9,AH73:AH91)</f>
        <v>495815.75</v>
      </c>
      <c r="AI92" s="2254" t="n">
        <f aca="false">AH92/AF92</f>
        <v>0.150068704734776</v>
      </c>
      <c r="AK92" s="2252" t="n">
        <f aca="false">SUBTOTAL(9,AK73:AK91)</f>
        <v>11334183.84389</v>
      </c>
      <c r="AL92" s="2253"/>
      <c r="AM92" s="433" t="n">
        <f aca="false">SUBTOTAL(9,AM73:AM91)</f>
        <v>840919.08</v>
      </c>
      <c r="AN92" s="2254" t="n">
        <f aca="false">AM92/AK92</f>
        <v>0.074193174522515</v>
      </c>
      <c r="AP92" s="2252" t="n">
        <f aca="false">SUBTOTAL(9,AP73:AP91)</f>
        <v>5582419.9988</v>
      </c>
      <c r="AQ92" s="2253"/>
      <c r="AR92" s="433" t="n">
        <f aca="false">SUBTOTAL(9,AR73:AR91)</f>
        <v>752046.93</v>
      </c>
      <c r="AS92" s="2254" t="n">
        <f aca="false">AR92/AP92</f>
        <v>0.134717009856238</v>
      </c>
      <c r="AU92" s="2252" t="n">
        <f aca="false">SUBTOTAL(9,AU73:AU91)</f>
        <v>4247052.79472</v>
      </c>
      <c r="AV92" s="2253"/>
      <c r="AW92" s="433" t="n">
        <f aca="false">SUBTOTAL(9,AW73:AW91)</f>
        <v>1274042.5</v>
      </c>
      <c r="AX92" s="2254" t="n">
        <f aca="false">AW92/AU92</f>
        <v>0.299982731927399</v>
      </c>
      <c r="AY92" s="2251"/>
      <c r="AZ92" s="2252" t="n">
        <f aca="false">SUBTOTAL(9,AZ73:AZ91)</f>
        <v>1843740</v>
      </c>
      <c r="BA92" s="352"/>
      <c r="BB92" s="433" t="n">
        <f aca="false">SUBTOTAL(9,BB73:BB91)</f>
        <v>523165.14</v>
      </c>
      <c r="BC92" s="2254" t="n">
        <f aca="false">BB92/AZ92</f>
        <v>0.283752123401347</v>
      </c>
      <c r="BE92" s="2252" t="n">
        <f aca="false">SUBTOTAL(9,BE73:BE91)</f>
        <v>0</v>
      </c>
      <c r="BF92" s="352"/>
      <c r="BG92" s="433" t="n">
        <f aca="false">SUBTOTAL(9,BG73:BG91)</f>
        <v>0</v>
      </c>
      <c r="BH92" s="2254" t="e">
        <f aca="false">BG92/BE92</f>
        <v>#DIV/0!</v>
      </c>
    </row>
    <row r="93" customFormat="false" ht="16.4" hidden="false" customHeight="false" outlineLevel="0" collapsed="false">
      <c r="A93" s="2255" t="s">
        <v>3674</v>
      </c>
      <c r="B93" s="2256"/>
      <c r="C93" s="2256"/>
      <c r="D93" s="2256"/>
      <c r="E93" s="2256"/>
      <c r="F93" s="2251"/>
      <c r="G93" s="2257" t="n">
        <f aca="false">G92/B92-1</f>
        <v>-0.308604599101107</v>
      </c>
      <c r="H93" s="2257"/>
      <c r="I93" s="2257" t="n">
        <f aca="false">I92/D92-1</f>
        <v>-0.413138262865241</v>
      </c>
      <c r="J93" s="2257" t="n">
        <f aca="false">J92/E92-1</f>
        <v>-0.151192304184015</v>
      </c>
      <c r="K93" s="2288"/>
      <c r="L93" s="2259" t="n">
        <f aca="false">L92/B92-1</f>
        <v>-0.462594799947941</v>
      </c>
      <c r="M93" s="2259"/>
      <c r="N93" s="2259" t="n">
        <f aca="false">N92/D92-1</f>
        <v>-0.515251786855729</v>
      </c>
      <c r="O93" s="2259" t="n">
        <f aca="false">O92/E92-1</f>
        <v>-0.0979837688632097</v>
      </c>
      <c r="P93" s="2288"/>
      <c r="Q93" s="2259" t="n">
        <f aca="false">Q92/B92-1</f>
        <v>-0.377178664525563</v>
      </c>
      <c r="R93" s="2259"/>
      <c r="S93" s="2259" t="n">
        <f aca="false">S92/D92-1</f>
        <v>-0.489339957483659</v>
      </c>
      <c r="T93" s="2259" t="n">
        <f aca="false">T92/E92-1</f>
        <v>-0.180085823284548</v>
      </c>
      <c r="U93" s="2288"/>
      <c r="V93" s="2258" t="n">
        <f aca="false">V92/B92-1</f>
        <v>-0.681538643497403</v>
      </c>
      <c r="W93" s="2258"/>
      <c r="X93" s="2260" t="n">
        <f aca="false">X92/D92-1</f>
        <v>-0.751996067925987</v>
      </c>
      <c r="Y93" s="2257" t="n">
        <f aca="false">Y92/E92-1</f>
        <v>-0.221243246597831</v>
      </c>
      <c r="Z93" s="2288"/>
      <c r="AA93" s="2258" t="n">
        <f aca="false">AA92/B92-1</f>
        <v>-0.379477077380106</v>
      </c>
      <c r="AB93" s="2258"/>
      <c r="AC93" s="2258" t="n">
        <f aca="false">AC92/D92-1</f>
        <v>0.202856357268224</v>
      </c>
      <c r="AD93" s="2258" t="n">
        <f aca="false">AD92/E92-1</f>
        <v>0.938455959353888</v>
      </c>
      <c r="AE93" s="2258"/>
      <c r="AF93" s="2258" t="n">
        <f aca="false">AF92/B92-1</f>
        <v>-0.896378459639928</v>
      </c>
      <c r="AG93" s="2258"/>
      <c r="AH93" s="2260" t="n">
        <f aca="false">AH92/D92-1</f>
        <v>-0.87528695069335</v>
      </c>
      <c r="AI93" s="2260" t="n">
        <f aca="false">AI92/E92-1</f>
        <v>0.203543673190804</v>
      </c>
      <c r="AJ93" s="2288"/>
      <c r="AK93" s="2258" t="n">
        <f aca="false">AK92/B92-1</f>
        <v>-0.644524140991913</v>
      </c>
      <c r="AL93" s="2258"/>
      <c r="AM93" s="2260" t="n">
        <f aca="false">AM92/D92-1</f>
        <v>-0.788482752540751</v>
      </c>
      <c r="AN93" s="2260" t="n">
        <f aca="false">AN92/E92-1</f>
        <v>-0.404974368584515</v>
      </c>
      <c r="AO93" s="2288"/>
      <c r="AP93" s="2258" t="n">
        <f aca="false">AP92/B92-1</f>
        <v>-0.824917649850271</v>
      </c>
      <c r="AQ93" s="2258"/>
      <c r="AR93" s="2260" t="n">
        <f aca="false">AR92/D92-1</f>
        <v>-0.810836856509691</v>
      </c>
      <c r="AS93" s="2260" t="n">
        <f aca="false">AS92/E92-1</f>
        <v>0.0804238310060248</v>
      </c>
      <c r="AT93" s="2288"/>
      <c r="AU93" s="2258" t="n">
        <f aca="false">AU92/B92-1</f>
        <v>-0.866798989565566</v>
      </c>
      <c r="AV93" s="2258"/>
      <c r="AW93" s="2260" t="n">
        <f aca="false">AW92/D92-1</f>
        <v>-0.679538769953822</v>
      </c>
      <c r="AX93" s="2260" t="n">
        <f aca="false">AX92/E92-1</f>
        <v>1.40584684005771</v>
      </c>
      <c r="AY93" s="2260"/>
      <c r="AZ93" s="2260" t="n">
        <f aca="false">AZ92/B92-1</f>
        <v>-0.942174481258226</v>
      </c>
      <c r="BA93" s="2260"/>
      <c r="BB93" s="2260" t="n">
        <f aca="false">BB92/D92-1</f>
        <v>-0.868407730290253</v>
      </c>
      <c r="BC93" s="2260" t="n">
        <f aca="false">BC92/E92-1</f>
        <v>1.27567815340122</v>
      </c>
      <c r="BE93" s="2260" t="n">
        <f aca="false">BE92/B92-1</f>
        <v>-1</v>
      </c>
      <c r="BF93" s="2260"/>
      <c r="BG93" s="2260" t="n">
        <f aca="false">BG92/D92-1</f>
        <v>-1</v>
      </c>
      <c r="BH93" s="2260" t="e">
        <f aca="false">BH92/E92-1</f>
        <v>#DIV/0!</v>
      </c>
    </row>
    <row r="94" customFormat="false" ht="16.4" hidden="false" customHeight="false" outlineLevel="0" collapsed="false">
      <c r="A94" s="379" t="s">
        <v>3675</v>
      </c>
      <c r="B94" s="2256"/>
      <c r="C94" s="2256"/>
      <c r="D94" s="2256"/>
      <c r="E94" s="2256"/>
      <c r="F94" s="2251"/>
      <c r="G94" s="2257"/>
      <c r="H94" s="2257"/>
      <c r="I94" s="2257"/>
      <c r="J94" s="2257"/>
      <c r="K94" s="2251"/>
      <c r="L94" s="2259" t="n">
        <f aca="false">L92/G92-1</f>
        <v>-0.22272378532838</v>
      </c>
      <c r="M94" s="2259"/>
      <c r="N94" s="2259" t="n">
        <f aca="false">N92/I92-1</f>
        <v>-0.173999287275122</v>
      </c>
      <c r="O94" s="2258" t="n">
        <f aca="false">O92/J92-1</f>
        <v>0.0626862074685293</v>
      </c>
      <c r="P94" s="2251"/>
      <c r="Q94" s="2259" t="n">
        <f aca="false">Q92/G92-1</f>
        <v>-0.0991821255034417</v>
      </c>
      <c r="R94" s="2259"/>
      <c r="S94" s="2259" t="n">
        <f aca="false">S92/I92-1</f>
        <v>-0.129846077528343</v>
      </c>
      <c r="T94" s="2258" t="n">
        <f aca="false">T92/J92-1</f>
        <v>-0.0340401238619273</v>
      </c>
      <c r="U94" s="2251"/>
      <c r="V94" s="2260" t="n">
        <f aca="false">V92/G92-1</f>
        <v>-0.539393296385019</v>
      </c>
      <c r="W94" s="2260"/>
      <c r="X94" s="2260" t="n">
        <f aca="false">X92/I92-1</f>
        <v>-0.577406539937592</v>
      </c>
      <c r="Y94" s="2257" t="n">
        <f aca="false">Y92/J92-1</f>
        <v>-0.0825286372391739</v>
      </c>
      <c r="Z94" s="2251"/>
      <c r="AA94" s="2260" t="n">
        <f aca="false">AA92/G92-1</f>
        <v>-0.10250643580628</v>
      </c>
      <c r="AB94" s="2260"/>
      <c r="AC94" s="2260" t="n">
        <f aca="false">AC92/I92-1</f>
        <v>1.04964181706741</v>
      </c>
      <c r="AD94" s="2260" t="n">
        <f aca="false">AD92/J92-1</f>
        <v>1.28373984933111</v>
      </c>
      <c r="AE94" s="2260"/>
      <c r="AF94" s="2260" t="n">
        <f aca="false">AF92/G92-1</f>
        <v>-0.850126945846975</v>
      </c>
      <c r="AG94" s="2260"/>
      <c r="AH94" s="2260" t="n">
        <f aca="false">AH92/I92-1</f>
        <v>-0.787491599102136</v>
      </c>
      <c r="AI94" s="2260" t="n">
        <f aca="false">AI92/J92-1</f>
        <v>0.417922668613177</v>
      </c>
      <c r="AJ94" s="2251"/>
      <c r="AK94" s="2260" t="n">
        <f aca="false">AK92/G92-1</f>
        <v>-0.485857356664612</v>
      </c>
      <c r="AL94" s="2260"/>
      <c r="AM94" s="2260" t="n">
        <f aca="false">AM92/I92-1</f>
        <v>-0.639579079576832</v>
      </c>
      <c r="AN94" s="2260" t="n">
        <f aca="false">AN92/J92-1</f>
        <v>-0.298986526219618</v>
      </c>
      <c r="AO94" s="2251"/>
      <c r="AP94" s="2260" t="n">
        <f aca="false">AP92/G92-1</f>
        <v>-0.746769576537388</v>
      </c>
      <c r="AQ94" s="2260"/>
      <c r="AR94" s="2260" t="n">
        <f aca="false">AR92/I92-1</f>
        <v>-0.677670000409531</v>
      </c>
      <c r="AS94" s="2260" t="n">
        <f aca="false">AS92/J92-1</f>
        <v>0.272872331779909</v>
      </c>
      <c r="AT94" s="2251"/>
      <c r="AU94" s="2260" t="n">
        <f aca="false">AU92/G92-1</f>
        <v>-0.80734466809982</v>
      </c>
      <c r="AV94" s="2260"/>
      <c r="AW94" s="2260" t="n">
        <f aca="false">AW92/I92-1</f>
        <v>-0.453940835177347</v>
      </c>
      <c r="AX94" s="2260" t="n">
        <f aca="false">AX92/J92-1</f>
        <v>1.8343838680031</v>
      </c>
      <c r="AY94" s="2260"/>
      <c r="AZ94" s="2260" t="n">
        <f aca="false">AZ92/G92-1</f>
        <v>-0.916364039062751</v>
      </c>
      <c r="BA94" s="2260"/>
      <c r="BB94" s="2260" t="n">
        <f aca="false">BB92/I92-1</f>
        <v>-0.775769552889541</v>
      </c>
      <c r="BC94" s="2260" t="n">
        <f aca="false">BC92/J92-1</f>
        <v>1.68102912428656</v>
      </c>
      <c r="BE94" s="2260" t="n">
        <f aca="false">BE92/G92-1</f>
        <v>-1</v>
      </c>
      <c r="BF94" s="2260"/>
      <c r="BG94" s="2260" t="n">
        <f aca="false">BG92/I92-1</f>
        <v>-1</v>
      </c>
      <c r="BH94" s="2260" t="e">
        <f aca="false">BH92/J92-1</f>
        <v>#DIV/0!</v>
      </c>
    </row>
    <row r="95" customFormat="false" ht="16.4" hidden="false" customHeight="false" outlineLevel="0" collapsed="false">
      <c r="A95" s="379" t="s">
        <v>3676</v>
      </c>
      <c r="B95" s="2256"/>
      <c r="C95" s="2256"/>
      <c r="D95" s="2256"/>
      <c r="E95" s="2256"/>
      <c r="F95" s="2251"/>
      <c r="G95" s="2257"/>
      <c r="H95" s="2257"/>
      <c r="I95" s="2257"/>
      <c r="J95" s="2257"/>
      <c r="K95" s="2251"/>
      <c r="L95" s="2289"/>
      <c r="M95" s="2289"/>
      <c r="N95" s="2289"/>
      <c r="O95" s="2289"/>
      <c r="P95" s="2251"/>
      <c r="Q95" s="2258" t="n">
        <f aca="false">Q92/L92-1</f>
        <v>0.158941773198517</v>
      </c>
      <c r="R95" s="2258"/>
      <c r="S95" s="2258" t="n">
        <f aca="false">S92/N92-1</f>
        <v>0.0534542029644542</v>
      </c>
      <c r="T95" s="2258" t="n">
        <f aca="false">T92/O92-1</f>
        <v>-0.0910205954031083</v>
      </c>
      <c r="U95" s="2251"/>
      <c r="V95" s="2260" t="n">
        <f aca="false">V92/L92-1</f>
        <v>-0.407409238928563</v>
      </c>
      <c r="W95" s="2260"/>
      <c r="X95" s="2257" t="n">
        <f aca="false">X92/N92-1</f>
        <v>-0.488386083023678</v>
      </c>
      <c r="Y95" s="2257" t="n">
        <f aca="false">Y92/O92-1</f>
        <v>-0.136648846749998</v>
      </c>
      <c r="Z95" s="2251"/>
      <c r="AA95" s="2260" t="n">
        <f aca="false">AA92/L92-1</f>
        <v>0.154664901939511</v>
      </c>
      <c r="AB95" s="2260"/>
      <c r="AC95" s="2260" t="n">
        <f aca="false">AC92/N92-1</f>
        <v>1.48140441708081</v>
      </c>
      <c r="AD95" s="2260" t="n">
        <f aca="false">AD92/O92-1</f>
        <v>1.14902558561601</v>
      </c>
      <c r="AE95" s="2260"/>
      <c r="AF95" s="2260" t="n">
        <f aca="false">AF92/L92-1</f>
        <v>-0.807181731122002</v>
      </c>
      <c r="AG95" s="2260"/>
      <c r="AH95" s="2260" t="n">
        <f aca="false">AH92/N92-1</f>
        <v>-0.742726128895428</v>
      </c>
      <c r="AI95" s="2260" t="n">
        <f aca="false">AI92/O92-1</f>
        <v>0.33428161450488</v>
      </c>
      <c r="AJ95" s="2251"/>
      <c r="AK95" s="2260" t="n">
        <f aca="false">AK92/L92-1</f>
        <v>-0.338532900363353</v>
      </c>
      <c r="AL95" s="2260"/>
      <c r="AM95" s="2260" t="n">
        <f aca="false">AM92/N92-1</f>
        <v>-0.563655436525978</v>
      </c>
      <c r="AN95" s="2260" t="n">
        <f aca="false">AN92/O92-1</f>
        <v>-0.340338221336008</v>
      </c>
      <c r="AO95" s="2251"/>
      <c r="AP95" s="2260" t="n">
        <f aca="false">AP92/L92-1</f>
        <v>-0.674207934473338</v>
      </c>
      <c r="AQ95" s="2260"/>
      <c r="AR95" s="2260" t="n">
        <f aca="false">AR92/N92-1</f>
        <v>-0.609770312997502</v>
      </c>
      <c r="AS95" s="2260" t="n">
        <f aca="false">AS92/O92-1</f>
        <v>0.197787571565527</v>
      </c>
      <c r="AT95" s="2251"/>
      <c r="AU95" s="2260" t="n">
        <f aca="false">AU92/L92-1</f>
        <v>-0.75214045115021</v>
      </c>
      <c r="AV95" s="2260"/>
      <c r="AW95" s="2260" t="n">
        <f aca="false">AW92/N92-1</f>
        <v>-0.338911993161278</v>
      </c>
      <c r="AX95" s="2260" t="n">
        <f aca="false">AX92/O92-1</f>
        <v>1.66718796958418</v>
      </c>
      <c r="AY95" s="2260"/>
      <c r="AZ95" s="2260" t="n">
        <f aca="false">AZ92/L92-1</f>
        <v>-0.89239866168736</v>
      </c>
      <c r="BA95" s="2257"/>
      <c r="BB95" s="2260" t="n">
        <f aca="false">BB92/N92-1</f>
        <v>-0.728534801900171</v>
      </c>
      <c r="BC95" s="2260" t="n">
        <f aca="false">BC92/O92-1</f>
        <v>1.52287938381468</v>
      </c>
      <c r="BE95" s="2260" t="n">
        <f aca="false">BE92/L92-1</f>
        <v>-1</v>
      </c>
      <c r="BF95" s="2257"/>
      <c r="BG95" s="2260" t="n">
        <f aca="false">BG92/N92-1</f>
        <v>-1</v>
      </c>
      <c r="BH95" s="2260" t="e">
        <f aca="false">BH92/O92-1</f>
        <v>#DIV/0!</v>
      </c>
    </row>
    <row r="96" customFormat="false" ht="16.4" hidden="false" customHeight="false" outlineLevel="0" collapsed="false">
      <c r="A96" s="379" t="s">
        <v>3677</v>
      </c>
      <c r="B96" s="2256"/>
      <c r="C96" s="2256"/>
      <c r="D96" s="2256"/>
      <c r="E96" s="2256"/>
      <c r="F96" s="2251"/>
      <c r="G96" s="2257"/>
      <c r="H96" s="2257"/>
      <c r="I96" s="2257"/>
      <c r="J96" s="2257"/>
      <c r="K96" s="2251"/>
      <c r="L96" s="2289"/>
      <c r="M96" s="2289"/>
      <c r="N96" s="2289"/>
      <c r="O96" s="2289"/>
      <c r="P96" s="2251"/>
      <c r="Q96" s="2258"/>
      <c r="R96" s="2258"/>
      <c r="S96" s="2258"/>
      <c r="T96" s="2258"/>
      <c r="U96" s="2251"/>
      <c r="V96" s="2260" t="n">
        <f aca="false">V92/Q92-1</f>
        <v>-0.488679436037611</v>
      </c>
      <c r="W96" s="2260"/>
      <c r="X96" s="2257" t="n">
        <f aca="false">X92/S92-1</f>
        <v>-0.514346313739483</v>
      </c>
      <c r="Y96" s="2260" t="n">
        <f aca="false">Y92/T92-1</f>
        <v>-0.0501972334204033</v>
      </c>
      <c r="Z96" s="2251"/>
      <c r="AA96" s="2260" t="n">
        <f aca="false">AA92/Q92-1</f>
        <v>-0.00369032453390916</v>
      </c>
      <c r="AB96" s="2260"/>
      <c r="AC96" s="2260" t="n">
        <f aca="false">AC92/S92-1</f>
        <v>1.35549339505985</v>
      </c>
      <c r="AD96" s="2260" t="n">
        <f aca="false">AD92/T92-1</f>
        <v>1.36421812721824</v>
      </c>
      <c r="AE96" s="2260"/>
      <c r="AF96" s="2260" t="n">
        <f aca="false">AF92/Q92-1</f>
        <v>-0.833625576938307</v>
      </c>
      <c r="AG96" s="2260"/>
      <c r="AH96" s="2260" t="n">
        <f aca="false">AH92/S92-1</f>
        <v>-0.75578067809631</v>
      </c>
      <c r="AI96" s="2260" t="n">
        <f aca="false">AI92/T92-1</f>
        <v>0.467889819898173</v>
      </c>
      <c r="AJ96" s="2251"/>
      <c r="AK96" s="2260" t="n">
        <f aca="false">AK92/Q92-1</f>
        <v>-0.429249065886123</v>
      </c>
      <c r="AL96" s="2260"/>
      <c r="AM96" s="2260" t="n">
        <f aca="false">AM92/S92-1</f>
        <v>-0.585796361867337</v>
      </c>
      <c r="AN96" s="2260" t="n">
        <f aca="false">AN92/T92-1</f>
        <v>-0.274283030695801</v>
      </c>
      <c r="AO96" s="2251"/>
      <c r="AP96" s="2260" t="n">
        <f aca="false">AP92/Q92-1</f>
        <v>-0.718888322898637</v>
      </c>
      <c r="AQ96" s="2260"/>
      <c r="AR96" s="2260" t="n">
        <f aca="false">AR92/S92-1</f>
        <v>-0.629571284727538</v>
      </c>
      <c r="AS96" s="2260" t="n">
        <f aca="false">AS92/T92-1</f>
        <v>0.317727954569789</v>
      </c>
      <c r="AT96" s="2251"/>
      <c r="AU96" s="2260" t="n">
        <f aca="false">AU92/Q92-1</f>
        <v>-0.786132871744081</v>
      </c>
      <c r="AV96" s="2260"/>
      <c r="AW96" s="2260" t="n">
        <f aca="false">AW92/S92-1</f>
        <v>-0.372456813994952</v>
      </c>
      <c r="AX96" s="2260" t="n">
        <f aca="false">AX92/T92-1</f>
        <v>1.93426666885484</v>
      </c>
      <c r="AY96" s="2260"/>
      <c r="AZ96" s="2260" t="n">
        <f aca="false">AZ92/Q92-1</f>
        <v>-0.907155526877182</v>
      </c>
      <c r="BA96" s="2257"/>
      <c r="BB96" s="2260" t="n">
        <f aca="false">BB92/S92-1</f>
        <v>-0.74230944512261</v>
      </c>
      <c r="BC96" s="2260" t="n">
        <f aca="false">BC92/T92-1</f>
        <v>1.77550775194242</v>
      </c>
      <c r="BE96" s="2260" t="n">
        <f aca="false">BE92/Q92-1</f>
        <v>-1</v>
      </c>
      <c r="BF96" s="2257"/>
      <c r="BG96" s="2260" t="n">
        <f aca="false">BG92/S92-1</f>
        <v>-1</v>
      </c>
      <c r="BH96" s="2260" t="e">
        <f aca="false">BH92/T92-1</f>
        <v>#DIV/0!</v>
      </c>
    </row>
    <row r="97" customFormat="false" ht="16.4" hidden="false" customHeight="false" outlineLevel="0" collapsed="false">
      <c r="A97" s="379" t="s">
        <v>3678</v>
      </c>
      <c r="B97" s="2256"/>
      <c r="C97" s="2256"/>
      <c r="D97" s="2256"/>
      <c r="E97" s="2256"/>
      <c r="G97" s="2257"/>
      <c r="H97" s="2257"/>
      <c r="I97" s="2257"/>
      <c r="J97" s="2257"/>
      <c r="AA97" s="2260" t="n">
        <f aca="false">AA92/V92-1</f>
        <v>0.948503044245597</v>
      </c>
      <c r="AC97" s="2260" t="n">
        <f aca="false">AC92/X92-1</f>
        <v>3.85015034725033</v>
      </c>
      <c r="AD97" s="2260" t="n">
        <f aca="false">AD92/Y92-1</f>
        <v>1.48916744655545</v>
      </c>
      <c r="AE97" s="2260"/>
      <c r="AF97" s="2260" t="n">
        <f aca="false">AF92/V92-1</f>
        <v>-0.674618165613362</v>
      </c>
      <c r="AG97" s="2251"/>
      <c r="AH97" s="2260" t="n">
        <f aca="false">AH92/X92-1</f>
        <v>-0.497132774211694</v>
      </c>
      <c r="AI97" s="2260" t="n">
        <f aca="false">AI92/Y92-1</f>
        <v>0.545468039837678</v>
      </c>
      <c r="AK97" s="2260" t="n">
        <f aca="false">AK92/V92-1</f>
        <v>0.116229180557384</v>
      </c>
      <c r="AL97" s="2251"/>
      <c r="AM97" s="2260" t="n">
        <f aca="false">AM92/X92-1</f>
        <v>-0.147121395655434</v>
      </c>
      <c r="AN97" s="2260" t="n">
        <f aca="false">AN92/Y92-1</f>
        <v>-0.235928768750979</v>
      </c>
      <c r="AP97" s="2260" t="n">
        <f aca="false">AP92/V92-1</f>
        <v>-0.450224190236088</v>
      </c>
      <c r="AQ97" s="2251"/>
      <c r="AR97" s="2260" t="n">
        <f aca="false">AR92/X92-1</f>
        <v>-0.237257482539205</v>
      </c>
      <c r="AS97" s="2260" t="n">
        <f aca="false">AS92/Y92-1</f>
        <v>0.387370095072637</v>
      </c>
      <c r="AU97" s="2260" t="n">
        <f aca="false">AU92/V92-1</f>
        <v>-0.581735718589932</v>
      </c>
      <c r="AV97" s="2251"/>
      <c r="AW97" s="2260" t="n">
        <f aca="false">AW92/X92-1</f>
        <v>0.292161891814444</v>
      </c>
      <c r="AX97" s="2260" t="n">
        <f aca="false">AX92/Y92-1</f>
        <v>2.08934314796917</v>
      </c>
      <c r="AY97" s="2260"/>
      <c r="AZ97" s="2260" t="n">
        <f aca="false">AZ92/V92-1</f>
        <v>-0.818422180396314</v>
      </c>
      <c r="BA97" s="2257"/>
      <c r="BB97" s="2260" t="n">
        <f aca="false">BB92/X92-1</f>
        <v>-0.469394422059101</v>
      </c>
      <c r="BC97" s="2260" t="n">
        <f aca="false">BC92/Y92-1</f>
        <v>1.92219379602093</v>
      </c>
      <c r="BE97" s="2260" t="n">
        <f aca="false">BE92/V92-1</f>
        <v>-1</v>
      </c>
      <c r="BF97" s="2257"/>
      <c r="BG97" s="2260" t="n">
        <f aca="false">BG92/X92-1</f>
        <v>-1</v>
      </c>
      <c r="BH97" s="2260" t="e">
        <f aca="false">BH92/Y92-1</f>
        <v>#DIV/0!</v>
      </c>
    </row>
    <row r="98" customFormat="false" ht="16.4" hidden="false" customHeight="false" outlineLevel="0" collapsed="false">
      <c r="A98" s="379" t="s">
        <v>3679</v>
      </c>
      <c r="B98" s="2256"/>
      <c r="C98" s="2256"/>
      <c r="D98" s="2256"/>
      <c r="E98" s="2256"/>
      <c r="G98" s="2257"/>
      <c r="H98" s="2257"/>
      <c r="I98" s="2257"/>
      <c r="J98" s="2257"/>
      <c r="AF98" s="2260" t="n">
        <f aca="false">AF92/AA92-1</f>
        <v>-0.833009327161397</v>
      </c>
      <c r="AG98" s="2251"/>
      <c r="AH98" s="2260" t="n">
        <f aca="false">AH92/AC92-1</f>
        <v>-0.896319249964407</v>
      </c>
      <c r="AI98" s="2260" t="n">
        <f aca="false">AI92/AD92-1</f>
        <v>-0.379122508621779</v>
      </c>
      <c r="AK98" s="2260" t="n">
        <f aca="false">AK92/AA92-1</f>
        <v>-0.427135008152089</v>
      </c>
      <c r="AL98" s="2251"/>
      <c r="AM98" s="2260" t="n">
        <f aca="false">AM92/AC92-1</f>
        <v>-0.824154192492593</v>
      </c>
      <c r="AN98" s="2260" t="n">
        <f aca="false">AN92/AD92-1</f>
        <v>-0.69304144953914</v>
      </c>
      <c r="AP98" s="2260" t="n">
        <f aca="false">AP92/AA92-1</f>
        <v>-0.717847087081781</v>
      </c>
      <c r="AQ98" s="2251"/>
      <c r="AR98" s="2260" t="n">
        <f aca="false">AR92/AC92-1</f>
        <v>-0.842738376575643</v>
      </c>
      <c r="AS98" s="2260" t="n">
        <f aca="false">AS92/AD92-1</f>
        <v>-0.442636895724913</v>
      </c>
      <c r="AU98" s="2260" t="n">
        <f aca="false">AU92/AA92-1</f>
        <v>-0.785340709297169</v>
      </c>
      <c r="AV98" s="2251"/>
      <c r="AW98" s="2260" t="n">
        <f aca="false">AW92/AC92-1</f>
        <v>-0.733583126439163</v>
      </c>
      <c r="AX98" s="2260" t="n">
        <f aca="false">AX92/AD92-1</f>
        <v>0.241115037176088</v>
      </c>
      <c r="AY98" s="2260"/>
      <c r="AZ98" s="2260" t="n">
        <f aca="false">AZ92/AA92-1</f>
        <v>-0.906811631554834</v>
      </c>
      <c r="BA98" s="2257"/>
      <c r="BB98" s="2260" t="n">
        <f aca="false">BB92/AC92-1</f>
        <v>-0.890600179385839</v>
      </c>
      <c r="BC98" s="2260" t="n">
        <f aca="false">BC92/AD92-1</f>
        <v>0.173964330951183</v>
      </c>
      <c r="BE98" s="2260" t="n">
        <f aca="false">BE92/AA92-1</f>
        <v>-1</v>
      </c>
      <c r="BF98" s="2257"/>
      <c r="BG98" s="2260" t="n">
        <f aca="false">BG92/AC92-1</f>
        <v>-1</v>
      </c>
      <c r="BH98" s="2260" t="e">
        <f aca="false">BH92/AD92-1</f>
        <v>#DIV/0!</v>
      </c>
    </row>
    <row r="99" customFormat="false" ht="16.4" hidden="false" customHeight="false" outlineLevel="0" collapsed="false">
      <c r="A99" s="379" t="s">
        <v>3680</v>
      </c>
      <c r="B99" s="2256"/>
      <c r="C99" s="2256"/>
      <c r="D99" s="2256"/>
      <c r="E99" s="2256"/>
      <c r="G99" s="2257"/>
      <c r="H99" s="2257"/>
      <c r="I99" s="2257"/>
      <c r="J99" s="2257"/>
      <c r="AK99" s="2260" t="n">
        <f aca="false">AK92/AF92-1</f>
        <v>2.43052089143678</v>
      </c>
      <c r="AL99" s="2251"/>
      <c r="AM99" s="2260" t="n">
        <f aca="false">AM92/AH92-1</f>
        <v>0.696031398760528</v>
      </c>
      <c r="AN99" s="2260" t="n">
        <f aca="false">AN92/AI92-1</f>
        <v>-0.505605284901736</v>
      </c>
      <c r="AP99" s="2260" t="n">
        <f aca="false">AP92/AF92-1</f>
        <v>0.689632768836861</v>
      </c>
      <c r="AQ99" s="2251"/>
      <c r="AR99" s="2260" t="n">
        <f aca="false">AR92/AH92-1</f>
        <v>0.51678709278598</v>
      </c>
      <c r="AS99" s="2260" t="n">
        <f aca="false">AS92/AI92-1</f>
        <v>-0.102297776912712</v>
      </c>
      <c r="AU99" s="2260" t="n">
        <f aca="false">AU92/AF92-1</f>
        <v>0.285456768656179</v>
      </c>
      <c r="AV99" s="2251"/>
      <c r="AW99" s="2260" t="n">
        <f aca="false">AW92/AH92-1</f>
        <v>1.56958860221766</v>
      </c>
      <c r="AX99" s="2260" t="n">
        <f aca="false">AX92/AI92-1</f>
        <v>0.998969288484058</v>
      </c>
      <c r="AY99" s="2260"/>
      <c r="AZ99" s="2260" t="n">
        <f aca="false">AZ92/AF92-1</f>
        <v>-0.441954650154426</v>
      </c>
      <c r="BA99" s="2257"/>
      <c r="BB99" s="2260" t="n">
        <f aca="false">BB92/AH92-1</f>
        <v>0.0551603897213835</v>
      </c>
      <c r="BC99" s="2260" t="n">
        <f aca="false">BC92/AI92-1</f>
        <v>0.890814769827174</v>
      </c>
      <c r="BE99" s="2260" t="n">
        <f aca="false">BE92/AF92-1</f>
        <v>-1</v>
      </c>
      <c r="BF99" s="2257"/>
      <c r="BG99" s="2260" t="n">
        <f aca="false">BG92/AH92-1</f>
        <v>-1</v>
      </c>
      <c r="BH99" s="2260" t="e">
        <f aca="false">BH92/AI92-1</f>
        <v>#DIV/0!</v>
      </c>
    </row>
    <row r="100" customFormat="false" ht="16.4" hidden="false" customHeight="false" outlineLevel="0" collapsed="false">
      <c r="A100" s="379" t="s">
        <v>3681</v>
      </c>
      <c r="B100" s="2256"/>
      <c r="C100" s="2256"/>
      <c r="D100" s="2256"/>
      <c r="E100" s="2256"/>
      <c r="G100" s="2257"/>
      <c r="H100" s="2257"/>
      <c r="I100" s="2257"/>
      <c r="J100" s="2257"/>
      <c r="AP100" s="2260" t="n">
        <f aca="false">AP92/AK92-1</f>
        <v>-0.50747049141881</v>
      </c>
      <c r="AQ100" s="2251"/>
      <c r="AR100" s="2260" t="n">
        <f aca="false">AR92/AM92-1</f>
        <v>-0.105684544581864</v>
      </c>
      <c r="AS100" s="2260" t="n">
        <f aca="false">AS92/AN92-1</f>
        <v>0.815760152106126</v>
      </c>
      <c r="AU100" s="2260" t="n">
        <f aca="false">AU92/AK92-1</f>
        <v>-0.625288167792559</v>
      </c>
      <c r="AV100" s="2251"/>
      <c r="AW100" s="2260" t="n">
        <f aca="false">AW92/AM92-1</f>
        <v>0.515059570297775</v>
      </c>
      <c r="AX100" s="2260" t="n">
        <f aca="false">AX92/AN92-1</f>
        <v>3.04326589147853</v>
      </c>
      <c r="AY100" s="2260"/>
      <c r="AZ100" s="2260" t="n">
        <f aca="false">AZ92/AK92-1</f>
        <v>-0.837329266456718</v>
      </c>
      <c r="BA100" s="2257"/>
      <c r="BB100" s="2260" t="n">
        <f aca="false">BB92/AM92-1</f>
        <v>-0.377865061641841</v>
      </c>
      <c r="BC100" s="2260" t="n">
        <f aca="false">BC92/AN92-1</f>
        <v>2.82450441334383</v>
      </c>
      <c r="BE100" s="2260" t="n">
        <f aca="false">BE92/AK92-1</f>
        <v>-1</v>
      </c>
      <c r="BF100" s="2257"/>
      <c r="BG100" s="2260" t="n">
        <f aca="false">BG92/AM92-1</f>
        <v>-1</v>
      </c>
      <c r="BH100" s="2260" t="e">
        <f aca="false">BH92/AN92-1</f>
        <v>#DIV/0!</v>
      </c>
    </row>
    <row r="101" customFormat="false" ht="16.4" hidden="false" customHeight="false" outlineLevel="0" collapsed="false">
      <c r="A101" s="379" t="s">
        <v>3682</v>
      </c>
      <c r="B101" s="2256"/>
      <c r="C101" s="2256"/>
      <c r="D101" s="2256"/>
      <c r="E101" s="2256"/>
      <c r="G101" s="2257"/>
      <c r="H101" s="2257"/>
      <c r="I101" s="2257"/>
      <c r="J101" s="2257"/>
      <c r="AU101" s="2260" t="n">
        <f aca="false">AU92/AP92-1</f>
        <v>-0.239209375927833</v>
      </c>
      <c r="AW101" s="2260" t="n">
        <f aca="false">AW92/AR92-1</f>
        <v>0.694099728590076</v>
      </c>
      <c r="AX101" s="2260" t="n">
        <f aca="false">AX92/AS92-1</f>
        <v>1.22676210114463</v>
      </c>
      <c r="AY101" s="2260"/>
      <c r="AZ101" s="2260" t="n">
        <f aca="false">AZ92/AP92-1</f>
        <v>-0.669723883119448</v>
      </c>
      <c r="BA101" s="2257"/>
      <c r="BB101" s="2260" t="n">
        <f aca="false">BB92/AR92-1</f>
        <v>-0.304345089208728</v>
      </c>
      <c r="BC101" s="2260" t="n">
        <f aca="false">BC92/AS92-1</f>
        <v>1.10628281984696</v>
      </c>
      <c r="BE101" s="2260" t="n">
        <f aca="false">BE92/AP92-1</f>
        <v>-1</v>
      </c>
      <c r="BF101" s="2257"/>
      <c r="BG101" s="2260" t="n">
        <f aca="false">BG92/AR92-1</f>
        <v>-1</v>
      </c>
      <c r="BH101" s="2260" t="e">
        <f aca="false">BH92/AS92-1</f>
        <v>#DIV/0!</v>
      </c>
    </row>
    <row r="102" customFormat="false" ht="16.4" hidden="false" customHeight="false" outlineLevel="0" collapsed="false">
      <c r="A102" s="379" t="s">
        <v>3683</v>
      </c>
      <c r="B102" s="2256"/>
      <c r="C102" s="2256"/>
      <c r="D102" s="2256"/>
      <c r="E102" s="2256"/>
      <c r="G102" s="2257"/>
      <c r="H102" s="2257"/>
      <c r="I102" s="2257"/>
      <c r="J102" s="2257"/>
      <c r="AZ102" s="2260" t="n">
        <f aca="false">AZ92/AU92-1</f>
        <v>-0.565877777104121</v>
      </c>
      <c r="BA102" s="2257"/>
      <c r="BB102" s="2260" t="n">
        <f aca="false">BB92/AW92-1</f>
        <v>-0.589366021934119</v>
      </c>
      <c r="BC102" s="2260" t="n">
        <f aca="false">BC92/AX92-1</f>
        <v>-0.054105142725281</v>
      </c>
      <c r="BE102" s="2260" t="n">
        <f aca="false">BE92/AU92-1</f>
        <v>-1</v>
      </c>
      <c r="BF102" s="2257"/>
      <c r="BG102" s="2260" t="n">
        <f aca="false">BG92/AW92-1</f>
        <v>-1</v>
      </c>
      <c r="BH102" s="2290" t="e">
        <f aca="false">BH92/AX92-1</f>
        <v>#DIV/0!</v>
      </c>
    </row>
    <row r="103" customFormat="false" ht="16.4" hidden="false" customHeight="false" outlineLevel="0" collapsed="false">
      <c r="A103" s="379" t="s">
        <v>3684</v>
      </c>
      <c r="B103" s="2256"/>
      <c r="C103" s="2256"/>
      <c r="D103" s="2256"/>
      <c r="E103" s="2256"/>
      <c r="G103" s="2257"/>
      <c r="H103" s="2257"/>
      <c r="I103" s="2257"/>
      <c r="J103" s="2257"/>
      <c r="AZ103" s="2260"/>
      <c r="BA103" s="2257"/>
      <c r="BB103" s="2260"/>
      <c r="BC103" s="2260"/>
      <c r="BE103" s="2260" t="n">
        <f aca="false">BE92/AZ92-1</f>
        <v>-1</v>
      </c>
      <c r="BF103" s="2257"/>
      <c r="BG103" s="2260" t="n">
        <f aca="false">BG92/BB92-1</f>
        <v>-1</v>
      </c>
      <c r="BH103" s="2290" t="e">
        <f aca="false">BH92/BC92-1</f>
        <v>#DIV/0!</v>
      </c>
    </row>
    <row r="104" customFormat="false" ht="17.35" hidden="false" customHeight="false" outlineLevel="0" collapsed="false">
      <c r="A104" s="2291"/>
      <c r="B104" s="2218" t="s">
        <v>1646</v>
      </c>
      <c r="C104" s="2218"/>
      <c r="D104" s="2218"/>
      <c r="E104" s="2218"/>
      <c r="F104" s="2218"/>
      <c r="G104" s="2218" t="s">
        <v>1646</v>
      </c>
      <c r="H104" s="2218"/>
      <c r="I104" s="2218"/>
      <c r="J104" s="2218"/>
      <c r="K104" s="2218"/>
      <c r="L104" s="2218" t="s">
        <v>1646</v>
      </c>
      <c r="M104" s="2218"/>
      <c r="N104" s="2218"/>
      <c r="O104" s="2218"/>
      <c r="P104" s="2218"/>
      <c r="Q104" s="2218" t="s">
        <v>1646</v>
      </c>
      <c r="R104" s="2218"/>
      <c r="S104" s="2218"/>
      <c r="T104" s="2218"/>
      <c r="U104" s="2218"/>
      <c r="V104" s="2218" t="s">
        <v>1646</v>
      </c>
      <c r="W104" s="2218"/>
      <c r="X104" s="2218"/>
      <c r="Y104" s="2218"/>
      <c r="Z104" s="2218"/>
      <c r="AA104" s="2218" t="s">
        <v>1646</v>
      </c>
      <c r="AB104" s="2218"/>
      <c r="AC104" s="2218"/>
      <c r="AD104" s="2218"/>
      <c r="AE104" s="2218"/>
      <c r="AF104" s="2218" t="s">
        <v>1646</v>
      </c>
      <c r="AG104" s="2218"/>
      <c r="AH104" s="2218"/>
      <c r="AI104" s="2218"/>
      <c r="AJ104" s="2218"/>
      <c r="AK104" s="2218" t="s">
        <v>1646</v>
      </c>
      <c r="AL104" s="2218"/>
      <c r="AM104" s="2218"/>
      <c r="AN104" s="2218"/>
      <c r="AO104" s="2218"/>
      <c r="AP104" s="2218" t="s">
        <v>1646</v>
      </c>
      <c r="AQ104" s="2218"/>
      <c r="AR104" s="2218"/>
      <c r="AS104" s="2218"/>
      <c r="AT104" s="2218"/>
      <c r="AU104" s="2218" t="s">
        <v>1646</v>
      </c>
      <c r="AV104" s="2218"/>
      <c r="AW104" s="2218"/>
      <c r="AX104" s="2218"/>
      <c r="AY104" s="2291"/>
      <c r="AZ104" s="2218" t="s">
        <v>1646</v>
      </c>
      <c r="BA104" s="2218"/>
      <c r="BB104" s="2218"/>
      <c r="BC104" s="2218"/>
      <c r="BD104" s="2218"/>
      <c r="BE104" s="2218" t="s">
        <v>1646</v>
      </c>
      <c r="BF104" s="2218"/>
      <c r="BG104" s="2218"/>
      <c r="BH104" s="2218"/>
      <c r="BI104" s="2218"/>
    </row>
    <row r="105" customFormat="false" ht="15" hidden="false" customHeight="false" outlineLevel="0" collapsed="false">
      <c r="A105" s="2292"/>
      <c r="B105" s="2221" t="s">
        <v>3667</v>
      </c>
      <c r="C105" s="2221"/>
      <c r="D105" s="2221"/>
      <c r="E105" s="2222" t="n">
        <f aca="false">E3+E37+E71</f>
        <v>1</v>
      </c>
      <c r="F105" s="2293"/>
      <c r="G105" s="2221" t="s">
        <v>3668</v>
      </c>
      <c r="H105" s="2221"/>
      <c r="I105" s="2221"/>
      <c r="J105" s="2222" t="n">
        <f aca="false">J3+J37+J71</f>
        <v>1</v>
      </c>
      <c r="K105" s="2293"/>
      <c r="L105" s="2221" t="s">
        <v>3669</v>
      </c>
      <c r="M105" s="2221"/>
      <c r="N105" s="2221"/>
      <c r="O105" s="2222" t="n">
        <f aca="false">O3+O37+O71</f>
        <v>1</v>
      </c>
      <c r="P105" s="2294"/>
      <c r="Q105" s="2221" t="s">
        <v>3670</v>
      </c>
      <c r="R105" s="2221"/>
      <c r="S105" s="2221"/>
      <c r="T105" s="2222" t="n">
        <f aca="false">T3+T37+T71</f>
        <v>1</v>
      </c>
      <c r="U105" s="2294"/>
      <c r="V105" s="2221" t="s">
        <v>3687</v>
      </c>
      <c r="W105" s="2221"/>
      <c r="X105" s="2221"/>
      <c r="Y105" s="2222" t="n">
        <f aca="false">Y3+Y37+Y71</f>
        <v>1</v>
      </c>
      <c r="Z105" s="2294"/>
      <c r="AA105" s="2221" t="s">
        <v>3688</v>
      </c>
      <c r="AB105" s="2221"/>
      <c r="AC105" s="2221"/>
      <c r="AD105" s="2222" t="n">
        <f aca="false">AD3+AD37+AD71</f>
        <v>1</v>
      </c>
      <c r="AE105" s="2294"/>
      <c r="AF105" s="2221" t="s">
        <v>3689</v>
      </c>
      <c r="AG105" s="2221"/>
      <c r="AH105" s="2221"/>
      <c r="AI105" s="2222" t="n">
        <f aca="false">AI3+AI37+AI71</f>
        <v>1</v>
      </c>
      <c r="AJ105" s="2294"/>
      <c r="AK105" s="2221" t="s">
        <v>3690</v>
      </c>
      <c r="AL105" s="2221"/>
      <c r="AM105" s="2221"/>
      <c r="AN105" s="2222" t="n">
        <f aca="false">AN3+AN37+AN71</f>
        <v>1</v>
      </c>
      <c r="AO105" s="2295"/>
      <c r="AP105" s="2221" t="s">
        <v>3691</v>
      </c>
      <c r="AQ105" s="2221"/>
      <c r="AR105" s="2221"/>
      <c r="AS105" s="2222" t="n">
        <f aca="false">AS3+AS37+AS71</f>
        <v>1</v>
      </c>
      <c r="AT105" s="2294"/>
      <c r="AU105" s="2221" t="s">
        <v>3692</v>
      </c>
      <c r="AV105" s="2221"/>
      <c r="AW105" s="2221"/>
      <c r="AX105" s="2222" t="n">
        <f aca="false">AX3+AX37+AX71</f>
        <v>1</v>
      </c>
      <c r="AY105" s="2295"/>
      <c r="AZ105" s="2221" t="s">
        <v>3685</v>
      </c>
      <c r="BA105" s="2221"/>
      <c r="BB105" s="2221"/>
      <c r="BC105" s="2222" t="n">
        <f aca="false">BC3+BC37+BC71</f>
        <v>1</v>
      </c>
      <c r="BD105" s="2296"/>
      <c r="BE105" s="2221" t="s">
        <v>3671</v>
      </c>
      <c r="BF105" s="2221"/>
      <c r="BG105" s="2221"/>
      <c r="BH105" s="2222" t="n">
        <f aca="false">BH3+BH37+BH71</f>
        <v>1</v>
      </c>
      <c r="BI105" s="2296"/>
    </row>
    <row r="106" customFormat="false" ht="14.25" hidden="false" customHeight="false" outlineLevel="0" collapsed="false">
      <c r="A106" s="2297" t="s">
        <v>1</v>
      </c>
      <c r="B106" s="2229" t="s">
        <v>1647</v>
      </c>
      <c r="C106" s="2230" t="s">
        <v>3693</v>
      </c>
      <c r="D106" s="2230" t="s">
        <v>1648</v>
      </c>
      <c r="E106" s="2230" t="s">
        <v>3672</v>
      </c>
      <c r="F106" s="2231" t="s">
        <v>3694</v>
      </c>
      <c r="G106" s="2229" t="s">
        <v>1647</v>
      </c>
      <c r="H106" s="2230" t="s">
        <v>3693</v>
      </c>
      <c r="I106" s="2230" t="s">
        <v>1648</v>
      </c>
      <c r="J106" s="2230" t="s">
        <v>3672</v>
      </c>
      <c r="K106" s="2231" t="s">
        <v>3694</v>
      </c>
      <c r="L106" s="2229" t="s">
        <v>1647</v>
      </c>
      <c r="M106" s="2230" t="s">
        <v>3693</v>
      </c>
      <c r="N106" s="2230" t="s">
        <v>1648</v>
      </c>
      <c r="O106" s="2230" t="s">
        <v>3672</v>
      </c>
      <c r="P106" s="2231" t="s">
        <v>3694</v>
      </c>
      <c r="Q106" s="2229" t="s">
        <v>1647</v>
      </c>
      <c r="R106" s="2230" t="s">
        <v>3693</v>
      </c>
      <c r="S106" s="2230" t="s">
        <v>1648</v>
      </c>
      <c r="T106" s="2230" t="s">
        <v>3672</v>
      </c>
      <c r="U106" s="2231" t="s">
        <v>3694</v>
      </c>
      <c r="V106" s="2264" t="s">
        <v>1647</v>
      </c>
      <c r="W106" s="6" t="s">
        <v>3693</v>
      </c>
      <c r="X106" s="6" t="s">
        <v>1648</v>
      </c>
      <c r="Y106" s="6" t="s">
        <v>3672</v>
      </c>
      <c r="Z106" s="6" t="s">
        <v>3694</v>
      </c>
      <c r="AA106" s="2264" t="s">
        <v>1647</v>
      </c>
      <c r="AB106" s="6" t="s">
        <v>3693</v>
      </c>
      <c r="AC106" s="6" t="s">
        <v>1648</v>
      </c>
      <c r="AD106" s="6" t="s">
        <v>3672</v>
      </c>
      <c r="AE106" s="6" t="s">
        <v>3694</v>
      </c>
      <c r="AF106" s="2264" t="s">
        <v>1647</v>
      </c>
      <c r="AG106" s="6" t="s">
        <v>3693</v>
      </c>
      <c r="AH106" s="6" t="s">
        <v>1648</v>
      </c>
      <c r="AI106" s="6" t="s">
        <v>3672</v>
      </c>
      <c r="AJ106" s="6" t="s">
        <v>3694</v>
      </c>
      <c r="AK106" s="2298" t="s">
        <v>1647</v>
      </c>
      <c r="AL106" s="40" t="s">
        <v>3693</v>
      </c>
      <c r="AM106" s="40" t="s">
        <v>1648</v>
      </c>
      <c r="AN106" s="40" t="s">
        <v>3672</v>
      </c>
      <c r="AO106" s="40" t="s">
        <v>3694</v>
      </c>
      <c r="AP106" s="2298" t="s">
        <v>1647</v>
      </c>
      <c r="AQ106" s="40" t="s">
        <v>3693</v>
      </c>
      <c r="AR106" s="40" t="s">
        <v>1648</v>
      </c>
      <c r="AS106" s="40" t="s">
        <v>3672</v>
      </c>
      <c r="AT106" s="2299" t="s">
        <v>3694</v>
      </c>
      <c r="AU106" s="2298" t="s">
        <v>1647</v>
      </c>
      <c r="AV106" s="40" t="s">
        <v>3693</v>
      </c>
      <c r="AW106" s="40" t="s">
        <v>1648</v>
      </c>
      <c r="AX106" s="40" t="s">
        <v>3672</v>
      </c>
      <c r="AY106" s="2231" t="s">
        <v>3694</v>
      </c>
      <c r="AZ106" s="2229" t="s">
        <v>1647</v>
      </c>
      <c r="BA106" s="2230" t="s">
        <v>3693</v>
      </c>
      <c r="BB106" s="2230" t="s">
        <v>1648</v>
      </c>
      <c r="BC106" s="2230" t="s">
        <v>3672</v>
      </c>
      <c r="BD106" s="2231" t="s">
        <v>3694</v>
      </c>
      <c r="BE106" s="2229" t="s">
        <v>1647</v>
      </c>
      <c r="BF106" s="2230" t="s">
        <v>3693</v>
      </c>
      <c r="BG106" s="2230" t="s">
        <v>1648</v>
      </c>
      <c r="BH106" s="2230" t="s">
        <v>3672</v>
      </c>
      <c r="BI106" s="2231" t="s">
        <v>3694</v>
      </c>
    </row>
    <row r="107" customFormat="false" ht="14.25" hidden="false" customHeight="false" outlineLevel="0" collapsed="false">
      <c r="A107" s="2300" t="s">
        <v>5</v>
      </c>
      <c r="B107" s="2275" t="n">
        <f aca="false">B5+B39+B73</f>
        <v>26010102.8</v>
      </c>
      <c r="C107" s="2301" t="n">
        <f aca="false">B107/$B$126</f>
        <v>0.320203914816869</v>
      </c>
      <c r="D107" s="2237" t="n">
        <f aca="false">D5+D39+D73</f>
        <v>3006976.64</v>
      </c>
      <c r="E107" s="100" t="n">
        <f aca="false">D107/B107</f>
        <v>0.115608025970586</v>
      </c>
      <c r="F107" s="2302" t="n">
        <f aca="false">D107/$D$126</f>
        <v>0.238125640256182</v>
      </c>
      <c r="G107" s="2275" t="n">
        <f aca="false">G5+G39+G73</f>
        <v>34251303.95</v>
      </c>
      <c r="H107" s="2301" t="n">
        <f aca="false">G107/$G$126</f>
        <v>0.428744303936724</v>
      </c>
      <c r="I107" s="2237" t="n">
        <f aca="false">I5+I39+I73</f>
        <v>3447365.95</v>
      </c>
      <c r="J107" s="100" t="n">
        <f aca="false">I107/G107</f>
        <v>0.100649188569068</v>
      </c>
      <c r="K107" s="2302" t="n">
        <f aca="false">I107/$I$126</f>
        <v>0.294607172442005</v>
      </c>
      <c r="L107" s="2275" t="n">
        <f aca="false">L5+L39+L73</f>
        <v>18942409.85</v>
      </c>
      <c r="M107" s="2301" t="n">
        <f aca="false">L107/$L$126</f>
        <v>0.17117716402276</v>
      </c>
      <c r="N107" s="2237" t="n">
        <f aca="false">N5+N39+N73</f>
        <v>2819267.06</v>
      </c>
      <c r="O107" s="100" t="n">
        <f aca="false">N107/L107</f>
        <v>0.148833600493551</v>
      </c>
      <c r="P107" s="2303" t="n">
        <f aca="false">N107/$N$126</f>
        <v>0.160360196427809</v>
      </c>
      <c r="Q107" s="2275" t="n">
        <f aca="false">Q5+Q39+Q73</f>
        <v>26639168.65</v>
      </c>
      <c r="R107" s="2301" t="n">
        <f aca="false">Q107/$Q$126</f>
        <v>0.2163933634949</v>
      </c>
      <c r="S107" s="2237" t="n">
        <f aca="false">S5+S39+S73</f>
        <v>2990548.15</v>
      </c>
      <c r="T107" s="100" t="n">
        <f aca="false">S107/Q107</f>
        <v>0.112261316758472</v>
      </c>
      <c r="U107" s="2303" t="n">
        <f aca="false">S107/$S$126</f>
        <v>0.175833789951429</v>
      </c>
      <c r="V107" s="2304" t="n">
        <f aca="false">V5+V39+V73</f>
        <v>18092325</v>
      </c>
      <c r="W107" s="2305" t="n">
        <f aca="false">V107/$V$126</f>
        <v>0.176411421174551</v>
      </c>
      <c r="X107" s="2306" t="n">
        <f aca="false">X5+X39+X73</f>
        <v>2285532.55</v>
      </c>
      <c r="Y107" s="2307" t="n">
        <f aca="false">X107/V107</f>
        <v>0.126326083021392</v>
      </c>
      <c r="Z107" s="2308" t="n">
        <f aca="false">X107/$X$126</f>
        <v>0.147604100626733</v>
      </c>
      <c r="AA107" s="2304" t="n">
        <f aca="false">AA5+AA39+AA73</f>
        <v>11325046.8</v>
      </c>
      <c r="AB107" s="2305" t="n">
        <f aca="false">AA107/$AA$126</f>
        <v>0.187609879776242</v>
      </c>
      <c r="AC107" s="2306" t="n">
        <f aca="false">AC5+AC39+AC73</f>
        <v>3347643.22</v>
      </c>
      <c r="AD107" s="2307" t="n">
        <f aca="false">AC107/AA107</f>
        <v>0.29559641378259</v>
      </c>
      <c r="AE107" s="2308" t="n">
        <f aca="false">AC107/$AC$126</f>
        <v>0.156435470674347</v>
      </c>
      <c r="AF107" s="2304" t="n">
        <f aca="false">AF5+AF39+AF73</f>
        <v>13745083.6</v>
      </c>
      <c r="AG107" s="2305" t="n">
        <f aca="false">AF107/$AF$126</f>
        <v>0.188713146917651</v>
      </c>
      <c r="AH107" s="2306" t="n">
        <f aca="false">AH5+AH39+AH73</f>
        <v>2590313.76</v>
      </c>
      <c r="AI107" s="2307" t="n">
        <f aca="false">AH107/AF107</f>
        <v>0.188453838141807</v>
      </c>
      <c r="AJ107" s="2308" t="n">
        <f aca="false">AH107/$AH$126</f>
        <v>0.150280746271204</v>
      </c>
      <c r="AK107" s="2275" t="n">
        <f aca="false">AK5+AK39+AK73</f>
        <v>21302597.6868</v>
      </c>
      <c r="AL107" s="2301" t="n">
        <f aca="false">AK107/$AK$126</f>
        <v>0.225299722579569</v>
      </c>
      <c r="AM107" s="2237" t="n">
        <f aca="false">AM5+AM39+AM73</f>
        <v>2180973.9</v>
      </c>
      <c r="AN107" s="100" t="n">
        <f aca="false">AM107/AK107</f>
        <v>0.102380654794576</v>
      </c>
      <c r="AO107" s="2301" t="n">
        <f aca="false">AM107/$AM$126</f>
        <v>0.143644661959241</v>
      </c>
      <c r="AP107" s="2275" t="n">
        <f aca="false">AP5+AP39+AP73</f>
        <v>26844104.9996</v>
      </c>
      <c r="AQ107" s="2301" t="n">
        <f aca="false">AP107/$AP$126</f>
        <v>0.220095353707763</v>
      </c>
      <c r="AR107" s="2237" t="n">
        <f aca="false">AR5+AR39+AR73</f>
        <v>5303659.293386</v>
      </c>
      <c r="AS107" s="100" t="n">
        <f aca="false">AR107/AP107</f>
        <v>0.197572587853647</v>
      </c>
      <c r="AT107" s="2309" t="n">
        <f aca="false">AR107/$AR$126</f>
        <v>0.186449014858254</v>
      </c>
      <c r="AU107" s="2275" t="n">
        <f aca="false">AU5+AU39+AU73</f>
        <v>24268410</v>
      </c>
      <c r="AV107" s="2301" t="n">
        <f aca="false">AU107/$AU$126</f>
        <v>0.193682589302515</v>
      </c>
      <c r="AW107" s="2237" t="n">
        <f aca="false">AW5+AW39+AW73</f>
        <v>9218163.225</v>
      </c>
      <c r="AX107" s="100" t="n">
        <f aca="false">AW107/AU107</f>
        <v>0.379842075562429</v>
      </c>
      <c r="AY107" s="2302" t="n">
        <f aca="false">AW107/$AW$126</f>
        <v>0.197364731708634</v>
      </c>
      <c r="AZ107" s="2275" t="n">
        <f aca="false">AZ5+AZ39+AZ73</f>
        <v>23587800</v>
      </c>
      <c r="BA107" s="2301" t="n">
        <f aca="false">AZ107/$AZ$126</f>
        <v>0.223242285710716</v>
      </c>
      <c r="BB107" s="2237" t="n">
        <f aca="false">BB5+BB39+BB73</f>
        <v>17957627.25</v>
      </c>
      <c r="BC107" s="100" t="n">
        <f aca="false">BB107/AZ107</f>
        <v>0.761309967440796</v>
      </c>
      <c r="BD107" s="2302" t="n">
        <f aca="false">BB107/$BB$126</f>
        <v>0.213695188051054</v>
      </c>
      <c r="BE107" s="2275" t="n">
        <f aca="false">BE5+BE39+BE73</f>
        <v>23403790.6821</v>
      </c>
      <c r="BF107" s="2301" t="n">
        <f aca="false">BE107/$BE$126</f>
        <v>0.10541380924989</v>
      </c>
      <c r="BG107" s="2237" t="n">
        <f aca="false">BG5+BG39+BG73</f>
        <v>9680227.11</v>
      </c>
      <c r="BH107" s="100" t="n">
        <f aca="false">BG107/BE107</f>
        <v>0.413617915212503</v>
      </c>
      <c r="BI107" s="2302" t="n">
        <f aca="false">BG107/$BG$126</f>
        <v>0.13797477490463</v>
      </c>
    </row>
    <row r="108" customFormat="false" ht="14.25" hidden="false" customHeight="false" outlineLevel="0" collapsed="false">
      <c r="A108" s="2300" t="s">
        <v>6</v>
      </c>
      <c r="B108" s="2275" t="n">
        <f aca="false">B6+B40+B74</f>
        <v>5899380</v>
      </c>
      <c r="C108" s="2301" t="n">
        <f aca="false">B108/$B$126</f>
        <v>0.0726258018093007</v>
      </c>
      <c r="D108" s="2237" t="n">
        <f aca="false">D6+D40+D74</f>
        <v>981090.15</v>
      </c>
      <c r="E108" s="100" t="n">
        <f aca="false">D108/B108</f>
        <v>0.166303942109171</v>
      </c>
      <c r="F108" s="2302" t="n">
        <f aca="false">D108/$D$126</f>
        <v>0.0776935600396895</v>
      </c>
      <c r="G108" s="2275" t="n">
        <f aca="false">G6+G40+G74</f>
        <v>6199020</v>
      </c>
      <c r="H108" s="2301" t="n">
        <f aca="false">G108/$G$126</f>
        <v>0.0775968856213379</v>
      </c>
      <c r="I108" s="2237" t="n">
        <f aca="false">I6+I40+I74</f>
        <v>920144.3</v>
      </c>
      <c r="J108" s="100" t="n">
        <f aca="false">I108/G108</f>
        <v>0.148433833089746</v>
      </c>
      <c r="K108" s="2302" t="n">
        <f aca="false">I108/$I$126</f>
        <v>0.0786342716129769</v>
      </c>
      <c r="L108" s="2275" t="n">
        <f aca="false">L6+L40+L74</f>
        <v>22522325</v>
      </c>
      <c r="M108" s="2301" t="n">
        <f aca="false">L108/$L$126</f>
        <v>0.203527837863718</v>
      </c>
      <c r="N108" s="2237" t="n">
        <f aca="false">N6+N40+N74</f>
        <v>3150874.66</v>
      </c>
      <c r="O108" s="100" t="n">
        <f aca="false">N108/L108</f>
        <v>0.139900061827542</v>
      </c>
      <c r="P108" s="2303" t="n">
        <f aca="false">N108/$N$126</f>
        <v>0.179222070362147</v>
      </c>
      <c r="Q108" s="2275" t="n">
        <f aca="false">Q6+Q40+Q74</f>
        <v>25615950</v>
      </c>
      <c r="R108" s="2301" t="n">
        <f aca="false">Q108/$Q$126</f>
        <v>0.208081627938385</v>
      </c>
      <c r="S108" s="2237" t="n">
        <f aca="false">S6+S40+S74</f>
        <v>2937288.8</v>
      </c>
      <c r="T108" s="100" t="n">
        <f aca="false">S108/Q108</f>
        <v>0.11466640120706</v>
      </c>
      <c r="U108" s="2303" t="n">
        <f aca="false">S108/$S$126</f>
        <v>0.172702326122348</v>
      </c>
      <c r="V108" s="2275" t="n">
        <f aca="false">V6+V40+V74</f>
        <v>16802400</v>
      </c>
      <c r="W108" s="2301" t="n">
        <f aca="false">V108/$V$126</f>
        <v>0.163833850162612</v>
      </c>
      <c r="X108" s="2237" t="n">
        <f aca="false">X6+X40+X74</f>
        <v>2198565.2</v>
      </c>
      <c r="Y108" s="100" t="n">
        <f aca="false">X108/V108</f>
        <v>0.130848283578536</v>
      </c>
      <c r="Z108" s="2309" t="n">
        <f aca="false">X108/$X$126</f>
        <v>0.141987581413021</v>
      </c>
      <c r="AA108" s="2275" t="n">
        <f aca="false">AA6+AA40+AA74</f>
        <v>26430099.066</v>
      </c>
      <c r="AB108" s="2301" t="n">
        <f aca="false">AA108/$AA$126</f>
        <v>0.437839047892183</v>
      </c>
      <c r="AC108" s="2237" t="n">
        <f aca="false">AC6+AC40+AC74</f>
        <v>7983536.7</v>
      </c>
      <c r="AD108" s="100" t="n">
        <f aca="false">AC108/AA108</f>
        <v>0.302062307071339</v>
      </c>
      <c r="AE108" s="2309" t="n">
        <f aca="false">AC108/$AC$126</f>
        <v>0.373070915636709</v>
      </c>
      <c r="AF108" s="2275" t="n">
        <f aca="false">AF6+AF40+AF74</f>
        <v>18677496</v>
      </c>
      <c r="AG108" s="2301" t="n">
        <f aca="false">AF108/$AF$126</f>
        <v>0.25643271072588</v>
      </c>
      <c r="AH108" s="2237" t="n">
        <f aca="false">AH6+AH40+AH74</f>
        <v>3400693.13</v>
      </c>
      <c r="AI108" s="100" t="n">
        <f aca="false">AH108/AF108</f>
        <v>0.182074359967739</v>
      </c>
      <c r="AJ108" s="2309" t="n">
        <f aca="false">AH108/$AH$126</f>
        <v>0.197296060928061</v>
      </c>
      <c r="AK108" s="2275" t="n">
        <f aca="false">AK6+AK40+AK74</f>
        <v>15786530</v>
      </c>
      <c r="AL108" s="2301" t="n">
        <f aca="false">AK108/$AK$126</f>
        <v>0.166960897529315</v>
      </c>
      <c r="AM108" s="2237" t="n">
        <f aca="false">AM6+AM40+AM74</f>
        <v>2092610.05</v>
      </c>
      <c r="AN108" s="100" t="n">
        <f aca="false">AM108/AK108</f>
        <v>0.132556682817567</v>
      </c>
      <c r="AO108" s="2301" t="n">
        <f aca="false">AM108/$AM$126</f>
        <v>0.137824787011325</v>
      </c>
      <c r="AP108" s="2275" t="n">
        <f aca="false">AP6+AP40+AP74</f>
        <v>21795804.9998</v>
      </c>
      <c r="AQ108" s="2301" t="n">
        <f aca="false">AP108/$AP$126</f>
        <v>0.178704241055826</v>
      </c>
      <c r="AR108" s="2237" t="n">
        <f aca="false">AR6+AR40+AR74</f>
        <v>4973295.616614</v>
      </c>
      <c r="AS108" s="100" t="n">
        <f aca="false">AR108/AP108</f>
        <v>0.228176734773487</v>
      </c>
      <c r="AT108" s="2309" t="n">
        <f aca="false">AR108/$AR$126</f>
        <v>0.174835150039316</v>
      </c>
      <c r="AU108" s="2275" t="n">
        <f aca="false">AU6+AU40+AU74</f>
        <v>18719610</v>
      </c>
      <c r="AV108" s="2301" t="n">
        <f aca="false">AU108/$AU$126</f>
        <v>0.149398437538069</v>
      </c>
      <c r="AW108" s="2237" t="n">
        <f aca="false">AW6+AW40+AW74</f>
        <v>8034866.785</v>
      </c>
      <c r="AX108" s="100" t="n">
        <f aca="false">AW108/AU108</f>
        <v>0.429221911407342</v>
      </c>
      <c r="AY108" s="2302" t="n">
        <f aca="false">AW108/$AW$126</f>
        <v>0.172029859813655</v>
      </c>
      <c r="AZ108" s="2275" t="n">
        <f aca="false">AZ6+AZ40+AZ74</f>
        <v>18445670</v>
      </c>
      <c r="BA108" s="2301" t="n">
        <f aca="false">AZ108/$AZ$126</f>
        <v>0.174575565854619</v>
      </c>
      <c r="BB108" s="2237" t="n">
        <f aca="false">BB6+BB40+BB74</f>
        <v>11176781.65</v>
      </c>
      <c r="BC108" s="100" t="n">
        <f aca="false">BB108/AZ108</f>
        <v>0.605929827975888</v>
      </c>
      <c r="BD108" s="2302" t="n">
        <f aca="false">BB108/$BB$126</f>
        <v>0.133003342994678</v>
      </c>
      <c r="BE108" s="2275" t="n">
        <f aca="false">BE6+BE40+BE74</f>
        <v>20555205</v>
      </c>
      <c r="BF108" s="2301" t="n">
        <f aca="false">BE108/$BE$126</f>
        <v>0.0925833976382137</v>
      </c>
      <c r="BG108" s="2237" t="n">
        <f aca="false">BG6+BG40+BG74</f>
        <v>6783291.49</v>
      </c>
      <c r="BH108" s="100" t="n">
        <f aca="false">BG108/BE108</f>
        <v>0.330003592277479</v>
      </c>
      <c r="BI108" s="2302" t="n">
        <f aca="false">BG108/$BG$126</f>
        <v>0.0966840039815182</v>
      </c>
    </row>
    <row r="109" customFormat="false" ht="14.25" hidden="false" customHeight="false" outlineLevel="0" collapsed="false">
      <c r="A109" s="2300" t="s">
        <v>7</v>
      </c>
      <c r="B109" s="2275" t="n">
        <f aca="false">B7+B41+B75</f>
        <v>10316098</v>
      </c>
      <c r="C109" s="2301" t="n">
        <f aca="false">B109/$B$126</f>
        <v>0.126998920020972</v>
      </c>
      <c r="D109" s="2237" t="n">
        <f aca="false">D7+D41+D75</f>
        <v>1673591.38</v>
      </c>
      <c r="E109" s="100" t="n">
        <f aca="false">D109/B109</f>
        <v>0.162231047048991</v>
      </c>
      <c r="F109" s="2302" t="n">
        <f aca="false">D109/$D$126</f>
        <v>0.132533460216614</v>
      </c>
      <c r="G109" s="2275" t="n">
        <f aca="false">G7+G41+G75</f>
        <v>10347768</v>
      </c>
      <c r="H109" s="2301" t="n">
        <f aca="false">G109/$G$126</f>
        <v>0.129529275584228</v>
      </c>
      <c r="I109" s="2237" t="n">
        <f aca="false">I7+I41+I75</f>
        <v>1342001.2</v>
      </c>
      <c r="J109" s="100" t="n">
        <f aca="false">I109/G109</f>
        <v>0.129689919603918</v>
      </c>
      <c r="K109" s="2302" t="n">
        <f aca="false">I109/$I$126</f>
        <v>0.114685584495542</v>
      </c>
      <c r="L109" s="2275" t="n">
        <f aca="false">L7+L41+L75</f>
        <v>13019312.4</v>
      </c>
      <c r="M109" s="2301" t="n">
        <f aca="false">L109/$L$126</f>
        <v>0.117651818950499</v>
      </c>
      <c r="N109" s="2237" t="n">
        <f aca="false">N7+N41+N75</f>
        <v>1556732.29</v>
      </c>
      <c r="O109" s="100" t="n">
        <f aca="false">N109/L109</f>
        <v>0.119571006683886</v>
      </c>
      <c r="P109" s="2303" t="n">
        <f aca="false">N109/$N$126</f>
        <v>0.0885470906079796</v>
      </c>
      <c r="Q109" s="2275" t="n">
        <f aca="false">Q7+Q41+Q75</f>
        <v>10416412.5</v>
      </c>
      <c r="R109" s="2301" t="n">
        <f aca="false">Q109/$Q$126</f>
        <v>0.0846138468523611</v>
      </c>
      <c r="S109" s="2237" t="n">
        <f aca="false">S7+S41+S75</f>
        <v>1510823.2</v>
      </c>
      <c r="T109" s="100" t="n">
        <f aca="false">S109/Q109</f>
        <v>0.145042566238616</v>
      </c>
      <c r="U109" s="2303" t="n">
        <f aca="false">S109/$S$126</f>
        <v>0.0888311292371418</v>
      </c>
      <c r="V109" s="2275" t="n">
        <f aca="false">V7+V41+V75</f>
        <v>4866750</v>
      </c>
      <c r="W109" s="2301" t="n">
        <f aca="false">V109/$V$126</f>
        <v>0.0474538393490746</v>
      </c>
      <c r="X109" s="2237" t="n">
        <f aca="false">X7+X41+X75</f>
        <v>797202.25</v>
      </c>
      <c r="Y109" s="100" t="n">
        <f aca="false">X109/V109</f>
        <v>0.163805876611702</v>
      </c>
      <c r="Z109" s="2309" t="n">
        <f aca="false">X109/$X$126</f>
        <v>0.0514848590228384</v>
      </c>
      <c r="AA109" s="2275" t="n">
        <f aca="false">AA7+AA41+AA75</f>
        <v>2584094</v>
      </c>
      <c r="AB109" s="2301" t="n">
        <f aca="false">AA109/$AA$126</f>
        <v>0.042807908279064</v>
      </c>
      <c r="AC109" s="2237" t="n">
        <f aca="false">AC7+AC41+AC75</f>
        <v>768630.9</v>
      </c>
      <c r="AD109" s="100" t="n">
        <f aca="false">AC109/AA109</f>
        <v>0.297446958198889</v>
      </c>
      <c r="AE109" s="2309" t="n">
        <f aca="false">AC109/$AC$126</f>
        <v>0.03591814560703</v>
      </c>
      <c r="AF109" s="2275" t="n">
        <f aca="false">AF7+AF41+AF75</f>
        <v>5105969.9996</v>
      </c>
      <c r="AG109" s="2301" t="n">
        <f aca="false">AF109/$AF$126</f>
        <v>0.0701024231450751</v>
      </c>
      <c r="AH109" s="2237" t="n">
        <f aca="false">AH7+AH41+AH75</f>
        <v>1100077.15</v>
      </c>
      <c r="AI109" s="100" t="n">
        <f aca="false">AH109/AF109</f>
        <v>0.215449199679234</v>
      </c>
      <c r="AJ109" s="2309" t="n">
        <f aca="false">AH109/$AH$126</f>
        <v>0.0638225444387475</v>
      </c>
      <c r="AK109" s="2275" t="n">
        <f aca="false">AK7+AK41+AK75</f>
        <v>3451929.1</v>
      </c>
      <c r="AL109" s="2301" t="n">
        <f aca="false">AK109/$AK$126</f>
        <v>0.0365081611185967</v>
      </c>
      <c r="AM109" s="2237" t="n">
        <f aca="false">AM7+AM41+AM75</f>
        <v>487462.33</v>
      </c>
      <c r="AN109" s="100" t="n">
        <f aca="false">AM109/AK109</f>
        <v>0.141214467585676</v>
      </c>
      <c r="AO109" s="2301" t="n">
        <f aca="false">AM109/$AM$126</f>
        <v>0.0321055477145847</v>
      </c>
      <c r="AP109" s="2275" t="n">
        <f aca="false">AP7+AP41+AP75</f>
        <v>7309704.9996</v>
      </c>
      <c r="AQ109" s="2301" t="n">
        <f aca="false">AP109/$AP$126</f>
        <v>0.0599324174678329</v>
      </c>
      <c r="AR109" s="2237" t="n">
        <f aca="false">AR7+AR41+AR75</f>
        <v>1317535</v>
      </c>
      <c r="AS109" s="100" t="n">
        <f aca="false">AR109/AP109</f>
        <v>0.180244620004788</v>
      </c>
      <c r="AT109" s="2309" t="n">
        <f aca="false">AR109/$AR$126</f>
        <v>0.0463176628064354</v>
      </c>
      <c r="AU109" s="2275" t="n">
        <f aca="false">AU7+AU41+AU75</f>
        <v>5462300</v>
      </c>
      <c r="AV109" s="2301" t="n">
        <f aca="false">AU109/$AU$126</f>
        <v>0.0435938080635332</v>
      </c>
      <c r="AW109" s="2237" t="n">
        <f aca="false">AW7+AW41+AW75</f>
        <v>1959762.093</v>
      </c>
      <c r="AX109" s="100" t="n">
        <f aca="false">AW109/AU109</f>
        <v>0.358779651978104</v>
      </c>
      <c r="AY109" s="2302" t="n">
        <f aca="false">AW109/$AW$126</f>
        <v>0.0419593264142594</v>
      </c>
      <c r="AZ109" s="2275" t="n">
        <f aca="false">AZ7+AZ41+AZ75</f>
        <v>4525605</v>
      </c>
      <c r="BA109" s="2301" t="n">
        <f aca="false">AZ109/$AZ$126</f>
        <v>0.0428317352370228</v>
      </c>
      <c r="BB109" s="2237" t="n">
        <f aca="false">BB7+BB41+BB75</f>
        <v>3344422.39</v>
      </c>
      <c r="BC109" s="100" t="n">
        <f aca="false">BB109/AZ109</f>
        <v>0.739000065184655</v>
      </c>
      <c r="BD109" s="2302" t="n">
        <f aca="false">BB109/$BB$126</f>
        <v>0.0397985191252483</v>
      </c>
      <c r="BE109" s="2275" t="n">
        <f aca="false">BE7+BE41+BE75</f>
        <v>4512055.86</v>
      </c>
      <c r="BF109" s="2301" t="n">
        <f aca="false">BE109/$BE$126</f>
        <v>0.0203229041915277</v>
      </c>
      <c r="BG109" s="2237" t="n">
        <f aca="false">BG7+BG41+BG75</f>
        <v>2135573.5</v>
      </c>
      <c r="BH109" s="100" t="n">
        <f aca="false">BG109/BE109</f>
        <v>0.473303869956965</v>
      </c>
      <c r="BI109" s="2302" t="n">
        <f aca="false">BG109/$BG$126</f>
        <v>0.0304388801632974</v>
      </c>
    </row>
    <row r="110" customFormat="false" ht="14.25" hidden="false" customHeight="false" outlineLevel="0" collapsed="false">
      <c r="A110" s="2300" t="s">
        <v>42</v>
      </c>
      <c r="B110" s="2275" t="n">
        <f aca="false">B8+B42+B76</f>
        <v>5419140</v>
      </c>
      <c r="C110" s="2301" t="n">
        <f aca="false">B110/$B$126</f>
        <v>0.0667136864580437</v>
      </c>
      <c r="D110" s="2237" t="n">
        <f aca="false">D8+D42+D76</f>
        <v>968079.6</v>
      </c>
      <c r="E110" s="100" t="n">
        <f aca="false">D110/B110</f>
        <v>0.178640817546696</v>
      </c>
      <c r="F110" s="2302" t="n">
        <f aca="false">D110/$D$126</f>
        <v>0.0766632409119576</v>
      </c>
      <c r="G110" s="2275" t="n">
        <f aca="false">G8+G42+G76</f>
        <v>8045150.5845</v>
      </c>
      <c r="H110" s="2301" t="n">
        <f aca="false">G110/$G$126</f>
        <v>0.100706019614695</v>
      </c>
      <c r="I110" s="2237" t="n">
        <f aca="false">I8+I42+I76</f>
        <v>915696.7</v>
      </c>
      <c r="J110" s="100" t="n">
        <f aca="false">I110/G110</f>
        <v>0.113819709200249</v>
      </c>
      <c r="K110" s="2302" t="n">
        <f aca="false">I110/$I$126</f>
        <v>0.0782541858085809</v>
      </c>
      <c r="L110" s="2275" t="n">
        <f aca="false">L8+L42+L76</f>
        <v>6198846</v>
      </c>
      <c r="M110" s="2301" t="n">
        <f aca="false">L110/$L$126</f>
        <v>0.0560172062000774</v>
      </c>
      <c r="N110" s="2237" t="n">
        <f aca="false">N8+N42+N76</f>
        <v>828190.77</v>
      </c>
      <c r="O110" s="100" t="n">
        <f aca="false">N110/L110</f>
        <v>0.133604024039313</v>
      </c>
      <c r="P110" s="2303" t="n">
        <f aca="false">N110/$N$126</f>
        <v>0.0471075750294114</v>
      </c>
      <c r="Q110" s="2275" t="n">
        <f aca="false">Q8+Q42+Q76</f>
        <v>5168175</v>
      </c>
      <c r="R110" s="2301" t="n">
        <f aca="false">Q110/$Q$126</f>
        <v>0.0419817444783606</v>
      </c>
      <c r="S110" s="2237" t="n">
        <f aca="false">S8+S42+S76</f>
        <v>843725.95</v>
      </c>
      <c r="T110" s="100" t="n">
        <f aca="false">S110/Q110</f>
        <v>0.163254137098686</v>
      </c>
      <c r="U110" s="2303" t="n">
        <f aca="false">S110/$S$126</f>
        <v>0.0496081400558187</v>
      </c>
      <c r="V110" s="2275" t="n">
        <f aca="false">V8+V42+V76</f>
        <v>8666100</v>
      </c>
      <c r="W110" s="2301" t="n">
        <f aca="false">V110/$V$126</f>
        <v>0.084499864834441</v>
      </c>
      <c r="X110" s="2237" t="n">
        <f aca="false">X8+X42+X76</f>
        <v>1394999.75</v>
      </c>
      <c r="Y110" s="100" t="n">
        <f aca="false">X110/V110</f>
        <v>0.160972034709962</v>
      </c>
      <c r="Z110" s="2309" t="n">
        <f aca="false">X110/$X$126</f>
        <v>0.0900917746602506</v>
      </c>
      <c r="AA110" s="2275" t="n">
        <f aca="false">AA8+AA42+AA76</f>
        <v>5674977</v>
      </c>
      <c r="AB110" s="2301" t="n">
        <f aca="false">AA110/$AA$126</f>
        <v>0.094011245295952</v>
      </c>
      <c r="AC110" s="2237" t="n">
        <f aca="false">AC8+AC42+AC76</f>
        <v>1973028.65</v>
      </c>
      <c r="AD110" s="100" t="n">
        <f aca="false">AC110/AA110</f>
        <v>0.347671655761777</v>
      </c>
      <c r="AE110" s="2309" t="n">
        <f aca="false">AC110/$AC$126</f>
        <v>0.0921996895226849</v>
      </c>
      <c r="AF110" s="2275" t="n">
        <f aca="false">AF8+AF42+AF76</f>
        <v>6368364</v>
      </c>
      <c r="AG110" s="2301" t="n">
        <f aca="false">AF110/$AF$126</f>
        <v>0.0874344635602709</v>
      </c>
      <c r="AH110" s="2237" t="n">
        <f aca="false">AH8+AH42+AH76</f>
        <v>1467665.15</v>
      </c>
      <c r="AI110" s="100" t="n">
        <f aca="false">AH110/AF110</f>
        <v>0.230461881575865</v>
      </c>
      <c r="AJ110" s="2309" t="n">
        <f aca="false">AH110/$AH$126</f>
        <v>0.0851486863962913</v>
      </c>
      <c r="AK110" s="2275" t="n">
        <f aca="false">AK8+AK42+AK76</f>
        <v>5627345.9998</v>
      </c>
      <c r="AL110" s="2301" t="n">
        <f aca="false">AK110/$AK$126</f>
        <v>0.0595157225073914</v>
      </c>
      <c r="AM110" s="2237" t="n">
        <f aca="false">AM8+AM42+AM76</f>
        <v>898215.4</v>
      </c>
      <c r="AN110" s="100" t="n">
        <f aca="false">AM110/AK110</f>
        <v>0.159616167200653</v>
      </c>
      <c r="AO110" s="2301" t="n">
        <f aca="false">AM110/$AM$126</f>
        <v>0.0591588223497696</v>
      </c>
      <c r="AP110" s="2275" t="n">
        <f aca="false">AP8+AP42+AP76</f>
        <v>16698643.2998</v>
      </c>
      <c r="AQ110" s="2301" t="n">
        <f aca="false">AP110/$AP$126</f>
        <v>0.136912510346835</v>
      </c>
      <c r="AR110" s="2237" t="n">
        <f aca="false">AR8+AR42+AR76</f>
        <v>3387265.71</v>
      </c>
      <c r="AS110" s="100" t="n">
        <f aca="false">AR110/AP110</f>
        <v>0.202846761212066</v>
      </c>
      <c r="AT110" s="2309" t="n">
        <f aca="false">AR110/$AR$126</f>
        <v>0.119078605875048</v>
      </c>
      <c r="AU110" s="2275" t="n">
        <f aca="false">AU8+AU42+AU76</f>
        <v>8516105</v>
      </c>
      <c r="AV110" s="2301" t="n">
        <f aca="false">AU110/$AU$126</f>
        <v>0.0679657739082245</v>
      </c>
      <c r="AW110" s="2237" t="n">
        <f aca="false">AW8+AW42+AW76</f>
        <v>3196582.167</v>
      </c>
      <c r="AX110" s="100" t="n">
        <f aca="false">AW110/AU110</f>
        <v>0.37535729855374</v>
      </c>
      <c r="AY110" s="2302" t="n">
        <f aca="false">AW110/$AW$126</f>
        <v>0.068440161708523</v>
      </c>
      <c r="AZ110" s="2275" t="n">
        <f aca="false">AZ8+AZ42+AZ76</f>
        <v>7028560</v>
      </c>
      <c r="BA110" s="2301" t="n">
        <f aca="false">AZ110/$AZ$126</f>
        <v>0.0665204809119508</v>
      </c>
      <c r="BB110" s="2237" t="n">
        <f aca="false">BB8+BB42+BB76</f>
        <v>8069856.65</v>
      </c>
      <c r="BC110" s="100" t="n">
        <f aca="false">BB110/AZ110</f>
        <v>1.14815220329627</v>
      </c>
      <c r="BD110" s="2302" t="n">
        <f aca="false">BB110/$BB$126</f>
        <v>0.0960310351896183</v>
      </c>
      <c r="BE110" s="2275" t="n">
        <f aca="false">BE8+BE42+BE76</f>
        <v>10706235</v>
      </c>
      <c r="BF110" s="2301" t="n">
        <f aca="false">BE110/$BE$126</f>
        <v>0.0482223170342091</v>
      </c>
      <c r="BG110" s="2237" t="n">
        <f aca="false">BG8+BG42+BG76</f>
        <v>4795206.94</v>
      </c>
      <c r="BH110" s="100" t="n">
        <f aca="false">BG110/BE110</f>
        <v>0.447889191671956</v>
      </c>
      <c r="BI110" s="2302" t="n">
        <f aca="false">BG110/$BG$126</f>
        <v>0.0683473218809242</v>
      </c>
    </row>
    <row r="111" customFormat="false" ht="14.25" hidden="false" customHeight="false" outlineLevel="0" collapsed="false">
      <c r="A111" s="2300" t="s">
        <v>9</v>
      </c>
      <c r="B111" s="2275" t="n">
        <f aca="false">B9+B43+B77</f>
        <v>4308145</v>
      </c>
      <c r="C111" s="2301" t="n">
        <f aca="false">B111/$B$126</f>
        <v>0.0530365029775553</v>
      </c>
      <c r="D111" s="2237" t="n">
        <f aca="false">D9+D43+D77</f>
        <v>603654.6</v>
      </c>
      <c r="E111" s="100" t="n">
        <f aca="false">D111/B111</f>
        <v>0.140119378526025</v>
      </c>
      <c r="F111" s="2302" t="n">
        <f aca="false">D111/$D$126</f>
        <v>0.0478040421752627</v>
      </c>
      <c r="G111" s="2275" t="n">
        <f aca="false">G9+G43+G77</f>
        <v>1065000</v>
      </c>
      <c r="H111" s="2301" t="n">
        <f aca="false">G111/$G$126</f>
        <v>0.0133312496469966</v>
      </c>
      <c r="I111" s="2237" t="n">
        <f aca="false">I9+I43+I77</f>
        <v>178783.35</v>
      </c>
      <c r="J111" s="100" t="n">
        <f aca="false">I111/G111</f>
        <v>0.167871690140845</v>
      </c>
      <c r="K111" s="2302" t="n">
        <f aca="false">I111/$I$126</f>
        <v>0.0152785802224476</v>
      </c>
      <c r="L111" s="2275" t="n">
        <f aca="false">L9+L43+L77</f>
        <v>1864129.08</v>
      </c>
      <c r="M111" s="2301" t="n">
        <f aca="false">L111/$L$126</f>
        <v>0.0168456036910613</v>
      </c>
      <c r="N111" s="2237" t="n">
        <f aca="false">N9+N43+N77</f>
        <v>242626.5</v>
      </c>
      <c r="O111" s="100" t="n">
        <f aca="false">N111/L111</f>
        <v>0.130155418207413</v>
      </c>
      <c r="P111" s="2303" t="n">
        <f aca="false">N111/$N$126</f>
        <v>0.0138006199379323</v>
      </c>
      <c r="Q111" s="2275" t="n">
        <f aca="false">Q9+Q43+Q77</f>
        <v>730500</v>
      </c>
      <c r="R111" s="2301" t="n">
        <f aca="false">Q111/$Q$126</f>
        <v>0.00593394464031161</v>
      </c>
      <c r="S111" s="2237" t="n">
        <f aca="false">S9+S43+S77</f>
        <v>103390</v>
      </c>
      <c r="T111" s="100" t="n">
        <f aca="false">S111/Q111</f>
        <v>0.141533196440794</v>
      </c>
      <c r="U111" s="2303" t="n">
        <f aca="false">S111/$S$126</f>
        <v>0.0060789710217768</v>
      </c>
      <c r="V111" s="2275" t="n">
        <f aca="false">V9+V43+V77</f>
        <v>853003.5</v>
      </c>
      <c r="W111" s="2301" t="n">
        <f aca="false">V111/$V$126</f>
        <v>0.00831731464595436</v>
      </c>
      <c r="X111" s="2237" t="n">
        <f aca="false">X9+X43+X77</f>
        <v>126328.06</v>
      </c>
      <c r="Y111" s="100" t="n">
        <f aca="false">X111/V111</f>
        <v>0.148097938636829</v>
      </c>
      <c r="Z111" s="2309" t="n">
        <f aca="false">X111/$X$126</f>
        <v>0.00815850978811044</v>
      </c>
      <c r="AA111" s="2275" t="n">
        <f aca="false">AA9+AA43+AA77</f>
        <v>40800</v>
      </c>
      <c r="AB111" s="2301" t="n">
        <f aca="false">AA111/$AA$126</f>
        <v>0.000675889753927609</v>
      </c>
      <c r="AC111" s="2237" t="n">
        <f aca="false">AC9+AC43+AC77</f>
        <v>16977.5</v>
      </c>
      <c r="AD111" s="100" t="n">
        <f aca="false">AC111/AA111</f>
        <v>0.416115196078431</v>
      </c>
      <c r="AE111" s="2309" t="n">
        <f aca="false">AC111/$AC$126</f>
        <v>0.000793359097381268</v>
      </c>
      <c r="AF111" s="2275" t="n">
        <f aca="false">AF9+AF43+AF77</f>
        <v>258000</v>
      </c>
      <c r="AG111" s="2301" t="n">
        <f aca="false">AF111/$AF$126</f>
        <v>0.00354221140602985</v>
      </c>
      <c r="AH111" s="2237" t="n">
        <f aca="false">AH9+AH43+AH77</f>
        <v>36077</v>
      </c>
      <c r="AI111" s="100" t="n">
        <f aca="false">AH111/AF111</f>
        <v>0.139833333333333</v>
      </c>
      <c r="AJ111" s="2309" t="n">
        <f aca="false">AH111/$AH$126</f>
        <v>0.00209305859658724</v>
      </c>
      <c r="AK111" s="2275" t="n">
        <f aca="false">AK9+AK43+AK77</f>
        <v>0</v>
      </c>
      <c r="AL111" s="2301" t="n">
        <f aca="false">AK111/$AK$126</f>
        <v>0</v>
      </c>
      <c r="AM111" s="2237" t="n">
        <f aca="false">AM9+AM43+AM77</f>
        <v>0</v>
      </c>
      <c r="AN111" s="100" t="n">
        <v>0</v>
      </c>
      <c r="AO111" s="2301" t="n">
        <f aca="false">AM111/$AM$126</f>
        <v>0</v>
      </c>
      <c r="AP111" s="2275" t="n">
        <f aca="false">AP9+AP43+AP77</f>
        <v>270000</v>
      </c>
      <c r="AQ111" s="2301" t="n">
        <f aca="false">AP111/$AP$126</f>
        <v>0.00221373539933559</v>
      </c>
      <c r="AR111" s="2237" t="n">
        <f aca="false">AR9+AR43+AR77</f>
        <v>81000</v>
      </c>
      <c r="AS111" s="100" t="n">
        <f aca="false">AR111/AP111</f>
        <v>0.3</v>
      </c>
      <c r="AT111" s="2309" t="n">
        <f aca="false">AR111/$AR$126</f>
        <v>0.00284753777874688</v>
      </c>
      <c r="AU111" s="2275" t="n">
        <f aca="false">AU9+AU43+AU77</f>
        <v>31950</v>
      </c>
      <c r="AV111" s="2301" t="n">
        <f aca="false">AU111/$AU$126</f>
        <v>0.000254988222475859</v>
      </c>
      <c r="AW111" s="2237" t="n">
        <f aca="false">AW9+AW43+AW77</f>
        <v>13920</v>
      </c>
      <c r="AX111" s="100" t="n">
        <f aca="false">AW111/AU111</f>
        <v>0.435680751173709</v>
      </c>
      <c r="AY111" s="2302" t="n">
        <f aca="false">AW111/$AW$126</f>
        <v>0.000298033024402667</v>
      </c>
      <c r="AZ111" s="2275" t="n">
        <f aca="false">AZ9+AZ43+AZ77</f>
        <v>0</v>
      </c>
      <c r="BA111" s="2301" t="n">
        <f aca="false">AZ111/$AZ$126</f>
        <v>0</v>
      </c>
      <c r="BB111" s="2237" t="n">
        <f aca="false">BB9+BB43+BB77</f>
        <v>0</v>
      </c>
      <c r="BC111" s="100" t="n">
        <v>0</v>
      </c>
      <c r="BD111" s="2302" t="n">
        <f aca="false">BB111/$BB$126</f>
        <v>0</v>
      </c>
      <c r="BE111" s="2275" t="n">
        <f aca="false">BE9+BE43+BE77</f>
        <v>0</v>
      </c>
      <c r="BF111" s="2301" t="n">
        <f aca="false">BE111/$BE$126</f>
        <v>0</v>
      </c>
      <c r="BG111" s="2237" t="n">
        <f aca="false">BG9+BG43+BG77</f>
        <v>0</v>
      </c>
      <c r="BH111" s="100" t="e">
        <f aca="false">BG111/BE111</f>
        <v>#DIV/0!</v>
      </c>
      <c r="BI111" s="2302" t="n">
        <f aca="false">BG111/$BG$126</f>
        <v>0</v>
      </c>
    </row>
    <row r="112" customFormat="false" ht="14.25" hidden="false" customHeight="false" outlineLevel="0" collapsed="false">
      <c r="A112" s="2300" t="s">
        <v>10</v>
      </c>
      <c r="B112" s="2275" t="n">
        <f aca="false">B10+B44+B78</f>
        <v>14719060.87</v>
      </c>
      <c r="C112" s="2301" t="n">
        <f aca="false">B112/$B$126</f>
        <v>0.181202702243906</v>
      </c>
      <c r="D112" s="2237" t="n">
        <f aca="false">D10+D44+D78</f>
        <v>1310261.9</v>
      </c>
      <c r="E112" s="100" t="n">
        <f aca="false">D112/B112</f>
        <v>0.0890180366514103</v>
      </c>
      <c r="F112" s="2302" t="n">
        <f aca="false">D112/$D$126</f>
        <v>0.103761016860038</v>
      </c>
      <c r="G112" s="2275" t="n">
        <f aca="false">G10+G44+G78</f>
        <v>8328635</v>
      </c>
      <c r="H112" s="2301" t="n">
        <f aca="false">G112/$G$126</f>
        <v>0.10425456563729</v>
      </c>
      <c r="I112" s="2237" t="n">
        <f aca="false">I10+I44+I78</f>
        <v>1080536.6</v>
      </c>
      <c r="J112" s="100" t="n">
        <f aca="false">I112/G112</f>
        <v>0.129737538023938</v>
      </c>
      <c r="K112" s="2302" t="n">
        <f aca="false">I112/$I$126</f>
        <v>0.0923411778915139</v>
      </c>
      <c r="L112" s="2275" t="n">
        <f aca="false">L10+L44+L78</f>
        <v>31418613.5</v>
      </c>
      <c r="M112" s="2301" t="n">
        <f aca="false">L112/$L$126</f>
        <v>0.283921063848019</v>
      </c>
      <c r="N112" s="2237" t="n">
        <f aca="false">N10+N44+N78</f>
        <v>3534396.38</v>
      </c>
      <c r="O112" s="100" t="n">
        <f aca="false">N112/L112</f>
        <v>0.112493709501217</v>
      </c>
      <c r="P112" s="2303" t="n">
        <f aca="false">N112/$N$126</f>
        <v>0.201036824709517</v>
      </c>
      <c r="Q112" s="2275" t="n">
        <f aca="false">Q10+Q44+Q78</f>
        <v>38328264.93</v>
      </c>
      <c r="R112" s="2301" t="n">
        <f aca="false">Q112/$Q$126</f>
        <v>0.311345382962104</v>
      </c>
      <c r="S112" s="2237" t="n">
        <f aca="false">S10+S44+S78</f>
        <v>3225827.7</v>
      </c>
      <c r="T112" s="100" t="n">
        <f aca="false">S112/Q112</f>
        <v>0.0841631549430015</v>
      </c>
      <c r="U112" s="2303" t="n">
        <f aca="false">S112/$S$126</f>
        <v>0.189667406030998</v>
      </c>
      <c r="V112" s="2275" t="n">
        <f aca="false">V10+V44+V78</f>
        <v>31468412</v>
      </c>
      <c r="W112" s="2301" t="n">
        <f aca="false">V112/$V$126</f>
        <v>0.306836588610159</v>
      </c>
      <c r="X112" s="2237" t="n">
        <f aca="false">X10+X44+X78</f>
        <v>2588607.33</v>
      </c>
      <c r="Y112" s="100" t="n">
        <f aca="false">X112/V112</f>
        <v>0.0822605007840879</v>
      </c>
      <c r="Z112" s="2309" t="n">
        <f aca="false">X112/$X$126</f>
        <v>0.167177254517955</v>
      </c>
      <c r="AA112" s="2275" t="n">
        <f aca="false">AA10+AA44+AA78</f>
        <v>3561156</v>
      </c>
      <c r="AB112" s="2301" t="n">
        <f aca="false">AA112/$AA$126</f>
        <v>0.0589938444249468</v>
      </c>
      <c r="AC112" s="2237" t="n">
        <f aca="false">AC10+AC44+AC78</f>
        <v>1605455</v>
      </c>
      <c r="AD112" s="100" t="n">
        <f aca="false">AC112/AA112</f>
        <v>0.450824114416779</v>
      </c>
      <c r="AE112" s="2309" t="n">
        <f aca="false">AC112/$AC$126</f>
        <v>0.0750229615482989</v>
      </c>
      <c r="AF112" s="2275" t="n">
        <f aca="false">AF10+AF44+AF78</f>
        <v>14181166.42196</v>
      </c>
      <c r="AG112" s="2301" t="n">
        <f aca="false">AF112/$AF$126</f>
        <v>0.19470034670804</v>
      </c>
      <c r="AH112" s="2237" t="n">
        <f aca="false">AH10+AH44+AH78</f>
        <v>2501597.48</v>
      </c>
      <c r="AI112" s="100" t="n">
        <f aca="false">AH112/AF112</f>
        <v>0.176402801121225</v>
      </c>
      <c r="AJ112" s="2309" t="n">
        <f aca="false">AH112/$AH$126</f>
        <v>0.145133744787953</v>
      </c>
      <c r="AK112" s="2275" t="n">
        <f aca="false">AK10+AK44+AK78</f>
        <v>38028918</v>
      </c>
      <c r="AL112" s="2301" t="n">
        <f aca="false">AK112/$AK$126</f>
        <v>0.402199994637753</v>
      </c>
      <c r="AM112" s="2237" t="n">
        <f aca="false">AM10+AM44+AM78</f>
        <v>4586314.75</v>
      </c>
      <c r="AN112" s="100" t="n">
        <f aca="false">AM112/AK112</f>
        <v>0.120600716275967</v>
      </c>
      <c r="AO112" s="2301" t="n">
        <f aca="false">AM112/$AM$126</f>
        <v>0.302066719781667</v>
      </c>
      <c r="AP112" s="2275" t="n">
        <f aca="false">AP10+AP44+AP78</f>
        <v>35461890</v>
      </c>
      <c r="AQ112" s="2301" t="n">
        <f aca="false">AP112/$AP$126</f>
        <v>0.290752745260536</v>
      </c>
      <c r="AR112" s="2237" t="n">
        <f aca="false">AR10+AR44+AR78</f>
        <v>6376294.54</v>
      </c>
      <c r="AS112" s="100" t="n">
        <f aca="false">AR112/AP112</f>
        <v>0.179806957271595</v>
      </c>
      <c r="AT112" s="2309" t="n">
        <f aca="false">AR112/$AR$126</f>
        <v>0.224157278902067</v>
      </c>
      <c r="AU112" s="2275" t="n">
        <f aca="false">AU10+AU44+AU78</f>
        <v>46732455</v>
      </c>
      <c r="AV112" s="2301" t="n">
        <f aca="false">AU112/$AU$126</f>
        <v>0.372964808525292</v>
      </c>
      <c r="AW112" s="2237" t="n">
        <f aca="false">AW10+AW44+AW78</f>
        <v>9575374.8365</v>
      </c>
      <c r="AX112" s="100" t="n">
        <f aca="false">AW112/AU112</f>
        <v>0.20489774903758</v>
      </c>
      <c r="AY112" s="2302" t="n">
        <f aca="false">AW112/$AW$126</f>
        <v>0.205012781775236</v>
      </c>
      <c r="AZ112" s="2275" t="n">
        <f aca="false">AZ10+AZ44+AZ78</f>
        <v>37978060</v>
      </c>
      <c r="BA112" s="2301" t="n">
        <f aca="false">AZ112/$AZ$126</f>
        <v>0.359436188252348</v>
      </c>
      <c r="BB112" s="2237" t="n">
        <f aca="false">BB10+BB44+BB78</f>
        <v>16679133.73</v>
      </c>
      <c r="BC112" s="100" t="n">
        <f aca="false">BB112/AZ112</f>
        <v>0.439178139431029</v>
      </c>
      <c r="BD112" s="2302" t="n">
        <f aca="false">BB112/$BB$126</f>
        <v>0.198481156187326</v>
      </c>
      <c r="BE112" s="2275" t="n">
        <f aca="false">BE10+BE44+BE78</f>
        <v>130860917.95</v>
      </c>
      <c r="BF112" s="2301" t="n">
        <f aca="false">BE112/$BE$126</f>
        <v>0.589415109305234</v>
      </c>
      <c r="BG112" s="2237" t="n">
        <f aca="false">BG10+BG44+BG78</f>
        <v>24271591.52</v>
      </c>
      <c r="BH112" s="100" t="n">
        <f aca="false">BG112/BE112</f>
        <v>0.18547624378788</v>
      </c>
      <c r="BI112" s="2302" t="n">
        <f aca="false">BG112/$BG$126</f>
        <v>0.345949257026173</v>
      </c>
    </row>
    <row r="113" customFormat="false" ht="14.25" hidden="false" customHeight="false" outlineLevel="0" collapsed="false">
      <c r="A113" s="2300" t="s">
        <v>11</v>
      </c>
      <c r="B113" s="2275" t="n">
        <f aca="false">B11+B45+B79</f>
        <v>1433359.2</v>
      </c>
      <c r="C113" s="2301" t="n">
        <f aca="false">B113/$B$126</f>
        <v>0.0176457290733497</v>
      </c>
      <c r="D113" s="2237" t="n">
        <f aca="false">D11+D45+D79</f>
        <v>794246.96</v>
      </c>
      <c r="E113" s="100" t="n">
        <f aca="false">D113/B113</f>
        <v>0.554115786189533</v>
      </c>
      <c r="F113" s="2302" t="n">
        <f aca="false">D113/$D$126</f>
        <v>0.0628972514636916</v>
      </c>
      <c r="G113" s="2275" t="n">
        <f aca="false">G11+G45+G79</f>
        <v>1566970</v>
      </c>
      <c r="H113" s="2301" t="n">
        <f aca="false">G113/$G$126</f>
        <v>0.0196147119806143</v>
      </c>
      <c r="I113" s="2237" t="n">
        <f aca="false">I11+I45+I79</f>
        <v>991980.5</v>
      </c>
      <c r="J113" s="100" t="n">
        <f aca="false">I113/G113</f>
        <v>0.633056472044774</v>
      </c>
      <c r="K113" s="2302" t="n">
        <f aca="false">I113/$I$126</f>
        <v>0.0847732948753545</v>
      </c>
      <c r="L113" s="2275" t="n">
        <f aca="false">L11+L45+L79</f>
        <v>2929849</v>
      </c>
      <c r="M113" s="2301" t="n">
        <f aca="false">L113/$L$126</f>
        <v>0.0264762111477024</v>
      </c>
      <c r="N113" s="2237" t="n">
        <f aca="false">N11+N45+N79</f>
        <v>2078678.8</v>
      </c>
      <c r="O113" s="100" t="n">
        <f aca="false">N113/L113</f>
        <v>0.709483253232505</v>
      </c>
      <c r="P113" s="2303" t="n">
        <f aca="false">N113/$N$126</f>
        <v>0.118235461055726</v>
      </c>
      <c r="Q113" s="2275" t="n">
        <f aca="false">Q11+Q45+Q79</f>
        <v>2496705</v>
      </c>
      <c r="R113" s="2301" t="n">
        <f aca="false">Q113/$Q$126</f>
        <v>0.0202810530502248</v>
      </c>
      <c r="S113" s="2237" t="n">
        <f aca="false">S11+S45+S79</f>
        <v>1823140.74</v>
      </c>
      <c r="T113" s="100" t="n">
        <f aca="false">S113/Q113</f>
        <v>0.730218724278599</v>
      </c>
      <c r="U113" s="2303" t="n">
        <f aca="false">S113/$S$126</f>
        <v>0.107194310156502</v>
      </c>
      <c r="V113" s="2275" t="n">
        <f aca="false">V11+V45+V79</f>
        <v>2289600</v>
      </c>
      <c r="W113" s="2301" t="n">
        <f aca="false">V113/$V$126</f>
        <v>0.0223250240044468</v>
      </c>
      <c r="X113" s="2237" t="n">
        <f aca="false">X11+X45+X79</f>
        <v>1561124.5</v>
      </c>
      <c r="Y113" s="100" t="n">
        <f aca="false">X113/V113</f>
        <v>0.68183285290007</v>
      </c>
      <c r="Z113" s="2309" t="n">
        <f aca="false">X113/$X$126</f>
        <v>0.100820431452118</v>
      </c>
      <c r="AA113" s="2275" t="n">
        <f aca="false">AA11+AA45+AA79</f>
        <v>1525419</v>
      </c>
      <c r="AB113" s="2301" t="n">
        <f aca="false">AA113/$AA$126</f>
        <v>0.0252699772682966</v>
      </c>
      <c r="AC113" s="2237" t="n">
        <f aca="false">AC11+AC45+AC79</f>
        <v>1361870.5</v>
      </c>
      <c r="AD113" s="100" t="n">
        <f aca="false">AC113/AA113</f>
        <v>0.892784539854296</v>
      </c>
      <c r="AE113" s="2309" t="n">
        <f aca="false">AC113/$AC$126</f>
        <v>0.0636402503684392</v>
      </c>
      <c r="AF113" s="2275" t="n">
        <f aca="false">AF11+AF45+AF79</f>
        <v>1158175</v>
      </c>
      <c r="AG113" s="2301" t="n">
        <f aca="false">AF113/$AF$126</f>
        <v>0.0159011654851885</v>
      </c>
      <c r="AH113" s="2237" t="n">
        <f aca="false">AH11+AH45+AH79</f>
        <v>1010748.16</v>
      </c>
      <c r="AI113" s="100" t="n">
        <f aca="false">AH113/AF113</f>
        <v>0.872707630539426</v>
      </c>
      <c r="AJ113" s="2309" t="n">
        <f aca="false">AH113/$AH$126</f>
        <v>0.0586399957111937</v>
      </c>
      <c r="AK113" s="2275" t="n">
        <f aca="false">AK11+AK45+AK79</f>
        <v>1573865</v>
      </c>
      <c r="AL113" s="2301" t="n">
        <f aca="false">AK113/$AK$126</f>
        <v>0.0166454510896299</v>
      </c>
      <c r="AM113" s="2237" t="n">
        <f aca="false">AM11+AM45+AM79</f>
        <v>1680483.5</v>
      </c>
      <c r="AN113" s="100" t="n">
        <f aca="false">AM113/AK113</f>
        <v>1.06774310376049</v>
      </c>
      <c r="AO113" s="2301" t="n">
        <f aca="false">AM113/$AM$126</f>
        <v>0.11068105138057</v>
      </c>
      <c r="AP113" s="2275" t="n">
        <f aca="false">AP11+AP45+AP79</f>
        <v>728560</v>
      </c>
      <c r="AQ113" s="2301" t="n">
        <f aca="false">AP113/$AP$126</f>
        <v>0.00597347800940718</v>
      </c>
      <c r="AR113" s="2237" t="n">
        <f aca="false">AR11+AR45+AR79</f>
        <v>1848898.2</v>
      </c>
      <c r="AS113" s="100" t="n">
        <f aca="false">AR113/AP113</f>
        <v>2.53774321950148</v>
      </c>
      <c r="AT113" s="2309" t="n">
        <f aca="false">AR113/$AR$126</f>
        <v>0.0649976231303345</v>
      </c>
      <c r="AU113" s="2275" t="n">
        <f aca="false">AU11+AU45+AU79</f>
        <v>1047550</v>
      </c>
      <c r="AV113" s="2301" t="n">
        <f aca="false">AU113/$AU$126</f>
        <v>0.00836034154787437</v>
      </c>
      <c r="AW113" s="2237" t="n">
        <f aca="false">AW11+AW45+AW79</f>
        <v>2660373.465</v>
      </c>
      <c r="AX113" s="100" t="n">
        <f aca="false">AW113/AU113</f>
        <v>2.53961478211064</v>
      </c>
      <c r="AY113" s="2302" t="n">
        <f aca="false">AW113/$AW$126</f>
        <v>0.0569597090384018</v>
      </c>
      <c r="AZ113" s="2275" t="n">
        <f aca="false">AZ11+AZ45+AZ79</f>
        <v>1383690</v>
      </c>
      <c r="BA113" s="2301" t="n">
        <f aca="false">AZ113/$AZ$126</f>
        <v>0.0130956731155538</v>
      </c>
      <c r="BB113" s="2237" t="n">
        <f aca="false">BB11+BB45+BB79</f>
        <v>4602612.25</v>
      </c>
      <c r="BC113" s="100" t="n">
        <f aca="false">BB113/AZ113</f>
        <v>3.32633194573929</v>
      </c>
      <c r="BD113" s="2302" t="n">
        <f aca="false">BB113/$BB$126</f>
        <v>0.0547709380864799</v>
      </c>
      <c r="BE113" s="2275" t="n">
        <f aca="false">BE11+BE45+BE79</f>
        <v>1263740</v>
      </c>
      <c r="BF113" s="2301" t="n">
        <f aca="false">BE113/$BE$126</f>
        <v>0.0056920542962873</v>
      </c>
      <c r="BG113" s="2237" t="n">
        <f aca="false">BG11+BG45+BG79</f>
        <v>4810073.8855</v>
      </c>
      <c r="BH113" s="100" t="n">
        <f aca="false">BG113/BE113</f>
        <v>3.80622112578537</v>
      </c>
      <c r="BI113" s="2302" t="n">
        <f aca="false">BG113/$BG$126</f>
        <v>0.068559224291433</v>
      </c>
    </row>
    <row r="114" customFormat="false" ht="14.25" hidden="false" customHeight="false" outlineLevel="0" collapsed="false">
      <c r="A114" s="2300" t="s">
        <v>12</v>
      </c>
      <c r="B114" s="2275" t="n">
        <f aca="false">B12+B46+B80</f>
        <v>3087230</v>
      </c>
      <c r="C114" s="2301" t="n">
        <f aca="false">B114/$B$126</f>
        <v>0.0380061216805372</v>
      </c>
      <c r="D114" s="2237" t="n">
        <f aca="false">D12+D46+D80</f>
        <v>895663.85</v>
      </c>
      <c r="E114" s="100" t="n">
        <f aca="false">D114/B114</f>
        <v>0.290118925379709</v>
      </c>
      <c r="F114" s="2302" t="n">
        <f aca="false">D114/$D$126</f>
        <v>0.0709285615652695</v>
      </c>
      <c r="G114" s="2275" t="n">
        <f aca="false">G12+G46+G80</f>
        <v>2299060</v>
      </c>
      <c r="H114" s="2301" t="n">
        <f aca="false">G114/$G$126</f>
        <v>0.0287787256464075</v>
      </c>
      <c r="I114" s="2237" t="n">
        <f aca="false">I12+I46+I80</f>
        <v>1005233</v>
      </c>
      <c r="J114" s="100" t="n">
        <f aca="false">I114/G114</f>
        <v>0.437236522752777</v>
      </c>
      <c r="K114" s="2302" t="n">
        <f aca="false">I114/$I$126</f>
        <v>0.0859058353742207</v>
      </c>
      <c r="L114" s="2275" t="n">
        <f aca="false">L12+L46+L80</f>
        <v>2568005.76</v>
      </c>
      <c r="M114" s="2301" t="n">
        <f aca="false">L114/$L$126</f>
        <v>0.0232063368215482</v>
      </c>
      <c r="N114" s="2237" t="n">
        <f aca="false">N12+N46+N80</f>
        <v>1055841.54</v>
      </c>
      <c r="O114" s="100" t="n">
        <f aca="false">N114/L114</f>
        <v>0.411152325452728</v>
      </c>
      <c r="P114" s="2303" t="n">
        <f aca="false">N114/$N$126</f>
        <v>0.0600563739254414</v>
      </c>
      <c r="Q114" s="2275" t="n">
        <f aca="false">Q12+Q46+Q80</f>
        <v>2649310</v>
      </c>
      <c r="R114" s="2301" t="n">
        <f aca="false">Q114/$Q$126</f>
        <v>0.0215206829226885</v>
      </c>
      <c r="S114" s="2237" t="n">
        <f aca="false">S12+S46+S80</f>
        <v>1172054.6</v>
      </c>
      <c r="T114" s="100" t="n">
        <f aca="false">S114/Q114</f>
        <v>0.442399945646225</v>
      </c>
      <c r="U114" s="2303" t="n">
        <f aca="false">S114/$S$126</f>
        <v>0.068912718341621</v>
      </c>
      <c r="V114" s="2275" t="n">
        <f aca="false">V12+V46+V80</f>
        <v>2127000</v>
      </c>
      <c r="W114" s="2301" t="n">
        <f aca="false">V114/$V$126</f>
        <v>0.0207395728762484</v>
      </c>
      <c r="X114" s="2237" t="n">
        <f aca="false">X12+X46+X80</f>
        <v>660839.3</v>
      </c>
      <c r="Y114" s="100" t="n">
        <f aca="false">X114/V114</f>
        <v>0.310690785143395</v>
      </c>
      <c r="Z114" s="2309" t="n">
        <f aca="false">X114/$X$126</f>
        <v>0.0426782766822989</v>
      </c>
      <c r="AA114" s="2275" t="n">
        <f aca="false">AA12+AA46+AA80</f>
        <v>2014186</v>
      </c>
      <c r="AB114" s="2301" t="n">
        <f aca="false">AA114/$AA$126</f>
        <v>0.0333668548996185</v>
      </c>
      <c r="AC114" s="2237" t="n">
        <f aca="false">AC12+AC46+AC80</f>
        <v>777699</v>
      </c>
      <c r="AD114" s="100" t="n">
        <f aca="false">AC114/AA114</f>
        <v>0.386110815982238</v>
      </c>
      <c r="AE114" s="2309" t="n">
        <f aca="false">AC114/$AC$126</f>
        <v>0.0363418981990467</v>
      </c>
      <c r="AF114" s="2275" t="n">
        <f aca="false">AF12+AF46+AF80</f>
        <v>2224867</v>
      </c>
      <c r="AG114" s="2301" t="n">
        <f aca="false">AF114/$AF$126</f>
        <v>0.0305463149779047</v>
      </c>
      <c r="AH114" s="2237" t="n">
        <f aca="false">AH12+AH46+AH80</f>
        <v>854386</v>
      </c>
      <c r="AI114" s="100" t="n">
        <f aca="false">AH114/AF114</f>
        <v>0.384016662569043</v>
      </c>
      <c r="AJ114" s="2309" t="n">
        <f aca="false">AH114/$AH$126</f>
        <v>0.0495684220446209</v>
      </c>
      <c r="AK114" s="2275" t="n">
        <f aca="false">AK12+AK46+AK80</f>
        <v>1489191.05729</v>
      </c>
      <c r="AL114" s="2301" t="n">
        <f aca="false">AK114/$AK$126</f>
        <v>0.015749925760618</v>
      </c>
      <c r="AM114" s="2237" t="n">
        <f aca="false">AM12+AM46+AM80</f>
        <v>904729.9</v>
      </c>
      <c r="AN114" s="100" t="n">
        <f aca="false">AM114/AK114</f>
        <v>0.607531112660863</v>
      </c>
      <c r="AO114" s="2301" t="n">
        <f aca="false">AM114/$AM$126</f>
        <v>0.0595878844079324</v>
      </c>
      <c r="AP114" s="2275" t="n">
        <f aca="false">AP12+AP46+AP80</f>
        <v>1778243.1</v>
      </c>
      <c r="AQ114" s="2301" t="n">
        <f aca="false">AP114/$AP$126</f>
        <v>0.0145798507373861</v>
      </c>
      <c r="AR114" s="2237" t="n">
        <f aca="false">AR12+AR46+AR80</f>
        <v>1517240.56</v>
      </c>
      <c r="AS114" s="100" t="n">
        <f aca="false">AR114/AP114</f>
        <v>0.853224488822704</v>
      </c>
      <c r="AT114" s="2309" t="n">
        <f aca="false">AR114/$AR$126</f>
        <v>0.053338269309223</v>
      </c>
      <c r="AU114" s="2275" t="n">
        <f aca="false">AU12+AU46+AU80</f>
        <v>1471980</v>
      </c>
      <c r="AV114" s="2301" t="n">
        <f aca="false">AU114/$AU$126</f>
        <v>0.0117476545765263</v>
      </c>
      <c r="AW114" s="2237" t="n">
        <f aca="false">AW12+AW46+AW80</f>
        <v>1604386.99</v>
      </c>
      <c r="AX114" s="100" t="n">
        <f aca="false">AW114/AU114</f>
        <v>1.08995162298401</v>
      </c>
      <c r="AY114" s="2302" t="n">
        <f aca="false">AW114/$AW$126</f>
        <v>0.0343505967630741</v>
      </c>
      <c r="AZ114" s="2275" t="n">
        <f aca="false">AZ12+AZ46+AZ80</f>
        <v>2887330</v>
      </c>
      <c r="BA114" s="2301" t="n">
        <f aca="false">AZ114/$AZ$126</f>
        <v>0.0273265903899949</v>
      </c>
      <c r="BB114" s="2237" t="n">
        <f aca="false">BB12+BB46+BB80</f>
        <v>4595729.23</v>
      </c>
      <c r="BC114" s="100" t="n">
        <f aca="false">BB114/AZ114</f>
        <v>1.59168824831245</v>
      </c>
      <c r="BD114" s="2302" t="n">
        <f aca="false">BB114/$BB$126</f>
        <v>0.0546890303693421</v>
      </c>
      <c r="BE114" s="2275" t="n">
        <f aca="false">BE12+BE46+BE80</f>
        <v>874865.7</v>
      </c>
      <c r="BF114" s="2301" t="n">
        <f aca="false">BE114/$BE$126</f>
        <v>0.00394051234143051</v>
      </c>
      <c r="BG114" s="2237" t="n">
        <f aca="false">BG12+BG46+BG80</f>
        <v>2384772.2</v>
      </c>
      <c r="BH114" s="100" t="n">
        <f aca="false">BG114/BE114</f>
        <v>2.72587232531805</v>
      </c>
      <c r="BI114" s="2302" t="n">
        <f aca="false">BG114/$BG$126</f>
        <v>0.0339907735381447</v>
      </c>
    </row>
    <row r="115" customFormat="false" ht="14.25" hidden="false" customHeight="false" outlineLevel="0" collapsed="false">
      <c r="A115" s="2300" t="s">
        <v>13</v>
      </c>
      <c r="B115" s="2275" t="n">
        <f aca="false">B13+B47+B81</f>
        <v>2784582</v>
      </c>
      <c r="C115" s="2301" t="n">
        <f aca="false">B115/$B$126</f>
        <v>0.0342802973284898</v>
      </c>
      <c r="D115" s="2237" t="n">
        <f aca="false">D13+D47+D81</f>
        <v>609794.49</v>
      </c>
      <c r="E115" s="100" t="n">
        <f aca="false">D115/B115</f>
        <v>0.218989597002351</v>
      </c>
      <c r="F115" s="2302" t="n">
        <f aca="false">D115/$D$126</f>
        <v>0.048290266516983</v>
      </c>
      <c r="G115" s="2275" t="n">
        <f aca="false">G13+G47+G81</f>
        <v>5311662</v>
      </c>
      <c r="H115" s="2301" t="n">
        <f aca="false">G115/$G$126</f>
        <v>0.0664892884154604</v>
      </c>
      <c r="I115" s="2237" t="n">
        <f aca="false">I13+I47+I81</f>
        <v>1042086.7</v>
      </c>
      <c r="J115" s="100" t="n">
        <f aca="false">I115/G115</f>
        <v>0.196188443466471</v>
      </c>
      <c r="K115" s="2302" t="n">
        <f aca="false">I115/$I$126</f>
        <v>0.0890553020999758</v>
      </c>
      <c r="L115" s="2275" t="n">
        <f aca="false">L13+L47+L81</f>
        <v>7192802</v>
      </c>
      <c r="M115" s="2301" t="n">
        <f aca="false">L115/$L$126</f>
        <v>0.0649993035462293</v>
      </c>
      <c r="N115" s="2237" t="n">
        <f aca="false">N13+N47+N81</f>
        <v>1266333.68</v>
      </c>
      <c r="O115" s="100" t="n">
        <f aca="false">N115/L115</f>
        <v>0.176055684557979</v>
      </c>
      <c r="P115" s="2303" t="n">
        <f aca="false">N115/$N$126</f>
        <v>0.0720291882060828</v>
      </c>
      <c r="Q115" s="2275" t="n">
        <f aca="false">Q13+Q47+Q81</f>
        <v>5972950</v>
      </c>
      <c r="R115" s="2301" t="n">
        <f aca="false">Q115/$Q$126</f>
        <v>0.0485190344138935</v>
      </c>
      <c r="S115" s="2237" t="n">
        <f aca="false">S13+S47+S81</f>
        <v>1089846.25</v>
      </c>
      <c r="T115" s="100" t="n">
        <f aca="false">S115/Q115</f>
        <v>0.182463648615843</v>
      </c>
      <c r="U115" s="2303" t="n">
        <f aca="false">S115/$S$126</f>
        <v>0.0640791543857444</v>
      </c>
      <c r="V115" s="2275" t="n">
        <f aca="false">V13+V47+V81</f>
        <v>11396465</v>
      </c>
      <c r="W115" s="2301" t="n">
        <f aca="false">V115/$V$126</f>
        <v>0.111122621720317</v>
      </c>
      <c r="X115" s="2237" t="n">
        <f aca="false">X13+X47+X81</f>
        <v>2133000.6</v>
      </c>
      <c r="Y115" s="100" t="n">
        <f aca="false">X115/V115</f>
        <v>0.187163352846694</v>
      </c>
      <c r="Z115" s="2309" t="n">
        <f aca="false">X115/$X$126</f>
        <v>0.137753293077923</v>
      </c>
      <c r="AA115" s="2275" t="n">
        <f aca="false">AA13+AA47+AA81</f>
        <v>5535350.78</v>
      </c>
      <c r="AB115" s="2301" t="n">
        <f aca="false">AA115/$AA$126</f>
        <v>0.0916982077597353</v>
      </c>
      <c r="AC115" s="2237" t="n">
        <f aca="false">AC13+AC47+AC81</f>
        <v>2452540.85</v>
      </c>
      <c r="AD115" s="100" t="n">
        <f aca="false">AC115/AA115</f>
        <v>0.4430687317706</v>
      </c>
      <c r="AE115" s="2309" t="n">
        <f aca="false">AC115/$AC$126</f>
        <v>0.114607309382812</v>
      </c>
      <c r="AF115" s="2275" t="n">
        <f aca="false">AF13+AF47+AF81</f>
        <v>7253455.9999</v>
      </c>
      <c r="AG115" s="2301" t="n">
        <f aca="false">AF115/$AF$126</f>
        <v>0.0995863355658196</v>
      </c>
      <c r="AH115" s="2237" t="n">
        <f aca="false">AH13+AH47+AH81</f>
        <v>2413761.5</v>
      </c>
      <c r="AI115" s="100" t="n">
        <f aca="false">AH115/AF115</f>
        <v>0.332773990775332</v>
      </c>
      <c r="AJ115" s="2309" t="n">
        <f aca="false">AH115/$AH$126</f>
        <v>0.140037815164407</v>
      </c>
      <c r="AK115" s="2275" t="n">
        <f aca="false">AK13+AK47+AK81</f>
        <v>3082677</v>
      </c>
      <c r="AL115" s="2301" t="n">
        <f aca="false">AK115/$AK$126</f>
        <v>0.0326028911174892</v>
      </c>
      <c r="AM115" s="2237" t="n">
        <f aca="false">AM13+AM47+AM81</f>
        <v>679462.4</v>
      </c>
      <c r="AN115" s="100" t="n">
        <f aca="false">AM115/AK115</f>
        <v>0.220413101988953</v>
      </c>
      <c r="AO115" s="2301" t="n">
        <f aca="false">AM115/$AM$126</f>
        <v>0.0447511759595171</v>
      </c>
      <c r="AP115" s="2275" t="n">
        <f aca="false">AP13+AP47+AP81</f>
        <v>5108605</v>
      </c>
      <c r="AQ115" s="2301" t="n">
        <f aca="false">AP115/$AP$126</f>
        <v>0.0418855545545289</v>
      </c>
      <c r="AR115" s="2237" t="n">
        <f aca="false">AR13+AR47+AR81</f>
        <v>1287037.39</v>
      </c>
      <c r="AS115" s="100" t="n">
        <f aca="false">AR115/AP115</f>
        <v>0.251935193658543</v>
      </c>
      <c r="AT115" s="2309" t="n">
        <f aca="false">AR115/$AR$126</f>
        <v>0.0452455258109232</v>
      </c>
      <c r="AU115" s="2275" t="n">
        <f aca="false">AU13+AU47+AU81</f>
        <v>9519395</v>
      </c>
      <c r="AV115" s="2301" t="n">
        <f aca="false">AU115/$AU$126</f>
        <v>0.0759728829450885</v>
      </c>
      <c r="AW115" s="2237" t="n">
        <f aca="false">AW13+AW47+AW81</f>
        <v>4068582.7825</v>
      </c>
      <c r="AX115" s="100" t="n">
        <f aca="false">AW115/AU115</f>
        <v>0.427399302424156</v>
      </c>
      <c r="AY115" s="2302" t="n">
        <f aca="false">AW115/$AW$126</f>
        <v>0.0871100597486417</v>
      </c>
      <c r="AZ115" s="2275" t="n">
        <f aca="false">AZ13+AZ47+AZ81</f>
        <v>2921210</v>
      </c>
      <c r="BA115" s="2301" t="n">
        <f aca="false">AZ115/$AZ$126</f>
        <v>0.0276472412620508</v>
      </c>
      <c r="BB115" s="2237" t="n">
        <f aca="false">BB13+BB47+BB81</f>
        <v>3885551.22</v>
      </c>
      <c r="BC115" s="100" t="n">
        <f aca="false">BB115/AZ115</f>
        <v>1.3301170473879</v>
      </c>
      <c r="BD115" s="2302" t="n">
        <f aca="false">BB115/$BB$126</f>
        <v>0.0462379348385184</v>
      </c>
      <c r="BE115" s="2275" t="n">
        <f aca="false">BE13+BE47+BE81</f>
        <v>11835411.475</v>
      </c>
      <c r="BF115" s="2301" t="n">
        <f aca="false">BE115/$BE$126</f>
        <v>0.0533082791829029</v>
      </c>
      <c r="BG115" s="2237" t="n">
        <f aca="false">BG13+BG47+BG81</f>
        <v>5099205.85</v>
      </c>
      <c r="BH115" s="100" t="n">
        <f aca="false">BG115/BE115</f>
        <v>0.430843140584599</v>
      </c>
      <c r="BI115" s="2302" t="n">
        <f aca="false">BG115/$BG$126</f>
        <v>0.0726802967896608</v>
      </c>
    </row>
    <row r="116" customFormat="false" ht="14.25" hidden="false" customHeight="false" outlineLevel="0" collapsed="false">
      <c r="A116" s="2300" t="s">
        <v>14</v>
      </c>
      <c r="B116" s="2275" t="n">
        <f aca="false">B14+B48+B82</f>
        <v>6208991</v>
      </c>
      <c r="C116" s="2301" t="n">
        <f aca="false">B116/$B$126</f>
        <v>0.0764373459247806</v>
      </c>
      <c r="D116" s="2237" t="n">
        <f aca="false">D14+D48+D82</f>
        <v>1236573</v>
      </c>
      <c r="E116" s="100" t="n">
        <f aca="false">D116/B116</f>
        <v>0.199158446195203</v>
      </c>
      <c r="F116" s="2302" t="n">
        <f aca="false">D116/$D$126</f>
        <v>0.0979255154268535</v>
      </c>
      <c r="G116" s="2275" t="n">
        <f aca="false">G14+G48+G82</f>
        <v>1848375</v>
      </c>
      <c r="H116" s="2301" t="n">
        <f aca="false">G116/$G$126</f>
        <v>0.0231372287007205</v>
      </c>
      <c r="I116" s="2237" t="n">
        <f aca="false">I14+I48+I82</f>
        <v>361094.5</v>
      </c>
      <c r="J116" s="100" t="n">
        <f aca="false">I116/G116</f>
        <v>0.195357814296341</v>
      </c>
      <c r="K116" s="2302" t="n">
        <f aca="false">I116/$I$126</f>
        <v>0.0308586414010847</v>
      </c>
      <c r="L116" s="2275" t="n">
        <f aca="false">L14+L48+L82</f>
        <v>2068435.4</v>
      </c>
      <c r="M116" s="2301" t="n">
        <f aca="false">L116/$L$126</f>
        <v>0.0186918617293186</v>
      </c>
      <c r="N116" s="2237" t="n">
        <f aca="false">N14+N48+N82</f>
        <v>335908.64</v>
      </c>
      <c r="O116" s="100" t="n">
        <f aca="false">N116/L116</f>
        <v>0.162397452683318</v>
      </c>
      <c r="P116" s="2303" t="n">
        <f aca="false">N116/$N$126</f>
        <v>0.0191065175259409</v>
      </c>
      <c r="Q116" s="2275" t="n">
        <f aca="false">Q14+Q48+Q82</f>
        <v>1523725</v>
      </c>
      <c r="R116" s="2301" t="n">
        <f aca="false">Q116/$Q$126</f>
        <v>0.0123774124531948</v>
      </c>
      <c r="S116" s="2237" t="n">
        <f aca="false">S14+S48+S82</f>
        <v>278593.25</v>
      </c>
      <c r="T116" s="100" t="n">
        <f aca="false">S116/Q116</f>
        <v>0.182836962050239</v>
      </c>
      <c r="U116" s="2303" t="n">
        <f aca="false">S116/$S$126</f>
        <v>0.0163803104131214</v>
      </c>
      <c r="V116" s="2275" t="n">
        <f aca="false">V14+V48+V82</f>
        <v>589115</v>
      </c>
      <c r="W116" s="2301" t="n">
        <f aca="false">V116/$V$126</f>
        <v>0.00574423764691634</v>
      </c>
      <c r="X116" s="2237" t="n">
        <f aca="false">X14+X48+X82</f>
        <v>125794.9</v>
      </c>
      <c r="Y116" s="100" t="n">
        <f aca="false">X116/V116</f>
        <v>0.213531992904611</v>
      </c>
      <c r="Z116" s="2309" t="n">
        <f aca="false">X116/$X$126</f>
        <v>0.00812407728690185</v>
      </c>
      <c r="AA116" s="2275" t="n">
        <f aca="false">AA14+AA48+AA82</f>
        <v>9600</v>
      </c>
      <c r="AB116" s="2301" t="n">
        <f aca="false">AA116/$AA$126</f>
        <v>0.000159032883277084</v>
      </c>
      <c r="AC116" s="2237" t="n">
        <f aca="false">AC14+AC48+AC82</f>
        <v>5925</v>
      </c>
      <c r="AD116" s="100" t="n">
        <f aca="false">AC116/AA116</f>
        <v>0.6171875</v>
      </c>
      <c r="AE116" s="2309" t="n">
        <f aca="false">AC116/$AC$126</f>
        <v>0.000276875432306524</v>
      </c>
      <c r="AF116" s="2275" t="n">
        <f aca="false">AF14+AF48+AF82</f>
        <v>245200.61012</v>
      </c>
      <c r="AG116" s="2301" t="n">
        <f aca="false">AF116/$AF$126</f>
        <v>0.00336648216252924</v>
      </c>
      <c r="AH116" s="2237" t="n">
        <f aca="false">AH14+AH48+AH82</f>
        <v>56890</v>
      </c>
      <c r="AI116" s="100" t="n">
        <f aca="false">AH116/AF116</f>
        <v>0.232014104582196</v>
      </c>
      <c r="AJ116" s="2309" t="n">
        <f aca="false">AH116/$AH$126</f>
        <v>0.00330055446849373</v>
      </c>
      <c r="AK116" s="2275" t="n">
        <f aca="false">AK14+AK48+AK82</f>
        <v>40000</v>
      </c>
      <c r="AL116" s="2301" t="n">
        <f aca="false">AK116/$AK$126</f>
        <v>0.000423046477039134</v>
      </c>
      <c r="AM116" s="2237" t="n">
        <f aca="false">AM14+AM48+AM82</f>
        <v>7200</v>
      </c>
      <c r="AN116" s="100" t="n">
        <f aca="false">AM116/AK116</f>
        <v>0.18</v>
      </c>
      <c r="AO116" s="2301" t="n">
        <f aca="false">AM116/$AM$126</f>
        <v>0.000474210886295582</v>
      </c>
      <c r="AP116" s="2275" t="n">
        <f aca="false">AP14+AP48+AP82</f>
        <v>0</v>
      </c>
      <c r="AQ116" s="2301" t="n">
        <f aca="false">AP116/$AP$126</f>
        <v>0</v>
      </c>
      <c r="AR116" s="2237" t="n">
        <f aca="false">AR14+AR48+AR82</f>
        <v>0</v>
      </c>
      <c r="AS116" s="100" t="n">
        <v>0</v>
      </c>
      <c r="AT116" s="2309" t="n">
        <f aca="false">AR116/$AR$126</f>
        <v>0</v>
      </c>
      <c r="AU116" s="2275" t="n">
        <f aca="false">AU14+AU48+AU82</f>
        <v>15960</v>
      </c>
      <c r="AV116" s="2301" t="n">
        <f aca="false">AU116/$AU$126</f>
        <v>0.000127374398457424</v>
      </c>
      <c r="AW116" s="2237" t="n">
        <f aca="false">AW14+AW48+AW82</f>
        <v>16651.8</v>
      </c>
      <c r="AX116" s="100" t="n">
        <f aca="false">AW116/AU116</f>
        <v>1.04334586466165</v>
      </c>
      <c r="AY116" s="2302" t="n">
        <f aca="false">AW116/$AW$126</f>
        <v>0.00035652200544169</v>
      </c>
      <c r="AZ116" s="2275" t="n">
        <f aca="false">AZ14+AZ48+AZ82</f>
        <v>46980</v>
      </c>
      <c r="BA116" s="2301" t="n">
        <f aca="false">AZ116/$AZ$126</f>
        <v>0.000444633352101063</v>
      </c>
      <c r="BB116" s="2237" t="n">
        <f aca="false">BB14+BB48+BB82</f>
        <v>74151</v>
      </c>
      <c r="BC116" s="100" t="n">
        <f aca="false">BB116/AZ116</f>
        <v>1.57835249042146</v>
      </c>
      <c r="BD116" s="2302" t="n">
        <f aca="false">BB116/$BB$126</f>
        <v>0.000882394520644353</v>
      </c>
      <c r="BE116" s="2275" t="n">
        <f aca="false">BE14+BE48+BE82</f>
        <v>0</v>
      </c>
      <c r="BF116" s="2301" t="n">
        <f aca="false">BE116/$BE$126</f>
        <v>0</v>
      </c>
      <c r="BG116" s="2237" t="n">
        <f aca="false">BG14+BG48+BG82</f>
        <v>0</v>
      </c>
      <c r="BH116" s="100" t="e">
        <f aca="false">BG116/BE116</f>
        <v>#DIV/0!</v>
      </c>
      <c r="BI116" s="2302" t="n">
        <f aca="false">BG116/$BG$126</f>
        <v>0</v>
      </c>
    </row>
    <row r="117" customFormat="false" ht="14.25" hidden="false" customHeight="false" outlineLevel="0" collapsed="false">
      <c r="A117" s="2300" t="s">
        <v>15</v>
      </c>
      <c r="B117" s="2275" t="n">
        <f aca="false">B15+B49+B83</f>
        <v>762600</v>
      </c>
      <c r="C117" s="2301" t="n">
        <f aca="false">B117/$B$126</f>
        <v>0.00938817917472222</v>
      </c>
      <c r="D117" s="2237" t="n">
        <f aca="false">D15+D49+D83</f>
        <v>360792.2</v>
      </c>
      <c r="E117" s="100" t="n">
        <f aca="false">D117/B117</f>
        <v>0.473108051403095</v>
      </c>
      <c r="F117" s="2302" t="n">
        <f aca="false">D117/$D$126</f>
        <v>0.0285715134868612</v>
      </c>
      <c r="G117" s="2275" t="n">
        <f aca="false">G15+G49+G83</f>
        <v>279200</v>
      </c>
      <c r="H117" s="2301" t="n">
        <f aca="false">G117/$G$126</f>
        <v>0.00349491540041451</v>
      </c>
      <c r="I117" s="2237" t="n">
        <f aca="false">I15+I49+I83</f>
        <v>151804</v>
      </c>
      <c r="J117" s="100" t="n">
        <f aca="false">I117/G117</f>
        <v>0.543710601719198</v>
      </c>
      <c r="K117" s="2302" t="n">
        <f aca="false">I117/$I$126</f>
        <v>0.012972961923403</v>
      </c>
      <c r="L117" s="2275" t="n">
        <f aca="false">L15+L49+L83</f>
        <v>1577600</v>
      </c>
      <c r="M117" s="2301" t="n">
        <f aca="false">L117/$L$126</f>
        <v>0.0142563219833566</v>
      </c>
      <c r="N117" s="2237" t="n">
        <f aca="false">N15+N49+N83</f>
        <v>508627.45</v>
      </c>
      <c r="O117" s="100" t="n">
        <f aca="false">N117/L117</f>
        <v>0.322405837981744</v>
      </c>
      <c r="P117" s="2303" t="n">
        <f aca="false">N117/$N$126</f>
        <v>0.0289307809635372</v>
      </c>
      <c r="Q117" s="2275" t="n">
        <f aca="false">Q15+Q49+Q83</f>
        <v>1701250</v>
      </c>
      <c r="R117" s="2301" t="n">
        <f aca="false">Q117/$Q$126</f>
        <v>0.0138194706630118</v>
      </c>
      <c r="S117" s="2237" t="n">
        <f aca="false">S15+S49+S83</f>
        <v>462133.12</v>
      </c>
      <c r="T117" s="100" t="n">
        <f aca="false">S117/Q117</f>
        <v>0.271643274063189</v>
      </c>
      <c r="U117" s="2303" t="n">
        <f aca="false">S117/$S$126</f>
        <v>0.0271718139537992</v>
      </c>
      <c r="V117" s="2275" t="n">
        <f aca="false">V15+V49+V83</f>
        <v>1778600</v>
      </c>
      <c r="W117" s="2301" t="n">
        <f aca="false">V117/$V$126</f>
        <v>0.0173424561907359</v>
      </c>
      <c r="X117" s="2237" t="n">
        <f aca="false">X15+X49+X83</f>
        <v>516249.9</v>
      </c>
      <c r="Y117" s="100" t="n">
        <f aca="false">X117/V117</f>
        <v>0.290256325199595</v>
      </c>
      <c r="Z117" s="2309" t="n">
        <f aca="false">X117/$X$126</f>
        <v>0.0333404143328176</v>
      </c>
      <c r="AA117" s="2275" t="n">
        <f aca="false">AA15+AA49+AA83</f>
        <v>292428</v>
      </c>
      <c r="AB117" s="2301" t="n">
        <f aca="false">AA117/$AA$126</f>
        <v>0.00484434041572409</v>
      </c>
      <c r="AC117" s="2237" t="n">
        <f aca="false">AC15+AC49+AC83</f>
        <v>195618</v>
      </c>
      <c r="AD117" s="100" t="n">
        <f aca="false">AC117/AA117</f>
        <v>0.668944150354959</v>
      </c>
      <c r="AE117" s="2309" t="n">
        <f aca="false">AC117/$AC$126</f>
        <v>0.00914123515897682</v>
      </c>
      <c r="AF117" s="2275" t="n">
        <f aca="false">AF15+AF49+AF83</f>
        <v>135031</v>
      </c>
      <c r="AG117" s="2301" t="n">
        <f aca="false">AF117/$AF$126</f>
        <v>0.00185390832700627</v>
      </c>
      <c r="AH117" s="2237" t="n">
        <f aca="false">AH15+AH49+AH83</f>
        <v>102716</v>
      </c>
      <c r="AI117" s="100" t="n">
        <f aca="false">AH117/AF117</f>
        <v>0.760684583540076</v>
      </c>
      <c r="AJ117" s="2309" t="n">
        <f aca="false">AH117/$AH$126</f>
        <v>0.00595921520101602</v>
      </c>
      <c r="AK117" s="2275" t="n">
        <f aca="false">AK15+AK49+AK83</f>
        <v>593570</v>
      </c>
      <c r="AL117" s="2301" t="n">
        <f aca="false">AK117/$AK$126</f>
        <v>0.00627769243440297</v>
      </c>
      <c r="AM117" s="2237" t="n">
        <f aca="false">AM15+AM49+AM83</f>
        <v>182374.8</v>
      </c>
      <c r="AN117" s="100" t="n">
        <f aca="false">AM117/AK117</f>
        <v>0.307250703371127</v>
      </c>
      <c r="AO117" s="2301" t="n">
        <f aca="false">AM117/$AM$126</f>
        <v>0.0120116827147194</v>
      </c>
      <c r="AP117" s="2275" t="n">
        <f aca="false">AP15+AP49+AP83</f>
        <v>1389940</v>
      </c>
      <c r="AQ117" s="2301" t="n">
        <f aca="false">AP117/$AP$126</f>
        <v>0.0113961458553797</v>
      </c>
      <c r="AR117" s="2237" t="n">
        <f aca="false">AR15+AR49+AR83</f>
        <v>390042.8</v>
      </c>
      <c r="AS117" s="100" t="n">
        <f aca="false">AR117/AP117</f>
        <v>0.28061844396161</v>
      </c>
      <c r="AT117" s="2309" t="n">
        <f aca="false">AR117/$AR$126</f>
        <v>0.0137118717077557</v>
      </c>
      <c r="AU117" s="2275" t="n">
        <f aca="false">AU15+AU49+AU83</f>
        <v>489970</v>
      </c>
      <c r="AV117" s="2301" t="n">
        <f aca="false">AU117/$AU$126</f>
        <v>0.00391037807093886</v>
      </c>
      <c r="AW117" s="2237" t="n">
        <f aca="false">AW15+AW49+AW83</f>
        <v>364415.94</v>
      </c>
      <c r="AX117" s="100" t="n">
        <f aca="false">AW117/AU117</f>
        <v>0.743751535808315</v>
      </c>
      <c r="AY117" s="2302" t="n">
        <f aca="false">AW117/$AW$126</f>
        <v>0.00780229775421988</v>
      </c>
      <c r="AZ117" s="2275" t="n">
        <f aca="false">AZ15+AZ49+AZ83</f>
        <v>1538485</v>
      </c>
      <c r="BA117" s="2301" t="n">
        <f aca="false">AZ117/$AZ$126</f>
        <v>0.0145607012070499</v>
      </c>
      <c r="BB117" s="2237" t="n">
        <f aca="false">BB15+BB49+BB83</f>
        <v>2832220.82</v>
      </c>
      <c r="BC117" s="100" t="n">
        <f aca="false">BB117/AZ117</f>
        <v>1.84091545903925</v>
      </c>
      <c r="BD117" s="2302" t="n">
        <f aca="false">BB117/$BB$126</f>
        <v>0.033703336877761</v>
      </c>
      <c r="BE117" s="2275" t="n">
        <f aca="false">BE15+BE49+BE83</f>
        <v>5134894.125</v>
      </c>
      <c r="BF117" s="2301" t="n">
        <f aca="false">BE117/$BE$126</f>
        <v>0.0231282511950137</v>
      </c>
      <c r="BG117" s="2237" t="n">
        <f aca="false">BG15+BG49+BG83</f>
        <v>3067489.02</v>
      </c>
      <c r="BH117" s="100" t="n">
        <f aca="false">BG117/BE117</f>
        <v>0.597381162167584</v>
      </c>
      <c r="BI117" s="2302" t="n">
        <f aca="false">BG117/$BG$126</f>
        <v>0.0437217125432632</v>
      </c>
    </row>
    <row r="118" customFormat="false" ht="14.25" hidden="false" customHeight="false" outlineLevel="0" collapsed="false">
      <c r="A118" s="2300" t="s">
        <v>16</v>
      </c>
      <c r="B118" s="2275" t="n">
        <f aca="false">B16+B50+B84</f>
        <v>271060</v>
      </c>
      <c r="C118" s="2301" t="n">
        <f aca="false">B118/$B$126</f>
        <v>0.0033369523303176</v>
      </c>
      <c r="D118" s="2237" t="n">
        <f aca="false">D16+D50+D84</f>
        <v>111318.7</v>
      </c>
      <c r="E118" s="100" t="n">
        <f aca="false">D118/B118</f>
        <v>0.410679185420202</v>
      </c>
      <c r="F118" s="2302" t="n">
        <f aca="false">D118/$D$126</f>
        <v>0.00881544484162866</v>
      </c>
      <c r="G118" s="2275" t="n">
        <f aca="false">G16+G50+G84</f>
        <v>315600</v>
      </c>
      <c r="H118" s="2301" t="n">
        <f aca="false">G118/$G$126</f>
        <v>0.00395055623341984</v>
      </c>
      <c r="I118" s="2237" t="n">
        <f aca="false">I16+I50+I84</f>
        <v>104911.1</v>
      </c>
      <c r="J118" s="100" t="n">
        <f aca="false">I118/G118</f>
        <v>0.33241793409379</v>
      </c>
      <c r="K118" s="2302" t="n">
        <f aca="false">I118/$I$126</f>
        <v>0.00896555891572244</v>
      </c>
      <c r="L118" s="2275" t="n">
        <f aca="false">L16+L50+L84</f>
        <v>314000</v>
      </c>
      <c r="M118" s="2301" t="n">
        <f aca="false">L118/$L$126</f>
        <v>0.00283752858948655</v>
      </c>
      <c r="N118" s="2237" t="n">
        <f aca="false">N16+N50+N84</f>
        <v>79392.5</v>
      </c>
      <c r="O118" s="100" t="n">
        <f aca="false">N118/L118</f>
        <v>0.252842356687898</v>
      </c>
      <c r="P118" s="2303" t="n">
        <f aca="false">N118/$N$126</f>
        <v>0.00451585345550584</v>
      </c>
      <c r="Q118" s="2275" t="n">
        <f aca="false">Q16+Q50+Q84</f>
        <v>549050</v>
      </c>
      <c r="R118" s="2301" t="n">
        <f aca="false">Q118/$Q$126</f>
        <v>0.00446000315504872</v>
      </c>
      <c r="S118" s="2237" t="n">
        <f aca="false">S16+S50+S84</f>
        <v>148059.5</v>
      </c>
      <c r="T118" s="100" t="n">
        <f aca="false">S118/Q118</f>
        <v>0.269664875694381</v>
      </c>
      <c r="U118" s="2303" t="n">
        <f aca="false">S118/$S$126</f>
        <v>0.00870538166165743</v>
      </c>
      <c r="V118" s="2275" t="n">
        <f aca="false">V16+V50+V84</f>
        <v>382400</v>
      </c>
      <c r="W118" s="2301" t="n">
        <f aca="false">V118/$V$126</f>
        <v>0.00372863783163017</v>
      </c>
      <c r="X118" s="2237" t="n">
        <f aca="false">X16+X50+X84</f>
        <v>93177</v>
      </c>
      <c r="Y118" s="100" t="n">
        <f aca="false">X118/V118</f>
        <v>0.24366370292887</v>
      </c>
      <c r="Z118" s="2309" t="n">
        <f aca="false">X118/$X$126</f>
        <v>0.00601755038846292</v>
      </c>
      <c r="AA118" s="2275" t="n">
        <f aca="false">AA16+AA50+AA84</f>
        <v>158545.6</v>
      </c>
      <c r="AB118" s="2301" t="n">
        <f aca="false">AA118/$AA$126</f>
        <v>0.0026264545728016</v>
      </c>
      <c r="AC118" s="2237" t="n">
        <f aca="false">AC16+AC50+AC84</f>
        <v>40000</v>
      </c>
      <c r="AD118" s="100" t="n">
        <f aca="false">AC118/AA118</f>
        <v>0.252293346519866</v>
      </c>
      <c r="AE118" s="2309" t="n">
        <f aca="false">AC118/$AC$126</f>
        <v>0.00186920123076134</v>
      </c>
      <c r="AF118" s="2275" t="n">
        <f aca="false">AF16+AF50+AF84</f>
        <v>28109</v>
      </c>
      <c r="AG118" s="2301" t="n">
        <f aca="false">AF118/$AF$126</f>
        <v>0.000385922559736795</v>
      </c>
      <c r="AH118" s="2237" t="n">
        <f aca="false">AH16+AH50+AH84</f>
        <v>7725</v>
      </c>
      <c r="AI118" s="100" t="n">
        <f aca="false">AH118/AF118</f>
        <v>0.274823010423708</v>
      </c>
      <c r="AJ118" s="2309" t="n">
        <f aca="false">AH118/$AH$126</f>
        <v>0.000448176889947513</v>
      </c>
      <c r="AK118" s="2275" t="n">
        <f aca="false">AK16+AK50+AK84</f>
        <v>110500</v>
      </c>
      <c r="AL118" s="2301" t="n">
        <f aca="false">AK118/$AK$126</f>
        <v>0.00116866589282061</v>
      </c>
      <c r="AM118" s="2237" t="n">
        <f aca="false">AM16+AM50+AM84</f>
        <v>49050</v>
      </c>
      <c r="AN118" s="100" t="n">
        <f aca="false">AM118/AK118</f>
        <v>0.443891402714932</v>
      </c>
      <c r="AO118" s="2301" t="n">
        <f aca="false">AM118/$AM$126</f>
        <v>0.00323056166288865</v>
      </c>
      <c r="AP118" s="2275" t="n">
        <f aca="false">AP16+AP50+AP84</f>
        <v>310840</v>
      </c>
      <c r="AQ118" s="2301" t="n">
        <f aca="false">AP118/$AP$126</f>
        <v>0.00254858337603509</v>
      </c>
      <c r="AR118" s="2237" t="n">
        <f aca="false">AR16+AR50+AR84</f>
        <v>137781.8</v>
      </c>
      <c r="AS118" s="100" t="n">
        <f aca="false">AR118/AP118</f>
        <v>0.44325633766568</v>
      </c>
      <c r="AT118" s="2309" t="n">
        <f aca="false">AR118/$AR$126</f>
        <v>0.00484368988547835</v>
      </c>
      <c r="AU118" s="2275" t="n">
        <f aca="false">AU16+AU50+AU84</f>
        <v>245100</v>
      </c>
      <c r="AV118" s="2301" t="n">
        <f aca="false">AU118/$AU$126</f>
        <v>0.0019561068334533</v>
      </c>
      <c r="AW118" s="2237" t="n">
        <f aca="false">AW16+AW50+AW84</f>
        <v>125598.078</v>
      </c>
      <c r="AX118" s="100" t="n">
        <f aca="false">AW118/AU118</f>
        <v>0.51243605875153</v>
      </c>
      <c r="AY118" s="2302" t="n">
        <f aca="false">AW118/$AW$126</f>
        <v>0.00268910740269411</v>
      </c>
      <c r="AZ118" s="2275" t="n">
        <f aca="false">AZ16+AZ50+AZ84</f>
        <v>101250</v>
      </c>
      <c r="BA118" s="2301" t="n">
        <f aca="false">AZ118/$AZ$126</f>
        <v>0.000958261534700567</v>
      </c>
      <c r="BB118" s="2237" t="n">
        <f aca="false">BB16+BB50+BB84</f>
        <v>176934.35</v>
      </c>
      <c r="BC118" s="100" t="n">
        <f aca="false">BB118/AZ118</f>
        <v>1.74749975308642</v>
      </c>
      <c r="BD118" s="2302" t="n">
        <f aca="false">BB118/$BB$126</f>
        <v>0.00210551308753449</v>
      </c>
      <c r="BE118" s="2275" t="n">
        <f aca="false">BE16+BE50+BE84</f>
        <v>468135</v>
      </c>
      <c r="BF118" s="2301" t="n">
        <f aca="false">BE118/$BE$126</f>
        <v>0.00210854276828497</v>
      </c>
      <c r="BG118" s="2237" t="n">
        <f aca="false">BG16+BG50+BG84</f>
        <v>382204.72</v>
      </c>
      <c r="BH118" s="100" t="n">
        <f aca="false">BG118/BE118</f>
        <v>0.816441240240529</v>
      </c>
      <c r="BI118" s="2302" t="n">
        <f aca="false">BG118/$BG$126</f>
        <v>0.00544766249905546</v>
      </c>
    </row>
    <row r="119" customFormat="false" ht="14.25" hidden="false" customHeight="false" outlineLevel="0" collapsed="false">
      <c r="A119" s="2300" t="s">
        <v>17</v>
      </c>
      <c r="B119" s="2275" t="n">
        <v>0</v>
      </c>
      <c r="C119" s="2301" t="n">
        <f aca="false">B119/$B$126</f>
        <v>0</v>
      </c>
      <c r="D119" s="2237" t="n">
        <v>0</v>
      </c>
      <c r="E119" s="100" t="n">
        <v>0</v>
      </c>
      <c r="F119" s="2302" t="n">
        <f aca="false">D119/$D$126</f>
        <v>0</v>
      </c>
      <c r="G119" s="2275" t="n">
        <v>0</v>
      </c>
      <c r="H119" s="2301" t="n">
        <f aca="false">G119/$G$126</f>
        <v>0</v>
      </c>
      <c r="I119" s="2237" t="n">
        <v>0</v>
      </c>
      <c r="J119" s="100" t="n">
        <v>0</v>
      </c>
      <c r="K119" s="2302" t="n">
        <f aca="false">I119/$I$126</f>
        <v>0</v>
      </c>
      <c r="L119" s="2275" t="n">
        <f aca="false">L17+L51+L85</f>
        <v>27090</v>
      </c>
      <c r="M119" s="2301" t="n">
        <f aca="false">L119/$L$126</f>
        <v>0.000244804616207613</v>
      </c>
      <c r="N119" s="2237" t="n">
        <f aca="false">N17+N51+N85</f>
        <v>10500</v>
      </c>
      <c r="O119" s="100" t="n">
        <f aca="false">N119/L119</f>
        <v>0.387596899224806</v>
      </c>
      <c r="P119" s="2303" t="n">
        <f aca="false">N119/$N$126</f>
        <v>0.000597241065375335</v>
      </c>
      <c r="Q119" s="2275" t="n">
        <f aca="false">Q17+Q51+Q85</f>
        <v>914550</v>
      </c>
      <c r="R119" s="2301" t="n">
        <f aca="false">Q119/$Q$126</f>
        <v>0.00742900625708005</v>
      </c>
      <c r="S119" s="2237" t="n">
        <f aca="false">S17+S51+S85</f>
        <v>209060.15</v>
      </c>
      <c r="T119" s="100" t="n">
        <f aca="false">S119/Q119</f>
        <v>0.228593461265103</v>
      </c>
      <c r="U119" s="2303" t="n">
        <f aca="false">S119/$S$126</f>
        <v>0.0122920069025855</v>
      </c>
      <c r="V119" s="2275" t="n">
        <f aca="false">V17+V51+V85</f>
        <v>2469390</v>
      </c>
      <c r="W119" s="2301" t="n">
        <f aca="false">V119/$V$126</f>
        <v>0.0240780883238735</v>
      </c>
      <c r="X119" s="2237" t="n">
        <f aca="false">X17+X51+X85</f>
        <v>727960.65</v>
      </c>
      <c r="Y119" s="100" t="n">
        <f aca="false">X119/V119</f>
        <v>0.294793714237119</v>
      </c>
      <c r="Z119" s="2309" t="n">
        <f aca="false">X119/$X$126</f>
        <v>0.0470131029352009</v>
      </c>
      <c r="AA119" s="2275" t="n">
        <f aca="false">AA17+AA51+AA85</f>
        <v>560144</v>
      </c>
      <c r="AB119" s="2301" t="n">
        <f aca="false">AA119/$AA$126</f>
        <v>0.00927930368441242</v>
      </c>
      <c r="AC119" s="2237" t="n">
        <f aca="false">AC17+AC51+AC85</f>
        <v>388921</v>
      </c>
      <c r="AD119" s="100" t="n">
        <f aca="false">AC119/AA119</f>
        <v>0.69432324545117</v>
      </c>
      <c r="AE119" s="2309" t="n">
        <f aca="false">AC119/$AC$126</f>
        <v>0.0181742902967233</v>
      </c>
      <c r="AF119" s="2275" t="n">
        <f aca="false">AF17+AF51+AF85</f>
        <v>2505369.99935</v>
      </c>
      <c r="AG119" s="2301" t="n">
        <f aca="false">AF119/$AF$126</f>
        <v>0.0343974813489247</v>
      </c>
      <c r="AH119" s="2237" t="n">
        <f aca="false">AH17+AH51+AH85</f>
        <v>896973.82</v>
      </c>
      <c r="AI119" s="100" t="n">
        <f aca="false">AH119/AF119</f>
        <v>0.358020500058959</v>
      </c>
      <c r="AJ119" s="2309" t="n">
        <f aca="false">AH119/$AH$126</f>
        <v>0.0520392151471768</v>
      </c>
      <c r="AK119" s="2275" t="n">
        <f aca="false">AK17+AK51+AK85</f>
        <v>2315680</v>
      </c>
      <c r="AL119" s="2301" t="n">
        <f aca="false">AK119/$AK$126</f>
        <v>0.0244910066487496</v>
      </c>
      <c r="AM119" s="2237" t="n">
        <f aca="false">AM17+AM51+AM85</f>
        <v>650258.7</v>
      </c>
      <c r="AN119" s="100" t="n">
        <f aca="false">AM119/AK119</f>
        <v>0.280806804048919</v>
      </c>
      <c r="AO119" s="2301" t="n">
        <f aca="false">AM119/$AM$126</f>
        <v>0.0428277436733907</v>
      </c>
      <c r="AP119" s="2275" t="n">
        <f aca="false">AP17+AP51+AP85</f>
        <v>3507698.1</v>
      </c>
      <c r="AQ119" s="2301" t="n">
        <f aca="false">AP119/$AP$126</f>
        <v>0.0287596868672304</v>
      </c>
      <c r="AR119" s="2237" t="n">
        <f aca="false">AR17+AR51+AR85</f>
        <v>1032270.26</v>
      </c>
      <c r="AS119" s="100" t="n">
        <f aca="false">AR119/AP119</f>
        <v>0.294287088161892</v>
      </c>
      <c r="AT119" s="2309" t="n">
        <f aca="false">AR119/$AR$126</f>
        <v>0.0362892415213193</v>
      </c>
      <c r="AU119" s="2275" t="n">
        <f aca="false">AU17+AU51+AU85</f>
        <v>6380275</v>
      </c>
      <c r="AV119" s="2301" t="n">
        <f aca="false">AU119/$AU$126</f>
        <v>0.0509200307091443</v>
      </c>
      <c r="AW119" s="2237" t="n">
        <f aca="false">AW17+AW51+AW85</f>
        <v>3287221.671</v>
      </c>
      <c r="AX119" s="100" t="n">
        <f aca="false">AW119/AU119</f>
        <v>0.515216298827245</v>
      </c>
      <c r="AY119" s="2302" t="n">
        <f aca="false">AW119/$AW$126</f>
        <v>0.07038079141452</v>
      </c>
      <c r="AZ119" s="2275" t="n">
        <f aca="false">AZ17+AZ51+AZ85</f>
        <v>3731455</v>
      </c>
      <c r="BA119" s="2301" t="n">
        <f aca="false">AZ119/$AZ$126</f>
        <v>0.0353156522959615</v>
      </c>
      <c r="BB119" s="2237" t="n">
        <f aca="false">BB17+BB51+BB85</f>
        <v>6291205.65</v>
      </c>
      <c r="BC119" s="100" t="n">
        <f aca="false">BB119/AZ119</f>
        <v>1.68599263558049</v>
      </c>
      <c r="BD119" s="2302" t="n">
        <f aca="false">BB119/$BB$126</f>
        <v>0.0748651453629323</v>
      </c>
      <c r="BE119" s="2275" t="n">
        <f aca="false">BE17+BE51+BE85</f>
        <v>5652342.5</v>
      </c>
      <c r="BF119" s="2301" t="n">
        <f aca="false">BE119/$BE$126</f>
        <v>0.0254589080121008</v>
      </c>
      <c r="BG119" s="2237" t="n">
        <f aca="false">BG17+BG51+BG85</f>
        <v>2945175.89</v>
      </c>
      <c r="BH119" s="100" t="n">
        <f aca="false">BG119/BE119</f>
        <v>0.521054039099719</v>
      </c>
      <c r="BI119" s="2302" t="n">
        <f aca="false">BG119/$BG$126</f>
        <v>0.0419783519394404</v>
      </c>
    </row>
    <row r="120" customFormat="false" ht="14.25" hidden="false" customHeight="false" outlineLevel="0" collapsed="false">
      <c r="A120" s="2300" t="s">
        <v>18</v>
      </c>
      <c r="B120" s="2275" t="n">
        <v>0</v>
      </c>
      <c r="C120" s="2301" t="n">
        <f aca="false">B120/$B$126</f>
        <v>0</v>
      </c>
      <c r="D120" s="2237" t="n">
        <v>0</v>
      </c>
      <c r="E120" s="100" t="n">
        <v>0</v>
      </c>
      <c r="F120" s="2302" t="n">
        <f aca="false">D120/$D$126</f>
        <v>0</v>
      </c>
      <c r="G120" s="2275" t="n">
        <v>0</v>
      </c>
      <c r="H120" s="2301" t="n">
        <f aca="false">G120/$G$126</f>
        <v>0</v>
      </c>
      <c r="I120" s="2237" t="n">
        <v>0</v>
      </c>
      <c r="J120" s="100" t="n">
        <v>0</v>
      </c>
      <c r="K120" s="2302" t="n">
        <f aca="false">I120/$I$126</f>
        <v>0</v>
      </c>
      <c r="L120" s="2275" t="n">
        <v>0</v>
      </c>
      <c r="M120" s="2301" t="n">
        <f aca="false">L120/$L$126</f>
        <v>0</v>
      </c>
      <c r="N120" s="2237" t="n">
        <v>0</v>
      </c>
      <c r="O120" s="100" t="n">
        <v>0</v>
      </c>
      <c r="P120" s="2303" t="n">
        <f aca="false">N120/$N$126</f>
        <v>0</v>
      </c>
      <c r="Q120" s="2275" t="n">
        <f aca="false">Q18+Q52+Q90</f>
        <v>381400</v>
      </c>
      <c r="R120" s="2301" t="n">
        <f aca="false">Q120/$Q$126</f>
        <v>0.00309816082931533</v>
      </c>
      <c r="S120" s="2237" t="n">
        <f aca="false">S18+S52+S90</f>
        <v>87409.5</v>
      </c>
      <c r="T120" s="100" t="n">
        <f aca="false">S120/Q120</f>
        <v>0.229180650235973</v>
      </c>
      <c r="U120" s="2303" t="n">
        <f aca="false">S120/$S$126</f>
        <v>0.00513937341646193</v>
      </c>
      <c r="V120" s="2275" t="n">
        <f aca="false">V18+V52+V86</f>
        <v>574200</v>
      </c>
      <c r="W120" s="2301" t="n">
        <f aca="false">V120/$V$126</f>
        <v>0.00559880712061204</v>
      </c>
      <c r="X120" s="2237" t="n">
        <f aca="false">X18+X52+X86</f>
        <v>137464.3</v>
      </c>
      <c r="Y120" s="100" t="n">
        <f aca="false">X120/V120</f>
        <v>0.239401428073842</v>
      </c>
      <c r="Z120" s="2309" t="n">
        <f aca="false">X120/$X$126</f>
        <v>0.00887770964792581</v>
      </c>
      <c r="AA120" s="2275" t="n">
        <f aca="false">AA18+AA52+AA86</f>
        <v>132300</v>
      </c>
      <c r="AB120" s="2301" t="n">
        <f aca="false">AA120/$AA$126</f>
        <v>0.00219167192266232</v>
      </c>
      <c r="AC120" s="2237" t="n">
        <f aca="false">AC18+AC52+AC86</f>
        <v>48360</v>
      </c>
      <c r="AD120" s="100" t="n">
        <f aca="false">AC120/AA120</f>
        <v>0.365532879818594</v>
      </c>
      <c r="AE120" s="2309" t="n">
        <f aca="false">AC120/$AC$126</f>
        <v>0.00225986428799047</v>
      </c>
      <c r="AF120" s="2275" t="n">
        <f aca="false">AF18+AF52+AF86</f>
        <v>34200</v>
      </c>
      <c r="AG120" s="2301" t="n">
        <f aca="false">AF120/$AF$126</f>
        <v>0.000469548953822562</v>
      </c>
      <c r="AH120" s="2237" t="n">
        <f aca="false">AH18+AH52+AH86</f>
        <v>5042.5</v>
      </c>
      <c r="AI120" s="100" t="n">
        <f aca="false">AH120/AF120</f>
        <v>0.147441520467836</v>
      </c>
      <c r="AJ120" s="2309" t="n">
        <f aca="false">AH120/$AH$126</f>
        <v>0.000292547827515901</v>
      </c>
      <c r="AK120" s="2275" t="n">
        <f aca="false">AK18+AK52+AK86</f>
        <v>351450</v>
      </c>
      <c r="AL120" s="2301" t="n">
        <f aca="false">AK120/$AK$126</f>
        <v>0.00371699210888509</v>
      </c>
      <c r="AM120" s="2237" t="n">
        <f aca="false">AM18+AM52+AM86</f>
        <v>65981.95</v>
      </c>
      <c r="AN120" s="100" t="n">
        <f aca="false">AM120/AK120</f>
        <v>0.187742068573054</v>
      </c>
      <c r="AO120" s="2301" t="n">
        <f aca="false">AM120/$AM$126</f>
        <v>0.00434574430402928</v>
      </c>
      <c r="AP120" s="2275" t="n">
        <f aca="false">AP18+AP52+AP86</f>
        <v>1350</v>
      </c>
      <c r="AQ120" s="2301" t="n">
        <f aca="false">AP120/$AP$126</f>
        <v>1.1068676996678E-005</v>
      </c>
      <c r="AR120" s="2237" t="n">
        <f aca="false">AR18+AR52+AR86</f>
        <v>557.1</v>
      </c>
      <c r="AS120" s="100" t="n">
        <f aca="false">AR120/AP120</f>
        <v>0.412666666666667</v>
      </c>
      <c r="AT120" s="2309" t="n">
        <f aca="false">AR120/$AR$126</f>
        <v>1.9584732056048E-005</v>
      </c>
      <c r="AU120" s="2275" t="n">
        <f aca="false">AU18+AU52+AU86</f>
        <v>194565</v>
      </c>
      <c r="AV120" s="2301" t="n">
        <f aca="false">AU120/$AU$126</f>
        <v>0.00155279447593163</v>
      </c>
      <c r="AW120" s="2237" t="n">
        <f aca="false">AW18+AW52+AW86</f>
        <v>142085.1</v>
      </c>
      <c r="AX120" s="100" t="n">
        <f aca="false">AW120/AU120</f>
        <v>0.730270603654306</v>
      </c>
      <c r="AY120" s="2302" t="n">
        <f aca="false">AW120/$AW$126</f>
        <v>0.00304210144220944</v>
      </c>
      <c r="AZ120" s="2275" t="n">
        <f aca="false">AZ18+AZ52+AZ86</f>
        <v>76860</v>
      </c>
      <c r="BA120" s="2301" t="n">
        <f aca="false">AZ120/$AZ$126</f>
        <v>0.000727426978341586</v>
      </c>
      <c r="BB120" s="2237" t="n">
        <f aca="false">BB18+BB52+BB86</f>
        <v>184951.65</v>
      </c>
      <c r="BC120" s="100" t="n">
        <f aca="false">BB120/AZ120</f>
        <v>2.40634465261515</v>
      </c>
      <c r="BD120" s="2302" t="n">
        <f aca="false">BB120/$BB$126</f>
        <v>0.00220091870027555</v>
      </c>
      <c r="BE120" s="2275" t="n">
        <f aca="false">BE18+BE52+BE86</f>
        <v>2040556.194</v>
      </c>
      <c r="BF120" s="2301" t="n">
        <f aca="false">BE120/$BE$126</f>
        <v>0.00919093852443806</v>
      </c>
      <c r="BG120" s="2237" t="n">
        <f aca="false">BG18+BG52+BG86</f>
        <v>873426.2</v>
      </c>
      <c r="BH120" s="100" t="n">
        <f aca="false">BG120/BE120</f>
        <v>0.428033397251299</v>
      </c>
      <c r="BI120" s="2302" t="n">
        <f aca="false">BG120/$BG$126</f>
        <v>0.0124491690093009</v>
      </c>
    </row>
    <row r="121" customFormat="false" ht="14.25" hidden="false" customHeight="false" outlineLevel="0" collapsed="false">
      <c r="A121" s="2300" t="s">
        <v>19</v>
      </c>
      <c r="B121" s="2275" t="n">
        <v>0</v>
      </c>
      <c r="C121" s="2301" t="n">
        <f aca="false">B121/$B$126</f>
        <v>0</v>
      </c>
      <c r="D121" s="2237" t="n">
        <v>0</v>
      </c>
      <c r="E121" s="100" t="n">
        <v>0</v>
      </c>
      <c r="F121" s="2302" t="n">
        <f aca="false">D121/$D$126</f>
        <v>0</v>
      </c>
      <c r="G121" s="2275" t="n">
        <v>0</v>
      </c>
      <c r="H121" s="2301" t="n">
        <f aca="false">G121/$G$126</f>
        <v>0</v>
      </c>
      <c r="I121" s="2237" t="n">
        <v>0</v>
      </c>
      <c r="J121" s="100" t="n">
        <v>0</v>
      </c>
      <c r="K121" s="2302" t="n">
        <f aca="false">I121/$I$126</f>
        <v>0</v>
      </c>
      <c r="L121" s="2275" t="n">
        <v>0</v>
      </c>
      <c r="M121" s="2301" t="n">
        <f aca="false">L121/$L$126</f>
        <v>0</v>
      </c>
      <c r="N121" s="2237" t="n">
        <v>0</v>
      </c>
      <c r="O121" s="100" t="n">
        <v>0</v>
      </c>
      <c r="P121" s="2303" t="n">
        <f aca="false">N121/$N$126</f>
        <v>0</v>
      </c>
      <c r="Q121" s="2275" t="n">
        <v>0</v>
      </c>
      <c r="R121" s="2301" t="n">
        <f aca="false">Q121/$Q$126</f>
        <v>0</v>
      </c>
      <c r="S121" s="2237" t="n">
        <v>0</v>
      </c>
      <c r="T121" s="100" t="n">
        <v>0</v>
      </c>
      <c r="U121" s="2303" t="n">
        <f aca="false">S121/$S$126</f>
        <v>0</v>
      </c>
      <c r="V121" s="2275" t="n">
        <f aca="false">V19+V53+V87</f>
        <v>191610</v>
      </c>
      <c r="W121" s="2301" t="n">
        <f aca="false">V121/$V$126</f>
        <v>0.00186831667081239</v>
      </c>
      <c r="X121" s="2237" t="n">
        <f aca="false">X19+X53+X87</f>
        <v>73600.4</v>
      </c>
      <c r="Y121" s="100" t="n">
        <f aca="false">X121/V121</f>
        <v>0.384115651583947</v>
      </c>
      <c r="Z121" s="2309" t="n">
        <f aca="false">X121/$X$126</f>
        <v>0.00475325579929624</v>
      </c>
      <c r="AA121" s="2275" t="n">
        <f aca="false">AA19+AA53+AA87</f>
        <v>514190</v>
      </c>
      <c r="AB121" s="2301" t="n">
        <f aca="false">AA121/$AA$126</f>
        <v>0.00851803315127542</v>
      </c>
      <c r="AC121" s="2237" t="n">
        <f aca="false">AC19+AC53+AC87</f>
        <v>309232.4</v>
      </c>
      <c r="AD121" s="100" t="n">
        <f aca="false">AC121/AA121</f>
        <v>0.601397148913826</v>
      </c>
      <c r="AE121" s="2309" t="n">
        <f aca="false">AC121/$AC$126</f>
        <v>0.0144504395667821</v>
      </c>
      <c r="AF121" s="2275" t="n">
        <f aca="false">AF19+AF53+AF87</f>
        <v>385520</v>
      </c>
      <c r="AG121" s="2301" t="n">
        <f aca="false">AF121/$AF$126</f>
        <v>0.00529299744671562</v>
      </c>
      <c r="AH121" s="2237" t="n">
        <f aca="false">AH19+AH53+AH87</f>
        <v>262490.7</v>
      </c>
      <c r="AI121" s="100" t="n">
        <f aca="false">AH121/AF121</f>
        <v>0.680874403403196</v>
      </c>
      <c r="AJ121" s="2309" t="n">
        <f aca="false">AH121/$AH$126</f>
        <v>0.0152287722415723</v>
      </c>
      <c r="AK121" s="2275" t="n">
        <f aca="false">AK19+AK53+AK87</f>
        <v>603268</v>
      </c>
      <c r="AL121" s="2301" t="n">
        <f aca="false">AK121/$AK$126</f>
        <v>0.00638026005276111</v>
      </c>
      <c r="AM121" s="2237" t="n">
        <f aca="false">AM19+AM53+AM87</f>
        <v>300092.7</v>
      </c>
      <c r="AN121" s="100" t="n">
        <f aca="false">AM121/AK121</f>
        <v>0.497445082450917</v>
      </c>
      <c r="AO121" s="2301" t="n">
        <f aca="false">AM121/$AM$126</f>
        <v>0.0197648923941437</v>
      </c>
      <c r="AP121" s="2275" t="n">
        <f aca="false">AP19+AP53+AP87</f>
        <v>494000</v>
      </c>
      <c r="AQ121" s="2301" t="n">
        <f aca="false">AP121/$AP$126</f>
        <v>0.00405031587878438</v>
      </c>
      <c r="AR121" s="2237" t="n">
        <f aca="false">AR19+AR53+AR87</f>
        <v>242722.4</v>
      </c>
      <c r="AS121" s="100" t="n">
        <f aca="false">AR121/AP121</f>
        <v>0.491340890688259</v>
      </c>
      <c r="AT121" s="2309" t="n">
        <f aca="false">AR121/$AR$126</f>
        <v>0.00853285436726062</v>
      </c>
      <c r="AU121" s="2275" t="n">
        <f aca="false">AU19+AU53+AU87</f>
        <v>1297670</v>
      </c>
      <c r="AV121" s="2301" t="n">
        <f aca="false">AU121/$AU$126</f>
        <v>0.0103565122585367</v>
      </c>
      <c r="AW121" s="2237" t="n">
        <f aca="false">AW19+AW53+AW87</f>
        <v>909793.5415</v>
      </c>
      <c r="AX121" s="100" t="n">
        <f aca="false">AW121/AU121</f>
        <v>0.701097768693119</v>
      </c>
      <c r="AY121" s="2302" t="n">
        <f aca="false">AW121/$AW$126</f>
        <v>0.0194790603990846</v>
      </c>
      <c r="AZ121" s="2275" t="n">
        <f aca="false">AZ19+AZ53+AZ87</f>
        <v>1208330</v>
      </c>
      <c r="BA121" s="2301" t="n">
        <f aca="false">AZ121/$AZ$126</f>
        <v>0.0114360114590097</v>
      </c>
      <c r="BB121" s="2237" t="n">
        <f aca="false">BB19+BB53+BB87</f>
        <v>2184685.3</v>
      </c>
      <c r="BC121" s="100" t="n">
        <f aca="false">BB121/AZ121</f>
        <v>1.80802040833216</v>
      </c>
      <c r="BD121" s="2302" t="n">
        <f aca="false">BB121/$BB$126</f>
        <v>0.0259976849678664</v>
      </c>
      <c r="BE121" s="2275" t="n">
        <f aca="false">BE19+BE53+BE87</f>
        <v>1171912.5</v>
      </c>
      <c r="BF121" s="2301" t="n">
        <f aca="false">BE121/$BE$126</f>
        <v>0.00527845093175636</v>
      </c>
      <c r="BG121" s="2237" t="n">
        <f aca="false">BG19+BG53+BG87</f>
        <v>966396.53</v>
      </c>
      <c r="BH121" s="100" t="n">
        <f aca="false">BG121/BE121</f>
        <v>0.824631984043177</v>
      </c>
      <c r="BI121" s="2302" t="n">
        <f aca="false">BG121/$BG$126</f>
        <v>0.0137742991130469</v>
      </c>
    </row>
    <row r="122" customFormat="false" ht="14.25" hidden="false" customHeight="false" outlineLevel="0" collapsed="false">
      <c r="A122" s="2300" t="s">
        <v>3673</v>
      </c>
      <c r="B122" s="2275"/>
      <c r="C122" s="2301"/>
      <c r="D122" s="2237"/>
      <c r="E122" s="100"/>
      <c r="F122" s="2302"/>
      <c r="G122" s="2275"/>
      <c r="H122" s="2301"/>
      <c r="I122" s="2237"/>
      <c r="J122" s="100"/>
      <c r="K122" s="2302"/>
      <c r="L122" s="2275"/>
      <c r="M122" s="2301"/>
      <c r="N122" s="2237"/>
      <c r="O122" s="100"/>
      <c r="P122" s="2303"/>
      <c r="Q122" s="2275"/>
      <c r="R122" s="2301"/>
      <c r="S122" s="2237"/>
      <c r="T122" s="100"/>
      <c r="U122" s="2303"/>
      <c r="V122" s="2275"/>
      <c r="W122" s="2301"/>
      <c r="X122" s="2237"/>
      <c r="Y122" s="100"/>
      <c r="Z122" s="2309"/>
      <c r="AA122" s="2275"/>
      <c r="AB122" s="2301"/>
      <c r="AC122" s="2237"/>
      <c r="AD122" s="100"/>
      <c r="AE122" s="2309" t="n">
        <f aca="false">AC122/$AC$126</f>
        <v>0</v>
      </c>
      <c r="AF122" s="2275" t="n">
        <f aca="false">AF20+AF54+AF88</f>
        <v>137340</v>
      </c>
      <c r="AG122" s="2301" t="n">
        <f aca="false">AF122/$AF$126</f>
        <v>0.00188560974614008</v>
      </c>
      <c r="AH122" s="2237" t="n">
        <f aca="false">AH20+AH54+AH88</f>
        <v>61040</v>
      </c>
      <c r="AI122" s="100" t="n">
        <f aca="false">AH122/AF122</f>
        <v>0.444444444444444</v>
      </c>
      <c r="AJ122" s="2309" t="n">
        <f aca="false">AH122/$AH$126</f>
        <v>0.00354132263590889</v>
      </c>
      <c r="AK122" s="2275" t="n">
        <f aca="false">AK20+AK54+AK88</f>
        <v>0</v>
      </c>
      <c r="AL122" s="2301" t="n">
        <f aca="false">AK122/$AK$126</f>
        <v>0</v>
      </c>
      <c r="AM122" s="2237" t="n">
        <f aca="false">AM20+AM54+AM88</f>
        <v>0</v>
      </c>
      <c r="AN122" s="100" t="n">
        <v>0</v>
      </c>
      <c r="AO122" s="2301" t="n">
        <f aca="false">AM122/$AM$126</f>
        <v>0</v>
      </c>
      <c r="AP122" s="2275" t="n">
        <f aca="false">AP20+AP54+AP88</f>
        <v>119280</v>
      </c>
      <c r="AQ122" s="2301" t="n">
        <f aca="false">AP122/$AP$126</f>
        <v>0.000977979105306479</v>
      </c>
      <c r="AR122" s="2237" t="n">
        <f aca="false">AR20+AR54+AR88</f>
        <v>54038.8</v>
      </c>
      <c r="AS122" s="100" t="n">
        <f aca="false">AR122/AP122</f>
        <v>0.453041582830315</v>
      </c>
      <c r="AT122" s="2309" t="n">
        <f aca="false">AR122/$AR$126</f>
        <v>0.00189972252491539</v>
      </c>
      <c r="AU122" s="2275" t="n">
        <f aca="false">AU20+AU54+AU88</f>
        <v>400820</v>
      </c>
      <c r="AV122" s="2301" t="n">
        <f aca="false">AU122/$AU$126</f>
        <v>0.00319888511213689</v>
      </c>
      <c r="AW122" s="2237" t="n">
        <f aca="false">AW20+AW54+AW88</f>
        <v>247043.93</v>
      </c>
      <c r="AX122" s="100" t="n">
        <f aca="false">AW122/AU122</f>
        <v>0.616346315054139</v>
      </c>
      <c r="AY122" s="2302" t="n">
        <f aca="false">AW122/$AW$126</f>
        <v>0.00528931390935494</v>
      </c>
      <c r="AZ122" s="2275" t="n">
        <f aca="false">AZ20+AZ54+AZ88</f>
        <v>108045</v>
      </c>
      <c r="BA122" s="2301" t="n">
        <f aca="false">AZ122/$AZ$126</f>
        <v>0.00102257153102936</v>
      </c>
      <c r="BB122" s="2237" t="n">
        <f aca="false">BB20+BB54+BB88</f>
        <v>216228.4</v>
      </c>
      <c r="BC122" s="100" t="n">
        <f aca="false">BB122/AZ122</f>
        <v>2.00128094775325</v>
      </c>
      <c r="BD122" s="2302" t="n">
        <f aca="false">BB122/$BB$126</f>
        <v>0.00257311102166788</v>
      </c>
      <c r="BE122" s="2275" t="n">
        <f aca="false">BE20+BE54+BE88</f>
        <v>3365187.15</v>
      </c>
      <c r="BF122" s="2301" t="n">
        <f aca="false">BE122/$BE$126</f>
        <v>0.0151572538457027</v>
      </c>
      <c r="BG122" s="2237" t="n">
        <f aca="false">BG20+BG54+BG88</f>
        <v>887039.57</v>
      </c>
      <c r="BH122" s="100" t="n">
        <f aca="false">BG122/BE122</f>
        <v>0.263592938657216</v>
      </c>
      <c r="BI122" s="2302" t="n">
        <f aca="false">BG122/$BG$126</f>
        <v>0.012643203884733</v>
      </c>
    </row>
    <row r="123" customFormat="false" ht="14.25" hidden="false" customHeight="false" outlineLevel="0" collapsed="false">
      <c r="A123" s="2300" t="s">
        <v>22</v>
      </c>
      <c r="B123" s="2275" t="n">
        <v>0</v>
      </c>
      <c r="C123" s="2301" t="n">
        <f aca="false">B123/$B$126</f>
        <v>0</v>
      </c>
      <c r="D123" s="2237" t="n">
        <v>0</v>
      </c>
      <c r="E123" s="100" t="n">
        <v>0</v>
      </c>
      <c r="F123" s="2302" t="n">
        <f aca="false">D123/$D$126</f>
        <v>0</v>
      </c>
      <c r="G123" s="2275" t="n">
        <v>0</v>
      </c>
      <c r="H123" s="2301" t="n">
        <f aca="false">G123/$G$126</f>
        <v>0</v>
      </c>
      <c r="I123" s="2237" t="n">
        <v>0</v>
      </c>
      <c r="J123" s="100" t="n">
        <v>0</v>
      </c>
      <c r="K123" s="2302" t="n">
        <f aca="false">I123/$I$126</f>
        <v>0</v>
      </c>
      <c r="L123" s="2275" t="n">
        <v>0</v>
      </c>
      <c r="M123" s="2301" t="n">
        <f aca="false">L123/$L$126</f>
        <v>0</v>
      </c>
      <c r="N123" s="2237" t="n">
        <v>0</v>
      </c>
      <c r="O123" s="100" t="n">
        <v>0</v>
      </c>
      <c r="P123" s="2303" t="n">
        <f aca="false">N123/$N$126</f>
        <v>0</v>
      </c>
      <c r="Q123" s="2275" t="n">
        <v>0</v>
      </c>
      <c r="R123" s="2301" t="n">
        <f aca="false">Q123/$Q$126</f>
        <v>0</v>
      </c>
      <c r="S123" s="2237" t="n">
        <v>0</v>
      </c>
      <c r="T123" s="100" t="n">
        <v>0</v>
      </c>
      <c r="U123" s="2303" t="n">
        <f aca="false">S123/$S$126</f>
        <v>0</v>
      </c>
      <c r="V123" s="2275" t="n">
        <v>0</v>
      </c>
      <c r="W123" s="2301" t="n">
        <f aca="false">V123/$V$126</f>
        <v>0</v>
      </c>
      <c r="X123" s="2237" t="n">
        <v>0</v>
      </c>
      <c r="Y123" s="100" t="n">
        <v>0</v>
      </c>
      <c r="Z123" s="2309" t="n">
        <f aca="false">X123/$X$126</f>
        <v>0</v>
      </c>
      <c r="AA123" s="2275" t="n">
        <v>0</v>
      </c>
      <c r="AB123" s="2301" t="n">
        <f aca="false">AA123/$AA$126</f>
        <v>0</v>
      </c>
      <c r="AC123" s="2237" t="n">
        <v>0</v>
      </c>
      <c r="AD123" s="100" t="n">
        <v>0</v>
      </c>
      <c r="AE123" s="2309" t="n">
        <f aca="false">AC123/$AC$126</f>
        <v>0</v>
      </c>
      <c r="AF123" s="2275" t="n">
        <f aca="false">AF21+AF55+AF89</f>
        <v>366957.3998</v>
      </c>
      <c r="AG123" s="2301" t="n">
        <f aca="false">AF123/$AF$126</f>
        <v>0.00503814219805665</v>
      </c>
      <c r="AH123" s="2237" t="n">
        <f aca="false">AH21+AH55+AH89</f>
        <v>159131.7</v>
      </c>
      <c r="AI123" s="100" t="n">
        <f aca="false">AH123/AF123</f>
        <v>0.433651699316407</v>
      </c>
      <c r="AJ123" s="2309" t="n">
        <f aca="false">AH123/$AH$126</f>
        <v>0.00923225247871336</v>
      </c>
      <c r="AK123" s="2275" t="n">
        <f aca="false">AK21+AK55+AK89</f>
        <v>168657</v>
      </c>
      <c r="AL123" s="2301" t="n">
        <f aca="false">AK123/$AK$126</f>
        <v>0.00178374374194973</v>
      </c>
      <c r="AM123" s="2237" t="n">
        <f aca="false">AM21+AM55+AM89</f>
        <v>79038.25</v>
      </c>
      <c r="AN123" s="100" t="n">
        <f aca="false">AM123/AK123</f>
        <v>0.468633083714284</v>
      </c>
      <c r="AO123" s="2301" t="n">
        <f aca="false">AM123/$AM$126</f>
        <v>0.00520566646996553</v>
      </c>
      <c r="AP123" s="2275" t="n">
        <f aca="false">AP21+AP55+AP89</f>
        <v>108965</v>
      </c>
      <c r="AQ123" s="2301" t="n">
        <f aca="false">AP123/$AP$126</f>
        <v>0.000893406214031862</v>
      </c>
      <c r="AR123" s="2237" t="n">
        <f aca="false">AR21+AR55+AR89</f>
        <v>73131</v>
      </c>
      <c r="AS123" s="100" t="n">
        <f aca="false">AR123/AP123</f>
        <v>0.671142109851787</v>
      </c>
      <c r="AT123" s="2309" t="n">
        <f aca="false">AR123/$AR$126</f>
        <v>0.00257090475675973</v>
      </c>
      <c r="AU123" s="2275" t="n">
        <f aca="false">AU21+AU55+AU89</f>
        <v>437807.79472</v>
      </c>
      <c r="AV123" s="2301" t="n">
        <f aca="false">AU123/$AU$126</f>
        <v>0.00349407922884909</v>
      </c>
      <c r="AW123" s="2237" t="n">
        <f aca="false">AW21+AW55+AW89</f>
        <v>254188.9</v>
      </c>
      <c r="AX123" s="100" t="n">
        <f aca="false">AW123/AU123</f>
        <v>0.580594733729139</v>
      </c>
      <c r="AY123" s="2302" t="n">
        <f aca="false">AW123/$AW$126</f>
        <v>0.00544229070665137</v>
      </c>
      <c r="AZ123" s="2275" t="n">
        <f aca="false">AZ21+AZ55+AZ89</f>
        <v>26460</v>
      </c>
      <c r="BA123" s="2301" t="n">
        <f aca="false">AZ123/$AZ$126</f>
        <v>0.000250425681068415</v>
      </c>
      <c r="BB123" s="2237" t="n">
        <f aca="false">BB21+BB55+BB89</f>
        <v>167217</v>
      </c>
      <c r="BC123" s="100" t="n">
        <f aca="false">BB123/AZ123</f>
        <v>6.31961451247166</v>
      </c>
      <c r="BD123" s="2302" t="n">
        <f aca="false">BB123/$BB$126</f>
        <v>0.0019898769343446</v>
      </c>
      <c r="BE123" s="2275" t="n">
        <f aca="false">BE21+BE55+BE89</f>
        <v>119137.5</v>
      </c>
      <c r="BF123" s="2301" t="n">
        <f aca="false">BE123/$BE$126</f>
        <v>0.000536611263965632</v>
      </c>
      <c r="BG123" s="2237" t="n">
        <f aca="false">BG21+BG55+BG89</f>
        <v>112653.62</v>
      </c>
      <c r="BH123" s="100" t="n">
        <f aca="false">BG123/BE123</f>
        <v>0.945576497744203</v>
      </c>
      <c r="BI123" s="2302" t="n">
        <f aca="false">BG123/$BG$126</f>
        <v>0.00160568111523281</v>
      </c>
    </row>
    <row r="124" customFormat="false" ht="14.25" hidden="false" customHeight="false" outlineLevel="0" collapsed="false">
      <c r="A124" s="2300" t="s">
        <v>75</v>
      </c>
      <c r="B124" s="2275" t="n">
        <f aca="false">B22+B56+B90</f>
        <v>10060</v>
      </c>
      <c r="C124" s="2301" t="n">
        <f aca="false">B124/$B$126</f>
        <v>0.000123846161156183</v>
      </c>
      <c r="D124" s="2237" t="n">
        <f aca="false">D22+D56+D90</f>
        <v>75646</v>
      </c>
      <c r="E124" s="100" t="n">
        <f aca="false">D124/B124</f>
        <v>7.51948310139165</v>
      </c>
      <c r="F124" s="2302" t="n">
        <f aca="false">D124/$D$126</f>
        <v>0.00599048623896831</v>
      </c>
      <c r="G124" s="2275" t="n">
        <f aca="false">G22+G56+G90</f>
        <v>4840</v>
      </c>
      <c r="H124" s="2301" t="n">
        <f aca="false">G124/$G$126</f>
        <v>6.05852096633461E-005</v>
      </c>
      <c r="I124" s="2237" t="n">
        <f aca="false">I22+I56+I90</f>
        <v>36958.4</v>
      </c>
      <c r="J124" s="100" t="n">
        <f aca="false">I124/G124</f>
        <v>7.63603305785124</v>
      </c>
      <c r="K124" s="2302" t="n">
        <f aca="false">I124/$I$126</f>
        <v>0.0031584142443539</v>
      </c>
      <c r="L124" s="2275" t="n">
        <f aca="false">L22+L56+L90</f>
        <v>13620</v>
      </c>
      <c r="M124" s="2301" t="n">
        <f aca="false">L124/$L$126</f>
        <v>0.000123080061747792</v>
      </c>
      <c r="N124" s="2237" t="n">
        <f aca="false">N22+N56+N90</f>
        <v>95708.3</v>
      </c>
      <c r="O124" s="100" t="n">
        <f aca="false">N124/L124</f>
        <v>7.02704111600587</v>
      </c>
      <c r="P124" s="2303" t="n">
        <f aca="false">N124/$N$126</f>
        <v>0.00544389781497735</v>
      </c>
      <c r="Q124" s="2275" t="n">
        <f aca="false">Q22+Q56+Q90</f>
        <v>10235</v>
      </c>
      <c r="R124" s="2301" t="n">
        <f aca="false">Q124/$Q$126</f>
        <v>8.31402099843796E-005</v>
      </c>
      <c r="S124" s="2237" t="n">
        <f aca="false">S22+S56+S90</f>
        <v>68625.3</v>
      </c>
      <c r="T124" s="100" t="n">
        <f aca="false">S124/Q124</f>
        <v>6.70496336101612</v>
      </c>
      <c r="U124" s="2303" t="n">
        <f aca="false">S124/$S$126</f>
        <v>0.00403492804004971</v>
      </c>
      <c r="V124" s="2275" t="n">
        <f aca="false">V22+V56+V90</f>
        <v>8030</v>
      </c>
      <c r="W124" s="2301" t="n">
        <f aca="false">V124/$V$126</f>
        <v>7.82974942154557E-005</v>
      </c>
      <c r="X124" s="2237" t="n">
        <f aca="false">X22+X56+X90</f>
        <v>46293</v>
      </c>
      <c r="Y124" s="100" t="n">
        <f aca="false">X124/V124</f>
        <v>5.76500622665006</v>
      </c>
      <c r="Z124" s="2309" t="n">
        <f aca="false">X124/$X$126</f>
        <v>0.00298969123424358</v>
      </c>
      <c r="AA124" s="2275" t="n">
        <f aca="false">AA22+AA56+AA90</f>
        <v>6530</v>
      </c>
      <c r="AB124" s="2301" t="n">
        <f aca="false">AA124/$AA$126</f>
        <v>0.0001081754924791</v>
      </c>
      <c r="AC124" s="2237" t="n">
        <f aca="false">AC22+AC56+AC90</f>
        <v>124012.4</v>
      </c>
      <c r="AD124" s="100" t="n">
        <f aca="false">AC124/AA124</f>
        <v>18.9911791730475</v>
      </c>
      <c r="AE124" s="2309" t="n">
        <f aca="false">AC124/$AC$126</f>
        <v>0.0057951032677417</v>
      </c>
      <c r="AF124" s="2275" t="n">
        <f aca="false">AF22+AF56+AF90</f>
        <v>25270</v>
      </c>
      <c r="AG124" s="2301" t="n">
        <f aca="false">AF124/$AF$126</f>
        <v>0.000346944504768893</v>
      </c>
      <c r="AH124" s="2237" t="n">
        <f aca="false">AH22+AH56+AH90</f>
        <v>306928.8</v>
      </c>
      <c r="AI124" s="100" t="n">
        <f aca="false">AH124/AF124</f>
        <v>12.1459754649782</v>
      </c>
      <c r="AJ124" s="2309" t="n">
        <f aca="false">AH124/$AH$126</f>
        <v>0.0178069119766113</v>
      </c>
      <c r="AK124" s="2275" t="n">
        <f aca="false">AK22+AK56+AK90</f>
        <v>26080</v>
      </c>
      <c r="AL124" s="2301" t="n">
        <f aca="false">AK124/$AK$126</f>
        <v>0.000275826303029516</v>
      </c>
      <c r="AM124" s="2237" t="n">
        <f aca="false">AM22+AM56+AM90</f>
        <v>338869.7</v>
      </c>
      <c r="AN124" s="100" t="n">
        <f aca="false">AM124/AK124</f>
        <v>12.9934700920245</v>
      </c>
      <c r="AO124" s="2301" t="n">
        <f aca="false">AM124/$AM$126</f>
        <v>0.0223188473299608</v>
      </c>
      <c r="AP124" s="2275" t="n">
        <f aca="false">AP22+AP56+AP90</f>
        <v>38166.45</v>
      </c>
      <c r="AQ124" s="2301" t="n">
        <f aca="false">AP124/$AP$126</f>
        <v>0.000312927486785081</v>
      </c>
      <c r="AR124" s="2237" t="n">
        <f aca="false">AR22+AR56+AR90</f>
        <v>422857.4</v>
      </c>
      <c r="AS124" s="100" t="n">
        <f aca="false">AR124/AP124</f>
        <v>11.0792960833402</v>
      </c>
      <c r="AT124" s="2309" t="n">
        <f aca="false">AR124/$AR$126</f>
        <v>0.0148654619941071</v>
      </c>
      <c r="AU124" s="2275" t="n">
        <f aca="false">AU22+AU56+AU90</f>
        <v>57322</v>
      </c>
      <c r="AV124" s="2301" t="n">
        <f aca="false">AU124/$AU$126</f>
        <v>0.000457478400274215</v>
      </c>
      <c r="AW124" s="2237" t="n">
        <f aca="false">AW22+AW56+AW90</f>
        <v>851042.1</v>
      </c>
      <c r="AX124" s="100" t="n">
        <f aca="false">AW124/AU124</f>
        <v>14.8466923694219</v>
      </c>
      <c r="AY124" s="2302" t="n">
        <f aca="false">AW124/$AW$126</f>
        <v>0.0182211674538072</v>
      </c>
      <c r="AZ124" s="2275" t="n">
        <f aca="false">AZ22+AZ56+AZ90</f>
        <v>62740</v>
      </c>
      <c r="BA124" s="2301" t="n">
        <f aca="false">AZ124/$AZ$126</f>
        <v>0.000593790900613467</v>
      </c>
      <c r="BB124" s="2237" t="n">
        <f aca="false">BB22+BB56+BB90</f>
        <v>1555531.5</v>
      </c>
      <c r="BC124" s="100" t="n">
        <f aca="false">BB124/AZ124</f>
        <v>24.7932977366911</v>
      </c>
      <c r="BD124" s="2302" t="n">
        <f aca="false">BB124/$BB$126</f>
        <v>0.0185107749361396</v>
      </c>
      <c r="BE124" s="2275" t="n">
        <f aca="false">BE22+BE56+BE90</f>
        <v>19205</v>
      </c>
      <c r="BF124" s="2301" t="n">
        <f aca="false">BE124/$BE$126</f>
        <v>8.65018933959497E-005</v>
      </c>
      <c r="BG124" s="2237" t="n">
        <f aca="false">BG22+BG56+BG90</f>
        <v>782895.19</v>
      </c>
      <c r="BH124" s="100" t="n">
        <f aca="false">BG124/BE124</f>
        <v>40.7651752147878</v>
      </c>
      <c r="BI124" s="2302" t="n">
        <f aca="false">BG124/$BG$126</f>
        <v>0.011158807162962</v>
      </c>
    </row>
    <row r="125" customFormat="false" ht="14.25" hidden="false" customHeight="false" outlineLevel="0" collapsed="false">
      <c r="A125" s="505" t="s">
        <v>24</v>
      </c>
      <c r="B125" s="2239" t="n">
        <f aca="false">B23+B57+B91</f>
        <v>0</v>
      </c>
      <c r="C125" s="2301" t="n">
        <f aca="false">B125/$B$126</f>
        <v>0</v>
      </c>
      <c r="D125" s="2248" t="n">
        <f aca="false">D23+D57+D91</f>
        <v>0</v>
      </c>
      <c r="E125" s="2241" t="n">
        <v>0</v>
      </c>
      <c r="F125" s="2310" t="n">
        <f aca="false">D125/$D$126</f>
        <v>0</v>
      </c>
      <c r="G125" s="2239" t="n">
        <f aca="false">G23+G57+G91</f>
        <v>24900</v>
      </c>
      <c r="H125" s="2301" t="n">
        <f aca="false">G125/$G$126</f>
        <v>0.000311688372028371</v>
      </c>
      <c r="I125" s="2248" t="n">
        <f aca="false">I23+I57+I91</f>
        <v>122972</v>
      </c>
      <c r="J125" s="2241" t="n">
        <f aca="false">I125/G125</f>
        <v>4.93863453815261</v>
      </c>
      <c r="K125" s="2310" t="n">
        <f aca="false">I125/$I$126</f>
        <v>0.0105090186928192</v>
      </c>
      <c r="L125" s="2239" t="n">
        <f aca="false">L23+L57+L91</f>
        <v>2640</v>
      </c>
      <c r="M125" s="2301" t="n">
        <f aca="false">L125/$L$126</f>
        <v>2.38569282682945E-005</v>
      </c>
      <c r="N125" s="2248" t="n">
        <f aca="false">N23+N57+N91</f>
        <v>17762.08</v>
      </c>
      <c r="O125" s="2241" t="n">
        <f aca="false">N125/L125</f>
        <v>6.72806060606061</v>
      </c>
      <c r="P125" s="2311" t="n">
        <f aca="false">N125/$N$126</f>
        <v>0.00101030891261733</v>
      </c>
      <c r="Q125" s="2239" t="n">
        <f aca="false">Q23+Q57+Q91</f>
        <v>7648</v>
      </c>
      <c r="R125" s="2301" t="n">
        <f aca="false">Q125/$Q$126</f>
        <v>6.21256791363493E-005</v>
      </c>
      <c r="S125" s="2248" t="n">
        <f aca="false">S23+S57+S91</f>
        <v>57286.4</v>
      </c>
      <c r="T125" s="2241" t="n">
        <f aca="false">S125/Q125</f>
        <v>7.49037656903766</v>
      </c>
      <c r="U125" s="2311" t="n">
        <f aca="false">S125/$S$126</f>
        <v>0.00336824030894588</v>
      </c>
      <c r="V125" s="2239" t="n">
        <f aca="false">V23+V57+V91</f>
        <v>2160</v>
      </c>
      <c r="W125" s="2312" t="n">
        <f aca="false">V125/$V$126</f>
        <v>2.10613434004215E-005</v>
      </c>
      <c r="X125" s="2248" t="n">
        <f aca="false">X23+X57+X91</f>
        <v>17468</v>
      </c>
      <c r="Y125" s="2241" t="n">
        <f aca="false">X125/V125</f>
        <v>8.08703703703704</v>
      </c>
      <c r="Z125" s="2313" t="n">
        <f aca="false">X125/$X$126</f>
        <v>0.0011281171339029</v>
      </c>
      <c r="AA125" s="2275" t="n">
        <f aca="false">AA23+AA57+AA91</f>
        <v>8</v>
      </c>
      <c r="AB125" s="2301" t="n">
        <f aca="false">AA125/$AA$126</f>
        <v>1.32527402730904E-007</v>
      </c>
      <c r="AC125" s="2237" t="n">
        <f aca="false">AC23+AC57+AC91</f>
        <v>64</v>
      </c>
      <c r="AD125" s="100" t="n">
        <f aca="false">AC125/AA125</f>
        <v>8</v>
      </c>
      <c r="AE125" s="2309" t="n">
        <f aca="false">AC125/$AC$126</f>
        <v>2.99072196921815E-006</v>
      </c>
      <c r="AF125" s="2275" t="n">
        <f aca="false">AF23+AF57+AF91</f>
        <v>280</v>
      </c>
      <c r="AG125" s="2301" t="n">
        <f aca="false">AF125/$AF$126</f>
        <v>3.84426044065255E-006</v>
      </c>
      <c r="AH125" s="2237" t="n">
        <f aca="false">AH23+AH57+AH91</f>
        <v>2240</v>
      </c>
      <c r="AI125" s="100" t="n">
        <f aca="false">AH125/AF125</f>
        <v>8</v>
      </c>
      <c r="AJ125" s="2309" t="n">
        <f aca="false">AH125/$AH$126</f>
        <v>0.000129956793978308</v>
      </c>
      <c r="AK125" s="2275" t="n">
        <f aca="false">AK23+AK57+AK91</f>
        <v>0</v>
      </c>
      <c r="AL125" s="2301" t="n">
        <f aca="false">AK125/$AK$126</f>
        <v>0</v>
      </c>
      <c r="AM125" s="2237" t="n">
        <f aca="false">AM23+AM57+AM91</f>
        <v>0</v>
      </c>
      <c r="AN125" s="100" t="n">
        <v>0</v>
      </c>
      <c r="AO125" s="2301" t="n">
        <f aca="false">AM125/$AM$126</f>
        <v>0</v>
      </c>
      <c r="AP125" s="2239" t="n">
        <f aca="false">AP23+AP57+AP91</f>
        <v>0</v>
      </c>
      <c r="AQ125" s="2312" t="n">
        <f aca="false">AP125/$AP$126</f>
        <v>0</v>
      </c>
      <c r="AR125" s="2248" t="n">
        <f aca="false">AR23+AR57+AR91</f>
        <v>0</v>
      </c>
      <c r="AS125" s="2241" t="n">
        <v>0</v>
      </c>
      <c r="AT125" s="2309" t="n">
        <f aca="false">AR125/$AR$126</f>
        <v>0</v>
      </c>
      <c r="AU125" s="2239" t="n">
        <f aca="false">AU23+AU57+AU91</f>
        <v>10660</v>
      </c>
      <c r="AV125" s="2312" t="n">
        <f aca="false">AU125/$AU$126</f>
        <v>8.50758826789564E-005</v>
      </c>
      <c r="AW125" s="2248" t="n">
        <f aca="false">AW23+AW57+AW91</f>
        <v>176180</v>
      </c>
      <c r="AX125" s="100" t="n">
        <f aca="false">AW125/AU125</f>
        <v>16.5272045028143</v>
      </c>
      <c r="AY125" s="2302" t="n">
        <f aca="false">AW125/$AW$126</f>
        <v>0.00377208751718835</v>
      </c>
      <c r="AZ125" s="2275" t="n">
        <f aca="false">AZ23+AZ57+AZ91</f>
        <v>1560</v>
      </c>
      <c r="BA125" s="2301" t="n">
        <f aca="false">AZ125/$AZ$126</f>
        <v>1.47643258679791E-005</v>
      </c>
      <c r="BB125" s="2237" t="n">
        <f aca="false">BB23+BB57+BB91</f>
        <v>39000</v>
      </c>
      <c r="BC125" s="100" t="n">
        <f aca="false">BB125/AZ125</f>
        <v>25</v>
      </c>
      <c r="BD125" s="2302" t="n">
        <f aca="false">BB125/$BB$126</f>
        <v>0.000464098748568863</v>
      </c>
      <c r="BE125" s="2275" t="n">
        <f aca="false">BE23+BE57+BE91</f>
        <v>34670</v>
      </c>
      <c r="BF125" s="2301" t="n">
        <f aca="false">BE125/$BE$126</f>
        <v>0.00015615832564632</v>
      </c>
      <c r="BG125" s="2237" t="n">
        <f aca="false">BG23+BG57+BG91</f>
        <v>182174.5</v>
      </c>
      <c r="BH125" s="100" t="n">
        <f aca="false">BG125/BE125</f>
        <v>5.25452841072974</v>
      </c>
      <c r="BI125" s="2302" t="n">
        <f aca="false">BG125/$BG$126</f>
        <v>0.00259658015718429</v>
      </c>
    </row>
    <row r="126" customFormat="false" ht="14.25" hidden="false" customHeight="false" outlineLevel="0" collapsed="false">
      <c r="A126" s="417" t="s">
        <v>25</v>
      </c>
      <c r="B126" s="2249" t="n">
        <f aca="false">SUM(B107:B125)</f>
        <v>81229808.87</v>
      </c>
      <c r="C126" s="2314" t="n">
        <f aca="false">SUM(C107:C125)</f>
        <v>1</v>
      </c>
      <c r="D126" s="413" t="n">
        <f aca="false">SUBTOTAL(9,D107:D125)</f>
        <v>12627689.47</v>
      </c>
      <c r="E126" s="2315" t="n">
        <f aca="false">D126/B126</f>
        <v>0.15545634842265</v>
      </c>
      <c r="F126" s="2310" t="n">
        <f aca="false">SUM(F107:F125)</f>
        <v>1</v>
      </c>
      <c r="G126" s="2249" t="n">
        <f aca="false">SUBTOTAL(9,G107:G125)</f>
        <v>79887484.5345</v>
      </c>
      <c r="H126" s="2314" t="n">
        <f aca="false">SUM(H107:H125)</f>
        <v>1</v>
      </c>
      <c r="I126" s="413" t="n">
        <f aca="false">SUBTOTAL(9,I107:I125)</f>
        <v>11701568.3</v>
      </c>
      <c r="J126" s="2315" t="n">
        <f aca="false">I126/G126</f>
        <v>0.146475613397823</v>
      </c>
      <c r="K126" s="2310" t="n">
        <f aca="false">SUM(K107:K125)</f>
        <v>1</v>
      </c>
      <c r="L126" s="2249" t="n">
        <f aca="false">SUBTOTAL(9,L107:L125)</f>
        <v>110659677.99</v>
      </c>
      <c r="M126" s="2314" t="n">
        <f aca="false">SUM(M107:M125)</f>
        <v>1</v>
      </c>
      <c r="N126" s="413" t="n">
        <f aca="false">SUBTOTAL(9,N107:N125)</f>
        <v>17580840.65</v>
      </c>
      <c r="O126" s="2315" t="n">
        <f aca="false">N126/L126</f>
        <v>0.158873050864912</v>
      </c>
      <c r="P126" s="2310" t="n">
        <f aca="false">SUM(P107:P125)</f>
        <v>1</v>
      </c>
      <c r="Q126" s="2249" t="n">
        <f aca="false">SUBTOTAL(9,Q107:Q125)</f>
        <v>123105294.08</v>
      </c>
      <c r="R126" s="2314" t="n">
        <f aca="false">SUM(R107:R125)</f>
        <v>1</v>
      </c>
      <c r="S126" s="413" t="n">
        <f aca="false">SUBTOTAL(9,S107:S125)</f>
        <v>17007812.61</v>
      </c>
      <c r="T126" s="2315" t="n">
        <f aca="false">S126/Q126</f>
        <v>0.138156630363496</v>
      </c>
      <c r="U126" s="2310" t="n">
        <f aca="false">SUM(U107:U125)</f>
        <v>1</v>
      </c>
      <c r="V126" s="2249" t="n">
        <f aca="false">SUBTOTAL(9,V107:V125)</f>
        <v>102557560.5</v>
      </c>
      <c r="W126" s="2316" t="n">
        <f aca="false">SUM(W107:W125)</f>
        <v>1</v>
      </c>
      <c r="X126" s="413" t="n">
        <f aca="false">SUBTOTAL(9,X107:X125)</f>
        <v>15484207.69</v>
      </c>
      <c r="Y126" s="2315" t="n">
        <f aca="false">X126/V126</f>
        <v>0.150980655297471</v>
      </c>
      <c r="Z126" s="2316" t="n">
        <f aca="false">SUM(Z107:Z125)</f>
        <v>1</v>
      </c>
      <c r="AA126" s="2252" t="n">
        <f aca="false">SUBTOTAL(9,AA107:AA125)</f>
        <v>60364874.246</v>
      </c>
      <c r="AB126" s="2314" t="n">
        <f aca="false">SUM(AB107:AB125)</f>
        <v>1</v>
      </c>
      <c r="AC126" s="433" t="n">
        <f aca="false">SUBTOTAL(9,AC107:AC125)</f>
        <v>21399515.12</v>
      </c>
      <c r="AD126" s="2253" t="n">
        <f aca="false">AC126/AA126</f>
        <v>0.354502769819288</v>
      </c>
      <c r="AE126" s="2317" t="n">
        <f aca="false">SUM(AE107:AE125)</f>
        <v>1</v>
      </c>
      <c r="AF126" s="2252" t="n">
        <f aca="false">SUBTOTAL(9,AF107:AF125)</f>
        <v>72835856.03073</v>
      </c>
      <c r="AG126" s="2314" t="n">
        <f aca="false">SUM(AG107:AG125)</f>
        <v>1</v>
      </c>
      <c r="AH126" s="433" t="n">
        <f aca="false">SUBTOTAL(9,AH107:AH125)</f>
        <v>17236497.85</v>
      </c>
      <c r="AI126" s="2253" t="n">
        <f aca="false">AH126/AF126</f>
        <v>0.236648524357671</v>
      </c>
      <c r="AJ126" s="2317" t="n">
        <f aca="false">SUM(AJ107:AJ125)</f>
        <v>1</v>
      </c>
      <c r="AK126" s="2252" t="n">
        <f aca="false">SUBTOTAL(9,AK107:AK125)</f>
        <v>94552258.84389</v>
      </c>
      <c r="AL126" s="2314" t="n">
        <f aca="false">SUM(AL107:AL125)</f>
        <v>1</v>
      </c>
      <c r="AM126" s="433" t="n">
        <f aca="false">SUBTOTAL(9,AM107:AM125)</f>
        <v>15183118.33</v>
      </c>
      <c r="AN126" s="2253" t="n">
        <f aca="false">AM126/AK126</f>
        <v>0.16057911799937</v>
      </c>
      <c r="AO126" s="2317" t="n">
        <f aca="false">SUM(AO107:AO125)</f>
        <v>1</v>
      </c>
      <c r="AP126" s="2252" t="n">
        <f aca="false">SUBTOTAL(9,AP107:AP125)</f>
        <v>121965795.9488</v>
      </c>
      <c r="AQ126" s="2314" t="n">
        <f aca="false">SUM(AQ107:AQ125)</f>
        <v>1</v>
      </c>
      <c r="AR126" s="433" t="n">
        <f aca="false">SUBTOTAL(9,AR107:AR125)</f>
        <v>28445627.87</v>
      </c>
      <c r="AS126" s="2253" t="n">
        <f aca="false">AR126/AP126</f>
        <v>0.233226271748689</v>
      </c>
      <c r="AT126" s="2317" t="n">
        <f aca="false">SUM(AT107:AT125)</f>
        <v>1</v>
      </c>
      <c r="AU126" s="2252" t="n">
        <f aca="false">SUBTOTAL(9,AU107:AU125)</f>
        <v>125299904.79472</v>
      </c>
      <c r="AV126" s="2314" t="n">
        <f aca="false">SUM(AV107:AV125)</f>
        <v>1</v>
      </c>
      <c r="AW126" s="433" t="n">
        <f aca="false">SUBTOTAL(9,AW107:AW125)</f>
        <v>46706233.4045</v>
      </c>
      <c r="AX126" s="2253" t="n">
        <f aca="false">AW126/AU126</f>
        <v>0.372755537851519</v>
      </c>
      <c r="AY126" s="2317" t="n">
        <f aca="false">SUM(AY107:AY125)</f>
        <v>1</v>
      </c>
      <c r="AZ126" s="2252" t="n">
        <f aca="false">SUBTOTAL(9,AZ107:AZ125)</f>
        <v>105660090</v>
      </c>
      <c r="BA126" s="2314" t="n">
        <f aca="false">SUM(BA107:BA125)</f>
        <v>1</v>
      </c>
      <c r="BB126" s="433" t="n">
        <f aca="false">SUBTOTAL(9,BB107:BB125)</f>
        <v>84033840.04</v>
      </c>
      <c r="BC126" s="2253" t="n">
        <f aca="false">BB126/AZ126</f>
        <v>0.795322434800122</v>
      </c>
      <c r="BD126" s="2317" t="n">
        <f aca="false">SUM(BD107:BD125)</f>
        <v>1</v>
      </c>
      <c r="BE126" s="2252" t="n">
        <f aca="false">SUBTOTAL(9,BE107:BE125)</f>
        <v>222018261.6361</v>
      </c>
      <c r="BF126" s="2314" t="n">
        <f aca="false">SUM(BF107:BF125)</f>
        <v>1</v>
      </c>
      <c r="BG126" s="433" t="n">
        <f aca="false">SUBTOTAL(9,BG107:BG125)</f>
        <v>70159397.7355</v>
      </c>
      <c r="BH126" s="2253" t="n">
        <f aca="false">BG126/BE126</f>
        <v>0.316007328489469</v>
      </c>
      <c r="BI126" s="2317" t="n">
        <f aca="false">SUM(BI107:BI125)</f>
        <v>1</v>
      </c>
    </row>
    <row r="127" customFormat="false" ht="16.4" hidden="false" customHeight="false" outlineLevel="0" collapsed="false">
      <c r="A127" s="2255" t="s">
        <v>3674</v>
      </c>
      <c r="B127" s="2318"/>
      <c r="C127" s="2318"/>
      <c r="D127" s="2318"/>
      <c r="E127" s="2318"/>
      <c r="F127" s="2296"/>
      <c r="G127" s="2319" t="n">
        <f aca="false">G126/B126-1</f>
        <v>-0.0165250214690059</v>
      </c>
      <c r="H127" s="2320" t="s">
        <v>3695</v>
      </c>
      <c r="I127" s="2321" t="n">
        <f aca="false">I126/D126-1</f>
        <v>-0.0733405087447087</v>
      </c>
      <c r="J127" s="2321" t="n">
        <f aca="false">J126/E126-1</f>
        <v>-0.0577701400808054</v>
      </c>
      <c r="K127" s="2296"/>
      <c r="L127" s="2322" t="n">
        <f aca="false">L126/B126-1</f>
        <v>0.362303808532893</v>
      </c>
      <c r="M127" s="2320" t="s">
        <v>3695</v>
      </c>
      <c r="N127" s="2323" t="n">
        <f aca="false">N126/D126-1</f>
        <v>0.392245247380161</v>
      </c>
      <c r="O127" s="2323" t="n">
        <f aca="false">O126/E126-1</f>
        <v>0.0219785327323661</v>
      </c>
      <c r="P127" s="2296"/>
      <c r="Q127" s="2322" t="n">
        <f aca="false">Q126/B126-1</f>
        <v>0.515518696800302</v>
      </c>
      <c r="R127" s="2320" t="s">
        <v>3695</v>
      </c>
      <c r="S127" s="2323" t="n">
        <f aca="false">S126/D126-1</f>
        <v>0.346866554677797</v>
      </c>
      <c r="T127" s="2323" t="n">
        <f aca="false">T126/E126-1</f>
        <v>-0.111283445383141</v>
      </c>
      <c r="U127" s="2296"/>
      <c r="V127" s="2324" t="n">
        <f aca="false">V126/B126-1</f>
        <v>0.262560652631017</v>
      </c>
      <c r="W127" s="2320" t="s">
        <v>3695</v>
      </c>
      <c r="X127" s="492" t="n">
        <f aca="false">X126/D126-1</f>
        <v>0.226210679854484</v>
      </c>
      <c r="Y127" s="2321" t="n">
        <f aca="false">Y126/E126-1</f>
        <v>-0.0287906744921798</v>
      </c>
      <c r="Z127" s="2296"/>
      <c r="AA127" s="2324" t="n">
        <f aca="false">AA126/B126-1</f>
        <v>-0.256863027431127</v>
      </c>
      <c r="AB127" s="2320" t="s">
        <v>3695</v>
      </c>
      <c r="AC127" s="2325" t="n">
        <f aca="false">AC126/D126-1</f>
        <v>0.69465009183505</v>
      </c>
      <c r="AD127" s="2325" t="n">
        <f aca="false">AD126/E126-1</f>
        <v>1.28040072609628</v>
      </c>
      <c r="AE127" s="2326"/>
      <c r="AF127" s="2324" t="n">
        <f aca="false">AF126/B126-1</f>
        <v>-0.103335868396584</v>
      </c>
      <c r="AG127" s="2320" t="s">
        <v>3695</v>
      </c>
      <c r="AH127" s="2325" t="n">
        <f aca="false">AH126/D126-1</f>
        <v>0.364976379166537</v>
      </c>
      <c r="AI127" s="2325" t="n">
        <f aca="false">AI126/E126-1</f>
        <v>0.522282793587031</v>
      </c>
      <c r="AJ127" s="2326"/>
      <c r="AK127" s="2324" t="n">
        <f aca="false">AK126/B126-1</f>
        <v>0.164009372411687</v>
      </c>
      <c r="AL127" s="2320" t="s">
        <v>3695</v>
      </c>
      <c r="AM127" s="2325" t="n">
        <f aca="false">AM126/D126-1</f>
        <v>0.202367097010978</v>
      </c>
      <c r="AN127" s="2325" t="n">
        <f aca="false">AN126/E126-1</f>
        <v>0.0329531063137563</v>
      </c>
      <c r="AO127" s="2326"/>
      <c r="AP127" s="2324" t="n">
        <f aca="false">AP126/B126-1</f>
        <v>0.501490618351617</v>
      </c>
      <c r="AQ127" s="2320" t="s">
        <v>3695</v>
      </c>
      <c r="AR127" s="2325" t="n">
        <f aca="false">AR126/D126-1</f>
        <v>1.2526391655084</v>
      </c>
      <c r="AS127" s="2325" t="n">
        <f aca="false">AS126/E126-1</f>
        <v>0.500268558441888</v>
      </c>
      <c r="AT127" s="2326"/>
      <c r="AU127" s="2324" t="n">
        <f aca="false">AU126/B126-1</f>
        <v>0.542536004181047</v>
      </c>
      <c r="AV127" s="2320" t="s">
        <v>3695</v>
      </c>
      <c r="AW127" s="2325" t="n">
        <f aca="false">AW126/D126-1</f>
        <v>2.69871570848028</v>
      </c>
      <c r="AX127" s="2325" t="n">
        <f aca="false">AX126/E126-1</f>
        <v>1.39781483119674</v>
      </c>
      <c r="AY127" s="2326"/>
      <c r="AZ127" s="2327" t="n">
        <f aca="false">AZ126/B126-1</f>
        <v>0.30075512265575</v>
      </c>
      <c r="BA127" s="2320" t="s">
        <v>3695</v>
      </c>
      <c r="BB127" s="492" t="n">
        <f aca="false">BB126/D126-1</f>
        <v>5.65472810680385</v>
      </c>
      <c r="BC127" s="492" t="n">
        <f aca="false">BC126/E126-1</f>
        <v>4.11604989355483</v>
      </c>
      <c r="BD127" s="2328" t="n">
        <f aca="false">E126</f>
        <v>0.15545634842265</v>
      </c>
      <c r="BE127" s="2327" t="n">
        <f aca="false">BE126/B126-1</f>
        <v>1.73321167099405</v>
      </c>
      <c r="BF127" s="2320" t="s">
        <v>3695</v>
      </c>
      <c r="BG127" s="492" t="n">
        <f aca="false">BG126/D126-1</f>
        <v>4.55599643958461</v>
      </c>
      <c r="BH127" s="492" t="n">
        <f aca="false">BH126/E126-1</f>
        <v>1.03277210416855</v>
      </c>
      <c r="BI127" s="2328" t="n">
        <f aca="false">E126</f>
        <v>0.15545634842265</v>
      </c>
    </row>
    <row r="128" customFormat="false" ht="16.4" hidden="false" customHeight="false" outlineLevel="0" collapsed="false">
      <c r="A128" s="379" t="s">
        <v>3675</v>
      </c>
      <c r="B128" s="2329"/>
      <c r="C128" s="2329"/>
      <c r="D128" s="2329"/>
      <c r="E128" s="2329"/>
      <c r="F128" s="2278"/>
      <c r="G128" s="2330"/>
      <c r="H128" s="2331"/>
      <c r="K128" s="2332"/>
      <c r="L128" s="2333" t="n">
        <f aca="false">L126/G126-1</f>
        <v>0.385194171963329</v>
      </c>
      <c r="M128" s="2334" t="s">
        <v>3696</v>
      </c>
      <c r="N128" s="2335" t="n">
        <f aca="false">N126/I126-1</f>
        <v>0.502434562553466</v>
      </c>
      <c r="O128" s="2335" t="n">
        <f aca="false">O126/J126-1</f>
        <v>0.0846382355362956</v>
      </c>
      <c r="P128" s="2332"/>
      <c r="Q128" s="2333" t="n">
        <f aca="false">Q126/G126-1</f>
        <v>0.540983481922454</v>
      </c>
      <c r="R128" s="2334" t="s">
        <v>3696</v>
      </c>
      <c r="S128" s="2335" t="n">
        <f aca="false">S126/I126-1</f>
        <v>0.453464371096309</v>
      </c>
      <c r="T128" s="2335" t="n">
        <f aca="false">T126/J126-1</f>
        <v>-0.0567943211934765</v>
      </c>
      <c r="U128" s="2332"/>
      <c r="V128" s="2336" t="n">
        <f aca="false">V126/G126-1</f>
        <v>0.283775063110289</v>
      </c>
      <c r="W128" s="2334" t="s">
        <v>3696</v>
      </c>
      <c r="X128" s="2260" t="n">
        <f aca="false">X126/I126-1</f>
        <v>0.323259181421007</v>
      </c>
      <c r="Y128" s="2260" t="n">
        <f aca="false">Y126/J126-1</f>
        <v>0.0307562589781552</v>
      </c>
      <c r="Z128" s="2332"/>
      <c r="AA128" s="2336" t="n">
        <f aca="false">AA126/G126-1</f>
        <v>-0.244376330062928</v>
      </c>
      <c r="AB128" s="2334" t="s">
        <v>3696</v>
      </c>
      <c r="AC128" s="2260" t="n">
        <f aca="false">AC126/I126-1</f>
        <v>0.828773252556241</v>
      </c>
      <c r="AD128" s="2260" t="n">
        <f aca="false">AD126/J126-1</f>
        <v>1.42021700128655</v>
      </c>
      <c r="AE128" s="2337"/>
      <c r="AF128" s="2336" t="n">
        <f aca="false">AF126/G126-1</f>
        <v>-0.0882695023489531</v>
      </c>
      <c r="AG128" s="2334" t="s">
        <v>3696</v>
      </c>
      <c r="AH128" s="2260" t="n">
        <f aca="false">AH126/I126-1</f>
        <v>0.473007498490609</v>
      </c>
      <c r="AI128" s="2260" t="n">
        <f aca="false">AI126/J126-1</f>
        <v>0.615617227114391</v>
      </c>
      <c r="AJ128" s="2337"/>
      <c r="AK128" s="2336" t="n">
        <f aca="false">AK126/G126-1</f>
        <v>0.183567856652902</v>
      </c>
      <c r="AL128" s="2334" t="s">
        <v>3696</v>
      </c>
      <c r="AM128" s="2260" t="n">
        <f aca="false">AM126/I126-1</f>
        <v>0.297528497098974</v>
      </c>
      <c r="AN128" s="2260" t="n">
        <f aca="false">AN126/J126-1</f>
        <v>0.096285683837638</v>
      </c>
      <c r="AO128" s="2337"/>
      <c r="AP128" s="2336" t="n">
        <f aca="false">AP126/G126-1</f>
        <v>0.526719694073333</v>
      </c>
      <c r="AQ128" s="2334" t="s">
        <v>3696</v>
      </c>
      <c r="AR128" s="2260" t="n">
        <f aca="false">AR126/I126-1</f>
        <v>1.43092439754422</v>
      </c>
      <c r="AS128" s="2260" t="n">
        <f aca="false">AS126/J126-1</f>
        <v>0.592253251845097</v>
      </c>
      <c r="AT128" s="2337"/>
      <c r="AU128" s="2336" t="n">
        <f aca="false">AU126/G126-1</f>
        <v>0.568454752641614</v>
      </c>
      <c r="AV128" s="2334" t="s">
        <v>3696</v>
      </c>
      <c r="AW128" s="2260" t="n">
        <f aca="false">AW126/I126-1</f>
        <v>2.99145073609492</v>
      </c>
      <c r="AX128" s="2260" t="n">
        <f aca="false">AX126/J126-1</f>
        <v>1.54483001780731</v>
      </c>
      <c r="AY128" s="2337"/>
      <c r="AZ128" s="2336" t="n">
        <f aca="false">AZ126/G126-1</f>
        <v>0.322611302830169</v>
      </c>
      <c r="BA128" s="2334" t="s">
        <v>3696</v>
      </c>
      <c r="BB128" s="2260" t="n">
        <f aca="false">BB126/I126-1</f>
        <v>6.18141687383904</v>
      </c>
      <c r="BC128" s="2260" t="n">
        <f aca="false">BC126/J126-1</f>
        <v>4.42972592058755</v>
      </c>
      <c r="BD128" s="2338" t="n">
        <f aca="false">J126</f>
        <v>0.146475613397823</v>
      </c>
      <c r="BE128" s="2336" t="n">
        <f aca="false">BE126/G126-1</f>
        <v>1.77913696907329</v>
      </c>
      <c r="BF128" s="2334" t="s">
        <v>3696</v>
      </c>
      <c r="BG128" s="2260" t="n">
        <f aca="false">BG126/I126-1</f>
        <v>4.99572603746628</v>
      </c>
      <c r="BH128" s="2260" t="n">
        <f aca="false">BH126/J126-1</f>
        <v>1.15740573573297</v>
      </c>
      <c r="BI128" s="2338" t="n">
        <f aca="false">J126</f>
        <v>0.146475613397823</v>
      </c>
    </row>
    <row r="129" customFormat="false" ht="16.4" hidden="false" customHeight="false" outlineLevel="0" collapsed="false">
      <c r="A129" s="379" t="s">
        <v>3676</v>
      </c>
      <c r="B129" s="2329"/>
      <c r="C129" s="2329"/>
      <c r="D129" s="2329"/>
      <c r="E129" s="2329"/>
      <c r="F129" s="2278"/>
      <c r="G129" s="2330"/>
      <c r="H129" s="2331"/>
      <c r="K129" s="2332"/>
      <c r="L129" s="2339"/>
      <c r="M129" s="2331"/>
      <c r="N129" s="2340"/>
      <c r="O129" s="2340"/>
      <c r="P129" s="2332"/>
      <c r="Q129" s="2333" t="n">
        <f aca="false">Q126/L126-1</f>
        <v>0.112467488755251</v>
      </c>
      <c r="R129" s="2334" t="s">
        <v>3697</v>
      </c>
      <c r="S129" s="2335" t="n">
        <f aca="false">S126/N126-1</f>
        <v>-0.032593893057099</v>
      </c>
      <c r="T129" s="2335" t="n">
        <f aca="false">T126/O126-1</f>
        <v>-0.130396063955685</v>
      </c>
      <c r="U129" s="2332"/>
      <c r="V129" s="2336" t="n">
        <f aca="false">V126/L126-1</f>
        <v>-0.0732165287046306</v>
      </c>
      <c r="W129" s="2334" t="s">
        <v>3697</v>
      </c>
      <c r="X129" s="2257" t="n">
        <f aca="false">X126/N126-1</f>
        <v>-0.119256695498232</v>
      </c>
      <c r="Y129" s="2257" t="n">
        <f aca="false">Y126/O126-1</f>
        <v>-0.0496773714892123</v>
      </c>
      <c r="Z129" s="2332"/>
      <c r="AA129" s="2336" t="n">
        <f aca="false">AA126/L126-1</f>
        <v>-0.454499820147181</v>
      </c>
      <c r="AB129" s="2334" t="s">
        <v>3697</v>
      </c>
      <c r="AC129" s="2260" t="n">
        <f aca="false">AC126/N126-1</f>
        <v>0.217206591312799</v>
      </c>
      <c r="AD129" s="2260" t="n">
        <f aca="false">AD126/O126-1</f>
        <v>1.23135873509925</v>
      </c>
      <c r="AE129" s="2337"/>
      <c r="AF129" s="2336" t="n">
        <f aca="false">AF126/L126-1</f>
        <v>-0.341803108831458</v>
      </c>
      <c r="AG129" s="2334" t="s">
        <v>3697</v>
      </c>
      <c r="AH129" s="2260" t="n">
        <f aca="false">AH126/N126-1</f>
        <v>-0.0195862534025071</v>
      </c>
      <c r="AI129" s="2260" t="n">
        <f aca="false">AI126/O126-1</f>
        <v>0.489544784778452</v>
      </c>
      <c r="AJ129" s="2337"/>
      <c r="AK129" s="2336" t="n">
        <f aca="false">AK126/L126-1</f>
        <v>-0.145558160286402</v>
      </c>
      <c r="AL129" s="2334" t="s">
        <v>3697</v>
      </c>
      <c r="AM129" s="2260" t="n">
        <f aca="false">AM126/N126-1</f>
        <v>-0.136382688844859</v>
      </c>
      <c r="AN129" s="2260" t="n">
        <f aca="false">AN126/O126-1</f>
        <v>0.0107385558794944</v>
      </c>
      <c r="AO129" s="2337"/>
      <c r="AP129" s="2336" t="n">
        <f aca="false">AP126/L126-1</f>
        <v>0.102170168612109</v>
      </c>
      <c r="AQ129" s="2334" t="s">
        <v>3697</v>
      </c>
      <c r="AR129" s="2260" t="n">
        <f aca="false">AR126/N126-1</f>
        <v>0.617990199461822</v>
      </c>
      <c r="AS129" s="2260" t="n">
        <f aca="false">AS126/O126-1</f>
        <v>0.468003984810486</v>
      </c>
      <c r="AT129" s="2337"/>
      <c r="AU129" s="2336" t="n">
        <f aca="false">AU126/L126-1</f>
        <v>0.132299560875669</v>
      </c>
      <c r="AV129" s="2334" t="s">
        <v>3697</v>
      </c>
      <c r="AW129" s="2260" t="n">
        <f aca="false">AW126/N126-1</f>
        <v>1.65665529506406</v>
      </c>
      <c r="AX129" s="2260" t="n">
        <f aca="false">AX126/O126-1</f>
        <v>1.3462477482633</v>
      </c>
      <c r="AY129" s="2337"/>
      <c r="AZ129" s="2336" t="n">
        <f aca="false">AZ126/L126-1</f>
        <v>-0.0451798530486579</v>
      </c>
      <c r="BA129" s="2334" t="s">
        <v>3697</v>
      </c>
      <c r="BB129" s="2260" t="n">
        <f aca="false">BB126/N126-1</f>
        <v>3.77985334791144</v>
      </c>
      <c r="BC129" s="2260" t="n">
        <f aca="false">BC126/O126-1</f>
        <v>4.00602481333589</v>
      </c>
      <c r="BD129" s="2338" t="n">
        <f aca="false">O126</f>
        <v>0.158873050864912</v>
      </c>
      <c r="BE129" s="2336" t="n">
        <f aca="false">BE126/L126-1</f>
        <v>1.00631581140299</v>
      </c>
      <c r="BF129" s="2334" t="s">
        <v>3697</v>
      </c>
      <c r="BG129" s="2260" t="n">
        <f aca="false">BG126/N126-1</f>
        <v>2.99067366187066</v>
      </c>
      <c r="BH129" s="2260" t="n">
        <f aca="false">BH126/O126-1</f>
        <v>0.98905558097558</v>
      </c>
      <c r="BI129" s="2338" t="n">
        <f aca="false">O126</f>
        <v>0.158873050864912</v>
      </c>
    </row>
    <row r="130" customFormat="false" ht="16.4" hidden="false" customHeight="false" outlineLevel="0" collapsed="false">
      <c r="A130" s="379" t="s">
        <v>3677</v>
      </c>
      <c r="B130" s="2329"/>
      <c r="C130" s="2329"/>
      <c r="D130" s="2329"/>
      <c r="E130" s="2329"/>
      <c r="F130" s="2278"/>
      <c r="G130" s="2330"/>
      <c r="H130" s="2331"/>
      <c r="K130" s="2332"/>
      <c r="L130" s="2330"/>
      <c r="M130" s="2331"/>
      <c r="P130" s="2332"/>
      <c r="Q130" s="2330"/>
      <c r="R130" s="2331"/>
      <c r="U130" s="2332"/>
      <c r="V130" s="2336" t="n">
        <f aca="false">V126/Q126-1</f>
        <v>-0.166911859750297</v>
      </c>
      <c r="W130" s="2334" t="s">
        <v>3698</v>
      </c>
      <c r="X130" s="2257" t="n">
        <f aca="false">X126/S126-1</f>
        <v>-0.0895826497467505</v>
      </c>
      <c r="Y130" s="2260" t="n">
        <f aca="false">Y126/T126-1</f>
        <v>0.0928223632860366</v>
      </c>
      <c r="Z130" s="2332"/>
      <c r="AA130" s="2336" t="n">
        <f aca="false">AA126/Q126-1</f>
        <v>-0.509648429849232</v>
      </c>
      <c r="AB130" s="2334" t="s">
        <v>3698</v>
      </c>
      <c r="AC130" s="2260" t="n">
        <f aca="false">AC126/S126-1</f>
        <v>0.25821677429688</v>
      </c>
      <c r="AD130" s="2260" t="n">
        <f aca="false">AD126/T126-1</f>
        <v>1.56594829279331</v>
      </c>
      <c r="AE130" s="2337"/>
      <c r="AF130" s="2336" t="n">
        <f aca="false">AF126/Q126-1</f>
        <v>-0.408345054735034</v>
      </c>
      <c r="AG130" s="2334" t="s">
        <v>3698</v>
      </c>
      <c r="AH130" s="2260" t="n">
        <f aca="false">AH126/S126-1</f>
        <v>0.0134458936750952</v>
      </c>
      <c r="AI130" s="2260" t="n">
        <f aca="false">AI126/T126-1</f>
        <v>0.712900233126986</v>
      </c>
      <c r="AJ130" s="2337"/>
      <c r="AK130" s="2336" t="n">
        <f aca="false">AK126/Q126-1</f>
        <v>-0.231939945795953</v>
      </c>
      <c r="AL130" s="2334" t="s">
        <v>3698</v>
      </c>
      <c r="AM130" s="2260" t="n">
        <f aca="false">AM126/S126-1</f>
        <v>-0.107285652884436</v>
      </c>
      <c r="AN130" s="2260" t="n">
        <f aca="false">AN126/T126-1</f>
        <v>0.162297586274939</v>
      </c>
      <c r="AO130" s="2337"/>
      <c r="AP130" s="2336" t="n">
        <f aca="false">AP126/Q126-1</f>
        <v>-0.00925628860818539</v>
      </c>
      <c r="AQ130" s="2334" t="s">
        <v>3698</v>
      </c>
      <c r="AR130" s="2260" t="n">
        <f aca="false">AR126/S126-1</f>
        <v>0.672503603036816</v>
      </c>
      <c r="AS130" s="2260" t="n">
        <f aca="false">AS126/T126-1</f>
        <v>0.688129416120394</v>
      </c>
      <c r="AT130" s="2337"/>
      <c r="AU130" s="2336" t="n">
        <f aca="false">AU126/Q126-1</f>
        <v>0.017827102653228</v>
      </c>
      <c r="AV130" s="2334" t="s">
        <v>3698</v>
      </c>
      <c r="AW130" s="2260" t="n">
        <f aca="false">AW126/S126-1</f>
        <v>1.74616345296739</v>
      </c>
      <c r="AX130" s="2260" t="n">
        <f aca="false">AX126/T126-1</f>
        <v>1.69806477525389</v>
      </c>
      <c r="AY130" s="2337"/>
      <c r="AZ130" s="2336" t="n">
        <f aca="false">AZ126/Q126-1</f>
        <v>-0.141709617042653</v>
      </c>
      <c r="BA130" s="2334" t="s">
        <v>3698</v>
      </c>
      <c r="BB130" s="2260" t="n">
        <f aca="false">BB126/S126-1</f>
        <v>3.94089639667073</v>
      </c>
      <c r="BC130" s="2260" t="n">
        <f aca="false">BC126/T126-1</f>
        <v>4.75667221115336</v>
      </c>
      <c r="BD130" s="2338" t="n">
        <f aca="false">T126</f>
        <v>0.138156630363496</v>
      </c>
      <c r="BE130" s="2336" t="n">
        <f aca="false">BE126/Q126-1</f>
        <v>0.803482647073012</v>
      </c>
      <c r="BF130" s="2334" t="s">
        <v>3698</v>
      </c>
      <c r="BG130" s="2260" t="n">
        <f aca="false">BG126/S126-1</f>
        <v>3.125127630713</v>
      </c>
      <c r="BH130" s="2260" t="n">
        <f aca="false">BH126/T126-1</f>
        <v>1.2873120722331</v>
      </c>
      <c r="BI130" s="2338" t="n">
        <f aca="false">T126</f>
        <v>0.138156630363496</v>
      </c>
    </row>
    <row r="131" customFormat="false" ht="16.4" hidden="false" customHeight="false" outlineLevel="0" collapsed="false">
      <c r="A131" s="379" t="s">
        <v>3678</v>
      </c>
      <c r="B131" s="2329"/>
      <c r="C131" s="2256"/>
      <c r="D131" s="2256"/>
      <c r="E131" s="2256"/>
      <c r="F131" s="2278"/>
      <c r="G131" s="2330"/>
      <c r="H131" s="2331"/>
      <c r="K131" s="2332"/>
      <c r="L131" s="2330"/>
      <c r="M131" s="2331"/>
      <c r="P131" s="2332"/>
      <c r="Q131" s="2330"/>
      <c r="R131" s="2331"/>
      <c r="U131" s="2332"/>
      <c r="V131" s="2330"/>
      <c r="W131" s="2331"/>
      <c r="Z131" s="2332"/>
      <c r="AA131" s="2336" t="n">
        <f aca="false">AA126/V126-1</f>
        <v>-0.411404932491545</v>
      </c>
      <c r="AB131" s="2334" t="s">
        <v>3699</v>
      </c>
      <c r="AC131" s="2260" t="n">
        <f aca="false">AC126/X126-1</f>
        <v>0.382021963824485</v>
      </c>
      <c r="AD131" s="2260" t="n">
        <f aca="false">AD126/Y126-1</f>
        <v>1.34800126626041</v>
      </c>
      <c r="AE131" s="2337"/>
      <c r="AF131" s="2336" t="n">
        <f aca="false">AF126/V126-1</f>
        <v>-0.289805103830156</v>
      </c>
      <c r="AG131" s="2334" t="s">
        <v>3699</v>
      </c>
      <c r="AH131" s="2260" t="n">
        <f aca="false">AH126/X126-1</f>
        <v>0.113166278513021</v>
      </c>
      <c r="AI131" s="2260" t="n">
        <f aca="false">AI126/Y126-1</f>
        <v>0.56740957238139</v>
      </c>
      <c r="AJ131" s="2337"/>
      <c r="AK131" s="2336" t="n">
        <f aca="false">AK126/V126-1</f>
        <v>-0.0780566700015255</v>
      </c>
      <c r="AL131" s="2334" t="s">
        <v>3699</v>
      </c>
      <c r="AM131" s="2260" t="n">
        <f aca="false">AM126/X126-1</f>
        <v>-0.0194449316379587</v>
      </c>
      <c r="AN131" s="2260" t="n">
        <f aca="false">AN126/Y126-1</f>
        <v>0.0635741226780866</v>
      </c>
      <c r="AO131" s="2337"/>
      <c r="AP131" s="2336" t="n">
        <f aca="false">AP126/V126-1</f>
        <v>0.189242366473801</v>
      </c>
      <c r="AQ131" s="2334" t="s">
        <v>3699</v>
      </c>
      <c r="AR131" s="2260" t="n">
        <f aca="false">AR126/X126-1</f>
        <v>0.837073516417035</v>
      </c>
      <c r="AS131" s="2260" t="n">
        <f aca="false">AS126/Y126-1</f>
        <v>0.544742743957319</v>
      </c>
      <c r="AT131" s="2337"/>
      <c r="AU131" s="2336" t="n">
        <f aca="false">AU126/V126-1</f>
        <v>0.221752001352645</v>
      </c>
      <c r="AV131" s="2334" t="s">
        <v>3699</v>
      </c>
      <c r="AW131" s="2260" t="n">
        <f aca="false">AW126/X126-1</f>
        <v>2.01637864458921</v>
      </c>
      <c r="AX131" s="2260" t="n">
        <f aca="false">AX126/Y126-1</f>
        <v>1.46889601265205</v>
      </c>
      <c r="AY131" s="2337"/>
      <c r="AZ131" s="2336" t="n">
        <f aca="false">AZ126/V126-1</f>
        <v>0.0302515922265916</v>
      </c>
      <c r="BA131" s="2334" t="s">
        <v>3699</v>
      </c>
      <c r="BB131" s="2260" t="n">
        <f aca="false">BB126/X126-1</f>
        <v>4.42706748206889</v>
      </c>
      <c r="BC131" s="2260" t="n">
        <f aca="false">BC126/Y126-1</f>
        <v>4.26771084171765</v>
      </c>
      <c r="BD131" s="2338" t="n">
        <f aca="false">Y126</f>
        <v>0.150980655297471</v>
      </c>
      <c r="BE131" s="2336" t="n">
        <f aca="false">BE126/V126-1</f>
        <v>1.16481613401969</v>
      </c>
      <c r="BF131" s="2334" t="s">
        <v>3699</v>
      </c>
      <c r="BG131" s="2260" t="n">
        <f aca="false">BG126/X126-1</f>
        <v>3.53102923572966</v>
      </c>
      <c r="BH131" s="2260" t="n">
        <f aca="false">BH126/Y126-1</f>
        <v>1.09303190443076</v>
      </c>
      <c r="BI131" s="2338" t="n">
        <f aca="false">Y126</f>
        <v>0.150980655297471</v>
      </c>
    </row>
    <row r="132" customFormat="false" ht="16.4" hidden="false" customHeight="false" outlineLevel="0" collapsed="false">
      <c r="A132" s="379" t="s">
        <v>3679</v>
      </c>
      <c r="B132" s="2329"/>
      <c r="C132" s="2256"/>
      <c r="D132" s="2256"/>
      <c r="E132" s="2256"/>
      <c r="F132" s="2278"/>
      <c r="G132" s="2330"/>
      <c r="H132" s="2331"/>
      <c r="K132" s="2332"/>
      <c r="L132" s="2330"/>
      <c r="M132" s="2331"/>
      <c r="P132" s="2332"/>
      <c r="Q132" s="2330"/>
      <c r="R132" s="2331"/>
      <c r="U132" s="2332"/>
      <c r="V132" s="2330"/>
      <c r="W132" s="2331"/>
      <c r="Z132" s="2332"/>
      <c r="AA132" s="2330"/>
      <c r="AB132" s="2331"/>
      <c r="AE132" s="2332"/>
      <c r="AF132" s="2336" t="n">
        <f aca="false">AF126/AA126-1</f>
        <v>0.206593353179334</v>
      </c>
      <c r="AG132" s="2334" t="s">
        <v>3700</v>
      </c>
      <c r="AH132" s="2260" t="n">
        <f aca="false">AH126/AC126-1</f>
        <v>-0.194537925119118</v>
      </c>
      <c r="AI132" s="2260" t="n">
        <f aca="false">AI126/AD126-1</f>
        <v>-0.332449434800453</v>
      </c>
      <c r="AJ132" s="2332"/>
      <c r="AK132" s="2336" t="n">
        <f aca="false">AK126/AA126-1</f>
        <v>0.566345660865108</v>
      </c>
      <c r="AL132" s="2334" t="s">
        <v>3700</v>
      </c>
      <c r="AM132" s="2260" t="n">
        <f aca="false">AM126/AC126-1</f>
        <v>-0.290492413269222</v>
      </c>
      <c r="AN132" s="2260" t="n">
        <f aca="false">AN126/AD126-1</f>
        <v>-0.5470300046422</v>
      </c>
      <c r="AO132" s="2332"/>
      <c r="AP132" s="2336" t="n">
        <f aca="false">AP126/AA126-1</f>
        <v>1.02047626988773</v>
      </c>
      <c r="AQ132" s="2334" t="s">
        <v>3700</v>
      </c>
      <c r="AR132" s="2260" t="n">
        <f aca="false">AR126/AC126-1</f>
        <v>0.32926506560958</v>
      </c>
      <c r="AS132" s="2260" t="n">
        <f aca="false">AS126/AD126-1</f>
        <v>-0.342103104391599</v>
      </c>
      <c r="AT132" s="2332"/>
      <c r="AU132" s="2336" t="n">
        <f aca="false">AU126/AA126-1</f>
        <v>1.07570886810922</v>
      </c>
      <c r="AV132" s="2334" t="s">
        <v>3700</v>
      </c>
      <c r="AW132" s="2260" t="n">
        <f aca="false">AW126/AC126-1</f>
        <v>1.18258372409795</v>
      </c>
      <c r="AX132" s="2260" t="n">
        <f aca="false">AX126/AD126-1</f>
        <v>0.0514883650740892</v>
      </c>
      <c r="AY132" s="2337"/>
      <c r="AZ132" s="2336" t="n">
        <f aca="false">AZ126/AA126-1</f>
        <v>0.750357162501692</v>
      </c>
      <c r="BA132" s="2334" t="s">
        <v>3700</v>
      </c>
      <c r="BB132" s="2260" t="n">
        <f aca="false">BB126/AC126-1</f>
        <v>2.92690393070925</v>
      </c>
      <c r="BC132" s="2260" t="n">
        <f aca="false">BC126/AD126-1</f>
        <v>1.24348722354284</v>
      </c>
      <c r="BD132" s="2338" t="n">
        <f aca="false">AD126</f>
        <v>0.354502769819288</v>
      </c>
      <c r="BE132" s="2336" t="n">
        <f aca="false">BE126/AA126-1</f>
        <v>2.67793794668282</v>
      </c>
      <c r="BF132" s="2334" t="s">
        <v>3700</v>
      </c>
      <c r="BG132" s="2260" t="n">
        <f aca="false">BG126/AC126-1</f>
        <v>2.27855081491678</v>
      </c>
      <c r="BH132" s="2260" t="n">
        <f aca="false">BH126/AD126-1</f>
        <v>-0.108589959253187</v>
      </c>
      <c r="BI132" s="2338" t="n">
        <f aca="false">AD126</f>
        <v>0.354502769819288</v>
      </c>
    </row>
    <row r="133" customFormat="false" ht="16.4" hidden="false" customHeight="false" outlineLevel="0" collapsed="false">
      <c r="A133" s="379" t="s">
        <v>3680</v>
      </c>
      <c r="B133" s="2329"/>
      <c r="C133" s="2256"/>
      <c r="D133" s="2256"/>
      <c r="E133" s="2256"/>
      <c r="F133" s="2278"/>
      <c r="G133" s="2330"/>
      <c r="H133" s="2331"/>
      <c r="K133" s="2332"/>
      <c r="L133" s="2330"/>
      <c r="M133" s="2331"/>
      <c r="P133" s="2332"/>
      <c r="Q133" s="2330"/>
      <c r="R133" s="2331"/>
      <c r="U133" s="2332"/>
      <c r="V133" s="2330"/>
      <c r="W133" s="2331"/>
      <c r="Z133" s="2332"/>
      <c r="AA133" s="2330"/>
      <c r="AB133" s="2331"/>
      <c r="AE133" s="2332"/>
      <c r="AF133" s="2336"/>
      <c r="AG133" s="2331"/>
      <c r="AH133" s="2260"/>
      <c r="AI133" s="2260"/>
      <c r="AJ133" s="2332"/>
      <c r="AK133" s="2336" t="n">
        <f aca="false">AK126/AF126-1</f>
        <v>0.298155386599667</v>
      </c>
      <c r="AL133" s="2334" t="s">
        <v>3701</v>
      </c>
      <c r="AM133" s="2260" t="n">
        <f aca="false">AM126/AH126-1</f>
        <v>-0.119129740732106</v>
      </c>
      <c r="AN133" s="2260" t="n">
        <f aca="false">AN126/AI126-1</f>
        <v>-0.321444668056874</v>
      </c>
      <c r="AO133" s="2332"/>
      <c r="AP133" s="2336" t="n">
        <f aca="false">AP126/AF126-1</f>
        <v>0.674529587423833</v>
      </c>
      <c r="AQ133" s="2334" t="s">
        <v>3701</v>
      </c>
      <c r="AR133" s="2260" t="n">
        <f aca="false">AR126/AH126-1</f>
        <v>0.650313661020182</v>
      </c>
      <c r="AS133" s="2260" t="n">
        <f aca="false">AS126/AI126-1</f>
        <v>-0.0144613308630192</v>
      </c>
      <c r="AT133" s="2332"/>
      <c r="AU133" s="2336" t="n">
        <f aca="false">AU126/AF126-1</f>
        <v>0.720305240070976</v>
      </c>
      <c r="AV133" s="2334" t="s">
        <v>3701</v>
      </c>
      <c r="AW133" s="2260" t="n">
        <f aca="false">AW126/AH126-1</f>
        <v>1.70972872859436</v>
      </c>
      <c r="AX133" s="2260" t="n">
        <f aca="false">AX126/AI126-1</f>
        <v>0.575144146211266</v>
      </c>
      <c r="AY133" s="2337"/>
      <c r="AZ133" s="2336" t="n">
        <f aca="false">AZ126/AF126-1</f>
        <v>0.45066037193853</v>
      </c>
      <c r="BA133" s="2334" t="s">
        <v>3701</v>
      </c>
      <c r="BB133" s="2260" t="n">
        <f aca="false">BB126/AH126-1</f>
        <v>3.8753430523591</v>
      </c>
      <c r="BC133" s="2260" t="n">
        <f aca="false">BC126/AI126-1</f>
        <v>2.36077495923056</v>
      </c>
      <c r="BD133" s="2338" t="n">
        <f aca="false">AI126</f>
        <v>0.236648524357671</v>
      </c>
      <c r="BE133" s="2336" t="n">
        <f aca="false">BE126/AF126-1</f>
        <v>2.0482000725361</v>
      </c>
      <c r="BF133" s="2334" t="s">
        <v>3701</v>
      </c>
      <c r="BG133" s="2260" t="n">
        <f aca="false">BG126/AH126-1</f>
        <v>3.07039749872971</v>
      </c>
      <c r="BH133" s="2260" t="n">
        <f aca="false">BH126/AI126-1</f>
        <v>0.335344597424389</v>
      </c>
      <c r="BI133" s="2338" t="n">
        <f aca="false">AI126</f>
        <v>0.236648524357671</v>
      </c>
    </row>
    <row r="134" customFormat="false" ht="16.4" hidden="false" customHeight="false" outlineLevel="0" collapsed="false">
      <c r="A134" s="379" t="s">
        <v>3681</v>
      </c>
      <c r="B134" s="2329"/>
      <c r="C134" s="2256"/>
      <c r="D134" s="2256"/>
      <c r="E134" s="2256"/>
      <c r="F134" s="2278"/>
      <c r="G134" s="2330"/>
      <c r="H134" s="2331"/>
      <c r="K134" s="2332"/>
      <c r="L134" s="2330"/>
      <c r="M134" s="2331"/>
      <c r="P134" s="2332"/>
      <c r="Q134" s="2330"/>
      <c r="R134" s="2331"/>
      <c r="U134" s="2332"/>
      <c r="V134" s="2330"/>
      <c r="W134" s="2331"/>
      <c r="Z134" s="2332"/>
      <c r="AA134" s="2330"/>
      <c r="AB134" s="2331"/>
      <c r="AE134" s="2332"/>
      <c r="AF134" s="2336"/>
      <c r="AG134" s="2331"/>
      <c r="AH134" s="2260"/>
      <c r="AI134" s="2260"/>
      <c r="AJ134" s="2332"/>
      <c r="AK134" s="2330"/>
      <c r="AL134" s="2331"/>
      <c r="AO134" s="2332"/>
      <c r="AP134" s="2336" t="n">
        <f aca="false">AP126/AK126-1</f>
        <v>0.289930007385344</v>
      </c>
      <c r="AQ134" s="2334" t="s">
        <v>3702</v>
      </c>
      <c r="AR134" s="2260" t="n">
        <f aca="false">AR126/AM126-1</f>
        <v>0.873503667148196</v>
      </c>
      <c r="AS134" s="2260" t="n">
        <f aca="false">AS126/AN126-1</f>
        <v>0.452407228626104</v>
      </c>
      <c r="AT134" s="2332"/>
      <c r="AU134" s="2336" t="n">
        <f aca="false">AU126/AK126-1</f>
        <v>0.325192082418631</v>
      </c>
      <c r="AV134" s="2334" t="s">
        <v>3702</v>
      </c>
      <c r="AW134" s="2260" t="n">
        <f aca="false">AW126/AM126-1</f>
        <v>2.07619504698282</v>
      </c>
      <c r="AX134" s="2260" t="n">
        <f aca="false">AX126/AN126-1</f>
        <v>1.32132012241456</v>
      </c>
      <c r="AY134" s="2337"/>
      <c r="AZ134" s="2336" t="n">
        <f aca="false">AZ126/AK126-1</f>
        <v>0.117478220953447</v>
      </c>
      <c r="BA134" s="2334" t="s">
        <v>3702</v>
      </c>
      <c r="BB134" s="2260" t="n">
        <f aca="false">BB126/AM126-1</f>
        <v>4.53468913391522</v>
      </c>
      <c r="BC134" s="2260" t="n">
        <f aca="false">BC126/AN126-1</f>
        <v>3.95283848055039</v>
      </c>
      <c r="BD134" s="2338" t="n">
        <f aca="false">AN126</f>
        <v>0.16057911799937</v>
      </c>
      <c r="BE134" s="2336" t="n">
        <f aca="false">BE126/AK126-1</f>
        <v>1.34810108558762</v>
      </c>
      <c r="BF134" s="2334" t="s">
        <v>3702</v>
      </c>
      <c r="BG134" s="2260" t="n">
        <f aca="false">BG126/AM126-1</f>
        <v>3.6208819697383</v>
      </c>
      <c r="BH134" s="2260" t="n">
        <f aca="false">BH126/AN126-1</f>
        <v>0.967922930618594</v>
      </c>
      <c r="BI134" s="2338" t="n">
        <f aca="false">AN126</f>
        <v>0.16057911799937</v>
      </c>
    </row>
    <row r="135" customFormat="false" ht="16.4" hidden="false" customHeight="false" outlineLevel="0" collapsed="false">
      <c r="A135" s="379" t="s">
        <v>3682</v>
      </c>
      <c r="B135" s="2329"/>
      <c r="C135" s="2256"/>
      <c r="D135" s="2256"/>
      <c r="E135" s="2256"/>
      <c r="F135" s="2278"/>
      <c r="G135" s="2330"/>
      <c r="H135" s="2331"/>
      <c r="K135" s="2332"/>
      <c r="L135" s="2330"/>
      <c r="M135" s="2331"/>
      <c r="P135" s="2332"/>
      <c r="Q135" s="2330"/>
      <c r="R135" s="2331"/>
      <c r="U135" s="2332"/>
      <c r="V135" s="2330"/>
      <c r="W135" s="2331"/>
      <c r="Z135" s="2332"/>
      <c r="AA135" s="2330"/>
      <c r="AB135" s="2331"/>
      <c r="AE135" s="2332"/>
      <c r="AF135" s="2336"/>
      <c r="AG135" s="2331"/>
      <c r="AH135" s="2260"/>
      <c r="AI135" s="2260"/>
      <c r="AJ135" s="2332"/>
      <c r="AK135" s="2330"/>
      <c r="AL135" s="2331"/>
      <c r="AO135" s="2332"/>
      <c r="AP135" s="2336"/>
      <c r="AQ135" s="2334"/>
      <c r="AT135" s="2332"/>
      <c r="AU135" s="2336" t="n">
        <f aca="false">AU126/AP126-1</f>
        <v>0.0273364251016706</v>
      </c>
      <c r="AV135" s="2334" t="s">
        <v>3703</v>
      </c>
      <c r="AW135" s="2260" t="n">
        <f aca="false">AW126/AR126-1</f>
        <v>0.641947705213371</v>
      </c>
      <c r="AX135" s="2260" t="n">
        <f aca="false">AX126/AS126-1</f>
        <v>0.598257070512102</v>
      </c>
      <c r="AY135" s="2337"/>
      <c r="AZ135" s="2336" t="n">
        <f aca="false">AZ126/AP126-1</f>
        <v>-0.133690809148206</v>
      </c>
      <c r="BA135" s="2334" t="s">
        <v>3703</v>
      </c>
      <c r="BB135" s="2260" t="n">
        <f aca="false">BB126/AR126-1</f>
        <v>1.95419178033422</v>
      </c>
      <c r="BC135" s="2260" t="n">
        <f aca="false">BC126/AS126-1</f>
        <v>2.41008939017434</v>
      </c>
      <c r="BD135" s="2338" t="n">
        <f aca="false">AS126</f>
        <v>0.233226271748689</v>
      </c>
      <c r="BE135" s="2336" t="n">
        <f aca="false">BE126/AP126-1</f>
        <v>0.82033216697328</v>
      </c>
      <c r="BF135" s="2334" t="s">
        <v>3703</v>
      </c>
      <c r="BG135" s="2260" t="n">
        <f aca="false">BG126/AR126-1</f>
        <v>1.46643871093783</v>
      </c>
      <c r="BH135" s="2260" t="n">
        <f aca="false">BH126/AS126-1</f>
        <v>0.354938815940857</v>
      </c>
      <c r="BI135" s="2338" t="n">
        <f aca="false">AS126</f>
        <v>0.233226271748689</v>
      </c>
    </row>
    <row r="136" customFormat="false" ht="16.4" hidden="false" customHeight="false" outlineLevel="0" collapsed="false">
      <c r="A136" s="379" t="s">
        <v>3683</v>
      </c>
      <c r="B136" s="2329"/>
      <c r="C136" s="2256"/>
      <c r="D136" s="2256"/>
      <c r="E136" s="2256"/>
      <c r="F136" s="2278"/>
      <c r="G136" s="2330"/>
      <c r="H136" s="2331"/>
      <c r="K136" s="2332"/>
      <c r="L136" s="2330"/>
      <c r="M136" s="2331"/>
      <c r="P136" s="2332"/>
      <c r="Q136" s="2330"/>
      <c r="R136" s="2331"/>
      <c r="U136" s="2332"/>
      <c r="V136" s="2330"/>
      <c r="W136" s="2331"/>
      <c r="Z136" s="2332"/>
      <c r="AA136" s="2330"/>
      <c r="AB136" s="2331"/>
      <c r="AE136" s="2332"/>
      <c r="AF136" s="2336"/>
      <c r="AG136" s="2331"/>
      <c r="AH136" s="2260"/>
      <c r="AI136" s="2260"/>
      <c r="AJ136" s="2332"/>
      <c r="AK136" s="2330"/>
      <c r="AL136" s="2331"/>
      <c r="AO136" s="2332"/>
      <c r="AP136" s="2336"/>
      <c r="AQ136" s="2334"/>
      <c r="AT136" s="2332"/>
      <c r="AU136" s="2330"/>
      <c r="AY136" s="2332"/>
      <c r="AZ136" s="2336" t="n">
        <f aca="false">AZ126/AU126-1</f>
        <v>-0.156742455845406</v>
      </c>
      <c r="BA136" s="2334" t="s">
        <v>3704</v>
      </c>
      <c r="BB136" s="2260" t="n">
        <f aca="false">BB126/AW126-1</f>
        <v>0.799199676673213</v>
      </c>
      <c r="BC136" s="2260" t="n">
        <f aca="false">BC126/AX126-1</f>
        <v>1.13363009811789</v>
      </c>
      <c r="BD136" s="2338" t="n">
        <f aca="false">AX126</f>
        <v>0.372755537851519</v>
      </c>
      <c r="BE136" s="2336" t="n">
        <f aca="false">BE126/AU126-1</f>
        <v>0.771894894891058</v>
      </c>
      <c r="BF136" s="2334" t="s">
        <v>3704</v>
      </c>
      <c r="BG136" s="2260" t="n">
        <f aca="false">BG126/AW126-1</f>
        <v>0.50214206159344</v>
      </c>
      <c r="BH136" s="2260" t="n">
        <f aca="false">BH126/AX126-1</f>
        <v>-0.152239748573915</v>
      </c>
      <c r="BI136" s="2338" t="n">
        <f aca="false">AX126</f>
        <v>0.372755537851519</v>
      </c>
    </row>
    <row r="137" customFormat="false" ht="16.4" hidden="false" customHeight="false" outlineLevel="0" collapsed="false">
      <c r="A137" s="379" t="s">
        <v>3684</v>
      </c>
      <c r="B137" s="2329"/>
      <c r="C137" s="2256"/>
      <c r="D137" s="2256"/>
      <c r="E137" s="2256"/>
      <c r="F137" s="2278"/>
      <c r="G137" s="2330"/>
      <c r="H137" s="2331"/>
      <c r="K137" s="2332"/>
      <c r="L137" s="2330"/>
      <c r="M137" s="2331"/>
      <c r="P137" s="2332"/>
      <c r="Q137" s="2330"/>
      <c r="R137" s="2331"/>
      <c r="U137" s="2332"/>
      <c r="V137" s="2330"/>
      <c r="W137" s="2331"/>
      <c r="Z137" s="2332"/>
      <c r="AA137" s="2330"/>
      <c r="AB137" s="2331"/>
      <c r="AE137" s="2332"/>
      <c r="AF137" s="2336"/>
      <c r="AG137" s="2331"/>
      <c r="AH137" s="2260"/>
      <c r="AI137" s="2260"/>
      <c r="AJ137" s="2332"/>
      <c r="AK137" s="2330"/>
      <c r="AL137" s="2331"/>
      <c r="AO137" s="2332"/>
      <c r="AP137" s="2336"/>
      <c r="AQ137" s="2334"/>
      <c r="AT137" s="2332"/>
      <c r="AU137" s="2330"/>
      <c r="AY137" s="2332"/>
      <c r="AZ137" s="2336"/>
      <c r="BA137" s="2334"/>
      <c r="BB137" s="2260"/>
      <c r="BC137" s="2260"/>
      <c r="BD137" s="2338"/>
      <c r="BE137" s="2336" t="n">
        <f aca="false">BE126/AZ126-1</f>
        <v>1.10124997656258</v>
      </c>
      <c r="BF137" s="2334" t="s">
        <v>3705</v>
      </c>
      <c r="BG137" s="2260" t="n">
        <f aca="false">BG126/BB126-1</f>
        <v>-0.165105418220752</v>
      </c>
      <c r="BH137" s="2260" t="n">
        <f aca="false">BH126/BC126-1</f>
        <v>-0.602667654447737</v>
      </c>
      <c r="BI137" s="2338" t="n">
        <f aca="false">BC126</f>
        <v>0.795322434800122</v>
      </c>
    </row>
    <row r="138" customFormat="false" ht="14.25" hidden="false" customHeight="false" outlineLevel="0" collapsed="false">
      <c r="A138" s="379" t="s">
        <v>3706</v>
      </c>
      <c r="B138" s="2279"/>
      <c r="F138" s="2278"/>
      <c r="G138" s="2279"/>
      <c r="K138" s="2278"/>
      <c r="L138" s="2279"/>
      <c r="P138" s="2278"/>
      <c r="Q138" s="2279"/>
      <c r="U138" s="2278"/>
      <c r="V138" s="2279"/>
      <c r="Z138" s="2278"/>
      <c r="AA138" s="2279"/>
      <c r="AE138" s="2278"/>
      <c r="AF138" s="2279"/>
      <c r="AJ138" s="2278"/>
      <c r="AK138" s="2279"/>
      <c r="AO138" s="2278"/>
      <c r="AP138" s="2279"/>
      <c r="AT138" s="2278"/>
      <c r="AU138" s="2279"/>
      <c r="AY138" s="2278"/>
      <c r="AZ138" s="2279"/>
      <c r="BC138" s="2"/>
      <c r="BD138" s="2278"/>
      <c r="BE138" s="2336"/>
      <c r="BI138" s="2338"/>
    </row>
    <row r="139" customFormat="false" ht="14.25" hidden="false" customHeight="false" outlineLevel="0" collapsed="false">
      <c r="A139" s="379" t="s">
        <v>175</v>
      </c>
      <c r="B139" s="2341" t="n">
        <v>1343517</v>
      </c>
      <c r="F139" s="2278"/>
      <c r="G139" s="2341" t="n">
        <v>1346207</v>
      </c>
      <c r="K139" s="2278"/>
      <c r="L139" s="2341" t="n">
        <v>1843059</v>
      </c>
      <c r="P139" s="2278"/>
      <c r="Q139" s="2341" t="n">
        <v>2039045</v>
      </c>
      <c r="U139" s="2278"/>
      <c r="V139" s="2341" t="n">
        <v>1751071</v>
      </c>
      <c r="Z139" s="2278"/>
      <c r="AA139" s="2341" t="n">
        <v>1228124</v>
      </c>
      <c r="AE139" s="2278"/>
      <c r="AF139" s="2341" t="n">
        <v>1459774</v>
      </c>
      <c r="AJ139" s="2278"/>
      <c r="AK139" s="2341" t="n">
        <v>1873685</v>
      </c>
      <c r="AO139" s="2278"/>
      <c r="AP139" s="2341" t="n">
        <v>2922005</v>
      </c>
      <c r="AT139" s="2278"/>
      <c r="AU139" s="2341" t="n">
        <v>3438470</v>
      </c>
      <c r="AY139" s="2278"/>
      <c r="AZ139" s="2342" t="n">
        <f aca="false">[13]VENDA!G2263</f>
        <v>3356783</v>
      </c>
      <c r="BA139" s="2257"/>
      <c r="BC139" s="2"/>
      <c r="BD139" s="2278"/>
      <c r="BE139" s="2342" t="n">
        <f aca="false">VEN!H2064</f>
        <v>4826481.7666</v>
      </c>
      <c r="BF139" s="2260" t="n">
        <f aca="false">BE139/AZ139-1</f>
        <v>0.437829542928453</v>
      </c>
      <c r="BI139" s="2278"/>
    </row>
    <row r="140" customFormat="false" ht="14.25" hidden="false" customHeight="false" outlineLevel="0" collapsed="false">
      <c r="A140" s="379" t="s">
        <v>3707</v>
      </c>
      <c r="B140" s="2343" t="n">
        <f aca="false">B126/B139</f>
        <v>60.4605739041635</v>
      </c>
      <c r="D140" s="2344" t="n">
        <f aca="false">B140*E126</f>
        <v>9.39898004267903</v>
      </c>
      <c r="F140" s="2278"/>
      <c r="G140" s="2343" t="n">
        <f aca="false">G126/G139</f>
        <v>59.3426453246046</v>
      </c>
      <c r="H140" s="2257" t="n">
        <f aca="false">G140/B140-1</f>
        <v>-0.0184902078721731</v>
      </c>
      <c r="I140" s="2344" t="n">
        <f aca="false">G140*J126</f>
        <v>8.69225037457092</v>
      </c>
      <c r="K140" s="2278"/>
      <c r="L140" s="2343" t="n">
        <f aca="false">L126/L139</f>
        <v>60.0413106634134</v>
      </c>
      <c r="M140" s="2260" t="n">
        <f aca="false">L140/G140-1</f>
        <v>0.0117734107569198</v>
      </c>
      <c r="N140" s="2344" t="n">
        <f aca="false">L140*O126</f>
        <v>9.53894620302443</v>
      </c>
      <c r="P140" s="2278"/>
      <c r="Q140" s="2343" t="n">
        <f aca="false">Q126/Q139</f>
        <v>60.3739957087754</v>
      </c>
      <c r="R140" s="2260" t="n">
        <f aca="false">Q140/L140-1</f>
        <v>0.00554093576049763</v>
      </c>
      <c r="S140" s="2344" t="n">
        <f aca="false">Q140*T126</f>
        <v>8.34106780870456</v>
      </c>
      <c r="U140" s="2278"/>
      <c r="V140" s="2343" t="n">
        <f aca="false">V126/V139</f>
        <v>58.5684763781708</v>
      </c>
      <c r="W140" s="2257" t="n">
        <f aca="false">V140/Q140-1</f>
        <v>-0.0299055795364918</v>
      </c>
      <c r="X140" s="2344" t="n">
        <f aca="false">V140*Y126</f>
        <v>8.84270694335067</v>
      </c>
      <c r="Z140" s="2278"/>
      <c r="AA140" s="2343" t="n">
        <f aca="false">AA126/AA139</f>
        <v>49.1521004768248</v>
      </c>
      <c r="AB140" s="2257" t="n">
        <f aca="false">AA140/V140-1</f>
        <v>-0.160775497053149</v>
      </c>
      <c r="AC140" s="2344" t="n">
        <f aca="false">AA140*AD126</f>
        <v>17.4245557614703</v>
      </c>
      <c r="AE140" s="2278"/>
      <c r="AF140" s="2343" t="n">
        <f aca="false">AF126/AF139</f>
        <v>49.8952961422316</v>
      </c>
      <c r="AG140" s="2260" t="n">
        <f aca="false">AF140/AA140-1</f>
        <v>0.015120323611749</v>
      </c>
      <c r="AH140" s="2344" t="n">
        <f aca="false">AF140*AI126</f>
        <v>11.8076482044481</v>
      </c>
      <c r="AJ140" s="2278"/>
      <c r="AK140" s="2343" t="n">
        <f aca="false">AK126/AK139</f>
        <v>50.4632629518249</v>
      </c>
      <c r="AL140" s="2260" t="n">
        <f aca="false">AK140/AF140-1</f>
        <v>0.0113831734353123</v>
      </c>
      <c r="AM140" s="2344" t="n">
        <f aca="false">AK140*AN126</f>
        <v>8.10334625617433</v>
      </c>
      <c r="AO140" s="2278"/>
      <c r="AP140" s="2343" t="n">
        <f aca="false">AP126/AP139</f>
        <v>41.740447380754</v>
      </c>
      <c r="AQ140" s="2257" t="n">
        <f aca="false">AP140/AK140-1</f>
        <v>-0.172854767227363</v>
      </c>
      <c r="AR140" s="2344" t="n">
        <f aca="false">AP140*AS126</f>
        <v>9.73496892373559</v>
      </c>
      <c r="AT140" s="2278"/>
      <c r="AU140" s="2343" t="n">
        <f aca="false">AU126/AU139</f>
        <v>36.4405985204815</v>
      </c>
      <c r="AV140" s="2257" t="n">
        <f aca="false">AU140/AP140-1</f>
        <v>-0.126971539426196</v>
      </c>
      <c r="AW140" s="2344" t="n">
        <f aca="false">AU140*AX126</f>
        <v>13.5834349011334</v>
      </c>
      <c r="AY140" s="2278"/>
      <c r="AZ140" s="2345" t="n">
        <f aca="false">AZ126/AZ139</f>
        <v>31.4765923206832</v>
      </c>
      <c r="BA140" s="2257" t="n">
        <f aca="false">AZ140/AU140-1</f>
        <v>-0.136221862464971</v>
      </c>
      <c r="BB140" s="2344" t="n">
        <f aca="false">AZ140*BC126</f>
        <v>25.0340400436966</v>
      </c>
      <c r="BC140" s="2"/>
      <c r="BD140" s="2278"/>
      <c r="BE140" s="2345" t="n">
        <f aca="false">BE126/BE139</f>
        <v>46.0000207962041</v>
      </c>
      <c r="BF140" s="2260" t="n">
        <f aca="false">BE140/AZ140-1</f>
        <v>0.461404091254744</v>
      </c>
      <c r="BG140" s="2344" t="n">
        <f aca="false">BE140*BH126</f>
        <v>14.5363436822685</v>
      </c>
      <c r="BI140" s="2278"/>
    </row>
    <row r="141" customFormat="false" ht="14.25" hidden="false" customHeight="false" outlineLevel="0" collapsed="false">
      <c r="A141" s="9" t="s">
        <v>3708</v>
      </c>
      <c r="B141" s="2279"/>
      <c r="F141" s="2278"/>
      <c r="G141" s="2279"/>
      <c r="K141" s="2278"/>
      <c r="L141" s="2279"/>
      <c r="P141" s="2278"/>
      <c r="Q141" s="2279"/>
      <c r="U141" s="2278"/>
      <c r="V141" s="2279"/>
      <c r="Z141" s="2278"/>
      <c r="AA141" s="2279"/>
      <c r="AE141" s="2278"/>
      <c r="AF141" s="2279"/>
      <c r="AJ141" s="2278"/>
      <c r="AK141" s="2279"/>
      <c r="AO141" s="2346"/>
      <c r="AP141" s="2300"/>
      <c r="AQ141" s="9"/>
      <c r="AR141" s="9"/>
      <c r="AS141" s="9"/>
      <c r="AT141" s="2346"/>
      <c r="AU141" s="2300"/>
      <c r="AV141" s="9"/>
      <c r="AW141" s="9"/>
      <c r="AX141" s="9"/>
      <c r="AY141" s="2346"/>
      <c r="AZ141" s="2345"/>
      <c r="BA141" s="2257"/>
      <c r="BC141" s="2"/>
      <c r="BD141" s="2278"/>
      <c r="BE141" s="2345" t="n">
        <f aca="false">(B140+G140+L140+Q140+V140+AA140+AF140+AK140+AP140+AU140+AZ140)/11</f>
        <v>50.7232090701753</v>
      </c>
      <c r="BF141" s="2257" t="n">
        <f aca="false">BE140/BE141-1</f>
        <v>-0.0931169056641633</v>
      </c>
      <c r="BI141" s="2278"/>
    </row>
    <row r="142" customFormat="false" ht="14.25" hidden="false" customHeight="false" outlineLevel="0" collapsed="false">
      <c r="A142" s="379" t="s">
        <v>3709</v>
      </c>
      <c r="B142" s="2279"/>
      <c r="F142" s="2278"/>
      <c r="G142" s="2279"/>
      <c r="K142" s="2278"/>
      <c r="L142" s="2279"/>
      <c r="P142" s="2278"/>
      <c r="Q142" s="2279"/>
      <c r="U142" s="2278"/>
      <c r="V142" s="2279"/>
      <c r="Z142" s="2278"/>
      <c r="AA142" s="2279"/>
      <c r="AE142" s="2278"/>
      <c r="AF142" s="2279"/>
      <c r="AJ142" s="2278"/>
      <c r="AK142" s="2279"/>
      <c r="AO142" s="2278"/>
      <c r="AP142" s="2279"/>
      <c r="AT142" s="2278"/>
      <c r="AU142" s="2279"/>
      <c r="AY142" s="2278"/>
      <c r="AZ142" s="2347"/>
      <c r="BA142" s="2260"/>
      <c r="BC142" s="2"/>
      <c r="BD142" s="2278"/>
      <c r="BE142" s="2347" t="n">
        <f aca="false">(B139+G139+L139+Q139+V139+AA139+AF139+AK139+AP139+AU139+AZ139)/11</f>
        <v>2054703.63636364</v>
      </c>
      <c r="BF142" s="2260" t="n">
        <f aca="false">BE139/BE142-1</f>
        <v>1.34899168969292</v>
      </c>
      <c r="BI142" s="2278"/>
    </row>
    <row r="143" customFormat="false" ht="14.25" hidden="false" customHeight="false" outlineLevel="0" collapsed="false">
      <c r="A143" s="379" t="s">
        <v>3710</v>
      </c>
      <c r="B143" s="2279"/>
      <c r="F143" s="2278"/>
      <c r="G143" s="2279"/>
      <c r="K143" s="2278"/>
      <c r="L143" s="2279"/>
      <c r="P143" s="2278"/>
      <c r="Q143" s="2279"/>
      <c r="U143" s="2278"/>
      <c r="V143" s="2279"/>
      <c r="Z143" s="2278"/>
      <c r="AA143" s="2279"/>
      <c r="AE143" s="2278"/>
      <c r="AF143" s="2279"/>
      <c r="AJ143" s="2278"/>
      <c r="AK143" s="2279"/>
      <c r="AO143" s="2278"/>
      <c r="AP143" s="2279"/>
      <c r="AT143" s="2278"/>
      <c r="AU143" s="2279"/>
      <c r="AY143" s="2278"/>
      <c r="AZ143" s="2342"/>
      <c r="BA143" s="2260"/>
      <c r="BC143" s="2"/>
      <c r="BD143" s="2278"/>
      <c r="BE143" s="2342" t="n">
        <f aca="false">(B126+G126+L126+Q126+V126+AA126+AF126+AK126+AP126+AU126+AZ126)/11</f>
        <v>98010782.3489673</v>
      </c>
      <c r="BF143" s="2260" t="n">
        <f aca="false">BE126/BE143-1</f>
        <v>1.26524323462294</v>
      </c>
      <c r="BI143" s="2278"/>
    </row>
    <row r="144" customFormat="false" ht="14.25" hidden="false" customHeight="false" outlineLevel="0" collapsed="false">
      <c r="A144" s="379" t="s">
        <v>3711</v>
      </c>
      <c r="B144" s="2279"/>
      <c r="F144" s="2278"/>
      <c r="G144" s="2279"/>
      <c r="K144" s="2278"/>
      <c r="L144" s="2279"/>
      <c r="P144" s="2278"/>
      <c r="Q144" s="2279"/>
      <c r="U144" s="2278"/>
      <c r="V144" s="2279"/>
      <c r="Z144" s="2278"/>
      <c r="AA144" s="2279"/>
      <c r="AE144" s="2278"/>
      <c r="AF144" s="2279"/>
      <c r="AJ144" s="2278"/>
      <c r="AK144" s="2279"/>
      <c r="AO144" s="2278"/>
      <c r="AP144" s="2279"/>
      <c r="AT144" s="2278"/>
      <c r="AU144" s="2279"/>
      <c r="AY144" s="2278"/>
      <c r="AZ144" s="2348"/>
      <c r="BA144" s="2260"/>
      <c r="BC144" s="2"/>
      <c r="BD144" s="2278"/>
      <c r="BE144" s="2348" t="n">
        <f aca="false">(D126+I126+N126+S126+X126+AC126+AH126+AM126+AR126+AW126+BB126)/11</f>
        <v>26127904.6667727</v>
      </c>
      <c r="BF144" s="2260" t="n">
        <f aca="false">BG126/BE144-1</f>
        <v>1.68522863315262</v>
      </c>
      <c r="BI144" s="2278"/>
    </row>
    <row r="145" customFormat="false" ht="14.25" hidden="false" customHeight="false" outlineLevel="0" collapsed="false">
      <c r="B145" s="2286"/>
      <c r="C145" s="256"/>
      <c r="D145" s="256"/>
      <c r="E145" s="256"/>
      <c r="F145" s="2287"/>
      <c r="G145" s="2286"/>
      <c r="H145" s="256"/>
      <c r="I145" s="256"/>
      <c r="J145" s="256"/>
      <c r="K145" s="2287"/>
      <c r="L145" s="2286"/>
      <c r="M145" s="256"/>
      <c r="N145" s="256"/>
      <c r="O145" s="256"/>
      <c r="P145" s="2287"/>
      <c r="Q145" s="2286"/>
      <c r="R145" s="256"/>
      <c r="S145" s="256"/>
      <c r="T145" s="256"/>
      <c r="U145" s="2287"/>
      <c r="V145" s="2286"/>
      <c r="W145" s="256"/>
      <c r="X145" s="256"/>
      <c r="Y145" s="256"/>
      <c r="Z145" s="2287"/>
      <c r="AA145" s="2286"/>
      <c r="AB145" s="256"/>
      <c r="AC145" s="256"/>
      <c r="AD145" s="256"/>
      <c r="AE145" s="2287"/>
      <c r="AF145" s="2286"/>
      <c r="AG145" s="256"/>
      <c r="AH145" s="256"/>
      <c r="AI145" s="256"/>
      <c r="AJ145" s="2287"/>
      <c r="AK145" s="2286"/>
      <c r="AL145" s="256"/>
      <c r="AM145" s="256"/>
      <c r="AN145" s="256"/>
      <c r="AO145" s="2287"/>
      <c r="AP145" s="2279"/>
      <c r="AT145" s="2278"/>
      <c r="AU145" s="2279"/>
      <c r="AY145" s="2278"/>
      <c r="AZ145" s="2279"/>
      <c r="BD145" s="2278"/>
      <c r="BE145" s="2279"/>
      <c r="BI145" s="2278"/>
    </row>
    <row r="146" customFormat="false" ht="15" hidden="false" customHeight="true" outlineLevel="0" collapsed="false">
      <c r="A146" s="2349" t="s">
        <v>3712</v>
      </c>
      <c r="B146" s="2350"/>
      <c r="C146" s="2350"/>
      <c r="D146" s="2350"/>
      <c r="E146" s="2350"/>
      <c r="F146" s="2350"/>
      <c r="G146" s="2350"/>
      <c r="H146" s="2350"/>
      <c r="I146" s="2350"/>
      <c r="J146" s="2350"/>
      <c r="K146" s="2350"/>
      <c r="L146" s="2350"/>
      <c r="M146" s="2350"/>
      <c r="N146" s="2350"/>
      <c r="O146" s="2350"/>
      <c r="P146" s="2350"/>
      <c r="Q146" s="2350"/>
      <c r="R146" s="2350"/>
      <c r="S146" s="2350"/>
      <c r="T146" s="2350"/>
      <c r="U146" s="2350"/>
      <c r="V146" s="2350"/>
      <c r="W146" s="2350"/>
      <c r="X146" s="2350"/>
      <c r="Y146" s="2350"/>
      <c r="Z146" s="2350"/>
      <c r="AA146" s="2350"/>
      <c r="AB146" s="2350"/>
      <c r="AC146" s="2350"/>
      <c r="AD146" s="2350"/>
      <c r="AE146" s="2350"/>
      <c r="AF146" s="2350"/>
      <c r="AG146" s="2351" t="s">
        <v>3713</v>
      </c>
      <c r="AH146" s="2352" t="n">
        <f aca="false">AN148-AN146</f>
        <v>27155312.7266007</v>
      </c>
      <c r="AI146" s="348" t="s">
        <v>3714</v>
      </c>
      <c r="AJ146" s="348"/>
      <c r="AK146" s="2352" t="n">
        <f aca="false">'SAL. '!K58</f>
        <v>-1540676.9446802</v>
      </c>
      <c r="AL146" s="2352"/>
      <c r="AM146" s="2353" t="s">
        <v>3715</v>
      </c>
      <c r="AN146" s="2354" t="n">
        <f aca="false">'SAL. '!B58+'SAL. '!C58+'SAL. '!D58+'SAL. '!E58+'SAL. '!F58</f>
        <v>43004085.0088993</v>
      </c>
      <c r="AO146" s="2354"/>
      <c r="AP146" s="2355"/>
      <c r="AQ146" s="2356"/>
      <c r="AR146" s="2356"/>
      <c r="AS146" s="2356"/>
      <c r="AT146" s="2357"/>
      <c r="AU146" s="2355"/>
      <c r="AV146" s="2356"/>
      <c r="AW146" s="2356"/>
      <c r="AX146" s="2356"/>
      <c r="AY146" s="2357"/>
      <c r="AZ146" s="2355"/>
      <c r="BA146" s="2356"/>
      <c r="BB146" s="2356"/>
      <c r="BC146" s="2356"/>
      <c r="BD146" s="2357"/>
      <c r="BE146" s="2358" t="n">
        <f aca="false">'SAL. '!G61</f>
        <v>0</v>
      </c>
      <c r="BF146" s="2359" t="n">
        <f aca="false">AN146/AN148</f>
        <v>0.61294832049477</v>
      </c>
      <c r="BG146" s="2350"/>
      <c r="BH146" s="2350"/>
      <c r="BI146" s="2296"/>
    </row>
    <row r="147" customFormat="false" ht="14.25" hidden="false" customHeight="false" outlineLevel="0" collapsed="false">
      <c r="A147" s="2349"/>
      <c r="AG147" s="2351"/>
      <c r="AH147" s="2352"/>
      <c r="AI147" s="348"/>
      <c r="AJ147" s="348"/>
      <c r="AK147" s="2352"/>
      <c r="AL147" s="2352"/>
      <c r="AM147" s="2353"/>
      <c r="AN147" s="2354"/>
      <c r="AO147" s="2354"/>
      <c r="AP147" s="2360"/>
      <c r="AQ147" s="2361"/>
      <c r="AR147" s="2361"/>
      <c r="AS147" s="2361"/>
      <c r="AT147" s="2362"/>
      <c r="AU147" s="2360"/>
      <c r="AV147" s="2361"/>
      <c r="AW147" s="2361"/>
      <c r="AX147" s="2361"/>
      <c r="AY147" s="2362"/>
      <c r="AZ147" s="2360"/>
      <c r="BA147" s="2361"/>
      <c r="BB147" s="2361"/>
      <c r="BC147" s="2361"/>
      <c r="BD147" s="2362"/>
      <c r="BE147" s="2358"/>
      <c r="BF147" s="2359"/>
      <c r="BG147" s="2363" t="s">
        <v>3716</v>
      </c>
      <c r="BH147" s="2363"/>
      <c r="BI147" s="2363"/>
    </row>
    <row r="148" customFormat="false" ht="14.25" hidden="false" customHeight="true" outlineLevel="0" collapsed="false">
      <c r="A148" s="2364" t="s">
        <v>3717</v>
      </c>
      <c r="AG148" s="2351"/>
      <c r="AH148" s="2352"/>
      <c r="AI148" s="40" t="s">
        <v>3718</v>
      </c>
      <c r="AJ148" s="40"/>
      <c r="AK148" s="2365" t="n">
        <f aca="false">AN148+AK146-AN146</f>
        <v>25614635.7819205</v>
      </c>
      <c r="AL148" s="2365"/>
      <c r="AM148" s="488" t="s">
        <v>3719</v>
      </c>
      <c r="AN148" s="2366" t="n">
        <f aca="false">BG126</f>
        <v>70159397.7355</v>
      </c>
      <c r="AO148" s="2366"/>
      <c r="AP148" s="2264"/>
      <c r="AQ148" s="6"/>
      <c r="AR148" s="6"/>
      <c r="AS148" s="6"/>
      <c r="AT148" s="2265"/>
      <c r="AU148" s="2264"/>
      <c r="AV148" s="6"/>
      <c r="AW148" s="6"/>
      <c r="AX148" s="6"/>
      <c r="AY148" s="2265"/>
      <c r="AZ148" s="2264"/>
      <c r="BA148" s="6"/>
      <c r="BB148" s="6"/>
      <c r="BC148" s="6"/>
      <c r="BD148" s="2265"/>
      <c r="BE148" s="2367" t="n">
        <f aca="false">BH126</f>
        <v>0.316007328489469</v>
      </c>
      <c r="BF148" s="2359"/>
      <c r="BG148" s="2363"/>
      <c r="BH148" s="2363"/>
      <c r="BI148" s="2363"/>
    </row>
    <row r="149" customFormat="false" ht="14.25" hidden="false" customHeight="false" outlineLevel="0" collapsed="false">
      <c r="A149" s="2364"/>
      <c r="B149" s="256"/>
      <c r="C149" s="256"/>
      <c r="D149" s="256"/>
      <c r="E149" s="256"/>
      <c r="F149" s="256"/>
      <c r="G149" s="256"/>
      <c r="H149" s="256"/>
      <c r="I149" s="256"/>
      <c r="J149" s="256"/>
      <c r="K149" s="256"/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  <c r="AA149" s="256"/>
      <c r="AB149" s="256"/>
      <c r="AC149" s="256"/>
      <c r="AD149" s="256"/>
      <c r="AE149" s="256"/>
      <c r="AF149" s="256"/>
      <c r="AG149" s="2351"/>
      <c r="AH149" s="2352"/>
      <c r="AI149" s="40"/>
      <c r="AJ149" s="40"/>
      <c r="AK149" s="2365"/>
      <c r="AL149" s="2365"/>
      <c r="AM149" s="488"/>
      <c r="AN149" s="2366"/>
      <c r="AO149" s="2366"/>
      <c r="AP149" s="2298"/>
      <c r="AQ149" s="40"/>
      <c r="AR149" s="40"/>
      <c r="AS149" s="40"/>
      <c r="AT149" s="2299"/>
      <c r="AU149" s="2298"/>
      <c r="AV149" s="40"/>
      <c r="AW149" s="40"/>
      <c r="AX149" s="40"/>
      <c r="AY149" s="2299"/>
      <c r="AZ149" s="2298"/>
      <c r="BA149" s="40"/>
      <c r="BB149" s="40"/>
      <c r="BC149" s="40"/>
      <c r="BD149" s="2299"/>
      <c r="BE149" s="2367"/>
      <c r="BF149" s="2359"/>
      <c r="BG149" s="256"/>
      <c r="BH149" s="256"/>
      <c r="BI149" s="2287"/>
    </row>
  </sheetData>
  <mergeCells count="141">
    <mergeCell ref="B1:E1"/>
    <mergeCell ref="G1:J1"/>
    <mergeCell ref="L1:O1"/>
    <mergeCell ref="Q1:T1"/>
    <mergeCell ref="V1:Y1"/>
    <mergeCell ref="AA1:AD1"/>
    <mergeCell ref="AF1:AI1"/>
    <mergeCell ref="AK1:AN1"/>
    <mergeCell ref="AP1:AS1"/>
    <mergeCell ref="AU1:AX1"/>
    <mergeCell ref="AZ1:BC1"/>
    <mergeCell ref="BE1:BH1"/>
    <mergeCell ref="B2:E2"/>
    <mergeCell ref="G2:J2"/>
    <mergeCell ref="L2:O2"/>
    <mergeCell ref="Q2:T2"/>
    <mergeCell ref="V2:Y2"/>
    <mergeCell ref="AA2:AD2"/>
    <mergeCell ref="AF2:AI2"/>
    <mergeCell ref="AK2:AN2"/>
    <mergeCell ref="AP2:AS2"/>
    <mergeCell ref="AU2:AX2"/>
    <mergeCell ref="AZ2:BC2"/>
    <mergeCell ref="BE2:BH2"/>
    <mergeCell ref="B3:D3"/>
    <mergeCell ref="G3:I3"/>
    <mergeCell ref="L3:N3"/>
    <mergeCell ref="Q3:S3"/>
    <mergeCell ref="V3:X3"/>
    <mergeCell ref="AA3:AC3"/>
    <mergeCell ref="AF3:AH3"/>
    <mergeCell ref="AK3:AM3"/>
    <mergeCell ref="AP3:AR3"/>
    <mergeCell ref="AU3:AW3"/>
    <mergeCell ref="AZ3:BB3"/>
    <mergeCell ref="BE3:BG3"/>
    <mergeCell ref="B25:E25"/>
    <mergeCell ref="B26:E26"/>
    <mergeCell ref="B27:E27"/>
    <mergeCell ref="B28:E28"/>
    <mergeCell ref="B29:E29"/>
    <mergeCell ref="B36:E36"/>
    <mergeCell ref="G36:J36"/>
    <mergeCell ref="L36:O36"/>
    <mergeCell ref="Q36:T36"/>
    <mergeCell ref="V36:Y36"/>
    <mergeCell ref="AA36:AD36"/>
    <mergeCell ref="AF36:AI36"/>
    <mergeCell ref="AK36:AN36"/>
    <mergeCell ref="AP36:AS36"/>
    <mergeCell ref="AU36:AX36"/>
    <mergeCell ref="AZ36:BC36"/>
    <mergeCell ref="BE36:BH36"/>
    <mergeCell ref="B37:D37"/>
    <mergeCell ref="G37:I37"/>
    <mergeCell ref="L37:N37"/>
    <mergeCell ref="Q37:S37"/>
    <mergeCell ref="V37:X37"/>
    <mergeCell ref="AA37:AC37"/>
    <mergeCell ref="AF37:AH37"/>
    <mergeCell ref="AK37:AM37"/>
    <mergeCell ref="AP37:AR37"/>
    <mergeCell ref="AU37:AW37"/>
    <mergeCell ref="AZ37:BB37"/>
    <mergeCell ref="BE37:BG37"/>
    <mergeCell ref="B59:E59"/>
    <mergeCell ref="B60:E60"/>
    <mergeCell ref="B61:E61"/>
    <mergeCell ref="B63:E63"/>
    <mergeCell ref="B70:E70"/>
    <mergeCell ref="G70:J70"/>
    <mergeCell ref="L70:O70"/>
    <mergeCell ref="Q70:T70"/>
    <mergeCell ref="V70:Y70"/>
    <mergeCell ref="AA70:AD70"/>
    <mergeCell ref="AF70:AI70"/>
    <mergeCell ref="AK70:AN70"/>
    <mergeCell ref="AP70:AS70"/>
    <mergeCell ref="AU70:AX70"/>
    <mergeCell ref="AZ70:BC70"/>
    <mergeCell ref="BE70:BH70"/>
    <mergeCell ref="B71:D71"/>
    <mergeCell ref="G71:I71"/>
    <mergeCell ref="L71:N71"/>
    <mergeCell ref="Q71:S71"/>
    <mergeCell ref="V71:X71"/>
    <mergeCell ref="AA71:AC71"/>
    <mergeCell ref="AF71:AH71"/>
    <mergeCell ref="AK71:AM71"/>
    <mergeCell ref="AP71:AR71"/>
    <mergeCell ref="AU71:AW71"/>
    <mergeCell ref="AZ71:BB71"/>
    <mergeCell ref="BE71:BG71"/>
    <mergeCell ref="B93:E93"/>
    <mergeCell ref="B94:E94"/>
    <mergeCell ref="B95:E95"/>
    <mergeCell ref="B97:E97"/>
    <mergeCell ref="B104:F104"/>
    <mergeCell ref="G104:K104"/>
    <mergeCell ref="L104:P104"/>
    <mergeCell ref="Q104:U104"/>
    <mergeCell ref="V104:Z104"/>
    <mergeCell ref="AA104:AE104"/>
    <mergeCell ref="AF104:AJ104"/>
    <mergeCell ref="AK104:AO104"/>
    <mergeCell ref="AP104:AT104"/>
    <mergeCell ref="AU104:AX104"/>
    <mergeCell ref="AZ104:BD104"/>
    <mergeCell ref="BE104:BI104"/>
    <mergeCell ref="B105:D105"/>
    <mergeCell ref="G105:I105"/>
    <mergeCell ref="L105:N105"/>
    <mergeCell ref="Q105:S105"/>
    <mergeCell ref="V105:X105"/>
    <mergeCell ref="AA105:AC105"/>
    <mergeCell ref="AF105:AH105"/>
    <mergeCell ref="AK105:AM105"/>
    <mergeCell ref="AP105:AR105"/>
    <mergeCell ref="AU105:AW105"/>
    <mergeCell ref="AZ105:BB105"/>
    <mergeCell ref="BE105:BG105"/>
    <mergeCell ref="B127:E127"/>
    <mergeCell ref="B128:E128"/>
    <mergeCell ref="B129:E129"/>
    <mergeCell ref="B130:E130"/>
    <mergeCell ref="A146:A147"/>
    <mergeCell ref="AG146:AG149"/>
    <mergeCell ref="AH146:AH149"/>
    <mergeCell ref="AI146:AJ147"/>
    <mergeCell ref="AK146:AL147"/>
    <mergeCell ref="AM146:AM147"/>
    <mergeCell ref="AN146:AO147"/>
    <mergeCell ref="BE146:BE147"/>
    <mergeCell ref="BF146:BF149"/>
    <mergeCell ref="BG147:BI148"/>
    <mergeCell ref="A148:A149"/>
    <mergeCell ref="AI148:AJ149"/>
    <mergeCell ref="AK148:AL149"/>
    <mergeCell ref="AM148:AM149"/>
    <mergeCell ref="AN148:AO149"/>
    <mergeCell ref="BE148:BE149"/>
  </mergeCells>
  <conditionalFormatting sqref="AL127:BI137 BE138">
    <cfRule type="cellIs" priority="2" operator="lessThan" aboveAverage="0" equalAverage="0" bottom="0" percent="0" rank="0" text="" dxfId="5282">
      <formula>0</formula>
    </cfRule>
  </conditionalFormatting>
  <conditionalFormatting sqref="G93:BC103">
    <cfRule type="cellIs" priority="3" operator="lessThan" aboveAverage="0" equalAverage="0" bottom="0" percent="0" rank="0" text="" dxfId="5283">
      <formula>0</formula>
    </cfRule>
  </conditionalFormatting>
  <conditionalFormatting sqref="AP59:BC69">
    <cfRule type="cellIs" priority="4" operator="lessThan" aboveAverage="0" equalAverage="0" bottom="0" percent="0" rank="0" text="" dxfId="5284">
      <formula>0</formula>
    </cfRule>
  </conditionalFormatting>
  <conditionalFormatting sqref="AP25:BH35">
    <cfRule type="cellIs" priority="5" operator="lessThan" aboveAverage="0" equalAverage="0" bottom="0" percent="0" rank="0" text="" dxfId="5285">
      <formula>0</formula>
    </cfRule>
  </conditionalFormatting>
  <conditionalFormatting sqref="G127:AH137">
    <cfRule type="cellIs" priority="6" operator="lessThan" aboveAverage="0" equalAverage="0" bottom="0" percent="0" rank="0" text="" dxfId="5286">
      <formula>0</formula>
    </cfRule>
  </conditionalFormatting>
  <conditionalFormatting sqref="AK127:AK133">
    <cfRule type="cellIs" priority="7" operator="lessThan" aboveAverage="0" equalAverage="0" bottom="0" percent="0" rank="0" text="" dxfId="5287">
      <formula>0</formula>
    </cfRule>
  </conditionalFormatting>
  <conditionalFormatting sqref="AK60:AO65">
    <cfRule type="cellIs" priority="8" operator="lessThan" aboveAverage="0" equalAverage="0" bottom="0" percent="0" rank="0" text="" dxfId="5288">
      <formula>0</formula>
    </cfRule>
  </conditionalFormatting>
  <conditionalFormatting sqref="AK25:AO31">
    <cfRule type="cellIs" priority="9" operator="lessThan" aboveAverage="0" equalAverage="0" bottom="0" percent="0" rank="0" text="" dxfId="5289">
      <formula>0</formula>
    </cfRule>
  </conditionalFormatting>
  <conditionalFormatting sqref="AI127:AJ131 AI132:AI137">
    <cfRule type="cellIs" priority="10" operator="lessThan" aboveAverage="0" equalAverage="0" bottom="0" percent="0" rank="0" text="" dxfId="5290">
      <formula>0</formula>
    </cfRule>
  </conditionalFormatting>
  <conditionalFormatting sqref="AF59:AI64">
    <cfRule type="cellIs" priority="11" operator="lessThan" aboveAverage="0" equalAverage="0" bottom="0" percent="0" rank="0" text="" dxfId="5291">
      <formula>0</formula>
    </cfRule>
  </conditionalFormatting>
  <conditionalFormatting sqref="AF29:AI30">
    <cfRule type="cellIs" priority="12" operator="lessThan" aboveAverage="0" equalAverage="0" bottom="0" percent="0" rank="0" text="" dxfId="5292">
      <formula>0</formula>
    </cfRule>
  </conditionalFormatting>
  <conditionalFormatting sqref="AA25:AI28">
    <cfRule type="cellIs" priority="13" operator="lessThan" aboveAverage="0" equalAverage="0" bottom="0" percent="0" rank="0" text="" dxfId="5293">
      <formula>0</formula>
    </cfRule>
  </conditionalFormatting>
  <conditionalFormatting sqref="AC60:AE63">
    <cfRule type="cellIs" priority="14" operator="lessThan" aboveAverage="0" equalAverage="0" bottom="0" percent="0" rank="0" text="" dxfId="5294">
      <formula>0</formula>
    </cfRule>
  </conditionalFormatting>
  <conditionalFormatting sqref="G63:AB63">
    <cfRule type="cellIs" priority="15" operator="lessThan" aboveAverage="0" equalAverage="0" bottom="0" percent="0" rank="0" text="" dxfId="5295">
      <formula>0</formula>
    </cfRule>
  </conditionalFormatting>
  <conditionalFormatting sqref="AA29:AE29">
    <cfRule type="cellIs" priority="16" operator="lessThan" aboveAverage="0" equalAverage="0" bottom="0" percent="0" rank="0" text="" dxfId="5296">
      <formula>0</formula>
    </cfRule>
  </conditionalFormatting>
  <conditionalFormatting sqref="AA60:AB62">
    <cfRule type="cellIs" priority="17" operator="lessThan" aboveAverage="0" equalAverage="0" bottom="0" percent="0" rank="0" text="" dxfId="5297">
      <formula>0</formula>
    </cfRule>
  </conditionalFormatting>
  <conditionalFormatting sqref="AA59:AE59">
    <cfRule type="cellIs" priority="18" operator="lessThan" aboveAverage="0" equalAverage="0" bottom="0" percent="0" rank="0" text="" dxfId="5298">
      <formula>0</formula>
    </cfRule>
  </conditionalFormatting>
  <conditionalFormatting sqref="BE93:BH103">
    <cfRule type="cellIs" priority="19" operator="lessThan" aboveAverage="0" equalAverage="0" bottom="0" percent="0" rank="0" text="" dxfId="5299">
      <formula>0</formula>
    </cfRule>
  </conditionalFormatting>
  <conditionalFormatting sqref="BE59:BH69">
    <cfRule type="cellIs" priority="20" operator="lessThan" aboveAverage="0" equalAverage="0" bottom="0" percent="0" rank="0" text="" dxfId="5300">
      <formula>0</formula>
    </cfRule>
  </conditionalFormatting>
  <conditionalFormatting sqref="G59:Z62">
    <cfRule type="cellIs" priority="21" operator="lessThan" aboveAverage="0" equalAverage="0" bottom="0" percent="0" rank="0" text="" dxfId="5301">
      <formula>0</formula>
    </cfRule>
  </conditionalFormatting>
  <conditionalFormatting sqref="AJ132:AJ133 AJ134:AK137">
    <cfRule type="cellIs" priority="22" operator="lessThan" aboveAverage="0" equalAverage="0" bottom="0" percent="0" rank="0" text="" dxfId="5302">
      <formula>0</formula>
    </cfRule>
  </conditionalFormatting>
  <conditionalFormatting sqref="AJ60:AJ64 G64:AE64 G65:AJ65 G66:AO69">
    <cfRule type="cellIs" priority="23" operator="lessThan" aboveAverage="0" equalAverage="0" bottom="0" percent="0" rank="0" text="" dxfId="5303">
      <formula>0</formula>
    </cfRule>
  </conditionalFormatting>
  <conditionalFormatting sqref="G25:Z29 AJ25:AJ30 G30:AE30 G31:AJ31 G32:AO35 AJ59:AO59">
    <cfRule type="cellIs" priority="24" operator="lessThan" aboveAverage="0" equalAverage="0" bottom="0" percent="0" rank="0" text="" dxfId="5304">
      <formula>0</formula>
    </cfRule>
  </conditionalFormatting>
  <printOptions headings="false" gridLines="false" gridLinesSet="true" horizontalCentered="false" verticalCentered="false"/>
  <pageMargins left="0.315277777777778" right="0" top="0.39375" bottom="0" header="0.315277777777778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&amp;R&amp;D        &amp;T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2006-09-25T12:47:36Z</dcterms:created>
  <dc:creator/>
  <dc:description/>
  <dc:language>en-US</dc:language>
  <cp:lastModifiedBy/>
  <dcterms:modified xsi:type="dcterms:W3CDTF">2025-04-09T21:18:59Z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